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omments2.xml" ContentType="application/vnd.openxmlformats-officedocument.spreadsheetml.comments+xml"/>
  <Override PartName="/xl/drawings/drawing5.xml" ContentType="application/vnd.openxmlformats-officedocument.drawing+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drawings/drawing6.xml" ContentType="application/vnd.openxmlformats-officedocument.drawing+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drawings/drawing7.xml" ContentType="application/vnd.openxmlformats-officedocument.drawing+xml"/>
  <Override PartName="/xl/drawings/drawing8.xml" ContentType="application/vnd.openxmlformats-officedocument.drawing+xml"/>
  <Override PartName="/xl/comments3.xml" ContentType="application/vnd.openxmlformats-officedocument.spreadsheetml.comments+xml"/>
  <Override PartName="/xl/threadedComments/threadedComment1.xml" ContentType="application/vnd.ms-excel.threadedcomments+xml"/>
  <Override PartName="/xl/drawings/drawing9.xml" ContentType="application/vnd.openxmlformats-officedocument.drawing+xml"/>
  <Override PartName="/xl/drawings/drawing10.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comments4.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tables/table100.xml" ContentType="application/vnd.openxmlformats-officedocument.spreadsheetml.table+xml"/>
  <Override PartName="/xl/drawings/drawing13.xml" ContentType="application/vnd.openxmlformats-officedocument.drawing+xml"/>
  <Override PartName="/xl/drawings/drawing14.xml" ContentType="application/vnd.openxmlformats-officedocument.drawing+xml"/>
  <Override PartName="/xl/comments5.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trlProps/ctrlProp38.xml" ContentType="application/vnd.ms-excel.controlproperties+xml"/>
  <Override PartName="/xl/ctrlProps/ctrlProp39.xml" ContentType="application/vnd.ms-excel.controlproperties+xml"/>
  <Override PartName="/xl/drawings/drawing17.xml" ContentType="application/vnd.openxmlformats-officedocument.drawing+xml"/>
  <Override PartName="/xl/drawings/drawing18.xml" ContentType="application/vnd.openxmlformats-officedocument.drawing+xml"/>
  <Override PartName="/xl/comments6.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tables/table101.xml" ContentType="application/vnd.openxmlformats-officedocument.spreadsheetml.table+xml"/>
  <Override PartName="/xl/drawings/drawing23.xml" ContentType="application/vnd.openxmlformats-officedocument.drawing+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comments7.xml" ContentType="application/vnd.openxmlformats-officedocument.spreadsheetml.comments+xml"/>
  <Override PartName="/xl/threadedComments/threadedComment2.xml" ContentType="application/vnd.ms-excel.threadedcomments+xml"/>
  <Override PartName="/xl/drawings/drawing24.xml" ContentType="application/vnd.openxmlformats-officedocument.drawing+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drawings/drawing25.xml" ContentType="application/vnd.openxmlformats-officedocument.drawing+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drawings/drawing26.xml" ContentType="application/vnd.openxmlformats-officedocument.drawing+xml"/>
  <Override PartName="/xl/comments8.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ichData/richValueRel.xml" ContentType="application/vnd.ms-excel.richvaluerel+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prod.protected.ind\user\User01\sf6814\my Documents\Procurements\35 South Advisors\"/>
    </mc:Choice>
  </mc:AlternateContent>
  <xr:revisionPtr revIDLastSave="0" documentId="13_ncr:1_{1DA8527E-F688-4E8E-AF73-0E3891C7E4E2}" xr6:coauthVersionLast="47" xr6:coauthVersionMax="47" xr10:uidLastSave="{00000000-0000-0000-0000-000000000000}"/>
  <workbookProtection workbookAlgorithmName="SHA-512" workbookHashValue="gZQJZl6/C7ufeh+xPVJ8moBJ4BQTnfAH3Q5Qu4drtzGsMOO92DX4DHWKiK2JO0PvkbSSlZSCYYCjQyU8NPj9Sw==" workbookSaltValue="ng53a8r+v43SqTIJ4qhrTA==" workbookSpinCount="100000" lockStructure="1"/>
  <bookViews>
    <workbookView xWindow="28680" yWindow="-120" windowWidth="29040" windowHeight="15840" tabRatio="856" xr2:uid="{00000000-000D-0000-FFFF-FFFF00000000}"/>
  </bookViews>
  <sheets>
    <sheet name="Home" sheetId="1" r:id="rId1"/>
    <sheet name="Project Summary" sheetId="12" r:id="rId2"/>
    <sheet name="13.2 Help" sheetId="81" state="hidden" r:id="rId3"/>
    <sheet name="13.2 Building Fabric" sheetId="2" r:id="rId4"/>
    <sheet name="D_List" sheetId="5" state="hidden" r:id="rId5"/>
    <sheet name="D_Building_Fabric" sheetId="64" state="hidden" r:id="rId6"/>
    <sheet name="13.3 Help" sheetId="65" state="hidden" r:id="rId7"/>
    <sheet name="13.3 External Glazing" sheetId="50" r:id="rId8"/>
    <sheet name="Tables" sheetId="51" state="hidden" r:id="rId9"/>
    <sheet name="CZ01 Factors" sheetId="52" state="hidden" r:id="rId10"/>
    <sheet name="CZ02 Factors" sheetId="53" state="hidden" r:id="rId11"/>
    <sheet name="CZ03 Factors" sheetId="54" state="hidden" r:id="rId12"/>
    <sheet name="CZ04 Factors" sheetId="55" state="hidden" r:id="rId13"/>
    <sheet name="CZ05 Factors" sheetId="56" state="hidden" r:id="rId14"/>
    <sheet name="CZ05 BC Factors" sheetId="57" state="hidden" r:id="rId15"/>
    <sheet name="CZ06 Factors" sheetId="58" state="hidden" r:id="rId16"/>
    <sheet name="CZ07 Factors" sheetId="59" state="hidden" r:id="rId17"/>
    <sheet name="CZ08 Factors" sheetId="60" state="hidden" r:id="rId18"/>
    <sheet name="GC orig exposure" sheetId="61" state="hidden" r:id="rId19"/>
    <sheet name="13.4 Help" sheetId="80" state="hidden" r:id="rId20"/>
    <sheet name="13.4 Building Sealing" sheetId="7" r:id="rId21"/>
    <sheet name="13.5 Help" sheetId="79" state="hidden" r:id="rId22"/>
    <sheet name="13.5 Ceiling Fans" sheetId="8" r:id="rId23"/>
    <sheet name="13.6 Help" sheetId="71" state="hidden" r:id="rId24"/>
    <sheet name="13.6 Whole-of-Home Energy Usage" sheetId="21" r:id="rId25"/>
    <sheet name="13.7 Help" sheetId="82" state="hidden" r:id="rId26"/>
    <sheet name="13.7 Services" sheetId="10" r:id="rId27"/>
    <sheet name="13.7.6 Help" sheetId="68" state="hidden" r:id="rId28"/>
    <sheet name="13.7.6 Artificial Lighting" sheetId="62" r:id="rId29"/>
    <sheet name="Help" sheetId="73" r:id="rId30"/>
    <sheet name="Worksheet" sheetId="77" r:id="rId31"/>
    <sheet name="zzz13.3 External Glazing" sheetId="6" state="hidden" r:id="rId32"/>
    <sheet name="D_Ceiling_Fans" sheetId="16" state="hidden" r:id="rId33"/>
    <sheet name="QA Check" sheetId="22" state="hidden" r:id="rId34"/>
    <sheet name="1-QLD" sheetId="23" state="hidden" r:id="rId35"/>
    <sheet name="1-WA" sheetId="24" state="hidden" r:id="rId36"/>
    <sheet name="1-NT" sheetId="25" state="hidden" r:id="rId37"/>
    <sheet name="2-NSW" sheetId="26" state="hidden" r:id="rId38"/>
    <sheet name="2-QLD" sheetId="27" state="hidden" r:id="rId39"/>
    <sheet name="3-QLD" sheetId="28" state="hidden" r:id="rId40"/>
    <sheet name="3-WA" sheetId="29" state="hidden" r:id="rId41"/>
    <sheet name="3-NT" sheetId="30" state="hidden" r:id="rId42"/>
    <sheet name="4-NSW" sheetId="31" state="hidden" r:id="rId43"/>
    <sheet name="4-VIC" sheetId="32" state="hidden" r:id="rId44"/>
    <sheet name="4-SA" sheetId="33" state="hidden" r:id="rId45"/>
    <sheet name="4-WA" sheetId="34" state="hidden" r:id="rId46"/>
    <sheet name="5-NSW" sheetId="35" state="hidden" r:id="rId47"/>
    <sheet name="5-QLD" sheetId="36" state="hidden" r:id="rId48"/>
    <sheet name="5-SA" sheetId="37" state="hidden" r:id="rId49"/>
    <sheet name="5-WA" sheetId="38" state="hidden" r:id="rId50"/>
    <sheet name="6-NSW" sheetId="39" state="hidden" r:id="rId51"/>
    <sheet name="6-VIC" sheetId="40" state="hidden" r:id="rId52"/>
    <sheet name="6-SA" sheetId="41" state="hidden" r:id="rId53"/>
    <sheet name="6-WA" sheetId="42" state="hidden" r:id="rId54"/>
    <sheet name="7-NSW" sheetId="43" state="hidden" r:id="rId55"/>
    <sheet name="7-VIC" sheetId="44" state="hidden" r:id="rId56"/>
    <sheet name="7-TAS" sheetId="45" state="hidden" r:id="rId57"/>
    <sheet name="7-ACT" sheetId="46" state="hidden" r:id="rId58"/>
    <sheet name="8-NSW" sheetId="47" state="hidden" r:id="rId59"/>
    <sheet name="8-VIC" sheetId="48" state="hidden" r:id="rId60"/>
    <sheet name="8-TAS" sheetId="49" state="hidden" r:id="rId61"/>
    <sheet name="D_External_Glazing" sheetId="15" state="hidden" r:id="rId62"/>
    <sheet name="D_Whole-of-Home_Energy_Usage" sheetId="17" state="hidden" r:id="rId63"/>
    <sheet name="D_Services" sheetId="18" state="hidden" r:id="rId64"/>
    <sheet name="Adjustment factors" sheetId="63" state="hidden" r:id="rId65"/>
  </sheets>
  <definedNames>
    <definedName name="_Bed_">'13.3 External Glazing'!$CQ$110:$CQ$112</definedName>
    <definedName name="_Climate_List_">'13.3 External Glazing'!$DD$134:$DD$141</definedName>
    <definedName name="_F_">'13.3 External Glazing'!$CT$110:$CT$112</definedName>
    <definedName name="_xlnm._FilterDatabase" localSheetId="3" hidden="1">'13.2 Building Fabric'!$J$82:$S$92</definedName>
    <definedName name="_xlnm._FilterDatabase" localSheetId="7" hidden="1">'13.3 External Glazing'!$B$19:$B$99</definedName>
    <definedName name="_xlnm._FilterDatabase" localSheetId="28" hidden="1">'13.7.6 Artificial Lighting'!$B$29:$B$69</definedName>
    <definedName name="_xlnm._FilterDatabase" localSheetId="4" hidden="1">D_List!$H$8:$H$132</definedName>
    <definedName name="_Flr_Abrv_">'13.3 External Glazing'!$DD$110:$DF$117</definedName>
    <definedName name="_Hard_">'13.3 External Glazing'!$CS$110:$CS$117</definedName>
    <definedName name="_Level_">'13.3 External Glazing'!$CR$110:$CR$112</definedName>
    <definedName name="_Open_">'13.3 External Glazing'!$CU$110:$CU$136</definedName>
    <definedName name="ActiveA">'13.3 External Glazing'!$F$151</definedName>
    <definedName name="ActiveB">'13.3 External Glazing'!$F$152</definedName>
    <definedName name="ActiveDisplayed">'13.3 External Glazing'!$F$163</definedName>
    <definedName name="ActiveHidden">'13.3 External Glazing'!$F$164</definedName>
    <definedName name="ADIPLbalc">'13.7.6 Artificial Lighting'!$I$144</definedName>
    <definedName name="ADIPLClass1">'13.7.6 Artificial Lighting'!$I$140</definedName>
    <definedName name="ADIPLClass10">'13.7.6 Artificial Lighting'!$I$148</definedName>
    <definedName name="ADIPLone" localSheetId="28">'13.7.6 Artificial Lighting'!$I$140</definedName>
    <definedName name="Adjfactors" localSheetId="28">'13.7.6 Artificial Lighting'!$S$89:$T$108</definedName>
    <definedName name="Adjfactors1" localSheetId="28">'13.7.6 Artificial Lighting'!$T$88:$U$99</definedName>
    <definedName name="AdviceIssuesOnly">'13.3 External Glazing'!$BA$12</definedName>
    <definedName name="Afactors">'Adjustment factors'!$R$12:$T$23</definedName>
    <definedName name="AfactorsTwo">'Adjustment factors'!$AC$12:$AE$24</definedName>
    <definedName name="AirMovement">'13.3 External Glazing'!$B$13</definedName>
    <definedName name="AllInputsOK">'13.3 External Glazing'!$BA$15</definedName>
    <definedName name="Allinputsokres">'13.7.6 Artificial Lighting'!$AW$89</definedName>
    <definedName name="AllowanceCuA">'13.3 External Glazing'!$X$13</definedName>
    <definedName name="AllowanceCuB">'13.3 External Glazing'!$Y$13</definedName>
    <definedName name="AllowedCond">'13.3 External Glazing'!$AH$13</definedName>
    <definedName name="AllowedSHG">'13.3 External Glazing'!$AI$13</definedName>
    <definedName name="AreaA">'13.3 External Glazing'!$F$7</definedName>
    <definedName name="AreaAll">'13.3 External Glazing'!$F$13</definedName>
    <definedName name="AreaApercent">'13.3 External Glazing'!$AI$1</definedName>
    <definedName name="AreaB">'13.3 External Glazing'!$F$8</definedName>
    <definedName name="AreaBpercent">'13.3 External Glazing'!$AK$1</definedName>
    <definedName name="AreaUsed">'13.3 External Glazing'!$U$20:$U$99</definedName>
    <definedName name="AveADIPL">'13.7.6 Artificial Lighting'!$I$141</definedName>
    <definedName name="Balconytrue">'13.7.6 Artificial Lighting'!$AS$89</definedName>
    <definedName name="BC_in_Z5">'13.3 External Glazing'!$T$6</definedName>
    <definedName name="Brick_Cavity">'13.3 External Glazing'!$DL$109:$DL$111</definedName>
    <definedName name="Building">'13.3 External Glazing'!$B$4</definedName>
    <definedName name="C_shgc_achieved">'13.3 External Glazing'!$AN$13</definedName>
    <definedName name="Class_3_9a_9c_List">'Adjustment factors'!$X$28:$X$30</definedName>
    <definedName name="Class_5_to_9b_List">'Adjustment factors'!$V$28:$V$33</definedName>
    <definedName name="Class1">'13.7.6 Artificial Lighting'!$S$109</definedName>
    <definedName name="Class10">'13.7.6 Artificial Lighting'!$S$110</definedName>
    <definedName name="Class5">'13.7.6 Artificial Lighting'!$S$110</definedName>
    <definedName name="ClassificationTwo">'13.7.6 Artificial Lighting'!$L$13</definedName>
    <definedName name="ConductanceAccess">'13.3 External Glazing'!$CA$18</definedName>
    <definedName name="ConstantsA">Tables!$D$17:$L$19,Tables!$D$29:$L$30</definedName>
    <definedName name="ConstantsB">Tables!$D$35:$L$37,Tables!$D$45:$L$46</definedName>
    <definedName name="ConstantsGround">Tables!$O$17:$V$29</definedName>
    <definedName name="ConstantsSource">'13.3 External Glazing'!$W$2</definedName>
    <definedName name="ConstantsSuspended">Tables!$O$33:$U$40</definedName>
    <definedName name="_xlnm.Criteria" localSheetId="28">'13.7.6 Artificial Lighting'!$D$17</definedName>
    <definedName name="CshgcA">'13.3 External Glazing'!$AI$4</definedName>
    <definedName name="CshgcB">'13.3 External Glazing'!$AK$4</definedName>
    <definedName name="CshgcWeighted">'13.3 External Glazing'!$AI$12</definedName>
    <definedName name="Cu_achieved">'13.3 External Glazing'!$AM$13</definedName>
    <definedName name="CuA">'13.3 External Glazing'!$AH$4</definedName>
    <definedName name="CuB">'13.3 External Glazing'!$AJ$4</definedName>
    <definedName name="CuWeighted">'13.3 External Glazing'!$AH$12</definedName>
    <definedName name="DescriptionTwo">'13.7.6 Artificial Lighting'!$D$13</definedName>
    <definedName name="Development_Type">D_List!$AA$14</definedName>
    <definedName name="DifferenceA">'13.3 External Glazing'!$AH$8</definedName>
    <definedName name="DifferenceB">'13.3 External Glazing'!$AJ$8</definedName>
    <definedName name="Directions">Tables!$D$69:$K$69</definedName>
    <definedName name="Dudfactors">'13.3 External Glazing'!$AQ$15</definedName>
    <definedName name="DudPerformance">'13.3 External Glazing'!$AR$15</definedName>
    <definedName name="DudShading">'13.3 External Glazing'!$AV$15</definedName>
    <definedName name="DudSize">'13.3 External Glazing'!$AM$15</definedName>
    <definedName name="DudTableInputs">'13.3 External Glazing'!$AY$15</definedName>
    <definedName name="DynamicDim">'Adjustment factors'!$R$21</definedName>
    <definedName name="EmptyA">'13.3 External Glazing'!$F$146</definedName>
    <definedName name="eNA">'Adjustment factors'!$V$16</definedName>
    <definedName name="ExposuresSummer">Tables!$D$71:$K$83,Tables!$N$71:$U$83,Tables!$X$71:$AE$83,Tables!$AH$71:$AO$83,Tables!$AR$71:$AY$83,Tables!$BB$71:$BI$83,Tables!$BL$71:$BS$83,Tables!$BV$71:$CC$83,Tables!$CF$71:$CM$83</definedName>
    <definedName name="ExposuresSummerTimber">Tables!$D$117:$K$129,Tables!$N$117:$U$129,Tables!$X$117:$AE$129,Tables!$AH$117:$AO$129,Tables!$AR$117:$AY$129,Tables!$BB$117:$BI$129,Tables!$BL$117:$BS$129,Tables!$BV$117:$CC$129,Tables!$CF$117:$CM$129</definedName>
    <definedName name="ExposuresWinter">Tables!$D$95:$K$107,Tables!$N$95:$U$107,Tables!$X$95:$AE$107,Tables!$AH$95:$AO$107,Tables!$AR$95:$AY$107,Tables!$BB$95:$BI$107,Tables!$BL$95:$BS$107,Tables!$BV$95:$CC$107,Tables!$CF$95:$CM$107</definedName>
    <definedName name="ExposuresWinterTimber">Tables!$D$141:$K$153,Tables!$N$141:$U$153,Tables!$X$141:$AE$153,Tables!$AH$141:$AO$153,Tables!$AR$141:$AY$153,Tables!$BB$141:$BI$153,Tables!$BL$141:$BS$153,Tables!$BV$141:$CC$153,Tables!$CF$141:$CM$153</definedName>
    <definedName name="FACT_AFF">'13.3 External Glazing'!$AG$19</definedName>
    <definedName name="FailBalcony">'13.7.6 Artificial Lighting'!$N$156</definedName>
    <definedName name="FailClass1">'13.7.6 Artificial Lighting'!$N$152</definedName>
    <definedName name="FailClass10">'13.7.6 Artificial Lighting'!$N$160</definedName>
    <definedName name="FailedCondA">'13.3 External Glazing'!$CC$12</definedName>
    <definedName name="FailedConductance">'13.3 External Glazing'!$CC$12</definedName>
    <definedName name="FailedSHG">'13.3 External Glazing'!$CD$12</definedName>
    <definedName name="FailedSHGA">'13.3 External Glazing'!$CD$12</definedName>
    <definedName name="FailedSHGB">'13.3 External Glazing'!$CJ$15</definedName>
    <definedName name="FailRes">'13.7.6 Artificial Lighting'!$N$152</definedName>
    <definedName name="First3Inputs">'13.3 External Glazing'!$F$143</definedName>
    <definedName name="firstinputsres">'13.7.6 Artificial Lighting'!$J$105</definedName>
    <definedName name="FixedDim">'Adjustment factors'!$R$16</definedName>
    <definedName name="fNA">'Adjustment factors'!$X$17</definedName>
    <definedName name="GeneralAdviceTwo">'13.7.6 Artificial Lighting'!$AY$30</definedName>
    <definedName name="GlazingAreaA">'13.3 External Glazing'!$AI$15</definedName>
    <definedName name="GlazingAreaAll">'13.3 External Glazing'!$AI$15</definedName>
    <definedName name="Hard_Floor">'13.3 External Glazing'!$DD$110:$DE$117</definedName>
    <definedName name="Heat_Flow">D_List!$D$21:$D$22</definedName>
    <definedName name="HeatFlow_1" localSheetId="2">Table63[1]</definedName>
    <definedName name="HeatFlow_1" localSheetId="19">Table63[1]</definedName>
    <definedName name="HeatFlow_1" localSheetId="29">Table63[1]</definedName>
    <definedName name="HeatFlow_1">Table63[1]</definedName>
    <definedName name="HeatFlow_2" localSheetId="2">Table64[2]</definedName>
    <definedName name="HeatFlow_2" localSheetId="19">Table64[2]</definedName>
    <definedName name="HeatFlow_2" localSheetId="29">Table64[2]</definedName>
    <definedName name="HeatFlow_2">Table64[2]</definedName>
    <definedName name="HeatFlow_3" localSheetId="2">Table76[3]</definedName>
    <definedName name="HeatFlow_3" localSheetId="19">Table76[3]</definedName>
    <definedName name="HeatFlow_3" localSheetId="29">Table76[3]</definedName>
    <definedName name="HeatFlow_3">Table76[3]</definedName>
    <definedName name="HeatFlow_4" localSheetId="2">Table77[4]</definedName>
    <definedName name="HeatFlow_4" localSheetId="19">Table77[4]</definedName>
    <definedName name="HeatFlow_4" localSheetId="29">Table77[4]</definedName>
    <definedName name="HeatFlow_4">Table77[4]</definedName>
    <definedName name="HeatFlow_5" localSheetId="2">Table78[5]</definedName>
    <definedName name="HeatFlow_5" localSheetId="19">Table78[5]</definedName>
    <definedName name="HeatFlow_5" localSheetId="29">Table78[5]</definedName>
    <definedName name="HeatFlow_5">Table78[5]</definedName>
    <definedName name="HeatFlow_6" localSheetId="2">Table79[6]</definedName>
    <definedName name="HeatFlow_6" localSheetId="19">Table79[6]</definedName>
    <definedName name="HeatFlow_6" localSheetId="29">Table79[6]</definedName>
    <definedName name="HeatFlow_6">Table79[6]</definedName>
    <definedName name="HeatFlow_7" localSheetId="2">Table80[7]</definedName>
    <definedName name="HeatFlow_7" localSheetId="19">Table80[7]</definedName>
    <definedName name="HeatFlow_7" localSheetId="29">Table80[7]</definedName>
    <definedName name="HeatFlow_7">Table80[7]</definedName>
    <definedName name="HeatFlow_8" localSheetId="2">Table81[8]</definedName>
    <definedName name="HeatFlow_8" localSheetId="19">Table81[8]</definedName>
    <definedName name="HeatFlow_8" localSheetId="29">Table81[8]</definedName>
    <definedName name="HeatFlow_8">Table81[8]</definedName>
    <definedName name="Heatflow_Options">D_List!$AQ$12</definedName>
    <definedName name="Help" localSheetId="29">Help!$D$3</definedName>
    <definedName name="Help">'13.3 Help'!$D$3</definedName>
    <definedName name="InputIssues">'13.3 External Glazing'!$BA$18</definedName>
    <definedName name="InputIssuesTwo">'13.7.6 Artificial Lighting'!$DJ$27</definedName>
    <definedName name="InputsAlert">'13.3 External Glazing'!$S$15</definedName>
    <definedName name="InterpolatedA">'13.3 External Glazing'!$AI$8</definedName>
    <definedName name="InterpolatedB">'13.3 External Glazing'!$AK$8</definedName>
    <definedName name="jNA">'Adjustment factors'!$X$21</definedName>
    <definedName name="LastActive">'13.3 External Glazing'!$AB$18</definedName>
    <definedName name="List_FloorType" localSheetId="2">Table206[Floors and Subfloor Walls]</definedName>
    <definedName name="List_FloorType" localSheetId="19">Table206[Floors and Subfloor Walls]</definedName>
    <definedName name="List_FloorType" localSheetId="29">Table206[Floors and Subfloor Walls]</definedName>
    <definedName name="List_FloorType">Table206[Floors and Subfloor Walls]</definedName>
    <definedName name="list_subfloorheight" localSheetId="2">Table209[Subfloor wall height (mm)]</definedName>
    <definedName name="list_subfloorheight" localSheetId="19">Table209[Subfloor wall height (mm)]</definedName>
    <definedName name="list_subfloorheight" localSheetId="29">Table209[Subfloor wall height (mm)]</definedName>
    <definedName name="list_subfloorheight">Table209[Subfloor wall height (mm)]</definedName>
    <definedName name="LocationLimitsTwo" localSheetId="28">'13.7.6 Artificial Lighting'!$H$88:$I$92</definedName>
    <definedName name="ManualDime">'Adjustment factors'!$R$16</definedName>
    <definedName name="ManualDimf">'Adjustment factors'!$R$17</definedName>
    <definedName name="Min_SF_4" localSheetId="2">Table212[4]</definedName>
    <definedName name="Min_SF_4" localSheetId="19">Table212[4]</definedName>
    <definedName name="Min_SF_4" localSheetId="29">Table212[4]</definedName>
    <definedName name="Min_SF_4">Table212[4]</definedName>
    <definedName name="Min_SF_5" localSheetId="2">Table213[5]</definedName>
    <definedName name="Min_SF_5" localSheetId="19">Table213[5]</definedName>
    <definedName name="Min_SF_5" localSheetId="29">Table213[5]</definedName>
    <definedName name="Min_SF_5">Table213[5]</definedName>
    <definedName name="Min_SF_6" localSheetId="2">Table214[6]</definedName>
    <definedName name="Min_SF_6" localSheetId="19">Table214[6]</definedName>
    <definedName name="Min_SF_6" localSheetId="29">Table214[6]</definedName>
    <definedName name="Min_SF_6">Table214[6]</definedName>
    <definedName name="Min_SF_7" localSheetId="2">Table215[7]</definedName>
    <definedName name="Min_SF_7" localSheetId="19">Table215[7]</definedName>
    <definedName name="Min_SF_7" localSheetId="29">Table215[7]</definedName>
    <definedName name="Min_SF_7">Table215[7]</definedName>
    <definedName name="Min_SF_8" localSheetId="2">Table216[8]</definedName>
    <definedName name="Min_SF_8" localSheetId="19">Table216[8]</definedName>
    <definedName name="Min_SF_8" localSheetId="29">Table216[8]</definedName>
    <definedName name="Min_SF_8">Table216[8]</definedName>
    <definedName name="MIPDLbalc">'13.7.6 Artificial Lighting'!$I$156</definedName>
    <definedName name="MIPDLClass1">'13.7.6 Artificial Lighting'!$I$152</definedName>
    <definedName name="MIPDLClass10">'13.7.6 Artificial Lighting'!$I$160</definedName>
    <definedName name="MIPDLONE" localSheetId="28">'13.7.6 Artificial Lighting'!$I$152</definedName>
    <definedName name="MultipleAir">'13.3 External Glazing'!$AH$6</definedName>
    <definedName name="Name">D_List!$B$9</definedName>
    <definedName name="NoGlazing">'13.3 External Glazing'!$F$133</definedName>
    <definedName name="NoSector">'13.3 External Glazing'!$AL$18</definedName>
    <definedName name="NoWallConcession">'13.3 External Glazing'!$E$176</definedName>
    <definedName name="NoZoneTableActive">'13.3 External Glazing'!$F$139</definedName>
    <definedName name="OC_Fact_Slab">Tables!$AL$20:$AS$29</definedName>
    <definedName name="OC_Fact_Timb">Tables!$AL$35:$AS$44</definedName>
    <definedName name="Onevalueinvalid">'13.7.6 Artificial Lighting'!$BJ$93</definedName>
    <definedName name="Orient_Num">Tables!$AV$19:$AW$26</definedName>
    <definedName name="Orientations">Tables!$D$59:$K$59</definedName>
    <definedName name="OrientationsA">OFFSET('13.3 External Glazing'!$F$158,0,0,1,IF(UpperInputsFlagged=0,8,0))</definedName>
    <definedName name="OrphanData">'13.3 External Glazing'!$BG$15</definedName>
    <definedName name="OrphanVent">'13.3 External Glazing'!$F$150</definedName>
    <definedName name="PassBalcony">'13.7.6 Artificial Lighting'!$N$144</definedName>
    <definedName name="PassClass1">'13.7.6 Artificial Lighting'!$N$140</definedName>
    <definedName name="PassClass10">'13.7.6 Artificial Lighting'!$N$148</definedName>
    <definedName name="PassRes">'13.7.6 Artificial Lighting'!$N$140</definedName>
    <definedName name="Percent1">'13.7.6 Artificial Lighting'!$Q$105</definedName>
    <definedName name="Percent10">'13.7.6 Artificial Lighting'!$Q$108</definedName>
    <definedName name="PercentBalcony">'13.7.6 Artificial Lighting'!$Q$107</definedName>
    <definedName name="PrecisionTwo">'13.7.6 Artificial Lighting'!$N$115</definedName>
    <definedName name="_xlnm.Print_Area" localSheetId="7">'13.3 External Glazing'!$A$1:$Z$104</definedName>
    <definedName name="_xlnm.Print_Area" localSheetId="6">'13.3 Help'!$C$5:$E$237</definedName>
    <definedName name="_xlnm.Print_Area" localSheetId="23">'13.6 Help'!$B$1:$F$72</definedName>
    <definedName name="_xlnm.Print_Area" localSheetId="24">'13.6 Whole-of-Home Energy Usage'!$B$1:$M$34</definedName>
    <definedName name="_xlnm.Print_Area" localSheetId="28">'13.7.6 Artificial Lighting'!$B$7:$P$84</definedName>
    <definedName name="_xlnm.Print_Area" localSheetId="27">'13.7.6 Help'!$A$1:$D$204</definedName>
    <definedName name="_xlnm.Print_Area" localSheetId="64">'Adjustment factors'!$A$1:$O$48</definedName>
    <definedName name="_xlnm.Print_Area" localSheetId="29">Help!$C$5:$E$160</definedName>
    <definedName name="_xlnm.Print_Area" localSheetId="1">'Project Summary'!$C$1:$I$236</definedName>
    <definedName name="_xlnm.Print_Titles" localSheetId="7">'13.3 External Glazing'!$17:$19</definedName>
    <definedName name="_xlnm.Print_Titles" localSheetId="6">'13.3 Help'!$5:$6</definedName>
    <definedName name="_xlnm.Print_Titles" localSheetId="28">'13.7.6 Artificial Lighting'!$7:$29</definedName>
    <definedName name="_xlnm.Print_Titles" localSheetId="29">Help!$5:$6</definedName>
    <definedName name="ProgDim">'Adjustment factors'!$R$15</definedName>
    <definedName name="Projections">Tables!$C$71:$C$83</definedName>
    <definedName name="ResAdjustfactor01">'13.7.6 Artificial Lighting'!$T$88:$V$100</definedName>
    <definedName name="ResClassifications">'13.7.6 Artificial Lighting'!$S$109:$S$110</definedName>
    <definedName name="resdynamicdimmingk">'13.7.6 Artificial Lighting'!$T$96</definedName>
    <definedName name="resFixeddimming">'13.7.6 Artificial Lighting'!$T$97</definedName>
    <definedName name="Roof_Ventilation">D_List!$K$9:$K$10</definedName>
    <definedName name="Rows">'13.3 External Glazing'!$AB$20:$AB$99</definedName>
    <definedName name="RowsActive">'13.3 External Glazing'!$AI$18</definedName>
    <definedName name="RowsAvailable">'13.3 External Glazing'!$F$161</definedName>
    <definedName name="RowsDisplayed">'13.3 External Glazing'!$F$162</definedName>
    <definedName name="RowsFilledTwo">'13.7.6 Artificial Lighting'!$AN$24</definedName>
    <definedName name="RowsOK">'13.3 External Glazing'!$AY$18</definedName>
    <definedName name="RowsPreferred">'13.3 External Glazing'!$F$15</definedName>
    <definedName name="RowsPreferredTwo">'13.7.6 Artificial Lighting'!$G$20</definedName>
    <definedName name="RowsRequiredCeilingFans">'13.5 Ceiling Fans'!$G$23</definedName>
    <definedName name="RowsRequiredCeilings">'13.2 Building Fabric'!$K$22</definedName>
    <definedName name="RowsRequiredCeilingsWallFloors">'13.4 Building Sealing'!#REF!</definedName>
    <definedName name="RowsRequiredEvapCoolers">'13.4 Building Sealing'!#REF!</definedName>
    <definedName name="RowsRequiredExhaust">'13.4 Building Sealing'!$G$64</definedName>
    <definedName name="RowsRequiredExternalWalls">'13.2 Building Fabric'!$K$59</definedName>
    <definedName name="RowsRequiredExtWindowsDoors">'13.4 Building Sealing'!$G$51</definedName>
    <definedName name="RowsRequiredFloors">'13.2 Building Fabric'!$K$77</definedName>
    <definedName name="RowsRequiredRoofLights">'13.4 Building Sealing'!$G$28</definedName>
    <definedName name="RowsRequiredRoofLights_13_2">'13.2 Building Fabric'!$K$39</definedName>
    <definedName name="RowsShownTwo">'13.7.6 Artificial Lighting'!$BP$27</definedName>
    <definedName name="RowsSkipped">'13.3 External Glazing'!$AK$18</definedName>
    <definedName name="RowsWithData">'13.3 External Glazing'!$AJ$18</definedName>
    <definedName name="S_Slab_Fact">Tables!$P$21:$X$27</definedName>
    <definedName name="S_Timb_Fact">Tables!$Z$21:$AH$27</definedName>
    <definedName name="Screenshot1">#REF!</definedName>
    <definedName name="Screenshot2">#REF!</definedName>
    <definedName name="Screenshot3">#REF!</definedName>
    <definedName name="Screenshot4">#REF!</definedName>
    <definedName name="SectorFacedA">'13.3 External Glazing'!$F$20:$F$99</definedName>
    <definedName name="SectorsInA">'13.3 External Glazing'!$F$168</definedName>
    <definedName name="SectorsListed">'13.3 External Glazing'!$F$20:$F$99</definedName>
    <definedName name="Select_State">Home!$H$22</definedName>
    <definedName name="Selection_ClimateZone">Home!$D$43</definedName>
    <definedName name="Selection_Storeys">Home!$D$47</definedName>
    <definedName name="ShowPass" localSheetId="28">'13.7.6 Artificial Lighting'!$DE$31</definedName>
    <definedName name="ShowPassCond">'13.3 External Glazing'!$CC$13</definedName>
    <definedName name="ShowPassSHG">'13.3 External Glazing'!$CD$13</definedName>
    <definedName name="Slab_or_Timb">'13.3 External Glazing'!$CP$14</definedName>
    <definedName name="SpacenameS1" localSheetId="28">'13.7.6 Artificial Lighting'!$H$88:$H$132</definedName>
    <definedName name="SpacesActiveTwo">'13.7.6 Artificial Lighting'!$J$93</definedName>
    <definedName name="Storey">'13.3 External Glazing'!$B$8</definedName>
    <definedName name="Storeys">'13.3 External Glazing'!$DJ$109:$DJ$110</definedName>
    <definedName name="SuffixAir">'13.3 External Glazing'!$AI$6</definedName>
    <definedName name="TableEntries">'13.3 External Glazing'!$AH$18</definedName>
    <definedName name="TableInputs">'13.3 External Glazing'!$F$20:$R$99</definedName>
    <definedName name="TopInputsOK">'13.3 External Glazing'!$F$155</definedName>
    <definedName name="TopInputsOKTwo">'13.7.6 Artificial Lighting'!$DJ$13</definedName>
    <definedName name="TotalAllowBalc">'13.7.6 Artificial Lighting'!$I$157</definedName>
    <definedName name="TotalAllowClass1">'13.7.6 Artificial Lighting'!$I$153</definedName>
    <definedName name="TotalAllowClass10">'13.7.6 Artificial Lighting'!$I$161</definedName>
    <definedName name="TypeofSpaceres">'13.7.6 Artificial Lighting'!$E$88:$G$97</definedName>
    <definedName name="Up_Win_Area">'13.3 External Glazing'!$AB$2</definedName>
    <definedName name="Up_Win_Exist">'13.3 External Glazing'!$I$7</definedName>
    <definedName name="UpperInputsAlerts">'13.3 External Glazing'!$R$133</definedName>
    <definedName name="UpperInputsFlagged">'13.3 External Glazing'!$V$133</definedName>
    <definedName name="UpperInputsIssues">'13.3 External Glazing'!$S$133</definedName>
    <definedName name="UserConstantsGround">Tables!$Y$17:$AG$29</definedName>
    <definedName name="UserConstantsSuspended">Tables!$Y$34:$AG$41</definedName>
    <definedName name="V2FixedDim">'Adjustment factors'!$AC$21</definedName>
    <definedName name="V2LumenDepFactor">'Adjustment factors'!$AC$20</definedName>
    <definedName name="V2ManualDim">'Adjustment factors'!$AC$16</definedName>
    <definedName name="V2ProgDim">'Adjustment factors'!$AC$17</definedName>
    <definedName name="ValidControlsAll">'Adjustment factors'!$X$12:$X$23</definedName>
    <definedName name="ValidControlsPart">'Adjustment factors'!$X$12:$X$23</definedName>
    <definedName name="ValidControlsRes">'Adjustment factors'!$V$12:$V$23</definedName>
    <definedName name="ValidControlsResParts">'Adjustment factors'!$V$13:$V$23</definedName>
    <definedName name="ValidExposures">OFFSET('13.3 External Glazing'!$F$165,0,0,1,IF(Zone=1,1,3))</definedName>
    <definedName name="ValidLocationsTwo">OFFSET('13.7.6 Artificial Lighting'!$K$88,0,0,SpacesActiveTwo,1)</definedName>
    <definedName name="VentilationA">'13.3 External Glazing'!$B$13</definedName>
    <definedName name="VentPending">'13.3 External Glazing'!$F$149</definedName>
    <definedName name="VisibleFailures" localSheetId="28">'13.7.6 Artificial Lighting'!$CF$38</definedName>
    <definedName name="VisibleFailures">'13.3 External Glazing'!$BG$18</definedName>
    <definedName name="W_Slab_Fact">Tables!$P$32:$X$40</definedName>
    <definedName name="W_Timb_Fact">Tables!$Z$32:$AH$40</definedName>
    <definedName name="WallConcession">'13.3 External Glazing'!$J$12</definedName>
    <definedName name="WallConcessions">OFFSET('13.3 External Glazing'!$E$176,0,0,1+'13.3 External Glazing'!$D$175,1)</definedName>
    <definedName name="Win_Open_less_1.5">'13.3 External Glazing'!$CX$113:$DB$120</definedName>
    <definedName name="Win_Open_more_1.5">'13.3 External Glazing'!$CX$121:$DB$128</definedName>
    <definedName name="Zone">'13.3 External Glazing'!$T$4</definedName>
    <definedName name="Zone_Col">'13.3 External Glazing'!$CW$13</definedName>
    <definedName name="Zone_Lookup">'13.3 External Glazing'!$CV$13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6" i="50" l="1"/>
  <c r="B38" i="5"/>
  <c r="B35" i="5"/>
  <c r="B34" i="5"/>
  <c r="B33" i="5"/>
  <c r="D58" i="1" s="1"/>
  <c r="F13" i="1"/>
  <c r="B36" i="8"/>
  <c r="U92" i="2" a="1"/>
  <c r="U92" i="2" s="1"/>
  <c r="U91" i="2" a="1"/>
  <c r="U91" i="2" s="1"/>
  <c r="U90" i="2" a="1"/>
  <c r="U90" i="2" s="1"/>
  <c r="U89" i="2" a="1"/>
  <c r="U89" i="2" s="1"/>
  <c r="U88" i="2" a="1"/>
  <c r="U88" i="2" s="1"/>
  <c r="U87" i="2" a="1"/>
  <c r="U87" i="2" s="1"/>
  <c r="U84" i="2" a="1"/>
  <c r="U84" i="2" s="1"/>
  <c r="U83" i="2" a="1"/>
  <c r="U83" i="2" s="1"/>
  <c r="H32" i="7" l="1"/>
  <c r="H33" i="7"/>
  <c r="H34" i="7"/>
  <c r="H35" i="7"/>
  <c r="H36" i="7"/>
  <c r="H37" i="7"/>
  <c r="H38" i="7"/>
  <c r="H39" i="7"/>
  <c r="H40" i="7"/>
  <c r="H31" i="7"/>
  <c r="B94" i="2" l="1"/>
  <c r="T83" i="2"/>
  <c r="T84" i="2"/>
  <c r="T85" i="2"/>
  <c r="T86" i="2"/>
  <c r="T87" i="2"/>
  <c r="T88" i="2"/>
  <c r="T89" i="2"/>
  <c r="T90" i="2"/>
  <c r="T91" i="2"/>
  <c r="T92" i="2"/>
  <c r="C158" i="73"/>
  <c r="C116" i="73"/>
  <c r="C106" i="73"/>
  <c r="C79" i="12"/>
  <c r="C75" i="12"/>
  <c r="F13" i="50" l="1"/>
  <c r="T4" i="50"/>
  <c r="S68" i="2" a="1"/>
  <c r="S68" i="2" s="1"/>
  <c r="S67" i="2" a="1"/>
  <c r="S67" i="2" s="1"/>
  <c r="S66" i="2" a="1"/>
  <c r="S66" i="2" s="1"/>
  <c r="S65" i="2" a="1"/>
  <c r="S65" i="2" s="1"/>
  <c r="U30" i="2"/>
  <c r="U29" i="2"/>
  <c r="B68" i="2"/>
  <c r="E68" i="2" s="1"/>
  <c r="B55" i="2"/>
  <c r="C30" i="2"/>
  <c r="B30" i="2"/>
  <c r="D30" i="2" s="1"/>
  <c r="C29" i="2"/>
  <c r="B29" i="2"/>
  <c r="D120" i="1"/>
  <c r="D84" i="1"/>
  <c r="D70" i="1"/>
  <c r="G66" i="2"/>
  <c r="G67" i="2"/>
  <c r="G68" i="2"/>
  <c r="G65" i="2"/>
  <c r="F30" i="2"/>
  <c r="F29" i="2"/>
  <c r="F66" i="2"/>
  <c r="F67" i="2"/>
  <c r="F68" i="2"/>
  <c r="F65" i="2"/>
  <c r="E30" i="2"/>
  <c r="E29" i="2"/>
  <c r="X291" i="64" a="1"/>
  <c r="X291" i="64" s="1"/>
  <c r="B66" i="2"/>
  <c r="E66" i="2" s="1"/>
  <c r="C66" i="2"/>
  <c r="B67" i="2"/>
  <c r="E67" i="2" s="1"/>
  <c r="C67" i="2"/>
  <c r="C68" i="2"/>
  <c r="C65" i="2"/>
  <c r="Q293" i="64" s="1"/>
  <c r="Q291" i="64" s="1"/>
  <c r="B65" i="2"/>
  <c r="T258" i="64"/>
  <c r="R258" i="64"/>
  <c r="D68" i="2" l="1"/>
  <c r="T293" i="64"/>
  <c r="T291" i="64" s="1"/>
  <c r="D67" i="2"/>
  <c r="S293" i="64"/>
  <c r="S291" i="64" s="1"/>
  <c r="D66" i="2"/>
  <c r="R293" i="64"/>
  <c r="R291" i="64" s="1"/>
  <c r="K34" i="2"/>
  <c r="K72" i="2"/>
  <c r="D29" i="2"/>
  <c r="AQ13" i="5" a="1"/>
  <c r="AQ13" i="5" s="1"/>
  <c r="AA14" i="5"/>
  <c r="C37" i="73"/>
  <c r="B39" i="5" l="1"/>
  <c r="B37" i="5"/>
  <c r="C79" i="1"/>
  <c r="C53" i="1"/>
  <c r="C115" i="1"/>
  <c r="F8" i="21"/>
  <c r="C48" i="73" l="1"/>
  <c r="C40" i="73"/>
  <c r="C33" i="73"/>
  <c r="C26" i="73"/>
  <c r="C18" i="73"/>
  <c r="C13" i="73"/>
  <c r="C10" i="73"/>
  <c r="C117" i="71"/>
  <c r="C66" i="71"/>
  <c r="C62" i="71"/>
  <c r="C61" i="71"/>
  <c r="C58" i="71"/>
  <c r="C15" i="71"/>
  <c r="C14" i="71"/>
  <c r="C11" i="71"/>
  <c r="C10" i="71"/>
  <c r="C7" i="71"/>
  <c r="B89" i="68"/>
  <c r="B88" i="68"/>
  <c r="B58" i="68"/>
  <c r="B27" i="68"/>
  <c r="B18" i="68"/>
  <c r="B13" i="68"/>
  <c r="B9" i="68"/>
  <c r="B8" i="68"/>
  <c r="C8" i="73" l="1"/>
  <c r="C9" i="73" s="1"/>
  <c r="C11" i="73" s="1"/>
  <c r="C8" i="71"/>
  <c r="C9" i="71" s="1"/>
  <c r="B10" i="68"/>
  <c r="C12" i="73" l="1"/>
  <c r="C12" i="71"/>
  <c r="B11" i="68"/>
  <c r="C14" i="73" l="1"/>
  <c r="C13" i="71"/>
  <c r="C16" i="71" s="1"/>
  <c r="B12" i="68"/>
  <c r="B15" i="68" s="1"/>
  <c r="B20" i="68" s="1"/>
  <c r="C15" i="73" l="1"/>
  <c r="C17" i="71"/>
  <c r="B21" i="68"/>
  <c r="B22" i="68" s="1"/>
  <c r="C16" i="73" l="1"/>
  <c r="C18" i="71"/>
  <c r="C59" i="71" s="1"/>
  <c r="B23" i="68"/>
  <c r="C17" i="73" l="1"/>
  <c r="C60" i="71"/>
  <c r="C63" i="71" s="1"/>
  <c r="C64" i="71" s="1"/>
  <c r="B24" i="68"/>
  <c r="C19" i="73" l="1"/>
  <c r="C20" i="73" s="1"/>
  <c r="B25" i="68"/>
  <c r="B29" i="68" s="1"/>
  <c r="B30" i="68" s="1"/>
  <c r="B60" i="68" s="1"/>
  <c r="B91" i="68" s="1"/>
  <c r="B92" i="68" s="1"/>
  <c r="B93" i="68" s="1"/>
  <c r="B94" i="68" s="1"/>
  <c r="B124" i="68" s="1"/>
  <c r="B125" i="68" s="1"/>
  <c r="B126" i="68" s="1"/>
  <c r="B156" i="68" s="1"/>
  <c r="B157" i="68" s="1"/>
  <c r="B158" i="68" s="1"/>
  <c r="C21" i="73" l="1"/>
  <c r="C237" i="65"/>
  <c r="C180" i="65"/>
  <c r="C120" i="65"/>
  <c r="C86" i="65"/>
  <c r="C47" i="65"/>
  <c r="C14" i="65"/>
  <c r="C11" i="65"/>
  <c r="C8" i="65"/>
  <c r="C22" i="73" l="1"/>
  <c r="C23" i="73" s="1"/>
  <c r="C24" i="73" s="1"/>
  <c r="C25" i="73" s="1"/>
  <c r="C27" i="73" s="1"/>
  <c r="C28" i="73" s="1"/>
  <c r="C29" i="73" s="1"/>
  <c r="C30" i="73" s="1"/>
  <c r="C31" i="73" s="1"/>
  <c r="C32" i="73" s="1"/>
  <c r="C34" i="73" s="1"/>
  <c r="C35" i="73" s="1"/>
  <c r="C36" i="73" s="1"/>
  <c r="C38" i="73" s="1"/>
  <c r="C39" i="73" s="1"/>
  <c r="C9" i="65"/>
  <c r="C10" i="65" l="1"/>
  <c r="C12" i="65" l="1"/>
  <c r="C13" i="65" s="1"/>
  <c r="C15" i="65" l="1"/>
  <c r="C16" i="65" l="1"/>
  <c r="C17" i="65" l="1"/>
  <c r="C18" i="65" l="1"/>
  <c r="C48" i="65" s="1"/>
  <c r="C49" i="65" s="1"/>
  <c r="C50" i="65" l="1"/>
  <c r="C51" i="65" s="1"/>
  <c r="C52" i="65" s="1"/>
  <c r="C53" i="65" s="1"/>
  <c r="C54" i="65" s="1"/>
  <c r="C87" i="65" s="1"/>
  <c r="C88" i="65" s="1"/>
  <c r="C89" i="65" s="1"/>
  <c r="C90" i="65" s="1"/>
  <c r="C91" i="65" s="1"/>
  <c r="C92" i="65" s="1"/>
  <c r="C121" i="65" s="1"/>
  <c r="C122" i="65" s="1"/>
  <c r="C123" i="65" s="1"/>
  <c r="C124" i="65" s="1"/>
  <c r="C129" i="65" s="1"/>
  <c r="C130" i="65" s="1"/>
  <c r="C131" i="65" s="1"/>
  <c r="C132" i="65" s="1"/>
  <c r="C133" i="65" s="1"/>
  <c r="C134" i="65" s="1"/>
  <c r="C137" i="65" s="1"/>
  <c r="C139" i="65" s="1"/>
  <c r="C141" i="65" s="1"/>
  <c r="C143" i="65" s="1"/>
  <c r="C145" i="65" s="1"/>
  <c r="C147" i="65" s="1"/>
  <c r="C149" i="65" s="1"/>
  <c r="C152" i="65" s="1"/>
  <c r="C154" i="65" s="1"/>
  <c r="C157" i="65" s="1"/>
  <c r="C177" i="65" s="1"/>
  <c r="J97" i="2" l="1"/>
  <c r="C234" i="12"/>
  <c r="C226" i="12"/>
  <c r="E220" i="12"/>
  <c r="E216" i="12"/>
  <c r="E212" i="12"/>
  <c r="E211" i="12"/>
  <c r="E210" i="12"/>
  <c r="G191" i="12"/>
  <c r="F191" i="12"/>
  <c r="E191" i="12"/>
  <c r="D191" i="12"/>
  <c r="B191" i="12" s="1"/>
  <c r="C191" i="12"/>
  <c r="G190" i="12"/>
  <c r="F190" i="12"/>
  <c r="E190" i="12"/>
  <c r="D190" i="12"/>
  <c r="B190" i="12" s="1"/>
  <c r="C190" i="12"/>
  <c r="G189" i="12"/>
  <c r="F189" i="12"/>
  <c r="E189" i="12"/>
  <c r="D189" i="12"/>
  <c r="B189" i="12" s="1"/>
  <c r="C189" i="12"/>
  <c r="G188" i="12"/>
  <c r="F188" i="12"/>
  <c r="E188" i="12"/>
  <c r="D188" i="12"/>
  <c r="B188" i="12" s="1"/>
  <c r="C188" i="12"/>
  <c r="G187" i="12"/>
  <c r="F187" i="12"/>
  <c r="E187" i="12"/>
  <c r="D187" i="12"/>
  <c r="B187" i="12" s="1"/>
  <c r="C187" i="12"/>
  <c r="G186" i="12"/>
  <c r="F186" i="12"/>
  <c r="E186" i="12"/>
  <c r="D186" i="12"/>
  <c r="B186" i="12" s="1"/>
  <c r="C186" i="12"/>
  <c r="G185" i="12"/>
  <c r="F185" i="12"/>
  <c r="E185" i="12"/>
  <c r="D185" i="12"/>
  <c r="B185" i="12" s="1"/>
  <c r="C185" i="12"/>
  <c r="G184" i="12"/>
  <c r="F184" i="12"/>
  <c r="E184" i="12"/>
  <c r="D184" i="12"/>
  <c r="B184" i="12" s="1"/>
  <c r="C184" i="12"/>
  <c r="G183" i="12"/>
  <c r="F183" i="12"/>
  <c r="E183" i="12"/>
  <c r="D183" i="12"/>
  <c r="B183" i="12" s="1"/>
  <c r="C183" i="12"/>
  <c r="G182" i="12"/>
  <c r="F182" i="12"/>
  <c r="E182" i="12"/>
  <c r="D182" i="12"/>
  <c r="B182" i="12" s="1"/>
  <c r="C182" i="12"/>
  <c r="E173" i="12"/>
  <c r="E172" i="12"/>
  <c r="E165" i="12"/>
  <c r="E164" i="12"/>
  <c r="H74" i="12"/>
  <c r="H75" i="12"/>
  <c r="H76" i="12"/>
  <c r="H77" i="12"/>
  <c r="H78" i="12"/>
  <c r="H79" i="12"/>
  <c r="H80" i="12"/>
  <c r="H81" i="12"/>
  <c r="H82" i="12"/>
  <c r="H83" i="12"/>
  <c r="H84" i="12"/>
  <c r="H85" i="12"/>
  <c r="H86" i="12"/>
  <c r="H87" i="12"/>
  <c r="H88" i="12"/>
  <c r="H89" i="12"/>
  <c r="H90" i="12"/>
  <c r="H91" i="12"/>
  <c r="H92" i="12"/>
  <c r="H93" i="12"/>
  <c r="H94" i="12"/>
  <c r="H95" i="12"/>
  <c r="H96" i="12"/>
  <c r="H97" i="12"/>
  <c r="H98" i="12"/>
  <c r="H99" i="12"/>
  <c r="H100" i="12"/>
  <c r="H101" i="12"/>
  <c r="H102" i="12"/>
  <c r="H103" i="12"/>
  <c r="H104" i="12"/>
  <c r="H105" i="12"/>
  <c r="H106" i="12"/>
  <c r="H107" i="12"/>
  <c r="H108" i="12"/>
  <c r="H109" i="12"/>
  <c r="H110" i="12"/>
  <c r="H111" i="12"/>
  <c r="H112" i="12"/>
  <c r="H113" i="12"/>
  <c r="H114" i="12"/>
  <c r="H115" i="12"/>
  <c r="H116" i="12"/>
  <c r="H117" i="12"/>
  <c r="H118" i="12"/>
  <c r="H119" i="12"/>
  <c r="H120" i="12"/>
  <c r="H121" i="12"/>
  <c r="H122" i="12"/>
  <c r="H123" i="12"/>
  <c r="H124" i="12"/>
  <c r="H125" i="12"/>
  <c r="H126" i="12"/>
  <c r="H127" i="12"/>
  <c r="H128" i="12"/>
  <c r="H129" i="12"/>
  <c r="H130" i="12"/>
  <c r="H131" i="12"/>
  <c r="H132" i="12"/>
  <c r="H133" i="12"/>
  <c r="H134" i="12"/>
  <c r="H135" i="12"/>
  <c r="H136" i="12"/>
  <c r="H137" i="12"/>
  <c r="H138" i="12"/>
  <c r="H139" i="12"/>
  <c r="H140" i="12"/>
  <c r="H141" i="12"/>
  <c r="H142" i="12"/>
  <c r="H143" i="12"/>
  <c r="H144" i="12"/>
  <c r="H145" i="12"/>
  <c r="H146" i="12"/>
  <c r="H147" i="12"/>
  <c r="H148" i="12"/>
  <c r="H149" i="12"/>
  <c r="H150" i="12"/>
  <c r="H151" i="12"/>
  <c r="H152" i="12"/>
  <c r="H153" i="12"/>
  <c r="G74" i="12"/>
  <c r="G75" i="12"/>
  <c r="G76" i="12"/>
  <c r="G77" i="12"/>
  <c r="G78" i="12"/>
  <c r="G79" i="12"/>
  <c r="G80" i="12"/>
  <c r="G81" i="12"/>
  <c r="G82" i="12"/>
  <c r="G83" i="12"/>
  <c r="G84" i="12"/>
  <c r="G85" i="12"/>
  <c r="G86" i="12"/>
  <c r="G87" i="12"/>
  <c r="G88" i="12"/>
  <c r="G89" i="12"/>
  <c r="G90" i="12"/>
  <c r="G91" i="12"/>
  <c r="G92" i="12"/>
  <c r="G93" i="12"/>
  <c r="G94" i="12"/>
  <c r="G95" i="12"/>
  <c r="G96" i="12"/>
  <c r="G97" i="12"/>
  <c r="G98" i="12"/>
  <c r="G99" i="12"/>
  <c r="G100" i="12"/>
  <c r="G101" i="12"/>
  <c r="G102" i="12"/>
  <c r="G103" i="12"/>
  <c r="G104" i="12"/>
  <c r="G105" i="12"/>
  <c r="G106" i="12"/>
  <c r="G107" i="12"/>
  <c r="G108" i="12"/>
  <c r="G109" i="12"/>
  <c r="G110" i="12"/>
  <c r="G111" i="12"/>
  <c r="G112" i="12"/>
  <c r="G113" i="12"/>
  <c r="G114" i="12"/>
  <c r="G115" i="12"/>
  <c r="G116" i="12"/>
  <c r="G117" i="12"/>
  <c r="G118" i="12"/>
  <c r="G119" i="12"/>
  <c r="G120" i="12"/>
  <c r="G121" i="12"/>
  <c r="G122" i="12"/>
  <c r="G123" i="12"/>
  <c r="G124" i="12"/>
  <c r="G125" i="12"/>
  <c r="G126" i="12"/>
  <c r="G127" i="12"/>
  <c r="G128" i="12"/>
  <c r="G129" i="12"/>
  <c r="G130" i="12"/>
  <c r="G131" i="12"/>
  <c r="G132" i="12"/>
  <c r="G133" i="12"/>
  <c r="G134" i="12"/>
  <c r="G135" i="12"/>
  <c r="G136" i="12"/>
  <c r="G137" i="12"/>
  <c r="G138" i="12"/>
  <c r="G139" i="12"/>
  <c r="G140" i="12"/>
  <c r="G141" i="12"/>
  <c r="G142" i="12"/>
  <c r="G143" i="12"/>
  <c r="G144" i="12"/>
  <c r="G145" i="12"/>
  <c r="G146" i="12"/>
  <c r="G147" i="12"/>
  <c r="G148" i="12"/>
  <c r="G149" i="12"/>
  <c r="G150" i="12"/>
  <c r="G151" i="12"/>
  <c r="G152" i="12"/>
  <c r="G153" i="12"/>
  <c r="C74" i="12"/>
  <c r="D74" i="12"/>
  <c r="E74" i="12"/>
  <c r="F74" i="12"/>
  <c r="C112" i="12"/>
  <c r="D112" i="12"/>
  <c r="E112" i="12"/>
  <c r="F112" i="12"/>
  <c r="C113" i="12"/>
  <c r="D113" i="12"/>
  <c r="E113" i="12"/>
  <c r="F113" i="12"/>
  <c r="C114" i="12"/>
  <c r="D114" i="12"/>
  <c r="E114" i="12"/>
  <c r="F114" i="12"/>
  <c r="C115" i="12"/>
  <c r="D115" i="12"/>
  <c r="E115" i="12"/>
  <c r="F115" i="12"/>
  <c r="C116" i="12"/>
  <c r="D116" i="12"/>
  <c r="E116" i="12"/>
  <c r="F116" i="12"/>
  <c r="C117" i="12"/>
  <c r="D117" i="12"/>
  <c r="E117" i="12"/>
  <c r="F117" i="12"/>
  <c r="C118" i="12"/>
  <c r="D118" i="12"/>
  <c r="E118" i="12"/>
  <c r="F118" i="12"/>
  <c r="C119" i="12"/>
  <c r="D119" i="12"/>
  <c r="E119" i="12"/>
  <c r="F119" i="12"/>
  <c r="C120" i="12"/>
  <c r="D120" i="12"/>
  <c r="E120" i="12"/>
  <c r="F120" i="12"/>
  <c r="C121" i="12"/>
  <c r="D121" i="12"/>
  <c r="E121" i="12"/>
  <c r="F121" i="12"/>
  <c r="C122" i="12"/>
  <c r="D122" i="12"/>
  <c r="E122" i="12"/>
  <c r="F122" i="12"/>
  <c r="C123" i="12"/>
  <c r="D123" i="12"/>
  <c r="E123" i="12"/>
  <c r="F123" i="12"/>
  <c r="C124" i="12"/>
  <c r="D124" i="12"/>
  <c r="E124" i="12"/>
  <c r="F124" i="12"/>
  <c r="C125" i="12"/>
  <c r="D125" i="12"/>
  <c r="E125" i="12"/>
  <c r="F125" i="12"/>
  <c r="C126" i="12"/>
  <c r="D126" i="12"/>
  <c r="E126" i="12"/>
  <c r="F126" i="12"/>
  <c r="C127" i="12"/>
  <c r="D127" i="12"/>
  <c r="E127" i="12"/>
  <c r="F127" i="12"/>
  <c r="C128" i="12"/>
  <c r="D128" i="12"/>
  <c r="E128" i="12"/>
  <c r="F128" i="12"/>
  <c r="C129" i="12"/>
  <c r="D129" i="12"/>
  <c r="E129" i="12"/>
  <c r="F129" i="12"/>
  <c r="C130" i="12"/>
  <c r="D130" i="12"/>
  <c r="E130" i="12"/>
  <c r="F130" i="12"/>
  <c r="C131" i="12"/>
  <c r="D131" i="12"/>
  <c r="E131" i="12"/>
  <c r="F131" i="12"/>
  <c r="C132" i="12"/>
  <c r="D132" i="12"/>
  <c r="E132" i="12"/>
  <c r="F132" i="12"/>
  <c r="C133" i="12"/>
  <c r="D133" i="12"/>
  <c r="E133" i="12"/>
  <c r="F133" i="12"/>
  <c r="C134" i="12"/>
  <c r="D134" i="12"/>
  <c r="E134" i="12"/>
  <c r="F134" i="12"/>
  <c r="C135" i="12"/>
  <c r="D135" i="12"/>
  <c r="E135" i="12"/>
  <c r="F135" i="12"/>
  <c r="C136" i="12"/>
  <c r="D136" i="12"/>
  <c r="E136" i="12"/>
  <c r="F136" i="12"/>
  <c r="C137" i="12"/>
  <c r="D137" i="12"/>
  <c r="E137" i="12"/>
  <c r="F137" i="12"/>
  <c r="C138" i="12"/>
  <c r="D138" i="12"/>
  <c r="E138" i="12"/>
  <c r="F138" i="12"/>
  <c r="C139" i="12"/>
  <c r="D139" i="12"/>
  <c r="E139" i="12"/>
  <c r="F139" i="12"/>
  <c r="C140" i="12"/>
  <c r="D140" i="12"/>
  <c r="E140" i="12"/>
  <c r="F140" i="12"/>
  <c r="C141" i="12"/>
  <c r="D141" i="12"/>
  <c r="E141" i="12"/>
  <c r="F141" i="12"/>
  <c r="C142" i="12"/>
  <c r="D142" i="12"/>
  <c r="E142" i="12"/>
  <c r="F142" i="12"/>
  <c r="C143" i="12"/>
  <c r="D143" i="12"/>
  <c r="E143" i="12"/>
  <c r="F143" i="12"/>
  <c r="C144" i="12"/>
  <c r="D144" i="12"/>
  <c r="E144" i="12"/>
  <c r="F144" i="12"/>
  <c r="C145" i="12"/>
  <c r="D145" i="12"/>
  <c r="E145" i="12"/>
  <c r="F145" i="12"/>
  <c r="C146" i="12"/>
  <c r="D146" i="12"/>
  <c r="E146" i="12"/>
  <c r="F146" i="12"/>
  <c r="C147" i="12"/>
  <c r="D147" i="12"/>
  <c r="E147" i="12"/>
  <c r="F147" i="12"/>
  <c r="C148" i="12"/>
  <c r="D148" i="12"/>
  <c r="E148" i="12"/>
  <c r="F148" i="12"/>
  <c r="C149" i="12"/>
  <c r="D149" i="12"/>
  <c r="E149" i="12"/>
  <c r="F149" i="12"/>
  <c r="C150" i="12"/>
  <c r="D150" i="12"/>
  <c r="E150" i="12"/>
  <c r="F150" i="12"/>
  <c r="C151" i="12"/>
  <c r="D151" i="12"/>
  <c r="E151" i="12"/>
  <c r="F151" i="12"/>
  <c r="C152" i="12"/>
  <c r="D152" i="12"/>
  <c r="E152" i="12"/>
  <c r="F152" i="12"/>
  <c r="C153" i="12"/>
  <c r="D153" i="12"/>
  <c r="E153" i="12"/>
  <c r="F153" i="12"/>
  <c r="C101" i="12"/>
  <c r="D101" i="12"/>
  <c r="E101" i="12"/>
  <c r="F101" i="12"/>
  <c r="C102" i="12"/>
  <c r="D102" i="12"/>
  <c r="E102" i="12"/>
  <c r="F102" i="12"/>
  <c r="C103" i="12"/>
  <c r="D103" i="12"/>
  <c r="E103" i="12"/>
  <c r="F103" i="12"/>
  <c r="C104" i="12"/>
  <c r="D104" i="12"/>
  <c r="E104" i="12"/>
  <c r="F104" i="12"/>
  <c r="C105" i="12"/>
  <c r="D105" i="12"/>
  <c r="E105" i="12"/>
  <c r="F105" i="12"/>
  <c r="C106" i="12"/>
  <c r="D106" i="12"/>
  <c r="E106" i="12"/>
  <c r="F106" i="12"/>
  <c r="C107" i="12"/>
  <c r="D107" i="12"/>
  <c r="E107" i="12"/>
  <c r="F107" i="12"/>
  <c r="C108" i="12"/>
  <c r="D108" i="12"/>
  <c r="E108" i="12"/>
  <c r="F108" i="12"/>
  <c r="C109" i="12"/>
  <c r="D109" i="12"/>
  <c r="E109" i="12"/>
  <c r="F109" i="12"/>
  <c r="C110" i="12"/>
  <c r="D110" i="12"/>
  <c r="E110" i="12"/>
  <c r="F110" i="12"/>
  <c r="C111" i="12"/>
  <c r="D111" i="12"/>
  <c r="E111" i="12"/>
  <c r="F111" i="12"/>
  <c r="D75" i="12"/>
  <c r="E75" i="12"/>
  <c r="F75" i="12"/>
  <c r="C76" i="12"/>
  <c r="D76" i="12"/>
  <c r="E76" i="12"/>
  <c r="F76" i="12"/>
  <c r="C77" i="12"/>
  <c r="D77" i="12"/>
  <c r="E77" i="12"/>
  <c r="F77" i="12"/>
  <c r="C78" i="12"/>
  <c r="D78" i="12"/>
  <c r="E78" i="12"/>
  <c r="F78" i="12"/>
  <c r="D79" i="12"/>
  <c r="E79" i="12"/>
  <c r="F79" i="12"/>
  <c r="C80" i="12"/>
  <c r="D80" i="12"/>
  <c r="E80" i="12"/>
  <c r="F80" i="12"/>
  <c r="C81" i="12"/>
  <c r="D81" i="12"/>
  <c r="E81" i="12"/>
  <c r="F81" i="12"/>
  <c r="C82" i="12"/>
  <c r="D82" i="12"/>
  <c r="E82" i="12"/>
  <c r="F82" i="12"/>
  <c r="C83" i="12"/>
  <c r="D83" i="12"/>
  <c r="E83" i="12"/>
  <c r="F83" i="12"/>
  <c r="C84" i="12"/>
  <c r="D84" i="12"/>
  <c r="E84" i="12"/>
  <c r="F84" i="12"/>
  <c r="C85" i="12"/>
  <c r="D85" i="12"/>
  <c r="E85" i="12"/>
  <c r="F85" i="12"/>
  <c r="C86" i="12"/>
  <c r="D86" i="12"/>
  <c r="E86" i="12"/>
  <c r="F86" i="12"/>
  <c r="C87" i="12"/>
  <c r="D87" i="12"/>
  <c r="E87" i="12"/>
  <c r="F87" i="12"/>
  <c r="C88" i="12"/>
  <c r="D88" i="12"/>
  <c r="E88" i="12"/>
  <c r="F88" i="12"/>
  <c r="C89" i="12"/>
  <c r="D89" i="12"/>
  <c r="E89" i="12"/>
  <c r="F89" i="12"/>
  <c r="C90" i="12"/>
  <c r="D90" i="12"/>
  <c r="E90" i="12"/>
  <c r="F90" i="12"/>
  <c r="C91" i="12"/>
  <c r="D91" i="12"/>
  <c r="E91" i="12"/>
  <c r="F91" i="12"/>
  <c r="C92" i="12"/>
  <c r="D92" i="12"/>
  <c r="E92" i="12"/>
  <c r="F92" i="12"/>
  <c r="C93" i="12"/>
  <c r="D93" i="12"/>
  <c r="E93" i="12"/>
  <c r="F93" i="12"/>
  <c r="C94" i="12"/>
  <c r="D94" i="12"/>
  <c r="E94" i="12"/>
  <c r="F94" i="12"/>
  <c r="C95" i="12"/>
  <c r="D95" i="12"/>
  <c r="E95" i="12"/>
  <c r="F95" i="12"/>
  <c r="C96" i="12"/>
  <c r="D96" i="12"/>
  <c r="E96" i="12"/>
  <c r="F96" i="12"/>
  <c r="C97" i="12"/>
  <c r="D97" i="12"/>
  <c r="E97" i="12"/>
  <c r="F97" i="12"/>
  <c r="C98" i="12"/>
  <c r="D98" i="12"/>
  <c r="E98" i="12"/>
  <c r="F98" i="12"/>
  <c r="C99" i="12"/>
  <c r="D99" i="12"/>
  <c r="E99" i="12"/>
  <c r="F99" i="12"/>
  <c r="C100" i="12"/>
  <c r="D100" i="12"/>
  <c r="E100" i="12"/>
  <c r="F100" i="12"/>
  <c r="C57" i="12"/>
  <c r="B57" i="12" s="1"/>
  <c r="C58" i="12"/>
  <c r="B58" i="12" s="1"/>
  <c r="C59" i="12"/>
  <c r="B59" i="12" s="1"/>
  <c r="C60" i="12"/>
  <c r="B60" i="12" s="1"/>
  <c r="C61" i="12"/>
  <c r="B61" i="12" s="1"/>
  <c r="C62" i="12"/>
  <c r="B62" i="12" s="1"/>
  <c r="C63" i="12"/>
  <c r="B63" i="12" s="1"/>
  <c r="C64" i="12"/>
  <c r="B64" i="12" s="1"/>
  <c r="C65" i="12"/>
  <c r="B65" i="12" s="1"/>
  <c r="C66" i="12"/>
  <c r="B66" i="12" s="1"/>
  <c r="AJ84" i="2"/>
  <c r="AJ85" i="2"/>
  <c r="AJ86" i="2"/>
  <c r="AJ87" i="2"/>
  <c r="AJ88" i="2"/>
  <c r="AJ89" i="2"/>
  <c r="AJ90" i="2"/>
  <c r="AJ91" i="2"/>
  <c r="AJ92" i="2"/>
  <c r="C50" i="12"/>
  <c r="B50" i="12" s="1"/>
  <c r="C51" i="12"/>
  <c r="B51" i="12" s="1"/>
  <c r="C52" i="12"/>
  <c r="B52" i="12" s="1"/>
  <c r="C49" i="12"/>
  <c r="B49" i="12" s="1"/>
  <c r="Q45" i="2"/>
  <c r="D35" i="12"/>
  <c r="D36" i="12"/>
  <c r="D37" i="12"/>
  <c r="D38" i="12"/>
  <c r="D39" i="12"/>
  <c r="D40" i="12"/>
  <c r="D41" i="12"/>
  <c r="D42" i="12"/>
  <c r="D43" i="12"/>
  <c r="D44" i="12"/>
  <c r="C36" i="12"/>
  <c r="B36" i="12" s="1"/>
  <c r="C37" i="12"/>
  <c r="B37" i="12" s="1"/>
  <c r="C38" i="12"/>
  <c r="B38" i="12" s="1"/>
  <c r="C39" i="12"/>
  <c r="B39" i="12" s="1"/>
  <c r="C40" i="12"/>
  <c r="B40" i="12" s="1"/>
  <c r="C41" i="12"/>
  <c r="B41" i="12" s="1"/>
  <c r="C42" i="12"/>
  <c r="B42" i="12" s="1"/>
  <c r="C43" i="12"/>
  <c r="B43" i="12" s="1"/>
  <c r="C44" i="12"/>
  <c r="B44" i="12" s="1"/>
  <c r="C35" i="12"/>
  <c r="B35" i="12" s="1"/>
  <c r="C30" i="12"/>
  <c r="B30" i="12" s="1"/>
  <c r="C29" i="12"/>
  <c r="B29" i="12" s="1"/>
  <c r="E12" i="12"/>
  <c r="B104" i="12" l="1"/>
  <c r="B95" i="12"/>
  <c r="B93" i="12"/>
  <c r="B87" i="12"/>
  <c r="B85" i="12"/>
  <c r="B79" i="12"/>
  <c r="B77" i="12"/>
  <c r="B151" i="12"/>
  <c r="B149" i="12"/>
  <c r="B143" i="12"/>
  <c r="B141" i="12"/>
  <c r="B135" i="12"/>
  <c r="B133" i="12"/>
  <c r="B127" i="12"/>
  <c r="B125" i="12"/>
  <c r="B119" i="12"/>
  <c r="B117" i="12"/>
  <c r="B100" i="12"/>
  <c r="B98" i="12"/>
  <c r="B96" i="12"/>
  <c r="B94" i="12"/>
  <c r="B92" i="12"/>
  <c r="B90" i="12"/>
  <c r="B88" i="12"/>
  <c r="B86" i="12"/>
  <c r="B84" i="12"/>
  <c r="B82" i="12"/>
  <c r="B80" i="12"/>
  <c r="B78" i="12"/>
  <c r="B76" i="12"/>
  <c r="B111" i="12"/>
  <c r="B109" i="12"/>
  <c r="B107" i="12"/>
  <c r="B105" i="12"/>
  <c r="B103" i="12"/>
  <c r="B101" i="12"/>
  <c r="B152" i="12"/>
  <c r="B150" i="12"/>
  <c r="B148" i="12"/>
  <c r="B146" i="12"/>
  <c r="B144" i="12"/>
  <c r="B142" i="12"/>
  <c r="B140" i="12"/>
  <c r="B138" i="12"/>
  <c r="B136" i="12"/>
  <c r="B134" i="12"/>
  <c r="B132" i="12"/>
  <c r="B130" i="12"/>
  <c r="B128" i="12"/>
  <c r="B126" i="12"/>
  <c r="B124" i="12"/>
  <c r="B122" i="12"/>
  <c r="B120" i="12"/>
  <c r="B118" i="12"/>
  <c r="B116" i="12"/>
  <c r="B114" i="12"/>
  <c r="B112" i="12"/>
  <c r="B99" i="12"/>
  <c r="B97" i="12"/>
  <c r="B91" i="12"/>
  <c r="B89" i="12"/>
  <c r="B83" i="12"/>
  <c r="B81" i="12"/>
  <c r="B75" i="12"/>
  <c r="B110" i="12"/>
  <c r="B108" i="12"/>
  <c r="B106" i="12"/>
  <c r="B102" i="12"/>
  <c r="B153" i="12"/>
  <c r="B147" i="12"/>
  <c r="B145" i="12"/>
  <c r="B139" i="12"/>
  <c r="B137" i="12"/>
  <c r="B131" i="12"/>
  <c r="B129" i="12"/>
  <c r="B123" i="12"/>
  <c r="B121" i="12"/>
  <c r="B115" i="12"/>
  <c r="B113" i="12"/>
  <c r="B74" i="12"/>
  <c r="D64" i="12"/>
  <c r="D66" i="12"/>
  <c r="D65" i="12"/>
  <c r="D63" i="12"/>
  <c r="D61" i="12"/>
  <c r="D58" i="12"/>
  <c r="E36" i="12"/>
  <c r="Q46" i="2"/>
  <c r="E37" i="12" s="1"/>
  <c r="Q47" i="2"/>
  <c r="E38" i="12" s="1"/>
  <c r="Q48" i="2"/>
  <c r="E39" i="12" s="1"/>
  <c r="Q49" i="2"/>
  <c r="E40" i="12" s="1"/>
  <c r="Q50" i="2"/>
  <c r="E41" i="12" s="1"/>
  <c r="Q51" i="2"/>
  <c r="E42" i="12" s="1"/>
  <c r="Q52" i="2"/>
  <c r="E43" i="12" s="1"/>
  <c r="Q53" i="2"/>
  <c r="E44" i="12" s="1"/>
  <c r="Q44" i="2"/>
  <c r="E35" i="12" s="1"/>
  <c r="M29" i="8" l="1" a="1"/>
  <c r="M29" i="8" s="1"/>
  <c r="M30" i="8" a="1"/>
  <c r="M30" i="8" s="1"/>
  <c r="M31" i="8" a="1"/>
  <c r="M31" i="8" s="1"/>
  <c r="M32" i="8" a="1"/>
  <c r="M32" i="8" s="1"/>
  <c r="M33" i="8" a="1"/>
  <c r="M33" i="8" s="1"/>
  <c r="M34" i="8" a="1"/>
  <c r="M34" i="8" s="1"/>
  <c r="M35" i="8" a="1"/>
  <c r="M35" i="8" s="1"/>
  <c r="D13" i="62" l="1"/>
  <c r="J100" i="62" s="1"/>
  <c r="AA6" i="64"/>
  <c r="AA7" i="64"/>
  <c r="X84" i="2"/>
  <c r="AB84" i="2" s="1"/>
  <c r="Z84" i="2"/>
  <c r="Z85" i="2"/>
  <c r="X86" i="2"/>
  <c r="Z86" i="2"/>
  <c r="X87" i="2"/>
  <c r="AD87" i="2" s="1"/>
  <c r="Z87" i="2"/>
  <c r="X88" i="2"/>
  <c r="AC88" i="2" s="1"/>
  <c r="Z88" i="2"/>
  <c r="X89" i="2"/>
  <c r="AB89" i="2" s="1"/>
  <c r="Z89" i="2"/>
  <c r="X90" i="2"/>
  <c r="AB90" i="2" s="1"/>
  <c r="Z90" i="2"/>
  <c r="X91" i="2"/>
  <c r="AB91" i="2" s="1"/>
  <c r="Z91" i="2"/>
  <c r="X92" i="2"/>
  <c r="AC92" i="2" s="1"/>
  <c r="Z92" i="2"/>
  <c r="AJ83" i="2"/>
  <c r="C912" i="64"/>
  <c r="C913" i="64"/>
  <c r="C914" i="64"/>
  <c r="C915" i="64"/>
  <c r="C916" i="64"/>
  <c r="C917" i="64"/>
  <c r="C918" i="64"/>
  <c r="C919" i="64"/>
  <c r="C920" i="64"/>
  <c r="C921" i="64"/>
  <c r="C922" i="64"/>
  <c r="C923" i="64"/>
  <c r="C924" i="64"/>
  <c r="C925" i="64"/>
  <c r="C926" i="64"/>
  <c r="C927" i="64"/>
  <c r="C928" i="64"/>
  <c r="C911" i="64"/>
  <c r="R314" i="64"/>
  <c r="S314" i="64"/>
  <c r="AB399" i="64" a="1"/>
  <c r="AB399" i="64" s="1"/>
  <c r="AA389" i="64"/>
  <c r="AA363" i="64"/>
  <c r="D65" i="2"/>
  <c r="Q294" i="64" s="1"/>
  <c r="AB292" i="64"/>
  <c r="AC283" i="64" s="1"/>
  <c r="R300" i="64" a="1"/>
  <c r="R300" i="64" s="1"/>
  <c r="S300" i="64" a="1"/>
  <c r="S300" i="64" s="1"/>
  <c r="T300" i="64" a="1"/>
  <c r="T300" i="64" s="1"/>
  <c r="Q300" i="64" a="1"/>
  <c r="Q300" i="64" s="1"/>
  <c r="D716" i="64"/>
  <c r="D717" i="64"/>
  <c r="D718" i="64"/>
  <c r="D719" i="64"/>
  <c r="D720" i="64"/>
  <c r="D721" i="64"/>
  <c r="D722" i="64"/>
  <c r="D723" i="64"/>
  <c r="D724" i="64"/>
  <c r="D725" i="64"/>
  <c r="D726" i="64"/>
  <c r="D727" i="64"/>
  <c r="D728" i="64"/>
  <c r="D729" i="64"/>
  <c r="D730" i="64"/>
  <c r="D731" i="64"/>
  <c r="D732" i="64"/>
  <c r="D733" i="64"/>
  <c r="D734" i="64"/>
  <c r="D735" i="64"/>
  <c r="D736" i="64"/>
  <c r="D737" i="64"/>
  <c r="D738" i="64"/>
  <c r="D715" i="64"/>
  <c r="D705" i="64"/>
  <c r="D706" i="64"/>
  <c r="D707" i="64"/>
  <c r="D708" i="64"/>
  <c r="D709" i="64"/>
  <c r="D704" i="64"/>
  <c r="D676" i="64"/>
  <c r="D677" i="64"/>
  <c r="D678" i="64"/>
  <c r="D679" i="64"/>
  <c r="D680" i="64"/>
  <c r="D681" i="64"/>
  <c r="D682" i="64"/>
  <c r="D683" i="64"/>
  <c r="D684" i="64"/>
  <c r="D685" i="64"/>
  <c r="D686" i="64"/>
  <c r="D687" i="64"/>
  <c r="D688" i="64"/>
  <c r="D689" i="64"/>
  <c r="D690" i="64"/>
  <c r="D691" i="64"/>
  <c r="D692" i="64"/>
  <c r="D693" i="64"/>
  <c r="D694" i="64"/>
  <c r="D695" i="64"/>
  <c r="D696" i="64"/>
  <c r="D697" i="64"/>
  <c r="D698" i="64"/>
  <c r="D675" i="64"/>
  <c r="D647" i="64"/>
  <c r="D648" i="64"/>
  <c r="D649" i="64"/>
  <c r="D650" i="64"/>
  <c r="D651" i="64"/>
  <c r="D652" i="64"/>
  <c r="D653" i="64"/>
  <c r="D654" i="64"/>
  <c r="D655" i="64"/>
  <c r="D656" i="64"/>
  <c r="D657" i="64"/>
  <c r="D658" i="64"/>
  <c r="D659" i="64"/>
  <c r="D660" i="64"/>
  <c r="D661" i="64"/>
  <c r="D662" i="64"/>
  <c r="D663" i="64"/>
  <c r="D664" i="64"/>
  <c r="D665" i="64"/>
  <c r="D666" i="64"/>
  <c r="D667" i="64"/>
  <c r="D668" i="64"/>
  <c r="D669" i="64"/>
  <c r="D646" i="64"/>
  <c r="D622" i="64"/>
  <c r="D623" i="64"/>
  <c r="D624" i="64"/>
  <c r="D625" i="64"/>
  <c r="D626" i="64"/>
  <c r="D627" i="64"/>
  <c r="D628" i="64"/>
  <c r="D629" i="64"/>
  <c r="D630" i="64"/>
  <c r="D631" i="64"/>
  <c r="D632" i="64"/>
  <c r="D633" i="64"/>
  <c r="D634" i="64"/>
  <c r="D635" i="64"/>
  <c r="D636" i="64"/>
  <c r="D637" i="64"/>
  <c r="D638" i="64"/>
  <c r="D639" i="64"/>
  <c r="D640" i="64"/>
  <c r="D621" i="64"/>
  <c r="D596" i="64"/>
  <c r="D597" i="64"/>
  <c r="D598" i="64"/>
  <c r="D599" i="64"/>
  <c r="D600" i="64"/>
  <c r="D601" i="64"/>
  <c r="D602" i="64"/>
  <c r="D603" i="64"/>
  <c r="D604" i="64"/>
  <c r="D605" i="64"/>
  <c r="D606" i="64"/>
  <c r="D607" i="64"/>
  <c r="D608" i="64"/>
  <c r="D609" i="64"/>
  <c r="D610" i="64"/>
  <c r="D611" i="64"/>
  <c r="D612" i="64"/>
  <c r="D613" i="64"/>
  <c r="D614" i="64"/>
  <c r="D615" i="64"/>
  <c r="D595" i="64"/>
  <c r="D570" i="64"/>
  <c r="D571" i="64"/>
  <c r="D572" i="64"/>
  <c r="D573" i="64"/>
  <c r="D574" i="64"/>
  <c r="D575" i="64"/>
  <c r="D576" i="64"/>
  <c r="D577" i="64"/>
  <c r="D578" i="64"/>
  <c r="D579" i="64"/>
  <c r="D580" i="64"/>
  <c r="D581" i="64"/>
  <c r="D582" i="64"/>
  <c r="D583" i="64"/>
  <c r="D584" i="64"/>
  <c r="D585" i="64"/>
  <c r="D586" i="64"/>
  <c r="D587" i="64"/>
  <c r="D588" i="64"/>
  <c r="D589" i="64"/>
  <c r="D569" i="64"/>
  <c r="D541" i="64"/>
  <c r="D542" i="64"/>
  <c r="D543" i="64"/>
  <c r="D544" i="64"/>
  <c r="D545" i="64"/>
  <c r="D546" i="64"/>
  <c r="D547" i="64"/>
  <c r="D548" i="64"/>
  <c r="D549" i="64"/>
  <c r="D550" i="64"/>
  <c r="D551" i="64"/>
  <c r="D552" i="64"/>
  <c r="D553" i="64"/>
  <c r="D554" i="64"/>
  <c r="D555" i="64"/>
  <c r="D556" i="64"/>
  <c r="D557" i="64"/>
  <c r="D558" i="64"/>
  <c r="D559" i="64"/>
  <c r="D560" i="64"/>
  <c r="D561" i="64"/>
  <c r="D562" i="64"/>
  <c r="D563" i="64"/>
  <c r="D540" i="64"/>
  <c r="D515" i="64"/>
  <c r="D516" i="64"/>
  <c r="D517" i="64"/>
  <c r="D518" i="64"/>
  <c r="D519" i="64"/>
  <c r="D520" i="64"/>
  <c r="D521" i="64"/>
  <c r="D522" i="64"/>
  <c r="D523" i="64"/>
  <c r="D524" i="64"/>
  <c r="D525" i="64"/>
  <c r="D526" i="64"/>
  <c r="D527" i="64"/>
  <c r="D528" i="64"/>
  <c r="D529" i="64"/>
  <c r="D530" i="64"/>
  <c r="D531" i="64"/>
  <c r="D532" i="64"/>
  <c r="D533" i="64"/>
  <c r="D534" i="64"/>
  <c r="D514" i="64"/>
  <c r="D465" i="64"/>
  <c r="D466" i="64"/>
  <c r="D467" i="64"/>
  <c r="D468" i="64"/>
  <c r="D469" i="64"/>
  <c r="D470" i="64"/>
  <c r="D471" i="64"/>
  <c r="D472" i="64"/>
  <c r="D473" i="64"/>
  <c r="D474" i="64"/>
  <c r="D475" i="64"/>
  <c r="D476" i="64"/>
  <c r="D477" i="64"/>
  <c r="D478" i="64"/>
  <c r="D479" i="64"/>
  <c r="D480" i="64"/>
  <c r="D481" i="64"/>
  <c r="D482" i="64"/>
  <c r="D483" i="64"/>
  <c r="D484" i="64"/>
  <c r="D485" i="64"/>
  <c r="D486" i="64"/>
  <c r="D487" i="64"/>
  <c r="D488" i="64"/>
  <c r="D489" i="64"/>
  <c r="D490" i="64"/>
  <c r="D491" i="64"/>
  <c r="D492" i="64"/>
  <c r="D493" i="64"/>
  <c r="D494" i="64"/>
  <c r="D495" i="64"/>
  <c r="D496" i="64"/>
  <c r="D497" i="64"/>
  <c r="D498" i="64"/>
  <c r="D499" i="64"/>
  <c r="D500" i="64"/>
  <c r="D501" i="64"/>
  <c r="D502" i="64"/>
  <c r="D503" i="64"/>
  <c r="D504" i="64"/>
  <c r="D505" i="64"/>
  <c r="D506" i="64"/>
  <c r="D507" i="64"/>
  <c r="D508" i="64"/>
  <c r="D464" i="64"/>
  <c r="D431" i="64"/>
  <c r="D432" i="64"/>
  <c r="D433" i="64"/>
  <c r="D434" i="64"/>
  <c r="D435" i="64"/>
  <c r="D436" i="64"/>
  <c r="D437" i="64"/>
  <c r="D438" i="64"/>
  <c r="D439" i="64"/>
  <c r="D440" i="64"/>
  <c r="D441" i="64"/>
  <c r="D442" i="64"/>
  <c r="D443" i="64"/>
  <c r="D444" i="64"/>
  <c r="D445" i="64"/>
  <c r="D446" i="64"/>
  <c r="D447" i="64"/>
  <c r="D448" i="64"/>
  <c r="D449" i="64"/>
  <c r="D450" i="64"/>
  <c r="D451" i="64"/>
  <c r="D452" i="64"/>
  <c r="D453" i="64"/>
  <c r="D430" i="64"/>
  <c r="D402" i="64"/>
  <c r="D403" i="64"/>
  <c r="D404" i="64"/>
  <c r="D405" i="64"/>
  <c r="D406" i="64"/>
  <c r="D407" i="64"/>
  <c r="D408" i="64"/>
  <c r="D409" i="64"/>
  <c r="D410" i="64"/>
  <c r="D411" i="64"/>
  <c r="D412" i="64"/>
  <c r="D413" i="64"/>
  <c r="D414" i="64"/>
  <c r="D415" i="64"/>
  <c r="D416" i="64"/>
  <c r="D417" i="64"/>
  <c r="D418" i="64"/>
  <c r="D419" i="64"/>
  <c r="D420" i="64"/>
  <c r="D421" i="64"/>
  <c r="D422" i="64"/>
  <c r="D423" i="64"/>
  <c r="D424" i="64"/>
  <c r="D401" i="64"/>
  <c r="D352" i="64"/>
  <c r="D353" i="64"/>
  <c r="D354" i="64"/>
  <c r="D355" i="64"/>
  <c r="D356" i="64"/>
  <c r="D357" i="64"/>
  <c r="D358" i="64"/>
  <c r="D359" i="64"/>
  <c r="D360" i="64"/>
  <c r="D361" i="64"/>
  <c r="D362" i="64"/>
  <c r="D363" i="64"/>
  <c r="D364" i="64"/>
  <c r="D365" i="64"/>
  <c r="D366" i="64"/>
  <c r="D367" i="64"/>
  <c r="D368" i="64"/>
  <c r="D369" i="64"/>
  <c r="D370" i="64"/>
  <c r="D371" i="64"/>
  <c r="D372" i="64"/>
  <c r="D373" i="64"/>
  <c r="D374" i="64"/>
  <c r="D375" i="64"/>
  <c r="D376" i="64"/>
  <c r="D377" i="64"/>
  <c r="D378" i="64"/>
  <c r="D379" i="64"/>
  <c r="D380" i="64"/>
  <c r="D381" i="64"/>
  <c r="D382" i="64"/>
  <c r="D383" i="64"/>
  <c r="D384" i="64"/>
  <c r="D385" i="64"/>
  <c r="D386" i="64"/>
  <c r="D387" i="64"/>
  <c r="D388" i="64"/>
  <c r="D389" i="64"/>
  <c r="D390" i="64"/>
  <c r="D391" i="64"/>
  <c r="D392" i="64"/>
  <c r="D393" i="64"/>
  <c r="D394" i="64"/>
  <c r="D395" i="64"/>
  <c r="D351" i="64"/>
  <c r="D302" i="64"/>
  <c r="D303" i="64"/>
  <c r="D304" i="64"/>
  <c r="D305" i="64"/>
  <c r="D306" i="64"/>
  <c r="D307" i="64"/>
  <c r="D308" i="64"/>
  <c r="D309" i="64"/>
  <c r="D310" i="64"/>
  <c r="D311" i="64"/>
  <c r="D312" i="64"/>
  <c r="D313" i="64"/>
  <c r="D314" i="64"/>
  <c r="D315" i="64"/>
  <c r="D316" i="64"/>
  <c r="D317" i="64"/>
  <c r="D318" i="64"/>
  <c r="D319" i="64"/>
  <c r="D320" i="64"/>
  <c r="D321" i="64"/>
  <c r="D322" i="64"/>
  <c r="D323" i="64"/>
  <c r="D324" i="64"/>
  <c r="D325" i="64"/>
  <c r="D326" i="64"/>
  <c r="D327" i="64"/>
  <c r="D328" i="64"/>
  <c r="D329" i="64"/>
  <c r="D330" i="64"/>
  <c r="D331" i="64"/>
  <c r="D332" i="64"/>
  <c r="D333" i="64"/>
  <c r="D334" i="64"/>
  <c r="D335" i="64"/>
  <c r="D336" i="64"/>
  <c r="D337" i="64"/>
  <c r="D338" i="64"/>
  <c r="D339" i="64"/>
  <c r="D340" i="64"/>
  <c r="D341" i="64"/>
  <c r="D342" i="64"/>
  <c r="D343" i="64"/>
  <c r="D344" i="64"/>
  <c r="D345" i="64"/>
  <c r="D301" i="64"/>
  <c r="E302" i="64"/>
  <c r="E303" i="64"/>
  <c r="E304" i="64"/>
  <c r="E305" i="64"/>
  <c r="E306" i="64"/>
  <c r="E307" i="64"/>
  <c r="E308" i="64"/>
  <c r="E309" i="64"/>
  <c r="E310" i="64"/>
  <c r="E311" i="64"/>
  <c r="E312" i="64"/>
  <c r="E313" i="64"/>
  <c r="E314" i="64"/>
  <c r="E315" i="64"/>
  <c r="E316" i="64"/>
  <c r="E317" i="64"/>
  <c r="E318" i="64"/>
  <c r="E319" i="64"/>
  <c r="E320" i="64"/>
  <c r="E321" i="64"/>
  <c r="E322" i="64"/>
  <c r="E323" i="64"/>
  <c r="E324" i="64"/>
  <c r="E325" i="64"/>
  <c r="E326" i="64"/>
  <c r="E327" i="64"/>
  <c r="E328" i="64"/>
  <c r="E329" i="64"/>
  <c r="E330" i="64"/>
  <c r="E331" i="64"/>
  <c r="E332" i="64"/>
  <c r="E333" i="64"/>
  <c r="E334" i="64"/>
  <c r="E335" i="64"/>
  <c r="E336" i="64"/>
  <c r="E337" i="64"/>
  <c r="E338" i="64"/>
  <c r="E339" i="64"/>
  <c r="E340" i="64"/>
  <c r="E341" i="64"/>
  <c r="E342" i="64"/>
  <c r="E343" i="64"/>
  <c r="E344" i="64"/>
  <c r="E345" i="64"/>
  <c r="E351" i="64"/>
  <c r="A350" i="64" s="1"/>
  <c r="E352" i="64"/>
  <c r="E353" i="64"/>
  <c r="E354" i="64"/>
  <c r="E355" i="64"/>
  <c r="E356" i="64"/>
  <c r="E357" i="64"/>
  <c r="E358" i="64"/>
  <c r="E359" i="64"/>
  <c r="E360" i="64"/>
  <c r="E361" i="64"/>
  <c r="E362" i="64"/>
  <c r="E363" i="64"/>
  <c r="E364" i="64"/>
  <c r="E365" i="64"/>
  <c r="E366" i="64"/>
  <c r="E367" i="64"/>
  <c r="E368" i="64"/>
  <c r="E369" i="64"/>
  <c r="E370" i="64"/>
  <c r="E371" i="64"/>
  <c r="E372" i="64"/>
  <c r="E373" i="64"/>
  <c r="E374" i="64"/>
  <c r="E375" i="64"/>
  <c r="E376" i="64"/>
  <c r="E377" i="64"/>
  <c r="E378" i="64"/>
  <c r="E379" i="64"/>
  <c r="E380" i="64"/>
  <c r="E381" i="64"/>
  <c r="E382" i="64"/>
  <c r="E383" i="64"/>
  <c r="E384" i="64"/>
  <c r="E385" i="64"/>
  <c r="E386" i="64"/>
  <c r="E387" i="64"/>
  <c r="E388" i="64"/>
  <c r="E389" i="64"/>
  <c r="E390" i="64"/>
  <c r="E391" i="64"/>
  <c r="E392" i="64"/>
  <c r="E393" i="64"/>
  <c r="E394" i="64"/>
  <c r="E395" i="64"/>
  <c r="E401" i="64"/>
  <c r="A400" i="64" s="1"/>
  <c r="E402" i="64"/>
  <c r="E403" i="64"/>
  <c r="E404" i="64"/>
  <c r="E405" i="64"/>
  <c r="E406" i="64"/>
  <c r="E407" i="64"/>
  <c r="E408" i="64"/>
  <c r="E409" i="64"/>
  <c r="E410" i="64"/>
  <c r="E411" i="64"/>
  <c r="E412" i="64"/>
  <c r="E413" i="64"/>
  <c r="E414" i="64"/>
  <c r="E415" i="64"/>
  <c r="E416" i="64"/>
  <c r="E417" i="64"/>
  <c r="E418" i="64"/>
  <c r="E419" i="64"/>
  <c r="E420" i="64"/>
  <c r="E421" i="64"/>
  <c r="E422" i="64"/>
  <c r="E423" i="64"/>
  <c r="E424" i="64"/>
  <c r="E430" i="64"/>
  <c r="A429" i="64" s="1"/>
  <c r="E431" i="64"/>
  <c r="E432" i="64"/>
  <c r="E433" i="64"/>
  <c r="E434" i="64"/>
  <c r="E435" i="64"/>
  <c r="E436" i="64"/>
  <c r="E437" i="64"/>
  <c r="E438" i="64"/>
  <c r="E439" i="64"/>
  <c r="E440" i="64"/>
  <c r="E441" i="64"/>
  <c r="E442" i="64"/>
  <c r="E443" i="64"/>
  <c r="E444" i="64"/>
  <c r="E445" i="64"/>
  <c r="E446" i="64"/>
  <c r="E447" i="64"/>
  <c r="E448" i="64"/>
  <c r="E449" i="64"/>
  <c r="E450" i="64"/>
  <c r="E451" i="64"/>
  <c r="E452" i="64"/>
  <c r="E453" i="64"/>
  <c r="E458" i="64"/>
  <c r="A457" i="64" s="1"/>
  <c r="E464" i="64"/>
  <c r="A463" i="64" s="1"/>
  <c r="E465" i="64"/>
  <c r="E466" i="64"/>
  <c r="E467" i="64"/>
  <c r="E468" i="64"/>
  <c r="E469" i="64"/>
  <c r="E470" i="64"/>
  <c r="E471" i="64"/>
  <c r="E472" i="64"/>
  <c r="E473" i="64"/>
  <c r="E474" i="64"/>
  <c r="E475" i="64"/>
  <c r="E476" i="64"/>
  <c r="E477" i="64"/>
  <c r="E478" i="64"/>
  <c r="E479" i="64"/>
  <c r="E480" i="64"/>
  <c r="E481" i="64"/>
  <c r="E482" i="64"/>
  <c r="E483" i="64"/>
  <c r="E484" i="64"/>
  <c r="E485" i="64"/>
  <c r="E486" i="64"/>
  <c r="E487" i="64"/>
  <c r="E488" i="64"/>
  <c r="E489" i="64"/>
  <c r="E490" i="64"/>
  <c r="E491" i="64"/>
  <c r="E492" i="64"/>
  <c r="E493" i="64"/>
  <c r="E494" i="64"/>
  <c r="E495" i="64"/>
  <c r="E496" i="64"/>
  <c r="E497" i="64"/>
  <c r="E498" i="64"/>
  <c r="E499" i="64"/>
  <c r="E500" i="64"/>
  <c r="E501" i="64"/>
  <c r="E502" i="64"/>
  <c r="E503" i="64"/>
  <c r="E504" i="64"/>
  <c r="E505" i="64"/>
  <c r="E506" i="64"/>
  <c r="E507" i="64"/>
  <c r="E508" i="64"/>
  <c r="E514" i="64"/>
  <c r="A513" i="64" s="1"/>
  <c r="E515" i="64"/>
  <c r="E516" i="64"/>
  <c r="E517" i="64"/>
  <c r="E518" i="64"/>
  <c r="E519" i="64"/>
  <c r="E520" i="64"/>
  <c r="E521" i="64"/>
  <c r="E522" i="64"/>
  <c r="E523" i="64"/>
  <c r="E524" i="64"/>
  <c r="E525" i="64"/>
  <c r="E526" i="64"/>
  <c r="E527" i="64"/>
  <c r="E528" i="64"/>
  <c r="E529" i="64"/>
  <c r="E530" i="64"/>
  <c r="E531" i="64"/>
  <c r="E532" i="64"/>
  <c r="E533" i="64"/>
  <c r="E534" i="64"/>
  <c r="E540" i="64"/>
  <c r="A539" i="64" s="1"/>
  <c r="E541" i="64"/>
  <c r="E542" i="64"/>
  <c r="E543" i="64"/>
  <c r="E544" i="64"/>
  <c r="E545" i="64"/>
  <c r="E546" i="64"/>
  <c r="E547" i="64"/>
  <c r="E548" i="64"/>
  <c r="E549" i="64"/>
  <c r="E550" i="64"/>
  <c r="E551" i="64"/>
  <c r="E552" i="64"/>
  <c r="E553" i="64"/>
  <c r="E554" i="64"/>
  <c r="E555" i="64"/>
  <c r="E556" i="64"/>
  <c r="E557" i="64"/>
  <c r="E558" i="64"/>
  <c r="E559" i="64"/>
  <c r="E560" i="64"/>
  <c r="E561" i="64"/>
  <c r="E562" i="64"/>
  <c r="E563" i="64"/>
  <c r="E569" i="64"/>
  <c r="A568" i="64" s="1"/>
  <c r="E570" i="64"/>
  <c r="E571" i="64"/>
  <c r="E572" i="64"/>
  <c r="E573" i="64"/>
  <c r="E574" i="64"/>
  <c r="E575" i="64"/>
  <c r="E576" i="64"/>
  <c r="E577" i="64"/>
  <c r="E578" i="64"/>
  <c r="E579" i="64"/>
  <c r="E580" i="64"/>
  <c r="E581" i="64"/>
  <c r="E582" i="64"/>
  <c r="E583" i="64"/>
  <c r="E584" i="64"/>
  <c r="E585" i="64"/>
  <c r="E586" i="64"/>
  <c r="E587" i="64"/>
  <c r="E588" i="64"/>
  <c r="E589" i="64"/>
  <c r="E595" i="64"/>
  <c r="A594" i="64" s="1"/>
  <c r="E596" i="64"/>
  <c r="E597" i="64"/>
  <c r="E598" i="64"/>
  <c r="E599" i="64"/>
  <c r="E600" i="64"/>
  <c r="E601" i="64"/>
  <c r="E602" i="64"/>
  <c r="E603" i="64"/>
  <c r="E604" i="64"/>
  <c r="E605" i="64"/>
  <c r="E606" i="64"/>
  <c r="E607" i="64"/>
  <c r="E608" i="64"/>
  <c r="E609" i="64"/>
  <c r="E610" i="64"/>
  <c r="E611" i="64"/>
  <c r="E612" i="64"/>
  <c r="E613" i="64"/>
  <c r="E614" i="64"/>
  <c r="E615" i="64"/>
  <c r="E621" i="64"/>
  <c r="A620" i="64" s="1"/>
  <c r="E622" i="64"/>
  <c r="E623" i="64"/>
  <c r="E624" i="64"/>
  <c r="E625" i="64"/>
  <c r="E626" i="64"/>
  <c r="E627" i="64"/>
  <c r="E628" i="64"/>
  <c r="E629" i="64"/>
  <c r="E630" i="64"/>
  <c r="E631" i="64"/>
  <c r="E632" i="64"/>
  <c r="E633" i="64"/>
  <c r="E634" i="64"/>
  <c r="E635" i="64"/>
  <c r="E636" i="64"/>
  <c r="E637" i="64"/>
  <c r="E638" i="64"/>
  <c r="E639" i="64"/>
  <c r="E640" i="64"/>
  <c r="E646" i="64"/>
  <c r="A645" i="64" s="1"/>
  <c r="E647" i="64"/>
  <c r="E648" i="64"/>
  <c r="E649" i="64"/>
  <c r="E650" i="64"/>
  <c r="E651" i="64"/>
  <c r="E652" i="64"/>
  <c r="E653" i="64"/>
  <c r="E654" i="64"/>
  <c r="E655" i="64"/>
  <c r="E656" i="64"/>
  <c r="E657" i="64"/>
  <c r="E658" i="64"/>
  <c r="E659" i="64"/>
  <c r="E660" i="64"/>
  <c r="E661" i="64"/>
  <c r="E662" i="64"/>
  <c r="E663" i="64"/>
  <c r="E664" i="64"/>
  <c r="E665" i="64"/>
  <c r="E666" i="64"/>
  <c r="E667" i="64"/>
  <c r="E668" i="64"/>
  <c r="E669" i="64"/>
  <c r="E675" i="64"/>
  <c r="A674" i="64" s="1"/>
  <c r="E676" i="64"/>
  <c r="E677" i="64"/>
  <c r="E678" i="64"/>
  <c r="E679" i="64"/>
  <c r="E680" i="64"/>
  <c r="E681" i="64"/>
  <c r="E682" i="64"/>
  <c r="E683" i="64"/>
  <c r="E684" i="64"/>
  <c r="E685" i="64"/>
  <c r="E686" i="64"/>
  <c r="E687" i="64"/>
  <c r="E688" i="64"/>
  <c r="E689" i="64"/>
  <c r="E690" i="64"/>
  <c r="E691" i="64"/>
  <c r="E692" i="64"/>
  <c r="E693" i="64"/>
  <c r="E694" i="64"/>
  <c r="E695" i="64"/>
  <c r="E696" i="64"/>
  <c r="E697" i="64"/>
  <c r="E698" i="64"/>
  <c r="E704" i="64"/>
  <c r="A703" i="64" s="1"/>
  <c r="E705" i="64"/>
  <c r="E706" i="64"/>
  <c r="E707" i="64"/>
  <c r="E708" i="64"/>
  <c r="E709" i="64"/>
  <c r="E715" i="64"/>
  <c r="A714" i="64" s="1"/>
  <c r="E716" i="64"/>
  <c r="E717" i="64"/>
  <c r="E718" i="64"/>
  <c r="E719" i="64"/>
  <c r="E720" i="64"/>
  <c r="E721" i="64"/>
  <c r="E722" i="64"/>
  <c r="E723" i="64"/>
  <c r="E724" i="64"/>
  <c r="E725" i="64"/>
  <c r="E726" i="64"/>
  <c r="E727" i="64"/>
  <c r="E728" i="64"/>
  <c r="E729" i="64"/>
  <c r="E730" i="64"/>
  <c r="E731" i="64"/>
  <c r="E732" i="64"/>
  <c r="E733" i="64"/>
  <c r="E734" i="64"/>
  <c r="E735" i="64"/>
  <c r="E736" i="64"/>
  <c r="E737" i="64"/>
  <c r="E738" i="64"/>
  <c r="E301" i="64"/>
  <c r="A300" i="64" s="1"/>
  <c r="A716" i="64"/>
  <c r="A717" i="64"/>
  <c r="A718" i="64"/>
  <c r="A719" i="64"/>
  <c r="A720" i="64"/>
  <c r="A721" i="64"/>
  <c r="A722" i="64"/>
  <c r="A723" i="64"/>
  <c r="A724" i="64"/>
  <c r="A725" i="64"/>
  <c r="A726" i="64"/>
  <c r="A727" i="64"/>
  <c r="A728" i="64"/>
  <c r="A729" i="64"/>
  <c r="A730" i="64"/>
  <c r="A731" i="64"/>
  <c r="A732" i="64"/>
  <c r="A733" i="64"/>
  <c r="A734" i="64"/>
  <c r="A735" i="64"/>
  <c r="A736" i="64"/>
  <c r="A737" i="64"/>
  <c r="A738" i="64"/>
  <c r="A715" i="64"/>
  <c r="A705" i="64"/>
  <c r="A706" i="64"/>
  <c r="A707" i="64"/>
  <c r="A708" i="64"/>
  <c r="A709" i="64"/>
  <c r="A704" i="64"/>
  <c r="A676" i="64"/>
  <c r="A677" i="64"/>
  <c r="A678" i="64"/>
  <c r="A679" i="64"/>
  <c r="A680" i="64"/>
  <c r="A681" i="64"/>
  <c r="A682" i="64"/>
  <c r="A683" i="64"/>
  <c r="A684" i="64"/>
  <c r="A685" i="64"/>
  <c r="A686" i="64"/>
  <c r="A687" i="64"/>
  <c r="A688" i="64"/>
  <c r="A689" i="64"/>
  <c r="A690" i="64"/>
  <c r="A691" i="64"/>
  <c r="A692" i="64"/>
  <c r="A693" i="64"/>
  <c r="A694" i="64"/>
  <c r="A695" i="64"/>
  <c r="A696" i="64"/>
  <c r="A697" i="64"/>
  <c r="A698" i="64"/>
  <c r="A675" i="64"/>
  <c r="A647" i="64"/>
  <c r="A648" i="64"/>
  <c r="A649" i="64"/>
  <c r="A650" i="64"/>
  <c r="A651" i="64"/>
  <c r="A652" i="64"/>
  <c r="A653" i="64"/>
  <c r="A654" i="64"/>
  <c r="A655" i="64"/>
  <c r="A656" i="64"/>
  <c r="A657" i="64"/>
  <c r="A658" i="64"/>
  <c r="A659" i="64"/>
  <c r="A660" i="64"/>
  <c r="A661" i="64"/>
  <c r="A662" i="64"/>
  <c r="A663" i="64"/>
  <c r="A664" i="64"/>
  <c r="A665" i="64"/>
  <c r="A666" i="64"/>
  <c r="A667" i="64"/>
  <c r="A668" i="64"/>
  <c r="A669" i="64"/>
  <c r="A646" i="64"/>
  <c r="A622" i="64"/>
  <c r="A623" i="64"/>
  <c r="A624" i="64"/>
  <c r="A625" i="64"/>
  <c r="A626" i="64"/>
  <c r="A627" i="64"/>
  <c r="A628" i="64"/>
  <c r="A629" i="64"/>
  <c r="A630" i="64"/>
  <c r="A631" i="64"/>
  <c r="A632" i="64"/>
  <c r="A633" i="64"/>
  <c r="A634" i="64"/>
  <c r="A635" i="64"/>
  <c r="A636" i="64"/>
  <c r="A637" i="64"/>
  <c r="A638" i="64"/>
  <c r="A639" i="64"/>
  <c r="A640" i="64"/>
  <c r="A621" i="64"/>
  <c r="A596" i="64"/>
  <c r="A597" i="64"/>
  <c r="A598" i="64"/>
  <c r="A599" i="64"/>
  <c r="A600" i="64"/>
  <c r="A601" i="64"/>
  <c r="A602" i="64"/>
  <c r="A603" i="64"/>
  <c r="A604" i="64"/>
  <c r="A605" i="64"/>
  <c r="A606" i="64"/>
  <c r="A607" i="64"/>
  <c r="A608" i="64"/>
  <c r="A609" i="64"/>
  <c r="A610" i="64"/>
  <c r="A611" i="64"/>
  <c r="A612" i="64"/>
  <c r="A613" i="64"/>
  <c r="A614" i="64"/>
  <c r="A615" i="64"/>
  <c r="A595" i="64"/>
  <c r="A570" i="64"/>
  <c r="A571" i="64"/>
  <c r="A572" i="64"/>
  <c r="A573" i="64"/>
  <c r="A574" i="64"/>
  <c r="A575" i="64"/>
  <c r="A576" i="64"/>
  <c r="A577" i="64"/>
  <c r="A578" i="64"/>
  <c r="A579" i="64"/>
  <c r="A580" i="64"/>
  <c r="A581" i="64"/>
  <c r="A582" i="64"/>
  <c r="A583" i="64"/>
  <c r="A584" i="64"/>
  <c r="A585" i="64"/>
  <c r="A586" i="64"/>
  <c r="A587" i="64"/>
  <c r="A588" i="64"/>
  <c r="A589" i="64"/>
  <c r="A569" i="64"/>
  <c r="A541" i="64"/>
  <c r="A542" i="64"/>
  <c r="A543" i="64"/>
  <c r="A544" i="64"/>
  <c r="A545" i="64"/>
  <c r="A546" i="64"/>
  <c r="A547" i="64"/>
  <c r="A548" i="64"/>
  <c r="A549" i="64"/>
  <c r="A550" i="64"/>
  <c r="A551" i="64"/>
  <c r="A552" i="64"/>
  <c r="A553" i="64"/>
  <c r="A554" i="64"/>
  <c r="A555" i="64"/>
  <c r="A556" i="64"/>
  <c r="A557" i="64"/>
  <c r="A558" i="64"/>
  <c r="A559" i="64"/>
  <c r="A560" i="64"/>
  <c r="A561" i="64"/>
  <c r="A562" i="64"/>
  <c r="A563" i="64"/>
  <c r="A540" i="64"/>
  <c r="A515" i="64"/>
  <c r="A516" i="64"/>
  <c r="A517" i="64"/>
  <c r="A518" i="64"/>
  <c r="A519" i="64"/>
  <c r="A520" i="64"/>
  <c r="A521" i="64"/>
  <c r="A522" i="64"/>
  <c r="A523" i="64"/>
  <c r="A524" i="64"/>
  <c r="A525" i="64"/>
  <c r="A526" i="64"/>
  <c r="A527" i="64"/>
  <c r="A528" i="64"/>
  <c r="A529" i="64"/>
  <c r="A530" i="64"/>
  <c r="A531" i="64"/>
  <c r="A532" i="64"/>
  <c r="A533" i="64"/>
  <c r="A534" i="64"/>
  <c r="A514" i="64"/>
  <c r="A465" i="64"/>
  <c r="A466" i="64"/>
  <c r="A467" i="64"/>
  <c r="A468" i="64"/>
  <c r="A469" i="64"/>
  <c r="A470" i="64"/>
  <c r="A471" i="64"/>
  <c r="A472" i="64"/>
  <c r="A473" i="64"/>
  <c r="A474" i="64"/>
  <c r="A475" i="64"/>
  <c r="A476" i="64"/>
  <c r="A477" i="64"/>
  <c r="A478" i="64"/>
  <c r="A479" i="64"/>
  <c r="A480" i="64"/>
  <c r="A481" i="64"/>
  <c r="A482" i="64"/>
  <c r="A483" i="64"/>
  <c r="A484" i="64"/>
  <c r="A485" i="64"/>
  <c r="A486" i="64"/>
  <c r="A487" i="64"/>
  <c r="A488" i="64"/>
  <c r="A489" i="64"/>
  <c r="A490" i="64"/>
  <c r="A491" i="64"/>
  <c r="A492" i="64"/>
  <c r="A493" i="64"/>
  <c r="A494" i="64"/>
  <c r="A495" i="64"/>
  <c r="A496" i="64"/>
  <c r="A497" i="64"/>
  <c r="A498" i="64"/>
  <c r="A499" i="64"/>
  <c r="A500" i="64"/>
  <c r="A501" i="64"/>
  <c r="A502" i="64"/>
  <c r="A503" i="64"/>
  <c r="A504" i="64"/>
  <c r="A505" i="64"/>
  <c r="A506" i="64"/>
  <c r="A507" i="64"/>
  <c r="A508" i="64"/>
  <c r="A464" i="64"/>
  <c r="A431" i="64"/>
  <c r="A432" i="64"/>
  <c r="A433" i="64"/>
  <c r="A434" i="64"/>
  <c r="A435" i="64"/>
  <c r="A436" i="64"/>
  <c r="A437" i="64"/>
  <c r="A438" i="64"/>
  <c r="A439" i="64"/>
  <c r="A440" i="64"/>
  <c r="A441" i="64"/>
  <c r="A442" i="64"/>
  <c r="A443" i="64"/>
  <c r="A444" i="64"/>
  <c r="A445" i="64"/>
  <c r="A446" i="64"/>
  <c r="A447" i="64"/>
  <c r="A448" i="64"/>
  <c r="A449" i="64"/>
  <c r="A450" i="64"/>
  <c r="A451" i="64"/>
  <c r="A452" i="64"/>
  <c r="A453" i="64"/>
  <c r="A430" i="64"/>
  <c r="A402" i="64"/>
  <c r="A403" i="64"/>
  <c r="A404" i="64"/>
  <c r="A405" i="64"/>
  <c r="A406" i="64"/>
  <c r="A407" i="64"/>
  <c r="A408" i="64"/>
  <c r="A409" i="64"/>
  <c r="A410" i="64"/>
  <c r="A411" i="64"/>
  <c r="A412" i="64"/>
  <c r="A413" i="64"/>
  <c r="A414" i="64"/>
  <c r="A415" i="64"/>
  <c r="A416" i="64"/>
  <c r="A417" i="64"/>
  <c r="A418" i="64"/>
  <c r="A419" i="64"/>
  <c r="A420" i="64"/>
  <c r="A421" i="64"/>
  <c r="A422" i="64"/>
  <c r="A423" i="64"/>
  <c r="A424" i="64"/>
  <c r="A401" i="64"/>
  <c r="A352" i="64"/>
  <c r="A353" i="64"/>
  <c r="A354" i="64"/>
  <c r="A355" i="64"/>
  <c r="A356" i="64"/>
  <c r="A357" i="64"/>
  <c r="A358" i="64"/>
  <c r="A359" i="64"/>
  <c r="A360" i="64"/>
  <c r="A361" i="64"/>
  <c r="A362" i="64"/>
  <c r="A363" i="64"/>
  <c r="A364" i="64"/>
  <c r="A365" i="64"/>
  <c r="A366" i="64"/>
  <c r="A367" i="64"/>
  <c r="A368" i="64"/>
  <c r="A369" i="64"/>
  <c r="A370" i="64"/>
  <c r="A371" i="64"/>
  <c r="A372" i="64"/>
  <c r="A373" i="64"/>
  <c r="A374" i="64"/>
  <c r="A375" i="64"/>
  <c r="A376" i="64"/>
  <c r="A377" i="64"/>
  <c r="A378" i="64"/>
  <c r="A379" i="64"/>
  <c r="A380" i="64"/>
  <c r="A381" i="64"/>
  <c r="A382" i="64"/>
  <c r="A383" i="64"/>
  <c r="A384" i="64"/>
  <c r="A385" i="64"/>
  <c r="A386" i="64"/>
  <c r="A387" i="64"/>
  <c r="A388" i="64"/>
  <c r="A389" i="64"/>
  <c r="A390" i="64"/>
  <c r="A391" i="64"/>
  <c r="A392" i="64"/>
  <c r="A393" i="64"/>
  <c r="A394" i="64"/>
  <c r="A395" i="64"/>
  <c r="A351" i="64"/>
  <c r="Z83" i="2"/>
  <c r="C906" i="64"/>
  <c r="C905" i="64"/>
  <c r="C904" i="64"/>
  <c r="C903" i="64"/>
  <c r="C902" i="64"/>
  <c r="C901" i="64"/>
  <c r="C900" i="64"/>
  <c r="C899" i="64"/>
  <c r="C898" i="64"/>
  <c r="C897" i="64"/>
  <c r="C896" i="64"/>
  <c r="C891" i="64"/>
  <c r="C890" i="64"/>
  <c r="C889" i="64"/>
  <c r="C888" i="64"/>
  <c r="C887" i="64"/>
  <c r="C886" i="64"/>
  <c r="C885" i="64"/>
  <c r="C884" i="64"/>
  <c r="C883" i="64"/>
  <c r="C882" i="64"/>
  <c r="C881" i="64"/>
  <c r="C876" i="64"/>
  <c r="C875" i="64"/>
  <c r="C874" i="64"/>
  <c r="C873" i="64"/>
  <c r="C872" i="64"/>
  <c r="C871" i="64"/>
  <c r="C870" i="64"/>
  <c r="C869" i="64"/>
  <c r="C868" i="64"/>
  <c r="C867" i="64"/>
  <c r="C866" i="64"/>
  <c r="C865" i="64"/>
  <c r="C860" i="64"/>
  <c r="C859" i="64"/>
  <c r="C858" i="64"/>
  <c r="C857" i="64"/>
  <c r="C856" i="64"/>
  <c r="C855" i="64"/>
  <c r="C854" i="64"/>
  <c r="C853" i="64"/>
  <c r="C852" i="64"/>
  <c r="C851" i="64"/>
  <c r="C850" i="64"/>
  <c r="C849" i="64"/>
  <c r="C827" i="64"/>
  <c r="C828" i="64"/>
  <c r="C829" i="64"/>
  <c r="C830" i="64"/>
  <c r="C831" i="64"/>
  <c r="C832" i="64"/>
  <c r="C833" i="64"/>
  <c r="C834" i="64"/>
  <c r="C835" i="64"/>
  <c r="C836" i="64"/>
  <c r="C837" i="64"/>
  <c r="C838" i="64"/>
  <c r="C839" i="64"/>
  <c r="C840" i="64"/>
  <c r="C841" i="64"/>
  <c r="C842" i="64"/>
  <c r="C843" i="64"/>
  <c r="C844" i="64"/>
  <c r="C826" i="64"/>
  <c r="C809" i="64"/>
  <c r="C810" i="64"/>
  <c r="C811" i="64"/>
  <c r="C812" i="64"/>
  <c r="C808" i="64"/>
  <c r="C818" i="64"/>
  <c r="C819" i="64"/>
  <c r="C820" i="64"/>
  <c r="C821" i="64"/>
  <c r="C817" i="64"/>
  <c r="A152" i="64"/>
  <c r="AC292" i="64" l="1" a="1"/>
  <c r="AC292" i="64" s="1"/>
  <c r="AA52" i="64"/>
  <c r="AB86" i="2"/>
  <c r="Y90" i="2"/>
  <c r="AF90" i="2" s="1"/>
  <c r="Y83" i="2"/>
  <c r="Y84" i="2"/>
  <c r="AH84" i="2" s="1"/>
  <c r="Y88" i="2"/>
  <c r="AF88" i="2" s="1"/>
  <c r="AD86" i="2"/>
  <c r="Y89" i="2"/>
  <c r="AH89" i="2" s="1"/>
  <c r="Y86" i="2"/>
  <c r="AF86" i="2" s="1"/>
  <c r="U86" i="2" s="1" a="1"/>
  <c r="U86" i="2" s="1"/>
  <c r="Y91" i="2"/>
  <c r="AF91" i="2" s="1"/>
  <c r="Y92" i="2"/>
  <c r="AH92" i="2" s="1"/>
  <c r="Y85" i="2"/>
  <c r="AH85" i="2" s="1"/>
  <c r="AD90" i="2"/>
  <c r="Y87" i="2"/>
  <c r="AG87" i="2" s="1"/>
  <c r="AC89" i="2"/>
  <c r="AD92" i="2"/>
  <c r="AC90" i="2"/>
  <c r="AD88" i="2"/>
  <c r="AB92" i="2"/>
  <c r="AB88" i="2"/>
  <c r="AC87" i="2"/>
  <c r="AB87" i="2"/>
  <c r="AC86" i="2"/>
  <c r="AD84" i="2"/>
  <c r="AD91" i="2"/>
  <c r="AC84" i="2"/>
  <c r="AC91" i="2"/>
  <c r="AD89" i="2"/>
  <c r="AA361" i="64"/>
  <c r="AA388" i="64"/>
  <c r="AA387" i="64"/>
  <c r="AB294" i="64"/>
  <c r="AB293" i="64"/>
  <c r="AC284" i="64" s="1"/>
  <c r="AA390" i="64"/>
  <c r="AA362" i="64"/>
  <c r="AB291" i="64"/>
  <c r="AC282" i="64" s="1"/>
  <c r="AC291" i="64" s="1" a="1"/>
  <c r="AC291" i="64" s="1"/>
  <c r="T298" i="64"/>
  <c r="S303" i="64"/>
  <c r="R296" i="64"/>
  <c r="E65" i="2"/>
  <c r="AA360" i="64"/>
  <c r="AB378" i="64" a="1"/>
  <c r="AH369" i="64" a="1"/>
  <c r="AE380" i="64" a="1"/>
  <c r="AF369" i="64" a="1"/>
  <c r="AK373" i="64" a="1"/>
  <c r="AI367" i="64" a="1"/>
  <c r="AF368" i="64" a="1"/>
  <c r="AI374" i="64" a="1"/>
  <c r="AF367" i="64" a="1"/>
  <c r="AJ374" i="64" a="1"/>
  <c r="AK371" i="64" a="1"/>
  <c r="AB380" i="64" a="1"/>
  <c r="AB367" i="64" a="1"/>
  <c r="AF370" i="64" a="1"/>
  <c r="AI373" i="64" a="1"/>
  <c r="AD375" i="64" a="1"/>
  <c r="AE379" i="64" a="1"/>
  <c r="AC372" i="64" a="1"/>
  <c r="AI371" i="64" a="1"/>
  <c r="AK374" i="64" a="1"/>
  <c r="AC378" i="64" a="1"/>
  <c r="AD379" i="64" a="1"/>
  <c r="AD371" i="64" a="1"/>
  <c r="AI376" i="64" a="1"/>
  <c r="AB375" i="64" a="1"/>
  <c r="AH370" i="64" a="1"/>
  <c r="AK372" i="64" a="1"/>
  <c r="AG375" i="64" a="1"/>
  <c r="AJ373" i="64" a="1"/>
  <c r="AE371" i="64" a="1"/>
  <c r="AG372" i="64" a="1"/>
  <c r="AD378" i="64" a="1"/>
  <c r="AE377" i="64" a="1"/>
  <c r="AJ377" i="64" a="1"/>
  <c r="AC371" i="64" a="1"/>
  <c r="AK369" i="64" a="1"/>
  <c r="AL380" i="64" a="1"/>
  <c r="AB369" i="64" a="1"/>
  <c r="AH366" i="64" a="1"/>
  <c r="AC368" i="64" a="1"/>
  <c r="AL369" i="64" a="1"/>
  <c r="AK378" i="64" a="1"/>
  <c r="AJ375" i="64" a="1"/>
  <c r="AD372" i="64" a="1"/>
  <c r="AL370" i="64" a="1"/>
  <c r="AH371" i="64" a="1"/>
  <c r="AF375" i="64" a="1"/>
  <c r="AE378" i="64" a="1"/>
  <c r="AE367" i="64" a="1"/>
  <c r="AB376" i="64" a="1"/>
  <c r="AH367" i="64" a="1"/>
  <c r="AE372" i="64" a="1"/>
  <c r="AC366" i="64" a="1"/>
  <c r="AL377" i="64" a="1"/>
  <c r="AG366" i="64" a="1"/>
  <c r="AG376" i="64" a="1"/>
  <c r="AF371" i="64" a="1"/>
  <c r="AG368" i="64" a="1"/>
  <c r="AK368" i="64" a="1"/>
  <c r="AE374" i="64" a="1"/>
  <c r="AC374" i="64" a="1"/>
  <c r="AL371" i="64" a="1"/>
  <c r="AJ372" i="64" a="1"/>
  <c r="AC373" i="64" a="1"/>
  <c r="AF379" i="64" a="1"/>
  <c r="AC375" i="64" a="1"/>
  <c r="AD366" i="64" a="1"/>
  <c r="AI368" i="64" a="1"/>
  <c r="AE376" i="64" a="1"/>
  <c r="AC376" i="64" a="1"/>
  <c r="AD370" i="64" a="1"/>
  <c r="AB377" i="64" a="1"/>
  <c r="AL376" i="64" a="1"/>
  <c r="AH368" i="64" a="1"/>
  <c r="AB373" i="64" a="1"/>
  <c r="AI377" i="64" a="1"/>
  <c r="AE370" i="64" a="1"/>
  <c r="AG373" i="64" a="1"/>
  <c r="AJ380" i="64" a="1"/>
  <c r="AI378" i="64" a="1"/>
  <c r="AL379" i="64" a="1"/>
  <c r="AK376" i="64" a="1"/>
  <c r="AJ376" i="64" a="1"/>
  <c r="AF378" i="64" a="1"/>
  <c r="AG371" i="64" a="1"/>
  <c r="AK375" i="64" a="1"/>
  <c r="AH375" i="64" a="1"/>
  <c r="AE373" i="64" a="1"/>
  <c r="AB374" i="64" a="1"/>
  <c r="AL373" i="64" a="1"/>
  <c r="AE368" i="64" a="1"/>
  <c r="AC367" i="64" a="1"/>
  <c r="AF366" i="64" a="1"/>
  <c r="AF373" i="64" a="1"/>
  <c r="AD368" i="64" a="1"/>
  <c r="AJ379" i="64" a="1"/>
  <c r="AL378" i="64" a="1"/>
  <c r="AJ370" i="64" a="1"/>
  <c r="AD369" i="64" a="1"/>
  <c r="AE369" i="64" a="1"/>
  <c r="AL368" i="64" a="1"/>
  <c r="AK370" i="64" a="1"/>
  <c r="AD374" i="64" a="1"/>
  <c r="AG379" i="64" a="1"/>
  <c r="AG367" i="64" a="1"/>
  <c r="AJ371" i="64" a="1"/>
  <c r="AL374" i="64" a="1"/>
  <c r="AD376" i="64" a="1"/>
  <c r="AG380" i="64" a="1"/>
  <c r="AE366" i="64" a="1"/>
  <c r="AH374" i="64" a="1"/>
  <c r="AE375" i="64" a="1"/>
  <c r="AJ369" i="64" a="1"/>
  <c r="AB379" i="64" a="1"/>
  <c r="AG370" i="64" a="1"/>
  <c r="AH372" i="64" a="1"/>
  <c r="AF372" i="64" a="1"/>
  <c r="AG378" i="64" a="1"/>
  <c r="AI379" i="64" a="1"/>
  <c r="AG374" i="64" a="1"/>
  <c r="AI380" i="64" a="1"/>
  <c r="AH376" i="64" a="1"/>
  <c r="AL372" i="64" a="1"/>
  <c r="AC377" i="64" a="1"/>
  <c r="AF376" i="64" a="1"/>
  <c r="AD377" i="64" a="1"/>
  <c r="AD380" i="64" a="1"/>
  <c r="AH373" i="64" a="1"/>
  <c r="AI366" i="64" a="1"/>
  <c r="AJ368" i="64" a="1"/>
  <c r="AB366" i="64" a="1"/>
  <c r="AC369" i="64" a="1"/>
  <c r="AK379" i="64" a="1"/>
  <c r="AG377" i="64" a="1"/>
  <c r="AI369" i="64" a="1"/>
  <c r="AB370" i="64" a="1"/>
  <c r="AK377" i="64" a="1"/>
  <c r="AB368" i="64" a="1"/>
  <c r="AD373" i="64" a="1"/>
  <c r="AK380" i="64" a="1"/>
  <c r="AI375" i="64" a="1"/>
  <c r="AH380" i="64" a="1"/>
  <c r="AJ378" i="64" a="1"/>
  <c r="AD367" i="64" a="1"/>
  <c r="AC379" i="64" a="1"/>
  <c r="AI372" i="64" a="1"/>
  <c r="AF380" i="64" a="1"/>
  <c r="AB372" i="64" a="1"/>
  <c r="AC380" i="64" a="1"/>
  <c r="AC370" i="64" a="1"/>
  <c r="AH379" i="64" a="1"/>
  <c r="AF377" i="64" a="1"/>
  <c r="AH378" i="64" a="1"/>
  <c r="AF374" i="64" a="1"/>
  <c r="AL375" i="64" a="1"/>
  <c r="AH377" i="64" a="1"/>
  <c r="AB371" i="64" a="1"/>
  <c r="AI370" i="64" a="1"/>
  <c r="AG369" i="64" a="1"/>
  <c r="D62" i="12" l="1"/>
  <c r="AC285" i="64"/>
  <c r="AC294" i="64" s="1" a="1"/>
  <c r="AC294" i="64" s="1"/>
  <c r="AC293" i="64" a="1"/>
  <c r="AC293" i="64" s="1"/>
  <c r="D60" i="12"/>
  <c r="Q309" i="64"/>
  <c r="AH83" i="2"/>
  <c r="AD378" i="64"/>
  <c r="AF370" i="64"/>
  <c r="AF380" i="64"/>
  <c r="AG370" i="64"/>
  <c r="AB379" i="64"/>
  <c r="AB362" i="64" s="1" a="1"/>
  <c r="AB362" i="64" s="1"/>
  <c r="AJ369" i="64"/>
  <c r="AJ379" i="64"/>
  <c r="AC367" i="64"/>
  <c r="AG377" i="64"/>
  <c r="AE379" i="64"/>
  <c r="AC373" i="64"/>
  <c r="AB376" i="64"/>
  <c r="AG372" i="64"/>
  <c r="AB367" i="64"/>
  <c r="AH372" i="64"/>
  <c r="AB366" i="64"/>
  <c r="AJ368" i="64"/>
  <c r="AE375" i="64"/>
  <c r="AL380" i="64"/>
  <c r="AE368" i="64"/>
  <c r="AH367" i="64"/>
  <c r="AB372" i="64"/>
  <c r="AJ372" i="64"/>
  <c r="AE367" i="64"/>
  <c r="AE371" i="64"/>
  <c r="AB380" i="64"/>
  <c r="AC369" i="64"/>
  <c r="AC379" i="64"/>
  <c r="AI366" i="64"/>
  <c r="AH374" i="64"/>
  <c r="AE369" i="64"/>
  <c r="AL373" i="64"/>
  <c r="AI368" i="64"/>
  <c r="AF372" i="64"/>
  <c r="AL371" i="64"/>
  <c r="AE378" i="64"/>
  <c r="AJ373" i="64"/>
  <c r="AK371" i="64"/>
  <c r="AI372" i="64"/>
  <c r="AD367" i="64"/>
  <c r="AH373" i="64"/>
  <c r="AE366" i="64"/>
  <c r="AC372" i="64"/>
  <c r="AB374" i="64"/>
  <c r="AK369" i="64"/>
  <c r="AK379" i="64"/>
  <c r="AC374" i="64"/>
  <c r="AF375" i="64"/>
  <c r="AG375" i="64"/>
  <c r="AJ374" i="64"/>
  <c r="AG369" i="64"/>
  <c r="AJ378" i="64"/>
  <c r="AD380" i="64"/>
  <c r="AG380" i="64"/>
  <c r="AJ380" i="64"/>
  <c r="AE373" i="64"/>
  <c r="AG373" i="64"/>
  <c r="AD366" i="64"/>
  <c r="AE374" i="64"/>
  <c r="AH371" i="64"/>
  <c r="AK372" i="64"/>
  <c r="AF367" i="64"/>
  <c r="AI370" i="64"/>
  <c r="AH380" i="64"/>
  <c r="AD377" i="64"/>
  <c r="AD376" i="64"/>
  <c r="AC380" i="64"/>
  <c r="AH375" i="64"/>
  <c r="AE370" i="64"/>
  <c r="AC371" i="64"/>
  <c r="AK368" i="64"/>
  <c r="AL370" i="64"/>
  <c r="AH370" i="64"/>
  <c r="AI374" i="64"/>
  <c r="AB371" i="64"/>
  <c r="AI375" i="64"/>
  <c r="AF376" i="64"/>
  <c r="AL374" i="64"/>
  <c r="AG378" i="64"/>
  <c r="AK375" i="64"/>
  <c r="AI377" i="64"/>
  <c r="AD375" i="64"/>
  <c r="AG368" i="64"/>
  <c r="AD372" i="64"/>
  <c r="AB375" i="64"/>
  <c r="AF368" i="64"/>
  <c r="AH377" i="64"/>
  <c r="AK380" i="64"/>
  <c r="AC377" i="64"/>
  <c r="AJ371" i="64"/>
  <c r="AD368" i="64"/>
  <c r="AG371" i="64"/>
  <c r="AB373" i="64"/>
  <c r="AC375" i="64"/>
  <c r="AF371" i="64"/>
  <c r="AJ375" i="64"/>
  <c r="AI376" i="64"/>
  <c r="AI367" i="64"/>
  <c r="AL375" i="64"/>
  <c r="AD373" i="64"/>
  <c r="AL372" i="64"/>
  <c r="AG367" i="64"/>
  <c r="AD369" i="64"/>
  <c r="AF378" i="64"/>
  <c r="AH368" i="64"/>
  <c r="AJ377" i="64"/>
  <c r="AG376" i="64"/>
  <c r="AK378" i="64"/>
  <c r="AD371" i="64"/>
  <c r="AK373" i="64"/>
  <c r="AF374" i="64"/>
  <c r="AB368" i="64"/>
  <c r="AH376" i="64"/>
  <c r="AG379" i="64"/>
  <c r="AF373" i="64"/>
  <c r="AJ376" i="64"/>
  <c r="AL376" i="64"/>
  <c r="AI373" i="64"/>
  <c r="AG366" i="64"/>
  <c r="AL369" i="64"/>
  <c r="AD379" i="64"/>
  <c r="AF369" i="64"/>
  <c r="AH378" i="64"/>
  <c r="AK377" i="64"/>
  <c r="AI380" i="64"/>
  <c r="AD374" i="64"/>
  <c r="AF366" i="64"/>
  <c r="AK376" i="64"/>
  <c r="AB377" i="64"/>
  <c r="AE377" i="64"/>
  <c r="AL377" i="64"/>
  <c r="AC368" i="64"/>
  <c r="AC378" i="64"/>
  <c r="AE380" i="64"/>
  <c r="AF377" i="64"/>
  <c r="AB370" i="64"/>
  <c r="AG374" i="64"/>
  <c r="AK370" i="64"/>
  <c r="AJ370" i="64"/>
  <c r="AL379" i="64"/>
  <c r="AD370" i="64"/>
  <c r="AF379" i="64"/>
  <c r="AC366" i="64"/>
  <c r="AH366" i="64"/>
  <c r="AK374" i="64"/>
  <c r="AH369" i="64"/>
  <c r="AH379" i="64"/>
  <c r="AI369" i="64"/>
  <c r="AI379" i="64"/>
  <c r="AL368" i="64"/>
  <c r="AL378" i="64"/>
  <c r="AI378" i="64"/>
  <c r="AC376" i="64"/>
  <c r="AE376" i="64"/>
  <c r="AE372" i="64"/>
  <c r="AB369" i="64"/>
  <c r="AI371" i="64"/>
  <c r="AB378" i="64"/>
  <c r="AC370" i="64"/>
  <c r="AG84" i="2"/>
  <c r="AH88" i="2"/>
  <c r="AH90" i="2"/>
  <c r="AG83" i="2"/>
  <c r="AF83" i="2"/>
  <c r="AG88" i="2"/>
  <c r="AG90" i="2"/>
  <c r="AF84" i="2"/>
  <c r="AF89" i="2"/>
  <c r="AG89" i="2"/>
  <c r="AG86" i="2"/>
  <c r="AH86" i="2"/>
  <c r="AH91" i="2"/>
  <c r="AG91" i="2"/>
  <c r="AG85" i="2"/>
  <c r="AF87" i="2"/>
  <c r="AH87" i="2"/>
  <c r="AF92" i="2"/>
  <c r="AG92" i="2"/>
  <c r="AF85" i="2"/>
  <c r="R294" i="64"/>
  <c r="T294" i="64"/>
  <c r="S294" i="64"/>
  <c r="S307" i="64"/>
  <c r="S302" i="64"/>
  <c r="R309" i="64"/>
  <c r="R308" i="64"/>
  <c r="Q298" i="64"/>
  <c r="R297" i="64"/>
  <c r="T308" i="64"/>
  <c r="S310" i="64"/>
  <c r="R307" i="64"/>
  <c r="Q301" i="64"/>
  <c r="T307" i="64"/>
  <c r="T301" i="64"/>
  <c r="R301" i="64"/>
  <c r="Q299" i="64"/>
  <c r="S298" i="64"/>
  <c r="R302" i="64"/>
  <c r="R299" i="64"/>
  <c r="T305" i="64"/>
  <c r="T309" i="64"/>
  <c r="R305" i="64"/>
  <c r="Q297" i="64"/>
  <c r="T297" i="64"/>
  <c r="S309" i="64"/>
  <c r="R298" i="64"/>
  <c r="T303" i="64"/>
  <c r="Q296" i="64"/>
  <c r="T302" i="64"/>
  <c r="S304" i="64"/>
  <c r="T304" i="64"/>
  <c r="T310" i="64"/>
  <c r="Q306" i="64"/>
  <c r="Q303" i="64"/>
  <c r="T299" i="64"/>
  <c r="S301" i="64"/>
  <c r="S305" i="64"/>
  <c r="T306" i="64"/>
  <c r="R310" i="64"/>
  <c r="S297" i="64"/>
  <c r="Q310" i="64"/>
  <c r="Q302" i="64"/>
  <c r="S299" i="64"/>
  <c r="R306" i="64"/>
  <c r="Q305" i="64"/>
  <c r="S296" i="64"/>
  <c r="Q304" i="64"/>
  <c r="Q307" i="64"/>
  <c r="T296" i="64"/>
  <c r="S308" i="64"/>
  <c r="S306" i="64"/>
  <c r="R303" i="64"/>
  <c r="Q308" i="64"/>
  <c r="R304" i="64"/>
  <c r="A135" i="64"/>
  <c r="E135" i="64" s="1"/>
  <c r="A136" i="64"/>
  <c r="E136" i="64" s="1"/>
  <c r="A137" i="64"/>
  <c r="E137" i="64" s="1"/>
  <c r="A138" i="64"/>
  <c r="E138" i="64" s="1"/>
  <c r="A139" i="64"/>
  <c r="E139" i="64" s="1"/>
  <c r="A140" i="64"/>
  <c r="E140" i="64" s="1"/>
  <c r="A141" i="64"/>
  <c r="E141" i="64" s="1"/>
  <c r="A142" i="64"/>
  <c r="E142" i="64" s="1"/>
  <c r="A143" i="64"/>
  <c r="E143" i="64" s="1"/>
  <c r="A144" i="64"/>
  <c r="E144" i="64" s="1"/>
  <c r="A145" i="64"/>
  <c r="E145" i="64" s="1"/>
  <c r="A146" i="64"/>
  <c r="E146" i="64" s="1"/>
  <c r="A147" i="64"/>
  <c r="E147" i="64" s="1"/>
  <c r="A134" i="64"/>
  <c r="E134" i="64" s="1"/>
  <c r="A120" i="64"/>
  <c r="A121" i="64"/>
  <c r="A122" i="64"/>
  <c r="A123" i="64"/>
  <c r="A124" i="64"/>
  <c r="A125" i="64"/>
  <c r="A126" i="64"/>
  <c r="A127" i="64"/>
  <c r="A128" i="64"/>
  <c r="A129" i="64"/>
  <c r="A119" i="64"/>
  <c r="E119" i="64" s="1"/>
  <c r="A108" i="64"/>
  <c r="A109" i="64"/>
  <c r="A110" i="64"/>
  <c r="A111" i="64"/>
  <c r="A112" i="64"/>
  <c r="A113" i="64"/>
  <c r="A114" i="64"/>
  <c r="A107" i="64"/>
  <c r="E107" i="64" s="1"/>
  <c r="A96" i="64"/>
  <c r="E96" i="64" s="1"/>
  <c r="A97" i="64"/>
  <c r="E97" i="64" s="1"/>
  <c r="A98" i="64"/>
  <c r="E98" i="64" s="1"/>
  <c r="A99" i="64"/>
  <c r="E99" i="64" s="1"/>
  <c r="A100" i="64"/>
  <c r="E100" i="64" s="1"/>
  <c r="A101" i="64"/>
  <c r="E101" i="64" s="1"/>
  <c r="A102" i="64"/>
  <c r="E102" i="64" s="1"/>
  <c r="A95" i="64"/>
  <c r="E95" i="64" s="1"/>
  <c r="A86" i="64"/>
  <c r="A87" i="64"/>
  <c r="A88" i="64"/>
  <c r="A89" i="64"/>
  <c r="A90" i="64"/>
  <c r="A85" i="64"/>
  <c r="E85" i="64" s="1"/>
  <c r="A62" i="64"/>
  <c r="E62" i="64" s="1"/>
  <c r="A63" i="64"/>
  <c r="E63" i="64" s="1"/>
  <c r="A64" i="64"/>
  <c r="E64" i="64" s="1"/>
  <c r="A65" i="64"/>
  <c r="E65" i="64" s="1"/>
  <c r="A66" i="64"/>
  <c r="E66" i="64" s="1"/>
  <c r="A67" i="64"/>
  <c r="E67" i="64" s="1"/>
  <c r="A68" i="64"/>
  <c r="E68" i="64" s="1"/>
  <c r="A69" i="64"/>
  <c r="E69" i="64" s="1"/>
  <c r="A70" i="64"/>
  <c r="E70" i="64" s="1"/>
  <c r="A71" i="64"/>
  <c r="E71" i="64" s="1"/>
  <c r="A72" i="64"/>
  <c r="E72" i="64" s="1"/>
  <c r="A73" i="64"/>
  <c r="E73" i="64" s="1"/>
  <c r="A74" i="64"/>
  <c r="E74" i="64" s="1"/>
  <c r="A75" i="64"/>
  <c r="E75" i="64" s="1"/>
  <c r="A76" i="64"/>
  <c r="E76" i="64" s="1"/>
  <c r="A77" i="64"/>
  <c r="E77" i="64" s="1"/>
  <c r="A78" i="64"/>
  <c r="E78" i="64" s="1"/>
  <c r="A79" i="64"/>
  <c r="E79" i="64" s="1"/>
  <c r="A80" i="64"/>
  <c r="E80" i="64" s="1"/>
  <c r="A61" i="64"/>
  <c r="E61" i="64" s="1"/>
  <c r="A51" i="64"/>
  <c r="A52" i="64"/>
  <c r="A53" i="64"/>
  <c r="A54" i="64"/>
  <c r="A55" i="64"/>
  <c r="A56" i="64"/>
  <c r="A50" i="64"/>
  <c r="E50" i="64" s="1"/>
  <c r="A31" i="64"/>
  <c r="E31" i="64" s="1"/>
  <c r="A32" i="64"/>
  <c r="E32" i="64" s="1"/>
  <c r="A33" i="64"/>
  <c r="E33" i="64" s="1"/>
  <c r="A34" i="64"/>
  <c r="E34" i="64" s="1"/>
  <c r="A35" i="64"/>
  <c r="E35" i="64" s="1"/>
  <c r="A36" i="64"/>
  <c r="E36" i="64" s="1"/>
  <c r="A37" i="64"/>
  <c r="E37" i="64" s="1"/>
  <c r="A38" i="64"/>
  <c r="E38" i="64" s="1"/>
  <c r="A39" i="64"/>
  <c r="E39" i="64" s="1"/>
  <c r="A40" i="64"/>
  <c r="E40" i="64" s="1"/>
  <c r="A41" i="64"/>
  <c r="E41" i="64" s="1"/>
  <c r="A42" i="64"/>
  <c r="E42" i="64" s="1"/>
  <c r="A43" i="64"/>
  <c r="E43" i="64" s="1"/>
  <c r="A44" i="64"/>
  <c r="E44" i="64" s="1"/>
  <c r="A45" i="64"/>
  <c r="E45" i="64" s="1"/>
  <c r="A30" i="64"/>
  <c r="E30" i="64" s="1"/>
  <c r="S15" i="64" l="1"/>
  <c r="S19" i="64"/>
  <c r="S22" i="64"/>
  <c r="S17" i="64"/>
  <c r="AB361" i="64" a="1"/>
  <c r="AB361" i="64" s="1"/>
  <c r="W291" i="64" a="1"/>
  <c r="W291" i="64" s="1"/>
  <c r="AB363" i="64" a="1"/>
  <c r="AB363" i="64" s="1"/>
  <c r="AB360" i="64" a="1"/>
  <c r="AB360" i="64" s="1"/>
  <c r="T19" i="64"/>
  <c r="T22" i="64"/>
  <c r="T15" i="64"/>
  <c r="T17" i="64"/>
  <c r="A458" i="64"/>
  <c r="A302" i="64"/>
  <c r="A303" i="64"/>
  <c r="A304" i="64"/>
  <c r="A305" i="64"/>
  <c r="A306" i="64"/>
  <c r="A307" i="64"/>
  <c r="A308" i="64"/>
  <c r="A309" i="64"/>
  <c r="A310" i="64"/>
  <c r="A311" i="64"/>
  <c r="A312" i="64"/>
  <c r="A313" i="64"/>
  <c r="A314" i="64"/>
  <c r="A315" i="64"/>
  <c r="A316" i="64"/>
  <c r="A317" i="64"/>
  <c r="A318" i="64"/>
  <c r="A319" i="64"/>
  <c r="A320" i="64"/>
  <c r="A321" i="64"/>
  <c r="A322" i="64"/>
  <c r="A323" i="64"/>
  <c r="A324" i="64"/>
  <c r="A325" i="64"/>
  <c r="A326" i="64"/>
  <c r="A327" i="64"/>
  <c r="A328" i="64"/>
  <c r="A329" i="64"/>
  <c r="A330" i="64"/>
  <c r="A331" i="64"/>
  <c r="A332" i="64"/>
  <c r="A333" i="64"/>
  <c r="A334" i="64"/>
  <c r="A335" i="64"/>
  <c r="A336" i="64"/>
  <c r="A337" i="64"/>
  <c r="A338" i="64"/>
  <c r="A339" i="64"/>
  <c r="A340" i="64"/>
  <c r="A341" i="64"/>
  <c r="A342" i="64"/>
  <c r="A343" i="64"/>
  <c r="A344" i="64"/>
  <c r="A345" i="64"/>
  <c r="A301" i="64"/>
  <c r="A199" i="64"/>
  <c r="A193" i="64"/>
  <c r="A187" i="64"/>
  <c r="A181" i="64"/>
  <c r="A175" i="64"/>
  <c r="A169" i="64"/>
  <c r="A163" i="64"/>
  <c r="A157" i="64"/>
  <c r="A151" i="64"/>
  <c r="A133" i="64"/>
  <c r="A118" i="64"/>
  <c r="A106" i="64"/>
  <c r="A94" i="64"/>
  <c r="A84" i="64"/>
  <c r="A60" i="64"/>
  <c r="A49" i="64"/>
  <c r="A29" i="64"/>
  <c r="A13" i="64"/>
  <c r="A15" i="64"/>
  <c r="A16" i="64"/>
  <c r="A17" i="64"/>
  <c r="A18" i="64"/>
  <c r="A19" i="64"/>
  <c r="A20" i="64"/>
  <c r="A21" i="64"/>
  <c r="A22" i="64"/>
  <c r="A23" i="64"/>
  <c r="A24" i="64"/>
  <c r="A25" i="64"/>
  <c r="Y291" i="64" l="1" a="1"/>
  <c r="Y291" i="64" s="1"/>
  <c r="R68" i="2" s="1"/>
  <c r="D52" i="12" s="1"/>
  <c r="R66" i="2"/>
  <c r="D50" i="12" s="1"/>
  <c r="R67" i="2"/>
  <c r="V291" i="64" a="1"/>
  <c r="V291" i="64" s="1"/>
  <c r="Z314" i="64"/>
  <c r="Z322" i="64"/>
  <c r="Z330" i="64"/>
  <c r="Z338" i="64"/>
  <c r="Z346" i="64"/>
  <c r="Z354" i="64"/>
  <c r="Z306" i="64"/>
  <c r="Z329" i="64"/>
  <c r="Z315" i="64"/>
  <c r="Z323" i="64"/>
  <c r="Z331" i="64"/>
  <c r="Z339" i="64"/>
  <c r="Z347" i="64"/>
  <c r="Z305" i="64"/>
  <c r="Z343" i="64"/>
  <c r="Z337" i="64"/>
  <c r="Z353" i="64"/>
  <c r="Z316" i="64"/>
  <c r="Z324" i="64"/>
  <c r="Z332" i="64"/>
  <c r="Z340" i="64"/>
  <c r="Z348" i="64"/>
  <c r="Z304" i="64"/>
  <c r="Z335" i="64"/>
  <c r="Z317" i="64"/>
  <c r="Z325" i="64"/>
  <c r="Z333" i="64"/>
  <c r="Z341" i="64"/>
  <c r="Z349" i="64"/>
  <c r="Z326" i="64"/>
  <c r="Z334" i="64"/>
  <c r="Z342" i="64"/>
  <c r="Z350" i="64"/>
  <c r="Z319" i="64"/>
  <c r="Z351" i="64"/>
  <c r="Z321" i="64"/>
  <c r="Z345" i="64"/>
  <c r="Z318" i="64"/>
  <c r="Z327" i="64"/>
  <c r="Z312" i="64"/>
  <c r="Z307" i="64"/>
  <c r="Z320" i="64"/>
  <c r="Z328" i="64"/>
  <c r="Z336" i="64"/>
  <c r="Z344" i="64"/>
  <c r="Z352" i="64"/>
  <c r="Z308" i="64"/>
  <c r="Z311" i="64"/>
  <c r="Z310" i="64"/>
  <c r="Z301" i="64"/>
  <c r="Z313" i="64"/>
  <c r="Z309" i="64"/>
  <c r="Z302" i="64"/>
  <c r="Z303" i="64"/>
  <c r="AA51" i="64"/>
  <c r="A14" i="64"/>
  <c r="E14" i="64" s="1"/>
  <c r="D51" i="12" l="1"/>
  <c r="AE308" i="64" a="1"/>
  <c r="AE308" i="64" s="1"/>
  <c r="AK308" i="64" a="1"/>
  <c r="AK308" i="64" s="1"/>
  <c r="AI308" i="64" a="1"/>
  <c r="AI308" i="64" s="1"/>
  <c r="AL308" i="64" a="1"/>
  <c r="AL308" i="64" s="1"/>
  <c r="AN308" i="64" a="1"/>
  <c r="AN308" i="64" s="1"/>
  <c r="AO307" i="64" a="1"/>
  <c r="AO307" i="64" s="1"/>
  <c r="AD308" i="64" a="1"/>
  <c r="AD308" i="64" s="1"/>
  <c r="AC308" i="64" a="1"/>
  <c r="AC308" i="64" s="1"/>
  <c r="AH308" i="64" a="1"/>
  <c r="AH308" i="64" s="1"/>
  <c r="AB308" i="64" a="1"/>
  <c r="AB308" i="64" s="1"/>
  <c r="AJ308" i="64" a="1"/>
  <c r="AJ308" i="64" s="1"/>
  <c r="AF308" i="64" a="1"/>
  <c r="AF308" i="64" s="1"/>
  <c r="AG308" i="64" a="1"/>
  <c r="AG308" i="64" s="1"/>
  <c r="AM308" i="64" a="1"/>
  <c r="AM308" i="64" s="1"/>
  <c r="AM327" i="64" a="1"/>
  <c r="AM327" i="64" s="1"/>
  <c r="AD327" i="64" a="1"/>
  <c r="AD327" i="64" s="1"/>
  <c r="AC327" i="64" a="1"/>
  <c r="AC327" i="64" s="1"/>
  <c r="AB327" i="64" a="1"/>
  <c r="AB327" i="64" s="1"/>
  <c r="AI327" i="64" a="1"/>
  <c r="AI327" i="64" s="1"/>
  <c r="AJ327" i="64" a="1"/>
  <c r="AJ327" i="64" s="1"/>
  <c r="AL327" i="64" a="1"/>
  <c r="AL327" i="64" s="1"/>
  <c r="AH327" i="64" a="1"/>
  <c r="AH327" i="64" s="1"/>
  <c r="AO326" i="64" a="1"/>
  <c r="AO326" i="64" s="1"/>
  <c r="AG327" i="64" a="1"/>
  <c r="AG327" i="64" s="1"/>
  <c r="AN327" i="64" a="1"/>
  <c r="AN327" i="64" s="1"/>
  <c r="AE327" i="64" a="1"/>
  <c r="AE327" i="64" s="1"/>
  <c r="AF327" i="64" a="1"/>
  <c r="AF327" i="64" s="1"/>
  <c r="AK327" i="64" a="1"/>
  <c r="AK327" i="64" s="1"/>
  <c r="AF334" i="64" a="1"/>
  <c r="AF334" i="64" s="1"/>
  <c r="AH334" i="64" a="1"/>
  <c r="AH334" i="64" s="1"/>
  <c r="AK334" i="64" a="1"/>
  <c r="AK334" i="64" s="1"/>
  <c r="AC334" i="64" a="1"/>
  <c r="AC334" i="64" s="1"/>
  <c r="AM334" i="64" a="1"/>
  <c r="AM334" i="64" s="1"/>
  <c r="AG334" i="64" a="1"/>
  <c r="AG334" i="64" s="1"/>
  <c r="AJ334" i="64" a="1"/>
  <c r="AJ334" i="64" s="1"/>
  <c r="AL334" i="64" a="1"/>
  <c r="AL334" i="64" s="1"/>
  <c r="AB334" i="64" a="1"/>
  <c r="AB334" i="64" s="1"/>
  <c r="AI334" i="64" a="1"/>
  <c r="AI334" i="64" s="1"/>
  <c r="AN334" i="64" a="1"/>
  <c r="AN334" i="64" s="1"/>
  <c r="AO333" i="64" a="1"/>
  <c r="AO333" i="64" s="1"/>
  <c r="AD334" i="64" a="1"/>
  <c r="AD334" i="64" s="1"/>
  <c r="AE334" i="64" a="1"/>
  <c r="AE334" i="64" s="1"/>
  <c r="AG304" i="64" a="1"/>
  <c r="AG304" i="64" s="1"/>
  <c r="AF304" i="64" a="1"/>
  <c r="AF304" i="64" s="1"/>
  <c r="AC304" i="64" a="1"/>
  <c r="AC304" i="64" s="1"/>
  <c r="AL304" i="64" a="1"/>
  <c r="AL304" i="64" s="1"/>
  <c r="AK304" i="64" a="1"/>
  <c r="AK304" i="64" s="1"/>
  <c r="AH304" i="64" a="1"/>
  <c r="AH304" i="64" s="1"/>
  <c r="AJ304" i="64" a="1"/>
  <c r="AJ304" i="64" s="1"/>
  <c r="AI304" i="64" a="1"/>
  <c r="AI304" i="64" s="1"/>
  <c r="AB304" i="64" a="1"/>
  <c r="AB304" i="64" s="1"/>
  <c r="AE304" i="64" a="1"/>
  <c r="AE304" i="64" s="1"/>
  <c r="AD304" i="64" a="1"/>
  <c r="AD304" i="64" s="1"/>
  <c r="AJ343" i="64" a="1"/>
  <c r="AJ343" i="64" s="1"/>
  <c r="AB343" i="64" a="1"/>
  <c r="AB343" i="64" s="1"/>
  <c r="AF343" i="64" a="1"/>
  <c r="AF343" i="64" s="1"/>
  <c r="AH343" i="64" a="1"/>
  <c r="AH343" i="64" s="1"/>
  <c r="AN343" i="64" a="1"/>
  <c r="AN343" i="64" s="1"/>
  <c r="AO342" i="64" a="1"/>
  <c r="AO342" i="64" s="1"/>
  <c r="AM343" i="64" a="1"/>
  <c r="AM343" i="64" s="1"/>
  <c r="AG343" i="64" a="1"/>
  <c r="AG343" i="64" s="1"/>
  <c r="AI343" i="64" a="1"/>
  <c r="AI343" i="64" s="1"/>
  <c r="AD343" i="64" a="1"/>
  <c r="AD343" i="64" s="1"/>
  <c r="AC343" i="64" a="1"/>
  <c r="AC343" i="64" s="1"/>
  <c r="AL343" i="64" a="1"/>
  <c r="AL343" i="64" s="1"/>
  <c r="AK343" i="64" a="1"/>
  <c r="AK343" i="64" s="1"/>
  <c r="AE343" i="64" a="1"/>
  <c r="AE343" i="64" s="1"/>
  <c r="AM306" i="64" a="1"/>
  <c r="AM306" i="64" s="1"/>
  <c r="AO305" i="64" a="1"/>
  <c r="AO305" i="64" s="1"/>
  <c r="AJ306" i="64" a="1"/>
  <c r="AJ306" i="64" s="1"/>
  <c r="AE306" i="64" a="1"/>
  <c r="AE306" i="64" s="1"/>
  <c r="AB306" i="64" a="1"/>
  <c r="AB306" i="64" s="1"/>
  <c r="AH306" i="64" a="1"/>
  <c r="AH306" i="64" s="1"/>
  <c r="AC306" i="64" a="1"/>
  <c r="AC306" i="64" s="1"/>
  <c r="AD306" i="64" a="1"/>
  <c r="AD306" i="64" s="1"/>
  <c r="AN306" i="64" a="1"/>
  <c r="AN306" i="64" s="1"/>
  <c r="AI306" i="64" a="1"/>
  <c r="AI306" i="64" s="1"/>
  <c r="AK306" i="64" a="1"/>
  <c r="AK306" i="64" s="1"/>
  <c r="AG306" i="64" a="1"/>
  <c r="AG306" i="64" s="1"/>
  <c r="AF306" i="64" a="1"/>
  <c r="AF306" i="64" s="1"/>
  <c r="AL306" i="64" a="1"/>
  <c r="AL306" i="64" s="1"/>
  <c r="AG311" i="64" a="1"/>
  <c r="AG311" i="64" s="1"/>
  <c r="AO310" i="64" a="1"/>
  <c r="AO310" i="64" s="1"/>
  <c r="AD311" i="64" a="1"/>
  <c r="AD311" i="64" s="1"/>
  <c r="AC311" i="64" a="1"/>
  <c r="AC311" i="64" s="1"/>
  <c r="AB311" i="64" a="1"/>
  <c r="AB311" i="64" s="1"/>
  <c r="AM311" i="64" a="1"/>
  <c r="AM311" i="64" s="1"/>
  <c r="AI311" i="64" a="1"/>
  <c r="AI311" i="64" s="1"/>
  <c r="AJ311" i="64" a="1"/>
  <c r="AJ311" i="64" s="1"/>
  <c r="AN311" i="64" a="1"/>
  <c r="AN311" i="64" s="1"/>
  <c r="AE311" i="64" a="1"/>
  <c r="AE311" i="64" s="1"/>
  <c r="AK311" i="64" a="1"/>
  <c r="AK311" i="64" s="1"/>
  <c r="AF311" i="64" a="1"/>
  <c r="AF311" i="64" s="1"/>
  <c r="AH311" i="64" a="1"/>
  <c r="AH311" i="64" s="1"/>
  <c r="AL311" i="64" a="1"/>
  <c r="AL311" i="64" s="1"/>
  <c r="AF303" i="64" a="1"/>
  <c r="AF303" i="64" s="1"/>
  <c r="AB303" i="64" a="1"/>
  <c r="AB303" i="64" s="1"/>
  <c r="AL303" i="64" a="1"/>
  <c r="AL303" i="64" s="1"/>
  <c r="AD303" i="64" a="1"/>
  <c r="AD303" i="64" s="1"/>
  <c r="AC303" i="64" a="1"/>
  <c r="AC303" i="64" s="1"/>
  <c r="AH303" i="64" a="1"/>
  <c r="AH303" i="64" s="1"/>
  <c r="AI303" i="64" a="1"/>
  <c r="AI303" i="64" s="1"/>
  <c r="AK303" i="64" a="1"/>
  <c r="AK303" i="64" s="1"/>
  <c r="AJ303" i="64" a="1"/>
  <c r="AJ303" i="64" s="1"/>
  <c r="AG303" i="64" a="1"/>
  <c r="AG303" i="64" s="1"/>
  <c r="AE303" i="64" a="1"/>
  <c r="AE303" i="64" s="1"/>
  <c r="AN352" i="64" a="1"/>
  <c r="AN352" i="64" s="1"/>
  <c r="AB352" i="64" a="1"/>
  <c r="AB352" i="64" s="1"/>
  <c r="AL352" i="64" a="1"/>
  <c r="AL352" i="64" s="1"/>
  <c r="AK352" i="64" a="1"/>
  <c r="AK352" i="64" s="1"/>
  <c r="AF352" i="64" a="1"/>
  <c r="AF352" i="64" s="1"/>
  <c r="AE352" i="64" a="1"/>
  <c r="AE352" i="64" s="1"/>
  <c r="AG352" i="64" a="1"/>
  <c r="AG352" i="64" s="1"/>
  <c r="AI352" i="64" a="1"/>
  <c r="AI352" i="64" s="1"/>
  <c r="AH352" i="64" a="1"/>
  <c r="AH352" i="64" s="1"/>
  <c r="AO351" i="64" a="1"/>
  <c r="AO351" i="64" s="1"/>
  <c r="AC352" i="64" a="1"/>
  <c r="AC352" i="64" s="1"/>
  <c r="AD352" i="64" a="1"/>
  <c r="AD352" i="64" s="1"/>
  <c r="AM352" i="64" a="1"/>
  <c r="AM352" i="64" s="1"/>
  <c r="AJ352" i="64" a="1"/>
  <c r="AJ352" i="64" s="1"/>
  <c r="AH318" i="64" a="1"/>
  <c r="AH318" i="64" s="1"/>
  <c r="AF318" i="64" a="1"/>
  <c r="AF318" i="64" s="1"/>
  <c r="AB318" i="64" a="1"/>
  <c r="AB318" i="64" s="1"/>
  <c r="AM318" i="64" a="1"/>
  <c r="AM318" i="64" s="1"/>
  <c r="AD318" i="64" a="1"/>
  <c r="AD318" i="64" s="1"/>
  <c r="AO317" i="64" a="1"/>
  <c r="AO317" i="64" s="1"/>
  <c r="AL318" i="64" a="1"/>
  <c r="AL318" i="64" s="1"/>
  <c r="AG318" i="64" a="1"/>
  <c r="AG318" i="64" s="1"/>
  <c r="AN318" i="64" a="1"/>
  <c r="AN318" i="64" s="1"/>
  <c r="AI318" i="64" a="1"/>
  <c r="AI318" i="64" s="1"/>
  <c r="AE318" i="64" a="1"/>
  <c r="AE318" i="64" s="1"/>
  <c r="AK318" i="64" a="1"/>
  <c r="AK318" i="64" s="1"/>
  <c r="AJ318" i="64" a="1"/>
  <c r="AJ318" i="64" s="1"/>
  <c r="AC318" i="64" a="1"/>
  <c r="AC318" i="64" s="1"/>
  <c r="AC326" i="64" a="1"/>
  <c r="AC326" i="64" s="1"/>
  <c r="AB326" i="64" a="1"/>
  <c r="AB326" i="64" s="1"/>
  <c r="AH326" i="64" a="1"/>
  <c r="AH326" i="64" s="1"/>
  <c r="AI326" i="64" a="1"/>
  <c r="AI326" i="64" s="1"/>
  <c r="AE326" i="64" a="1"/>
  <c r="AE326" i="64" s="1"/>
  <c r="AN326" i="64" a="1"/>
  <c r="AN326" i="64" s="1"/>
  <c r="AD326" i="64" a="1"/>
  <c r="AD326" i="64" s="1"/>
  <c r="AF326" i="64" a="1"/>
  <c r="AF326" i="64" s="1"/>
  <c r="AO325" i="64" a="1"/>
  <c r="AO325" i="64" s="1"/>
  <c r="AG326" i="64" a="1"/>
  <c r="AG326" i="64" s="1"/>
  <c r="AL326" i="64" a="1"/>
  <c r="AL326" i="64" s="1"/>
  <c r="AM326" i="64" a="1"/>
  <c r="AM326" i="64" s="1"/>
  <c r="AJ326" i="64" a="1"/>
  <c r="AJ326" i="64" s="1"/>
  <c r="AK326" i="64" a="1"/>
  <c r="AK326" i="64" s="1"/>
  <c r="AG348" i="64" a="1"/>
  <c r="AG348" i="64" s="1"/>
  <c r="AI348" i="64" a="1"/>
  <c r="AI348" i="64" s="1"/>
  <c r="AD348" i="64" a="1"/>
  <c r="AD348" i="64" s="1"/>
  <c r="AB348" i="64" a="1"/>
  <c r="AB348" i="64" s="1"/>
  <c r="AL348" i="64" a="1"/>
  <c r="AL348" i="64" s="1"/>
  <c r="AJ348" i="64" a="1"/>
  <c r="AJ348" i="64" s="1"/>
  <c r="AE348" i="64" a="1"/>
  <c r="AE348" i="64" s="1"/>
  <c r="AC348" i="64" a="1"/>
  <c r="AC348" i="64" s="1"/>
  <c r="AN348" i="64" a="1"/>
  <c r="AN348" i="64" s="1"/>
  <c r="AF348" i="64" a="1"/>
  <c r="AF348" i="64" s="1"/>
  <c r="AK348" i="64" a="1"/>
  <c r="AK348" i="64" s="1"/>
  <c r="AH348" i="64" a="1"/>
  <c r="AH348" i="64" s="1"/>
  <c r="AM348" i="64" a="1"/>
  <c r="AM348" i="64" s="1"/>
  <c r="AO347" i="64" a="1"/>
  <c r="AO347" i="64" s="1"/>
  <c r="AJ305" i="64" a="1"/>
  <c r="AJ305" i="64" s="1"/>
  <c r="AG305" i="64" a="1"/>
  <c r="AG305" i="64" s="1"/>
  <c r="AI305" i="64" a="1"/>
  <c r="AI305" i="64" s="1"/>
  <c r="AO304" i="64" a="1"/>
  <c r="AO304" i="64" s="1"/>
  <c r="AK305" i="64" a="1"/>
  <c r="AK305" i="64" s="1"/>
  <c r="AM305" i="64" a="1"/>
  <c r="AM305" i="64" s="1"/>
  <c r="AC305" i="64" a="1"/>
  <c r="AC305" i="64" s="1"/>
  <c r="AN305" i="64" a="1"/>
  <c r="AN305" i="64" s="1"/>
  <c r="AE305" i="64" a="1"/>
  <c r="AE305" i="64" s="1"/>
  <c r="AD305" i="64" a="1"/>
  <c r="AD305" i="64" s="1"/>
  <c r="AL305" i="64" a="1"/>
  <c r="AL305" i="64" s="1"/>
  <c r="AF305" i="64" a="1"/>
  <c r="AF305" i="64" s="1"/>
  <c r="AB305" i="64" a="1"/>
  <c r="AB305" i="64" s="1"/>
  <c r="AH305" i="64" a="1"/>
  <c r="AH305" i="64" s="1"/>
  <c r="AG354" i="64" a="1"/>
  <c r="AG354" i="64" s="1"/>
  <c r="AB354" i="64" a="1"/>
  <c r="AB354" i="64" s="1"/>
  <c r="AL354" i="64" a="1"/>
  <c r="AL354" i="64" s="1"/>
  <c r="AJ354" i="64" a="1"/>
  <c r="AJ354" i="64" s="1"/>
  <c r="AN354" i="64" a="1"/>
  <c r="AN354" i="64" s="1"/>
  <c r="AE354" i="64" a="1"/>
  <c r="AE354" i="64" s="1"/>
  <c r="AF354" i="64" a="1"/>
  <c r="AF354" i="64" s="1"/>
  <c r="AO353" i="64" a="1"/>
  <c r="AO353" i="64" s="1"/>
  <c r="AH354" i="64" a="1"/>
  <c r="AH354" i="64" s="1"/>
  <c r="AC354" i="64" a="1"/>
  <c r="AC354" i="64" s="1"/>
  <c r="AM354" i="64" a="1"/>
  <c r="AM354" i="64" s="1"/>
  <c r="AK354" i="64" a="1"/>
  <c r="AK354" i="64" s="1"/>
  <c r="AI354" i="64" a="1"/>
  <c r="AI354" i="64" s="1"/>
  <c r="AD354" i="64" a="1"/>
  <c r="AD354" i="64" s="1"/>
  <c r="AB312" i="64" a="1"/>
  <c r="AB312" i="64" s="1"/>
  <c r="AF312" i="64" a="1"/>
  <c r="AF312" i="64" s="1"/>
  <c r="AH312" i="64" a="1"/>
  <c r="AH312" i="64" s="1"/>
  <c r="AN312" i="64" a="1"/>
  <c r="AN312" i="64" s="1"/>
  <c r="AK312" i="64" a="1"/>
  <c r="AK312" i="64" s="1"/>
  <c r="AC312" i="64" a="1"/>
  <c r="AC312" i="64" s="1"/>
  <c r="AI312" i="64" a="1"/>
  <c r="AI312" i="64" s="1"/>
  <c r="AO311" i="64" a="1"/>
  <c r="AO311" i="64" s="1"/>
  <c r="AD312" i="64" a="1"/>
  <c r="AD312" i="64" s="1"/>
  <c r="AJ312" i="64" a="1"/>
  <c r="AJ312" i="64" s="1"/>
  <c r="AG312" i="64" a="1"/>
  <c r="AG312" i="64" s="1"/>
  <c r="AE312" i="64" a="1"/>
  <c r="AE312" i="64" s="1"/>
  <c r="AL312" i="64" a="1"/>
  <c r="AL312" i="64" s="1"/>
  <c r="AM312" i="64" a="1"/>
  <c r="AM312" i="64" s="1"/>
  <c r="AH302" i="64" a="1"/>
  <c r="AH302" i="64" s="1"/>
  <c r="AB302" i="64" a="1"/>
  <c r="AB302" i="64" s="1"/>
  <c r="AF302" i="64" a="1"/>
  <c r="AF302" i="64" s="1"/>
  <c r="AJ302" i="64" a="1"/>
  <c r="AJ302" i="64" s="1"/>
  <c r="AK302" i="64" a="1"/>
  <c r="AK302" i="64" s="1"/>
  <c r="AG302" i="64" a="1"/>
  <c r="AG302" i="64" s="1"/>
  <c r="AC302" i="64" a="1"/>
  <c r="AC302" i="64" s="1"/>
  <c r="AE302" i="64" a="1"/>
  <c r="AE302" i="64" s="1"/>
  <c r="AI302" i="64" a="1"/>
  <c r="AI302" i="64" s="1"/>
  <c r="AD302" i="64" a="1"/>
  <c r="AD302" i="64" s="1"/>
  <c r="AL302" i="64" a="1"/>
  <c r="AL302" i="64" s="1"/>
  <c r="AH344" i="64" a="1"/>
  <c r="AH344" i="64" s="1"/>
  <c r="AG344" i="64" a="1"/>
  <c r="AG344" i="64" s="1"/>
  <c r="AJ344" i="64" a="1"/>
  <c r="AJ344" i="64" s="1"/>
  <c r="AI344" i="64" a="1"/>
  <c r="AI344" i="64" s="1"/>
  <c r="AK344" i="64" a="1"/>
  <c r="AK344" i="64" s="1"/>
  <c r="AC344" i="64" a="1"/>
  <c r="AC344" i="64" s="1"/>
  <c r="AM344" i="64" a="1"/>
  <c r="AM344" i="64" s="1"/>
  <c r="AD344" i="64" a="1"/>
  <c r="AD344" i="64" s="1"/>
  <c r="AL344" i="64" a="1"/>
  <c r="AL344" i="64" s="1"/>
  <c r="AE344" i="64" a="1"/>
  <c r="AE344" i="64" s="1"/>
  <c r="AB344" i="64" a="1"/>
  <c r="AB344" i="64" s="1"/>
  <c r="AF344" i="64" a="1"/>
  <c r="AF344" i="64" s="1"/>
  <c r="AN344" i="64" a="1"/>
  <c r="AN344" i="64" s="1"/>
  <c r="AO343" i="64" a="1"/>
  <c r="AO343" i="64" s="1"/>
  <c r="AG345" i="64" a="1"/>
  <c r="AG345" i="64" s="1"/>
  <c r="AD345" i="64" a="1"/>
  <c r="AD345" i="64" s="1"/>
  <c r="AB345" i="64" a="1"/>
  <c r="AB345" i="64" s="1"/>
  <c r="AF345" i="64" a="1"/>
  <c r="AF345" i="64" s="1"/>
  <c r="AE345" i="64" a="1"/>
  <c r="AE345" i="64" s="1"/>
  <c r="AN345" i="64" a="1"/>
  <c r="AN345" i="64" s="1"/>
  <c r="AL345" i="64" a="1"/>
  <c r="AL345" i="64" s="1"/>
  <c r="AM345" i="64" a="1"/>
  <c r="AM345" i="64" s="1"/>
  <c r="AJ345" i="64" a="1"/>
  <c r="AJ345" i="64" s="1"/>
  <c r="AC345" i="64" a="1"/>
  <c r="AC345" i="64" s="1"/>
  <c r="AH345" i="64" a="1"/>
  <c r="AH345" i="64" s="1"/>
  <c r="AK345" i="64" a="1"/>
  <c r="AK345" i="64" s="1"/>
  <c r="AO344" i="64" a="1"/>
  <c r="AO344" i="64" s="1"/>
  <c r="AI345" i="64" a="1"/>
  <c r="AI345" i="64" s="1"/>
  <c r="AL349" i="64" a="1"/>
  <c r="AL349" i="64" s="1"/>
  <c r="AD349" i="64" a="1"/>
  <c r="AD349" i="64" s="1"/>
  <c r="AO348" i="64" a="1"/>
  <c r="AO348" i="64" s="1"/>
  <c r="AI349" i="64" a="1"/>
  <c r="AI349" i="64" s="1"/>
  <c r="AM349" i="64" a="1"/>
  <c r="AM349" i="64" s="1"/>
  <c r="AG349" i="64" a="1"/>
  <c r="AG349" i="64" s="1"/>
  <c r="AJ349" i="64" a="1"/>
  <c r="AJ349" i="64" s="1"/>
  <c r="AF349" i="64" a="1"/>
  <c r="AF349" i="64" s="1"/>
  <c r="AC349" i="64" a="1"/>
  <c r="AC349" i="64" s="1"/>
  <c r="AB349" i="64" a="1"/>
  <c r="AB349" i="64" s="1"/>
  <c r="AK349" i="64" a="1"/>
  <c r="AK349" i="64" s="1"/>
  <c r="AH349" i="64" a="1"/>
  <c r="AH349" i="64" s="1"/>
  <c r="AE349" i="64" a="1"/>
  <c r="AE349" i="64" s="1"/>
  <c r="AN349" i="64" a="1"/>
  <c r="AN349" i="64" s="1"/>
  <c r="AN340" i="64" a="1"/>
  <c r="AN340" i="64" s="1"/>
  <c r="AL340" i="64" a="1"/>
  <c r="AL340" i="64" s="1"/>
  <c r="AK340" i="64" a="1"/>
  <c r="AK340" i="64" s="1"/>
  <c r="AE340" i="64" a="1"/>
  <c r="AE340" i="64" s="1"/>
  <c r="AC340" i="64" a="1"/>
  <c r="AC340" i="64" s="1"/>
  <c r="AB340" i="64" a="1"/>
  <c r="AB340" i="64" s="1"/>
  <c r="AM340" i="64" a="1"/>
  <c r="AM340" i="64" s="1"/>
  <c r="AF340" i="64" a="1"/>
  <c r="AF340" i="64" s="1"/>
  <c r="AI340" i="64" a="1"/>
  <c r="AI340" i="64" s="1"/>
  <c r="AG340" i="64" a="1"/>
  <c r="AG340" i="64" s="1"/>
  <c r="AD340" i="64" a="1"/>
  <c r="AD340" i="64" s="1"/>
  <c r="AJ340" i="64" a="1"/>
  <c r="AJ340" i="64" s="1"/>
  <c r="AH340" i="64" a="1"/>
  <c r="AH340" i="64" s="1"/>
  <c r="AO339" i="64" a="1"/>
  <c r="AO339" i="64" s="1"/>
  <c r="AG347" i="64" a="1"/>
  <c r="AG347" i="64" s="1"/>
  <c r="AI347" i="64" a="1"/>
  <c r="AI347" i="64" s="1"/>
  <c r="AO346" i="64" a="1"/>
  <c r="AO346" i="64" s="1"/>
  <c r="AC347" i="64" a="1"/>
  <c r="AC347" i="64" s="1"/>
  <c r="AE347" i="64" a="1"/>
  <c r="AE347" i="64" s="1"/>
  <c r="AJ347" i="64" a="1"/>
  <c r="AJ347" i="64" s="1"/>
  <c r="AH347" i="64" a="1"/>
  <c r="AH347" i="64" s="1"/>
  <c r="AD347" i="64" a="1"/>
  <c r="AD347" i="64" s="1"/>
  <c r="AN347" i="64" a="1"/>
  <c r="AN347" i="64" s="1"/>
  <c r="AK347" i="64" a="1"/>
  <c r="AK347" i="64" s="1"/>
  <c r="AL347" i="64" a="1"/>
  <c r="AL347" i="64" s="1"/>
  <c r="AF347" i="64" a="1"/>
  <c r="AF347" i="64" s="1"/>
  <c r="AM347" i="64" a="1"/>
  <c r="AM347" i="64" s="1"/>
  <c r="AB347" i="64" a="1"/>
  <c r="AB347" i="64" s="1"/>
  <c r="AG346" i="64" a="1"/>
  <c r="AG346" i="64" s="1"/>
  <c r="AN346" i="64" a="1"/>
  <c r="AN346" i="64" s="1"/>
  <c r="AD346" i="64" a="1"/>
  <c r="AD346" i="64" s="1"/>
  <c r="AM346" i="64" a="1"/>
  <c r="AM346" i="64" s="1"/>
  <c r="AE346" i="64" a="1"/>
  <c r="AE346" i="64" s="1"/>
  <c r="AJ346" i="64" a="1"/>
  <c r="AJ346" i="64" s="1"/>
  <c r="AL346" i="64" a="1"/>
  <c r="AL346" i="64" s="1"/>
  <c r="AB346" i="64" a="1"/>
  <c r="AB346" i="64" s="1"/>
  <c r="AC346" i="64" a="1"/>
  <c r="AC346" i="64" s="1"/>
  <c r="AF346" i="64" a="1"/>
  <c r="AF346" i="64" s="1"/>
  <c r="AH346" i="64" a="1"/>
  <c r="AH346" i="64" s="1"/>
  <c r="AK346" i="64" a="1"/>
  <c r="AK346" i="64" s="1"/>
  <c r="AI346" i="64" a="1"/>
  <c r="AI346" i="64" s="1"/>
  <c r="AO345" i="64" a="1"/>
  <c r="AO345" i="64" s="1"/>
  <c r="AE335" i="64" a="1"/>
  <c r="AE335" i="64" s="1"/>
  <c r="AH335" i="64" a="1"/>
  <c r="AH335" i="64" s="1"/>
  <c r="AN335" i="64" a="1"/>
  <c r="AN335" i="64" s="1"/>
  <c r="AG335" i="64" a="1"/>
  <c r="AG335" i="64" s="1"/>
  <c r="AD335" i="64" a="1"/>
  <c r="AD335" i="64" s="1"/>
  <c r="AI335" i="64" a="1"/>
  <c r="AI335" i="64" s="1"/>
  <c r="AK335" i="64" a="1"/>
  <c r="AK335" i="64" s="1"/>
  <c r="AB335" i="64" a="1"/>
  <c r="AB335" i="64" s="1"/>
  <c r="AO334" i="64" a="1"/>
  <c r="AO334" i="64" s="1"/>
  <c r="AF335" i="64" a="1"/>
  <c r="AF335" i="64" s="1"/>
  <c r="AL335" i="64" a="1"/>
  <c r="AL335" i="64" s="1"/>
  <c r="AM335" i="64" a="1"/>
  <c r="AM335" i="64" s="1"/>
  <c r="AJ335" i="64" a="1"/>
  <c r="AJ335" i="64" s="1"/>
  <c r="AC335" i="64" a="1"/>
  <c r="AC335" i="64" s="1"/>
  <c r="AD309" i="64" a="1"/>
  <c r="AD309" i="64" s="1"/>
  <c r="AH309" i="64" a="1"/>
  <c r="AH309" i="64" s="1"/>
  <c r="AB309" i="64" a="1"/>
  <c r="AB309" i="64" s="1"/>
  <c r="AF309" i="64" a="1"/>
  <c r="AF309" i="64" s="1"/>
  <c r="AK309" i="64" a="1"/>
  <c r="AK309" i="64" s="1"/>
  <c r="AL309" i="64" a="1"/>
  <c r="AL309" i="64" s="1"/>
  <c r="AM309" i="64" a="1"/>
  <c r="AM309" i="64" s="1"/>
  <c r="AN309" i="64" a="1"/>
  <c r="AN309" i="64" s="1"/>
  <c r="AC309" i="64" a="1"/>
  <c r="AC309" i="64" s="1"/>
  <c r="AO308" i="64" a="1"/>
  <c r="AO308" i="64" s="1"/>
  <c r="AJ309" i="64" a="1"/>
  <c r="AJ309" i="64" s="1"/>
  <c r="AG309" i="64" a="1"/>
  <c r="AG309" i="64" s="1"/>
  <c r="AI309" i="64" a="1"/>
  <c r="AI309" i="64" s="1"/>
  <c r="AE309" i="64" a="1"/>
  <c r="AE309" i="64" s="1"/>
  <c r="AI336" i="64" a="1"/>
  <c r="AI336" i="64" s="1"/>
  <c r="AL336" i="64" a="1"/>
  <c r="AL336" i="64" s="1"/>
  <c r="AB336" i="64" a="1"/>
  <c r="AB336" i="64" s="1"/>
  <c r="AF336" i="64" a="1"/>
  <c r="AF336" i="64" s="1"/>
  <c r="AD336" i="64" a="1"/>
  <c r="AD336" i="64" s="1"/>
  <c r="AO335" i="64" a="1"/>
  <c r="AO335" i="64" s="1"/>
  <c r="AJ336" i="64" a="1"/>
  <c r="AJ336" i="64" s="1"/>
  <c r="AM336" i="64" a="1"/>
  <c r="AM336" i="64" s="1"/>
  <c r="AE336" i="64" a="1"/>
  <c r="AE336" i="64" s="1"/>
  <c r="AC336" i="64" a="1"/>
  <c r="AC336" i="64" s="1"/>
  <c r="AK336" i="64" a="1"/>
  <c r="AK336" i="64" s="1"/>
  <c r="AG336" i="64" a="1"/>
  <c r="AG336" i="64" s="1"/>
  <c r="AN336" i="64" a="1"/>
  <c r="AN336" i="64" s="1"/>
  <c r="AH336" i="64" a="1"/>
  <c r="AH336" i="64" s="1"/>
  <c r="AB321" i="64" a="1"/>
  <c r="AB321" i="64" s="1"/>
  <c r="AF321" i="64" a="1"/>
  <c r="AF321" i="64" s="1"/>
  <c r="AI321" i="64" a="1"/>
  <c r="AI321" i="64" s="1"/>
  <c r="AK321" i="64" a="1"/>
  <c r="AK321" i="64" s="1"/>
  <c r="AO320" i="64" a="1"/>
  <c r="AO320" i="64" s="1"/>
  <c r="AH321" i="64" a="1"/>
  <c r="AH321" i="64" s="1"/>
  <c r="AN321" i="64" a="1"/>
  <c r="AN321" i="64" s="1"/>
  <c r="AD321" i="64" a="1"/>
  <c r="AD321" i="64" s="1"/>
  <c r="AC321" i="64" a="1"/>
  <c r="AC321" i="64" s="1"/>
  <c r="AJ321" i="64" a="1"/>
  <c r="AJ321" i="64" s="1"/>
  <c r="AL321" i="64" a="1"/>
  <c r="AL321" i="64" s="1"/>
  <c r="AM321" i="64" a="1"/>
  <c r="AM321" i="64" s="1"/>
  <c r="AG321" i="64" a="1"/>
  <c r="AG321" i="64" s="1"/>
  <c r="AE321" i="64" a="1"/>
  <c r="AE321" i="64" s="1"/>
  <c r="AI341" i="64" a="1"/>
  <c r="AI341" i="64" s="1"/>
  <c r="AK341" i="64" a="1"/>
  <c r="AK341" i="64" s="1"/>
  <c r="AD341" i="64" a="1"/>
  <c r="AD341" i="64" s="1"/>
  <c r="AC341" i="64" a="1"/>
  <c r="AC341" i="64" s="1"/>
  <c r="AE341" i="64" a="1"/>
  <c r="AE341" i="64" s="1"/>
  <c r="AL341" i="64" a="1"/>
  <c r="AL341" i="64" s="1"/>
  <c r="AG341" i="64" a="1"/>
  <c r="AG341" i="64" s="1"/>
  <c r="AJ341" i="64" a="1"/>
  <c r="AJ341" i="64" s="1"/>
  <c r="AH341" i="64" a="1"/>
  <c r="AH341" i="64" s="1"/>
  <c r="AM341" i="64" a="1"/>
  <c r="AM341" i="64" s="1"/>
  <c r="AF341" i="64" a="1"/>
  <c r="AF341" i="64" s="1"/>
  <c r="AB341" i="64" a="1"/>
  <c r="AB341" i="64" s="1"/>
  <c r="AO340" i="64" a="1"/>
  <c r="AO340" i="64" s="1"/>
  <c r="AN341" i="64" a="1"/>
  <c r="AN341" i="64" s="1"/>
  <c r="AB332" i="64" a="1"/>
  <c r="AB332" i="64" s="1"/>
  <c r="AC332" i="64" a="1"/>
  <c r="AC332" i="64" s="1"/>
  <c r="AM332" i="64" a="1"/>
  <c r="AM332" i="64" s="1"/>
  <c r="AI332" i="64" a="1"/>
  <c r="AI332" i="64" s="1"/>
  <c r="AD332" i="64" a="1"/>
  <c r="AD332" i="64" s="1"/>
  <c r="AE332" i="64" a="1"/>
  <c r="AE332" i="64" s="1"/>
  <c r="AN332" i="64" a="1"/>
  <c r="AN332" i="64" s="1"/>
  <c r="AF332" i="64" a="1"/>
  <c r="AF332" i="64" s="1"/>
  <c r="AH332" i="64" a="1"/>
  <c r="AH332" i="64" s="1"/>
  <c r="AG332" i="64" a="1"/>
  <c r="AG332" i="64" s="1"/>
  <c r="AK332" i="64" a="1"/>
  <c r="AK332" i="64" s="1"/>
  <c r="AL332" i="64" a="1"/>
  <c r="AL332" i="64" s="1"/>
  <c r="AJ332" i="64" a="1"/>
  <c r="AJ332" i="64" s="1"/>
  <c r="AO331" i="64" a="1"/>
  <c r="AO331" i="64" s="1"/>
  <c r="AN339" i="64" a="1"/>
  <c r="AN339" i="64" s="1"/>
  <c r="AC339" i="64" a="1"/>
  <c r="AC339" i="64" s="1"/>
  <c r="AH339" i="64" a="1"/>
  <c r="AH339" i="64" s="1"/>
  <c r="AI339" i="64" a="1"/>
  <c r="AI339" i="64" s="1"/>
  <c r="AJ339" i="64" a="1"/>
  <c r="AJ339" i="64" s="1"/>
  <c r="AB339" i="64" a="1"/>
  <c r="AB339" i="64" s="1"/>
  <c r="AF339" i="64" a="1"/>
  <c r="AF339" i="64" s="1"/>
  <c r="AO338" i="64" a="1"/>
  <c r="AO338" i="64" s="1"/>
  <c r="AD339" i="64" a="1"/>
  <c r="AD339" i="64" s="1"/>
  <c r="AG339" i="64" a="1"/>
  <c r="AG339" i="64" s="1"/>
  <c r="AK339" i="64" a="1"/>
  <c r="AK339" i="64" s="1"/>
  <c r="AL339" i="64" a="1"/>
  <c r="AL339" i="64" s="1"/>
  <c r="AM339" i="64" a="1"/>
  <c r="AM339" i="64" s="1"/>
  <c r="AE339" i="64" a="1"/>
  <c r="AE339" i="64" s="1"/>
  <c r="AK338" i="64" a="1"/>
  <c r="AK338" i="64" s="1"/>
  <c r="AO337" i="64" a="1"/>
  <c r="AO337" i="64" s="1"/>
  <c r="AF338" i="64" a="1"/>
  <c r="AF338" i="64" s="1"/>
  <c r="AC338" i="64" a="1"/>
  <c r="AC338" i="64" s="1"/>
  <c r="AM338" i="64" a="1"/>
  <c r="AM338" i="64" s="1"/>
  <c r="AG338" i="64" a="1"/>
  <c r="AG338" i="64" s="1"/>
  <c r="AL338" i="64" a="1"/>
  <c r="AL338" i="64" s="1"/>
  <c r="AB338" i="64" a="1"/>
  <c r="AB338" i="64" s="1"/>
  <c r="AD338" i="64" a="1"/>
  <c r="AD338" i="64" s="1"/>
  <c r="AE338" i="64" a="1"/>
  <c r="AE338" i="64" s="1"/>
  <c r="AH338" i="64" a="1"/>
  <c r="AH338" i="64" s="1"/>
  <c r="AN338" i="64" a="1"/>
  <c r="AN338" i="64" s="1"/>
  <c r="AI338" i="64" a="1"/>
  <c r="AI338" i="64" s="1"/>
  <c r="AJ338" i="64" a="1"/>
  <c r="AJ338" i="64" s="1"/>
  <c r="AK329" i="64" a="1"/>
  <c r="AK329" i="64" s="1"/>
  <c r="AF329" i="64" a="1"/>
  <c r="AF329" i="64" s="1"/>
  <c r="AJ329" i="64" a="1"/>
  <c r="AJ329" i="64" s="1"/>
  <c r="AB329" i="64" a="1"/>
  <c r="AB329" i="64" s="1"/>
  <c r="AG329" i="64" a="1"/>
  <c r="AG329" i="64" s="1"/>
  <c r="AI329" i="64" a="1"/>
  <c r="AI329" i="64" s="1"/>
  <c r="AM329" i="64" a="1"/>
  <c r="AM329" i="64" s="1"/>
  <c r="AH329" i="64" a="1"/>
  <c r="AH329" i="64" s="1"/>
  <c r="AO328" i="64" a="1"/>
  <c r="AO328" i="64" s="1"/>
  <c r="AD329" i="64" a="1"/>
  <c r="AD329" i="64" s="1"/>
  <c r="AE329" i="64" a="1"/>
  <c r="AE329" i="64" s="1"/>
  <c r="AL329" i="64" a="1"/>
  <c r="AL329" i="64" s="1"/>
  <c r="AN329" i="64" a="1"/>
  <c r="AN329" i="64" s="1"/>
  <c r="AC329" i="64" a="1"/>
  <c r="AC329" i="64" s="1"/>
  <c r="AI313" i="64" a="1"/>
  <c r="AI313" i="64" s="1"/>
  <c r="AG313" i="64" a="1"/>
  <c r="AG313" i="64" s="1"/>
  <c r="AO312" i="64" a="1"/>
  <c r="AO312" i="64" s="1"/>
  <c r="AN313" i="64" a="1"/>
  <c r="AN313" i="64" s="1"/>
  <c r="AK313" i="64" a="1"/>
  <c r="AK313" i="64" s="1"/>
  <c r="AC313" i="64" a="1"/>
  <c r="AC313" i="64" s="1"/>
  <c r="AM313" i="64" a="1"/>
  <c r="AM313" i="64" s="1"/>
  <c r="AB313" i="64" a="1"/>
  <c r="AB313" i="64" s="1"/>
  <c r="AH313" i="64" a="1"/>
  <c r="AH313" i="64" s="1"/>
  <c r="AE313" i="64" a="1"/>
  <c r="AE313" i="64" s="1"/>
  <c r="AJ313" i="64" a="1"/>
  <c r="AJ313" i="64" s="1"/>
  <c r="AD313" i="64" a="1"/>
  <c r="AD313" i="64" s="1"/>
  <c r="AL313" i="64" a="1"/>
  <c r="AL313" i="64" s="1"/>
  <c r="AF313" i="64" a="1"/>
  <c r="AF313" i="64" s="1"/>
  <c r="AF328" i="64" a="1"/>
  <c r="AF328" i="64" s="1"/>
  <c r="AM328" i="64" a="1"/>
  <c r="AM328" i="64" s="1"/>
  <c r="AE328" i="64" a="1"/>
  <c r="AE328" i="64" s="1"/>
  <c r="AH328" i="64" a="1"/>
  <c r="AH328" i="64" s="1"/>
  <c r="AK328" i="64" a="1"/>
  <c r="AK328" i="64" s="1"/>
  <c r="AB328" i="64" a="1"/>
  <c r="AB328" i="64" s="1"/>
  <c r="AC328" i="64" a="1"/>
  <c r="AC328" i="64" s="1"/>
  <c r="AI328" i="64" a="1"/>
  <c r="AI328" i="64" s="1"/>
  <c r="AL328" i="64" a="1"/>
  <c r="AL328" i="64" s="1"/>
  <c r="AD328" i="64" a="1"/>
  <c r="AD328" i="64" s="1"/>
  <c r="AN328" i="64" a="1"/>
  <c r="AN328" i="64" s="1"/>
  <c r="AJ328" i="64" a="1"/>
  <c r="AJ328" i="64" s="1"/>
  <c r="AO327" i="64" a="1"/>
  <c r="AO327" i="64" s="1"/>
  <c r="AG328" i="64" a="1"/>
  <c r="AG328" i="64" s="1"/>
  <c r="AJ351" i="64" a="1"/>
  <c r="AJ351" i="64" s="1"/>
  <c r="AL351" i="64" a="1"/>
  <c r="AL351" i="64" s="1"/>
  <c r="AD351" i="64" a="1"/>
  <c r="AD351" i="64" s="1"/>
  <c r="AE351" i="64" a="1"/>
  <c r="AE351" i="64" s="1"/>
  <c r="AO350" i="64" a="1"/>
  <c r="AO350" i="64" s="1"/>
  <c r="AG351" i="64" a="1"/>
  <c r="AG351" i="64" s="1"/>
  <c r="AI351" i="64" a="1"/>
  <c r="AI351" i="64" s="1"/>
  <c r="AB351" i="64" a="1"/>
  <c r="AB351" i="64" s="1"/>
  <c r="AM351" i="64" a="1"/>
  <c r="AM351" i="64" s="1"/>
  <c r="AK351" i="64" a="1"/>
  <c r="AK351" i="64" s="1"/>
  <c r="AF351" i="64" a="1"/>
  <c r="AF351" i="64" s="1"/>
  <c r="AC351" i="64" a="1"/>
  <c r="AC351" i="64" s="1"/>
  <c r="AN351" i="64" a="1"/>
  <c r="AN351" i="64" s="1"/>
  <c r="AH351" i="64" a="1"/>
  <c r="AH351" i="64" s="1"/>
  <c r="AC333" i="64" a="1"/>
  <c r="AC333" i="64" s="1"/>
  <c r="AF333" i="64" a="1"/>
  <c r="AF333" i="64" s="1"/>
  <c r="AN333" i="64" a="1"/>
  <c r="AN333" i="64" s="1"/>
  <c r="AI333" i="64" a="1"/>
  <c r="AI333" i="64" s="1"/>
  <c r="AL333" i="64" a="1"/>
  <c r="AL333" i="64" s="1"/>
  <c r="AB333" i="64" a="1"/>
  <c r="AB333" i="64" s="1"/>
  <c r="AD333" i="64" a="1"/>
  <c r="AD333" i="64" s="1"/>
  <c r="AJ333" i="64" a="1"/>
  <c r="AJ333" i="64" s="1"/>
  <c r="AO332" i="64" a="1"/>
  <c r="AO332" i="64" s="1"/>
  <c r="AE333" i="64" a="1"/>
  <c r="AE333" i="64" s="1"/>
  <c r="AK333" i="64" a="1"/>
  <c r="AK333" i="64" s="1"/>
  <c r="AG333" i="64" a="1"/>
  <c r="AG333" i="64" s="1"/>
  <c r="AH333" i="64" a="1"/>
  <c r="AH333" i="64" s="1"/>
  <c r="AM333" i="64" a="1"/>
  <c r="AM333" i="64" s="1"/>
  <c r="AF324" i="64" a="1"/>
  <c r="AF324" i="64" s="1"/>
  <c r="AM324" i="64" a="1"/>
  <c r="AM324" i="64" s="1"/>
  <c r="AE324" i="64" a="1"/>
  <c r="AE324" i="64" s="1"/>
  <c r="AL324" i="64" a="1"/>
  <c r="AL324" i="64" s="1"/>
  <c r="AH324" i="64" a="1"/>
  <c r="AH324" i="64" s="1"/>
  <c r="AK324" i="64" a="1"/>
  <c r="AK324" i="64" s="1"/>
  <c r="AD324" i="64" a="1"/>
  <c r="AD324" i="64" s="1"/>
  <c r="AC324" i="64" a="1"/>
  <c r="AC324" i="64" s="1"/>
  <c r="AJ324" i="64" a="1"/>
  <c r="AJ324" i="64" s="1"/>
  <c r="AO323" i="64" a="1"/>
  <c r="AO323" i="64" s="1"/>
  <c r="AG324" i="64" a="1"/>
  <c r="AG324" i="64" s="1"/>
  <c r="AB324" i="64" a="1"/>
  <c r="AB324" i="64" s="1"/>
  <c r="AN324" i="64" a="1"/>
  <c r="AN324" i="64" s="1"/>
  <c r="AI324" i="64" a="1"/>
  <c r="AI324" i="64" s="1"/>
  <c r="AF331" i="64" a="1"/>
  <c r="AF331" i="64" s="1"/>
  <c r="AC331" i="64" a="1"/>
  <c r="AC331" i="64" s="1"/>
  <c r="AM331" i="64" a="1"/>
  <c r="AM331" i="64" s="1"/>
  <c r="AD331" i="64" a="1"/>
  <c r="AD331" i="64" s="1"/>
  <c r="AL331" i="64" a="1"/>
  <c r="AL331" i="64" s="1"/>
  <c r="AO330" i="64" a="1"/>
  <c r="AO330" i="64" s="1"/>
  <c r="AI331" i="64" a="1"/>
  <c r="AI331" i="64" s="1"/>
  <c r="AJ331" i="64" a="1"/>
  <c r="AJ331" i="64" s="1"/>
  <c r="AB331" i="64" a="1"/>
  <c r="AB331" i="64" s="1"/>
  <c r="AK331" i="64" a="1"/>
  <c r="AK331" i="64" s="1"/>
  <c r="AH331" i="64" a="1"/>
  <c r="AH331" i="64" s="1"/>
  <c r="AG331" i="64" a="1"/>
  <c r="AG331" i="64" s="1"/>
  <c r="AN331" i="64" a="1"/>
  <c r="AN331" i="64" s="1"/>
  <c r="AE331" i="64" a="1"/>
  <c r="AE331" i="64" s="1"/>
  <c r="AC330" i="64" a="1"/>
  <c r="AC330" i="64" s="1"/>
  <c r="AH330" i="64" a="1"/>
  <c r="AH330" i="64" s="1"/>
  <c r="AE330" i="64" a="1"/>
  <c r="AE330" i="64" s="1"/>
  <c r="AN330" i="64" a="1"/>
  <c r="AN330" i="64" s="1"/>
  <c r="AF330" i="64" a="1"/>
  <c r="AF330" i="64" s="1"/>
  <c r="AG330" i="64" a="1"/>
  <c r="AG330" i="64" s="1"/>
  <c r="AM330" i="64" a="1"/>
  <c r="AM330" i="64" s="1"/>
  <c r="AO329" i="64" a="1"/>
  <c r="AO329" i="64" s="1"/>
  <c r="AD330" i="64" a="1"/>
  <c r="AD330" i="64" s="1"/>
  <c r="AJ330" i="64" a="1"/>
  <c r="AJ330" i="64" s="1"/>
  <c r="AB330" i="64" a="1"/>
  <c r="AB330" i="64" s="1"/>
  <c r="AL330" i="64" a="1"/>
  <c r="AL330" i="64" s="1"/>
  <c r="AI330" i="64" a="1"/>
  <c r="AI330" i="64" s="1"/>
  <c r="AK330" i="64" a="1"/>
  <c r="AK330" i="64" s="1"/>
  <c r="AC337" i="64" a="1"/>
  <c r="AC337" i="64" s="1"/>
  <c r="AF337" i="64" a="1"/>
  <c r="AF337" i="64" s="1"/>
  <c r="AG337" i="64" a="1"/>
  <c r="AG337" i="64" s="1"/>
  <c r="AN337" i="64" a="1"/>
  <c r="AN337" i="64" s="1"/>
  <c r="AK337" i="64" a="1"/>
  <c r="AK337" i="64" s="1"/>
  <c r="AE337" i="64" a="1"/>
  <c r="AE337" i="64" s="1"/>
  <c r="AL337" i="64" a="1"/>
  <c r="AL337" i="64" s="1"/>
  <c r="AJ337" i="64" a="1"/>
  <c r="AJ337" i="64" s="1"/>
  <c r="AO336" i="64" a="1"/>
  <c r="AO336" i="64" s="1"/>
  <c r="AM337" i="64" a="1"/>
  <c r="AM337" i="64" s="1"/>
  <c r="AH337" i="64" a="1"/>
  <c r="AH337" i="64" s="1"/>
  <c r="AB337" i="64" a="1"/>
  <c r="AB337" i="64" s="1"/>
  <c r="AD337" i="64" a="1"/>
  <c r="AD337" i="64" s="1"/>
  <c r="AI337" i="64" a="1"/>
  <c r="AI337" i="64" s="1"/>
  <c r="AH301" i="64" a="1"/>
  <c r="AH301" i="64" s="1"/>
  <c r="AF301" i="64" a="1"/>
  <c r="AF301" i="64" s="1"/>
  <c r="AB301" i="64" a="1"/>
  <c r="AB301" i="64" s="1"/>
  <c r="AE301" i="64" a="1"/>
  <c r="AE301" i="64" s="1"/>
  <c r="AD301" i="64" a="1"/>
  <c r="AD301" i="64" s="1"/>
  <c r="AJ301" i="64" a="1"/>
  <c r="AJ301" i="64" s="1"/>
  <c r="AI301" i="64" a="1"/>
  <c r="AI301" i="64" s="1"/>
  <c r="AG301" i="64" a="1"/>
  <c r="AG301" i="64" s="1"/>
  <c r="AK301" i="64" a="1"/>
  <c r="AK301" i="64" s="1"/>
  <c r="AC301" i="64" a="1"/>
  <c r="AC301" i="64" s="1"/>
  <c r="AL301" i="64" a="1"/>
  <c r="AL301" i="64" s="1"/>
  <c r="AK320" i="64" a="1"/>
  <c r="AK320" i="64" s="1"/>
  <c r="AC320" i="64" a="1"/>
  <c r="AC320" i="64" s="1"/>
  <c r="AJ320" i="64" a="1"/>
  <c r="AJ320" i="64" s="1"/>
  <c r="AE320" i="64" a="1"/>
  <c r="AE320" i="64" s="1"/>
  <c r="AG320" i="64" a="1"/>
  <c r="AG320" i="64" s="1"/>
  <c r="AH320" i="64" a="1"/>
  <c r="AH320" i="64" s="1"/>
  <c r="AO319" i="64" a="1"/>
  <c r="AO319" i="64" s="1"/>
  <c r="AI320" i="64" a="1"/>
  <c r="AI320" i="64" s="1"/>
  <c r="AN320" i="64" a="1"/>
  <c r="AN320" i="64" s="1"/>
  <c r="AF320" i="64" a="1"/>
  <c r="AF320" i="64" s="1"/>
  <c r="AD320" i="64" a="1"/>
  <c r="AD320" i="64" s="1"/>
  <c r="AB320" i="64" a="1"/>
  <c r="AB320" i="64" s="1"/>
  <c r="AL320" i="64" a="1"/>
  <c r="AL320" i="64" s="1"/>
  <c r="AM320" i="64" a="1"/>
  <c r="AM320" i="64" s="1"/>
  <c r="AB319" i="64" a="1"/>
  <c r="AB319" i="64" s="1"/>
  <c r="AN319" i="64" a="1"/>
  <c r="AN319" i="64" s="1"/>
  <c r="AF319" i="64" a="1"/>
  <c r="AF319" i="64" s="1"/>
  <c r="AC319" i="64" a="1"/>
  <c r="AC319" i="64" s="1"/>
  <c r="AL319" i="64" a="1"/>
  <c r="AL319" i="64" s="1"/>
  <c r="AO318" i="64" a="1"/>
  <c r="AO318" i="64" s="1"/>
  <c r="AH319" i="64" a="1"/>
  <c r="AH319" i="64" s="1"/>
  <c r="AI319" i="64" a="1"/>
  <c r="AI319" i="64" s="1"/>
  <c r="AJ319" i="64" a="1"/>
  <c r="AJ319" i="64" s="1"/>
  <c r="AD319" i="64" a="1"/>
  <c r="AD319" i="64" s="1"/>
  <c r="AM319" i="64" a="1"/>
  <c r="AM319" i="64" s="1"/>
  <c r="AK319" i="64" a="1"/>
  <c r="AK319" i="64" s="1"/>
  <c r="AG319" i="64" a="1"/>
  <c r="AG319" i="64" s="1"/>
  <c r="AE319" i="64" a="1"/>
  <c r="AE319" i="64" s="1"/>
  <c r="AE325" i="64" a="1"/>
  <c r="AE325" i="64" s="1"/>
  <c r="AB325" i="64" a="1"/>
  <c r="AB325" i="64" s="1"/>
  <c r="AL325" i="64" a="1"/>
  <c r="AL325" i="64" s="1"/>
  <c r="AM325" i="64" a="1"/>
  <c r="AM325" i="64" s="1"/>
  <c r="AF325" i="64" a="1"/>
  <c r="AF325" i="64" s="1"/>
  <c r="AK325" i="64" a="1"/>
  <c r="AK325" i="64" s="1"/>
  <c r="AD325" i="64" a="1"/>
  <c r="AD325" i="64" s="1"/>
  <c r="AG325" i="64" a="1"/>
  <c r="AG325" i="64" s="1"/>
  <c r="AI325" i="64" a="1"/>
  <c r="AI325" i="64" s="1"/>
  <c r="AJ325" i="64" a="1"/>
  <c r="AJ325" i="64" s="1"/>
  <c r="AO324" i="64" a="1"/>
  <c r="AO324" i="64" s="1"/>
  <c r="AN325" i="64" a="1"/>
  <c r="AN325" i="64" s="1"/>
  <c r="AC325" i="64" a="1"/>
  <c r="AC325" i="64" s="1"/>
  <c r="AH325" i="64" a="1"/>
  <c r="AH325" i="64" s="1"/>
  <c r="AK316" i="64" a="1"/>
  <c r="AK316" i="64" s="1"/>
  <c r="AH316" i="64" a="1"/>
  <c r="AH316" i="64" s="1"/>
  <c r="AI316" i="64" a="1"/>
  <c r="AI316" i="64" s="1"/>
  <c r="AO315" i="64" a="1"/>
  <c r="AO315" i="64" s="1"/>
  <c r="AJ316" i="64" a="1"/>
  <c r="AJ316" i="64" s="1"/>
  <c r="AB316" i="64" a="1"/>
  <c r="AB316" i="64" s="1"/>
  <c r="AG316" i="64" a="1"/>
  <c r="AG316" i="64" s="1"/>
  <c r="AL316" i="64" a="1"/>
  <c r="AL316" i="64" s="1"/>
  <c r="AM316" i="64" a="1"/>
  <c r="AM316" i="64" s="1"/>
  <c r="AN316" i="64" a="1"/>
  <c r="AN316" i="64" s="1"/>
  <c r="AC316" i="64" a="1"/>
  <c r="AC316" i="64" s="1"/>
  <c r="AE316" i="64" a="1"/>
  <c r="AE316" i="64" s="1"/>
  <c r="AD316" i="64" a="1"/>
  <c r="AD316" i="64" s="1"/>
  <c r="AF316" i="64" a="1"/>
  <c r="AF316" i="64" s="1"/>
  <c r="AK323" i="64" a="1"/>
  <c r="AK323" i="64" s="1"/>
  <c r="AE323" i="64" a="1"/>
  <c r="AE323" i="64" s="1"/>
  <c r="AN323" i="64" a="1"/>
  <c r="AN323" i="64" s="1"/>
  <c r="AB323" i="64" a="1"/>
  <c r="AB323" i="64" s="1"/>
  <c r="AG323" i="64" a="1"/>
  <c r="AG323" i="64" s="1"/>
  <c r="AI323" i="64" a="1"/>
  <c r="AI323" i="64" s="1"/>
  <c r="AC323" i="64" a="1"/>
  <c r="AC323" i="64" s="1"/>
  <c r="AO322" i="64" a="1"/>
  <c r="AO322" i="64" s="1"/>
  <c r="AH323" i="64" a="1"/>
  <c r="AH323" i="64" s="1"/>
  <c r="AD323" i="64" a="1"/>
  <c r="AD323" i="64" s="1"/>
  <c r="AJ323" i="64" a="1"/>
  <c r="AJ323" i="64" s="1"/>
  <c r="AM323" i="64" a="1"/>
  <c r="AM323" i="64" s="1"/>
  <c r="AL323" i="64" a="1"/>
  <c r="AL323" i="64" s="1"/>
  <c r="AF323" i="64" a="1"/>
  <c r="AF323" i="64" s="1"/>
  <c r="AN322" i="64" a="1"/>
  <c r="AN322" i="64" s="1"/>
  <c r="AO321" i="64" a="1"/>
  <c r="AO321" i="64" s="1"/>
  <c r="AL322" i="64" a="1"/>
  <c r="AL322" i="64" s="1"/>
  <c r="AC322" i="64" a="1"/>
  <c r="AC322" i="64" s="1"/>
  <c r="AG322" i="64" a="1"/>
  <c r="AG322" i="64" s="1"/>
  <c r="AH322" i="64" a="1"/>
  <c r="AH322" i="64" s="1"/>
  <c r="AB322" i="64" a="1"/>
  <c r="AB322" i="64" s="1"/>
  <c r="AE322" i="64" a="1"/>
  <c r="AE322" i="64" s="1"/>
  <c r="AI322" i="64" a="1"/>
  <c r="AI322" i="64" s="1"/>
  <c r="AD322" i="64" a="1"/>
  <c r="AD322" i="64" s="1"/>
  <c r="AK322" i="64" a="1"/>
  <c r="AK322" i="64" s="1"/>
  <c r="AJ322" i="64" a="1"/>
  <c r="AJ322" i="64" s="1"/>
  <c r="AF322" i="64" a="1"/>
  <c r="AF322" i="64" s="1"/>
  <c r="AM322" i="64" a="1"/>
  <c r="AM322" i="64" s="1"/>
  <c r="AK342" i="64" a="1"/>
  <c r="AK342" i="64" s="1"/>
  <c r="AO341" i="64" a="1"/>
  <c r="AO341" i="64" s="1"/>
  <c r="AL342" i="64" a="1"/>
  <c r="AL342" i="64" s="1"/>
  <c r="AN342" i="64" a="1"/>
  <c r="AN342" i="64" s="1"/>
  <c r="AI342" i="64" a="1"/>
  <c r="AI342" i="64" s="1"/>
  <c r="AB342" i="64" a="1"/>
  <c r="AB342" i="64" s="1"/>
  <c r="AH342" i="64" a="1"/>
  <c r="AH342" i="64" s="1"/>
  <c r="AD342" i="64" a="1"/>
  <c r="AD342" i="64" s="1"/>
  <c r="AE342" i="64" a="1"/>
  <c r="AE342" i="64" s="1"/>
  <c r="AM342" i="64" a="1"/>
  <c r="AM342" i="64" s="1"/>
  <c r="AF342" i="64" a="1"/>
  <c r="AF342" i="64" s="1"/>
  <c r="AJ342" i="64" a="1"/>
  <c r="AJ342" i="64" s="1"/>
  <c r="AG342" i="64" a="1"/>
  <c r="AG342" i="64" s="1"/>
  <c r="AC342" i="64" a="1"/>
  <c r="AC342" i="64" s="1"/>
  <c r="AB310" i="64" a="1"/>
  <c r="AB310" i="64" s="1"/>
  <c r="AH310" i="64" a="1"/>
  <c r="AH310" i="64" s="1"/>
  <c r="AG310" i="64" a="1"/>
  <c r="AG310" i="64" s="1"/>
  <c r="AJ310" i="64" a="1"/>
  <c r="AJ310" i="64" s="1"/>
  <c r="AK310" i="64" a="1"/>
  <c r="AK310" i="64" s="1"/>
  <c r="AM310" i="64" a="1"/>
  <c r="AM310" i="64" s="1"/>
  <c r="AI310" i="64" a="1"/>
  <c r="AI310" i="64" s="1"/>
  <c r="AF310" i="64" a="1"/>
  <c r="AF310" i="64" s="1"/>
  <c r="AN310" i="64" a="1"/>
  <c r="AN310" i="64" s="1"/>
  <c r="AC310" i="64" a="1"/>
  <c r="AC310" i="64" s="1"/>
  <c r="AO309" i="64" a="1"/>
  <c r="AO309" i="64" s="1"/>
  <c r="AD310" i="64" a="1"/>
  <c r="AD310" i="64" s="1"/>
  <c r="AL310" i="64" a="1"/>
  <c r="AL310" i="64" s="1"/>
  <c r="AE310" i="64" a="1"/>
  <c r="AE310" i="64" s="1"/>
  <c r="AO306" i="64" a="1"/>
  <c r="AO306" i="64" s="1"/>
  <c r="AD307" i="64" a="1"/>
  <c r="AD307" i="64" s="1"/>
  <c r="AL307" i="64" a="1"/>
  <c r="AL307" i="64" s="1"/>
  <c r="AF307" i="64" a="1"/>
  <c r="AF307" i="64" s="1"/>
  <c r="AK307" i="64" a="1"/>
  <c r="AK307" i="64" s="1"/>
  <c r="AH307" i="64" a="1"/>
  <c r="AH307" i="64" s="1"/>
  <c r="AB307" i="64" a="1"/>
  <c r="AB307" i="64" s="1"/>
  <c r="AN307" i="64" a="1"/>
  <c r="AN307" i="64" s="1"/>
  <c r="AM307" i="64" a="1"/>
  <c r="AM307" i="64" s="1"/>
  <c r="AC307" i="64" a="1"/>
  <c r="AC307" i="64" s="1"/>
  <c r="AI307" i="64" a="1"/>
  <c r="AI307" i="64" s="1"/>
  <c r="AJ307" i="64" a="1"/>
  <c r="AJ307" i="64" s="1"/>
  <c r="AE307" i="64" a="1"/>
  <c r="AE307" i="64" s="1"/>
  <c r="AG307" i="64" a="1"/>
  <c r="AG307" i="64" s="1"/>
  <c r="AE350" i="64" a="1"/>
  <c r="AE350" i="64" s="1"/>
  <c r="AB350" i="64" a="1"/>
  <c r="AB350" i="64" s="1"/>
  <c r="AK350" i="64" a="1"/>
  <c r="AK350" i="64" s="1"/>
  <c r="AD350" i="64" a="1"/>
  <c r="AD350" i="64" s="1"/>
  <c r="AO349" i="64" a="1"/>
  <c r="AO349" i="64" s="1"/>
  <c r="AI350" i="64" a="1"/>
  <c r="AI350" i="64" s="1"/>
  <c r="AF350" i="64" a="1"/>
  <c r="AF350" i="64" s="1"/>
  <c r="AM350" i="64" a="1"/>
  <c r="AM350" i="64" s="1"/>
  <c r="AJ350" i="64" a="1"/>
  <c r="AJ350" i="64" s="1"/>
  <c r="AN350" i="64" a="1"/>
  <c r="AN350" i="64" s="1"/>
  <c r="AG350" i="64" a="1"/>
  <c r="AG350" i="64" s="1"/>
  <c r="AC350" i="64" a="1"/>
  <c r="AC350" i="64" s="1"/>
  <c r="AL350" i="64" a="1"/>
  <c r="AL350" i="64" s="1"/>
  <c r="AH350" i="64" a="1"/>
  <c r="AH350" i="64" s="1"/>
  <c r="AB317" i="64" a="1"/>
  <c r="AB317" i="64" s="1"/>
  <c r="AE317" i="64" a="1"/>
  <c r="AE317" i="64" s="1"/>
  <c r="AJ317" i="64" a="1"/>
  <c r="AJ317" i="64" s="1"/>
  <c r="AC317" i="64" a="1"/>
  <c r="AC317" i="64" s="1"/>
  <c r="AG317" i="64" a="1"/>
  <c r="AG317" i="64" s="1"/>
  <c r="AI317" i="64" a="1"/>
  <c r="AI317" i="64" s="1"/>
  <c r="AF317" i="64" a="1"/>
  <c r="AF317" i="64" s="1"/>
  <c r="AL317" i="64" a="1"/>
  <c r="AL317" i="64" s="1"/>
  <c r="AO316" i="64" a="1"/>
  <c r="AO316" i="64" s="1"/>
  <c r="AD317" i="64" a="1"/>
  <c r="AD317" i="64" s="1"/>
  <c r="AK317" i="64" a="1"/>
  <c r="AK317" i="64" s="1"/>
  <c r="AH317" i="64" a="1"/>
  <c r="AH317" i="64" s="1"/>
  <c r="AM317" i="64" a="1"/>
  <c r="AM317" i="64" s="1"/>
  <c r="AN317" i="64" a="1"/>
  <c r="AN317" i="64" s="1"/>
  <c r="AH353" i="64" a="1"/>
  <c r="AH353" i="64" s="1"/>
  <c r="AF353" i="64" a="1"/>
  <c r="AF353" i="64" s="1"/>
  <c r="AD353" i="64" a="1"/>
  <c r="AD353" i="64" s="1"/>
  <c r="AL353" i="64" a="1"/>
  <c r="AL353" i="64" s="1"/>
  <c r="AG353" i="64" a="1"/>
  <c r="AG353" i="64" s="1"/>
  <c r="AK353" i="64" a="1"/>
  <c r="AK353" i="64" s="1"/>
  <c r="AO352" i="64" a="1"/>
  <c r="AO352" i="64" s="1"/>
  <c r="AI353" i="64" a="1"/>
  <c r="AI353" i="64" s="1"/>
  <c r="AN353" i="64" a="1"/>
  <c r="AN353" i="64" s="1"/>
  <c r="AB353" i="64" a="1"/>
  <c r="AB353" i="64" s="1"/>
  <c r="AC353" i="64" a="1"/>
  <c r="AC353" i="64" s="1"/>
  <c r="AJ353" i="64" a="1"/>
  <c r="AJ353" i="64" s="1"/>
  <c r="AM353" i="64" a="1"/>
  <c r="AM353" i="64" s="1"/>
  <c r="AE353" i="64" a="1"/>
  <c r="AE353" i="64" s="1"/>
  <c r="AJ315" i="64" a="1"/>
  <c r="AJ315" i="64" s="1"/>
  <c r="AO314" i="64" a="1"/>
  <c r="AO314" i="64" s="1"/>
  <c r="AG315" i="64" a="1"/>
  <c r="AG315" i="64" s="1"/>
  <c r="AM315" i="64" a="1"/>
  <c r="AM315" i="64" s="1"/>
  <c r="AE315" i="64" a="1"/>
  <c r="AE315" i="64" s="1"/>
  <c r="AL315" i="64" a="1"/>
  <c r="AL315" i="64" s="1"/>
  <c r="AN315" i="64" a="1"/>
  <c r="AN315" i="64" s="1"/>
  <c r="AF315" i="64" a="1"/>
  <c r="AF315" i="64" s="1"/>
  <c r="AC315" i="64" a="1"/>
  <c r="AC315" i="64" s="1"/>
  <c r="AH315" i="64" a="1"/>
  <c r="AH315" i="64" s="1"/>
  <c r="AB315" i="64" a="1"/>
  <c r="AB315" i="64" s="1"/>
  <c r="AI315" i="64" a="1"/>
  <c r="AI315" i="64" s="1"/>
  <c r="AD315" i="64" a="1"/>
  <c r="AD315" i="64" s="1"/>
  <c r="AK315" i="64" a="1"/>
  <c r="AK315" i="64" s="1"/>
  <c r="AC314" i="64" a="1"/>
  <c r="AC314" i="64" s="1"/>
  <c r="AE314" i="64" a="1"/>
  <c r="AE314" i="64" s="1"/>
  <c r="AL314" i="64" a="1"/>
  <c r="AL314" i="64" s="1"/>
  <c r="AB314" i="64" a="1"/>
  <c r="AB314" i="64" s="1"/>
  <c r="AO313" i="64" a="1"/>
  <c r="AO313" i="64" s="1"/>
  <c r="AM314" i="64" a="1"/>
  <c r="AM314" i="64" s="1"/>
  <c r="AI314" i="64" a="1"/>
  <c r="AI314" i="64" s="1"/>
  <c r="AH314" i="64" a="1"/>
  <c r="AH314" i="64" s="1"/>
  <c r="AD314" i="64" a="1"/>
  <c r="AD314" i="64" s="1"/>
  <c r="AF314" i="64" a="1"/>
  <c r="AF314" i="64" s="1"/>
  <c r="AG314" i="64" a="1"/>
  <c r="AG314" i="64" s="1"/>
  <c r="AN314" i="64" a="1"/>
  <c r="AN314" i="64" s="1"/>
  <c r="AJ314" i="64" a="1"/>
  <c r="AJ314" i="64" s="1"/>
  <c r="AK314" i="64" a="1"/>
  <c r="AK314" i="64" s="1"/>
  <c r="L906" i="64" l="1"/>
  <c r="L905" i="64"/>
  <c r="L904" i="64"/>
  <c r="L903" i="64"/>
  <c r="L902" i="64"/>
  <c r="L901" i="64"/>
  <c r="L900" i="64"/>
  <c r="L899" i="64"/>
  <c r="L898" i="64"/>
  <c r="L897" i="64"/>
  <c r="L896" i="64"/>
  <c r="L891" i="64"/>
  <c r="L890" i="64"/>
  <c r="L889" i="64"/>
  <c r="L888" i="64"/>
  <c r="L887" i="64"/>
  <c r="L886" i="64"/>
  <c r="L885" i="64"/>
  <c r="L884" i="64"/>
  <c r="L883" i="64"/>
  <c r="L882" i="64"/>
  <c r="L881" i="64"/>
  <c r="L876" i="64"/>
  <c r="L875" i="64"/>
  <c r="L874" i="64"/>
  <c r="L873" i="64"/>
  <c r="L872" i="64"/>
  <c r="L871" i="64"/>
  <c r="L870" i="64"/>
  <c r="L869" i="64"/>
  <c r="L868" i="64"/>
  <c r="L867" i="64"/>
  <c r="L866" i="64"/>
  <c r="L865" i="64"/>
  <c r="L860" i="64"/>
  <c r="L859" i="64"/>
  <c r="L858" i="64"/>
  <c r="L857" i="64"/>
  <c r="L856" i="64"/>
  <c r="L855" i="64"/>
  <c r="L854" i="64"/>
  <c r="L853" i="64"/>
  <c r="L852" i="64"/>
  <c r="L851" i="64"/>
  <c r="L850" i="64"/>
  <c r="L849" i="64"/>
  <c r="L844" i="64"/>
  <c r="L843" i="64"/>
  <c r="L842" i="64"/>
  <c r="L841" i="64"/>
  <c r="L840" i="64"/>
  <c r="L839" i="64"/>
  <c r="L838" i="64"/>
  <c r="L837" i="64"/>
  <c r="L836" i="64"/>
  <c r="L835" i="64"/>
  <c r="L834" i="64"/>
  <c r="L833" i="64"/>
  <c r="L832" i="64"/>
  <c r="L831" i="64"/>
  <c r="L830" i="64"/>
  <c r="L829" i="64"/>
  <c r="L828" i="64"/>
  <c r="L827" i="64"/>
  <c r="L826" i="64"/>
  <c r="H798" i="64"/>
  <c r="H797" i="64"/>
  <c r="X83" i="2" s="1"/>
  <c r="AB83" i="2" s="1"/>
  <c r="H796" i="64"/>
  <c r="Y458" i="64"/>
  <c r="A285" i="64"/>
  <c r="A284" i="64"/>
  <c r="A283" i="64"/>
  <c r="A282" i="64"/>
  <c r="A281" i="64"/>
  <c r="A280" i="64"/>
  <c r="A279" i="64"/>
  <c r="A278" i="64"/>
  <c r="A277" i="64"/>
  <c r="A276" i="64"/>
  <c r="A275" i="64"/>
  <c r="A201" i="64"/>
  <c r="A200" i="64"/>
  <c r="A195" i="64"/>
  <c r="A194" i="64"/>
  <c r="A189" i="64"/>
  <c r="A188" i="64"/>
  <c r="A183" i="64"/>
  <c r="A182" i="64"/>
  <c r="S29" i="64" s="1"/>
  <c r="A177" i="64"/>
  <c r="A176" i="64"/>
  <c r="A171" i="64"/>
  <c r="A170" i="64"/>
  <c r="A165" i="64"/>
  <c r="A164" i="64"/>
  <c r="A159" i="64"/>
  <c r="A158" i="64"/>
  <c r="S25" i="64" s="1"/>
  <c r="A153" i="64"/>
  <c r="S24" i="64" s="1"/>
  <c r="B4" i="50"/>
  <c r="S28" i="64" l="1"/>
  <c r="S32" i="64"/>
  <c r="S26" i="64"/>
  <c r="S30" i="64"/>
  <c r="S27" i="64"/>
  <c r="S31" i="64"/>
  <c r="S34" i="64"/>
  <c r="X85" i="2"/>
  <c r="U85" i="2" s="1" a="1"/>
  <c r="U85" i="2" s="1"/>
  <c r="T26" i="64"/>
  <c r="T30" i="64"/>
  <c r="T27" i="64"/>
  <c r="T31" i="64"/>
  <c r="T28" i="64"/>
  <c r="T32" i="64"/>
  <c r="T24" i="64"/>
  <c r="T25" i="64"/>
  <c r="T29" i="64"/>
  <c r="T34" i="64"/>
  <c r="AD83" i="2"/>
  <c r="AC83" i="2"/>
  <c r="D57" i="12" s="1"/>
  <c r="AB401" i="64" a="1"/>
  <c r="AB401" i="64" s="1"/>
  <c r="AB405" i="64" a="1"/>
  <c r="AB405" i="64" s="1"/>
  <c r="AB398" i="64" a="1"/>
  <c r="AB398" i="64" s="1"/>
  <c r="AB406" i="64" a="1"/>
  <c r="AB406" i="64" s="1"/>
  <c r="AB395" i="64" a="1"/>
  <c r="AB395" i="64" s="1"/>
  <c r="AB409" i="64" a="1"/>
  <c r="AB409" i="64" s="1"/>
  <c r="AB408" i="64" a="1"/>
  <c r="AB408" i="64" s="1"/>
  <c r="AB400" i="64" a="1"/>
  <c r="AB400" i="64" s="1"/>
  <c r="AB404" i="64" a="1"/>
  <c r="AB404" i="64" s="1"/>
  <c r="AB402" i="64" a="1"/>
  <c r="AB402" i="64" s="1"/>
  <c r="AB396" i="64" a="1"/>
  <c r="AB396" i="64" s="1"/>
  <c r="AB397" i="64" a="1"/>
  <c r="AB397" i="64" s="1"/>
  <c r="AB407" i="64" a="1"/>
  <c r="AB407" i="64" s="1"/>
  <c r="AB403" i="64" a="1"/>
  <c r="AB403" i="64" s="1"/>
  <c r="Z300" i="64"/>
  <c r="C103" i="1"/>
  <c r="J46" i="2"/>
  <c r="J45" i="2"/>
  <c r="J44" i="2"/>
  <c r="J47" i="2"/>
  <c r="J48" i="2"/>
  <c r="J49" i="2"/>
  <c r="J50" i="2"/>
  <c r="J51" i="2"/>
  <c r="J52" i="2"/>
  <c r="J53" i="2"/>
  <c r="H23" i="8"/>
  <c r="B41" i="7"/>
  <c r="H28" i="7" s="1"/>
  <c r="B58" i="7"/>
  <c r="H51" i="7" s="1"/>
  <c r="B77" i="7"/>
  <c r="H64" i="7" s="1"/>
  <c r="R45" i="2"/>
  <c r="F36" i="12" s="1"/>
  <c r="R46" i="2"/>
  <c r="F37" i="12" s="1"/>
  <c r="R47" i="2"/>
  <c r="F38" i="12" s="1"/>
  <c r="R48" i="2"/>
  <c r="F39" i="12" s="1"/>
  <c r="R49" i="2"/>
  <c r="F40" i="12" s="1"/>
  <c r="R50" i="2"/>
  <c r="F41" i="12" s="1"/>
  <c r="R51" i="2"/>
  <c r="F42" i="12" s="1"/>
  <c r="R52" i="2"/>
  <c r="F43" i="12" s="1"/>
  <c r="R53" i="2"/>
  <c r="F44" i="12" s="1"/>
  <c r="R44" i="2"/>
  <c r="F35" i="12" s="1"/>
  <c r="B47" i="5"/>
  <c r="M34" i="10"/>
  <c r="M33" i="10"/>
  <c r="L77" i="2"/>
  <c r="B71" i="2"/>
  <c r="L59" i="2" s="1"/>
  <c r="L39" i="2"/>
  <c r="B36" i="2"/>
  <c r="L22" i="2" s="1"/>
  <c r="J84" i="2"/>
  <c r="J85" i="2"/>
  <c r="J86" i="2"/>
  <c r="J87" i="2"/>
  <c r="J88" i="2"/>
  <c r="J89" i="2"/>
  <c r="J90" i="2"/>
  <c r="J91" i="2"/>
  <c r="J92" i="2"/>
  <c r="J83" i="2"/>
  <c r="J67" i="2"/>
  <c r="J68" i="2"/>
  <c r="J66" i="2"/>
  <c r="J65" i="2"/>
  <c r="K31" i="7"/>
  <c r="K32" i="7"/>
  <c r="K33" i="7"/>
  <c r="K34" i="7"/>
  <c r="K35" i="7"/>
  <c r="K36" i="7"/>
  <c r="K37" i="7"/>
  <c r="K38" i="7"/>
  <c r="K39" i="7"/>
  <c r="K40" i="7"/>
  <c r="J54" i="7"/>
  <c r="J55" i="7"/>
  <c r="J56" i="7"/>
  <c r="J57" i="7"/>
  <c r="K67" i="7"/>
  <c r="K68" i="7"/>
  <c r="K69" i="7"/>
  <c r="K70" i="7"/>
  <c r="K71" i="7"/>
  <c r="K72" i="7"/>
  <c r="K73" i="7"/>
  <c r="K74" i="7"/>
  <c r="K75" i="7"/>
  <c r="K76" i="7"/>
  <c r="F67" i="7"/>
  <c r="F68" i="7"/>
  <c r="F69" i="7"/>
  <c r="F70" i="7"/>
  <c r="F71" i="7"/>
  <c r="F72" i="7"/>
  <c r="F73" i="7"/>
  <c r="F74" i="7"/>
  <c r="F75" i="7"/>
  <c r="F76" i="7"/>
  <c r="F54" i="7"/>
  <c r="F55" i="7"/>
  <c r="F56" i="7"/>
  <c r="F57" i="7"/>
  <c r="F32" i="7"/>
  <c r="F33" i="7"/>
  <c r="F34" i="7"/>
  <c r="F35" i="7"/>
  <c r="F36" i="7"/>
  <c r="F37" i="7"/>
  <c r="F38" i="7"/>
  <c r="F39" i="7"/>
  <c r="F40" i="7"/>
  <c r="F31" i="7"/>
  <c r="N29" i="8"/>
  <c r="N30" i="8"/>
  <c r="N31" i="8"/>
  <c r="N32" i="8"/>
  <c r="N33" i="8"/>
  <c r="N34" i="8"/>
  <c r="N35" i="8"/>
  <c r="P29" i="8" a="1"/>
  <c r="P29" i="8" s="1"/>
  <c r="P30" i="8" a="1"/>
  <c r="P30" i="8" s="1"/>
  <c r="P31" i="8" a="1"/>
  <c r="P31" i="8" s="1"/>
  <c r="P32" i="8" a="1"/>
  <c r="P32" i="8" s="1"/>
  <c r="P33" i="8" a="1"/>
  <c r="P33" i="8" s="1"/>
  <c r="P34" i="8" a="1"/>
  <c r="P34" i="8" s="1"/>
  <c r="P35" i="8" a="1"/>
  <c r="P35" i="8" s="1"/>
  <c r="P26" i="8" a="1"/>
  <c r="P26" i="8" s="1"/>
  <c r="Q27" i="8"/>
  <c r="Q28" i="8"/>
  <c r="Q29" i="8"/>
  <c r="Q30" i="8"/>
  <c r="Q31" i="8"/>
  <c r="Q32" i="8"/>
  <c r="Q33" i="8"/>
  <c r="Q34" i="8"/>
  <c r="Q35" i="8"/>
  <c r="Q26" i="8"/>
  <c r="F16" i="16"/>
  <c r="F17" i="16"/>
  <c r="F18" i="16"/>
  <c r="F19" i="16"/>
  <c r="F20" i="16"/>
  <c r="F15" i="16"/>
  <c r="P28" i="8" s="1" a="1"/>
  <c r="P28" i="8" s="1"/>
  <c r="F27" i="8"/>
  <c r="F28" i="8"/>
  <c r="F29" i="8"/>
  <c r="F30" i="8"/>
  <c r="F31" i="8"/>
  <c r="F32" i="8"/>
  <c r="F33" i="8"/>
  <c r="F34" i="8"/>
  <c r="F35" i="8"/>
  <c r="F26" i="8"/>
  <c r="B18" i="8"/>
  <c r="B17" i="8"/>
  <c r="M43" i="10"/>
  <c r="M42" i="10"/>
  <c r="M32" i="10"/>
  <c r="AB85" i="2" l="1"/>
  <c r="D59" i="12"/>
  <c r="AC85" i="2"/>
  <c r="AD85" i="2"/>
  <c r="M28" i="8" a="1"/>
  <c r="M28" i="8" s="1"/>
  <c r="P27" i="8" a="1"/>
  <c r="P27" i="8" s="1"/>
  <c r="M27" i="8" s="1" a="1"/>
  <c r="M27" i="8" s="1"/>
  <c r="M26" i="8" a="1"/>
  <c r="M26" i="8" s="1"/>
  <c r="AF300" i="64" a="1"/>
  <c r="AF300" i="64" s="1"/>
  <c r="AL300" i="64" a="1"/>
  <c r="AL300" i="64" s="1"/>
  <c r="AG300" i="64" a="1"/>
  <c r="AG300" i="64" s="1"/>
  <c r="AH300" i="64" a="1"/>
  <c r="AH300" i="64" s="1"/>
  <c r="AI300" i="64" a="1"/>
  <c r="AI300" i="64" s="1"/>
  <c r="AB300" i="64" a="1"/>
  <c r="AB300" i="64" s="1"/>
  <c r="AC300" i="64" a="1"/>
  <c r="AC300" i="64" s="1"/>
  <c r="AK300" i="64" a="1"/>
  <c r="AK300" i="64" s="1"/>
  <c r="AD300" i="64" a="1"/>
  <c r="AD300" i="64" s="1"/>
  <c r="AJ300" i="64" a="1"/>
  <c r="AJ300" i="64" s="1"/>
  <c r="AE300" i="64" a="1"/>
  <c r="AE300" i="64" s="1"/>
  <c r="B89" i="2" a="1"/>
  <c r="B89" i="2" s="1"/>
  <c r="B91" i="2" a="1"/>
  <c r="B91" i="2" s="1"/>
  <c r="B90" i="2" a="1"/>
  <c r="B90" i="2" s="1"/>
  <c r="B87" i="2" a="1"/>
  <c r="B87" i="2" s="1"/>
  <c r="B86" i="2" a="1"/>
  <c r="B86" i="2" s="1"/>
  <c r="B85" i="2" a="1"/>
  <c r="B85" i="2" s="1"/>
  <c r="B88" i="2" a="1"/>
  <c r="B88" i="2" s="1"/>
  <c r="B92" i="2" a="1"/>
  <c r="B92" i="2" s="1"/>
  <c r="B84" i="2" a="1"/>
  <c r="B84" i="2" s="1"/>
  <c r="B19" i="8"/>
  <c r="B36" i="5" s="1"/>
  <c r="L13" i="62"/>
  <c r="AL61" i="62" s="1"/>
  <c r="F56" i="10"/>
  <c r="G58" i="10"/>
  <c r="X19" i="63"/>
  <c r="X18" i="63"/>
  <c r="X17" i="63"/>
  <c r="X16" i="63"/>
  <c r="X15" i="63"/>
  <c r="X14" i="63"/>
  <c r="X13" i="63"/>
  <c r="Y11" i="63"/>
  <c r="X23" i="63" s="1"/>
  <c r="J90" i="62"/>
  <c r="J89" i="62"/>
  <c r="BL77" i="62"/>
  <c r="G72" i="62"/>
  <c r="F72" i="62"/>
  <c r="DH69" i="62"/>
  <c r="DG69" i="62"/>
  <c r="DF69" i="62"/>
  <c r="DE69" i="62"/>
  <c r="DD69" i="62"/>
  <c r="DC69" i="62"/>
  <c r="DB69" i="62"/>
  <c r="CB69" i="62"/>
  <c r="CA69" i="62"/>
  <c r="BZ69" i="62"/>
  <c r="BY69" i="62"/>
  <c r="BQ69" i="62"/>
  <c r="B69" i="62" s="1"/>
  <c r="BN69" i="62"/>
  <c r="AR69" i="62"/>
  <c r="AP69" i="62"/>
  <c r="AN69" i="62"/>
  <c r="AO68" i="62" s="1"/>
  <c r="DK68" i="62" s="1"/>
  <c r="AM69" i="62"/>
  <c r="AK69" i="62"/>
  <c r="R69" i="62"/>
  <c r="DH68" i="62"/>
  <c r="DG68" i="62"/>
  <c r="DF68" i="62"/>
  <c r="DE68" i="62"/>
  <c r="DD68" i="62"/>
  <c r="DC68" i="62"/>
  <c r="DB68" i="62"/>
  <c r="CB68" i="62"/>
  <c r="CA68" i="62"/>
  <c r="BZ68" i="62"/>
  <c r="BY68" i="62"/>
  <c r="BQ68" i="62"/>
  <c r="B68" i="62" s="1"/>
  <c r="BN68" i="62"/>
  <c r="AR68" i="62"/>
  <c r="AP68" i="62"/>
  <c r="AN68" i="62"/>
  <c r="AM68" i="62"/>
  <c r="AK68" i="62"/>
  <c r="R68" i="62"/>
  <c r="T68" i="62" s="1"/>
  <c r="DH67" i="62"/>
  <c r="DG67" i="62"/>
  <c r="DF67" i="62"/>
  <c r="DE67" i="62"/>
  <c r="DD67" i="62"/>
  <c r="DC67" i="62"/>
  <c r="DB67" i="62"/>
  <c r="CB67" i="62"/>
  <c r="CA67" i="62"/>
  <c r="BZ67" i="62"/>
  <c r="BY67" i="62"/>
  <c r="BQ67" i="62"/>
  <c r="B67" i="62" s="1"/>
  <c r="BN67" i="62"/>
  <c r="AR67" i="62"/>
  <c r="AP67" i="62"/>
  <c r="AN67" i="62"/>
  <c r="AM67" i="62"/>
  <c r="AK67" i="62"/>
  <c r="R67" i="62"/>
  <c r="T67" i="62" s="1"/>
  <c r="DH66" i="62"/>
  <c r="DG66" i="62"/>
  <c r="DF66" i="62"/>
  <c r="DE66" i="62"/>
  <c r="DD66" i="62"/>
  <c r="DC66" i="62"/>
  <c r="DB66" i="62"/>
  <c r="CB66" i="62"/>
  <c r="CA66" i="62"/>
  <c r="BZ66" i="62"/>
  <c r="BY66" i="62"/>
  <c r="BQ66" i="62"/>
  <c r="B66" i="62" s="1"/>
  <c r="BN66" i="62"/>
  <c r="AR66" i="62"/>
  <c r="AP66" i="62"/>
  <c r="AN66" i="62"/>
  <c r="AM66" i="62"/>
  <c r="AK66" i="62"/>
  <c r="R66" i="62"/>
  <c r="S66" i="62" s="1"/>
  <c r="DH65" i="62"/>
  <c r="DG65" i="62"/>
  <c r="DF65" i="62"/>
  <c r="DE65" i="62"/>
  <c r="DD65" i="62"/>
  <c r="DC65" i="62"/>
  <c r="DB65" i="62"/>
  <c r="CB65" i="62"/>
  <c r="CA65" i="62"/>
  <c r="BZ65" i="62"/>
  <c r="BY65" i="62"/>
  <c r="BQ65" i="62"/>
  <c r="B65" i="62" s="1"/>
  <c r="BN65" i="62"/>
  <c r="AR65" i="62"/>
  <c r="AP65" i="62"/>
  <c r="AN65" i="62"/>
  <c r="AM65" i="62"/>
  <c r="AK65" i="62"/>
  <c r="R65" i="62"/>
  <c r="T65" i="62" s="1"/>
  <c r="DH64" i="62"/>
  <c r="DG64" i="62"/>
  <c r="DF64" i="62"/>
  <c r="DE64" i="62"/>
  <c r="DD64" i="62"/>
  <c r="DC64" i="62"/>
  <c r="DB64" i="62"/>
  <c r="CB64" i="62"/>
  <c r="CA64" i="62"/>
  <c r="BZ64" i="62"/>
  <c r="BY64" i="62"/>
  <c r="BQ64" i="62"/>
  <c r="B64" i="62" s="1"/>
  <c r="BN64" i="62"/>
  <c r="AR64" i="62"/>
  <c r="AP64" i="62"/>
  <c r="AN64" i="62"/>
  <c r="AM64" i="62"/>
  <c r="AK64" i="62"/>
  <c r="R64" i="62"/>
  <c r="T64" i="62" s="1"/>
  <c r="DH63" i="62"/>
  <c r="DG63" i="62"/>
  <c r="DF63" i="62"/>
  <c r="DE63" i="62"/>
  <c r="DD63" i="62"/>
  <c r="DC63" i="62"/>
  <c r="DB63" i="62"/>
  <c r="CB63" i="62"/>
  <c r="CA63" i="62"/>
  <c r="BZ63" i="62"/>
  <c r="BY63" i="62"/>
  <c r="BQ63" i="62"/>
  <c r="B63" i="62" s="1"/>
  <c r="BN63" i="62"/>
  <c r="AR63" i="62"/>
  <c r="AP63" i="62"/>
  <c r="AN63" i="62"/>
  <c r="AM63" i="62"/>
  <c r="AK63" i="62"/>
  <c r="R63" i="62"/>
  <c r="T63" i="62" s="1"/>
  <c r="DH62" i="62"/>
  <c r="DG62" i="62"/>
  <c r="DF62" i="62"/>
  <c r="DE62" i="62"/>
  <c r="DD62" i="62"/>
  <c r="DC62" i="62"/>
  <c r="DB62" i="62"/>
  <c r="CB62" i="62"/>
  <c r="CA62" i="62"/>
  <c r="BZ62" i="62"/>
  <c r="BY62" i="62"/>
  <c r="BQ62" i="62"/>
  <c r="B62" i="62" s="1"/>
  <c r="BN62" i="62"/>
  <c r="AR62" i="62"/>
  <c r="AP62" i="62"/>
  <c r="AN62" i="62"/>
  <c r="AM62" i="62"/>
  <c r="AK62" i="62"/>
  <c r="R62" i="62"/>
  <c r="T62" i="62" s="1"/>
  <c r="DH61" i="62"/>
  <c r="DG61" i="62"/>
  <c r="DF61" i="62"/>
  <c r="DE61" i="62"/>
  <c r="DD61" i="62"/>
  <c r="DC61" i="62"/>
  <c r="DB61" i="62"/>
  <c r="CB61" i="62"/>
  <c r="CA61" i="62"/>
  <c r="BZ61" i="62"/>
  <c r="BY61" i="62"/>
  <c r="BQ61" i="62"/>
  <c r="B61" i="62" s="1"/>
  <c r="BN61" i="62"/>
  <c r="AR61" i="62"/>
  <c r="AP61" i="62"/>
  <c r="AN61" i="62"/>
  <c r="AM61" i="62"/>
  <c r="AK61" i="62"/>
  <c r="R61" i="62"/>
  <c r="DH60" i="62"/>
  <c r="DG60" i="62"/>
  <c r="DF60" i="62"/>
  <c r="DE60" i="62"/>
  <c r="DD60" i="62"/>
  <c r="DC60" i="62"/>
  <c r="DB60" i="62"/>
  <c r="CB60" i="62"/>
  <c r="CA60" i="62"/>
  <c r="BZ60" i="62"/>
  <c r="BY60" i="62"/>
  <c r="BQ60" i="62"/>
  <c r="B60" i="62" s="1"/>
  <c r="BN60" i="62"/>
  <c r="AR60" i="62"/>
  <c r="AP60" i="62"/>
  <c r="AN60" i="62"/>
  <c r="AM60" i="62"/>
  <c r="AK60" i="62"/>
  <c r="R60" i="62"/>
  <c r="T60" i="62" s="1"/>
  <c r="DH59" i="62"/>
  <c r="DG59" i="62"/>
  <c r="DF59" i="62"/>
  <c r="DE59" i="62"/>
  <c r="DD59" i="62"/>
  <c r="DC59" i="62"/>
  <c r="DB59" i="62"/>
  <c r="CB59" i="62"/>
  <c r="CA59" i="62"/>
  <c r="BZ59" i="62"/>
  <c r="BY59" i="62"/>
  <c r="BQ59" i="62"/>
  <c r="B59" i="62" s="1"/>
  <c r="BN59" i="62"/>
  <c r="AR59" i="62"/>
  <c r="AP59" i="62"/>
  <c r="AN59" i="62"/>
  <c r="AM59" i="62"/>
  <c r="AK59" i="62"/>
  <c r="R59" i="62"/>
  <c r="T59" i="62" s="1"/>
  <c r="DH58" i="62"/>
  <c r="DG58" i="62"/>
  <c r="DF58" i="62"/>
  <c r="DE58" i="62"/>
  <c r="DD58" i="62"/>
  <c r="DC58" i="62"/>
  <c r="DB58" i="62"/>
  <c r="CB58" i="62"/>
  <c r="CA58" i="62"/>
  <c r="BZ58" i="62"/>
  <c r="BY58" i="62"/>
  <c r="BQ58" i="62"/>
  <c r="B58" i="62" s="1"/>
  <c r="BN58" i="62"/>
  <c r="AR58" i="62"/>
  <c r="AP58" i="62"/>
  <c r="AN58" i="62"/>
  <c r="AM58" i="62"/>
  <c r="AK58" i="62"/>
  <c r="R58" i="62"/>
  <c r="T58" i="62" s="1"/>
  <c r="DH57" i="62"/>
  <c r="DG57" i="62"/>
  <c r="DF57" i="62"/>
  <c r="DE57" i="62"/>
  <c r="DD57" i="62"/>
  <c r="DC57" i="62"/>
  <c r="DB57" i="62"/>
  <c r="CB57" i="62"/>
  <c r="CA57" i="62"/>
  <c r="BZ57" i="62"/>
  <c r="BY57" i="62"/>
  <c r="BQ57" i="62"/>
  <c r="B57" i="62" s="1"/>
  <c r="BN57" i="62"/>
  <c r="AR57" i="62"/>
  <c r="AP57" i="62"/>
  <c r="AN57" i="62"/>
  <c r="AM57" i="62"/>
  <c r="AK57" i="62"/>
  <c r="R57" i="62"/>
  <c r="S57" i="62" s="1"/>
  <c r="DH56" i="62"/>
  <c r="DG56" i="62"/>
  <c r="DF56" i="62"/>
  <c r="DE56" i="62"/>
  <c r="DD56" i="62"/>
  <c r="DC56" i="62"/>
  <c r="DB56" i="62"/>
  <c r="CB56" i="62"/>
  <c r="CA56" i="62"/>
  <c r="BZ56" i="62"/>
  <c r="BY56" i="62"/>
  <c r="BQ56" i="62"/>
  <c r="B56" i="62" s="1"/>
  <c r="BN56" i="62"/>
  <c r="AR56" i="62"/>
  <c r="AP56" i="62"/>
  <c r="AN56" i="62"/>
  <c r="AM56" i="62"/>
  <c r="AK56" i="62"/>
  <c r="R56" i="62"/>
  <c r="T56" i="62" s="1"/>
  <c r="DH55" i="62"/>
  <c r="DG55" i="62"/>
  <c r="DF55" i="62"/>
  <c r="DE55" i="62"/>
  <c r="DD55" i="62"/>
  <c r="DC55" i="62"/>
  <c r="DB55" i="62"/>
  <c r="CB55" i="62"/>
  <c r="CA55" i="62"/>
  <c r="BZ55" i="62"/>
  <c r="BY55" i="62"/>
  <c r="BQ55" i="62"/>
  <c r="B55" i="62" s="1"/>
  <c r="BN55" i="62"/>
  <c r="AR55" i="62"/>
  <c r="AP55" i="62"/>
  <c r="AN55" i="62"/>
  <c r="AM55" i="62"/>
  <c r="AK55" i="62"/>
  <c r="R55" i="62"/>
  <c r="DH54" i="62"/>
  <c r="DG54" i="62"/>
  <c r="DF54" i="62"/>
  <c r="DE54" i="62"/>
  <c r="DD54" i="62"/>
  <c r="DC54" i="62"/>
  <c r="DB54" i="62"/>
  <c r="CB54" i="62"/>
  <c r="CA54" i="62"/>
  <c r="BZ54" i="62"/>
  <c r="BY54" i="62"/>
  <c r="BQ54" i="62"/>
  <c r="B54" i="62" s="1"/>
  <c r="BN54" i="62"/>
  <c r="AR54" i="62"/>
  <c r="AP54" i="62"/>
  <c r="AN54" i="62"/>
  <c r="AM54" i="62"/>
  <c r="AK54" i="62"/>
  <c r="R54" i="62"/>
  <c r="T54" i="62" s="1"/>
  <c r="DH53" i="62"/>
  <c r="DG53" i="62"/>
  <c r="DF53" i="62"/>
  <c r="DE53" i="62"/>
  <c r="DD53" i="62"/>
  <c r="DC53" i="62"/>
  <c r="DB53" i="62"/>
  <c r="CB53" i="62"/>
  <c r="CA53" i="62"/>
  <c r="BZ53" i="62"/>
  <c r="BY53" i="62"/>
  <c r="BQ53" i="62"/>
  <c r="B53" i="62" s="1"/>
  <c r="BN53" i="62"/>
  <c r="AR53" i="62"/>
  <c r="AP53" i="62"/>
  <c r="AN53" i="62"/>
  <c r="AM53" i="62"/>
  <c r="AK53" i="62"/>
  <c r="R53" i="62"/>
  <c r="S53" i="62" s="1"/>
  <c r="DH52" i="62"/>
  <c r="DG52" i="62"/>
  <c r="DF52" i="62"/>
  <c r="DE52" i="62"/>
  <c r="DD52" i="62"/>
  <c r="DC52" i="62"/>
  <c r="DB52" i="62"/>
  <c r="CB52" i="62"/>
  <c r="CA52" i="62"/>
  <c r="BZ52" i="62"/>
  <c r="BY52" i="62"/>
  <c r="BQ52" i="62"/>
  <c r="B52" i="62" s="1"/>
  <c r="BN52" i="62"/>
  <c r="AR52" i="62"/>
  <c r="AP52" i="62"/>
  <c r="AN52" i="62"/>
  <c r="AM52" i="62"/>
  <c r="AK52" i="62"/>
  <c r="R52" i="62"/>
  <c r="T52" i="62" s="1"/>
  <c r="DH51" i="62"/>
  <c r="DG51" i="62"/>
  <c r="DF51" i="62"/>
  <c r="DE51" i="62"/>
  <c r="DD51" i="62"/>
  <c r="DC51" i="62"/>
  <c r="DB51" i="62"/>
  <c r="CB51" i="62"/>
  <c r="CA51" i="62"/>
  <c r="BZ51" i="62"/>
  <c r="BY51" i="62"/>
  <c r="BQ51" i="62"/>
  <c r="B51" i="62" s="1"/>
  <c r="BN51" i="62"/>
  <c r="AR51" i="62"/>
  <c r="AP51" i="62"/>
  <c r="AN51" i="62"/>
  <c r="AM51" i="62"/>
  <c r="AK51" i="62"/>
  <c r="R51" i="62"/>
  <c r="S51" i="62" s="1"/>
  <c r="DH50" i="62"/>
  <c r="DG50" i="62"/>
  <c r="DF50" i="62"/>
  <c r="DE50" i="62"/>
  <c r="DD50" i="62"/>
  <c r="DC50" i="62"/>
  <c r="DB50" i="62"/>
  <c r="CB50" i="62"/>
  <c r="CA50" i="62"/>
  <c r="BZ50" i="62"/>
  <c r="BY50" i="62"/>
  <c r="BQ50" i="62"/>
  <c r="B50" i="62" s="1"/>
  <c r="BN50" i="62"/>
  <c r="AR50" i="62"/>
  <c r="AP50" i="62"/>
  <c r="AN50" i="62"/>
  <c r="AM50" i="62"/>
  <c r="AK50" i="62"/>
  <c r="R50" i="62"/>
  <c r="T50" i="62" s="1"/>
  <c r="DH49" i="62"/>
  <c r="DG49" i="62"/>
  <c r="DF49" i="62"/>
  <c r="DE49" i="62"/>
  <c r="DD49" i="62"/>
  <c r="DC49" i="62"/>
  <c r="DB49" i="62"/>
  <c r="CB49" i="62"/>
  <c r="CA49" i="62"/>
  <c r="BZ49" i="62"/>
  <c r="BY49" i="62"/>
  <c r="BQ49" i="62"/>
  <c r="B49" i="62" s="1"/>
  <c r="BN49" i="62"/>
  <c r="AR49" i="62"/>
  <c r="AP49" i="62"/>
  <c r="AN49" i="62"/>
  <c r="AM49" i="62"/>
  <c r="AK49" i="62"/>
  <c r="R49" i="62"/>
  <c r="T49" i="62" s="1"/>
  <c r="DH48" i="62"/>
  <c r="DG48" i="62"/>
  <c r="DF48" i="62"/>
  <c r="DE48" i="62"/>
  <c r="DD48" i="62"/>
  <c r="DC48" i="62"/>
  <c r="DB48" i="62"/>
  <c r="CB48" i="62"/>
  <c r="CA48" i="62"/>
  <c r="BZ48" i="62"/>
  <c r="BY48" i="62"/>
  <c r="BQ48" i="62"/>
  <c r="B48" i="62" s="1"/>
  <c r="BN48" i="62"/>
  <c r="AR48" i="62"/>
  <c r="AP48" i="62"/>
  <c r="AN48" i="62"/>
  <c r="AM48" i="62"/>
  <c r="AK48" i="62"/>
  <c r="R48" i="62"/>
  <c r="DH47" i="62"/>
  <c r="DG47" i="62"/>
  <c r="DF47" i="62"/>
  <c r="DE47" i="62"/>
  <c r="DD47" i="62"/>
  <c r="DC47" i="62"/>
  <c r="DB47" i="62"/>
  <c r="CB47" i="62"/>
  <c r="CA47" i="62"/>
  <c r="BZ47" i="62"/>
  <c r="BY47" i="62"/>
  <c r="BQ47" i="62"/>
  <c r="B47" i="62" s="1"/>
  <c r="BN47" i="62"/>
  <c r="AR47" i="62"/>
  <c r="AP47" i="62"/>
  <c r="AN47" i="62"/>
  <c r="AM47" i="62"/>
  <c r="AK47" i="62"/>
  <c r="R47" i="62"/>
  <c r="T47" i="62" s="1"/>
  <c r="DH46" i="62"/>
  <c r="DG46" i="62"/>
  <c r="DF46" i="62"/>
  <c r="DE46" i="62"/>
  <c r="DD46" i="62"/>
  <c r="DC46" i="62"/>
  <c r="DB46" i="62"/>
  <c r="CB46" i="62"/>
  <c r="CA46" i="62"/>
  <c r="BZ46" i="62"/>
  <c r="BY46" i="62"/>
  <c r="BQ46" i="62"/>
  <c r="B46" i="62" s="1"/>
  <c r="BN46" i="62"/>
  <c r="AR46" i="62"/>
  <c r="AP46" i="62"/>
  <c r="AN46" i="62"/>
  <c r="AM46" i="62"/>
  <c r="AK46" i="62"/>
  <c r="R46" i="62"/>
  <c r="T46" i="62" s="1"/>
  <c r="DH45" i="62"/>
  <c r="DG45" i="62"/>
  <c r="DF45" i="62"/>
  <c r="DE45" i="62"/>
  <c r="DD45" i="62"/>
  <c r="DC45" i="62"/>
  <c r="DB45" i="62"/>
  <c r="CB45" i="62"/>
  <c r="CA45" i="62"/>
  <c r="BZ45" i="62"/>
  <c r="BY45" i="62"/>
  <c r="BQ45" i="62"/>
  <c r="B45" i="62" s="1"/>
  <c r="BN45" i="62"/>
  <c r="AR45" i="62"/>
  <c r="AP45" i="62"/>
  <c r="AN45" i="62"/>
  <c r="AM45" i="62"/>
  <c r="AK45" i="62"/>
  <c r="R45" i="62"/>
  <c r="DH44" i="62"/>
  <c r="DG44" i="62"/>
  <c r="DF44" i="62"/>
  <c r="DE44" i="62"/>
  <c r="DD44" i="62"/>
  <c r="DC44" i="62"/>
  <c r="DB44" i="62"/>
  <c r="CB44" i="62"/>
  <c r="CA44" i="62"/>
  <c r="BZ44" i="62"/>
  <c r="BY44" i="62"/>
  <c r="BQ44" i="62"/>
  <c r="B44" i="62" s="1"/>
  <c r="BN44" i="62"/>
  <c r="AR44" i="62"/>
  <c r="AP44" i="62"/>
  <c r="AN44" i="62"/>
  <c r="AM44" i="62"/>
  <c r="AK44" i="62"/>
  <c r="R44" i="62"/>
  <c r="S44" i="62" s="1"/>
  <c r="DH43" i="62"/>
  <c r="DG43" i="62"/>
  <c r="DF43" i="62"/>
  <c r="DE43" i="62"/>
  <c r="DD43" i="62"/>
  <c r="DC43" i="62"/>
  <c r="DB43" i="62"/>
  <c r="CB43" i="62"/>
  <c r="CA43" i="62"/>
  <c r="BZ43" i="62"/>
  <c r="BY43" i="62"/>
  <c r="BQ43" i="62"/>
  <c r="B43" i="62" s="1"/>
  <c r="BN43" i="62"/>
  <c r="AR43" i="62"/>
  <c r="AP43" i="62"/>
  <c r="AN43" i="62"/>
  <c r="AM43" i="62"/>
  <c r="AK43" i="62"/>
  <c r="R43" i="62"/>
  <c r="T43" i="62" s="1"/>
  <c r="DH42" i="62"/>
  <c r="DG42" i="62"/>
  <c r="DF42" i="62"/>
  <c r="DE42" i="62"/>
  <c r="DD42" i="62"/>
  <c r="DC42" i="62"/>
  <c r="DB42" i="62"/>
  <c r="CB42" i="62"/>
  <c r="CA42" i="62"/>
  <c r="BZ42" i="62"/>
  <c r="BY42" i="62"/>
  <c r="BQ42" i="62"/>
  <c r="B42" i="62" s="1"/>
  <c r="BN42" i="62"/>
  <c r="AR42" i="62"/>
  <c r="AP42" i="62"/>
  <c r="AN42" i="62"/>
  <c r="AM42" i="62"/>
  <c r="AK42" i="62"/>
  <c r="R42" i="62"/>
  <c r="T42" i="62" s="1"/>
  <c r="DH41" i="62"/>
  <c r="DG41" i="62"/>
  <c r="DF41" i="62"/>
  <c r="DE41" i="62"/>
  <c r="DD41" i="62"/>
  <c r="DC41" i="62"/>
  <c r="DB41" i="62"/>
  <c r="CB41" i="62"/>
  <c r="CA41" i="62"/>
  <c r="BZ41" i="62"/>
  <c r="BY41" i="62"/>
  <c r="BQ41" i="62"/>
  <c r="B41" i="62" s="1"/>
  <c r="BN41" i="62"/>
  <c r="AR41" i="62"/>
  <c r="AP41" i="62"/>
  <c r="AN41" i="62"/>
  <c r="AM41" i="62"/>
  <c r="AK41" i="62"/>
  <c r="R41" i="62"/>
  <c r="S41" i="62" s="1"/>
  <c r="DH40" i="62"/>
  <c r="DG40" i="62"/>
  <c r="DF40" i="62"/>
  <c r="DE40" i="62"/>
  <c r="DD40" i="62"/>
  <c r="DC40" i="62"/>
  <c r="DB40" i="62"/>
  <c r="CB40" i="62"/>
  <c r="CA40" i="62"/>
  <c r="BZ40" i="62"/>
  <c r="BY40" i="62"/>
  <c r="BQ40" i="62"/>
  <c r="B40" i="62" s="1"/>
  <c r="BN40" i="62"/>
  <c r="AR40" i="62"/>
  <c r="AP40" i="62"/>
  <c r="AN40" i="62"/>
  <c r="AM40" i="62"/>
  <c r="AK40" i="62"/>
  <c r="R40" i="62"/>
  <c r="T40" i="62" s="1"/>
  <c r="DH39" i="62"/>
  <c r="DG39" i="62"/>
  <c r="DF39" i="62"/>
  <c r="DE39" i="62"/>
  <c r="DD39" i="62"/>
  <c r="DC39" i="62"/>
  <c r="DB39" i="62"/>
  <c r="CA39" i="62"/>
  <c r="BZ39" i="62"/>
  <c r="BY39" i="62"/>
  <c r="BQ39" i="62"/>
  <c r="B39" i="62" s="1"/>
  <c r="AR39" i="62"/>
  <c r="AP39" i="62"/>
  <c r="AN39" i="62"/>
  <c r="AM39" i="62"/>
  <c r="AK39" i="62"/>
  <c r="DH38" i="62"/>
  <c r="DG38" i="62"/>
  <c r="DF38" i="62"/>
  <c r="DE38" i="62"/>
  <c r="DD38" i="62"/>
  <c r="DC38" i="62"/>
  <c r="DB38" i="62"/>
  <c r="CA38" i="62"/>
  <c r="BZ38" i="62"/>
  <c r="BY38" i="62"/>
  <c r="BQ38" i="62"/>
  <c r="B38" i="62" s="1"/>
  <c r="AR38" i="62"/>
  <c r="AP38" i="62"/>
  <c r="AN38" i="62"/>
  <c r="AM38" i="62"/>
  <c r="AK38" i="62"/>
  <c r="DH37" i="62"/>
  <c r="DG37" i="62"/>
  <c r="DF37" i="62"/>
  <c r="DE37" i="62"/>
  <c r="DD37" i="62"/>
  <c r="DC37" i="62"/>
  <c r="DB37" i="62"/>
  <c r="CA37" i="62"/>
  <c r="BZ37" i="62"/>
  <c r="BY37" i="62"/>
  <c r="BQ37" i="62"/>
  <c r="B37" i="62" s="1"/>
  <c r="AR37" i="62"/>
  <c r="AP37" i="62"/>
  <c r="AN37" i="62"/>
  <c r="AM37" i="62"/>
  <c r="AK37" i="62"/>
  <c r="DH36" i="62"/>
  <c r="DG36" i="62"/>
  <c r="DF36" i="62"/>
  <c r="DE36" i="62"/>
  <c r="DD36" i="62"/>
  <c r="DC36" i="62"/>
  <c r="DB36" i="62"/>
  <c r="CA36" i="62"/>
  <c r="BZ36" i="62"/>
  <c r="BY36" i="62"/>
  <c r="BQ36" i="62"/>
  <c r="B36" i="62" s="1"/>
  <c r="AR36" i="62"/>
  <c r="AP36" i="62"/>
  <c r="AN36" i="62"/>
  <c r="AM36" i="62"/>
  <c r="AK36" i="62"/>
  <c r="DH35" i="62"/>
  <c r="DG35" i="62"/>
  <c r="DF35" i="62"/>
  <c r="DE35" i="62"/>
  <c r="DD35" i="62"/>
  <c r="DC35" i="62"/>
  <c r="DB35" i="62"/>
  <c r="CA35" i="62"/>
  <c r="BZ35" i="62"/>
  <c r="BY35" i="62"/>
  <c r="BQ35" i="62"/>
  <c r="B35" i="62" s="1"/>
  <c r="AR35" i="62"/>
  <c r="AP35" i="62"/>
  <c r="AN35" i="62"/>
  <c r="AM35" i="62"/>
  <c r="AK35" i="62"/>
  <c r="DH34" i="62"/>
  <c r="DG34" i="62"/>
  <c r="DF34" i="62"/>
  <c r="DE34" i="62"/>
  <c r="DD34" i="62"/>
  <c r="DC34" i="62"/>
  <c r="DB34" i="62"/>
  <c r="CA34" i="62"/>
  <c r="BZ34" i="62"/>
  <c r="BY34" i="62"/>
  <c r="BQ34" i="62"/>
  <c r="B34" i="62" s="1"/>
  <c r="AR34" i="62"/>
  <c r="AP34" i="62"/>
  <c r="AN34" i="62"/>
  <c r="AM34" i="62"/>
  <c r="AK34" i="62"/>
  <c r="DH33" i="62"/>
  <c r="DG33" i="62"/>
  <c r="DF33" i="62"/>
  <c r="DE33" i="62"/>
  <c r="DD33" i="62"/>
  <c r="DC33" i="62"/>
  <c r="DB33" i="62"/>
  <c r="CA33" i="62"/>
  <c r="BZ33" i="62"/>
  <c r="BY33" i="62"/>
  <c r="BQ33" i="62"/>
  <c r="B33" i="62" s="1"/>
  <c r="AR33" i="62"/>
  <c r="AP33" i="62"/>
  <c r="AN33" i="62"/>
  <c r="AM33" i="62"/>
  <c r="AK33" i="62"/>
  <c r="DH32" i="62"/>
  <c r="DG32" i="62"/>
  <c r="DF32" i="62"/>
  <c r="DE32" i="62"/>
  <c r="DD32" i="62"/>
  <c r="DC32" i="62"/>
  <c r="DB32" i="62"/>
  <c r="CA32" i="62"/>
  <c r="BZ32" i="62"/>
  <c r="BY32" i="62"/>
  <c r="BQ32" i="62"/>
  <c r="B32" i="62" s="1"/>
  <c r="AR32" i="62"/>
  <c r="AP32" i="62"/>
  <c r="AN32" i="62"/>
  <c r="AM32" i="62"/>
  <c r="AK32" i="62"/>
  <c r="DH31" i="62"/>
  <c r="DG31" i="62"/>
  <c r="DF31" i="62"/>
  <c r="DE31" i="62"/>
  <c r="DD31" i="62"/>
  <c r="DC31" i="62"/>
  <c r="DB31" i="62"/>
  <c r="CA31" i="62"/>
  <c r="BZ31" i="62"/>
  <c r="BY31" i="62"/>
  <c r="BQ31" i="62"/>
  <c r="B31" i="62" s="1"/>
  <c r="AR31" i="62"/>
  <c r="AP31" i="62"/>
  <c r="AN31" i="62"/>
  <c r="AM31" i="62"/>
  <c r="AK31" i="62"/>
  <c r="DH30" i="62"/>
  <c r="DG30" i="62"/>
  <c r="DF30" i="62"/>
  <c r="DE30" i="62"/>
  <c r="DD30" i="62"/>
  <c r="DC30" i="62"/>
  <c r="DB30" i="62"/>
  <c r="CA30" i="62"/>
  <c r="BZ30" i="62"/>
  <c r="BY30" i="62"/>
  <c r="BQ30" i="62"/>
  <c r="B30" i="62" s="1"/>
  <c r="AZ30" i="62"/>
  <c r="AR30" i="62"/>
  <c r="AP30" i="62"/>
  <c r="AN30" i="62"/>
  <c r="AM30" i="62"/>
  <c r="AK30" i="62"/>
  <c r="BP27" i="62"/>
  <c r="B88" i="62" s="1"/>
  <c r="M27" i="62"/>
  <c r="L27" i="62"/>
  <c r="BP19" i="62"/>
  <c r="BP18" i="62"/>
  <c r="F6" i="21"/>
  <c r="J29" i="2"/>
  <c r="J30" i="2"/>
  <c r="C91" i="1" l="1"/>
  <c r="F19" i="8"/>
  <c r="AO32" i="62"/>
  <c r="DK32" i="62" s="1"/>
  <c r="AO34" i="62"/>
  <c r="DK34" i="62" s="1"/>
  <c r="AO35" i="62"/>
  <c r="DK35" i="62" s="1"/>
  <c r="AO37" i="62"/>
  <c r="DK37" i="62" s="1"/>
  <c r="AO38" i="62"/>
  <c r="DK38" i="62" s="1"/>
  <c r="AO39" i="62"/>
  <c r="DK39" i="62" s="1"/>
  <c r="AO33" i="62"/>
  <c r="DK33" i="62" s="1"/>
  <c r="AO36" i="62"/>
  <c r="DK36" i="62" s="1"/>
  <c r="AO30" i="62"/>
  <c r="DK30" i="62" s="1"/>
  <c r="R32" i="62"/>
  <c r="S32" i="62" s="1"/>
  <c r="R33" i="62"/>
  <c r="S33" i="62" s="1"/>
  <c r="R35" i="62"/>
  <c r="T35" i="62" s="1"/>
  <c r="R36" i="62"/>
  <c r="S36" i="62" s="1"/>
  <c r="R37" i="62"/>
  <c r="T37" i="62" s="1"/>
  <c r="R34" i="62"/>
  <c r="T34" i="62" s="1"/>
  <c r="R38" i="62"/>
  <c r="T38" i="62" s="1"/>
  <c r="R39" i="62"/>
  <c r="T39" i="62" s="1"/>
  <c r="R30" i="62"/>
  <c r="T30" i="62" s="1"/>
  <c r="AL33" i="62"/>
  <c r="AQ33" i="62" s="1"/>
  <c r="CC33" i="62" s="1"/>
  <c r="DI33" i="62"/>
  <c r="AL41" i="62"/>
  <c r="AQ41" i="62" s="1"/>
  <c r="BL41" i="62" s="1"/>
  <c r="P41" i="62" s="1"/>
  <c r="AL43" i="62"/>
  <c r="AQ43" i="62" s="1"/>
  <c r="CC43" i="62" s="1"/>
  <c r="R31" i="62"/>
  <c r="T31" i="62" s="1"/>
  <c r="AL39" i="62"/>
  <c r="AQ39" i="62" s="1"/>
  <c r="CC39" i="62" s="1"/>
  <c r="DI39" i="62"/>
  <c r="DI41" i="62"/>
  <c r="AL31" i="62"/>
  <c r="AQ31" i="62" s="1"/>
  <c r="CC31" i="62" s="1"/>
  <c r="DI31" i="62"/>
  <c r="AL37" i="62"/>
  <c r="AQ37" i="62" s="1"/>
  <c r="CC37" i="62" s="1"/>
  <c r="DI37" i="62"/>
  <c r="DI47" i="62"/>
  <c r="AL34" i="62"/>
  <c r="AQ34" i="62" s="1"/>
  <c r="CC34" i="62" s="1"/>
  <c r="DI34" i="62"/>
  <c r="DI44" i="62"/>
  <c r="AL46" i="62"/>
  <c r="AQ46" i="62" s="1"/>
  <c r="BL46" i="62" s="1"/>
  <c r="P46" i="62" s="1"/>
  <c r="DI49" i="62"/>
  <c r="DI51" i="62"/>
  <c r="DI53" i="62"/>
  <c r="DI55" i="62"/>
  <c r="DI57" i="62"/>
  <c r="AL32" i="62"/>
  <c r="AQ32" i="62" s="1"/>
  <c r="DI32" i="62"/>
  <c r="AL40" i="62"/>
  <c r="AQ40" i="62" s="1"/>
  <c r="DI46" i="62"/>
  <c r="AL48" i="62"/>
  <c r="AQ48" i="62" s="1"/>
  <c r="BL48" i="62" s="1"/>
  <c r="P48" i="62" s="1"/>
  <c r="N12" i="62"/>
  <c r="AL30" i="62"/>
  <c r="AQ30" i="62" s="1"/>
  <c r="AL35" i="62"/>
  <c r="AQ35" i="62" s="1"/>
  <c r="CC35" i="62" s="1"/>
  <c r="DI35" i="62"/>
  <c r="DI43" i="62"/>
  <c r="AL45" i="62"/>
  <c r="AQ45" i="62" s="1"/>
  <c r="CC45" i="62" s="1"/>
  <c r="DI30" i="62"/>
  <c r="AL38" i="62"/>
  <c r="AQ38" i="62" s="1"/>
  <c r="CC38" i="62" s="1"/>
  <c r="DI38" i="62"/>
  <c r="DI40" i="62"/>
  <c r="AL42" i="62"/>
  <c r="AQ42" i="62" s="1"/>
  <c r="CC42" i="62" s="1"/>
  <c r="DI45" i="62"/>
  <c r="AL47" i="62"/>
  <c r="AQ47" i="62" s="1"/>
  <c r="BJ47" i="62" s="1"/>
  <c r="AL36" i="62"/>
  <c r="AQ36" i="62" s="1"/>
  <c r="CC36" i="62" s="1"/>
  <c r="DI36" i="62"/>
  <c r="DI42" i="62"/>
  <c r="AL44" i="62"/>
  <c r="AQ44" i="62" s="1"/>
  <c r="BJ44" i="62" s="1"/>
  <c r="AL49" i="62"/>
  <c r="AQ49" i="62" s="1"/>
  <c r="AL51" i="62"/>
  <c r="AQ51" i="62" s="1"/>
  <c r="AL53" i="62"/>
  <c r="AQ53" i="62" s="1"/>
  <c r="BJ53" i="62" s="1"/>
  <c r="AL55" i="62"/>
  <c r="AQ55" i="62" s="1"/>
  <c r="BK55" i="62" s="1"/>
  <c r="AL57" i="62"/>
  <c r="AQ57" i="62" s="1"/>
  <c r="BJ57" i="62" s="1"/>
  <c r="AL59" i="62"/>
  <c r="AQ59" i="62" s="1"/>
  <c r="BL59" i="62" s="1"/>
  <c r="P59" i="62" s="1"/>
  <c r="AL64" i="62"/>
  <c r="AQ64" i="62" s="1"/>
  <c r="CC64" i="62" s="1"/>
  <c r="T32" i="8"/>
  <c r="S32" i="8"/>
  <c r="S29" i="8"/>
  <c r="T29" i="8"/>
  <c r="S30" i="8"/>
  <c r="T30" i="8"/>
  <c r="S34" i="8"/>
  <c r="T34" i="8"/>
  <c r="S31" i="8"/>
  <c r="T31" i="8"/>
  <c r="S28" i="8"/>
  <c r="T28" i="8"/>
  <c r="S27" i="8"/>
  <c r="T27" i="8"/>
  <c r="T33" i="8"/>
  <c r="S33" i="8"/>
  <c r="S26" i="8"/>
  <c r="T26" i="8"/>
  <c r="S35" i="8"/>
  <c r="T35" i="8"/>
  <c r="DI59" i="62"/>
  <c r="DI61" i="62"/>
  <c r="CY56" i="62"/>
  <c r="CV39" i="62"/>
  <c r="CX30" i="62"/>
  <c r="CX44" i="62"/>
  <c r="CZ32" i="62"/>
  <c r="CX59" i="62"/>
  <c r="CV35" i="62"/>
  <c r="CX37" i="62"/>
  <c r="CX40" i="62"/>
  <c r="CZ46" i="62"/>
  <c r="CU50" i="62"/>
  <c r="CV30" i="62"/>
  <c r="CZ37" i="62"/>
  <c r="CZ40" i="62"/>
  <c r="CV45" i="62"/>
  <c r="CW50" i="62"/>
  <c r="CZ55" i="62"/>
  <c r="DA65" i="62"/>
  <c r="CX49" i="62"/>
  <c r="CV34" i="62"/>
  <c r="CZ44" i="62"/>
  <c r="CU52" i="62"/>
  <c r="CW58" i="62"/>
  <c r="CX34" i="62"/>
  <c r="CZ36" i="62"/>
  <c r="CV43" i="62"/>
  <c r="CX48" i="62"/>
  <c r="CY54" i="62"/>
  <c r="CX57" i="62"/>
  <c r="CV38" i="62"/>
  <c r="CX42" i="62"/>
  <c r="CZ48" i="62"/>
  <c r="CZ57" i="62"/>
  <c r="CU60" i="62"/>
  <c r="CV31" i="62"/>
  <c r="CX33" i="62"/>
  <c r="CX38" i="62"/>
  <c r="CZ42" i="62"/>
  <c r="CV47" i="62"/>
  <c r="CX51" i="62"/>
  <c r="CW56" i="62"/>
  <c r="CY62" i="62"/>
  <c r="CU58" i="62"/>
  <c r="CZ49" i="62"/>
  <c r="CZ33" i="62"/>
  <c r="CV41" i="62"/>
  <c r="CX46" i="62"/>
  <c r="CV65" i="62"/>
  <c r="CW30" i="62"/>
  <c r="CU31" i="62"/>
  <c r="DA32" i="62"/>
  <c r="CY33" i="62"/>
  <c r="CW34" i="62"/>
  <c r="CU35" i="62"/>
  <c r="DA36" i="62"/>
  <c r="CY37" i="62"/>
  <c r="CW38" i="62"/>
  <c r="CU39" i="62"/>
  <c r="CY40" i="62"/>
  <c r="CU41" i="62"/>
  <c r="CY42" i="62"/>
  <c r="CU43" i="62"/>
  <c r="CY44" i="62"/>
  <c r="CU45" i="62"/>
  <c r="CY46" i="62"/>
  <c r="CU47" i="62"/>
  <c r="CY48" i="62"/>
  <c r="CY49" i="62"/>
  <c r="CV50" i="62"/>
  <c r="CU51" i="62"/>
  <c r="DA55" i="62"/>
  <c r="CX56" i="62"/>
  <c r="CY57" i="62"/>
  <c r="CV58" i="62"/>
  <c r="CU59" i="62"/>
  <c r="K100" i="62"/>
  <c r="CY30" i="62"/>
  <c r="CW31" i="62"/>
  <c r="CU32" i="62"/>
  <c r="DA33" i="62"/>
  <c r="CY34" i="62"/>
  <c r="CW35" i="62"/>
  <c r="CU36" i="62"/>
  <c r="DA37" i="62"/>
  <c r="CY38" i="62"/>
  <c r="CW39" i="62"/>
  <c r="DA40" i="62"/>
  <c r="CW41" i="62"/>
  <c r="DA42" i="62"/>
  <c r="CW43" i="62"/>
  <c r="DA44" i="62"/>
  <c r="CW45" i="62"/>
  <c r="DA46" i="62"/>
  <c r="CW47" i="62"/>
  <c r="DA49" i="62"/>
  <c r="CX50" i="62"/>
  <c r="CY51" i="62"/>
  <c r="CV52" i="62"/>
  <c r="CU53" i="62"/>
  <c r="DA57" i="62"/>
  <c r="CX58" i="62"/>
  <c r="CY59" i="62"/>
  <c r="CV60" i="62"/>
  <c r="CU61" i="62"/>
  <c r="CU67" i="62"/>
  <c r="CZ30" i="62"/>
  <c r="CX31" i="62"/>
  <c r="CV32" i="62"/>
  <c r="CZ34" i="62"/>
  <c r="CX35" i="62"/>
  <c r="CV36" i="62"/>
  <c r="CZ38" i="62"/>
  <c r="CX39" i="62"/>
  <c r="CX41" i="62"/>
  <c r="CX43" i="62"/>
  <c r="CX45" i="62"/>
  <c r="CX47" i="62"/>
  <c r="CY50" i="62"/>
  <c r="CZ51" i="62"/>
  <c r="CW52" i="62"/>
  <c r="CX53" i="62"/>
  <c r="CU54" i="62"/>
  <c r="CY58" i="62"/>
  <c r="CZ59" i="62"/>
  <c r="CW60" i="62"/>
  <c r="CX61" i="62"/>
  <c r="CU62" i="62"/>
  <c r="CU63" i="62"/>
  <c r="CY64" i="62"/>
  <c r="CY67" i="62"/>
  <c r="CY69" i="62"/>
  <c r="DJ13" i="62"/>
  <c r="DA30" i="62"/>
  <c r="CY31" i="62"/>
  <c r="CW32" i="62"/>
  <c r="CU33" i="62"/>
  <c r="DA34" i="62"/>
  <c r="CY35" i="62"/>
  <c r="CW36" i="62"/>
  <c r="CU37" i="62"/>
  <c r="DA38" i="62"/>
  <c r="CY39" i="62"/>
  <c r="CU40" i="62"/>
  <c r="CY41" i="62"/>
  <c r="CU42" i="62"/>
  <c r="CY43" i="62"/>
  <c r="CU44" i="62"/>
  <c r="CY45" i="62"/>
  <c r="CU46" i="62"/>
  <c r="CY47" i="62"/>
  <c r="CU48" i="62"/>
  <c r="DA51" i="62"/>
  <c r="CX52" i="62"/>
  <c r="CY53" i="62"/>
  <c r="CV54" i="62"/>
  <c r="CU55" i="62"/>
  <c r="DA59" i="62"/>
  <c r="CX60" i="62"/>
  <c r="CY61" i="62"/>
  <c r="CV62" i="62"/>
  <c r="CV63" i="62"/>
  <c r="CZ64" i="62"/>
  <c r="DA67" i="62"/>
  <c r="CX69" i="62"/>
  <c r="CZ31" i="62"/>
  <c r="CX32" i="62"/>
  <c r="CV33" i="62"/>
  <c r="CZ35" i="62"/>
  <c r="CX36" i="62"/>
  <c r="CV37" i="62"/>
  <c r="CZ39" i="62"/>
  <c r="CV40" i="62"/>
  <c r="CZ41" i="62"/>
  <c r="CV42" i="62"/>
  <c r="CZ43" i="62"/>
  <c r="CV44" i="62"/>
  <c r="CZ45" i="62"/>
  <c r="CV46" i="62"/>
  <c r="CZ47" i="62"/>
  <c r="CV48" i="62"/>
  <c r="CY52" i="62"/>
  <c r="CZ53" i="62"/>
  <c r="CW54" i="62"/>
  <c r="CX55" i="62"/>
  <c r="CU56" i="62"/>
  <c r="CY60" i="62"/>
  <c r="CZ61" i="62"/>
  <c r="CW62" i="62"/>
  <c r="CY63" i="62"/>
  <c r="DA64" i="62"/>
  <c r="CX66" i="62"/>
  <c r="CU30" i="62"/>
  <c r="DA31" i="62"/>
  <c r="CY32" i="62"/>
  <c r="CW33" i="62"/>
  <c r="CU34" i="62"/>
  <c r="DA35" i="62"/>
  <c r="CY36" i="62"/>
  <c r="CW37" i="62"/>
  <c r="CU38" i="62"/>
  <c r="DA39" i="62"/>
  <c r="CW40" i="62"/>
  <c r="DA41" i="62"/>
  <c r="CW42" i="62"/>
  <c r="DA43" i="62"/>
  <c r="CW44" i="62"/>
  <c r="DA45" i="62"/>
  <c r="CW46" i="62"/>
  <c r="DA47" i="62"/>
  <c r="CW48" i="62"/>
  <c r="CU49" i="62"/>
  <c r="DA53" i="62"/>
  <c r="CX54" i="62"/>
  <c r="CY55" i="62"/>
  <c r="CV56" i="62"/>
  <c r="CU57" i="62"/>
  <c r="DA61" i="62"/>
  <c r="CX62" i="62"/>
  <c r="DA63" i="62"/>
  <c r="CZ66" i="62"/>
  <c r="CV49" i="62"/>
  <c r="AL50" i="62"/>
  <c r="AQ50" i="62" s="1"/>
  <c r="CC50" i="62" s="1"/>
  <c r="CZ50" i="62"/>
  <c r="CV51" i="62"/>
  <c r="AL52" i="62"/>
  <c r="AQ52" i="62" s="1"/>
  <c r="BK52" i="62" s="1"/>
  <c r="CZ52" i="62"/>
  <c r="CV53" i="62"/>
  <c r="AL54" i="62"/>
  <c r="AQ54" i="62" s="1"/>
  <c r="BJ54" i="62" s="1"/>
  <c r="CZ54" i="62"/>
  <c r="CV55" i="62"/>
  <c r="AL56" i="62"/>
  <c r="AQ56" i="62" s="1"/>
  <c r="BK56" i="62" s="1"/>
  <c r="CZ56" i="62"/>
  <c r="CV57" i="62"/>
  <c r="AL58" i="62"/>
  <c r="AQ58" i="62" s="1"/>
  <c r="BK58" i="62" s="1"/>
  <c r="CZ58" i="62"/>
  <c r="CV59" i="62"/>
  <c r="AL60" i="62"/>
  <c r="AQ60" i="62" s="1"/>
  <c r="BJ60" i="62" s="1"/>
  <c r="CZ60" i="62"/>
  <c r="CV61" i="62"/>
  <c r="AL62" i="62"/>
  <c r="AQ62" i="62" s="1"/>
  <c r="CC62" i="62" s="1"/>
  <c r="CZ62" i="62"/>
  <c r="CW63" i="62"/>
  <c r="CU64" i="62"/>
  <c r="CU65" i="62"/>
  <c r="DA66" i="62"/>
  <c r="DA48" i="62"/>
  <c r="DI48" i="62"/>
  <c r="CW49" i="62"/>
  <c r="DA50" i="62"/>
  <c r="DI50" i="62"/>
  <c r="CW51" i="62"/>
  <c r="DA52" i="62"/>
  <c r="DI52" i="62"/>
  <c r="CW53" i="62"/>
  <c r="DA54" i="62"/>
  <c r="DI54" i="62"/>
  <c r="CW55" i="62"/>
  <c r="DA56" i="62"/>
  <c r="DI56" i="62"/>
  <c r="CW57" i="62"/>
  <c r="DA58" i="62"/>
  <c r="DI58" i="62"/>
  <c r="CW59" i="62"/>
  <c r="DA60" i="62"/>
  <c r="DI60" i="62"/>
  <c r="CW61" i="62"/>
  <c r="DA62" i="62"/>
  <c r="DI62" i="62"/>
  <c r="CX63" i="62"/>
  <c r="CX64" i="62"/>
  <c r="DI66" i="62"/>
  <c r="DI65" i="62"/>
  <c r="DI64" i="62"/>
  <c r="CY65" i="62"/>
  <c r="CY66" i="62"/>
  <c r="CX67" i="62"/>
  <c r="AL63" i="62"/>
  <c r="AQ63" i="62" s="1"/>
  <c r="BL63" i="62" s="1"/>
  <c r="P63" i="62" s="1"/>
  <c r="CZ63" i="62"/>
  <c r="CV64" i="62"/>
  <c r="AL65" i="62"/>
  <c r="AQ65" i="62" s="1"/>
  <c r="CC65" i="62" s="1"/>
  <c r="DI63" i="62"/>
  <c r="CW64" i="62"/>
  <c r="AL66" i="62"/>
  <c r="AQ66" i="62" s="1"/>
  <c r="BL66" i="62" s="1"/>
  <c r="P66" i="62" s="1"/>
  <c r="CV66" i="62"/>
  <c r="CZ65" i="62"/>
  <c r="CW66" i="62"/>
  <c r="CW65" i="62"/>
  <c r="CX65" i="62"/>
  <c r="DA69" i="62"/>
  <c r="DI69" i="62"/>
  <c r="CU68" i="62"/>
  <c r="CW67" i="62"/>
  <c r="DA68" i="62"/>
  <c r="DI68" i="62"/>
  <c r="CU66" i="62"/>
  <c r="H92" i="62"/>
  <c r="AF47" i="62" s="1"/>
  <c r="AH47" i="62" s="1"/>
  <c r="CV67" i="62"/>
  <c r="AL68" i="62"/>
  <c r="AQ68" i="62" s="1"/>
  <c r="BJ68" i="62" s="1"/>
  <c r="J105" i="62"/>
  <c r="AL69" i="62"/>
  <c r="AQ69" i="62" s="1"/>
  <c r="BL69" i="62" s="1"/>
  <c r="P69" i="62" s="1"/>
  <c r="W11" i="63"/>
  <c r="W9" i="63" s="1"/>
  <c r="V16" i="63" s="1"/>
  <c r="H88" i="62"/>
  <c r="V60" i="62" s="1"/>
  <c r="Z60" i="62" s="1"/>
  <c r="CV69" i="62"/>
  <c r="AL67" i="62"/>
  <c r="AQ67" i="62" s="1"/>
  <c r="BL67" i="62" s="1"/>
  <c r="P67" i="62" s="1"/>
  <c r="CZ67" i="62"/>
  <c r="CW68" i="62"/>
  <c r="CW69" i="62"/>
  <c r="DI67" i="62"/>
  <c r="CX68" i="62"/>
  <c r="CV68" i="62"/>
  <c r="CZ69" i="62"/>
  <c r="CY68" i="62"/>
  <c r="CU69" i="62"/>
  <c r="CZ68" i="62"/>
  <c r="AO67" i="62"/>
  <c r="DK67" i="62" s="1"/>
  <c r="S42" i="62"/>
  <c r="U42" i="62" s="1"/>
  <c r="S62" i="62"/>
  <c r="U62" i="62" s="1"/>
  <c r="U41" i="62"/>
  <c r="AO64" i="62"/>
  <c r="DK64" i="62" s="1"/>
  <c r="S67" i="62"/>
  <c r="U67" i="62" s="1"/>
  <c r="AO49" i="62"/>
  <c r="DK49" i="62" s="1"/>
  <c r="T53" i="62"/>
  <c r="AO63" i="62"/>
  <c r="DK63" i="62" s="1"/>
  <c r="U44" i="62"/>
  <c r="T51" i="62"/>
  <c r="S63" i="62"/>
  <c r="U63" i="62" s="1"/>
  <c r="S43" i="62"/>
  <c r="U43" i="62" s="1"/>
  <c r="T44" i="62"/>
  <c r="S46" i="62"/>
  <c r="U46" i="62" s="1"/>
  <c r="AO44" i="62"/>
  <c r="DK44" i="62" s="1"/>
  <c r="AO56" i="62"/>
  <c r="DK56" i="62" s="1"/>
  <c r="T41" i="62"/>
  <c r="AQ61" i="62"/>
  <c r="BL61" i="62" s="1"/>
  <c r="P61" i="62" s="1"/>
  <c r="AN24" i="62"/>
  <c r="H20" i="62" s="1"/>
  <c r="U51" i="62"/>
  <c r="S60" i="62"/>
  <c r="U60" i="62" s="1"/>
  <c r="AO31" i="62"/>
  <c r="DK31" i="62" s="1"/>
  <c r="S40" i="62"/>
  <c r="U40" i="62" s="1"/>
  <c r="S49" i="62"/>
  <c r="U49" i="62" s="1"/>
  <c r="S52" i="62"/>
  <c r="U52" i="62" s="1"/>
  <c r="S54" i="62"/>
  <c r="U54" i="62" s="1"/>
  <c r="AO53" i="62"/>
  <c r="DK53" i="62" s="1"/>
  <c r="U57" i="62"/>
  <c r="S59" i="62"/>
  <c r="U59" i="62" s="1"/>
  <c r="AO65" i="62"/>
  <c r="DK65" i="62" s="1"/>
  <c r="AO69" i="62"/>
  <c r="DK69" i="62" s="1"/>
  <c r="AS89" i="62"/>
  <c r="H91" i="62" s="1"/>
  <c r="AO47" i="62"/>
  <c r="DK47" i="62" s="1"/>
  <c r="U66" i="62"/>
  <c r="U53" i="62"/>
  <c r="AO55" i="62"/>
  <c r="DK55" i="62" s="1"/>
  <c r="T66" i="62"/>
  <c r="S68" i="62"/>
  <c r="U68" i="62" s="1"/>
  <c r="AO66" i="62"/>
  <c r="DK66" i="62" s="1"/>
  <c r="S50" i="62"/>
  <c r="U50" i="62" s="1"/>
  <c r="S58" i="62"/>
  <c r="U58" i="62" s="1"/>
  <c r="AO43" i="62"/>
  <c r="DK43" i="62" s="1"/>
  <c r="AO42" i="62"/>
  <c r="DK42" i="62" s="1"/>
  <c r="AO41" i="62"/>
  <c r="DK41" i="62" s="1"/>
  <c r="AO40" i="62"/>
  <c r="DK40" i="62" s="1"/>
  <c r="T55" i="62"/>
  <c r="S55" i="62"/>
  <c r="U55" i="62" s="1"/>
  <c r="S45" i="62"/>
  <c r="U45" i="62" s="1"/>
  <c r="T45" i="62"/>
  <c r="AO46" i="62"/>
  <c r="DK46" i="62" s="1"/>
  <c r="AO45" i="62"/>
  <c r="DK45" i="62" s="1"/>
  <c r="AO48" i="62"/>
  <c r="DK48" i="62" s="1"/>
  <c r="T48" i="62"/>
  <c r="S48" i="62"/>
  <c r="U48" i="62" s="1"/>
  <c r="S47" i="62"/>
  <c r="U47" i="62" s="1"/>
  <c r="T69" i="62"/>
  <c r="S69" i="62"/>
  <c r="U69" i="62" s="1"/>
  <c r="AO50" i="62"/>
  <c r="DK50" i="62" s="1"/>
  <c r="S56" i="62"/>
  <c r="U56" i="62" s="1"/>
  <c r="AO51" i="62"/>
  <c r="DK51" i="62" s="1"/>
  <c r="T57" i="62"/>
  <c r="AO62" i="62"/>
  <c r="DK62" i="62" s="1"/>
  <c r="AO52" i="62"/>
  <c r="DK52" i="62" s="1"/>
  <c r="AO57" i="62"/>
  <c r="DK57" i="62" s="1"/>
  <c r="AO54" i="62"/>
  <c r="DK54" i="62" s="1"/>
  <c r="AO58" i="62"/>
  <c r="DK58" i="62" s="1"/>
  <c r="T61" i="62"/>
  <c r="S61" i="62"/>
  <c r="U61" i="62" s="1"/>
  <c r="AO61" i="62"/>
  <c r="DK61" i="62" s="1"/>
  <c r="AO60" i="62"/>
  <c r="DK60" i="62" s="1"/>
  <c r="AO59" i="62"/>
  <c r="DK59" i="62" s="1"/>
  <c r="X12" i="63"/>
  <c r="X20" i="63"/>
  <c r="X21" i="63"/>
  <c r="S64" i="62"/>
  <c r="U64" i="62" s="1"/>
  <c r="S65" i="62"/>
  <c r="U65" i="62" s="1"/>
  <c r="X22" i="63"/>
  <c r="T33" i="62" l="1"/>
  <c r="D96" i="1"/>
  <c r="N28" i="8"/>
  <c r="N27" i="8"/>
  <c r="S35" i="62"/>
  <c r="S38" i="62"/>
  <c r="T32" i="62"/>
  <c r="S37" i="62"/>
  <c r="T36" i="62"/>
  <c r="S34" i="62"/>
  <c r="S39" i="62"/>
  <c r="F21" i="8"/>
  <c r="S12" i="62"/>
  <c r="S30" i="62"/>
  <c r="CC30" i="62"/>
  <c r="AX32" i="62"/>
  <c r="AV32" i="62" s="1"/>
  <c r="AX39" i="62"/>
  <c r="AV39" i="62" s="1"/>
  <c r="AX42" i="62"/>
  <c r="AV42" i="62" s="1"/>
  <c r="AX33" i="62"/>
  <c r="AV33" i="62" s="1"/>
  <c r="S31" i="62"/>
  <c r="AX51" i="62"/>
  <c r="AV51" i="62" s="1"/>
  <c r="AX49" i="62"/>
  <c r="AV49" i="62" s="1"/>
  <c r="AX37" i="62"/>
  <c r="AV37" i="62" s="1"/>
  <c r="AX46" i="62"/>
  <c r="AV46" i="62" s="1"/>
  <c r="BK43" i="62"/>
  <c r="AT46" i="62"/>
  <c r="N46" i="62" s="1"/>
  <c r="AS46" i="62" s="1"/>
  <c r="BJ43" i="62"/>
  <c r="N26" i="8"/>
  <c r="AX45" i="62"/>
  <c r="AV45" i="62" s="1"/>
  <c r="AX34" i="62"/>
  <c r="AV34" i="62" s="1"/>
  <c r="AX40" i="62"/>
  <c r="AV40" i="62" s="1"/>
  <c r="AX66" i="62"/>
  <c r="AV66" i="62" s="1"/>
  <c r="AX61" i="62"/>
  <c r="AV61" i="62" s="1"/>
  <c r="AX47" i="62"/>
  <c r="AV47" i="62" s="1"/>
  <c r="AX36" i="62"/>
  <c r="AV36" i="62" s="1"/>
  <c r="AX41" i="62"/>
  <c r="AV41" i="62" s="1"/>
  <c r="AX62" i="62"/>
  <c r="AV62" i="62" s="1"/>
  <c r="AX43" i="62"/>
  <c r="AV43" i="62" s="1"/>
  <c r="DJ40" i="62"/>
  <c r="BI40" i="62" s="1"/>
  <c r="AX57" i="62"/>
  <c r="AV57" i="62" s="1"/>
  <c r="DJ45" i="62"/>
  <c r="BI45" i="62" s="1"/>
  <c r="DJ41" i="62"/>
  <c r="BI41" i="62" s="1"/>
  <c r="AX44" i="62"/>
  <c r="AV44" i="62" s="1"/>
  <c r="AX55" i="62"/>
  <c r="AV55" i="62" s="1"/>
  <c r="DJ62" i="62"/>
  <c r="BI62" i="62" s="1"/>
  <c r="D12" i="62"/>
  <c r="DJ53" i="62"/>
  <c r="BI53" i="62" s="1"/>
  <c r="DJ44" i="62"/>
  <c r="BI44" i="62" s="1"/>
  <c r="AX53" i="62"/>
  <c r="AV53" i="62" s="1"/>
  <c r="DJ47" i="62"/>
  <c r="BI47" i="62" s="1"/>
  <c r="J102" i="62"/>
  <c r="AX52" i="62"/>
  <c r="AV52" i="62" s="1"/>
  <c r="DJ49" i="62"/>
  <c r="BI49" i="62" s="1"/>
  <c r="AX35" i="62"/>
  <c r="AV35" i="62" s="1"/>
  <c r="AX31" i="62"/>
  <c r="AV31" i="62" s="1"/>
  <c r="AX59" i="62"/>
  <c r="AV59" i="62" s="1"/>
  <c r="DJ46" i="62"/>
  <c r="BI46" i="62" s="1"/>
  <c r="AX38" i="62"/>
  <c r="AV38" i="62" s="1"/>
  <c r="AX30" i="62"/>
  <c r="AV30" i="62" s="1"/>
  <c r="AX58" i="62"/>
  <c r="AV58" i="62" s="1"/>
  <c r="AX64" i="62"/>
  <c r="AV64" i="62" s="1"/>
  <c r="DJ51" i="62"/>
  <c r="BI51" i="62" s="1"/>
  <c r="CB34" i="62"/>
  <c r="AX48" i="62"/>
  <c r="AV48" i="62" s="1"/>
  <c r="DJ58" i="62"/>
  <c r="BI58" i="62" s="1"/>
  <c r="DJ42" i="62"/>
  <c r="BI42" i="62" s="1"/>
  <c r="DJ54" i="62"/>
  <c r="BI54" i="62" s="1"/>
  <c r="DJ52" i="62"/>
  <c r="BI52" i="62" s="1"/>
  <c r="DJ43" i="62"/>
  <c r="BI43" i="62" s="1"/>
  <c r="DJ48" i="62"/>
  <c r="BI48" i="62" s="1"/>
  <c r="DJ60" i="62"/>
  <c r="BI60" i="62" s="1"/>
  <c r="AX54" i="62"/>
  <c r="AV54" i="62" s="1"/>
  <c r="DJ59" i="62"/>
  <c r="BI59" i="62" s="1"/>
  <c r="AX65" i="62"/>
  <c r="AV65" i="62" s="1"/>
  <c r="DJ64" i="62"/>
  <c r="BI64" i="62" s="1"/>
  <c r="DJ61" i="62"/>
  <c r="BI61" i="62" s="1"/>
  <c r="DJ56" i="62"/>
  <c r="BI56" i="62" s="1"/>
  <c r="AX50" i="62"/>
  <c r="AV50" i="62" s="1"/>
  <c r="AF60" i="62"/>
  <c r="AG60" i="62" s="1"/>
  <c r="AF42" i="62"/>
  <c r="AH42" i="62" s="1"/>
  <c r="AI42" i="62" s="1"/>
  <c r="AX60" i="62"/>
  <c r="AV60" i="62" s="1"/>
  <c r="DJ55" i="62"/>
  <c r="BI55" i="62" s="1"/>
  <c r="DJ50" i="62"/>
  <c r="BI50" i="62" s="1"/>
  <c r="DJ57" i="62"/>
  <c r="BI57" i="62" s="1"/>
  <c r="AX56" i="62"/>
  <c r="AV56" i="62" s="1"/>
  <c r="AX67" i="62"/>
  <c r="AV67" i="62" s="1"/>
  <c r="DJ66" i="62"/>
  <c r="BI66" i="62" s="1"/>
  <c r="AX63" i="62"/>
  <c r="AV63" i="62" s="1"/>
  <c r="DJ65" i="62"/>
  <c r="BI65" i="62" s="1"/>
  <c r="BL64" i="62"/>
  <c r="P64" i="62" s="1"/>
  <c r="AF64" i="62"/>
  <c r="AG64" i="62" s="1"/>
  <c r="DJ63" i="62"/>
  <c r="BI63" i="62" s="1"/>
  <c r="AF31" i="62"/>
  <c r="AG31" i="62" s="1"/>
  <c r="BK45" i="62"/>
  <c r="AF67" i="62"/>
  <c r="AJ67" i="62" s="1"/>
  <c r="V21" i="63"/>
  <c r="V14" i="63"/>
  <c r="BJ65" i="62"/>
  <c r="DJ67" i="62"/>
  <c r="BI67" i="62" s="1"/>
  <c r="AX69" i="62"/>
  <c r="AV69" i="62" s="1"/>
  <c r="AF66" i="62"/>
  <c r="AF36" i="62"/>
  <c r="AF53" i="62"/>
  <c r="AJ53" i="62" s="1"/>
  <c r="AF58" i="62"/>
  <c r="AJ58" i="62" s="1"/>
  <c r="AF32" i="62"/>
  <c r="AH32" i="62" s="1"/>
  <c r="AF39" i="62"/>
  <c r="AG39" i="62" s="1"/>
  <c r="AF65" i="62"/>
  <c r="AH65" i="62" s="1"/>
  <c r="AI65" i="62" s="1"/>
  <c r="AF45" i="62"/>
  <c r="AG45" i="62" s="1"/>
  <c r="AF46" i="62"/>
  <c r="AG46" i="62" s="1"/>
  <c r="AF30" i="62"/>
  <c r="AG30" i="62" s="1"/>
  <c r="AF33" i="62"/>
  <c r="AG33" i="62" s="1"/>
  <c r="AF48" i="62"/>
  <c r="AH48" i="62" s="1"/>
  <c r="AI48" i="62" s="1"/>
  <c r="AF57" i="62"/>
  <c r="AH57" i="62" s="1"/>
  <c r="AF44" i="62"/>
  <c r="AH44" i="62" s="1"/>
  <c r="AI44" i="62" s="1"/>
  <c r="AF51" i="62"/>
  <c r="AJ51" i="62" s="1"/>
  <c r="AF61" i="62"/>
  <c r="AG61" i="62" s="1"/>
  <c r="AF41" i="62"/>
  <c r="AH41" i="62" s="1"/>
  <c r="AI41" i="62" s="1"/>
  <c r="AF38" i="62"/>
  <c r="AG38" i="62" s="1"/>
  <c r="AF68" i="62"/>
  <c r="AJ68" i="62" s="1"/>
  <c r="AF54" i="62"/>
  <c r="AG54" i="62" s="1"/>
  <c r="AF43" i="62"/>
  <c r="AG43" i="62" s="1"/>
  <c r="AF50" i="62"/>
  <c r="AJ50" i="62" s="1"/>
  <c r="AF40" i="62"/>
  <c r="AG40" i="62" s="1"/>
  <c r="AF56" i="62"/>
  <c r="AJ56" i="62" s="1"/>
  <c r="AF59" i="62"/>
  <c r="AJ59" i="62" s="1"/>
  <c r="AF62" i="62"/>
  <c r="AH62" i="62" s="1"/>
  <c r="AI62" i="62" s="1"/>
  <c r="AF34" i="62"/>
  <c r="AJ34" i="62" s="1"/>
  <c r="AF37" i="62"/>
  <c r="AH37" i="62" s="1"/>
  <c r="AI37" i="62" s="1"/>
  <c r="AX68" i="62"/>
  <c r="AV68" i="62" s="1"/>
  <c r="AF69" i="62"/>
  <c r="AJ69" i="62" s="1"/>
  <c r="AF55" i="62"/>
  <c r="AG55" i="62" s="1"/>
  <c r="AF52" i="62"/>
  <c r="AH52" i="62" s="1"/>
  <c r="AI52" i="62" s="1"/>
  <c r="AF63" i="62"/>
  <c r="AJ63" i="62" s="1"/>
  <c r="AF49" i="62"/>
  <c r="AG49" i="62" s="1"/>
  <c r="AF35" i="62"/>
  <c r="AH35" i="62" s="1"/>
  <c r="AI35" i="62" s="1"/>
  <c r="X60" i="62"/>
  <c r="Y60" i="62" s="1"/>
  <c r="V12" i="63"/>
  <c r="V13" i="63"/>
  <c r="V23" i="63"/>
  <c r="AA68" i="62"/>
  <c r="AC68" i="62" s="1"/>
  <c r="AD68" i="62" s="1"/>
  <c r="V46" i="62"/>
  <c r="Z46" i="62" s="1"/>
  <c r="V53" i="62"/>
  <c r="X53" i="62" s="1"/>
  <c r="Y53" i="62" s="1"/>
  <c r="V40" i="62"/>
  <c r="X40" i="62" s="1"/>
  <c r="Y40" i="62" s="1"/>
  <c r="V47" i="62"/>
  <c r="X47" i="62" s="1"/>
  <c r="V67" i="62"/>
  <c r="W67" i="62" s="1"/>
  <c r="V65" i="62"/>
  <c r="Z65" i="62" s="1"/>
  <c r="V42" i="62"/>
  <c r="Z42" i="62" s="1"/>
  <c r="V17" i="63"/>
  <c r="AA45" i="62"/>
  <c r="AB45" i="62" s="1"/>
  <c r="V35" i="62"/>
  <c r="W35" i="62" s="1"/>
  <c r="V38" i="62"/>
  <c r="V51" i="62"/>
  <c r="Z51" i="62" s="1"/>
  <c r="V48" i="62"/>
  <c r="X48" i="62" s="1"/>
  <c r="Y48" i="62" s="1"/>
  <c r="V56" i="62"/>
  <c r="Z56" i="62" s="1"/>
  <c r="W60" i="62"/>
  <c r="V43" i="62"/>
  <c r="X43" i="62" s="1"/>
  <c r="Y43" i="62" s="1"/>
  <c r="V41" i="62"/>
  <c r="Z41" i="62" s="1"/>
  <c r="V37" i="62"/>
  <c r="W37" i="62" s="1"/>
  <c r="V20" i="63"/>
  <c r="V66" i="62"/>
  <c r="Z66" i="62" s="1"/>
  <c r="V31" i="62"/>
  <c r="W31" i="62" s="1"/>
  <c r="V34" i="62"/>
  <c r="W34" i="62" s="1"/>
  <c r="V52" i="62"/>
  <c r="W52" i="62" s="1"/>
  <c r="V64" i="62"/>
  <c r="W64" i="62" s="1"/>
  <c r="V44" i="62"/>
  <c r="Z44" i="62" s="1"/>
  <c r="CB35" i="62"/>
  <c r="V22" i="63"/>
  <c r="V62" i="62"/>
  <c r="Z62" i="62" s="1"/>
  <c r="V63" i="62"/>
  <c r="W63" i="62" s="1"/>
  <c r="J88" i="62"/>
  <c r="J91" i="62" s="1"/>
  <c r="V57" i="62"/>
  <c r="W57" i="62" s="1"/>
  <c r="V33" i="62"/>
  <c r="W33" i="62" s="1"/>
  <c r="V45" i="62"/>
  <c r="W45" i="62" s="1"/>
  <c r="V36" i="62"/>
  <c r="W36" i="62" s="1"/>
  <c r="V39" i="62"/>
  <c r="V18" i="63"/>
  <c r="V15" i="63"/>
  <c r="V61" i="62"/>
  <c r="Z61" i="62" s="1"/>
  <c r="V58" i="62"/>
  <c r="Z58" i="62" s="1"/>
  <c r="V32" i="62"/>
  <c r="W32" i="62" s="1"/>
  <c r="V59" i="62"/>
  <c r="Z59" i="62" s="1"/>
  <c r="V49" i="62"/>
  <c r="X49" i="62" s="1"/>
  <c r="Y49" i="62" s="1"/>
  <c r="V69" i="62"/>
  <c r="Z69" i="62" s="1"/>
  <c r="V30" i="62"/>
  <c r="W30" i="62" s="1"/>
  <c r="V19" i="63"/>
  <c r="V50" i="62"/>
  <c r="Z50" i="62" s="1"/>
  <c r="V54" i="62"/>
  <c r="X54" i="62" s="1"/>
  <c r="Y54" i="62" s="1"/>
  <c r="V68" i="62"/>
  <c r="Z68" i="62" s="1"/>
  <c r="V55" i="62"/>
  <c r="X55" i="62" s="1"/>
  <c r="DJ69" i="62"/>
  <c r="BI69" i="62" s="1"/>
  <c r="BL43" i="62"/>
  <c r="P43" i="62" s="1"/>
  <c r="AT53" i="62"/>
  <c r="N53" i="62" s="1"/>
  <c r="AS53" i="62" s="1"/>
  <c r="DJ68" i="62"/>
  <c r="BI68" i="62" s="1"/>
  <c r="BK46" i="62"/>
  <c r="AA35" i="62"/>
  <c r="AT45" i="62"/>
  <c r="N45" i="62" s="1"/>
  <c r="AS45" i="62" s="1"/>
  <c r="CC46" i="62"/>
  <c r="CC60" i="62"/>
  <c r="BL53" i="62"/>
  <c r="P53" i="62" s="1"/>
  <c r="BJ45" i="62"/>
  <c r="BJ46" i="62"/>
  <c r="CC58" i="62"/>
  <c r="BK68" i="62"/>
  <c r="BL60" i="62"/>
  <c r="P60" i="62" s="1"/>
  <c r="AT60" i="62"/>
  <c r="N60" i="62" s="1"/>
  <c r="AS60" i="62" s="1"/>
  <c r="BL62" i="62"/>
  <c r="P62" i="62" s="1"/>
  <c r="CC68" i="62"/>
  <c r="BK60" i="62"/>
  <c r="BK57" i="62"/>
  <c r="AT44" i="62"/>
  <c r="N44" i="62" s="1"/>
  <c r="AS44" i="62" s="1"/>
  <c r="CC57" i="62"/>
  <c r="BL57" i="62"/>
  <c r="P57" i="62" s="1"/>
  <c r="AT57" i="62"/>
  <c r="N57" i="62" s="1"/>
  <c r="AS57" i="62" s="1"/>
  <c r="AT66" i="62"/>
  <c r="N66" i="62" s="1"/>
  <c r="AS66" i="62" s="1"/>
  <c r="AT49" i="62"/>
  <c r="N49" i="62" s="1"/>
  <c r="AS49" i="62" s="1"/>
  <c r="AT62" i="62"/>
  <c r="N62" i="62" s="1"/>
  <c r="AS62" i="62" s="1"/>
  <c r="CC44" i="62"/>
  <c r="AT43" i="62"/>
  <c r="N43" i="62" s="1"/>
  <c r="AS43" i="62" s="1"/>
  <c r="BK44" i="62"/>
  <c r="BJ48" i="62"/>
  <c r="CC41" i="62"/>
  <c r="AT41" i="62"/>
  <c r="N41" i="62" s="1"/>
  <c r="AS41" i="62" s="1"/>
  <c r="BK48" i="62"/>
  <c r="AA64" i="62"/>
  <c r="AB64" i="62" s="1"/>
  <c r="BK66" i="62"/>
  <c r="BL68" i="62"/>
  <c r="P68" i="62" s="1"/>
  <c r="CC48" i="62"/>
  <c r="AA57" i="62"/>
  <c r="AE57" i="62" s="1"/>
  <c r="CC66" i="62"/>
  <c r="BJ62" i="62"/>
  <c r="BK49" i="62"/>
  <c r="AA40" i="62"/>
  <c r="AB40" i="62" s="1"/>
  <c r="BK62" i="62"/>
  <c r="BL65" i="62"/>
  <c r="P65" i="62" s="1"/>
  <c r="CC52" i="62"/>
  <c r="BK47" i="62"/>
  <c r="CC49" i="62"/>
  <c r="AA54" i="62"/>
  <c r="AC54" i="62" s="1"/>
  <c r="AD54" i="62" s="1"/>
  <c r="BK42" i="62"/>
  <c r="BL44" i="62"/>
  <c r="P44" i="62" s="1"/>
  <c r="BK65" i="62"/>
  <c r="BJ49" i="62"/>
  <c r="AT65" i="62"/>
  <c r="N65" i="62" s="1"/>
  <c r="AS65" i="62" s="1"/>
  <c r="AT56" i="62"/>
  <c r="CD56" i="62" s="1"/>
  <c r="BL56" i="62"/>
  <c r="P56" i="62" s="1"/>
  <c r="AT48" i="62"/>
  <c r="N48" i="62" s="1"/>
  <c r="AS48" i="62" s="1"/>
  <c r="BL49" i="62"/>
  <c r="P49" i="62" s="1"/>
  <c r="BJ41" i="62"/>
  <c r="AA36" i="62"/>
  <c r="AC36" i="62" s="1"/>
  <c r="AD36" i="62" s="1"/>
  <c r="BK41" i="62"/>
  <c r="AA48" i="62"/>
  <c r="AC48" i="62" s="1"/>
  <c r="AD48" i="62" s="1"/>
  <c r="AT68" i="62"/>
  <c r="N68" i="62" s="1"/>
  <c r="AS68" i="62" s="1"/>
  <c r="CB31" i="62"/>
  <c r="CB33" i="62"/>
  <c r="U33" i="62" s="1"/>
  <c r="AT33" i="62" s="1"/>
  <c r="N33" i="62" s="1"/>
  <c r="AS33" i="62" s="1"/>
  <c r="BJ61" i="62"/>
  <c r="BL58" i="62"/>
  <c r="P58" i="62" s="1"/>
  <c r="BK54" i="62"/>
  <c r="CC47" i="62"/>
  <c r="BJ69" i="62"/>
  <c r="BK69" i="62"/>
  <c r="BK61" i="62"/>
  <c r="BJ55" i="62"/>
  <c r="AT47" i="62"/>
  <c r="N47" i="62" s="1"/>
  <c r="AS47" i="62" s="1"/>
  <c r="BL52" i="62"/>
  <c r="P52" i="62" s="1"/>
  <c r="BL47" i="62"/>
  <c r="P47" i="62" s="1"/>
  <c r="CC63" i="62"/>
  <c r="BJ63" i="62"/>
  <c r="CC69" i="62"/>
  <c r="CC61" i="62"/>
  <c r="AT58" i="62"/>
  <c r="N58" i="62" s="1"/>
  <c r="AS58" i="62" s="1"/>
  <c r="AT69" i="62"/>
  <c r="N69" i="62" s="1"/>
  <c r="AS69" i="62" s="1"/>
  <c r="AT52" i="62"/>
  <c r="N52" i="62" s="1"/>
  <c r="AS52" i="62" s="1"/>
  <c r="BJ50" i="62"/>
  <c r="AT61" i="62"/>
  <c r="CD61" i="62" s="1"/>
  <c r="BJ58" i="62"/>
  <c r="BJ52" i="62"/>
  <c r="AA37" i="62"/>
  <c r="AB37" i="62" s="1"/>
  <c r="CB36" i="62"/>
  <c r="U36" i="62" s="1"/>
  <c r="AT36" i="62" s="1"/>
  <c r="N36" i="62" s="1"/>
  <c r="CB32" i="62"/>
  <c r="U32" i="62" s="1"/>
  <c r="AT32" i="62" s="1"/>
  <c r="AJ47" i="62"/>
  <c r="AI47" i="62"/>
  <c r="AG47" i="62"/>
  <c r="BJ66" i="62"/>
  <c r="CC53" i="62"/>
  <c r="BK53" i="62"/>
  <c r="BL55" i="62"/>
  <c r="P55" i="62" s="1"/>
  <c r="CC54" i="62"/>
  <c r="BJ42" i="62"/>
  <c r="BL54" i="62"/>
  <c r="P54" i="62" s="1"/>
  <c r="BL42" i="62"/>
  <c r="P42" i="62" s="1"/>
  <c r="AT50" i="62"/>
  <c r="N50" i="62" s="1"/>
  <c r="AS50" i="62" s="1"/>
  <c r="AT54" i="62"/>
  <c r="N54" i="62" s="1"/>
  <c r="AS54" i="62" s="1"/>
  <c r="BK59" i="62"/>
  <c r="CC55" i="62"/>
  <c r="AT55" i="62"/>
  <c r="N55" i="62" s="1"/>
  <c r="AS55" i="62" s="1"/>
  <c r="AT42" i="62"/>
  <c r="N42" i="62" s="1"/>
  <c r="AS42" i="62" s="1"/>
  <c r="BK63" i="62"/>
  <c r="BJ56" i="62"/>
  <c r="BK50" i="62"/>
  <c r="AA47" i="62"/>
  <c r="AE47" i="62" s="1"/>
  <c r="AA55" i="62"/>
  <c r="AB55" i="62" s="1"/>
  <c r="AA52" i="62"/>
  <c r="AB52" i="62" s="1"/>
  <c r="CC59" i="62"/>
  <c r="BL50" i="62"/>
  <c r="P50" i="62" s="1"/>
  <c r="AA41" i="62"/>
  <c r="AB41" i="62" s="1"/>
  <c r="AA65" i="62"/>
  <c r="AC65" i="62" s="1"/>
  <c r="AD65" i="62" s="1"/>
  <c r="AA38" i="62"/>
  <c r="AA44" i="62"/>
  <c r="AE44" i="62" s="1"/>
  <c r="AA49" i="62"/>
  <c r="AE49" i="62" s="1"/>
  <c r="AA61" i="62"/>
  <c r="AC61" i="62" s="1"/>
  <c r="AD61" i="62" s="1"/>
  <c r="AA58" i="62"/>
  <c r="AB58" i="62" s="1"/>
  <c r="AT59" i="62"/>
  <c r="N59" i="62" s="1"/>
  <c r="AS59" i="62" s="1"/>
  <c r="BJ64" i="62"/>
  <c r="CC56" i="62"/>
  <c r="CB38" i="62"/>
  <c r="AA42" i="62"/>
  <c r="AE42" i="62" s="1"/>
  <c r="AA60" i="62"/>
  <c r="AE60" i="62" s="1"/>
  <c r="AA69" i="62"/>
  <c r="AB69" i="62" s="1"/>
  <c r="AA66" i="62"/>
  <c r="AC66" i="62" s="1"/>
  <c r="AD66" i="62" s="1"/>
  <c r="AA30" i="62"/>
  <c r="AC30" i="62" s="1"/>
  <c r="AD30" i="62" s="1"/>
  <c r="BJ59" i="62"/>
  <c r="AA32" i="62"/>
  <c r="BK64" i="62"/>
  <c r="AA39" i="62"/>
  <c r="AC39" i="62" s="1"/>
  <c r="AD39" i="62" s="1"/>
  <c r="AA43" i="62"/>
  <c r="AE43" i="62" s="1"/>
  <c r="AA50" i="62"/>
  <c r="AE50" i="62" s="1"/>
  <c r="AA62" i="62"/>
  <c r="AC62" i="62" s="1"/>
  <c r="AD62" i="62" s="1"/>
  <c r="AA59" i="62"/>
  <c r="AB59" i="62" s="1"/>
  <c r="CC32" i="62"/>
  <c r="AA56" i="62"/>
  <c r="AB56" i="62" s="1"/>
  <c r="AA53" i="62"/>
  <c r="AB53" i="62" s="1"/>
  <c r="CB30" i="62"/>
  <c r="AT63" i="62"/>
  <c r="N63" i="62" s="1"/>
  <c r="AS63" i="62" s="1"/>
  <c r="AT64" i="62"/>
  <c r="CD64" i="62" s="1"/>
  <c r="BL45" i="62"/>
  <c r="P45" i="62" s="1"/>
  <c r="CB39" i="62"/>
  <c r="AA46" i="62"/>
  <c r="AC46" i="62" s="1"/>
  <c r="AD46" i="62" s="1"/>
  <c r="AA51" i="62"/>
  <c r="AB51" i="62" s="1"/>
  <c r="AA63" i="62"/>
  <c r="AB63" i="62" s="1"/>
  <c r="AA67" i="62"/>
  <c r="AC67" i="62" s="1"/>
  <c r="AD67" i="62" s="1"/>
  <c r="CB37" i="62"/>
  <c r="AA34" i="62"/>
  <c r="AC34" i="62" s="1"/>
  <c r="AD34" i="62" s="1"/>
  <c r="BK67" i="62"/>
  <c r="CC67" i="62"/>
  <c r="AT67" i="62"/>
  <c r="N67" i="62" s="1"/>
  <c r="AS67" i="62" s="1"/>
  <c r="BJ67" i="62"/>
  <c r="AA33" i="62"/>
  <c r="AA31" i="62"/>
  <c r="BL40" i="62"/>
  <c r="P40" i="62" s="1"/>
  <c r="CC40" i="62"/>
  <c r="BK40" i="62"/>
  <c r="BJ40" i="62"/>
  <c r="AT40" i="62"/>
  <c r="N40" i="62" s="1"/>
  <c r="AS40" i="62" s="1"/>
  <c r="BL51" i="62"/>
  <c r="P51" i="62" s="1"/>
  <c r="CC51" i="62"/>
  <c r="BK51" i="62"/>
  <c r="BJ51" i="62"/>
  <c r="AT51" i="62"/>
  <c r="N51" i="62" s="1"/>
  <c r="AS51" i="62" s="1"/>
  <c r="AW89" i="62"/>
  <c r="C220" i="12"/>
  <c r="C210" i="12"/>
  <c r="C211" i="12"/>
  <c r="C212" i="12"/>
  <c r="E201" i="12"/>
  <c r="C201" i="12"/>
  <c r="C198" i="12"/>
  <c r="E198" i="12"/>
  <c r="C22" i="12"/>
  <c r="E18" i="12"/>
  <c r="E13" i="12"/>
  <c r="E11" i="12"/>
  <c r="E20" i="12"/>
  <c r="E19" i="12"/>
  <c r="D108" i="1"/>
  <c r="U37" i="62" l="1"/>
  <c r="AT37" i="62" s="1"/>
  <c r="CD37" i="62" s="1"/>
  <c r="U35" i="62"/>
  <c r="AT35" i="62" s="1"/>
  <c r="N35" i="62" s="1"/>
  <c r="AS35" i="62" s="1"/>
  <c r="U38" i="62"/>
  <c r="AT38" i="62" s="1"/>
  <c r="CD38" i="62" s="1"/>
  <c r="U39" i="62"/>
  <c r="AT39" i="62" s="1"/>
  <c r="N39" i="62" s="1"/>
  <c r="X39" i="62" s="1"/>
  <c r="Y39" i="62" s="1"/>
  <c r="U34" i="62"/>
  <c r="AT34" i="62" s="1"/>
  <c r="N34" i="62" s="1"/>
  <c r="AS34" i="62" s="1"/>
  <c r="K102" i="62"/>
  <c r="J103" i="62"/>
  <c r="K103" i="62" s="1"/>
  <c r="S75" i="62"/>
  <c r="U30" i="62"/>
  <c r="AT30" i="62" s="1"/>
  <c r="N30" i="62" s="1"/>
  <c r="X30" i="62" s="1"/>
  <c r="Y30" i="62" s="1"/>
  <c r="AJ57" i="62"/>
  <c r="AG32" i="62"/>
  <c r="CD46" i="62"/>
  <c r="AJ43" i="62"/>
  <c r="AJ32" i="62"/>
  <c r="AH43" i="62"/>
  <c r="AI43" i="62" s="1"/>
  <c r="AI32" i="62"/>
  <c r="AJ54" i="62"/>
  <c r="W47" i="62"/>
  <c r="AG37" i="62"/>
  <c r="AH54" i="62"/>
  <c r="AI54" i="62" s="1"/>
  <c r="AG48" i="62"/>
  <c r="AJ48" i="62"/>
  <c r="X51" i="62"/>
  <c r="Y51" i="62" s="1"/>
  <c r="CD53" i="62"/>
  <c r="Z55" i="62"/>
  <c r="AH60" i="62"/>
  <c r="AI60" i="62" s="1"/>
  <c r="AJ60" i="62"/>
  <c r="AH64" i="62"/>
  <c r="AI64" i="62" s="1"/>
  <c r="U31" i="62"/>
  <c r="AT31" i="62" s="1"/>
  <c r="N31" i="62" s="1"/>
  <c r="AJ64" i="62"/>
  <c r="N61" i="62"/>
  <c r="AS61" i="62" s="1"/>
  <c r="AJ37" i="62"/>
  <c r="AJ61" i="62"/>
  <c r="AJ42" i="62"/>
  <c r="W68" i="62"/>
  <c r="AG42" i="62"/>
  <c r="AG56" i="62"/>
  <c r="W38" i="62"/>
  <c r="AH68" i="62"/>
  <c r="AI68" i="62" s="1"/>
  <c r="X41" i="62"/>
  <c r="Y41" i="62" s="1"/>
  <c r="AH49" i="62"/>
  <c r="AI49" i="62" s="1"/>
  <c r="W44" i="62"/>
  <c r="AJ33" i="62"/>
  <c r="AG62" i="62"/>
  <c r="W41" i="62"/>
  <c r="AJ62" i="62"/>
  <c r="X36" i="62"/>
  <c r="Y36" i="62" s="1"/>
  <c r="AG53" i="62"/>
  <c r="AH53" i="62"/>
  <c r="AI53" i="62" s="1"/>
  <c r="AJ35" i="62"/>
  <c r="Z40" i="62"/>
  <c r="L12" i="62"/>
  <c r="X45" i="62"/>
  <c r="Y45" i="62" s="1"/>
  <c r="AJ49" i="62"/>
  <c r="X68" i="62"/>
  <c r="Y68" i="62" s="1"/>
  <c r="AB48" i="62"/>
  <c r="Z45" i="62"/>
  <c r="X44" i="62"/>
  <c r="Y44" i="62" s="1"/>
  <c r="AG67" i="62"/>
  <c r="AH33" i="62"/>
  <c r="AI33" i="62" s="1"/>
  <c r="AH67" i="62"/>
  <c r="AI67" i="62" s="1"/>
  <c r="CD45" i="62"/>
  <c r="AJ41" i="62"/>
  <c r="AJ45" i="62"/>
  <c r="AJ31" i="62"/>
  <c r="AC57" i="62"/>
  <c r="AD57" i="62" s="1"/>
  <c r="AH31" i="62"/>
  <c r="AI31" i="62" s="1"/>
  <c r="AJ55" i="62"/>
  <c r="AH55" i="62"/>
  <c r="AI55" i="62" s="1"/>
  <c r="AB57" i="62"/>
  <c r="AJ52" i="62"/>
  <c r="AH56" i="62"/>
  <c r="AI56" i="62" s="1"/>
  <c r="W61" i="62"/>
  <c r="W48" i="62"/>
  <c r="AJ44" i="62"/>
  <c r="AG52" i="62"/>
  <c r="AG59" i="62"/>
  <c r="X52" i="62"/>
  <c r="Y52" i="62" s="1"/>
  <c r="AG68" i="62"/>
  <c r="AH46" i="62"/>
  <c r="AI46" i="62" s="1"/>
  <c r="X58" i="62"/>
  <c r="Y58" i="62" s="1"/>
  <c r="Z54" i="62"/>
  <c r="AH59" i="62"/>
  <c r="AI59" i="62" s="1"/>
  <c r="AH63" i="62"/>
  <c r="AI63" i="62" s="1"/>
  <c r="AH61" i="62"/>
  <c r="AI61" i="62" s="1"/>
  <c r="W54" i="62"/>
  <c r="AG34" i="62"/>
  <c r="AJ46" i="62"/>
  <c r="AH58" i="62"/>
  <c r="AI58" i="62" s="1"/>
  <c r="Z64" i="62"/>
  <c r="W46" i="62"/>
  <c r="X46" i="62"/>
  <c r="Y46" i="62" s="1"/>
  <c r="AG63" i="62"/>
  <c r="AE68" i="62"/>
  <c r="AH34" i="62"/>
  <c r="AI34" i="62" s="1"/>
  <c r="AG41" i="62"/>
  <c r="W50" i="62"/>
  <c r="AE45" i="62"/>
  <c r="AG35" i="62"/>
  <c r="W58" i="62"/>
  <c r="W40" i="62"/>
  <c r="AG58" i="62"/>
  <c r="AG65" i="62"/>
  <c r="AG57" i="62"/>
  <c r="X63" i="62"/>
  <c r="Y63" i="62" s="1"/>
  <c r="Z48" i="62"/>
  <c r="W69" i="62"/>
  <c r="X65" i="62"/>
  <c r="Y65" i="62" s="1"/>
  <c r="W62" i="62"/>
  <c r="AH50" i="62"/>
  <c r="AI50" i="62" s="1"/>
  <c r="Z63" i="62"/>
  <c r="X62" i="62"/>
  <c r="Y62" i="62" s="1"/>
  <c r="AG44" i="62"/>
  <c r="V72" i="62"/>
  <c r="V75" i="62" s="1"/>
  <c r="AG50" i="62"/>
  <c r="AG69" i="62"/>
  <c r="AH69" i="62"/>
  <c r="AI69" i="62" s="1"/>
  <c r="W65" i="62"/>
  <c r="W51" i="62"/>
  <c r="AI57" i="62"/>
  <c r="Y55" i="62"/>
  <c r="AJ65" i="62"/>
  <c r="X69" i="62"/>
  <c r="Y69" i="62" s="1"/>
  <c r="X66" i="62"/>
  <c r="Y66" i="62" s="1"/>
  <c r="AJ40" i="62"/>
  <c r="AG51" i="62"/>
  <c r="CD43" i="62"/>
  <c r="X42" i="62"/>
  <c r="Y42" i="62" s="1"/>
  <c r="AF72" i="62"/>
  <c r="O102" i="62" s="1"/>
  <c r="J74" i="62" s="1"/>
  <c r="X56" i="62"/>
  <c r="Y56" i="62" s="1"/>
  <c r="AH40" i="62"/>
  <c r="AI40" i="62" s="1"/>
  <c r="W39" i="62"/>
  <c r="AJ36" i="62"/>
  <c r="AG36" i="62"/>
  <c r="AH36" i="62"/>
  <c r="AI36" i="62" s="1"/>
  <c r="AH45" i="62"/>
  <c r="AI45" i="62" s="1"/>
  <c r="AH51" i="62"/>
  <c r="AI51" i="62" s="1"/>
  <c r="W56" i="62"/>
  <c r="W42" i="62"/>
  <c r="W66" i="62"/>
  <c r="X59" i="62"/>
  <c r="Y59" i="62" s="1"/>
  <c r="AJ66" i="62"/>
  <c r="AG66" i="62"/>
  <c r="AH66" i="62"/>
  <c r="AI66" i="62" s="1"/>
  <c r="AE36" i="62"/>
  <c r="Z52" i="62"/>
  <c r="W55" i="62"/>
  <c r="AC45" i="62"/>
  <c r="AD45" i="62" s="1"/>
  <c r="Z57" i="62"/>
  <c r="W43" i="62"/>
  <c r="X50" i="62"/>
  <c r="Y50" i="62" s="1"/>
  <c r="X61" i="62"/>
  <c r="Y61" i="62" s="1"/>
  <c r="Z53" i="62"/>
  <c r="W53" i="62"/>
  <c r="X64" i="62"/>
  <c r="Y64" i="62" s="1"/>
  <c r="W59" i="62"/>
  <c r="CD47" i="62"/>
  <c r="AB68" i="62"/>
  <c r="Y47" i="62"/>
  <c r="X57" i="62"/>
  <c r="Y57" i="62" s="1"/>
  <c r="Z47" i="62"/>
  <c r="Z43" i="62"/>
  <c r="W49" i="62"/>
  <c r="Z49" i="62"/>
  <c r="Z67" i="62"/>
  <c r="X67" i="62"/>
  <c r="Y67" i="62" s="1"/>
  <c r="AB35" i="62"/>
  <c r="AC69" i="62"/>
  <c r="AD69" i="62" s="1"/>
  <c r="AE69" i="62"/>
  <c r="AC64" i="62"/>
  <c r="AD64" i="62" s="1"/>
  <c r="AE48" i="62"/>
  <c r="CD49" i="62"/>
  <c r="CD54" i="62"/>
  <c r="AC44" i="62"/>
  <c r="AD44" i="62" s="1"/>
  <c r="CD66" i="62"/>
  <c r="AB44" i="62"/>
  <c r="CD48" i="62"/>
  <c r="CD62" i="62"/>
  <c r="CD60" i="62"/>
  <c r="CD44" i="62"/>
  <c r="AE64" i="62"/>
  <c r="AE63" i="62"/>
  <c r="CD50" i="62"/>
  <c r="AE62" i="62"/>
  <c r="AB38" i="62"/>
  <c r="AE46" i="62"/>
  <c r="AB60" i="62"/>
  <c r="CD36" i="62"/>
  <c r="AB62" i="62"/>
  <c r="N56" i="62"/>
  <c r="AS56" i="62" s="1"/>
  <c r="AE51" i="62"/>
  <c r="CD57" i="62"/>
  <c r="AB46" i="62"/>
  <c r="AB50" i="62"/>
  <c r="AC50" i="62"/>
  <c r="AD50" i="62" s="1"/>
  <c r="AC56" i="62"/>
  <c r="AD56" i="62" s="1"/>
  <c r="AB43" i="62"/>
  <c r="AC51" i="62"/>
  <c r="AD51" i="62" s="1"/>
  <c r="AE56" i="62"/>
  <c r="AC41" i="62"/>
  <c r="AD41" i="62" s="1"/>
  <c r="CD68" i="62"/>
  <c r="AC40" i="62"/>
  <c r="AD40" i="62" s="1"/>
  <c r="CD33" i="62"/>
  <c r="AE40" i="62"/>
  <c r="AE66" i="62"/>
  <c r="AC42" i="62"/>
  <c r="AD42" i="62" s="1"/>
  <c r="CD41" i="62"/>
  <c r="AE54" i="62"/>
  <c r="AC60" i="62"/>
  <c r="AD60" i="62" s="1"/>
  <c r="X33" i="62"/>
  <c r="Y33" i="62" s="1"/>
  <c r="AB66" i="62"/>
  <c r="AB54" i="62"/>
  <c r="CD58" i="62"/>
  <c r="AC43" i="62"/>
  <c r="AD43" i="62" s="1"/>
  <c r="AS36" i="62"/>
  <c r="AC59" i="62"/>
  <c r="AD59" i="62" s="1"/>
  <c r="CD65" i="62"/>
  <c r="AB30" i="62"/>
  <c r="AE59" i="62"/>
  <c r="AB36" i="62"/>
  <c r="AB67" i="62"/>
  <c r="AE67" i="62"/>
  <c r="AB61" i="62"/>
  <c r="AC63" i="62"/>
  <c r="AD63" i="62" s="1"/>
  <c r="CD55" i="62"/>
  <c r="N32" i="62"/>
  <c r="AS32" i="62" s="1"/>
  <c r="CD32" i="62"/>
  <c r="AC52" i="62"/>
  <c r="AD52" i="62" s="1"/>
  <c r="AB34" i="62"/>
  <c r="AE52" i="62"/>
  <c r="AE34" i="62"/>
  <c r="AE39" i="62"/>
  <c r="AB39" i="62"/>
  <c r="AC53" i="62"/>
  <c r="AD53" i="62" s="1"/>
  <c r="CD69" i="62"/>
  <c r="AE41" i="62"/>
  <c r="CD52" i="62"/>
  <c r="AC47" i="62"/>
  <c r="AD47" i="62" s="1"/>
  <c r="AB42" i="62"/>
  <c r="AB47" i="62"/>
  <c r="AB32" i="62"/>
  <c r="AE58" i="62"/>
  <c r="AC58" i="62"/>
  <c r="AD58" i="62" s="1"/>
  <c r="AC32" i="62"/>
  <c r="AD32" i="62" s="1"/>
  <c r="AC55" i="62"/>
  <c r="AD55" i="62" s="1"/>
  <c r="AA72" i="62"/>
  <c r="O101" i="62" s="1"/>
  <c r="J73" i="62" s="1"/>
  <c r="CD42" i="62"/>
  <c r="CD63" i="62"/>
  <c r="AE53" i="62"/>
  <c r="AE55" i="62"/>
  <c r="AE30" i="62"/>
  <c r="AE61" i="62"/>
  <c r="AE65" i="62"/>
  <c r="N64" i="62"/>
  <c r="AS64" i="62" s="1"/>
  <c r="CB72" i="62"/>
  <c r="AB49" i="62"/>
  <c r="AB65" i="62"/>
  <c r="J92" i="62"/>
  <c r="K90" i="62" s="1"/>
  <c r="AC49" i="62"/>
  <c r="AD49" i="62" s="1"/>
  <c r="CD59" i="62"/>
  <c r="AB33" i="62"/>
  <c r="AE33" i="62"/>
  <c r="AC33" i="62"/>
  <c r="AD33" i="62" s="1"/>
  <c r="CD67" i="62"/>
  <c r="CD40" i="62"/>
  <c r="AB31" i="62"/>
  <c r="AC31" i="62"/>
  <c r="AD31" i="62" s="1"/>
  <c r="AE31" i="62"/>
  <c r="AU56" i="62"/>
  <c r="O56" i="62" s="1"/>
  <c r="AU50" i="62"/>
  <c r="O50" i="62" s="1"/>
  <c r="AU41" i="62"/>
  <c r="O41" i="62" s="1"/>
  <c r="AU39" i="62"/>
  <c r="O39" i="62" s="1"/>
  <c r="Z39" i="62" s="1"/>
  <c r="AU34" i="62"/>
  <c r="O34" i="62" s="1"/>
  <c r="AU60" i="62"/>
  <c r="O60" i="62" s="1"/>
  <c r="AU66" i="62"/>
  <c r="O66" i="62" s="1"/>
  <c r="AU47" i="62"/>
  <c r="O47" i="62" s="1"/>
  <c r="AU54" i="62"/>
  <c r="O54" i="62" s="1"/>
  <c r="AU65" i="62"/>
  <c r="O65" i="62" s="1"/>
  <c r="AU32" i="62"/>
  <c r="O32" i="62" s="1"/>
  <c r="AE32" i="62" s="1"/>
  <c r="AU63" i="62"/>
  <c r="O63" i="62" s="1"/>
  <c r="AU57" i="62"/>
  <c r="O57" i="62" s="1"/>
  <c r="AU31" i="62"/>
  <c r="O31" i="62" s="1"/>
  <c r="AU46" i="62"/>
  <c r="O46" i="62" s="1"/>
  <c r="AU42" i="62"/>
  <c r="O42" i="62" s="1"/>
  <c r="AU49" i="62"/>
  <c r="O49" i="62" s="1"/>
  <c r="AU48" i="62"/>
  <c r="O48" i="62" s="1"/>
  <c r="AU52" i="62"/>
  <c r="O52" i="62" s="1"/>
  <c r="AU62" i="62"/>
  <c r="O62" i="62" s="1"/>
  <c r="AU68" i="62"/>
  <c r="O68" i="62" s="1"/>
  <c r="AU35" i="62"/>
  <c r="O35" i="62" s="1"/>
  <c r="AE35" i="62" s="1"/>
  <c r="AU44" i="62"/>
  <c r="O44" i="62" s="1"/>
  <c r="AU33" i="62"/>
  <c r="O33" i="62" s="1"/>
  <c r="AU59" i="62"/>
  <c r="O59" i="62" s="1"/>
  <c r="AU38" i="62"/>
  <c r="O38" i="62" s="1"/>
  <c r="Z38" i="62" s="1"/>
  <c r="AU55" i="62"/>
  <c r="O55" i="62" s="1"/>
  <c r="AU61" i="62"/>
  <c r="O61" i="62" s="1"/>
  <c r="AU53" i="62"/>
  <c r="O53" i="62" s="1"/>
  <c r="AU43" i="62"/>
  <c r="O43" i="62" s="1"/>
  <c r="AU37" i="62"/>
  <c r="O37" i="62" s="1"/>
  <c r="Z37" i="62" s="1"/>
  <c r="AU45" i="62"/>
  <c r="O45" i="62" s="1"/>
  <c r="AU64" i="62"/>
  <c r="O64" i="62" s="1"/>
  <c r="AU58" i="62"/>
  <c r="O58" i="62" s="1"/>
  <c r="AU67" i="62"/>
  <c r="O67" i="62" s="1"/>
  <c r="AU69" i="62"/>
  <c r="O69" i="62" s="1"/>
  <c r="AU36" i="62"/>
  <c r="O36" i="62" s="1"/>
  <c r="AU30" i="62"/>
  <c r="O30" i="62" s="1"/>
  <c r="Z30" i="62" s="1"/>
  <c r="AU51" i="62"/>
  <c r="O51" i="62" s="1"/>
  <c r="AU40" i="62"/>
  <c r="O40" i="62" s="1"/>
  <c r="CD51" i="62"/>
  <c r="C65" i="1"/>
  <c r="AC35" i="62" l="1"/>
  <c r="AD35" i="62" s="1"/>
  <c r="AE38" i="62"/>
  <c r="N38" i="62"/>
  <c r="AS38" i="62" s="1"/>
  <c r="CD35" i="62"/>
  <c r="X35" i="62"/>
  <c r="Y35" i="62" s="1"/>
  <c r="N37" i="62"/>
  <c r="CD39" i="62"/>
  <c r="CD34" i="62"/>
  <c r="X34" i="62"/>
  <c r="Y34" i="62" s="1"/>
  <c r="CD30" i="62"/>
  <c r="CD31" i="62"/>
  <c r="O100" i="62"/>
  <c r="J72" i="62" s="1"/>
  <c r="O93" i="62"/>
  <c r="AF75" i="62"/>
  <c r="AG72" i="62"/>
  <c r="W72" i="62"/>
  <c r="I140" i="62" s="1"/>
  <c r="K89" i="62"/>
  <c r="X32" i="62"/>
  <c r="Y32" i="62" s="1"/>
  <c r="AB72" i="62"/>
  <c r="AS31" i="62"/>
  <c r="X31" i="62"/>
  <c r="Y31" i="62" s="1"/>
  <c r="K88" i="62"/>
  <c r="AA75" i="62"/>
  <c r="K91" i="62"/>
  <c r="J93" i="62"/>
  <c r="K92" i="62"/>
  <c r="AS30" i="62"/>
  <c r="AH30" i="62"/>
  <c r="AI30" i="62" s="1"/>
  <c r="Z32" i="62"/>
  <c r="AJ38" i="62"/>
  <c r="AH38" i="62"/>
  <c r="AI38" i="62" s="1"/>
  <c r="AJ39" i="62"/>
  <c r="Z33" i="62"/>
  <c r="AE37" i="62"/>
  <c r="AS39" i="62"/>
  <c r="AH39" i="62"/>
  <c r="AI39" i="62" s="1"/>
  <c r="AJ30" i="62"/>
  <c r="Z35" i="62"/>
  <c r="Z31" i="62"/>
  <c r="Z36" i="62"/>
  <c r="Z34" i="62"/>
  <c r="B20" i="61"/>
  <c r="B19" i="61"/>
  <c r="B18" i="61"/>
  <c r="B17" i="61"/>
  <c r="B16" i="61"/>
  <c r="B15" i="61"/>
  <c r="B14" i="61"/>
  <c r="B13" i="61"/>
  <c r="B12" i="61"/>
  <c r="B11" i="61"/>
  <c r="B10" i="61"/>
  <c r="B9" i="61"/>
  <c r="B8" i="61"/>
  <c r="CM153" i="51"/>
  <c r="CL153" i="51"/>
  <c r="CK153" i="51"/>
  <c r="CJ153" i="51"/>
  <c r="CI153" i="51"/>
  <c r="CH153" i="51"/>
  <c r="CG153" i="51"/>
  <c r="CF153" i="51"/>
  <c r="CC153" i="51"/>
  <c r="CB153" i="51"/>
  <c r="CA153" i="51"/>
  <c r="BZ153" i="51"/>
  <c r="BY153" i="51"/>
  <c r="BX153" i="51"/>
  <c r="BW153" i="51"/>
  <c r="BV153" i="51"/>
  <c r="BS153" i="51"/>
  <c r="BR153" i="51"/>
  <c r="BQ153" i="51"/>
  <c r="BP153" i="51"/>
  <c r="BO153" i="51"/>
  <c r="BN153" i="51"/>
  <c r="BM153" i="51"/>
  <c r="BL153" i="51"/>
  <c r="BI153" i="51"/>
  <c r="BH153" i="51"/>
  <c r="BG153" i="51"/>
  <c r="BF153" i="51"/>
  <c r="BE153" i="51"/>
  <c r="BD153" i="51"/>
  <c r="BC153" i="51"/>
  <c r="BB153" i="51"/>
  <c r="AY153" i="51"/>
  <c r="AX153" i="51"/>
  <c r="AW153" i="51"/>
  <c r="AV153" i="51"/>
  <c r="AU153" i="51"/>
  <c r="AT153" i="51"/>
  <c r="AS153" i="51"/>
  <c r="AR153" i="51"/>
  <c r="AO153" i="51"/>
  <c r="AN153" i="51"/>
  <c r="AM153" i="51"/>
  <c r="AL153" i="51"/>
  <c r="AK153" i="51"/>
  <c r="AJ153" i="51"/>
  <c r="AI153" i="51"/>
  <c r="AH153" i="51"/>
  <c r="AE153" i="51"/>
  <c r="AD153" i="51"/>
  <c r="AC153" i="51"/>
  <c r="AB153" i="51"/>
  <c r="AA153" i="51"/>
  <c r="Z153" i="51"/>
  <c r="Y153" i="51"/>
  <c r="X153" i="51"/>
  <c r="U153" i="51"/>
  <c r="T153" i="51"/>
  <c r="S153" i="51"/>
  <c r="R153" i="51"/>
  <c r="Q153" i="51"/>
  <c r="P153" i="51"/>
  <c r="O153" i="51"/>
  <c r="N153" i="51"/>
  <c r="CM152" i="51"/>
  <c r="CL152" i="51"/>
  <c r="CK152" i="51"/>
  <c r="CJ152" i="51"/>
  <c r="CI152" i="51"/>
  <c r="CH152" i="51"/>
  <c r="CG152" i="51"/>
  <c r="CF152" i="51"/>
  <c r="CC152" i="51"/>
  <c r="CB152" i="51"/>
  <c r="CA152" i="51"/>
  <c r="BZ152" i="51"/>
  <c r="BY152" i="51"/>
  <c r="BX152" i="51"/>
  <c r="BW152" i="51"/>
  <c r="BV152" i="51"/>
  <c r="BS152" i="51"/>
  <c r="BR152" i="51"/>
  <c r="BQ152" i="51"/>
  <c r="BP152" i="51"/>
  <c r="BO152" i="51"/>
  <c r="BN152" i="51"/>
  <c r="BM152" i="51"/>
  <c r="BL152" i="51"/>
  <c r="BI152" i="51"/>
  <c r="BH152" i="51"/>
  <c r="BG152" i="51"/>
  <c r="BF152" i="51"/>
  <c r="BE152" i="51"/>
  <c r="BD152" i="51"/>
  <c r="BC152" i="51"/>
  <c r="BB152" i="51"/>
  <c r="AY152" i="51"/>
  <c r="AX152" i="51"/>
  <c r="AW152" i="51"/>
  <c r="AV152" i="51"/>
  <c r="AU152" i="51"/>
  <c r="AT152" i="51"/>
  <c r="AS152" i="51"/>
  <c r="AR152" i="51"/>
  <c r="AO152" i="51"/>
  <c r="AN152" i="51"/>
  <c r="AM152" i="51"/>
  <c r="AL152" i="51"/>
  <c r="AK152" i="51"/>
  <c r="AJ152" i="51"/>
  <c r="AI152" i="51"/>
  <c r="AH152" i="51"/>
  <c r="AE152" i="51"/>
  <c r="AD152" i="51"/>
  <c r="AC152" i="51"/>
  <c r="AB152" i="51"/>
  <c r="AA152" i="51"/>
  <c r="Z152" i="51"/>
  <c r="Y152" i="51"/>
  <c r="X152" i="51"/>
  <c r="U152" i="51"/>
  <c r="T152" i="51"/>
  <c r="S152" i="51"/>
  <c r="R152" i="51"/>
  <c r="Q152" i="51"/>
  <c r="P152" i="51"/>
  <c r="O152" i="51"/>
  <c r="N152" i="51"/>
  <c r="CM151" i="51"/>
  <c r="CL151" i="51"/>
  <c r="CK151" i="51"/>
  <c r="CJ151" i="51"/>
  <c r="CI151" i="51"/>
  <c r="CH151" i="51"/>
  <c r="CG151" i="51"/>
  <c r="CF151" i="51"/>
  <c r="CC151" i="51"/>
  <c r="CB151" i="51"/>
  <c r="CA151" i="51"/>
  <c r="BZ151" i="51"/>
  <c r="BY151" i="51"/>
  <c r="BX151" i="51"/>
  <c r="BW151" i="51"/>
  <c r="BV151" i="51"/>
  <c r="BS151" i="51"/>
  <c r="BR151" i="51"/>
  <c r="BQ151" i="51"/>
  <c r="BP151" i="51"/>
  <c r="BO151" i="51"/>
  <c r="BN151" i="51"/>
  <c r="BM151" i="51"/>
  <c r="BL151" i="51"/>
  <c r="BI151" i="51"/>
  <c r="BH151" i="51"/>
  <c r="BG151" i="51"/>
  <c r="BF151" i="51"/>
  <c r="BE151" i="51"/>
  <c r="BD151" i="51"/>
  <c r="BC151" i="51"/>
  <c r="BB151" i="51"/>
  <c r="AY151" i="51"/>
  <c r="AX151" i="51"/>
  <c r="AW151" i="51"/>
  <c r="AV151" i="51"/>
  <c r="AU151" i="51"/>
  <c r="AT151" i="51"/>
  <c r="AS151" i="51"/>
  <c r="AR151" i="51"/>
  <c r="AO151" i="51"/>
  <c r="AN151" i="51"/>
  <c r="AM151" i="51"/>
  <c r="AL151" i="51"/>
  <c r="AK151" i="51"/>
  <c r="AJ151" i="51"/>
  <c r="AI151" i="51"/>
  <c r="AH151" i="51"/>
  <c r="AE151" i="51"/>
  <c r="AD151" i="51"/>
  <c r="AC151" i="51"/>
  <c r="AB151" i="51"/>
  <c r="AA151" i="51"/>
  <c r="Z151" i="51"/>
  <c r="Y151" i="51"/>
  <c r="X151" i="51"/>
  <c r="U151" i="51"/>
  <c r="T151" i="51"/>
  <c r="S151" i="51"/>
  <c r="R151" i="51"/>
  <c r="Q151" i="51"/>
  <c r="P151" i="51"/>
  <c r="O151" i="51"/>
  <c r="N151" i="51"/>
  <c r="CM150" i="51"/>
  <c r="CL150" i="51"/>
  <c r="CK150" i="51"/>
  <c r="CJ150" i="51"/>
  <c r="CI150" i="51"/>
  <c r="CH150" i="51"/>
  <c r="CG150" i="51"/>
  <c r="CF150" i="51"/>
  <c r="CC150" i="51"/>
  <c r="CB150" i="51"/>
  <c r="CA150" i="51"/>
  <c r="BZ150" i="51"/>
  <c r="BY150" i="51"/>
  <c r="BX150" i="51"/>
  <c r="BW150" i="51"/>
  <c r="BV150" i="51"/>
  <c r="BS150" i="51"/>
  <c r="BR150" i="51"/>
  <c r="BQ150" i="51"/>
  <c r="BP150" i="51"/>
  <c r="BO150" i="51"/>
  <c r="BN150" i="51"/>
  <c r="BM150" i="51"/>
  <c r="BL150" i="51"/>
  <c r="BI150" i="51"/>
  <c r="BH150" i="51"/>
  <c r="BG150" i="51"/>
  <c r="BF150" i="51"/>
  <c r="BE150" i="51"/>
  <c r="BD150" i="51"/>
  <c r="BC150" i="51"/>
  <c r="BB150" i="51"/>
  <c r="AY150" i="51"/>
  <c r="AX150" i="51"/>
  <c r="AW150" i="51"/>
  <c r="AV150" i="51"/>
  <c r="AU150" i="51"/>
  <c r="AT150" i="51"/>
  <c r="AS150" i="51"/>
  <c r="AR150" i="51"/>
  <c r="AO150" i="51"/>
  <c r="AN150" i="51"/>
  <c r="AM150" i="51"/>
  <c r="AL150" i="51"/>
  <c r="AK150" i="51"/>
  <c r="AJ150" i="51"/>
  <c r="AI150" i="51"/>
  <c r="AH150" i="51"/>
  <c r="AE150" i="51"/>
  <c r="AD150" i="51"/>
  <c r="AC150" i="51"/>
  <c r="AB150" i="51"/>
  <c r="AA150" i="51"/>
  <c r="Z150" i="51"/>
  <c r="Y150" i="51"/>
  <c r="X150" i="51"/>
  <c r="U150" i="51"/>
  <c r="T150" i="51"/>
  <c r="S150" i="51"/>
  <c r="R150" i="51"/>
  <c r="Q150" i="51"/>
  <c r="P150" i="51"/>
  <c r="O150" i="51"/>
  <c r="N150" i="51"/>
  <c r="CM149" i="51"/>
  <c r="CL149" i="51"/>
  <c r="CK149" i="51"/>
  <c r="CJ149" i="51"/>
  <c r="CI149" i="51"/>
  <c r="CH149" i="51"/>
  <c r="CG149" i="51"/>
  <c r="CF149" i="51"/>
  <c r="CC149" i="51"/>
  <c r="CB149" i="51"/>
  <c r="CA149" i="51"/>
  <c r="BZ149" i="51"/>
  <c r="BY149" i="51"/>
  <c r="BX149" i="51"/>
  <c r="BW149" i="51"/>
  <c r="BV149" i="51"/>
  <c r="BS149" i="51"/>
  <c r="BR149" i="51"/>
  <c r="BQ149" i="51"/>
  <c r="BP149" i="51"/>
  <c r="BO149" i="51"/>
  <c r="BN149" i="51"/>
  <c r="BM149" i="51"/>
  <c r="BL149" i="51"/>
  <c r="BI149" i="51"/>
  <c r="BH149" i="51"/>
  <c r="BG149" i="51"/>
  <c r="BF149" i="51"/>
  <c r="BE149" i="51"/>
  <c r="BD149" i="51"/>
  <c r="BC149" i="51"/>
  <c r="BB149" i="51"/>
  <c r="AY149" i="51"/>
  <c r="AX149" i="51"/>
  <c r="AW149" i="51"/>
  <c r="AV149" i="51"/>
  <c r="AU149" i="51"/>
  <c r="AT149" i="51"/>
  <c r="AS149" i="51"/>
  <c r="AR149" i="51"/>
  <c r="AO149" i="51"/>
  <c r="AN149" i="51"/>
  <c r="AM149" i="51"/>
  <c r="AL149" i="51"/>
  <c r="AK149" i="51"/>
  <c r="AJ149" i="51"/>
  <c r="AI149" i="51"/>
  <c r="AH149" i="51"/>
  <c r="AE149" i="51"/>
  <c r="AD149" i="51"/>
  <c r="AC149" i="51"/>
  <c r="AB149" i="51"/>
  <c r="AA149" i="51"/>
  <c r="Z149" i="51"/>
  <c r="Y149" i="51"/>
  <c r="X149" i="51"/>
  <c r="U149" i="51"/>
  <c r="T149" i="51"/>
  <c r="S149" i="51"/>
  <c r="R149" i="51"/>
  <c r="Q149" i="51"/>
  <c r="P149" i="51"/>
  <c r="O149" i="51"/>
  <c r="N149" i="51"/>
  <c r="CM148" i="51"/>
  <c r="CL148" i="51"/>
  <c r="CK148" i="51"/>
  <c r="CJ148" i="51"/>
  <c r="CI148" i="51"/>
  <c r="CH148" i="51"/>
  <c r="CG148" i="51"/>
  <c r="CF148" i="51"/>
  <c r="CC148" i="51"/>
  <c r="CB148" i="51"/>
  <c r="CA148" i="51"/>
  <c r="BZ148" i="51"/>
  <c r="BY148" i="51"/>
  <c r="BX148" i="51"/>
  <c r="BW148" i="51"/>
  <c r="BV148" i="51"/>
  <c r="BS148" i="51"/>
  <c r="BR148" i="51"/>
  <c r="BQ148" i="51"/>
  <c r="BP148" i="51"/>
  <c r="BO148" i="51"/>
  <c r="BN148" i="51"/>
  <c r="BM148" i="51"/>
  <c r="BL148" i="51"/>
  <c r="BI148" i="51"/>
  <c r="BH148" i="51"/>
  <c r="BG148" i="51"/>
  <c r="BF148" i="51"/>
  <c r="BE148" i="51"/>
  <c r="BD148" i="51"/>
  <c r="BC148" i="51"/>
  <c r="BB148" i="51"/>
  <c r="AY148" i="51"/>
  <c r="AX148" i="51"/>
  <c r="AW148" i="51"/>
  <c r="AV148" i="51"/>
  <c r="AU148" i="51"/>
  <c r="AT148" i="51"/>
  <c r="AS148" i="51"/>
  <c r="AR148" i="51"/>
  <c r="AO148" i="51"/>
  <c r="AN148" i="51"/>
  <c r="AM148" i="51"/>
  <c r="AL148" i="51"/>
  <c r="AK148" i="51"/>
  <c r="AJ148" i="51"/>
  <c r="AI148" i="51"/>
  <c r="AH148" i="51"/>
  <c r="AE148" i="51"/>
  <c r="AD148" i="51"/>
  <c r="AC148" i="51"/>
  <c r="AB148" i="51"/>
  <c r="AA148" i="51"/>
  <c r="Z148" i="51"/>
  <c r="Y148" i="51"/>
  <c r="X148" i="51"/>
  <c r="U148" i="51"/>
  <c r="T148" i="51"/>
  <c r="S148" i="51"/>
  <c r="R148" i="51"/>
  <c r="Q148" i="51"/>
  <c r="P148" i="51"/>
  <c r="O148" i="51"/>
  <c r="N148" i="51"/>
  <c r="CM147" i="51"/>
  <c r="CL147" i="51"/>
  <c r="CK147" i="51"/>
  <c r="CJ147" i="51"/>
  <c r="CI147" i="51"/>
  <c r="CH147" i="51"/>
  <c r="CG147" i="51"/>
  <c r="CF147" i="51"/>
  <c r="CC147" i="51"/>
  <c r="CB147" i="51"/>
  <c r="CA147" i="51"/>
  <c r="BZ147" i="51"/>
  <c r="BY147" i="51"/>
  <c r="BX147" i="51"/>
  <c r="BW147" i="51"/>
  <c r="BV147" i="51"/>
  <c r="BS147" i="51"/>
  <c r="BR147" i="51"/>
  <c r="BQ147" i="51"/>
  <c r="BP147" i="51"/>
  <c r="BO147" i="51"/>
  <c r="BN147" i="51"/>
  <c r="BM147" i="51"/>
  <c r="BL147" i="51"/>
  <c r="BI147" i="51"/>
  <c r="BH147" i="51"/>
  <c r="BG147" i="51"/>
  <c r="BF147" i="51"/>
  <c r="BE147" i="51"/>
  <c r="BD147" i="51"/>
  <c r="BC147" i="51"/>
  <c r="BB147" i="51"/>
  <c r="AY147" i="51"/>
  <c r="AX147" i="51"/>
  <c r="AW147" i="51"/>
  <c r="AV147" i="51"/>
  <c r="AU147" i="51"/>
  <c r="AT147" i="51"/>
  <c r="AS147" i="51"/>
  <c r="AR147" i="51"/>
  <c r="AO147" i="51"/>
  <c r="AN147" i="51"/>
  <c r="AM147" i="51"/>
  <c r="AL147" i="51"/>
  <c r="AK147" i="51"/>
  <c r="AJ147" i="51"/>
  <c r="AI147" i="51"/>
  <c r="AH147" i="51"/>
  <c r="AE147" i="51"/>
  <c r="AD147" i="51"/>
  <c r="AC147" i="51"/>
  <c r="AB147" i="51"/>
  <c r="AA147" i="51"/>
  <c r="Z147" i="51"/>
  <c r="Y147" i="51"/>
  <c r="X147" i="51"/>
  <c r="U147" i="51"/>
  <c r="T147" i="51"/>
  <c r="S147" i="51"/>
  <c r="R147" i="51"/>
  <c r="Q147" i="51"/>
  <c r="P147" i="51"/>
  <c r="O147" i="51"/>
  <c r="N147" i="51"/>
  <c r="CM146" i="51"/>
  <c r="CL146" i="51"/>
  <c r="CK146" i="51"/>
  <c r="CJ146" i="51"/>
  <c r="CI146" i="51"/>
  <c r="CH146" i="51"/>
  <c r="CG146" i="51"/>
  <c r="CF146" i="51"/>
  <c r="CC146" i="51"/>
  <c r="CB146" i="51"/>
  <c r="CA146" i="51"/>
  <c r="BZ146" i="51"/>
  <c r="BY146" i="51"/>
  <c r="BX146" i="51"/>
  <c r="BW146" i="51"/>
  <c r="BV146" i="51"/>
  <c r="BS146" i="51"/>
  <c r="BR146" i="51"/>
  <c r="BQ146" i="51"/>
  <c r="BP146" i="51"/>
  <c r="BO146" i="51"/>
  <c r="BN146" i="51"/>
  <c r="BM146" i="51"/>
  <c r="BL146" i="51"/>
  <c r="BI146" i="51"/>
  <c r="BH146" i="51"/>
  <c r="BG146" i="51"/>
  <c r="BF146" i="51"/>
  <c r="BE146" i="51"/>
  <c r="BD146" i="51"/>
  <c r="BC146" i="51"/>
  <c r="BB146" i="51"/>
  <c r="AY146" i="51"/>
  <c r="AX146" i="51"/>
  <c r="AW146" i="51"/>
  <c r="AV146" i="51"/>
  <c r="AU146" i="51"/>
  <c r="AT146" i="51"/>
  <c r="AS146" i="51"/>
  <c r="AR146" i="51"/>
  <c r="AO146" i="51"/>
  <c r="AN146" i="51"/>
  <c r="AM146" i="51"/>
  <c r="AL146" i="51"/>
  <c r="AK146" i="51"/>
  <c r="AJ146" i="51"/>
  <c r="AI146" i="51"/>
  <c r="AH146" i="51"/>
  <c r="AE146" i="51"/>
  <c r="AD146" i="51"/>
  <c r="AC146" i="51"/>
  <c r="AB146" i="51"/>
  <c r="AA146" i="51"/>
  <c r="Z146" i="51"/>
  <c r="Y146" i="51"/>
  <c r="X146" i="51"/>
  <c r="U146" i="51"/>
  <c r="T146" i="51"/>
  <c r="S146" i="51"/>
  <c r="R146" i="51"/>
  <c r="Q146" i="51"/>
  <c r="P146" i="51"/>
  <c r="O146" i="51"/>
  <c r="N146" i="51"/>
  <c r="CM145" i="51"/>
  <c r="CL145" i="51"/>
  <c r="CK145" i="51"/>
  <c r="CJ145" i="51"/>
  <c r="CI145" i="51"/>
  <c r="CH145" i="51"/>
  <c r="CG145" i="51"/>
  <c r="CF145" i="51"/>
  <c r="CC145" i="51"/>
  <c r="CB145" i="51"/>
  <c r="CA145" i="51"/>
  <c r="BZ145" i="51"/>
  <c r="BY145" i="51"/>
  <c r="BX145" i="51"/>
  <c r="BW145" i="51"/>
  <c r="BV145" i="51"/>
  <c r="BS145" i="51"/>
  <c r="BR145" i="51"/>
  <c r="BQ145" i="51"/>
  <c r="BP145" i="51"/>
  <c r="BO145" i="51"/>
  <c r="BN145" i="51"/>
  <c r="BM145" i="51"/>
  <c r="BL145" i="51"/>
  <c r="BI145" i="51"/>
  <c r="BH145" i="51"/>
  <c r="BG145" i="51"/>
  <c r="BF145" i="51"/>
  <c r="BE145" i="51"/>
  <c r="BD145" i="51"/>
  <c r="BC145" i="51"/>
  <c r="BB145" i="51"/>
  <c r="AY145" i="51"/>
  <c r="AX145" i="51"/>
  <c r="AW145" i="51"/>
  <c r="AV145" i="51"/>
  <c r="AU145" i="51"/>
  <c r="AT145" i="51"/>
  <c r="AS145" i="51"/>
  <c r="AR145" i="51"/>
  <c r="AO145" i="51"/>
  <c r="AN145" i="51"/>
  <c r="AM145" i="51"/>
  <c r="AL145" i="51"/>
  <c r="AK145" i="51"/>
  <c r="AJ145" i="51"/>
  <c r="AI145" i="51"/>
  <c r="AH145" i="51"/>
  <c r="AE145" i="51"/>
  <c r="AD145" i="51"/>
  <c r="AC145" i="51"/>
  <c r="AB145" i="51"/>
  <c r="AA145" i="51"/>
  <c r="Z145" i="51"/>
  <c r="Y145" i="51"/>
  <c r="X145" i="51"/>
  <c r="U145" i="51"/>
  <c r="T145" i="51"/>
  <c r="S145" i="51"/>
  <c r="R145" i="51"/>
  <c r="Q145" i="51"/>
  <c r="P145" i="51"/>
  <c r="O145" i="51"/>
  <c r="N145" i="51"/>
  <c r="CM144" i="51"/>
  <c r="CL144" i="51"/>
  <c r="CK144" i="51"/>
  <c r="CJ144" i="51"/>
  <c r="CI144" i="51"/>
  <c r="CH144" i="51"/>
  <c r="CG144" i="51"/>
  <c r="CF144" i="51"/>
  <c r="CC144" i="51"/>
  <c r="CB144" i="51"/>
  <c r="CA144" i="51"/>
  <c r="BZ144" i="51"/>
  <c r="BY144" i="51"/>
  <c r="BX144" i="51"/>
  <c r="BW144" i="51"/>
  <c r="BV144" i="51"/>
  <c r="BS144" i="51"/>
  <c r="BR144" i="51"/>
  <c r="BQ144" i="51"/>
  <c r="BP144" i="51"/>
  <c r="BO144" i="51"/>
  <c r="BN144" i="51"/>
  <c r="BM144" i="51"/>
  <c r="BL144" i="51"/>
  <c r="BI144" i="51"/>
  <c r="BH144" i="51"/>
  <c r="BG144" i="51"/>
  <c r="BF144" i="51"/>
  <c r="BE144" i="51"/>
  <c r="BD144" i="51"/>
  <c r="BC144" i="51"/>
  <c r="BB144" i="51"/>
  <c r="AY144" i="51"/>
  <c r="AX144" i="51"/>
  <c r="AW144" i="51"/>
  <c r="AV144" i="51"/>
  <c r="AU144" i="51"/>
  <c r="AT144" i="51"/>
  <c r="AS144" i="51"/>
  <c r="AR144" i="51"/>
  <c r="AO144" i="51"/>
  <c r="AN144" i="51"/>
  <c r="AM144" i="51"/>
  <c r="AL144" i="51"/>
  <c r="AK144" i="51"/>
  <c r="AJ144" i="51"/>
  <c r="AI144" i="51"/>
  <c r="AH144" i="51"/>
  <c r="AE144" i="51"/>
  <c r="AD144" i="51"/>
  <c r="AC144" i="51"/>
  <c r="AB144" i="51"/>
  <c r="AA144" i="51"/>
  <c r="Z144" i="51"/>
  <c r="Y144" i="51"/>
  <c r="X144" i="51"/>
  <c r="U144" i="51"/>
  <c r="T144" i="51"/>
  <c r="S144" i="51"/>
  <c r="R144" i="51"/>
  <c r="Q144" i="51"/>
  <c r="P144" i="51"/>
  <c r="O144" i="51"/>
  <c r="N144" i="51"/>
  <c r="CM143" i="51"/>
  <c r="CL143" i="51"/>
  <c r="CK143" i="51"/>
  <c r="CJ143" i="51"/>
  <c r="CI143" i="51"/>
  <c r="CH143" i="51"/>
  <c r="CG143" i="51"/>
  <c r="CF143" i="51"/>
  <c r="CC143" i="51"/>
  <c r="CB143" i="51"/>
  <c r="CA143" i="51"/>
  <c r="BZ143" i="51"/>
  <c r="BY143" i="51"/>
  <c r="BX143" i="51"/>
  <c r="BW143" i="51"/>
  <c r="BV143" i="51"/>
  <c r="BS143" i="51"/>
  <c r="BR143" i="51"/>
  <c r="BQ143" i="51"/>
  <c r="BP143" i="51"/>
  <c r="BO143" i="51"/>
  <c r="BN143" i="51"/>
  <c r="BM143" i="51"/>
  <c r="BL143" i="51"/>
  <c r="BI143" i="51"/>
  <c r="BH143" i="51"/>
  <c r="BG143" i="51"/>
  <c r="BF143" i="51"/>
  <c r="BE143" i="51"/>
  <c r="BD143" i="51"/>
  <c r="BC143" i="51"/>
  <c r="BB143" i="51"/>
  <c r="AY143" i="51"/>
  <c r="AX143" i="51"/>
  <c r="AW143" i="51"/>
  <c r="AV143" i="51"/>
  <c r="AU143" i="51"/>
  <c r="AT143" i="51"/>
  <c r="AS143" i="51"/>
  <c r="AR143" i="51"/>
  <c r="AO143" i="51"/>
  <c r="AN143" i="51"/>
  <c r="AM143" i="51"/>
  <c r="AL143" i="51"/>
  <c r="AK143" i="51"/>
  <c r="AJ143" i="51"/>
  <c r="AI143" i="51"/>
  <c r="AH143" i="51"/>
  <c r="AE143" i="51"/>
  <c r="AD143" i="51"/>
  <c r="AC143" i="51"/>
  <c r="AB143" i="51"/>
  <c r="AA143" i="51"/>
  <c r="Z143" i="51"/>
  <c r="Y143" i="51"/>
  <c r="X143" i="51"/>
  <c r="U143" i="51"/>
  <c r="T143" i="51"/>
  <c r="S143" i="51"/>
  <c r="R143" i="51"/>
  <c r="Q143" i="51"/>
  <c r="P143" i="51"/>
  <c r="O143" i="51"/>
  <c r="N143" i="51"/>
  <c r="CM142" i="51"/>
  <c r="CL142" i="51"/>
  <c r="CK142" i="51"/>
  <c r="CJ142" i="51"/>
  <c r="CI142" i="51"/>
  <c r="CH142" i="51"/>
  <c r="CG142" i="51"/>
  <c r="CF142" i="51"/>
  <c r="CC142" i="51"/>
  <c r="CB142" i="51"/>
  <c r="CA142" i="51"/>
  <c r="BZ142" i="51"/>
  <c r="BY142" i="51"/>
  <c r="BX142" i="51"/>
  <c r="BW142" i="51"/>
  <c r="BV142" i="51"/>
  <c r="BS142" i="51"/>
  <c r="BR142" i="51"/>
  <c r="BQ142" i="51"/>
  <c r="BP142" i="51"/>
  <c r="BO142" i="51"/>
  <c r="BN142" i="51"/>
  <c r="BM142" i="51"/>
  <c r="BL142" i="51"/>
  <c r="BI142" i="51"/>
  <c r="BH142" i="51"/>
  <c r="BG142" i="51"/>
  <c r="BF142" i="51"/>
  <c r="BE142" i="51"/>
  <c r="BD142" i="51"/>
  <c r="BC142" i="51"/>
  <c r="BB142" i="51"/>
  <c r="AY142" i="51"/>
  <c r="AX142" i="51"/>
  <c r="AW142" i="51"/>
  <c r="AV142" i="51"/>
  <c r="AU142" i="51"/>
  <c r="AT142" i="51"/>
  <c r="AS142" i="51"/>
  <c r="AR142" i="51"/>
  <c r="AO142" i="51"/>
  <c r="AN142" i="51"/>
  <c r="AM142" i="51"/>
  <c r="AL142" i="51"/>
  <c r="AK142" i="51"/>
  <c r="AJ142" i="51"/>
  <c r="AI142" i="51"/>
  <c r="AH142" i="51"/>
  <c r="AE142" i="51"/>
  <c r="AD142" i="51"/>
  <c r="AC142" i="51"/>
  <c r="AB142" i="51"/>
  <c r="AA142" i="51"/>
  <c r="Z142" i="51"/>
  <c r="Y142" i="51"/>
  <c r="X142" i="51"/>
  <c r="U142" i="51"/>
  <c r="T142" i="51"/>
  <c r="S142" i="51"/>
  <c r="R142" i="51"/>
  <c r="Q142" i="51"/>
  <c r="P142" i="51"/>
  <c r="O142" i="51"/>
  <c r="N142" i="51"/>
  <c r="CM141" i="51"/>
  <c r="CL141" i="51"/>
  <c r="CK141" i="51"/>
  <c r="CJ141" i="51"/>
  <c r="CI141" i="51"/>
  <c r="CH141" i="51"/>
  <c r="CG141" i="51"/>
  <c r="CF141" i="51"/>
  <c r="CC141" i="51"/>
  <c r="CB141" i="51"/>
  <c r="CA141" i="51"/>
  <c r="BZ141" i="51"/>
  <c r="BY141" i="51"/>
  <c r="BX141" i="51"/>
  <c r="BW141" i="51"/>
  <c r="BV141" i="51"/>
  <c r="BS141" i="51"/>
  <c r="BR141" i="51"/>
  <c r="BQ141" i="51"/>
  <c r="BP141" i="51"/>
  <c r="BO141" i="51"/>
  <c r="BN141" i="51"/>
  <c r="BM141" i="51"/>
  <c r="BL141" i="51"/>
  <c r="BI141" i="51"/>
  <c r="BH141" i="51"/>
  <c r="BG141" i="51"/>
  <c r="BF141" i="51"/>
  <c r="BE141" i="51"/>
  <c r="BD141" i="51"/>
  <c r="BC141" i="51"/>
  <c r="BB141" i="51"/>
  <c r="AY141" i="51"/>
  <c r="AX141" i="51"/>
  <c r="AW141" i="51"/>
  <c r="AV141" i="51"/>
  <c r="AU141" i="51"/>
  <c r="AT141" i="51"/>
  <c r="AS141" i="51"/>
  <c r="AR141" i="51"/>
  <c r="AO141" i="51"/>
  <c r="AN141" i="51"/>
  <c r="AM141" i="51"/>
  <c r="AL141" i="51"/>
  <c r="AK141" i="51"/>
  <c r="AJ141" i="51"/>
  <c r="AI141" i="51"/>
  <c r="AH141" i="51"/>
  <c r="AE141" i="51"/>
  <c r="AD141" i="51"/>
  <c r="AC141" i="51"/>
  <c r="AB141" i="51"/>
  <c r="AA141" i="51"/>
  <c r="Z141" i="51"/>
  <c r="Y141" i="51"/>
  <c r="X141" i="51"/>
  <c r="U141" i="51"/>
  <c r="T141" i="51"/>
  <c r="S141" i="51"/>
  <c r="R141" i="51"/>
  <c r="Q141" i="51"/>
  <c r="P141" i="51"/>
  <c r="O141" i="51"/>
  <c r="N141" i="51"/>
  <c r="CM129" i="51"/>
  <c r="CL129" i="51"/>
  <c r="CK129" i="51"/>
  <c r="CJ129" i="51"/>
  <c r="CI129" i="51"/>
  <c r="CH129" i="51"/>
  <c r="CG129" i="51"/>
  <c r="CF129" i="51"/>
  <c r="CC129" i="51"/>
  <c r="CB129" i="51"/>
  <c r="CA129" i="51"/>
  <c r="BZ129" i="51"/>
  <c r="BY129" i="51"/>
  <c r="BX129" i="51"/>
  <c r="BW129" i="51"/>
  <c r="BV129" i="51"/>
  <c r="BS129" i="51"/>
  <c r="BR129" i="51"/>
  <c r="BQ129" i="51"/>
  <c r="BP129" i="51"/>
  <c r="BO129" i="51"/>
  <c r="BN129" i="51"/>
  <c r="BM129" i="51"/>
  <c r="BL129" i="51"/>
  <c r="BI129" i="51"/>
  <c r="BH129" i="51"/>
  <c r="BG129" i="51"/>
  <c r="BF129" i="51"/>
  <c r="BE129" i="51"/>
  <c r="BD129" i="51"/>
  <c r="BC129" i="51"/>
  <c r="BB129" i="51"/>
  <c r="AY129" i="51"/>
  <c r="AX129" i="51"/>
  <c r="AW129" i="51"/>
  <c r="AV129" i="51"/>
  <c r="AU129" i="51"/>
  <c r="AT129" i="51"/>
  <c r="AS129" i="51"/>
  <c r="AR129" i="51"/>
  <c r="AO129" i="51"/>
  <c r="AN129" i="51"/>
  <c r="AM129" i="51"/>
  <c r="AL129" i="51"/>
  <c r="AK129" i="51"/>
  <c r="AJ129" i="51"/>
  <c r="AI129" i="51"/>
  <c r="AH129" i="51"/>
  <c r="AE129" i="51"/>
  <c r="AD129" i="51"/>
  <c r="AC129" i="51"/>
  <c r="AB129" i="51"/>
  <c r="AA129" i="51"/>
  <c r="Z129" i="51"/>
  <c r="Y129" i="51"/>
  <c r="X129" i="51"/>
  <c r="U129" i="51"/>
  <c r="T129" i="51"/>
  <c r="S129" i="51"/>
  <c r="R129" i="51"/>
  <c r="Q129" i="51"/>
  <c r="P129" i="51"/>
  <c r="O129" i="51"/>
  <c r="N129" i="51"/>
  <c r="K129" i="51"/>
  <c r="J129" i="51"/>
  <c r="I129" i="51"/>
  <c r="H129" i="51"/>
  <c r="G129" i="51"/>
  <c r="F129" i="51"/>
  <c r="E129" i="51"/>
  <c r="D129" i="51"/>
  <c r="B129" i="51"/>
  <c r="CM128" i="51"/>
  <c r="CL128" i="51"/>
  <c r="CK128" i="51"/>
  <c r="CJ128" i="51"/>
  <c r="CI128" i="51"/>
  <c r="CH128" i="51"/>
  <c r="CG128" i="51"/>
  <c r="CF128" i="51"/>
  <c r="CC128" i="51"/>
  <c r="CB128" i="51"/>
  <c r="CA128" i="51"/>
  <c r="BZ128" i="51"/>
  <c r="BY128" i="51"/>
  <c r="BX128" i="51"/>
  <c r="BW128" i="51"/>
  <c r="BV128" i="51"/>
  <c r="BS128" i="51"/>
  <c r="BR128" i="51"/>
  <c r="BQ128" i="51"/>
  <c r="BP128" i="51"/>
  <c r="BO128" i="51"/>
  <c r="BN128" i="51"/>
  <c r="BM128" i="51"/>
  <c r="BL128" i="51"/>
  <c r="BI128" i="51"/>
  <c r="BH128" i="51"/>
  <c r="BG128" i="51"/>
  <c r="BF128" i="51"/>
  <c r="BE128" i="51"/>
  <c r="BD128" i="51"/>
  <c r="BC128" i="51"/>
  <c r="BB128" i="51"/>
  <c r="AY128" i="51"/>
  <c r="AX128" i="51"/>
  <c r="AW128" i="51"/>
  <c r="AV128" i="51"/>
  <c r="AU128" i="51"/>
  <c r="AT128" i="51"/>
  <c r="AS128" i="51"/>
  <c r="AR128" i="51"/>
  <c r="AO128" i="51"/>
  <c r="AN128" i="51"/>
  <c r="AM128" i="51"/>
  <c r="AL128" i="51"/>
  <c r="AK128" i="51"/>
  <c r="AJ128" i="51"/>
  <c r="AI128" i="51"/>
  <c r="AH128" i="51"/>
  <c r="AE128" i="51"/>
  <c r="AD128" i="51"/>
  <c r="AC128" i="51"/>
  <c r="AB128" i="51"/>
  <c r="AA128" i="51"/>
  <c r="Z128" i="51"/>
  <c r="Y128" i="51"/>
  <c r="X128" i="51"/>
  <c r="U128" i="51"/>
  <c r="T128" i="51"/>
  <c r="S128" i="51"/>
  <c r="R128" i="51"/>
  <c r="Q128" i="51"/>
  <c r="P128" i="51"/>
  <c r="O128" i="51"/>
  <c r="N128" i="51"/>
  <c r="K128" i="51"/>
  <c r="J128" i="51"/>
  <c r="I128" i="51"/>
  <c r="H128" i="51"/>
  <c r="G128" i="51"/>
  <c r="F128" i="51"/>
  <c r="E128" i="51"/>
  <c r="D128" i="51"/>
  <c r="B128" i="51"/>
  <c r="CM127" i="51"/>
  <c r="CL127" i="51"/>
  <c r="CK127" i="51"/>
  <c r="CJ127" i="51"/>
  <c r="CI127" i="51"/>
  <c r="CH127" i="51"/>
  <c r="CG127" i="51"/>
  <c r="CF127" i="51"/>
  <c r="CC127" i="51"/>
  <c r="CB127" i="51"/>
  <c r="CA127" i="51"/>
  <c r="BZ127" i="51"/>
  <c r="BY127" i="51"/>
  <c r="BX127" i="51"/>
  <c r="BW127" i="51"/>
  <c r="BV127" i="51"/>
  <c r="BS127" i="51"/>
  <c r="BR127" i="51"/>
  <c r="BQ127" i="51"/>
  <c r="BP127" i="51"/>
  <c r="BO127" i="51"/>
  <c r="BN127" i="51"/>
  <c r="BM127" i="51"/>
  <c r="BL127" i="51"/>
  <c r="BI127" i="51"/>
  <c r="BH127" i="51"/>
  <c r="BG127" i="51"/>
  <c r="BF127" i="51"/>
  <c r="BE127" i="51"/>
  <c r="BD127" i="51"/>
  <c r="BC127" i="51"/>
  <c r="BB127" i="51"/>
  <c r="AY127" i="51"/>
  <c r="AX127" i="51"/>
  <c r="AW127" i="51"/>
  <c r="AV127" i="51"/>
  <c r="AU127" i="51"/>
  <c r="AT127" i="51"/>
  <c r="AS127" i="51"/>
  <c r="AR127" i="51"/>
  <c r="AO127" i="51"/>
  <c r="AN127" i="51"/>
  <c r="AM127" i="51"/>
  <c r="AL127" i="51"/>
  <c r="AK127" i="51"/>
  <c r="AJ127" i="51"/>
  <c r="AI127" i="51"/>
  <c r="AH127" i="51"/>
  <c r="AE127" i="51"/>
  <c r="AD127" i="51"/>
  <c r="AC127" i="51"/>
  <c r="AB127" i="51"/>
  <c r="AA127" i="51"/>
  <c r="Z127" i="51"/>
  <c r="Y127" i="51"/>
  <c r="X127" i="51"/>
  <c r="U127" i="51"/>
  <c r="T127" i="51"/>
  <c r="S127" i="51"/>
  <c r="R127" i="51"/>
  <c r="Q127" i="51"/>
  <c r="P127" i="51"/>
  <c r="O127" i="51"/>
  <c r="N127" i="51"/>
  <c r="K127" i="51"/>
  <c r="J127" i="51"/>
  <c r="I127" i="51"/>
  <c r="H127" i="51"/>
  <c r="G127" i="51"/>
  <c r="F127" i="51"/>
  <c r="E127" i="51"/>
  <c r="D127" i="51"/>
  <c r="B127" i="51"/>
  <c r="CM126" i="51"/>
  <c r="CL126" i="51"/>
  <c r="CK126" i="51"/>
  <c r="CJ126" i="51"/>
  <c r="CI126" i="51"/>
  <c r="CH126" i="51"/>
  <c r="CG126" i="51"/>
  <c r="CF126" i="51"/>
  <c r="CC126" i="51"/>
  <c r="CB126" i="51"/>
  <c r="CA126" i="51"/>
  <c r="BZ126" i="51"/>
  <c r="BY126" i="51"/>
  <c r="BX126" i="51"/>
  <c r="BW126" i="51"/>
  <c r="BV126" i="51"/>
  <c r="BS126" i="51"/>
  <c r="BR126" i="51"/>
  <c r="BQ126" i="51"/>
  <c r="BP126" i="51"/>
  <c r="BO126" i="51"/>
  <c r="BN126" i="51"/>
  <c r="BM126" i="51"/>
  <c r="BL126" i="51"/>
  <c r="BI126" i="51"/>
  <c r="BH126" i="51"/>
  <c r="BG126" i="51"/>
  <c r="BF126" i="51"/>
  <c r="BE126" i="51"/>
  <c r="BD126" i="51"/>
  <c r="BC126" i="51"/>
  <c r="BB126" i="51"/>
  <c r="AY126" i="51"/>
  <c r="AX126" i="51"/>
  <c r="AW126" i="51"/>
  <c r="AV126" i="51"/>
  <c r="AU126" i="51"/>
  <c r="AT126" i="51"/>
  <c r="AS126" i="51"/>
  <c r="AR126" i="51"/>
  <c r="AO126" i="51"/>
  <c r="AN126" i="51"/>
  <c r="AM126" i="51"/>
  <c r="AL126" i="51"/>
  <c r="AK126" i="51"/>
  <c r="AJ126" i="51"/>
  <c r="AI126" i="51"/>
  <c r="AH126" i="51"/>
  <c r="AE126" i="51"/>
  <c r="AD126" i="51"/>
  <c r="AC126" i="51"/>
  <c r="AB126" i="51"/>
  <c r="AA126" i="51"/>
  <c r="Z126" i="51"/>
  <c r="Y126" i="51"/>
  <c r="X126" i="51"/>
  <c r="U126" i="51"/>
  <c r="T126" i="51"/>
  <c r="S126" i="51"/>
  <c r="R126" i="51"/>
  <c r="Q126" i="51"/>
  <c r="P126" i="51"/>
  <c r="O126" i="51"/>
  <c r="N126" i="51"/>
  <c r="K126" i="51"/>
  <c r="J126" i="51"/>
  <c r="I126" i="51"/>
  <c r="H126" i="51"/>
  <c r="G126" i="51"/>
  <c r="F126" i="51"/>
  <c r="E126" i="51"/>
  <c r="D126" i="51"/>
  <c r="B126" i="51"/>
  <c r="CM125" i="51"/>
  <c r="CL125" i="51"/>
  <c r="CK125" i="51"/>
  <c r="CJ125" i="51"/>
  <c r="CI125" i="51"/>
  <c r="CH125" i="51"/>
  <c r="CG125" i="51"/>
  <c r="CF125" i="51"/>
  <c r="CC125" i="51"/>
  <c r="CB125" i="51"/>
  <c r="CA125" i="51"/>
  <c r="BZ125" i="51"/>
  <c r="BY125" i="51"/>
  <c r="BX125" i="51"/>
  <c r="BW125" i="51"/>
  <c r="BV125" i="51"/>
  <c r="BS125" i="51"/>
  <c r="BR125" i="51"/>
  <c r="BQ125" i="51"/>
  <c r="BP125" i="51"/>
  <c r="BO125" i="51"/>
  <c r="BN125" i="51"/>
  <c r="BM125" i="51"/>
  <c r="BL125" i="51"/>
  <c r="BI125" i="51"/>
  <c r="BH125" i="51"/>
  <c r="BG125" i="51"/>
  <c r="BF125" i="51"/>
  <c r="BE125" i="51"/>
  <c r="BD125" i="51"/>
  <c r="BC125" i="51"/>
  <c r="BB125" i="51"/>
  <c r="AY125" i="51"/>
  <c r="AX125" i="51"/>
  <c r="AW125" i="51"/>
  <c r="AV125" i="51"/>
  <c r="AU125" i="51"/>
  <c r="AT125" i="51"/>
  <c r="AS125" i="51"/>
  <c r="AR125" i="51"/>
  <c r="AO125" i="51"/>
  <c r="AN125" i="51"/>
  <c r="AM125" i="51"/>
  <c r="AL125" i="51"/>
  <c r="AK125" i="51"/>
  <c r="AJ125" i="51"/>
  <c r="AI125" i="51"/>
  <c r="AH125" i="51"/>
  <c r="AE125" i="51"/>
  <c r="AD125" i="51"/>
  <c r="AC125" i="51"/>
  <c r="AB125" i="51"/>
  <c r="AA125" i="51"/>
  <c r="Z125" i="51"/>
  <c r="Y125" i="51"/>
  <c r="X125" i="51"/>
  <c r="U125" i="51"/>
  <c r="T125" i="51"/>
  <c r="S125" i="51"/>
  <c r="R125" i="51"/>
  <c r="Q125" i="51"/>
  <c r="P125" i="51"/>
  <c r="O125" i="51"/>
  <c r="N125" i="51"/>
  <c r="K125" i="51"/>
  <c r="J125" i="51"/>
  <c r="I125" i="51"/>
  <c r="H125" i="51"/>
  <c r="G125" i="51"/>
  <c r="F125" i="51"/>
  <c r="E125" i="51"/>
  <c r="D125" i="51"/>
  <c r="B125" i="51"/>
  <c r="CM124" i="51"/>
  <c r="CL124" i="51"/>
  <c r="CK124" i="51"/>
  <c r="CJ124" i="51"/>
  <c r="CI124" i="51"/>
  <c r="CH124" i="51"/>
  <c r="CG124" i="51"/>
  <c r="CF124" i="51"/>
  <c r="CC124" i="51"/>
  <c r="CB124" i="51"/>
  <c r="CA124" i="51"/>
  <c r="BZ124" i="51"/>
  <c r="BY124" i="51"/>
  <c r="BX124" i="51"/>
  <c r="BW124" i="51"/>
  <c r="BV124" i="51"/>
  <c r="BS124" i="51"/>
  <c r="BR124" i="51"/>
  <c r="BQ124" i="51"/>
  <c r="BP124" i="51"/>
  <c r="BO124" i="51"/>
  <c r="BN124" i="51"/>
  <c r="BM124" i="51"/>
  <c r="BL124" i="51"/>
  <c r="BI124" i="51"/>
  <c r="BH124" i="51"/>
  <c r="BG124" i="51"/>
  <c r="BF124" i="51"/>
  <c r="BE124" i="51"/>
  <c r="BD124" i="51"/>
  <c r="BC124" i="51"/>
  <c r="BB124" i="51"/>
  <c r="AY124" i="51"/>
  <c r="AX124" i="51"/>
  <c r="AW124" i="51"/>
  <c r="AV124" i="51"/>
  <c r="AU124" i="51"/>
  <c r="AT124" i="51"/>
  <c r="AS124" i="51"/>
  <c r="AR124" i="51"/>
  <c r="AO124" i="51"/>
  <c r="AN124" i="51"/>
  <c r="AM124" i="51"/>
  <c r="AL124" i="51"/>
  <c r="AK124" i="51"/>
  <c r="AJ124" i="51"/>
  <c r="AI124" i="51"/>
  <c r="AH124" i="51"/>
  <c r="AE124" i="51"/>
  <c r="AD124" i="51"/>
  <c r="AC124" i="51"/>
  <c r="AB124" i="51"/>
  <c r="AA124" i="51"/>
  <c r="Z124" i="51"/>
  <c r="Y124" i="51"/>
  <c r="X124" i="51"/>
  <c r="U124" i="51"/>
  <c r="T124" i="51"/>
  <c r="S124" i="51"/>
  <c r="R124" i="51"/>
  <c r="Q124" i="51"/>
  <c r="P124" i="51"/>
  <c r="O124" i="51"/>
  <c r="N124" i="51"/>
  <c r="K124" i="51"/>
  <c r="J124" i="51"/>
  <c r="I124" i="51"/>
  <c r="H124" i="51"/>
  <c r="G124" i="51"/>
  <c r="F124" i="51"/>
  <c r="E124" i="51"/>
  <c r="D124" i="51"/>
  <c r="B124" i="51"/>
  <c r="CM123" i="51"/>
  <c r="CL123" i="51"/>
  <c r="CK123" i="51"/>
  <c r="CJ123" i="51"/>
  <c r="CI123" i="51"/>
  <c r="CH123" i="51"/>
  <c r="CG123" i="51"/>
  <c r="CF123" i="51"/>
  <c r="CC123" i="51"/>
  <c r="CB123" i="51"/>
  <c r="CA123" i="51"/>
  <c r="BZ123" i="51"/>
  <c r="BY123" i="51"/>
  <c r="BX123" i="51"/>
  <c r="BW123" i="51"/>
  <c r="BV123" i="51"/>
  <c r="BS123" i="51"/>
  <c r="BR123" i="51"/>
  <c r="BQ123" i="51"/>
  <c r="BP123" i="51"/>
  <c r="BO123" i="51"/>
  <c r="BN123" i="51"/>
  <c r="BM123" i="51"/>
  <c r="BL123" i="51"/>
  <c r="BI123" i="51"/>
  <c r="BH123" i="51"/>
  <c r="BG123" i="51"/>
  <c r="BF123" i="51"/>
  <c r="BE123" i="51"/>
  <c r="BD123" i="51"/>
  <c r="BC123" i="51"/>
  <c r="BB123" i="51"/>
  <c r="AY123" i="51"/>
  <c r="AX123" i="51"/>
  <c r="AW123" i="51"/>
  <c r="AV123" i="51"/>
  <c r="AU123" i="51"/>
  <c r="AT123" i="51"/>
  <c r="AS123" i="51"/>
  <c r="AR123" i="51"/>
  <c r="AO123" i="51"/>
  <c r="AN123" i="51"/>
  <c r="AM123" i="51"/>
  <c r="AL123" i="51"/>
  <c r="AK123" i="51"/>
  <c r="AJ123" i="51"/>
  <c r="AI123" i="51"/>
  <c r="AH123" i="51"/>
  <c r="AE123" i="51"/>
  <c r="AD123" i="51"/>
  <c r="AC123" i="51"/>
  <c r="AB123" i="51"/>
  <c r="AA123" i="51"/>
  <c r="Z123" i="51"/>
  <c r="Y123" i="51"/>
  <c r="X123" i="51"/>
  <c r="U123" i="51"/>
  <c r="T123" i="51"/>
  <c r="S123" i="51"/>
  <c r="R123" i="51"/>
  <c r="Q123" i="51"/>
  <c r="P123" i="51"/>
  <c r="O123" i="51"/>
  <c r="N123" i="51"/>
  <c r="K123" i="51"/>
  <c r="J123" i="51"/>
  <c r="I123" i="51"/>
  <c r="H123" i="51"/>
  <c r="G123" i="51"/>
  <c r="F123" i="51"/>
  <c r="E123" i="51"/>
  <c r="D123" i="51"/>
  <c r="B123" i="51"/>
  <c r="CM122" i="51"/>
  <c r="CL122" i="51"/>
  <c r="CK122" i="51"/>
  <c r="CJ122" i="51"/>
  <c r="CI122" i="51"/>
  <c r="CH122" i="51"/>
  <c r="CG122" i="51"/>
  <c r="CF122" i="51"/>
  <c r="CC122" i="51"/>
  <c r="CB122" i="51"/>
  <c r="CA122" i="51"/>
  <c r="BZ122" i="51"/>
  <c r="BY122" i="51"/>
  <c r="BX122" i="51"/>
  <c r="BW122" i="51"/>
  <c r="BV122" i="51"/>
  <c r="BS122" i="51"/>
  <c r="BR122" i="51"/>
  <c r="BQ122" i="51"/>
  <c r="BP122" i="51"/>
  <c r="BO122" i="51"/>
  <c r="BN122" i="51"/>
  <c r="BM122" i="51"/>
  <c r="BL122" i="51"/>
  <c r="BI122" i="51"/>
  <c r="BH122" i="51"/>
  <c r="BG122" i="51"/>
  <c r="BF122" i="51"/>
  <c r="BE122" i="51"/>
  <c r="BD122" i="51"/>
  <c r="BC122" i="51"/>
  <c r="BB122" i="51"/>
  <c r="AY122" i="51"/>
  <c r="AX122" i="51"/>
  <c r="AW122" i="51"/>
  <c r="AV122" i="51"/>
  <c r="AU122" i="51"/>
  <c r="AT122" i="51"/>
  <c r="AS122" i="51"/>
  <c r="AR122" i="51"/>
  <c r="AO122" i="51"/>
  <c r="AN122" i="51"/>
  <c r="AM122" i="51"/>
  <c r="AL122" i="51"/>
  <c r="AK122" i="51"/>
  <c r="AJ122" i="51"/>
  <c r="AI122" i="51"/>
  <c r="AH122" i="51"/>
  <c r="AE122" i="51"/>
  <c r="AD122" i="51"/>
  <c r="AC122" i="51"/>
  <c r="AB122" i="51"/>
  <c r="AA122" i="51"/>
  <c r="Z122" i="51"/>
  <c r="Y122" i="51"/>
  <c r="X122" i="51"/>
  <c r="U122" i="51"/>
  <c r="T122" i="51"/>
  <c r="S122" i="51"/>
  <c r="R122" i="51"/>
  <c r="Q122" i="51"/>
  <c r="P122" i="51"/>
  <c r="O122" i="51"/>
  <c r="N122" i="51"/>
  <c r="K122" i="51"/>
  <c r="J122" i="51"/>
  <c r="I122" i="51"/>
  <c r="H122" i="51"/>
  <c r="G122" i="51"/>
  <c r="F122" i="51"/>
  <c r="E122" i="51"/>
  <c r="D122" i="51"/>
  <c r="B122" i="51"/>
  <c r="CM121" i="51"/>
  <c r="CL121" i="51"/>
  <c r="CK121" i="51"/>
  <c r="CJ121" i="51"/>
  <c r="CI121" i="51"/>
  <c r="CH121" i="51"/>
  <c r="CG121" i="51"/>
  <c r="CF121" i="51"/>
  <c r="CC121" i="51"/>
  <c r="CB121" i="51"/>
  <c r="CA121" i="51"/>
  <c r="BZ121" i="51"/>
  <c r="BY121" i="51"/>
  <c r="BX121" i="51"/>
  <c r="BW121" i="51"/>
  <c r="BV121" i="51"/>
  <c r="BS121" i="51"/>
  <c r="BR121" i="51"/>
  <c r="BQ121" i="51"/>
  <c r="BP121" i="51"/>
  <c r="BO121" i="51"/>
  <c r="BN121" i="51"/>
  <c r="BM121" i="51"/>
  <c r="BL121" i="51"/>
  <c r="BI121" i="51"/>
  <c r="BH121" i="51"/>
  <c r="BG121" i="51"/>
  <c r="BF121" i="51"/>
  <c r="BE121" i="51"/>
  <c r="BD121" i="51"/>
  <c r="BC121" i="51"/>
  <c r="BB121" i="51"/>
  <c r="AY121" i="51"/>
  <c r="AX121" i="51"/>
  <c r="AW121" i="51"/>
  <c r="AV121" i="51"/>
  <c r="AU121" i="51"/>
  <c r="AT121" i="51"/>
  <c r="AS121" i="51"/>
  <c r="AR121" i="51"/>
  <c r="AO121" i="51"/>
  <c r="AN121" i="51"/>
  <c r="AM121" i="51"/>
  <c r="AL121" i="51"/>
  <c r="AK121" i="51"/>
  <c r="AJ121" i="51"/>
  <c r="AI121" i="51"/>
  <c r="AH121" i="51"/>
  <c r="AE121" i="51"/>
  <c r="AD121" i="51"/>
  <c r="AC121" i="51"/>
  <c r="AB121" i="51"/>
  <c r="AA121" i="51"/>
  <c r="Z121" i="51"/>
  <c r="Y121" i="51"/>
  <c r="X121" i="51"/>
  <c r="U121" i="51"/>
  <c r="T121" i="51"/>
  <c r="S121" i="51"/>
  <c r="R121" i="51"/>
  <c r="Q121" i="51"/>
  <c r="P121" i="51"/>
  <c r="O121" i="51"/>
  <c r="N121" i="51"/>
  <c r="K121" i="51"/>
  <c r="J121" i="51"/>
  <c r="I121" i="51"/>
  <c r="H121" i="51"/>
  <c r="G121" i="51"/>
  <c r="F121" i="51"/>
  <c r="E121" i="51"/>
  <c r="D121" i="51"/>
  <c r="B121" i="51"/>
  <c r="CM120" i="51"/>
  <c r="CL120" i="51"/>
  <c r="CK120" i="51"/>
  <c r="CJ120" i="51"/>
  <c r="CI120" i="51"/>
  <c r="CH120" i="51"/>
  <c r="CG120" i="51"/>
  <c r="CF120" i="51"/>
  <c r="CC120" i="51"/>
  <c r="CB120" i="51"/>
  <c r="CA120" i="51"/>
  <c r="BZ120" i="51"/>
  <c r="BY120" i="51"/>
  <c r="BX120" i="51"/>
  <c r="BW120" i="51"/>
  <c r="BV120" i="51"/>
  <c r="BS120" i="51"/>
  <c r="BR120" i="51"/>
  <c r="BQ120" i="51"/>
  <c r="BP120" i="51"/>
  <c r="BO120" i="51"/>
  <c r="BN120" i="51"/>
  <c r="BM120" i="51"/>
  <c r="BL120" i="51"/>
  <c r="BI120" i="51"/>
  <c r="BH120" i="51"/>
  <c r="BG120" i="51"/>
  <c r="BF120" i="51"/>
  <c r="BE120" i="51"/>
  <c r="BD120" i="51"/>
  <c r="BC120" i="51"/>
  <c r="BB120" i="51"/>
  <c r="AY120" i="51"/>
  <c r="AX120" i="51"/>
  <c r="AW120" i="51"/>
  <c r="AV120" i="51"/>
  <c r="AU120" i="51"/>
  <c r="AT120" i="51"/>
  <c r="AS120" i="51"/>
  <c r="AR120" i="51"/>
  <c r="AO120" i="51"/>
  <c r="AN120" i="51"/>
  <c r="AM120" i="51"/>
  <c r="AL120" i="51"/>
  <c r="AK120" i="51"/>
  <c r="AJ120" i="51"/>
  <c r="AI120" i="51"/>
  <c r="AH120" i="51"/>
  <c r="AE120" i="51"/>
  <c r="AD120" i="51"/>
  <c r="AC120" i="51"/>
  <c r="AB120" i="51"/>
  <c r="AA120" i="51"/>
  <c r="Z120" i="51"/>
  <c r="Y120" i="51"/>
  <c r="X120" i="51"/>
  <c r="U120" i="51"/>
  <c r="T120" i="51"/>
  <c r="S120" i="51"/>
  <c r="R120" i="51"/>
  <c r="Q120" i="51"/>
  <c r="P120" i="51"/>
  <c r="O120" i="51"/>
  <c r="N120" i="51"/>
  <c r="K120" i="51"/>
  <c r="J120" i="51"/>
  <c r="I120" i="51"/>
  <c r="H120" i="51"/>
  <c r="G120" i="51"/>
  <c r="F120" i="51"/>
  <c r="E120" i="51"/>
  <c r="D120" i="51"/>
  <c r="B120" i="51"/>
  <c r="CM119" i="51"/>
  <c r="CL119" i="51"/>
  <c r="CK119" i="51"/>
  <c r="CJ119" i="51"/>
  <c r="CI119" i="51"/>
  <c r="CH119" i="51"/>
  <c r="CG119" i="51"/>
  <c r="CF119" i="51"/>
  <c r="CC119" i="51"/>
  <c r="CB119" i="51"/>
  <c r="CA119" i="51"/>
  <c r="BZ119" i="51"/>
  <c r="BY119" i="51"/>
  <c r="BX119" i="51"/>
  <c r="BW119" i="51"/>
  <c r="BV119" i="51"/>
  <c r="BS119" i="51"/>
  <c r="BR119" i="51"/>
  <c r="BQ119" i="51"/>
  <c r="BP119" i="51"/>
  <c r="BO119" i="51"/>
  <c r="BN119" i="51"/>
  <c r="BM119" i="51"/>
  <c r="BL119" i="51"/>
  <c r="BI119" i="51"/>
  <c r="BH119" i="51"/>
  <c r="BG119" i="51"/>
  <c r="BF119" i="51"/>
  <c r="BE119" i="51"/>
  <c r="BD119" i="51"/>
  <c r="BC119" i="51"/>
  <c r="BB119" i="51"/>
  <c r="AY119" i="51"/>
  <c r="AX119" i="51"/>
  <c r="AW119" i="51"/>
  <c r="AV119" i="51"/>
  <c r="AU119" i="51"/>
  <c r="AT119" i="51"/>
  <c r="AS119" i="51"/>
  <c r="AR119" i="51"/>
  <c r="AO119" i="51"/>
  <c r="AN119" i="51"/>
  <c r="AM119" i="51"/>
  <c r="AL119" i="51"/>
  <c r="AK119" i="51"/>
  <c r="AJ119" i="51"/>
  <c r="AI119" i="51"/>
  <c r="AH119" i="51"/>
  <c r="AE119" i="51"/>
  <c r="AD119" i="51"/>
  <c r="AC119" i="51"/>
  <c r="AB119" i="51"/>
  <c r="AA119" i="51"/>
  <c r="Z119" i="51"/>
  <c r="Y119" i="51"/>
  <c r="X119" i="51"/>
  <c r="U119" i="51"/>
  <c r="T119" i="51"/>
  <c r="S119" i="51"/>
  <c r="R119" i="51"/>
  <c r="Q119" i="51"/>
  <c r="P119" i="51"/>
  <c r="O119" i="51"/>
  <c r="N119" i="51"/>
  <c r="K119" i="51"/>
  <c r="J119" i="51"/>
  <c r="I119" i="51"/>
  <c r="H119" i="51"/>
  <c r="G119" i="51"/>
  <c r="F119" i="51"/>
  <c r="E119" i="51"/>
  <c r="D119" i="51"/>
  <c r="B119" i="51"/>
  <c r="CM118" i="51"/>
  <c r="CL118" i="51"/>
  <c r="CK118" i="51"/>
  <c r="CJ118" i="51"/>
  <c r="CI118" i="51"/>
  <c r="CH118" i="51"/>
  <c r="CG118" i="51"/>
  <c r="CF118" i="51"/>
  <c r="CC118" i="51"/>
  <c r="CB118" i="51"/>
  <c r="CA118" i="51"/>
  <c r="BZ118" i="51"/>
  <c r="BY118" i="51"/>
  <c r="BX118" i="51"/>
  <c r="BW118" i="51"/>
  <c r="BV118" i="51"/>
  <c r="BS118" i="51"/>
  <c r="BR118" i="51"/>
  <c r="BQ118" i="51"/>
  <c r="BP118" i="51"/>
  <c r="BO118" i="51"/>
  <c r="BN118" i="51"/>
  <c r="BM118" i="51"/>
  <c r="BL118" i="51"/>
  <c r="BI118" i="51"/>
  <c r="BH118" i="51"/>
  <c r="BG118" i="51"/>
  <c r="BF118" i="51"/>
  <c r="BE118" i="51"/>
  <c r="BD118" i="51"/>
  <c r="BC118" i="51"/>
  <c r="BB118" i="51"/>
  <c r="AY118" i="51"/>
  <c r="AX118" i="51"/>
  <c r="AW118" i="51"/>
  <c r="AV118" i="51"/>
  <c r="AU118" i="51"/>
  <c r="AT118" i="51"/>
  <c r="AS118" i="51"/>
  <c r="AR118" i="51"/>
  <c r="AO118" i="51"/>
  <c r="AN118" i="51"/>
  <c r="AM118" i="51"/>
  <c r="AL118" i="51"/>
  <c r="AK118" i="51"/>
  <c r="AJ118" i="51"/>
  <c r="AI118" i="51"/>
  <c r="AH118" i="51"/>
  <c r="AE118" i="51"/>
  <c r="AD118" i="51"/>
  <c r="AC118" i="51"/>
  <c r="AB118" i="51"/>
  <c r="AA118" i="51"/>
  <c r="Z118" i="51"/>
  <c r="Y118" i="51"/>
  <c r="X118" i="51"/>
  <c r="U118" i="51"/>
  <c r="T118" i="51"/>
  <c r="S118" i="51"/>
  <c r="R118" i="51"/>
  <c r="Q118" i="51"/>
  <c r="P118" i="51"/>
  <c r="O118" i="51"/>
  <c r="N118" i="51"/>
  <c r="K118" i="51"/>
  <c r="J118" i="51"/>
  <c r="I118" i="51"/>
  <c r="H118" i="51"/>
  <c r="G118" i="51"/>
  <c r="F118" i="51"/>
  <c r="E118" i="51"/>
  <c r="D118" i="51"/>
  <c r="B118" i="51"/>
  <c r="CM117" i="51"/>
  <c r="CL117" i="51"/>
  <c r="CK117" i="51"/>
  <c r="CJ117" i="51"/>
  <c r="CI117" i="51"/>
  <c r="CH117" i="51"/>
  <c r="CG117" i="51"/>
  <c r="CF117" i="51"/>
  <c r="CC117" i="51"/>
  <c r="CB117" i="51"/>
  <c r="CA117" i="51"/>
  <c r="BZ117" i="51"/>
  <c r="BY117" i="51"/>
  <c r="BX117" i="51"/>
  <c r="BW117" i="51"/>
  <c r="BV117" i="51"/>
  <c r="BS117" i="51"/>
  <c r="BR117" i="51"/>
  <c r="BQ117" i="51"/>
  <c r="BP117" i="51"/>
  <c r="BO117" i="51"/>
  <c r="BN117" i="51"/>
  <c r="BM117" i="51"/>
  <c r="BL117" i="51"/>
  <c r="BI117" i="51"/>
  <c r="BH117" i="51"/>
  <c r="BG117" i="51"/>
  <c r="BF117" i="51"/>
  <c r="BE117" i="51"/>
  <c r="BD117" i="51"/>
  <c r="BC117" i="51"/>
  <c r="BB117" i="51"/>
  <c r="AY117" i="51"/>
  <c r="AX117" i="51"/>
  <c r="AW117" i="51"/>
  <c r="AV117" i="51"/>
  <c r="AU117" i="51"/>
  <c r="AT117" i="51"/>
  <c r="AS117" i="51"/>
  <c r="AR117" i="51"/>
  <c r="AO117" i="51"/>
  <c r="AN117" i="51"/>
  <c r="AM117" i="51"/>
  <c r="AL117" i="51"/>
  <c r="AK117" i="51"/>
  <c r="AJ117" i="51"/>
  <c r="AI117" i="51"/>
  <c r="AH117" i="51"/>
  <c r="AE117" i="51"/>
  <c r="AD117" i="51"/>
  <c r="AC117" i="51"/>
  <c r="AB117" i="51"/>
  <c r="AA117" i="51"/>
  <c r="Z117" i="51"/>
  <c r="Y117" i="51"/>
  <c r="X117" i="51"/>
  <c r="U117" i="51"/>
  <c r="T117" i="51"/>
  <c r="S117" i="51"/>
  <c r="R117" i="51"/>
  <c r="Q117" i="51"/>
  <c r="P117" i="51"/>
  <c r="O117" i="51"/>
  <c r="N117" i="51"/>
  <c r="K117" i="51"/>
  <c r="J117" i="51"/>
  <c r="I117" i="51"/>
  <c r="H117" i="51"/>
  <c r="G117" i="51"/>
  <c r="F117" i="51"/>
  <c r="E117" i="51"/>
  <c r="D117" i="51"/>
  <c r="B117" i="51"/>
  <c r="CM107" i="51"/>
  <c r="CL107" i="51"/>
  <c r="CK107" i="51"/>
  <c r="CJ107" i="51"/>
  <c r="CI107" i="51"/>
  <c r="CH107" i="51"/>
  <c r="CG107" i="51"/>
  <c r="CF107" i="51"/>
  <c r="CC107" i="51"/>
  <c r="CB107" i="51"/>
  <c r="CA107" i="51"/>
  <c r="BZ107" i="51"/>
  <c r="BY107" i="51"/>
  <c r="BX107" i="51"/>
  <c r="BW107" i="51"/>
  <c r="BV107" i="51"/>
  <c r="BS107" i="51"/>
  <c r="BR107" i="51"/>
  <c r="BQ107" i="51"/>
  <c r="BP107" i="51"/>
  <c r="BO107" i="51"/>
  <c r="BN107" i="51"/>
  <c r="BM107" i="51"/>
  <c r="BL107" i="51"/>
  <c r="BI107" i="51"/>
  <c r="BH107" i="51"/>
  <c r="BG107" i="51"/>
  <c r="BF107" i="51"/>
  <c r="BE107" i="51"/>
  <c r="BD107" i="51"/>
  <c r="BC107" i="51"/>
  <c r="BB107" i="51"/>
  <c r="AY107" i="51"/>
  <c r="AX107" i="51"/>
  <c r="AW107" i="51"/>
  <c r="AV107" i="51"/>
  <c r="AU107" i="51"/>
  <c r="AT107" i="51"/>
  <c r="AS107" i="51"/>
  <c r="AR107" i="51"/>
  <c r="AO107" i="51"/>
  <c r="AN107" i="51"/>
  <c r="AM107" i="51"/>
  <c r="AL107" i="51"/>
  <c r="AK107" i="51"/>
  <c r="AJ107" i="51"/>
  <c r="AI107" i="51"/>
  <c r="AH107" i="51"/>
  <c r="AE107" i="51"/>
  <c r="AD107" i="51"/>
  <c r="AC107" i="51"/>
  <c r="AB107" i="51"/>
  <c r="AA107" i="51"/>
  <c r="Z107" i="51"/>
  <c r="Y107" i="51"/>
  <c r="X107" i="51"/>
  <c r="U107" i="51"/>
  <c r="T107" i="51"/>
  <c r="S107" i="51"/>
  <c r="R107" i="51"/>
  <c r="Q107" i="51"/>
  <c r="P107" i="51"/>
  <c r="O107" i="51"/>
  <c r="N107" i="51"/>
  <c r="CM106" i="51"/>
  <c r="CL106" i="51"/>
  <c r="CK106" i="51"/>
  <c r="CJ106" i="51"/>
  <c r="CI106" i="51"/>
  <c r="CH106" i="51"/>
  <c r="CG106" i="51"/>
  <c r="CF106" i="51"/>
  <c r="CC106" i="51"/>
  <c r="CB106" i="51"/>
  <c r="CA106" i="51"/>
  <c r="BZ106" i="51"/>
  <c r="BY106" i="51"/>
  <c r="BX106" i="51"/>
  <c r="BW106" i="51"/>
  <c r="BV106" i="51"/>
  <c r="BS106" i="51"/>
  <c r="BR106" i="51"/>
  <c r="BQ106" i="51"/>
  <c r="BP106" i="51"/>
  <c r="BO106" i="51"/>
  <c r="BN106" i="51"/>
  <c r="BM106" i="51"/>
  <c r="BL106" i="51"/>
  <c r="BI106" i="51"/>
  <c r="BH106" i="51"/>
  <c r="BG106" i="51"/>
  <c r="BF106" i="51"/>
  <c r="BE106" i="51"/>
  <c r="BD106" i="51"/>
  <c r="BC106" i="51"/>
  <c r="BB106" i="51"/>
  <c r="AY106" i="51"/>
  <c r="AX106" i="51"/>
  <c r="AW106" i="51"/>
  <c r="AV106" i="51"/>
  <c r="AU106" i="51"/>
  <c r="AT106" i="51"/>
  <c r="AS106" i="51"/>
  <c r="AR106" i="51"/>
  <c r="AO106" i="51"/>
  <c r="AN106" i="51"/>
  <c r="AM106" i="51"/>
  <c r="AL106" i="51"/>
  <c r="AK106" i="51"/>
  <c r="AJ106" i="51"/>
  <c r="AI106" i="51"/>
  <c r="AH106" i="51"/>
  <c r="AE106" i="51"/>
  <c r="AD106" i="51"/>
  <c r="AC106" i="51"/>
  <c r="AB106" i="51"/>
  <c r="AA106" i="51"/>
  <c r="Z106" i="51"/>
  <c r="Y106" i="51"/>
  <c r="X106" i="51"/>
  <c r="U106" i="51"/>
  <c r="T106" i="51"/>
  <c r="S106" i="51"/>
  <c r="R106" i="51"/>
  <c r="Q106" i="51"/>
  <c r="P106" i="51"/>
  <c r="O106" i="51"/>
  <c r="N106" i="51"/>
  <c r="CM105" i="51"/>
  <c r="CL105" i="51"/>
  <c r="CK105" i="51"/>
  <c r="CJ105" i="51"/>
  <c r="CI105" i="51"/>
  <c r="CH105" i="51"/>
  <c r="CG105" i="51"/>
  <c r="CF105" i="51"/>
  <c r="CC105" i="51"/>
  <c r="CB105" i="51"/>
  <c r="CA105" i="51"/>
  <c r="BZ105" i="51"/>
  <c r="BY105" i="51"/>
  <c r="BX105" i="51"/>
  <c r="BW105" i="51"/>
  <c r="BV105" i="51"/>
  <c r="BS105" i="51"/>
  <c r="BR105" i="51"/>
  <c r="BQ105" i="51"/>
  <c r="BP105" i="51"/>
  <c r="BO105" i="51"/>
  <c r="BN105" i="51"/>
  <c r="BM105" i="51"/>
  <c r="BL105" i="51"/>
  <c r="BI105" i="51"/>
  <c r="BH105" i="51"/>
  <c r="BG105" i="51"/>
  <c r="BF105" i="51"/>
  <c r="BE105" i="51"/>
  <c r="BD105" i="51"/>
  <c r="BC105" i="51"/>
  <c r="BB105" i="51"/>
  <c r="AY105" i="51"/>
  <c r="AX105" i="51"/>
  <c r="AW105" i="51"/>
  <c r="AV105" i="51"/>
  <c r="AU105" i="51"/>
  <c r="AT105" i="51"/>
  <c r="AS105" i="51"/>
  <c r="AR105" i="51"/>
  <c r="AO105" i="51"/>
  <c r="AN105" i="51"/>
  <c r="AM105" i="51"/>
  <c r="AL105" i="51"/>
  <c r="AK105" i="51"/>
  <c r="AJ105" i="51"/>
  <c r="AI105" i="51"/>
  <c r="AH105" i="51"/>
  <c r="AE105" i="51"/>
  <c r="AD105" i="51"/>
  <c r="AC105" i="51"/>
  <c r="AB105" i="51"/>
  <c r="AA105" i="51"/>
  <c r="Z105" i="51"/>
  <c r="Y105" i="51"/>
  <c r="X105" i="51"/>
  <c r="U105" i="51"/>
  <c r="T105" i="51"/>
  <c r="S105" i="51"/>
  <c r="R105" i="51"/>
  <c r="Q105" i="51"/>
  <c r="P105" i="51"/>
  <c r="O105" i="51"/>
  <c r="N105" i="51"/>
  <c r="CM104" i="51"/>
  <c r="CL104" i="51"/>
  <c r="CK104" i="51"/>
  <c r="CJ104" i="51"/>
  <c r="CI104" i="51"/>
  <c r="CH104" i="51"/>
  <c r="CG104" i="51"/>
  <c r="CF104" i="51"/>
  <c r="CC104" i="51"/>
  <c r="CB104" i="51"/>
  <c r="CA104" i="51"/>
  <c r="BZ104" i="51"/>
  <c r="BY104" i="51"/>
  <c r="BX104" i="51"/>
  <c r="BW104" i="51"/>
  <c r="BV104" i="51"/>
  <c r="BS104" i="51"/>
  <c r="BR104" i="51"/>
  <c r="BQ104" i="51"/>
  <c r="BP104" i="51"/>
  <c r="BO104" i="51"/>
  <c r="BN104" i="51"/>
  <c r="BM104" i="51"/>
  <c r="BL104" i="51"/>
  <c r="BI104" i="51"/>
  <c r="BH104" i="51"/>
  <c r="BG104" i="51"/>
  <c r="BF104" i="51"/>
  <c r="BE104" i="51"/>
  <c r="BD104" i="51"/>
  <c r="BC104" i="51"/>
  <c r="BB104" i="51"/>
  <c r="AY104" i="51"/>
  <c r="AX104" i="51"/>
  <c r="AW104" i="51"/>
  <c r="AV104" i="51"/>
  <c r="AU104" i="51"/>
  <c r="AT104" i="51"/>
  <c r="AS104" i="51"/>
  <c r="AR104" i="51"/>
  <c r="AO104" i="51"/>
  <c r="AN104" i="51"/>
  <c r="AM104" i="51"/>
  <c r="AL104" i="51"/>
  <c r="AK104" i="51"/>
  <c r="AJ104" i="51"/>
  <c r="AI104" i="51"/>
  <c r="AH104" i="51"/>
  <c r="AE104" i="51"/>
  <c r="AD104" i="51"/>
  <c r="AC104" i="51"/>
  <c r="AB104" i="51"/>
  <c r="AA104" i="51"/>
  <c r="Z104" i="51"/>
  <c r="Y104" i="51"/>
  <c r="X104" i="51"/>
  <c r="U104" i="51"/>
  <c r="T104" i="51"/>
  <c r="S104" i="51"/>
  <c r="R104" i="51"/>
  <c r="Q104" i="51"/>
  <c r="P104" i="51"/>
  <c r="O104" i="51"/>
  <c r="N104" i="51"/>
  <c r="CM103" i="51"/>
  <c r="CL103" i="51"/>
  <c r="CK103" i="51"/>
  <c r="CJ103" i="51"/>
  <c r="CI103" i="51"/>
  <c r="CH103" i="51"/>
  <c r="CG103" i="51"/>
  <c r="CF103" i="51"/>
  <c r="CC103" i="51"/>
  <c r="CB103" i="51"/>
  <c r="CA103" i="51"/>
  <c r="BZ103" i="51"/>
  <c r="BY103" i="51"/>
  <c r="BX103" i="51"/>
  <c r="BW103" i="51"/>
  <c r="BV103" i="51"/>
  <c r="BS103" i="51"/>
  <c r="BR103" i="51"/>
  <c r="BQ103" i="51"/>
  <c r="BP103" i="51"/>
  <c r="BO103" i="51"/>
  <c r="BN103" i="51"/>
  <c r="BM103" i="51"/>
  <c r="BL103" i="51"/>
  <c r="BI103" i="51"/>
  <c r="BH103" i="51"/>
  <c r="BG103" i="51"/>
  <c r="BF103" i="51"/>
  <c r="BE103" i="51"/>
  <c r="BD103" i="51"/>
  <c r="BC103" i="51"/>
  <c r="BB103" i="51"/>
  <c r="AY103" i="51"/>
  <c r="AX103" i="51"/>
  <c r="AW103" i="51"/>
  <c r="AV103" i="51"/>
  <c r="AU103" i="51"/>
  <c r="AT103" i="51"/>
  <c r="AS103" i="51"/>
  <c r="AR103" i="51"/>
  <c r="AO103" i="51"/>
  <c r="AN103" i="51"/>
  <c r="AM103" i="51"/>
  <c r="AL103" i="51"/>
  <c r="AK103" i="51"/>
  <c r="AJ103" i="51"/>
  <c r="AI103" i="51"/>
  <c r="AH103" i="51"/>
  <c r="AE103" i="51"/>
  <c r="AD103" i="51"/>
  <c r="AC103" i="51"/>
  <c r="AB103" i="51"/>
  <c r="AA103" i="51"/>
  <c r="Z103" i="51"/>
  <c r="Y103" i="51"/>
  <c r="X103" i="51"/>
  <c r="U103" i="51"/>
  <c r="T103" i="51"/>
  <c r="S103" i="51"/>
  <c r="R103" i="51"/>
  <c r="Q103" i="51"/>
  <c r="P103" i="51"/>
  <c r="O103" i="51"/>
  <c r="N103" i="51"/>
  <c r="CM102" i="51"/>
  <c r="CL102" i="51"/>
  <c r="CK102" i="51"/>
  <c r="CJ102" i="51"/>
  <c r="CI102" i="51"/>
  <c r="CH102" i="51"/>
  <c r="CG102" i="51"/>
  <c r="CF102" i="51"/>
  <c r="CC102" i="51"/>
  <c r="CB102" i="51"/>
  <c r="CA102" i="51"/>
  <c r="BZ102" i="51"/>
  <c r="BY102" i="51"/>
  <c r="BX102" i="51"/>
  <c r="BW102" i="51"/>
  <c r="BV102" i="51"/>
  <c r="BS102" i="51"/>
  <c r="BR102" i="51"/>
  <c r="BQ102" i="51"/>
  <c r="BP102" i="51"/>
  <c r="BO102" i="51"/>
  <c r="BN102" i="51"/>
  <c r="BM102" i="51"/>
  <c r="BL102" i="51"/>
  <c r="BI102" i="51"/>
  <c r="BH102" i="51"/>
  <c r="BG102" i="51"/>
  <c r="BF102" i="51"/>
  <c r="BE102" i="51"/>
  <c r="BD102" i="51"/>
  <c r="BC102" i="51"/>
  <c r="BB102" i="51"/>
  <c r="AY102" i="51"/>
  <c r="AX102" i="51"/>
  <c r="AW102" i="51"/>
  <c r="AV102" i="51"/>
  <c r="AU102" i="51"/>
  <c r="AT102" i="51"/>
  <c r="AS102" i="51"/>
  <c r="AR102" i="51"/>
  <c r="AO102" i="51"/>
  <c r="AN102" i="51"/>
  <c r="AM102" i="51"/>
  <c r="AL102" i="51"/>
  <c r="AK102" i="51"/>
  <c r="AJ102" i="51"/>
  <c r="AI102" i="51"/>
  <c r="AH102" i="51"/>
  <c r="AE102" i="51"/>
  <c r="AD102" i="51"/>
  <c r="AC102" i="51"/>
  <c r="AB102" i="51"/>
  <c r="AA102" i="51"/>
  <c r="Z102" i="51"/>
  <c r="Y102" i="51"/>
  <c r="X102" i="51"/>
  <c r="U102" i="51"/>
  <c r="T102" i="51"/>
  <c r="S102" i="51"/>
  <c r="R102" i="51"/>
  <c r="Q102" i="51"/>
  <c r="P102" i="51"/>
  <c r="O102" i="51"/>
  <c r="N102" i="51"/>
  <c r="CM101" i="51"/>
  <c r="CL101" i="51"/>
  <c r="CK101" i="51"/>
  <c r="CJ101" i="51"/>
  <c r="CI101" i="51"/>
  <c r="CH101" i="51"/>
  <c r="CG101" i="51"/>
  <c r="CF101" i="51"/>
  <c r="CC101" i="51"/>
  <c r="CB101" i="51"/>
  <c r="CA101" i="51"/>
  <c r="BZ101" i="51"/>
  <c r="BY101" i="51"/>
  <c r="BX101" i="51"/>
  <c r="BW101" i="51"/>
  <c r="BV101" i="51"/>
  <c r="BS101" i="51"/>
  <c r="BR101" i="51"/>
  <c r="BQ101" i="51"/>
  <c r="BP101" i="51"/>
  <c r="BO101" i="51"/>
  <c r="BN101" i="51"/>
  <c r="BM101" i="51"/>
  <c r="BL101" i="51"/>
  <c r="BI101" i="51"/>
  <c r="BH101" i="51"/>
  <c r="BG101" i="51"/>
  <c r="BF101" i="51"/>
  <c r="BE101" i="51"/>
  <c r="BD101" i="51"/>
  <c r="BC101" i="51"/>
  <c r="BB101" i="51"/>
  <c r="AY101" i="51"/>
  <c r="AX101" i="51"/>
  <c r="AW101" i="51"/>
  <c r="AV101" i="51"/>
  <c r="AU101" i="51"/>
  <c r="AT101" i="51"/>
  <c r="AS101" i="51"/>
  <c r="AR101" i="51"/>
  <c r="AO101" i="51"/>
  <c r="AN101" i="51"/>
  <c r="AM101" i="51"/>
  <c r="AL101" i="51"/>
  <c r="AK101" i="51"/>
  <c r="AJ101" i="51"/>
  <c r="AI101" i="51"/>
  <c r="AH101" i="51"/>
  <c r="AE101" i="51"/>
  <c r="AD101" i="51"/>
  <c r="AC101" i="51"/>
  <c r="AB101" i="51"/>
  <c r="AA101" i="51"/>
  <c r="Z101" i="51"/>
  <c r="Y101" i="51"/>
  <c r="X101" i="51"/>
  <c r="U101" i="51"/>
  <c r="T101" i="51"/>
  <c r="S101" i="51"/>
  <c r="R101" i="51"/>
  <c r="Q101" i="51"/>
  <c r="P101" i="51"/>
  <c r="O101" i="51"/>
  <c r="N101" i="51"/>
  <c r="CM100" i="51"/>
  <c r="CL100" i="51"/>
  <c r="CK100" i="51"/>
  <c r="CJ100" i="51"/>
  <c r="CI100" i="51"/>
  <c r="CH100" i="51"/>
  <c r="CG100" i="51"/>
  <c r="CF100" i="51"/>
  <c r="CC100" i="51"/>
  <c r="CB100" i="51"/>
  <c r="CA100" i="51"/>
  <c r="BZ100" i="51"/>
  <c r="BY100" i="51"/>
  <c r="BX100" i="51"/>
  <c r="BW100" i="51"/>
  <c r="BV100" i="51"/>
  <c r="BS100" i="51"/>
  <c r="BR100" i="51"/>
  <c r="BQ100" i="51"/>
  <c r="BP100" i="51"/>
  <c r="BO100" i="51"/>
  <c r="BN100" i="51"/>
  <c r="BM100" i="51"/>
  <c r="BL100" i="51"/>
  <c r="BI100" i="51"/>
  <c r="BH100" i="51"/>
  <c r="BG100" i="51"/>
  <c r="BF100" i="51"/>
  <c r="BE100" i="51"/>
  <c r="BD100" i="51"/>
  <c r="BC100" i="51"/>
  <c r="BB100" i="51"/>
  <c r="AY100" i="51"/>
  <c r="AX100" i="51"/>
  <c r="AW100" i="51"/>
  <c r="AV100" i="51"/>
  <c r="AU100" i="51"/>
  <c r="AT100" i="51"/>
  <c r="AS100" i="51"/>
  <c r="AR100" i="51"/>
  <c r="AO100" i="51"/>
  <c r="AN100" i="51"/>
  <c r="AM100" i="51"/>
  <c r="AL100" i="51"/>
  <c r="AK100" i="51"/>
  <c r="AJ100" i="51"/>
  <c r="AI100" i="51"/>
  <c r="AH100" i="51"/>
  <c r="AE100" i="51"/>
  <c r="AD100" i="51"/>
  <c r="AC100" i="51"/>
  <c r="AB100" i="51"/>
  <c r="AA100" i="51"/>
  <c r="Z100" i="51"/>
  <c r="Y100" i="51"/>
  <c r="X100" i="51"/>
  <c r="U100" i="51"/>
  <c r="T100" i="51"/>
  <c r="S100" i="51"/>
  <c r="R100" i="51"/>
  <c r="Q100" i="51"/>
  <c r="P100" i="51"/>
  <c r="O100" i="51"/>
  <c r="N100" i="51"/>
  <c r="CM99" i="51"/>
  <c r="CL99" i="51"/>
  <c r="CK99" i="51"/>
  <c r="CJ99" i="51"/>
  <c r="CI99" i="51"/>
  <c r="CH99" i="51"/>
  <c r="CG99" i="51"/>
  <c r="CF99" i="51"/>
  <c r="CC99" i="51"/>
  <c r="CB99" i="51"/>
  <c r="CA99" i="51"/>
  <c r="BZ99" i="51"/>
  <c r="BY99" i="51"/>
  <c r="BX99" i="51"/>
  <c r="BW99" i="51"/>
  <c r="BV99" i="51"/>
  <c r="BS99" i="51"/>
  <c r="BR99" i="51"/>
  <c r="BQ99" i="51"/>
  <c r="BP99" i="51"/>
  <c r="BO99" i="51"/>
  <c r="BN99" i="51"/>
  <c r="BM99" i="51"/>
  <c r="BL99" i="51"/>
  <c r="BI99" i="51"/>
  <c r="BH99" i="51"/>
  <c r="BG99" i="51"/>
  <c r="BF99" i="51"/>
  <c r="BE99" i="51"/>
  <c r="BD99" i="51"/>
  <c r="BC99" i="51"/>
  <c r="BB99" i="51"/>
  <c r="AY99" i="51"/>
  <c r="AX99" i="51"/>
  <c r="AW99" i="51"/>
  <c r="AV99" i="51"/>
  <c r="AU99" i="51"/>
  <c r="AT99" i="51"/>
  <c r="AS99" i="51"/>
  <c r="AR99" i="51"/>
  <c r="AO99" i="51"/>
  <c r="AN99" i="51"/>
  <c r="AM99" i="51"/>
  <c r="AL99" i="51"/>
  <c r="AK99" i="51"/>
  <c r="AJ99" i="51"/>
  <c r="AI99" i="51"/>
  <c r="AH99" i="51"/>
  <c r="AE99" i="51"/>
  <c r="AD99" i="51"/>
  <c r="AC99" i="51"/>
  <c r="AB99" i="51"/>
  <c r="AA99" i="51"/>
  <c r="Z99" i="51"/>
  <c r="Y99" i="51"/>
  <c r="X99" i="51"/>
  <c r="U99" i="51"/>
  <c r="T99" i="51"/>
  <c r="S99" i="51"/>
  <c r="R99" i="51"/>
  <c r="Q99" i="51"/>
  <c r="P99" i="51"/>
  <c r="O99" i="51"/>
  <c r="N99" i="51"/>
  <c r="CM98" i="51"/>
  <c r="CL98" i="51"/>
  <c r="CK98" i="51"/>
  <c r="CJ98" i="51"/>
  <c r="CI98" i="51"/>
  <c r="CH98" i="51"/>
  <c r="CG98" i="51"/>
  <c r="CF98" i="51"/>
  <c r="CC98" i="51"/>
  <c r="CB98" i="51"/>
  <c r="CA98" i="51"/>
  <c r="BZ98" i="51"/>
  <c r="BY98" i="51"/>
  <c r="BX98" i="51"/>
  <c r="BW98" i="51"/>
  <c r="BV98" i="51"/>
  <c r="BS98" i="51"/>
  <c r="BR98" i="51"/>
  <c r="BQ98" i="51"/>
  <c r="BP98" i="51"/>
  <c r="BO98" i="51"/>
  <c r="BN98" i="51"/>
  <c r="BM98" i="51"/>
  <c r="BL98" i="51"/>
  <c r="BI98" i="51"/>
  <c r="BH98" i="51"/>
  <c r="BG98" i="51"/>
  <c r="BF98" i="51"/>
  <c r="BE98" i="51"/>
  <c r="BD98" i="51"/>
  <c r="BC98" i="51"/>
  <c r="BB98" i="51"/>
  <c r="AY98" i="51"/>
  <c r="AX98" i="51"/>
  <c r="AW98" i="51"/>
  <c r="AV98" i="51"/>
  <c r="AU98" i="51"/>
  <c r="AT98" i="51"/>
  <c r="AS98" i="51"/>
  <c r="AR98" i="51"/>
  <c r="AO98" i="51"/>
  <c r="AN98" i="51"/>
  <c r="AM98" i="51"/>
  <c r="AL98" i="51"/>
  <c r="AK98" i="51"/>
  <c r="AJ98" i="51"/>
  <c r="AI98" i="51"/>
  <c r="AH98" i="51"/>
  <c r="AE98" i="51"/>
  <c r="AD98" i="51"/>
  <c r="AC98" i="51"/>
  <c r="AB98" i="51"/>
  <c r="AA98" i="51"/>
  <c r="Z98" i="51"/>
  <c r="Y98" i="51"/>
  <c r="X98" i="51"/>
  <c r="U98" i="51"/>
  <c r="T98" i="51"/>
  <c r="S98" i="51"/>
  <c r="R98" i="51"/>
  <c r="Q98" i="51"/>
  <c r="P98" i="51"/>
  <c r="O98" i="51"/>
  <c r="N98" i="51"/>
  <c r="CM97" i="51"/>
  <c r="CL97" i="51"/>
  <c r="CK97" i="51"/>
  <c r="CJ97" i="51"/>
  <c r="CI97" i="51"/>
  <c r="CH97" i="51"/>
  <c r="CG97" i="51"/>
  <c r="CF97" i="51"/>
  <c r="CC97" i="51"/>
  <c r="CB97" i="51"/>
  <c r="CA97" i="51"/>
  <c r="BZ97" i="51"/>
  <c r="BY97" i="51"/>
  <c r="BX97" i="51"/>
  <c r="BW97" i="51"/>
  <c r="BV97" i="51"/>
  <c r="BS97" i="51"/>
  <c r="BR97" i="51"/>
  <c r="BQ97" i="51"/>
  <c r="BP97" i="51"/>
  <c r="BO97" i="51"/>
  <c r="BN97" i="51"/>
  <c r="BM97" i="51"/>
  <c r="BL97" i="51"/>
  <c r="BI97" i="51"/>
  <c r="BH97" i="51"/>
  <c r="BG97" i="51"/>
  <c r="BF97" i="51"/>
  <c r="BE97" i="51"/>
  <c r="BD97" i="51"/>
  <c r="BC97" i="51"/>
  <c r="BB97" i="51"/>
  <c r="AY97" i="51"/>
  <c r="AX97" i="51"/>
  <c r="AW97" i="51"/>
  <c r="AV97" i="51"/>
  <c r="AU97" i="51"/>
  <c r="AT97" i="51"/>
  <c r="AS97" i="51"/>
  <c r="AR97" i="51"/>
  <c r="AO97" i="51"/>
  <c r="AN97" i="51"/>
  <c r="AM97" i="51"/>
  <c r="AL97" i="51"/>
  <c r="AK97" i="51"/>
  <c r="AJ97" i="51"/>
  <c r="AI97" i="51"/>
  <c r="AH97" i="51"/>
  <c r="AE97" i="51"/>
  <c r="AD97" i="51"/>
  <c r="AC97" i="51"/>
  <c r="AB97" i="51"/>
  <c r="AA97" i="51"/>
  <c r="Z97" i="51"/>
  <c r="Y97" i="51"/>
  <c r="X97" i="51"/>
  <c r="U97" i="51"/>
  <c r="T97" i="51"/>
  <c r="S97" i="51"/>
  <c r="R97" i="51"/>
  <c r="Q97" i="51"/>
  <c r="P97" i="51"/>
  <c r="O97" i="51"/>
  <c r="N97" i="51"/>
  <c r="CM96" i="51"/>
  <c r="CL96" i="51"/>
  <c r="CK96" i="51"/>
  <c r="CJ96" i="51"/>
  <c r="CI96" i="51"/>
  <c r="CH96" i="51"/>
  <c r="CG96" i="51"/>
  <c r="CF96" i="51"/>
  <c r="CC96" i="51"/>
  <c r="CB96" i="51"/>
  <c r="CA96" i="51"/>
  <c r="BZ96" i="51"/>
  <c r="BY96" i="51"/>
  <c r="BX96" i="51"/>
  <c r="BW96" i="51"/>
  <c r="BV96" i="51"/>
  <c r="BS96" i="51"/>
  <c r="BR96" i="51"/>
  <c r="BQ96" i="51"/>
  <c r="BP96" i="51"/>
  <c r="BO96" i="51"/>
  <c r="BN96" i="51"/>
  <c r="BM96" i="51"/>
  <c r="BL96" i="51"/>
  <c r="BI96" i="51"/>
  <c r="BH96" i="51"/>
  <c r="BG96" i="51"/>
  <c r="BF96" i="51"/>
  <c r="BE96" i="51"/>
  <c r="BD96" i="51"/>
  <c r="BC96" i="51"/>
  <c r="BB96" i="51"/>
  <c r="AY96" i="51"/>
  <c r="AX96" i="51"/>
  <c r="AW96" i="51"/>
  <c r="AV96" i="51"/>
  <c r="AU96" i="51"/>
  <c r="AT96" i="51"/>
  <c r="AS96" i="51"/>
  <c r="AR96" i="51"/>
  <c r="AO96" i="51"/>
  <c r="AN96" i="51"/>
  <c r="AM96" i="51"/>
  <c r="AL96" i="51"/>
  <c r="AK96" i="51"/>
  <c r="AJ96" i="51"/>
  <c r="AI96" i="51"/>
  <c r="AH96" i="51"/>
  <c r="AE96" i="51"/>
  <c r="AD96" i="51"/>
  <c r="AC96" i="51"/>
  <c r="AB96" i="51"/>
  <c r="AA96" i="51"/>
  <c r="Z96" i="51"/>
  <c r="Y96" i="51"/>
  <c r="X96" i="51"/>
  <c r="U96" i="51"/>
  <c r="T96" i="51"/>
  <c r="S96" i="51"/>
  <c r="R96" i="51"/>
  <c r="Q96" i="51"/>
  <c r="P96" i="51"/>
  <c r="O96" i="51"/>
  <c r="N96" i="51"/>
  <c r="CM95" i="51"/>
  <c r="CL95" i="51"/>
  <c r="CK95" i="51"/>
  <c r="CJ95" i="51"/>
  <c r="CI95" i="51"/>
  <c r="CH95" i="51"/>
  <c r="CG95" i="51"/>
  <c r="CF95" i="51"/>
  <c r="CC95" i="51"/>
  <c r="CB95" i="51"/>
  <c r="CA95" i="51"/>
  <c r="BZ95" i="51"/>
  <c r="BY95" i="51"/>
  <c r="BX95" i="51"/>
  <c r="BW95" i="51"/>
  <c r="BV95" i="51"/>
  <c r="BS95" i="51"/>
  <c r="BR95" i="51"/>
  <c r="BQ95" i="51"/>
  <c r="BP95" i="51"/>
  <c r="BO95" i="51"/>
  <c r="BN95" i="51"/>
  <c r="BM95" i="51"/>
  <c r="BL95" i="51"/>
  <c r="BI95" i="51"/>
  <c r="BH95" i="51"/>
  <c r="BG95" i="51"/>
  <c r="BF95" i="51"/>
  <c r="BE95" i="51"/>
  <c r="BD95" i="51"/>
  <c r="BC95" i="51"/>
  <c r="BB95" i="51"/>
  <c r="AY95" i="51"/>
  <c r="AX95" i="51"/>
  <c r="AW95" i="51"/>
  <c r="AV95" i="51"/>
  <c r="AU95" i="51"/>
  <c r="AT95" i="51"/>
  <c r="AS95" i="51"/>
  <c r="AR95" i="51"/>
  <c r="AO95" i="51"/>
  <c r="AN95" i="51"/>
  <c r="AM95" i="51"/>
  <c r="AL95" i="51"/>
  <c r="AK95" i="51"/>
  <c r="AJ95" i="51"/>
  <c r="AI95" i="51"/>
  <c r="AH95" i="51"/>
  <c r="AE95" i="51"/>
  <c r="AD95" i="51"/>
  <c r="AC95" i="51"/>
  <c r="AB95" i="51"/>
  <c r="AA95" i="51"/>
  <c r="Z95" i="51"/>
  <c r="Y95" i="51"/>
  <c r="X95" i="51"/>
  <c r="U95" i="51"/>
  <c r="T95" i="51"/>
  <c r="S95" i="51"/>
  <c r="R95" i="51"/>
  <c r="Q95" i="51"/>
  <c r="P95" i="51"/>
  <c r="O95" i="51"/>
  <c r="N95" i="51"/>
  <c r="CM83" i="51"/>
  <c r="CL83" i="51"/>
  <c r="CK83" i="51"/>
  <c r="CJ83" i="51"/>
  <c r="CI83" i="51"/>
  <c r="CH83" i="51"/>
  <c r="CG83" i="51"/>
  <c r="CF83" i="51"/>
  <c r="CC83" i="51"/>
  <c r="CB83" i="51"/>
  <c r="CA83" i="51"/>
  <c r="BZ83" i="51"/>
  <c r="BY83" i="51"/>
  <c r="BX83" i="51"/>
  <c r="BW83" i="51"/>
  <c r="BV83" i="51"/>
  <c r="BS83" i="51"/>
  <c r="BR83" i="51"/>
  <c r="BQ83" i="51"/>
  <c r="BP83" i="51"/>
  <c r="BO83" i="51"/>
  <c r="BN83" i="51"/>
  <c r="BM83" i="51"/>
  <c r="BL83" i="51"/>
  <c r="BI83" i="51"/>
  <c r="BH83" i="51"/>
  <c r="BG83" i="51"/>
  <c r="BF83" i="51"/>
  <c r="BE83" i="51"/>
  <c r="BD83" i="51"/>
  <c r="BC83" i="51"/>
  <c r="BB83" i="51"/>
  <c r="AY83" i="51"/>
  <c r="AX83" i="51"/>
  <c r="AW83" i="51"/>
  <c r="AV83" i="51"/>
  <c r="AU83" i="51"/>
  <c r="AT83" i="51"/>
  <c r="AS83" i="51"/>
  <c r="AR83" i="51"/>
  <c r="AO83" i="51"/>
  <c r="AN83" i="51"/>
  <c r="AM83" i="51"/>
  <c r="AL83" i="51"/>
  <c r="AK83" i="51"/>
  <c r="AJ83" i="51"/>
  <c r="AI83" i="51"/>
  <c r="AH83" i="51"/>
  <c r="AE83" i="51"/>
  <c r="AD83" i="51"/>
  <c r="AC83" i="51"/>
  <c r="AB83" i="51"/>
  <c r="AA83" i="51"/>
  <c r="Z83" i="51"/>
  <c r="Y83" i="51"/>
  <c r="X83" i="51"/>
  <c r="U83" i="51"/>
  <c r="T83" i="51"/>
  <c r="S83" i="51"/>
  <c r="R83" i="51"/>
  <c r="Q83" i="51"/>
  <c r="P83" i="51"/>
  <c r="O83" i="51"/>
  <c r="N83" i="51"/>
  <c r="K83" i="51"/>
  <c r="J83" i="51"/>
  <c r="I83" i="51"/>
  <c r="H83" i="51"/>
  <c r="G83" i="51"/>
  <c r="F83" i="51"/>
  <c r="E83" i="51"/>
  <c r="D83" i="51"/>
  <c r="B83" i="51"/>
  <c r="CM82" i="51"/>
  <c r="CL82" i="51"/>
  <c r="CK82" i="51"/>
  <c r="CJ82" i="51"/>
  <c r="CI82" i="51"/>
  <c r="CH82" i="51"/>
  <c r="CG82" i="51"/>
  <c r="CF82" i="51"/>
  <c r="CC82" i="51"/>
  <c r="CB82" i="51"/>
  <c r="CA82" i="51"/>
  <c r="BZ82" i="51"/>
  <c r="BY82" i="51"/>
  <c r="BX82" i="51"/>
  <c r="BW82" i="51"/>
  <c r="BV82" i="51"/>
  <c r="BS82" i="51"/>
  <c r="BR82" i="51"/>
  <c r="BQ82" i="51"/>
  <c r="BP82" i="51"/>
  <c r="BO82" i="51"/>
  <c r="BN82" i="51"/>
  <c r="BM82" i="51"/>
  <c r="BL82" i="51"/>
  <c r="BI82" i="51"/>
  <c r="BH82" i="51"/>
  <c r="BG82" i="51"/>
  <c r="BF82" i="51"/>
  <c r="BE82" i="51"/>
  <c r="BD82" i="51"/>
  <c r="BC82" i="51"/>
  <c r="BB82" i="51"/>
  <c r="AY82" i="51"/>
  <c r="AX82" i="51"/>
  <c r="AW82" i="51"/>
  <c r="AV82" i="51"/>
  <c r="AU82" i="51"/>
  <c r="AT82" i="51"/>
  <c r="AS82" i="51"/>
  <c r="AR82" i="51"/>
  <c r="AO82" i="51"/>
  <c r="AN82" i="51"/>
  <c r="AM82" i="51"/>
  <c r="AL82" i="51"/>
  <c r="AK82" i="51"/>
  <c r="AJ82" i="51"/>
  <c r="AI82" i="51"/>
  <c r="AH82" i="51"/>
  <c r="AE82" i="51"/>
  <c r="AD82" i="51"/>
  <c r="AC82" i="51"/>
  <c r="AB82" i="51"/>
  <c r="AA82" i="51"/>
  <c r="Z82" i="51"/>
  <c r="Y82" i="51"/>
  <c r="X82" i="51"/>
  <c r="U82" i="51"/>
  <c r="T82" i="51"/>
  <c r="S82" i="51"/>
  <c r="R82" i="51"/>
  <c r="Q82" i="51"/>
  <c r="P82" i="51"/>
  <c r="O82" i="51"/>
  <c r="N82" i="51"/>
  <c r="K82" i="51"/>
  <c r="J82" i="51"/>
  <c r="I82" i="51"/>
  <c r="H82" i="51"/>
  <c r="G82" i="51"/>
  <c r="F82" i="51"/>
  <c r="E82" i="51"/>
  <c r="D82" i="51"/>
  <c r="B82" i="51"/>
  <c r="CM81" i="51"/>
  <c r="CL81" i="51"/>
  <c r="CK81" i="51"/>
  <c r="CJ81" i="51"/>
  <c r="CI81" i="51"/>
  <c r="CH81" i="51"/>
  <c r="CG81" i="51"/>
  <c r="CF81" i="51"/>
  <c r="CC81" i="51"/>
  <c r="CB81" i="51"/>
  <c r="CA81" i="51"/>
  <c r="BZ81" i="51"/>
  <c r="BY81" i="51"/>
  <c r="BX81" i="51"/>
  <c r="BW81" i="51"/>
  <c r="BV81" i="51"/>
  <c r="BS81" i="51"/>
  <c r="BR81" i="51"/>
  <c r="BQ81" i="51"/>
  <c r="BP81" i="51"/>
  <c r="BO81" i="51"/>
  <c r="BN81" i="51"/>
  <c r="BM81" i="51"/>
  <c r="BL81" i="51"/>
  <c r="BI81" i="51"/>
  <c r="BH81" i="51"/>
  <c r="BG81" i="51"/>
  <c r="BF81" i="51"/>
  <c r="BE81" i="51"/>
  <c r="BD81" i="51"/>
  <c r="BC81" i="51"/>
  <c r="BB81" i="51"/>
  <c r="AY81" i="51"/>
  <c r="AX81" i="51"/>
  <c r="AW81" i="51"/>
  <c r="AV81" i="51"/>
  <c r="AU81" i="51"/>
  <c r="AT81" i="51"/>
  <c r="AS81" i="51"/>
  <c r="AR81" i="51"/>
  <c r="AO81" i="51"/>
  <c r="AN81" i="51"/>
  <c r="AM81" i="51"/>
  <c r="AL81" i="51"/>
  <c r="AK81" i="51"/>
  <c r="AJ81" i="51"/>
  <c r="AI81" i="51"/>
  <c r="AH81" i="51"/>
  <c r="AE81" i="51"/>
  <c r="AD81" i="51"/>
  <c r="AC81" i="51"/>
  <c r="AB81" i="51"/>
  <c r="AA81" i="51"/>
  <c r="Z81" i="51"/>
  <c r="Y81" i="51"/>
  <c r="X81" i="51"/>
  <c r="U81" i="51"/>
  <c r="T81" i="51"/>
  <c r="S81" i="51"/>
  <c r="R81" i="51"/>
  <c r="Q81" i="51"/>
  <c r="P81" i="51"/>
  <c r="O81" i="51"/>
  <c r="N81" i="51"/>
  <c r="K81" i="51"/>
  <c r="J81" i="51"/>
  <c r="I81" i="51"/>
  <c r="H81" i="51"/>
  <c r="G81" i="51"/>
  <c r="F81" i="51"/>
  <c r="E81" i="51"/>
  <c r="D81" i="51"/>
  <c r="B81" i="51"/>
  <c r="CM80" i="51"/>
  <c r="CL80" i="51"/>
  <c r="CK80" i="51"/>
  <c r="CJ80" i="51"/>
  <c r="CI80" i="51"/>
  <c r="CH80" i="51"/>
  <c r="CG80" i="51"/>
  <c r="CF80" i="51"/>
  <c r="CC80" i="51"/>
  <c r="CB80" i="51"/>
  <c r="CA80" i="51"/>
  <c r="BZ80" i="51"/>
  <c r="BY80" i="51"/>
  <c r="BX80" i="51"/>
  <c r="BW80" i="51"/>
  <c r="BV80" i="51"/>
  <c r="BS80" i="51"/>
  <c r="BR80" i="51"/>
  <c r="BQ80" i="51"/>
  <c r="BP80" i="51"/>
  <c r="BO80" i="51"/>
  <c r="BN80" i="51"/>
  <c r="BM80" i="51"/>
  <c r="BL80" i="51"/>
  <c r="BI80" i="51"/>
  <c r="BH80" i="51"/>
  <c r="BG80" i="51"/>
  <c r="BF80" i="51"/>
  <c r="BE80" i="51"/>
  <c r="BD80" i="51"/>
  <c r="BC80" i="51"/>
  <c r="BB80" i="51"/>
  <c r="AY80" i="51"/>
  <c r="AX80" i="51"/>
  <c r="AW80" i="51"/>
  <c r="AV80" i="51"/>
  <c r="AU80" i="51"/>
  <c r="AT80" i="51"/>
  <c r="AS80" i="51"/>
  <c r="AR80" i="51"/>
  <c r="AO80" i="51"/>
  <c r="AN80" i="51"/>
  <c r="AM80" i="51"/>
  <c r="AL80" i="51"/>
  <c r="AK80" i="51"/>
  <c r="AJ80" i="51"/>
  <c r="AI80" i="51"/>
  <c r="AH80" i="51"/>
  <c r="AE80" i="51"/>
  <c r="AD80" i="51"/>
  <c r="AC80" i="51"/>
  <c r="AB80" i="51"/>
  <c r="AA80" i="51"/>
  <c r="Z80" i="51"/>
  <c r="Y80" i="51"/>
  <c r="X80" i="51"/>
  <c r="U80" i="51"/>
  <c r="T80" i="51"/>
  <c r="S80" i="51"/>
  <c r="R80" i="51"/>
  <c r="Q80" i="51"/>
  <c r="P80" i="51"/>
  <c r="O80" i="51"/>
  <c r="N80" i="51"/>
  <c r="K80" i="51"/>
  <c r="J80" i="51"/>
  <c r="I80" i="51"/>
  <c r="H80" i="51"/>
  <c r="G80" i="51"/>
  <c r="F80" i="51"/>
  <c r="E80" i="51"/>
  <c r="D80" i="51"/>
  <c r="B80" i="51"/>
  <c r="CM79" i="51"/>
  <c r="CL79" i="51"/>
  <c r="CK79" i="51"/>
  <c r="CJ79" i="51"/>
  <c r="CI79" i="51"/>
  <c r="CH79" i="51"/>
  <c r="CG79" i="51"/>
  <c r="CF79" i="51"/>
  <c r="CC79" i="51"/>
  <c r="CB79" i="51"/>
  <c r="CA79" i="51"/>
  <c r="BZ79" i="51"/>
  <c r="BY79" i="51"/>
  <c r="BX79" i="51"/>
  <c r="BW79" i="51"/>
  <c r="BV79" i="51"/>
  <c r="BS79" i="51"/>
  <c r="BR79" i="51"/>
  <c r="BQ79" i="51"/>
  <c r="BP79" i="51"/>
  <c r="BO79" i="51"/>
  <c r="BN79" i="51"/>
  <c r="BM79" i="51"/>
  <c r="BL79" i="51"/>
  <c r="BI79" i="51"/>
  <c r="BH79" i="51"/>
  <c r="BG79" i="51"/>
  <c r="BF79" i="51"/>
  <c r="BE79" i="51"/>
  <c r="BD79" i="51"/>
  <c r="BC79" i="51"/>
  <c r="BB79" i="51"/>
  <c r="AY79" i="51"/>
  <c r="AX79" i="51"/>
  <c r="AW79" i="51"/>
  <c r="AV79" i="51"/>
  <c r="AU79" i="51"/>
  <c r="AT79" i="51"/>
  <c r="AS79" i="51"/>
  <c r="AR79" i="51"/>
  <c r="AO79" i="51"/>
  <c r="AN79" i="51"/>
  <c r="AM79" i="51"/>
  <c r="AL79" i="51"/>
  <c r="AK79" i="51"/>
  <c r="AJ79" i="51"/>
  <c r="AI79" i="51"/>
  <c r="AH79" i="51"/>
  <c r="AE79" i="51"/>
  <c r="AD79" i="51"/>
  <c r="AC79" i="51"/>
  <c r="AB79" i="51"/>
  <c r="AA79" i="51"/>
  <c r="Z79" i="51"/>
  <c r="Y79" i="51"/>
  <c r="X79" i="51"/>
  <c r="U79" i="51"/>
  <c r="T79" i="51"/>
  <c r="S79" i="51"/>
  <c r="R79" i="51"/>
  <c r="Q79" i="51"/>
  <c r="P79" i="51"/>
  <c r="O79" i="51"/>
  <c r="N79" i="51"/>
  <c r="K79" i="51"/>
  <c r="J79" i="51"/>
  <c r="I79" i="51"/>
  <c r="H79" i="51"/>
  <c r="G79" i="51"/>
  <c r="F79" i="51"/>
  <c r="E79" i="51"/>
  <c r="D79" i="51"/>
  <c r="B79" i="51"/>
  <c r="CM78" i="51"/>
  <c r="CL78" i="51"/>
  <c r="CK78" i="51"/>
  <c r="CJ78" i="51"/>
  <c r="CI78" i="51"/>
  <c r="CH78" i="51"/>
  <c r="CG78" i="51"/>
  <c r="CF78" i="51"/>
  <c r="CC78" i="51"/>
  <c r="CB78" i="51"/>
  <c r="CA78" i="51"/>
  <c r="BZ78" i="51"/>
  <c r="BY78" i="51"/>
  <c r="BX78" i="51"/>
  <c r="BW78" i="51"/>
  <c r="BV78" i="51"/>
  <c r="BS78" i="51"/>
  <c r="BR78" i="51"/>
  <c r="BQ78" i="51"/>
  <c r="BP78" i="51"/>
  <c r="BO78" i="51"/>
  <c r="BN78" i="51"/>
  <c r="BM78" i="51"/>
  <c r="BL78" i="51"/>
  <c r="BI78" i="51"/>
  <c r="BH78" i="51"/>
  <c r="BG78" i="51"/>
  <c r="BF78" i="51"/>
  <c r="BE78" i="51"/>
  <c r="BD78" i="51"/>
  <c r="BC78" i="51"/>
  <c r="BB78" i="51"/>
  <c r="AY78" i="51"/>
  <c r="AX78" i="51"/>
  <c r="AW78" i="51"/>
  <c r="AV78" i="51"/>
  <c r="AU78" i="51"/>
  <c r="AT78" i="51"/>
  <c r="AS78" i="51"/>
  <c r="AR78" i="51"/>
  <c r="AO78" i="51"/>
  <c r="AN78" i="51"/>
  <c r="AM78" i="51"/>
  <c r="AL78" i="51"/>
  <c r="AK78" i="51"/>
  <c r="AJ78" i="51"/>
  <c r="AI78" i="51"/>
  <c r="AH78" i="51"/>
  <c r="AE78" i="51"/>
  <c r="AD78" i="51"/>
  <c r="AC78" i="51"/>
  <c r="AB78" i="51"/>
  <c r="AA78" i="51"/>
  <c r="Z78" i="51"/>
  <c r="Y78" i="51"/>
  <c r="X78" i="51"/>
  <c r="U78" i="51"/>
  <c r="T78" i="51"/>
  <c r="S78" i="51"/>
  <c r="R78" i="51"/>
  <c r="Q78" i="51"/>
  <c r="P78" i="51"/>
  <c r="O78" i="51"/>
  <c r="N78" i="51"/>
  <c r="K78" i="51"/>
  <c r="J78" i="51"/>
  <c r="I78" i="51"/>
  <c r="H78" i="51"/>
  <c r="G78" i="51"/>
  <c r="F78" i="51"/>
  <c r="E78" i="51"/>
  <c r="D78" i="51"/>
  <c r="B78" i="51"/>
  <c r="CM77" i="51"/>
  <c r="CL77" i="51"/>
  <c r="CK77" i="51"/>
  <c r="CJ77" i="51"/>
  <c r="CI77" i="51"/>
  <c r="CH77" i="51"/>
  <c r="CG77" i="51"/>
  <c r="CF77" i="51"/>
  <c r="CC77" i="51"/>
  <c r="CB77" i="51"/>
  <c r="CA77" i="51"/>
  <c r="BZ77" i="51"/>
  <c r="BY77" i="51"/>
  <c r="BX77" i="51"/>
  <c r="BW77" i="51"/>
  <c r="BV77" i="51"/>
  <c r="BS77" i="51"/>
  <c r="BR77" i="51"/>
  <c r="BQ77" i="51"/>
  <c r="BP77" i="51"/>
  <c r="BO77" i="51"/>
  <c r="BN77" i="51"/>
  <c r="BM77" i="51"/>
  <c r="BL77" i="51"/>
  <c r="BI77" i="51"/>
  <c r="BH77" i="51"/>
  <c r="BG77" i="51"/>
  <c r="BF77" i="51"/>
  <c r="BE77" i="51"/>
  <c r="BD77" i="51"/>
  <c r="BC77" i="51"/>
  <c r="BB77" i="51"/>
  <c r="AY77" i="51"/>
  <c r="AX77" i="51"/>
  <c r="AW77" i="51"/>
  <c r="AV77" i="51"/>
  <c r="AU77" i="51"/>
  <c r="AT77" i="51"/>
  <c r="AS77" i="51"/>
  <c r="AR77" i="51"/>
  <c r="AO77" i="51"/>
  <c r="AN77" i="51"/>
  <c r="AM77" i="51"/>
  <c r="AL77" i="51"/>
  <c r="AK77" i="51"/>
  <c r="AJ77" i="51"/>
  <c r="AI77" i="51"/>
  <c r="AH77" i="51"/>
  <c r="AE77" i="51"/>
  <c r="AD77" i="51"/>
  <c r="AC77" i="51"/>
  <c r="AB77" i="51"/>
  <c r="AA77" i="51"/>
  <c r="Z77" i="51"/>
  <c r="Y77" i="51"/>
  <c r="X77" i="51"/>
  <c r="U77" i="51"/>
  <c r="T77" i="51"/>
  <c r="S77" i="51"/>
  <c r="R77" i="51"/>
  <c r="Q77" i="51"/>
  <c r="P77" i="51"/>
  <c r="O77" i="51"/>
  <c r="N77" i="51"/>
  <c r="K77" i="51"/>
  <c r="J77" i="51"/>
  <c r="I77" i="51"/>
  <c r="H77" i="51"/>
  <c r="G77" i="51"/>
  <c r="F77" i="51"/>
  <c r="E77" i="51"/>
  <c r="D77" i="51"/>
  <c r="B77" i="51"/>
  <c r="CM76" i="51"/>
  <c r="CL76" i="51"/>
  <c r="CK76" i="51"/>
  <c r="CJ76" i="51"/>
  <c r="CI76" i="51"/>
  <c r="CH76" i="51"/>
  <c r="CG76" i="51"/>
  <c r="CF76" i="51"/>
  <c r="CC76" i="51"/>
  <c r="CB76" i="51"/>
  <c r="CA76" i="51"/>
  <c r="BZ76" i="51"/>
  <c r="BY76" i="51"/>
  <c r="BX76" i="51"/>
  <c r="BW76" i="51"/>
  <c r="BV76" i="51"/>
  <c r="BS76" i="51"/>
  <c r="BR76" i="51"/>
  <c r="BQ76" i="51"/>
  <c r="BP76" i="51"/>
  <c r="BO76" i="51"/>
  <c r="BN76" i="51"/>
  <c r="BM76" i="51"/>
  <c r="BL76" i="51"/>
  <c r="BI76" i="51"/>
  <c r="BH76" i="51"/>
  <c r="BG76" i="51"/>
  <c r="BF76" i="51"/>
  <c r="BE76" i="51"/>
  <c r="BD76" i="51"/>
  <c r="BC76" i="51"/>
  <c r="BB76" i="51"/>
  <c r="AY76" i="51"/>
  <c r="AX76" i="51"/>
  <c r="AW76" i="51"/>
  <c r="AV76" i="51"/>
  <c r="AU76" i="51"/>
  <c r="AT76" i="51"/>
  <c r="AS76" i="51"/>
  <c r="AR76" i="51"/>
  <c r="AO76" i="51"/>
  <c r="AN76" i="51"/>
  <c r="AM76" i="51"/>
  <c r="AL76" i="51"/>
  <c r="AK76" i="51"/>
  <c r="AJ76" i="51"/>
  <c r="AI76" i="51"/>
  <c r="AH76" i="51"/>
  <c r="AE76" i="51"/>
  <c r="AD76" i="51"/>
  <c r="AC76" i="51"/>
  <c r="AB76" i="51"/>
  <c r="AA76" i="51"/>
  <c r="Z76" i="51"/>
  <c r="Y76" i="51"/>
  <c r="X76" i="51"/>
  <c r="U76" i="51"/>
  <c r="T76" i="51"/>
  <c r="S76" i="51"/>
  <c r="R76" i="51"/>
  <c r="Q76" i="51"/>
  <c r="P76" i="51"/>
  <c r="O76" i="51"/>
  <c r="N76" i="51"/>
  <c r="K76" i="51"/>
  <c r="J76" i="51"/>
  <c r="I76" i="51"/>
  <c r="H76" i="51"/>
  <c r="G76" i="51"/>
  <c r="F76" i="51"/>
  <c r="E76" i="51"/>
  <c r="D76" i="51"/>
  <c r="B76" i="51"/>
  <c r="CM75" i="51"/>
  <c r="CL75" i="51"/>
  <c r="CK75" i="51"/>
  <c r="CJ75" i="51"/>
  <c r="CI75" i="51"/>
  <c r="CH75" i="51"/>
  <c r="CG75" i="51"/>
  <c r="CF75" i="51"/>
  <c r="CC75" i="51"/>
  <c r="CB75" i="51"/>
  <c r="CA75" i="51"/>
  <c r="BZ75" i="51"/>
  <c r="BY75" i="51"/>
  <c r="BX75" i="51"/>
  <c r="BW75" i="51"/>
  <c r="BV75" i="51"/>
  <c r="BS75" i="51"/>
  <c r="BR75" i="51"/>
  <c r="BQ75" i="51"/>
  <c r="BP75" i="51"/>
  <c r="BO75" i="51"/>
  <c r="BN75" i="51"/>
  <c r="BM75" i="51"/>
  <c r="BL75" i="51"/>
  <c r="BI75" i="51"/>
  <c r="BH75" i="51"/>
  <c r="BG75" i="51"/>
  <c r="BF75" i="51"/>
  <c r="BE75" i="51"/>
  <c r="BD75" i="51"/>
  <c r="BC75" i="51"/>
  <c r="BB75" i="51"/>
  <c r="AY75" i="51"/>
  <c r="AX75" i="51"/>
  <c r="AW75" i="51"/>
  <c r="AV75" i="51"/>
  <c r="AU75" i="51"/>
  <c r="AT75" i="51"/>
  <c r="AS75" i="51"/>
  <c r="AR75" i="51"/>
  <c r="AO75" i="51"/>
  <c r="AN75" i="51"/>
  <c r="AM75" i="51"/>
  <c r="AL75" i="51"/>
  <c r="AK75" i="51"/>
  <c r="AJ75" i="51"/>
  <c r="AI75" i="51"/>
  <c r="AH75" i="51"/>
  <c r="AE75" i="51"/>
  <c r="AD75" i="51"/>
  <c r="AC75" i="51"/>
  <c r="AB75" i="51"/>
  <c r="AA75" i="51"/>
  <c r="Z75" i="51"/>
  <c r="Y75" i="51"/>
  <c r="X75" i="51"/>
  <c r="U75" i="51"/>
  <c r="T75" i="51"/>
  <c r="S75" i="51"/>
  <c r="R75" i="51"/>
  <c r="Q75" i="51"/>
  <c r="P75" i="51"/>
  <c r="O75" i="51"/>
  <c r="N75" i="51"/>
  <c r="K75" i="51"/>
  <c r="J75" i="51"/>
  <c r="I75" i="51"/>
  <c r="H75" i="51"/>
  <c r="G75" i="51"/>
  <c r="F75" i="51"/>
  <c r="E75" i="51"/>
  <c r="D75" i="51"/>
  <c r="B75" i="51"/>
  <c r="CM74" i="51"/>
  <c r="CL74" i="51"/>
  <c r="CK74" i="51"/>
  <c r="CJ74" i="51"/>
  <c r="CI74" i="51"/>
  <c r="CH74" i="51"/>
  <c r="CG74" i="51"/>
  <c r="CF74" i="51"/>
  <c r="CC74" i="51"/>
  <c r="CB74" i="51"/>
  <c r="CA74" i="51"/>
  <c r="BZ74" i="51"/>
  <c r="BY74" i="51"/>
  <c r="BX74" i="51"/>
  <c r="BW74" i="51"/>
  <c r="BV74" i="51"/>
  <c r="BS74" i="51"/>
  <c r="BR74" i="51"/>
  <c r="BQ74" i="51"/>
  <c r="BP74" i="51"/>
  <c r="BO74" i="51"/>
  <c r="BN74" i="51"/>
  <c r="BM74" i="51"/>
  <c r="BL74" i="51"/>
  <c r="BI74" i="51"/>
  <c r="BH74" i="51"/>
  <c r="BG74" i="51"/>
  <c r="BF74" i="51"/>
  <c r="BE74" i="51"/>
  <c r="BD74" i="51"/>
  <c r="BC74" i="51"/>
  <c r="BB74" i="51"/>
  <c r="AY74" i="51"/>
  <c r="AX74" i="51"/>
  <c r="AW74" i="51"/>
  <c r="AV74" i="51"/>
  <c r="AU74" i="51"/>
  <c r="AT74" i="51"/>
  <c r="AS74" i="51"/>
  <c r="AR74" i="51"/>
  <c r="AO74" i="51"/>
  <c r="AN74" i="51"/>
  <c r="AM74" i="51"/>
  <c r="AL74" i="51"/>
  <c r="AK74" i="51"/>
  <c r="AJ74" i="51"/>
  <c r="AI74" i="51"/>
  <c r="AH74" i="51"/>
  <c r="AE74" i="51"/>
  <c r="AD74" i="51"/>
  <c r="AC74" i="51"/>
  <c r="AB74" i="51"/>
  <c r="AA74" i="51"/>
  <c r="Z74" i="51"/>
  <c r="Y74" i="51"/>
  <c r="X74" i="51"/>
  <c r="U74" i="51"/>
  <c r="T74" i="51"/>
  <c r="S74" i="51"/>
  <c r="R74" i="51"/>
  <c r="Q74" i="51"/>
  <c r="P74" i="51"/>
  <c r="O74" i="51"/>
  <c r="N74" i="51"/>
  <c r="K74" i="51"/>
  <c r="J74" i="51"/>
  <c r="I74" i="51"/>
  <c r="H74" i="51"/>
  <c r="G74" i="51"/>
  <c r="F74" i="51"/>
  <c r="E74" i="51"/>
  <c r="D74" i="51"/>
  <c r="B74" i="51"/>
  <c r="CM73" i="51"/>
  <c r="CL73" i="51"/>
  <c r="CK73" i="51"/>
  <c r="CJ73" i="51"/>
  <c r="CI73" i="51"/>
  <c r="CH73" i="51"/>
  <c r="CG73" i="51"/>
  <c r="CF73" i="51"/>
  <c r="CC73" i="51"/>
  <c r="CB73" i="51"/>
  <c r="CA73" i="51"/>
  <c r="BZ73" i="51"/>
  <c r="BY73" i="51"/>
  <c r="BX73" i="51"/>
  <c r="BW73" i="51"/>
  <c r="BV73" i="51"/>
  <c r="BS73" i="51"/>
  <c r="BR73" i="51"/>
  <c r="BQ73" i="51"/>
  <c r="BP73" i="51"/>
  <c r="BO73" i="51"/>
  <c r="BN73" i="51"/>
  <c r="BM73" i="51"/>
  <c r="BL73" i="51"/>
  <c r="BI73" i="51"/>
  <c r="BH73" i="51"/>
  <c r="BG73" i="51"/>
  <c r="BF73" i="51"/>
  <c r="BE73" i="51"/>
  <c r="BD73" i="51"/>
  <c r="BC73" i="51"/>
  <c r="BB73" i="51"/>
  <c r="AY73" i="51"/>
  <c r="AX73" i="51"/>
  <c r="AW73" i="51"/>
  <c r="AV73" i="51"/>
  <c r="AU73" i="51"/>
  <c r="AT73" i="51"/>
  <c r="AS73" i="51"/>
  <c r="AR73" i="51"/>
  <c r="AO73" i="51"/>
  <c r="AN73" i="51"/>
  <c r="AM73" i="51"/>
  <c r="AL73" i="51"/>
  <c r="AK73" i="51"/>
  <c r="AJ73" i="51"/>
  <c r="AI73" i="51"/>
  <c r="AH73" i="51"/>
  <c r="AE73" i="51"/>
  <c r="AD73" i="51"/>
  <c r="AC73" i="51"/>
  <c r="AB73" i="51"/>
  <c r="AA73" i="51"/>
  <c r="Z73" i="51"/>
  <c r="Y73" i="51"/>
  <c r="X73" i="51"/>
  <c r="U73" i="51"/>
  <c r="T73" i="51"/>
  <c r="S73" i="51"/>
  <c r="R73" i="51"/>
  <c r="Q73" i="51"/>
  <c r="P73" i="51"/>
  <c r="O73" i="51"/>
  <c r="N73" i="51"/>
  <c r="K73" i="51"/>
  <c r="J73" i="51"/>
  <c r="I73" i="51"/>
  <c r="H73" i="51"/>
  <c r="G73" i="51"/>
  <c r="F73" i="51"/>
  <c r="E73" i="51"/>
  <c r="D73" i="51"/>
  <c r="B73" i="51"/>
  <c r="CM72" i="51"/>
  <c r="CL72" i="51"/>
  <c r="CK72" i="51"/>
  <c r="CJ72" i="51"/>
  <c r="CI72" i="51"/>
  <c r="CH72" i="51"/>
  <c r="CG72" i="51"/>
  <c r="CF72" i="51"/>
  <c r="CC72" i="51"/>
  <c r="CB72" i="51"/>
  <c r="CA72" i="51"/>
  <c r="BZ72" i="51"/>
  <c r="BY72" i="51"/>
  <c r="BX72" i="51"/>
  <c r="BW72" i="51"/>
  <c r="BV72" i="51"/>
  <c r="BS72" i="51"/>
  <c r="BR72" i="51"/>
  <c r="BQ72" i="51"/>
  <c r="BP72" i="51"/>
  <c r="BO72" i="51"/>
  <c r="BN72" i="51"/>
  <c r="BM72" i="51"/>
  <c r="BL72" i="51"/>
  <c r="BI72" i="51"/>
  <c r="BH72" i="51"/>
  <c r="BG72" i="51"/>
  <c r="BF72" i="51"/>
  <c r="BE72" i="51"/>
  <c r="BD72" i="51"/>
  <c r="BC72" i="51"/>
  <c r="BB72" i="51"/>
  <c r="AY72" i="51"/>
  <c r="AX72" i="51"/>
  <c r="AW72" i="51"/>
  <c r="AV72" i="51"/>
  <c r="AU72" i="51"/>
  <c r="AT72" i="51"/>
  <c r="AS72" i="51"/>
  <c r="AR72" i="51"/>
  <c r="AO72" i="51"/>
  <c r="AN72" i="51"/>
  <c r="AM72" i="51"/>
  <c r="AL72" i="51"/>
  <c r="AK72" i="51"/>
  <c r="AJ72" i="51"/>
  <c r="AI72" i="51"/>
  <c r="AH72" i="51"/>
  <c r="AE72" i="51"/>
  <c r="AD72" i="51"/>
  <c r="AC72" i="51"/>
  <c r="AB72" i="51"/>
  <c r="AA72" i="51"/>
  <c r="Z72" i="51"/>
  <c r="Y72" i="51"/>
  <c r="X72" i="51"/>
  <c r="U72" i="51"/>
  <c r="T72" i="51"/>
  <c r="S72" i="51"/>
  <c r="R72" i="51"/>
  <c r="Q72" i="51"/>
  <c r="P72" i="51"/>
  <c r="O72" i="51"/>
  <c r="N72" i="51"/>
  <c r="K72" i="51"/>
  <c r="J72" i="51"/>
  <c r="I72" i="51"/>
  <c r="H72" i="51"/>
  <c r="G72" i="51"/>
  <c r="F72" i="51"/>
  <c r="E72" i="51"/>
  <c r="D72" i="51"/>
  <c r="B72" i="51"/>
  <c r="CM71" i="51"/>
  <c r="CL71" i="51"/>
  <c r="CK71" i="51"/>
  <c r="CJ71" i="51"/>
  <c r="CI71" i="51"/>
  <c r="CH71" i="51"/>
  <c r="CG71" i="51"/>
  <c r="CF71" i="51"/>
  <c r="CC71" i="51"/>
  <c r="CB71" i="51"/>
  <c r="CA71" i="51"/>
  <c r="BZ71" i="51"/>
  <c r="BY71" i="51"/>
  <c r="BX71" i="51"/>
  <c r="BW71" i="51"/>
  <c r="BV71" i="51"/>
  <c r="BS71" i="51"/>
  <c r="BR71" i="51"/>
  <c r="BQ71" i="51"/>
  <c r="BP71" i="51"/>
  <c r="BO71" i="51"/>
  <c r="BN71" i="51"/>
  <c r="BM71" i="51"/>
  <c r="BL71" i="51"/>
  <c r="BI71" i="51"/>
  <c r="BH71" i="51"/>
  <c r="BG71" i="51"/>
  <c r="BF71" i="51"/>
  <c r="BE71" i="51"/>
  <c r="BD71" i="51"/>
  <c r="BC71" i="51"/>
  <c r="BB71" i="51"/>
  <c r="AY71" i="51"/>
  <c r="AX71" i="51"/>
  <c r="AW71" i="51"/>
  <c r="AV71" i="51"/>
  <c r="AU71" i="51"/>
  <c r="AT71" i="51"/>
  <c r="AS71" i="51"/>
  <c r="AR71" i="51"/>
  <c r="AO71" i="51"/>
  <c r="AN71" i="51"/>
  <c r="AM71" i="51"/>
  <c r="AL71" i="51"/>
  <c r="AK71" i="51"/>
  <c r="AJ71" i="51"/>
  <c r="AI71" i="51"/>
  <c r="AH71" i="51"/>
  <c r="AE71" i="51"/>
  <c r="AD71" i="51"/>
  <c r="AC71" i="51"/>
  <c r="AB71" i="51"/>
  <c r="AA71" i="51"/>
  <c r="Z71" i="51"/>
  <c r="Y71" i="51"/>
  <c r="X71" i="51"/>
  <c r="U71" i="51"/>
  <c r="T71" i="51"/>
  <c r="S71" i="51"/>
  <c r="R71" i="51"/>
  <c r="Q71" i="51"/>
  <c r="P71" i="51"/>
  <c r="O71" i="51"/>
  <c r="N71" i="51"/>
  <c r="K71" i="51"/>
  <c r="J71" i="51"/>
  <c r="I71" i="51"/>
  <c r="H71" i="51"/>
  <c r="G71" i="51"/>
  <c r="F71" i="51"/>
  <c r="E71" i="51"/>
  <c r="D71" i="51"/>
  <c r="B71" i="51"/>
  <c r="M55" i="51"/>
  <c r="AS44" i="51"/>
  <c r="AR44" i="51"/>
  <c r="AQ44" i="51"/>
  <c r="AP44" i="51"/>
  <c r="AO44" i="51"/>
  <c r="AN44" i="51"/>
  <c r="AM44" i="51"/>
  <c r="AL44" i="51"/>
  <c r="AS43" i="51"/>
  <c r="AR43" i="51"/>
  <c r="AQ43" i="51"/>
  <c r="AP43" i="51"/>
  <c r="AO43" i="51"/>
  <c r="AN43" i="51"/>
  <c r="AM43" i="51"/>
  <c r="AL43" i="51"/>
  <c r="AS42" i="51"/>
  <c r="AR42" i="51"/>
  <c r="AQ42" i="51"/>
  <c r="AP42" i="51"/>
  <c r="AO42" i="51"/>
  <c r="AN42" i="51"/>
  <c r="AM42" i="51"/>
  <c r="AL42" i="51"/>
  <c r="AS41" i="51"/>
  <c r="AR41" i="51"/>
  <c r="AQ41" i="51"/>
  <c r="AP41" i="51"/>
  <c r="AO41" i="51"/>
  <c r="AN41" i="51"/>
  <c r="AM41" i="51"/>
  <c r="AL41" i="51"/>
  <c r="P41" i="51"/>
  <c r="AS40" i="51"/>
  <c r="AR40" i="51"/>
  <c r="AQ40" i="51"/>
  <c r="AP40" i="51"/>
  <c r="AO40" i="51"/>
  <c r="AN40" i="51"/>
  <c r="AM40" i="51"/>
  <c r="AL40" i="51"/>
  <c r="X40" i="51"/>
  <c r="W40" i="51"/>
  <c r="V40" i="51"/>
  <c r="U40" i="51"/>
  <c r="T40" i="51"/>
  <c r="S40" i="51"/>
  <c r="R40" i="51"/>
  <c r="L40" i="51"/>
  <c r="K40" i="51"/>
  <c r="J40" i="51"/>
  <c r="I40" i="51"/>
  <c r="H40" i="51"/>
  <c r="G40" i="51"/>
  <c r="F40" i="51"/>
  <c r="E40" i="51"/>
  <c r="D40" i="51"/>
  <c r="AS39" i="51"/>
  <c r="AR39" i="51"/>
  <c r="AQ39" i="51"/>
  <c r="AP39" i="51"/>
  <c r="AO39" i="51"/>
  <c r="AN39" i="51"/>
  <c r="AM39" i="51"/>
  <c r="AL39" i="51"/>
  <c r="AH39" i="51"/>
  <c r="AG39" i="51"/>
  <c r="AF39" i="51"/>
  <c r="AE39" i="51"/>
  <c r="AD39" i="51"/>
  <c r="AC39" i="51"/>
  <c r="AB39" i="51"/>
  <c r="AA39" i="51"/>
  <c r="X39" i="51"/>
  <c r="W39" i="51"/>
  <c r="V39" i="51"/>
  <c r="U39" i="51"/>
  <c r="T39" i="51"/>
  <c r="S39" i="51"/>
  <c r="R39" i="51"/>
  <c r="L39" i="51"/>
  <c r="K39" i="51"/>
  <c r="J39" i="51"/>
  <c r="I39" i="51"/>
  <c r="H39" i="51"/>
  <c r="G39" i="51"/>
  <c r="F39" i="51"/>
  <c r="E39" i="51"/>
  <c r="D39" i="51"/>
  <c r="AS38" i="51"/>
  <c r="AR38" i="51"/>
  <c r="AQ38" i="51"/>
  <c r="AP38" i="51"/>
  <c r="AO38" i="51"/>
  <c r="AN38" i="51"/>
  <c r="AM38" i="51"/>
  <c r="AL38" i="51"/>
  <c r="AH38" i="51"/>
  <c r="AG38" i="51"/>
  <c r="AF38" i="51"/>
  <c r="AE38" i="51"/>
  <c r="AD38" i="51"/>
  <c r="AC38" i="51"/>
  <c r="AB38" i="51"/>
  <c r="AA38" i="51"/>
  <c r="X38" i="51"/>
  <c r="W38" i="51"/>
  <c r="V38" i="51"/>
  <c r="U38" i="51"/>
  <c r="T38" i="51"/>
  <c r="S38" i="51"/>
  <c r="R38" i="51"/>
  <c r="L38" i="51"/>
  <c r="K38" i="51"/>
  <c r="J38" i="51"/>
  <c r="I38" i="51"/>
  <c r="H38" i="51"/>
  <c r="G38" i="51"/>
  <c r="F38" i="51"/>
  <c r="E38" i="51"/>
  <c r="D38" i="51"/>
  <c r="AS37" i="51"/>
  <c r="AR37" i="51"/>
  <c r="AQ37" i="51"/>
  <c r="AP37" i="51"/>
  <c r="AO37" i="51"/>
  <c r="AN37" i="51"/>
  <c r="AM37" i="51"/>
  <c r="AL37" i="51"/>
  <c r="AH37" i="51"/>
  <c r="AG37" i="51"/>
  <c r="AF37" i="51"/>
  <c r="AE37" i="51"/>
  <c r="AD37" i="51"/>
  <c r="AC37" i="51"/>
  <c r="AB37" i="51"/>
  <c r="AA37" i="51"/>
  <c r="X37" i="51"/>
  <c r="W37" i="51"/>
  <c r="V37" i="51"/>
  <c r="U37" i="51"/>
  <c r="T37" i="51"/>
  <c r="S37" i="51"/>
  <c r="R37" i="51"/>
  <c r="L37" i="51"/>
  <c r="K37" i="51"/>
  <c r="J37" i="51"/>
  <c r="I37" i="51"/>
  <c r="H37" i="51"/>
  <c r="G37" i="51"/>
  <c r="F37" i="51"/>
  <c r="E37" i="51"/>
  <c r="D37" i="51"/>
  <c r="AH36" i="51"/>
  <c r="AG36" i="51"/>
  <c r="AF36" i="51"/>
  <c r="AE36" i="51"/>
  <c r="AD36" i="51"/>
  <c r="AC36" i="51"/>
  <c r="AB36" i="51"/>
  <c r="AA36" i="51"/>
  <c r="X36" i="51"/>
  <c r="W36" i="51"/>
  <c r="V36" i="51"/>
  <c r="U36" i="51"/>
  <c r="T36" i="51"/>
  <c r="S36" i="51"/>
  <c r="R36" i="51"/>
  <c r="AH35" i="51"/>
  <c r="AG35" i="51"/>
  <c r="AF35" i="51"/>
  <c r="AE35" i="51"/>
  <c r="AD35" i="51"/>
  <c r="AC35" i="51"/>
  <c r="AB35" i="51"/>
  <c r="AA35" i="51"/>
  <c r="X35" i="51"/>
  <c r="W35" i="51"/>
  <c r="V35" i="51"/>
  <c r="U35" i="51"/>
  <c r="T35" i="51"/>
  <c r="S35" i="51"/>
  <c r="R35" i="51"/>
  <c r="L35" i="51"/>
  <c r="J35" i="51"/>
  <c r="I35" i="51"/>
  <c r="H35" i="51"/>
  <c r="G35" i="51"/>
  <c r="F35" i="51"/>
  <c r="E35" i="51"/>
  <c r="AH34" i="51"/>
  <c r="AG34" i="51"/>
  <c r="AF34" i="51"/>
  <c r="AE34" i="51"/>
  <c r="AD34" i="51"/>
  <c r="AC34" i="51"/>
  <c r="AB34" i="51"/>
  <c r="AA34" i="51"/>
  <c r="X34" i="51"/>
  <c r="W34" i="51"/>
  <c r="V34" i="51"/>
  <c r="U34" i="51"/>
  <c r="T34" i="51"/>
  <c r="S34" i="51"/>
  <c r="R34" i="51"/>
  <c r="AH33" i="51"/>
  <c r="AG33" i="51"/>
  <c r="AF33" i="51"/>
  <c r="AE33" i="51"/>
  <c r="AD33" i="51"/>
  <c r="AC33" i="51"/>
  <c r="AB33" i="51"/>
  <c r="AA33" i="51"/>
  <c r="X33" i="51"/>
  <c r="W33" i="51"/>
  <c r="V33" i="51"/>
  <c r="U33" i="51"/>
  <c r="T33" i="51"/>
  <c r="S33" i="51"/>
  <c r="R33" i="51"/>
  <c r="AS29" i="51"/>
  <c r="AR29" i="51"/>
  <c r="AQ29" i="51"/>
  <c r="AP29" i="51"/>
  <c r="AO29" i="51"/>
  <c r="AN29" i="51"/>
  <c r="AM29" i="51"/>
  <c r="AL29" i="51"/>
  <c r="AS28" i="51"/>
  <c r="AR28" i="51"/>
  <c r="AQ28" i="51"/>
  <c r="AP28" i="51"/>
  <c r="AO28" i="51"/>
  <c r="AN28" i="51"/>
  <c r="AM28" i="51"/>
  <c r="AL28" i="51"/>
  <c r="AS27" i="51"/>
  <c r="AR27" i="51"/>
  <c r="AQ27" i="51"/>
  <c r="AP27" i="51"/>
  <c r="AO27" i="51"/>
  <c r="AN27" i="51"/>
  <c r="AM27" i="51"/>
  <c r="AL27" i="51"/>
  <c r="X27" i="51"/>
  <c r="W27" i="51"/>
  <c r="V27" i="51"/>
  <c r="U27" i="51"/>
  <c r="T27" i="51"/>
  <c r="S27" i="51"/>
  <c r="R27" i="51"/>
  <c r="Q27" i="51"/>
  <c r="P27" i="51"/>
  <c r="AS26" i="51"/>
  <c r="AR26" i="51"/>
  <c r="AQ26" i="51"/>
  <c r="AP26" i="51"/>
  <c r="AO26" i="51"/>
  <c r="AN26" i="51"/>
  <c r="AM26" i="51"/>
  <c r="AL26" i="51"/>
  <c r="AH26" i="51"/>
  <c r="AG26" i="51"/>
  <c r="AF26" i="51"/>
  <c r="AE26" i="51"/>
  <c r="AD26" i="51"/>
  <c r="AC26" i="51"/>
  <c r="AB26" i="51"/>
  <c r="AA26" i="51"/>
  <c r="Z26" i="51"/>
  <c r="X26" i="51"/>
  <c r="W26" i="51"/>
  <c r="V26" i="51"/>
  <c r="U26" i="51"/>
  <c r="T26" i="51"/>
  <c r="S26" i="51"/>
  <c r="R26" i="51"/>
  <c r="Q26" i="51"/>
  <c r="P26" i="51"/>
  <c r="AS25" i="51"/>
  <c r="AR25" i="51"/>
  <c r="AQ25" i="51"/>
  <c r="AP25" i="51"/>
  <c r="AO25" i="51"/>
  <c r="AN25" i="51"/>
  <c r="AM25" i="51"/>
  <c r="AL25" i="51"/>
  <c r="AH25" i="51"/>
  <c r="AG25" i="51"/>
  <c r="AF25" i="51"/>
  <c r="AE25" i="51"/>
  <c r="AD25" i="51"/>
  <c r="AC25" i="51"/>
  <c r="AB25" i="51"/>
  <c r="AA25" i="51"/>
  <c r="Z25" i="51"/>
  <c r="X25" i="51"/>
  <c r="W25" i="51"/>
  <c r="V25" i="51"/>
  <c r="U25" i="51"/>
  <c r="T25" i="51"/>
  <c r="S25" i="51"/>
  <c r="R25" i="51"/>
  <c r="Q25" i="51"/>
  <c r="P25" i="51"/>
  <c r="AS24" i="51"/>
  <c r="AR24" i="51"/>
  <c r="AQ24" i="51"/>
  <c r="AP24" i="51"/>
  <c r="AO24" i="51"/>
  <c r="AN24" i="51"/>
  <c r="AM24" i="51"/>
  <c r="AL24" i="51"/>
  <c r="AH24" i="51"/>
  <c r="AG24" i="51"/>
  <c r="AF24" i="51"/>
  <c r="AE24" i="51"/>
  <c r="AD24" i="51"/>
  <c r="AC24" i="51"/>
  <c r="AB24" i="51"/>
  <c r="AA24" i="51"/>
  <c r="Z24" i="51"/>
  <c r="X24" i="51"/>
  <c r="W24" i="51"/>
  <c r="V24" i="51"/>
  <c r="U24" i="51"/>
  <c r="T24" i="51"/>
  <c r="S24" i="51"/>
  <c r="R24" i="51"/>
  <c r="Q24" i="51"/>
  <c r="P24" i="51"/>
  <c r="AS23" i="51"/>
  <c r="AR23" i="51"/>
  <c r="AQ23" i="51"/>
  <c r="AP23" i="51"/>
  <c r="AO23" i="51"/>
  <c r="AN23" i="51"/>
  <c r="AM23" i="51"/>
  <c r="AL23" i="51"/>
  <c r="AH23" i="51"/>
  <c r="AG23" i="51"/>
  <c r="AF23" i="51"/>
  <c r="AE23" i="51"/>
  <c r="AD23" i="51"/>
  <c r="AC23" i="51"/>
  <c r="AB23" i="51"/>
  <c r="AA23" i="51"/>
  <c r="Z23" i="51"/>
  <c r="X23" i="51"/>
  <c r="W23" i="51"/>
  <c r="V23" i="51"/>
  <c r="U23" i="51"/>
  <c r="T23" i="51"/>
  <c r="S23" i="51"/>
  <c r="R23" i="51"/>
  <c r="Q23" i="51"/>
  <c r="P23" i="51"/>
  <c r="AS22" i="51"/>
  <c r="AR22" i="51"/>
  <c r="AQ22" i="51"/>
  <c r="AP22" i="51"/>
  <c r="AO22" i="51"/>
  <c r="AN22" i="51"/>
  <c r="AM22" i="51"/>
  <c r="AL22" i="51"/>
  <c r="AH22" i="51"/>
  <c r="AG22" i="51"/>
  <c r="AF22" i="51"/>
  <c r="AE22" i="51"/>
  <c r="AD22" i="51"/>
  <c r="AC22" i="51"/>
  <c r="AB22" i="51"/>
  <c r="AA22" i="51"/>
  <c r="Z22" i="51"/>
  <c r="X22" i="51"/>
  <c r="W22" i="51"/>
  <c r="V22" i="51"/>
  <c r="U22" i="51"/>
  <c r="T22" i="51"/>
  <c r="S22" i="51"/>
  <c r="R22" i="51"/>
  <c r="Q22" i="51"/>
  <c r="P22" i="51"/>
  <c r="L22" i="51"/>
  <c r="K22" i="51"/>
  <c r="J22" i="51"/>
  <c r="I22" i="51"/>
  <c r="H22" i="51"/>
  <c r="G22" i="51"/>
  <c r="F22" i="51"/>
  <c r="D22" i="51"/>
  <c r="L21" i="51"/>
  <c r="K21" i="51"/>
  <c r="J21" i="51"/>
  <c r="I21" i="51"/>
  <c r="H21" i="51"/>
  <c r="G21" i="51"/>
  <c r="F21" i="51"/>
  <c r="D21" i="51"/>
  <c r="L20" i="51"/>
  <c r="K20" i="51"/>
  <c r="J20" i="51"/>
  <c r="I20" i="51"/>
  <c r="H20" i="51"/>
  <c r="G20" i="51"/>
  <c r="F20" i="51"/>
  <c r="D20" i="51"/>
  <c r="L19" i="51"/>
  <c r="K19" i="51"/>
  <c r="J19" i="51"/>
  <c r="I19" i="51"/>
  <c r="H19" i="51"/>
  <c r="G19" i="51"/>
  <c r="F19" i="51"/>
  <c r="D19" i="51"/>
  <c r="L17" i="51"/>
  <c r="J17" i="51"/>
  <c r="I17" i="51"/>
  <c r="H17" i="51"/>
  <c r="G17" i="51"/>
  <c r="F17" i="51"/>
  <c r="E17" i="51"/>
  <c r="F181" i="50"/>
  <c r="E178" i="50"/>
  <c r="D175" i="50"/>
  <c r="E177" i="50" s="1"/>
  <c r="F168" i="50"/>
  <c r="F162" i="50"/>
  <c r="B19" i="50" s="1"/>
  <c r="F161" i="50"/>
  <c r="F152" i="50"/>
  <c r="F151" i="50"/>
  <c r="CR143" i="50"/>
  <c r="CQ143" i="50"/>
  <c r="F143" i="50"/>
  <c r="CQ141" i="50"/>
  <c r="CQ145" i="50" s="1"/>
  <c r="F133" i="50"/>
  <c r="F142" i="50" s="1"/>
  <c r="H142" i="50" s="1"/>
  <c r="S142" i="50" s="1"/>
  <c r="EA99" i="50"/>
  <c r="DZ99" i="50"/>
  <c r="DY99" i="50"/>
  <c r="DX99" i="50"/>
  <c r="DW99" i="50"/>
  <c r="DE99" i="50"/>
  <c r="DC99" i="50"/>
  <c r="CV99" i="50"/>
  <c r="CQ99" i="50"/>
  <c r="CR99" i="50" s="1"/>
  <c r="CS99" i="50" s="1"/>
  <c r="CP99" i="50"/>
  <c r="BH99" i="50"/>
  <c r="AO99" i="50"/>
  <c r="AJ99" i="50"/>
  <c r="AH99" i="50"/>
  <c r="AE99" i="50"/>
  <c r="EA98" i="50"/>
  <c r="DZ98" i="50"/>
  <c r="DY98" i="50"/>
  <c r="DX98" i="50"/>
  <c r="DW98" i="50"/>
  <c r="DE98" i="50"/>
  <c r="DC98" i="50"/>
  <c r="CV98" i="50"/>
  <c r="CQ98" i="50"/>
  <c r="CR98" i="50" s="1"/>
  <c r="CS98" i="50" s="1"/>
  <c r="CP98" i="50"/>
  <c r="BH98" i="50"/>
  <c r="AO98" i="50"/>
  <c r="AJ98" i="50"/>
  <c r="AH98" i="50"/>
  <c r="BF98" i="50" s="1"/>
  <c r="AE98" i="50"/>
  <c r="EA97" i="50"/>
  <c r="DZ97" i="50"/>
  <c r="DY97" i="50"/>
  <c r="DX97" i="50"/>
  <c r="DW97" i="50"/>
  <c r="DE97" i="50"/>
  <c r="DC97" i="50"/>
  <c r="CV97" i="50"/>
  <c r="CQ97" i="50"/>
  <c r="CR97" i="50" s="1"/>
  <c r="CS97" i="50" s="1"/>
  <c r="CP97" i="50"/>
  <c r="BH97" i="50"/>
  <c r="AO97" i="50"/>
  <c r="AJ97" i="50"/>
  <c r="AH97" i="50"/>
  <c r="AM97" i="50" s="1"/>
  <c r="AE97" i="50"/>
  <c r="EA96" i="50"/>
  <c r="DZ96" i="50"/>
  <c r="DY96" i="50"/>
  <c r="DX96" i="50"/>
  <c r="DW96" i="50"/>
  <c r="DE96" i="50"/>
  <c r="DC96" i="50"/>
  <c r="CV96" i="50"/>
  <c r="CQ96" i="50"/>
  <c r="CR96" i="50" s="1"/>
  <c r="CS96" i="50" s="1"/>
  <c r="CP96" i="50"/>
  <c r="BH96" i="50"/>
  <c r="AO96" i="50"/>
  <c r="AJ96" i="50"/>
  <c r="AH96" i="50"/>
  <c r="AR96" i="50" s="1"/>
  <c r="AE96" i="50"/>
  <c r="EA95" i="50"/>
  <c r="DZ95" i="50"/>
  <c r="DY95" i="50"/>
  <c r="DX95" i="50"/>
  <c r="DW95" i="50"/>
  <c r="DE95" i="50"/>
  <c r="DC95" i="50"/>
  <c r="CV95" i="50"/>
  <c r="CQ95" i="50"/>
  <c r="CR95" i="50" s="1"/>
  <c r="CS95" i="50" s="1"/>
  <c r="CP95" i="50"/>
  <c r="BH95" i="50"/>
  <c r="AO95" i="50"/>
  <c r="AJ95" i="50"/>
  <c r="AH95" i="50"/>
  <c r="AM95" i="50" s="1"/>
  <c r="AE95" i="50"/>
  <c r="EA94" i="50"/>
  <c r="DZ94" i="50"/>
  <c r="DY94" i="50"/>
  <c r="DX94" i="50"/>
  <c r="DW94" i="50"/>
  <c r="DE94" i="50"/>
  <c r="DC94" i="50"/>
  <c r="CV94" i="50"/>
  <c r="CQ94" i="50"/>
  <c r="CR94" i="50" s="1"/>
  <c r="CS94" i="50" s="1"/>
  <c r="CP94" i="50"/>
  <c r="BH94" i="50"/>
  <c r="AO94" i="50"/>
  <c r="AJ94" i="50"/>
  <c r="AH94" i="50"/>
  <c r="AZ94" i="50" s="1"/>
  <c r="AE94" i="50"/>
  <c r="EA93" i="50"/>
  <c r="DZ93" i="50"/>
  <c r="DY93" i="50"/>
  <c r="DX93" i="50"/>
  <c r="DW93" i="50"/>
  <c r="DE93" i="50"/>
  <c r="DC93" i="50"/>
  <c r="CV93" i="50"/>
  <c r="CQ93" i="50"/>
  <c r="CR93" i="50" s="1"/>
  <c r="CS93" i="50" s="1"/>
  <c r="CP93" i="50"/>
  <c r="BH93" i="50"/>
  <c r="AO93" i="50"/>
  <c r="AJ93" i="50"/>
  <c r="AH93" i="50"/>
  <c r="AP93" i="50" s="1"/>
  <c r="AE93" i="50"/>
  <c r="EA92" i="50"/>
  <c r="DZ92" i="50"/>
  <c r="DY92" i="50"/>
  <c r="DX92" i="50"/>
  <c r="DW92" i="50"/>
  <c r="DE92" i="50"/>
  <c r="DC92" i="50"/>
  <c r="CV92" i="50"/>
  <c r="CQ92" i="50"/>
  <c r="CR92" i="50" s="1"/>
  <c r="CS92" i="50" s="1"/>
  <c r="CP92" i="50"/>
  <c r="BH92" i="50"/>
  <c r="AO92" i="50"/>
  <c r="AJ92" i="50"/>
  <c r="AH92" i="50"/>
  <c r="AZ92" i="50" s="1"/>
  <c r="AE92" i="50"/>
  <c r="EA91" i="50"/>
  <c r="DZ91" i="50"/>
  <c r="DY91" i="50"/>
  <c r="DX91" i="50"/>
  <c r="DW91" i="50"/>
  <c r="DE91" i="50"/>
  <c r="DC91" i="50"/>
  <c r="CV91" i="50"/>
  <c r="CQ91" i="50"/>
  <c r="CR91" i="50" s="1"/>
  <c r="CS91" i="50" s="1"/>
  <c r="CP91" i="50"/>
  <c r="BH91" i="50"/>
  <c r="AO91" i="50"/>
  <c r="AJ91" i="50"/>
  <c r="AH91" i="50"/>
  <c r="AE91" i="50"/>
  <c r="EA90" i="50"/>
  <c r="DZ90" i="50"/>
  <c r="DY90" i="50"/>
  <c r="DX90" i="50"/>
  <c r="DW90" i="50"/>
  <c r="DE90" i="50"/>
  <c r="DC90" i="50"/>
  <c r="CV90" i="50"/>
  <c r="CQ90" i="50"/>
  <c r="CR90" i="50" s="1"/>
  <c r="CS90" i="50" s="1"/>
  <c r="CP90" i="50"/>
  <c r="BH90" i="50"/>
  <c r="AO90" i="50"/>
  <c r="AJ90" i="50"/>
  <c r="AH90" i="50"/>
  <c r="AR90" i="50" s="1"/>
  <c r="AE90" i="50"/>
  <c r="EA89" i="50"/>
  <c r="DZ89" i="50"/>
  <c r="DY89" i="50"/>
  <c r="DX89" i="50"/>
  <c r="DW89" i="50"/>
  <c r="DE89" i="50"/>
  <c r="DC89" i="50"/>
  <c r="CV89" i="50"/>
  <c r="CQ89" i="50"/>
  <c r="CR89" i="50" s="1"/>
  <c r="CS89" i="50" s="1"/>
  <c r="CP89" i="50"/>
  <c r="BH89" i="50"/>
  <c r="AO89" i="50"/>
  <c r="AJ89" i="50"/>
  <c r="AH89" i="50"/>
  <c r="AZ89" i="50" s="1"/>
  <c r="AE89" i="50"/>
  <c r="EA88" i="50"/>
  <c r="DZ88" i="50"/>
  <c r="DY88" i="50"/>
  <c r="DX88" i="50"/>
  <c r="DW88" i="50"/>
  <c r="DE88" i="50"/>
  <c r="DC88" i="50"/>
  <c r="CV88" i="50"/>
  <c r="CQ88" i="50"/>
  <c r="CR88" i="50" s="1"/>
  <c r="CS88" i="50" s="1"/>
  <c r="CP88" i="50"/>
  <c r="BH88" i="50"/>
  <c r="AO88" i="50"/>
  <c r="AJ88" i="50"/>
  <c r="AH88" i="50"/>
  <c r="AR88" i="50" s="1"/>
  <c r="AE88" i="50"/>
  <c r="EA87" i="50"/>
  <c r="DZ87" i="50"/>
  <c r="DY87" i="50"/>
  <c r="DX87" i="50"/>
  <c r="DW87" i="50"/>
  <c r="DE87" i="50"/>
  <c r="DC87" i="50"/>
  <c r="CV87" i="50"/>
  <c r="CQ87" i="50"/>
  <c r="CR87" i="50" s="1"/>
  <c r="CS87" i="50" s="1"/>
  <c r="CP87" i="50"/>
  <c r="BH87" i="50"/>
  <c r="AO87" i="50"/>
  <c r="AJ87" i="50"/>
  <c r="AH87" i="50"/>
  <c r="BF87" i="50" s="1"/>
  <c r="AE87" i="50"/>
  <c r="EA86" i="50"/>
  <c r="DZ86" i="50"/>
  <c r="DY86" i="50"/>
  <c r="DX86" i="50"/>
  <c r="DW86" i="50"/>
  <c r="DE86" i="50"/>
  <c r="DC86" i="50"/>
  <c r="CV86" i="50"/>
  <c r="CQ86" i="50"/>
  <c r="CR86" i="50" s="1"/>
  <c r="CS86" i="50" s="1"/>
  <c r="CP86" i="50"/>
  <c r="BH86" i="50"/>
  <c r="AO86" i="50"/>
  <c r="AJ86" i="50"/>
  <c r="AH86" i="50"/>
  <c r="BF86" i="50" s="1"/>
  <c r="AE86" i="50"/>
  <c r="EA85" i="50"/>
  <c r="DZ85" i="50"/>
  <c r="DY85" i="50"/>
  <c r="DX85" i="50"/>
  <c r="DW85" i="50"/>
  <c r="DE85" i="50"/>
  <c r="DC85" i="50"/>
  <c r="CV85" i="50"/>
  <c r="CQ85" i="50"/>
  <c r="CR85" i="50" s="1"/>
  <c r="CS85" i="50" s="1"/>
  <c r="CP85" i="50"/>
  <c r="BH85" i="50"/>
  <c r="AO85" i="50"/>
  <c r="AJ85" i="50"/>
  <c r="AH85" i="50"/>
  <c r="BF85" i="50" s="1"/>
  <c r="AE85" i="50"/>
  <c r="EA84" i="50"/>
  <c r="DZ84" i="50"/>
  <c r="DY84" i="50"/>
  <c r="DX84" i="50"/>
  <c r="DW84" i="50"/>
  <c r="DE84" i="50"/>
  <c r="DC84" i="50"/>
  <c r="CV84" i="50"/>
  <c r="CQ84" i="50"/>
  <c r="CR84" i="50" s="1"/>
  <c r="CS84" i="50" s="1"/>
  <c r="CP84" i="50"/>
  <c r="BH84" i="50"/>
  <c r="AO84" i="50"/>
  <c r="AJ84" i="50"/>
  <c r="AH84" i="50"/>
  <c r="BF84" i="50" s="1"/>
  <c r="AE84" i="50"/>
  <c r="EA83" i="50"/>
  <c r="DZ83" i="50"/>
  <c r="DY83" i="50"/>
  <c r="DX83" i="50"/>
  <c r="DW83" i="50"/>
  <c r="DE83" i="50"/>
  <c r="DC83" i="50"/>
  <c r="CV83" i="50"/>
  <c r="CQ83" i="50"/>
  <c r="CR83" i="50" s="1"/>
  <c r="CS83" i="50" s="1"/>
  <c r="CP83" i="50"/>
  <c r="BH83" i="50"/>
  <c r="AO83" i="50"/>
  <c r="AJ83" i="50"/>
  <c r="AH83" i="50"/>
  <c r="BF83" i="50" s="1"/>
  <c r="AE83" i="50"/>
  <c r="EA82" i="50"/>
  <c r="DZ82" i="50"/>
  <c r="DY82" i="50"/>
  <c r="DX82" i="50"/>
  <c r="DW82" i="50"/>
  <c r="DE82" i="50"/>
  <c r="DC82" i="50"/>
  <c r="CV82" i="50"/>
  <c r="CQ82" i="50"/>
  <c r="CR82" i="50" s="1"/>
  <c r="CS82" i="50" s="1"/>
  <c r="CP82" i="50"/>
  <c r="BH82" i="50"/>
  <c r="AO82" i="50"/>
  <c r="AJ82" i="50"/>
  <c r="AH82" i="50"/>
  <c r="AZ82" i="50" s="1"/>
  <c r="AE82" i="50"/>
  <c r="EA81" i="50"/>
  <c r="DZ81" i="50"/>
  <c r="DY81" i="50"/>
  <c r="DX81" i="50"/>
  <c r="DW81" i="50"/>
  <c r="DE81" i="50"/>
  <c r="DC81" i="50"/>
  <c r="CV81" i="50"/>
  <c r="CQ81" i="50"/>
  <c r="CR81" i="50" s="1"/>
  <c r="CS81" i="50" s="1"/>
  <c r="CP81" i="50"/>
  <c r="BH81" i="50"/>
  <c r="AO81" i="50"/>
  <c r="AJ81" i="50"/>
  <c r="AH81" i="50"/>
  <c r="AZ81" i="50" s="1"/>
  <c r="AE81" i="50"/>
  <c r="EA80" i="50"/>
  <c r="DZ80" i="50"/>
  <c r="DY80" i="50"/>
  <c r="DX80" i="50"/>
  <c r="DW80" i="50"/>
  <c r="DE80" i="50"/>
  <c r="DC80" i="50"/>
  <c r="CV80" i="50"/>
  <c r="CQ80" i="50"/>
  <c r="CR80" i="50" s="1"/>
  <c r="CS80" i="50" s="1"/>
  <c r="CP80" i="50"/>
  <c r="BH80" i="50"/>
  <c r="AO80" i="50"/>
  <c r="AJ80" i="50"/>
  <c r="AH80" i="50"/>
  <c r="AZ80" i="50" s="1"/>
  <c r="AE80" i="50"/>
  <c r="EA79" i="50"/>
  <c r="DZ79" i="50"/>
  <c r="DY79" i="50"/>
  <c r="DX79" i="50"/>
  <c r="DW79" i="50"/>
  <c r="DE79" i="50"/>
  <c r="DC79" i="50"/>
  <c r="CV79" i="50"/>
  <c r="CQ79" i="50"/>
  <c r="CR79" i="50" s="1"/>
  <c r="CS79" i="50" s="1"/>
  <c r="CP79" i="50"/>
  <c r="BH79" i="50"/>
  <c r="AO79" i="50"/>
  <c r="AJ79" i="50"/>
  <c r="AH79" i="50"/>
  <c r="AZ79" i="50" s="1"/>
  <c r="AE79" i="50"/>
  <c r="EA78" i="50"/>
  <c r="DZ78" i="50"/>
  <c r="DY78" i="50"/>
  <c r="DX78" i="50"/>
  <c r="DW78" i="50"/>
  <c r="DE78" i="50"/>
  <c r="DC78" i="50"/>
  <c r="CV78" i="50"/>
  <c r="CQ78" i="50"/>
  <c r="CR78" i="50" s="1"/>
  <c r="CS78" i="50" s="1"/>
  <c r="CP78" i="50"/>
  <c r="BH78" i="50"/>
  <c r="AO78" i="50"/>
  <c r="AJ78" i="50"/>
  <c r="AH78" i="50"/>
  <c r="AZ78" i="50" s="1"/>
  <c r="AE78" i="50"/>
  <c r="EA77" i="50"/>
  <c r="DZ77" i="50"/>
  <c r="DY77" i="50"/>
  <c r="DX77" i="50"/>
  <c r="DW77" i="50"/>
  <c r="DE77" i="50"/>
  <c r="DC77" i="50"/>
  <c r="CV77" i="50"/>
  <c r="CQ77" i="50"/>
  <c r="CR77" i="50" s="1"/>
  <c r="CS77" i="50" s="1"/>
  <c r="CP77" i="50"/>
  <c r="BH77" i="50"/>
  <c r="AO77" i="50"/>
  <c r="AJ77" i="50"/>
  <c r="AH77" i="50"/>
  <c r="AZ77" i="50" s="1"/>
  <c r="AE77" i="50"/>
  <c r="EA76" i="50"/>
  <c r="DZ76" i="50"/>
  <c r="DY76" i="50"/>
  <c r="DX76" i="50"/>
  <c r="DW76" i="50"/>
  <c r="DE76" i="50"/>
  <c r="DC76" i="50"/>
  <c r="CV76" i="50"/>
  <c r="CQ76" i="50"/>
  <c r="CR76" i="50" s="1"/>
  <c r="CS76" i="50" s="1"/>
  <c r="CP76" i="50"/>
  <c r="BH76" i="50"/>
  <c r="AO76" i="50"/>
  <c r="AJ76" i="50"/>
  <c r="AH76" i="50"/>
  <c r="AZ76" i="50" s="1"/>
  <c r="AE76" i="50"/>
  <c r="EA75" i="50"/>
  <c r="DZ75" i="50"/>
  <c r="DY75" i="50"/>
  <c r="DX75" i="50"/>
  <c r="DW75" i="50"/>
  <c r="DE75" i="50"/>
  <c r="DC75" i="50"/>
  <c r="CV75" i="50"/>
  <c r="CQ75" i="50"/>
  <c r="CR75" i="50" s="1"/>
  <c r="CS75" i="50" s="1"/>
  <c r="CP75" i="50"/>
  <c r="BH75" i="50"/>
  <c r="AO75" i="50"/>
  <c r="AJ75" i="50"/>
  <c r="AH75" i="50"/>
  <c r="AZ75" i="50" s="1"/>
  <c r="AE75" i="50"/>
  <c r="EA74" i="50"/>
  <c r="DZ74" i="50"/>
  <c r="DY74" i="50"/>
  <c r="DX74" i="50"/>
  <c r="DW74" i="50"/>
  <c r="DE74" i="50"/>
  <c r="DC74" i="50"/>
  <c r="CV74" i="50"/>
  <c r="CQ74" i="50"/>
  <c r="CR74" i="50" s="1"/>
  <c r="CS74" i="50" s="1"/>
  <c r="CP74" i="50"/>
  <c r="BH74" i="50"/>
  <c r="AO74" i="50"/>
  <c r="AJ74" i="50"/>
  <c r="AH74" i="50"/>
  <c r="AZ74" i="50" s="1"/>
  <c r="AE74" i="50"/>
  <c r="EA73" i="50"/>
  <c r="DZ73" i="50"/>
  <c r="DY73" i="50"/>
  <c r="DX73" i="50"/>
  <c r="DW73" i="50"/>
  <c r="DE73" i="50"/>
  <c r="DC73" i="50"/>
  <c r="CV73" i="50"/>
  <c r="CQ73" i="50"/>
  <c r="CR73" i="50" s="1"/>
  <c r="CS73" i="50" s="1"/>
  <c r="CP73" i="50"/>
  <c r="BH73" i="50"/>
  <c r="AO73" i="50"/>
  <c r="AJ73" i="50"/>
  <c r="AH73" i="50"/>
  <c r="AZ73" i="50" s="1"/>
  <c r="AE73" i="50"/>
  <c r="EA72" i="50"/>
  <c r="DZ72" i="50"/>
  <c r="DY72" i="50"/>
  <c r="DX72" i="50"/>
  <c r="DW72" i="50"/>
  <c r="DE72" i="50"/>
  <c r="DC72" i="50"/>
  <c r="CV72" i="50"/>
  <c r="CQ72" i="50"/>
  <c r="CR72" i="50" s="1"/>
  <c r="CS72" i="50" s="1"/>
  <c r="CP72" i="50"/>
  <c r="BH72" i="50"/>
  <c r="AO72" i="50"/>
  <c r="AJ72" i="50"/>
  <c r="AH72" i="50"/>
  <c r="AZ72" i="50" s="1"/>
  <c r="AE72" i="50"/>
  <c r="EA71" i="50"/>
  <c r="DZ71" i="50"/>
  <c r="DY71" i="50"/>
  <c r="DX71" i="50"/>
  <c r="DW71" i="50"/>
  <c r="DE71" i="50"/>
  <c r="DC71" i="50"/>
  <c r="CV71" i="50"/>
  <c r="CQ71" i="50"/>
  <c r="CR71" i="50" s="1"/>
  <c r="CS71" i="50" s="1"/>
  <c r="CP71" i="50"/>
  <c r="BH71" i="50"/>
  <c r="AO71" i="50"/>
  <c r="AJ71" i="50"/>
  <c r="AH71" i="50"/>
  <c r="BE71" i="50" s="1"/>
  <c r="AE71" i="50"/>
  <c r="EA70" i="50"/>
  <c r="DZ70" i="50"/>
  <c r="DY70" i="50"/>
  <c r="DX70" i="50"/>
  <c r="DW70" i="50"/>
  <c r="DE70" i="50"/>
  <c r="DC70" i="50"/>
  <c r="CV70" i="50"/>
  <c r="CQ70" i="50"/>
  <c r="CR70" i="50" s="1"/>
  <c r="CS70" i="50" s="1"/>
  <c r="CP70" i="50"/>
  <c r="BH70" i="50"/>
  <c r="AO70" i="50"/>
  <c r="AJ70" i="50"/>
  <c r="AH70" i="50"/>
  <c r="AM70" i="50" s="1"/>
  <c r="AE70" i="50"/>
  <c r="EA69" i="50"/>
  <c r="DZ69" i="50"/>
  <c r="DY69" i="50"/>
  <c r="DX69" i="50"/>
  <c r="DW69" i="50"/>
  <c r="DE69" i="50"/>
  <c r="DC69" i="50"/>
  <c r="CV69" i="50"/>
  <c r="CQ69" i="50"/>
  <c r="CR69" i="50" s="1"/>
  <c r="CS69" i="50" s="1"/>
  <c r="CP69" i="50"/>
  <c r="BH69" i="50"/>
  <c r="AO69" i="50"/>
  <c r="AJ69" i="50"/>
  <c r="AH69" i="50"/>
  <c r="AM69" i="50" s="1"/>
  <c r="AE69" i="50"/>
  <c r="EA68" i="50"/>
  <c r="DZ68" i="50"/>
  <c r="DY68" i="50"/>
  <c r="DX68" i="50"/>
  <c r="DW68" i="50"/>
  <c r="DE68" i="50"/>
  <c r="DC68" i="50"/>
  <c r="CV68" i="50"/>
  <c r="CQ68" i="50"/>
  <c r="CR68" i="50" s="1"/>
  <c r="CS68" i="50" s="1"/>
  <c r="CP68" i="50"/>
  <c r="BH68" i="50"/>
  <c r="AO68" i="50"/>
  <c r="AJ68" i="50"/>
  <c r="AH68" i="50"/>
  <c r="AV68" i="50" s="1"/>
  <c r="AE68" i="50"/>
  <c r="EA67" i="50"/>
  <c r="DZ67" i="50"/>
  <c r="DY67" i="50"/>
  <c r="DX67" i="50"/>
  <c r="DW67" i="50"/>
  <c r="DE67" i="50"/>
  <c r="DC67" i="50"/>
  <c r="CV67" i="50"/>
  <c r="CQ67" i="50"/>
  <c r="CR67" i="50" s="1"/>
  <c r="CS67" i="50" s="1"/>
  <c r="CP67" i="50"/>
  <c r="BH67" i="50"/>
  <c r="AO67" i="50"/>
  <c r="AJ67" i="50"/>
  <c r="AH67" i="50"/>
  <c r="AT67" i="50" s="1"/>
  <c r="AU67" i="50" s="1"/>
  <c r="AE67" i="50"/>
  <c r="EA66" i="50"/>
  <c r="DZ66" i="50"/>
  <c r="DY66" i="50"/>
  <c r="DX66" i="50"/>
  <c r="DW66" i="50"/>
  <c r="DE66" i="50"/>
  <c r="DC66" i="50"/>
  <c r="CV66" i="50"/>
  <c r="CQ66" i="50"/>
  <c r="CR66" i="50" s="1"/>
  <c r="CS66" i="50" s="1"/>
  <c r="CP66" i="50"/>
  <c r="BH66" i="50"/>
  <c r="AO66" i="50"/>
  <c r="AJ66" i="50"/>
  <c r="AH66" i="50"/>
  <c r="AT66" i="50" s="1"/>
  <c r="AU66" i="50" s="1"/>
  <c r="AE66" i="50"/>
  <c r="EA65" i="50"/>
  <c r="DZ65" i="50"/>
  <c r="DY65" i="50"/>
  <c r="DX65" i="50"/>
  <c r="DW65" i="50"/>
  <c r="DE65" i="50"/>
  <c r="DC65" i="50"/>
  <c r="CV65" i="50"/>
  <c r="CQ65" i="50"/>
  <c r="CR65" i="50" s="1"/>
  <c r="CS65" i="50" s="1"/>
  <c r="CP65" i="50"/>
  <c r="BH65" i="50"/>
  <c r="AO65" i="50"/>
  <c r="AJ65" i="50"/>
  <c r="AH65" i="50"/>
  <c r="AT65" i="50" s="1"/>
  <c r="AU65" i="50" s="1"/>
  <c r="AE65" i="50"/>
  <c r="EA64" i="50"/>
  <c r="DZ64" i="50"/>
  <c r="DY64" i="50"/>
  <c r="DX64" i="50"/>
  <c r="DW64" i="50"/>
  <c r="DE64" i="50"/>
  <c r="DC64" i="50"/>
  <c r="CV64" i="50"/>
  <c r="CQ64" i="50"/>
  <c r="CR64" i="50" s="1"/>
  <c r="CS64" i="50" s="1"/>
  <c r="CP64" i="50"/>
  <c r="BH64" i="50"/>
  <c r="AO64" i="50"/>
  <c r="AJ64" i="50"/>
  <c r="AH64" i="50"/>
  <c r="AT64" i="50" s="1"/>
  <c r="AU64" i="50" s="1"/>
  <c r="AE64" i="50"/>
  <c r="EA63" i="50"/>
  <c r="DZ63" i="50"/>
  <c r="DY63" i="50"/>
  <c r="DX63" i="50"/>
  <c r="DW63" i="50"/>
  <c r="DE63" i="50"/>
  <c r="DC63" i="50"/>
  <c r="CV63" i="50"/>
  <c r="CQ63" i="50"/>
  <c r="CR63" i="50" s="1"/>
  <c r="CS63" i="50" s="1"/>
  <c r="CP63" i="50"/>
  <c r="BH63" i="50"/>
  <c r="AO63" i="50"/>
  <c r="AJ63" i="50"/>
  <c r="AH63" i="50"/>
  <c r="BF63" i="50" s="1"/>
  <c r="AE63" i="50"/>
  <c r="EA62" i="50"/>
  <c r="DZ62" i="50"/>
  <c r="DY62" i="50"/>
  <c r="DX62" i="50"/>
  <c r="DW62" i="50"/>
  <c r="DE62" i="50"/>
  <c r="DC62" i="50"/>
  <c r="CV62" i="50"/>
  <c r="CQ62" i="50"/>
  <c r="CR62" i="50" s="1"/>
  <c r="CS62" i="50" s="1"/>
  <c r="CP62" i="50"/>
  <c r="BH62" i="50"/>
  <c r="AO62" i="50"/>
  <c r="AJ62" i="50"/>
  <c r="AH62" i="50"/>
  <c r="BF62" i="50" s="1"/>
  <c r="AE62" i="50"/>
  <c r="EA61" i="50"/>
  <c r="DZ61" i="50"/>
  <c r="DY61" i="50"/>
  <c r="DX61" i="50"/>
  <c r="DW61" i="50"/>
  <c r="DE61" i="50"/>
  <c r="DC61" i="50"/>
  <c r="CV61" i="50"/>
  <c r="CQ61" i="50"/>
  <c r="CR61" i="50" s="1"/>
  <c r="CS61" i="50" s="1"/>
  <c r="CP61" i="50"/>
  <c r="BH61" i="50"/>
  <c r="AO61" i="50"/>
  <c r="AJ61" i="50"/>
  <c r="AH61" i="50"/>
  <c r="AZ61" i="50" s="1"/>
  <c r="AE61" i="50"/>
  <c r="EA60" i="50"/>
  <c r="DZ60" i="50"/>
  <c r="DY60" i="50"/>
  <c r="DX60" i="50"/>
  <c r="DW60" i="50"/>
  <c r="DE60" i="50"/>
  <c r="DC60" i="50"/>
  <c r="CV60" i="50"/>
  <c r="CQ60" i="50"/>
  <c r="CR60" i="50" s="1"/>
  <c r="CS60" i="50" s="1"/>
  <c r="CP60" i="50"/>
  <c r="BH60" i="50"/>
  <c r="AO60" i="50"/>
  <c r="AJ60" i="50"/>
  <c r="AH60" i="50"/>
  <c r="AV60" i="50" s="1"/>
  <c r="AE60" i="50"/>
  <c r="EA59" i="50"/>
  <c r="DZ59" i="50"/>
  <c r="DY59" i="50"/>
  <c r="DX59" i="50"/>
  <c r="DW59" i="50"/>
  <c r="DE59" i="50"/>
  <c r="DC59" i="50"/>
  <c r="CV59" i="50"/>
  <c r="CQ59" i="50"/>
  <c r="CR59" i="50" s="1"/>
  <c r="CS59" i="50" s="1"/>
  <c r="CP59" i="50"/>
  <c r="BH59" i="50"/>
  <c r="AO59" i="50"/>
  <c r="AJ59" i="50"/>
  <c r="AH59" i="50"/>
  <c r="AV59" i="50" s="1"/>
  <c r="AE59" i="50"/>
  <c r="EA58" i="50"/>
  <c r="DZ58" i="50"/>
  <c r="DY58" i="50"/>
  <c r="DX58" i="50"/>
  <c r="DW58" i="50"/>
  <c r="DE58" i="50"/>
  <c r="DC58" i="50"/>
  <c r="CV58" i="50"/>
  <c r="CQ58" i="50"/>
  <c r="CR58" i="50" s="1"/>
  <c r="CS58" i="50" s="1"/>
  <c r="CP58" i="50"/>
  <c r="BH58" i="50"/>
  <c r="AO58" i="50"/>
  <c r="AJ58" i="50"/>
  <c r="AH58" i="50"/>
  <c r="AZ58" i="50" s="1"/>
  <c r="AE58" i="50"/>
  <c r="EA57" i="50"/>
  <c r="DZ57" i="50"/>
  <c r="DY57" i="50"/>
  <c r="DX57" i="50"/>
  <c r="DW57" i="50"/>
  <c r="DE57" i="50"/>
  <c r="DC57" i="50"/>
  <c r="CV57" i="50"/>
  <c r="CQ57" i="50"/>
  <c r="CR57" i="50" s="1"/>
  <c r="CS57" i="50" s="1"/>
  <c r="CP57" i="50"/>
  <c r="BH57" i="50"/>
  <c r="AO57" i="50"/>
  <c r="AJ57" i="50"/>
  <c r="AH57" i="50"/>
  <c r="AZ57" i="50" s="1"/>
  <c r="AE57" i="50"/>
  <c r="EA56" i="50"/>
  <c r="DZ56" i="50"/>
  <c r="DY56" i="50"/>
  <c r="DX56" i="50"/>
  <c r="DW56" i="50"/>
  <c r="DE56" i="50"/>
  <c r="DC56" i="50"/>
  <c r="CV56" i="50"/>
  <c r="CQ56" i="50"/>
  <c r="CR56" i="50" s="1"/>
  <c r="CS56" i="50" s="1"/>
  <c r="CP56" i="50"/>
  <c r="BH56" i="50"/>
  <c r="AO56" i="50"/>
  <c r="AJ56" i="50"/>
  <c r="AH56" i="50"/>
  <c r="AX56" i="50" s="1"/>
  <c r="AE56" i="50"/>
  <c r="EA55" i="50"/>
  <c r="DZ55" i="50"/>
  <c r="DY55" i="50"/>
  <c r="DX55" i="50"/>
  <c r="DW55" i="50"/>
  <c r="DE55" i="50"/>
  <c r="DC55" i="50"/>
  <c r="CV55" i="50"/>
  <c r="CQ55" i="50"/>
  <c r="CR55" i="50" s="1"/>
  <c r="CS55" i="50" s="1"/>
  <c r="CP55" i="50"/>
  <c r="BH55" i="50"/>
  <c r="AO55" i="50"/>
  <c r="AJ55" i="50"/>
  <c r="AH55" i="50"/>
  <c r="AX55" i="50" s="1"/>
  <c r="AE55" i="50"/>
  <c r="EA54" i="50"/>
  <c r="DZ54" i="50"/>
  <c r="DY54" i="50"/>
  <c r="DX54" i="50"/>
  <c r="DW54" i="50"/>
  <c r="DE54" i="50"/>
  <c r="DC54" i="50"/>
  <c r="CV54" i="50"/>
  <c r="CQ54" i="50"/>
  <c r="CR54" i="50" s="1"/>
  <c r="CS54" i="50" s="1"/>
  <c r="CP54" i="50"/>
  <c r="BH54" i="50"/>
  <c r="AO54" i="50"/>
  <c r="AJ54" i="50"/>
  <c r="AH54" i="50"/>
  <c r="AX54" i="50" s="1"/>
  <c r="AE54" i="50"/>
  <c r="EA53" i="50"/>
  <c r="DZ53" i="50"/>
  <c r="DY53" i="50"/>
  <c r="DX53" i="50"/>
  <c r="DW53" i="50"/>
  <c r="DE53" i="50"/>
  <c r="DC53" i="50"/>
  <c r="CV53" i="50"/>
  <c r="CQ53" i="50"/>
  <c r="CR53" i="50" s="1"/>
  <c r="CS53" i="50" s="1"/>
  <c r="CP53" i="50"/>
  <c r="BH53" i="50"/>
  <c r="AO53" i="50"/>
  <c r="AJ53" i="50"/>
  <c r="AH53" i="50"/>
  <c r="AZ53" i="50" s="1"/>
  <c r="AE53" i="50"/>
  <c r="EA52" i="50"/>
  <c r="DZ52" i="50"/>
  <c r="DY52" i="50"/>
  <c r="DX52" i="50"/>
  <c r="DW52" i="50"/>
  <c r="DE52" i="50"/>
  <c r="DC52" i="50"/>
  <c r="CV52" i="50"/>
  <c r="CQ52" i="50"/>
  <c r="CR52" i="50" s="1"/>
  <c r="CS52" i="50" s="1"/>
  <c r="CP52" i="50"/>
  <c r="BH52" i="50"/>
  <c r="AO52" i="50"/>
  <c r="AJ52" i="50"/>
  <c r="AH52" i="50"/>
  <c r="AX52" i="50" s="1"/>
  <c r="AE52" i="50"/>
  <c r="EA51" i="50"/>
  <c r="DZ51" i="50"/>
  <c r="DY51" i="50"/>
  <c r="DX51" i="50"/>
  <c r="DW51" i="50"/>
  <c r="DE51" i="50"/>
  <c r="DC51" i="50"/>
  <c r="CV51" i="50"/>
  <c r="CQ51" i="50"/>
  <c r="CR51" i="50" s="1"/>
  <c r="CS51" i="50" s="1"/>
  <c r="CP51" i="50"/>
  <c r="BH51" i="50"/>
  <c r="AO51" i="50"/>
  <c r="AJ51" i="50"/>
  <c r="AH51" i="50"/>
  <c r="BF51" i="50" s="1"/>
  <c r="AE51" i="50"/>
  <c r="EA50" i="50"/>
  <c r="DZ50" i="50"/>
  <c r="DY50" i="50"/>
  <c r="DX50" i="50"/>
  <c r="DW50" i="50"/>
  <c r="DE50" i="50"/>
  <c r="DC50" i="50"/>
  <c r="CV50" i="50"/>
  <c r="CQ50" i="50"/>
  <c r="CR50" i="50" s="1"/>
  <c r="CS50" i="50" s="1"/>
  <c r="CP50" i="50"/>
  <c r="BH50" i="50"/>
  <c r="AO50" i="50"/>
  <c r="AJ50" i="50"/>
  <c r="AH50" i="50"/>
  <c r="AT50" i="50" s="1"/>
  <c r="AU50" i="50" s="1"/>
  <c r="AE50" i="50"/>
  <c r="EA49" i="50"/>
  <c r="DZ49" i="50"/>
  <c r="DY49" i="50"/>
  <c r="DX49" i="50"/>
  <c r="DW49" i="50"/>
  <c r="DE49" i="50"/>
  <c r="DC49" i="50"/>
  <c r="CV49" i="50"/>
  <c r="CQ49" i="50"/>
  <c r="CR49" i="50" s="1"/>
  <c r="CS49" i="50" s="1"/>
  <c r="CP49" i="50"/>
  <c r="BH49" i="50"/>
  <c r="AO49" i="50"/>
  <c r="AJ49" i="50"/>
  <c r="AH49" i="50"/>
  <c r="BF49" i="50" s="1"/>
  <c r="AE49" i="50"/>
  <c r="EA48" i="50"/>
  <c r="DZ48" i="50"/>
  <c r="DY48" i="50"/>
  <c r="DX48" i="50"/>
  <c r="DW48" i="50"/>
  <c r="DE48" i="50"/>
  <c r="DC48" i="50"/>
  <c r="CV48" i="50"/>
  <c r="CQ48" i="50"/>
  <c r="CR48" i="50" s="1"/>
  <c r="CS48" i="50" s="1"/>
  <c r="CP48" i="50"/>
  <c r="BH48" i="50"/>
  <c r="AO48" i="50"/>
  <c r="AJ48" i="50"/>
  <c r="AH48" i="50"/>
  <c r="AX48" i="50" s="1"/>
  <c r="AE48" i="50"/>
  <c r="EA47" i="50"/>
  <c r="DZ47" i="50"/>
  <c r="DY47" i="50"/>
  <c r="DX47" i="50"/>
  <c r="DW47" i="50"/>
  <c r="DE47" i="50"/>
  <c r="DC47" i="50"/>
  <c r="CV47" i="50"/>
  <c r="CQ47" i="50"/>
  <c r="CR47" i="50" s="1"/>
  <c r="CS47" i="50" s="1"/>
  <c r="CP47" i="50"/>
  <c r="BH47" i="50"/>
  <c r="AO47" i="50"/>
  <c r="AJ47" i="50"/>
  <c r="AH47" i="50"/>
  <c r="AZ47" i="50" s="1"/>
  <c r="AE47" i="50"/>
  <c r="EA46" i="50"/>
  <c r="DZ46" i="50"/>
  <c r="DY46" i="50"/>
  <c r="DX46" i="50"/>
  <c r="DW46" i="50"/>
  <c r="DE46" i="50"/>
  <c r="DC46" i="50"/>
  <c r="CV46" i="50"/>
  <c r="CQ46" i="50"/>
  <c r="CR46" i="50" s="1"/>
  <c r="CS46" i="50" s="1"/>
  <c r="CP46" i="50"/>
  <c r="BH46" i="50"/>
  <c r="AO46" i="50"/>
  <c r="AJ46" i="50"/>
  <c r="AH46" i="50"/>
  <c r="BF46" i="50" s="1"/>
  <c r="AE46" i="50"/>
  <c r="EA45" i="50"/>
  <c r="DZ45" i="50"/>
  <c r="DY45" i="50"/>
  <c r="DX45" i="50"/>
  <c r="DW45" i="50"/>
  <c r="DE45" i="50"/>
  <c r="DC45" i="50"/>
  <c r="CV45" i="50"/>
  <c r="CQ45" i="50"/>
  <c r="CR45" i="50" s="1"/>
  <c r="CS45" i="50" s="1"/>
  <c r="CP45" i="50"/>
  <c r="BH45" i="50"/>
  <c r="AO45" i="50"/>
  <c r="AJ45" i="50"/>
  <c r="AH45" i="50"/>
  <c r="AV45" i="50" s="1"/>
  <c r="AE45" i="50"/>
  <c r="EA44" i="50"/>
  <c r="DZ44" i="50"/>
  <c r="DY44" i="50"/>
  <c r="DX44" i="50"/>
  <c r="DW44" i="50"/>
  <c r="DE44" i="50"/>
  <c r="DC44" i="50"/>
  <c r="CV44" i="50"/>
  <c r="CQ44" i="50"/>
  <c r="CR44" i="50" s="1"/>
  <c r="CS44" i="50" s="1"/>
  <c r="CP44" i="50"/>
  <c r="BH44" i="50"/>
  <c r="AO44" i="50"/>
  <c r="AJ44" i="50"/>
  <c r="AH44" i="50"/>
  <c r="AT44" i="50" s="1"/>
  <c r="AU44" i="50" s="1"/>
  <c r="AE44" i="50"/>
  <c r="EA43" i="50"/>
  <c r="DZ43" i="50"/>
  <c r="DY43" i="50"/>
  <c r="DX43" i="50"/>
  <c r="DW43" i="50"/>
  <c r="DE43" i="50"/>
  <c r="DC43" i="50"/>
  <c r="CV43" i="50"/>
  <c r="CQ43" i="50"/>
  <c r="CR43" i="50" s="1"/>
  <c r="CS43" i="50" s="1"/>
  <c r="CP43" i="50"/>
  <c r="BH43" i="50"/>
  <c r="AO43" i="50"/>
  <c r="AJ43" i="50"/>
  <c r="AH43" i="50"/>
  <c r="BD43" i="50" s="1"/>
  <c r="AE43" i="50"/>
  <c r="EA42" i="50"/>
  <c r="DZ42" i="50"/>
  <c r="DY42" i="50"/>
  <c r="DX42" i="50"/>
  <c r="DW42" i="50"/>
  <c r="DE42" i="50"/>
  <c r="DC42" i="50"/>
  <c r="CV42" i="50"/>
  <c r="CQ42" i="50"/>
  <c r="CR42" i="50" s="1"/>
  <c r="CS42" i="50" s="1"/>
  <c r="CP42" i="50"/>
  <c r="BH42" i="50"/>
  <c r="AO42" i="50"/>
  <c r="AJ42" i="50"/>
  <c r="AH42" i="50"/>
  <c r="BE42" i="50" s="1"/>
  <c r="AE42" i="50"/>
  <c r="EA41" i="50"/>
  <c r="DZ41" i="50"/>
  <c r="DY41" i="50"/>
  <c r="DX41" i="50"/>
  <c r="DW41" i="50"/>
  <c r="DE41" i="50"/>
  <c r="DC41" i="50"/>
  <c r="CV41" i="50"/>
  <c r="CQ41" i="50"/>
  <c r="CR41" i="50" s="1"/>
  <c r="CS41" i="50" s="1"/>
  <c r="CP41" i="50"/>
  <c r="BH41" i="50"/>
  <c r="AO41" i="50"/>
  <c r="AJ41" i="50"/>
  <c r="AH41" i="50"/>
  <c r="AR41" i="50" s="1"/>
  <c r="AE41" i="50"/>
  <c r="EA40" i="50"/>
  <c r="DZ40" i="50"/>
  <c r="DY40" i="50"/>
  <c r="DX40" i="50"/>
  <c r="DW40" i="50"/>
  <c r="DE40" i="50"/>
  <c r="DC40" i="50"/>
  <c r="CV40" i="50"/>
  <c r="CQ40" i="50"/>
  <c r="CR40" i="50" s="1"/>
  <c r="CS40" i="50" s="1"/>
  <c r="CP40" i="50"/>
  <c r="BH40" i="50"/>
  <c r="AO40" i="50"/>
  <c r="AJ40" i="50"/>
  <c r="AH40" i="50"/>
  <c r="BF40" i="50" s="1"/>
  <c r="AE40" i="50"/>
  <c r="EA39" i="50"/>
  <c r="DZ39" i="50"/>
  <c r="DY39" i="50"/>
  <c r="DX39" i="50"/>
  <c r="DW39" i="50"/>
  <c r="DE39" i="50"/>
  <c r="DC39" i="50"/>
  <c r="CV39" i="50"/>
  <c r="CQ39" i="50"/>
  <c r="CR39" i="50" s="1"/>
  <c r="CS39" i="50" s="1"/>
  <c r="CP39" i="50"/>
  <c r="BH39" i="50"/>
  <c r="AO39" i="50"/>
  <c r="AJ39" i="50"/>
  <c r="AH39" i="50"/>
  <c r="AE39" i="50"/>
  <c r="EA38" i="50"/>
  <c r="DZ38" i="50"/>
  <c r="DY38" i="50"/>
  <c r="DX38" i="50"/>
  <c r="DW38" i="50"/>
  <c r="DE38" i="50"/>
  <c r="DC38" i="50"/>
  <c r="CV38" i="50"/>
  <c r="CQ38" i="50"/>
  <c r="CR38" i="50" s="1"/>
  <c r="CS38" i="50" s="1"/>
  <c r="CP38" i="50"/>
  <c r="BH38" i="50"/>
  <c r="AO38" i="50"/>
  <c r="AJ38" i="50"/>
  <c r="AH38" i="50"/>
  <c r="BF38" i="50" s="1"/>
  <c r="AE38" i="50"/>
  <c r="EA37" i="50"/>
  <c r="DZ37" i="50"/>
  <c r="DY37" i="50"/>
  <c r="DX37" i="50"/>
  <c r="DW37" i="50"/>
  <c r="DE37" i="50"/>
  <c r="DC37" i="50"/>
  <c r="CV37" i="50"/>
  <c r="CQ37" i="50"/>
  <c r="CR37" i="50" s="1"/>
  <c r="CS37" i="50" s="1"/>
  <c r="CP37" i="50"/>
  <c r="BH37" i="50"/>
  <c r="AO37" i="50"/>
  <c r="AJ37" i="50"/>
  <c r="AH37" i="50"/>
  <c r="BF37" i="50" s="1"/>
  <c r="AE37" i="50"/>
  <c r="EA36" i="50"/>
  <c r="DZ36" i="50"/>
  <c r="DY36" i="50"/>
  <c r="DX36" i="50"/>
  <c r="DW36" i="50"/>
  <c r="DE36" i="50"/>
  <c r="DC36" i="50"/>
  <c r="CV36" i="50"/>
  <c r="CQ36" i="50"/>
  <c r="CR36" i="50" s="1"/>
  <c r="CS36" i="50" s="1"/>
  <c r="CP36" i="50"/>
  <c r="BH36" i="50"/>
  <c r="AO36" i="50"/>
  <c r="AJ36" i="50"/>
  <c r="AH36" i="50"/>
  <c r="AT36" i="50" s="1"/>
  <c r="AU36" i="50" s="1"/>
  <c r="AE36" i="50"/>
  <c r="EA35" i="50"/>
  <c r="DZ35" i="50"/>
  <c r="DY35" i="50"/>
  <c r="DX35" i="50"/>
  <c r="DW35" i="50"/>
  <c r="DE35" i="50"/>
  <c r="DC35" i="50"/>
  <c r="CV35" i="50"/>
  <c r="CQ35" i="50"/>
  <c r="CR35" i="50" s="1"/>
  <c r="CS35" i="50" s="1"/>
  <c r="CP35" i="50"/>
  <c r="BH35" i="50"/>
  <c r="AO35" i="50"/>
  <c r="AJ35" i="50"/>
  <c r="AH35" i="50"/>
  <c r="BF35" i="50" s="1"/>
  <c r="AE35" i="50"/>
  <c r="EA34" i="50"/>
  <c r="DZ34" i="50"/>
  <c r="DY34" i="50"/>
  <c r="DX34" i="50"/>
  <c r="DW34" i="50"/>
  <c r="DE34" i="50"/>
  <c r="DC34" i="50"/>
  <c r="CV34" i="50"/>
  <c r="CQ34" i="50"/>
  <c r="CR34" i="50" s="1"/>
  <c r="CS34" i="50" s="1"/>
  <c r="CP34" i="50"/>
  <c r="BH34" i="50"/>
  <c r="AO34" i="50"/>
  <c r="AJ34" i="50"/>
  <c r="AH34" i="50"/>
  <c r="AX34" i="50" s="1"/>
  <c r="AE34" i="50"/>
  <c r="EA33" i="50"/>
  <c r="DZ33" i="50"/>
  <c r="DY33" i="50"/>
  <c r="DX33" i="50"/>
  <c r="DW33" i="50"/>
  <c r="DE33" i="50"/>
  <c r="DC33" i="50"/>
  <c r="CV33" i="50"/>
  <c r="CQ33" i="50"/>
  <c r="CR33" i="50" s="1"/>
  <c r="CS33" i="50" s="1"/>
  <c r="CP33" i="50"/>
  <c r="BH33" i="50"/>
  <c r="AO33" i="50"/>
  <c r="AJ33" i="50"/>
  <c r="AH33" i="50"/>
  <c r="AN33" i="50" s="1"/>
  <c r="AE33" i="50"/>
  <c r="EA32" i="50"/>
  <c r="DZ32" i="50"/>
  <c r="DY32" i="50"/>
  <c r="DX32" i="50"/>
  <c r="DW32" i="50"/>
  <c r="DE32" i="50"/>
  <c r="DC32" i="50"/>
  <c r="CV32" i="50"/>
  <c r="CQ32" i="50"/>
  <c r="CR32" i="50" s="1"/>
  <c r="CS32" i="50" s="1"/>
  <c r="CP32" i="50"/>
  <c r="BH32" i="50"/>
  <c r="AO32" i="50"/>
  <c r="AJ32" i="50"/>
  <c r="AH32" i="50"/>
  <c r="BF32" i="50" s="1"/>
  <c r="AE32" i="50"/>
  <c r="EA31" i="50"/>
  <c r="DZ31" i="50"/>
  <c r="DY31" i="50"/>
  <c r="DX31" i="50"/>
  <c r="DW31" i="50"/>
  <c r="DE31" i="50"/>
  <c r="DC31" i="50"/>
  <c r="CV31" i="50"/>
  <c r="CQ31" i="50"/>
  <c r="CR31" i="50" s="1"/>
  <c r="CS31" i="50" s="1"/>
  <c r="CP31" i="50"/>
  <c r="BH31" i="50"/>
  <c r="AO31" i="50"/>
  <c r="AJ31" i="50"/>
  <c r="AH31" i="50"/>
  <c r="AM31" i="50" s="1"/>
  <c r="AE31" i="50"/>
  <c r="EA30" i="50"/>
  <c r="DZ30" i="50"/>
  <c r="DY30" i="50"/>
  <c r="DX30" i="50"/>
  <c r="DW30" i="50"/>
  <c r="DE30" i="50"/>
  <c r="DC30" i="50"/>
  <c r="CV30" i="50"/>
  <c r="CQ30" i="50"/>
  <c r="CR30" i="50" s="1"/>
  <c r="CS30" i="50" s="1"/>
  <c r="CP30" i="50"/>
  <c r="BH30" i="50"/>
  <c r="AO30" i="50"/>
  <c r="AJ30" i="50"/>
  <c r="AH30" i="50"/>
  <c r="BF30" i="50" s="1"/>
  <c r="AE30" i="50"/>
  <c r="EA29" i="50"/>
  <c r="DZ29" i="50"/>
  <c r="DY29" i="50"/>
  <c r="DX29" i="50"/>
  <c r="DW29" i="50"/>
  <c r="DE29" i="50"/>
  <c r="DC29" i="50"/>
  <c r="CV29" i="50"/>
  <c r="CQ29" i="50"/>
  <c r="CR29" i="50" s="1"/>
  <c r="CS29" i="50" s="1"/>
  <c r="CP29" i="50"/>
  <c r="BH29" i="50"/>
  <c r="AO29" i="50"/>
  <c r="AJ29" i="50"/>
  <c r="AH29" i="50"/>
  <c r="AE29" i="50"/>
  <c r="EA28" i="50"/>
  <c r="DZ28" i="50"/>
  <c r="DY28" i="50"/>
  <c r="DX28" i="50"/>
  <c r="DW28" i="50"/>
  <c r="DE28" i="50"/>
  <c r="DC28" i="50"/>
  <c r="CV28" i="50"/>
  <c r="CQ28" i="50"/>
  <c r="CR28" i="50" s="1"/>
  <c r="CS28" i="50" s="1"/>
  <c r="CP28" i="50"/>
  <c r="BH28" i="50"/>
  <c r="AO28" i="50"/>
  <c r="AJ28" i="50"/>
  <c r="AH28" i="50"/>
  <c r="AE28" i="50"/>
  <c r="EA27" i="50"/>
  <c r="DZ27" i="50"/>
  <c r="DY27" i="50"/>
  <c r="DX27" i="50"/>
  <c r="DW27" i="50"/>
  <c r="DE27" i="50"/>
  <c r="DC27" i="50"/>
  <c r="CV27" i="50"/>
  <c r="CQ27" i="50"/>
  <c r="CR27" i="50" s="1"/>
  <c r="CS27" i="50" s="1"/>
  <c r="CP27" i="50"/>
  <c r="BH27" i="50"/>
  <c r="AO27" i="50"/>
  <c r="AJ27" i="50"/>
  <c r="AH27" i="50"/>
  <c r="BF27" i="50" s="1"/>
  <c r="AE27" i="50"/>
  <c r="EA26" i="50"/>
  <c r="DZ26" i="50"/>
  <c r="DY26" i="50"/>
  <c r="DX26" i="50"/>
  <c r="DW26" i="50"/>
  <c r="DE26" i="50"/>
  <c r="DC26" i="50"/>
  <c r="CQ26" i="50"/>
  <c r="CR26" i="50" s="1"/>
  <c r="CS26" i="50" s="1"/>
  <c r="CP26" i="50"/>
  <c r="BH26" i="50"/>
  <c r="AO26" i="50"/>
  <c r="AJ26" i="50"/>
  <c r="AH26" i="50"/>
  <c r="AE26" i="50"/>
  <c r="EA25" i="50"/>
  <c r="DZ25" i="50"/>
  <c r="DY25" i="50"/>
  <c r="DX25" i="50"/>
  <c r="DW25" i="50"/>
  <c r="DE25" i="50"/>
  <c r="DC25" i="50"/>
  <c r="CQ25" i="50"/>
  <c r="CR25" i="50" s="1"/>
  <c r="CS25" i="50" s="1"/>
  <c r="CP25" i="50"/>
  <c r="BH25" i="50"/>
  <c r="AO25" i="50"/>
  <c r="AJ25" i="50"/>
  <c r="AH25" i="50"/>
  <c r="AE25" i="50"/>
  <c r="EA24" i="50"/>
  <c r="DZ24" i="50"/>
  <c r="DY24" i="50"/>
  <c r="DX24" i="50"/>
  <c r="DW24" i="50"/>
  <c r="DE24" i="50"/>
  <c r="DC24" i="50"/>
  <c r="CQ24" i="50"/>
  <c r="CR24" i="50" s="1"/>
  <c r="CS24" i="50" s="1"/>
  <c r="CP24" i="50"/>
  <c r="BH24" i="50"/>
  <c r="AO24" i="50"/>
  <c r="AJ24" i="50"/>
  <c r="AH24" i="50"/>
  <c r="AE24" i="50"/>
  <c r="EA23" i="50"/>
  <c r="DZ23" i="50"/>
  <c r="DY23" i="50"/>
  <c r="DX23" i="50"/>
  <c r="DW23" i="50"/>
  <c r="DE23" i="50"/>
  <c r="DC23" i="50"/>
  <c r="CQ23" i="50"/>
  <c r="CR23" i="50" s="1"/>
  <c r="CS23" i="50" s="1"/>
  <c r="CP23" i="50"/>
  <c r="BH23" i="50"/>
  <c r="AO23" i="50"/>
  <c r="AJ23" i="50"/>
  <c r="AH23" i="50"/>
  <c r="AE23" i="50"/>
  <c r="EA22" i="50"/>
  <c r="DZ22" i="50"/>
  <c r="DY22" i="50"/>
  <c r="DX22" i="50"/>
  <c r="DW22" i="50"/>
  <c r="DE22" i="50"/>
  <c r="DC22" i="50"/>
  <c r="CQ22" i="50"/>
  <c r="CR22" i="50" s="1"/>
  <c r="CS22" i="50" s="1"/>
  <c r="CP22" i="50"/>
  <c r="BH22" i="50"/>
  <c r="AO22" i="50"/>
  <c r="AJ22" i="50"/>
  <c r="AH22" i="50"/>
  <c r="AE22" i="50"/>
  <c r="EA21" i="50"/>
  <c r="DZ21" i="50"/>
  <c r="DY21" i="50"/>
  <c r="DX21" i="50"/>
  <c r="DW21" i="50"/>
  <c r="DE21" i="50"/>
  <c r="DC21" i="50"/>
  <c r="CQ21" i="50"/>
  <c r="CR21" i="50" s="1"/>
  <c r="CS21" i="50" s="1"/>
  <c r="CP21" i="50"/>
  <c r="BH21" i="50"/>
  <c r="AO21" i="50"/>
  <c r="AJ21" i="50"/>
  <c r="AH21" i="50"/>
  <c r="AE21" i="50"/>
  <c r="EA20" i="50"/>
  <c r="DZ20" i="50"/>
  <c r="DY20" i="50"/>
  <c r="DX20" i="50"/>
  <c r="DW20" i="50"/>
  <c r="DE20" i="50"/>
  <c r="DC20" i="50"/>
  <c r="CQ20" i="50"/>
  <c r="CR20" i="50" s="1"/>
  <c r="CS20" i="50" s="1"/>
  <c r="CP20" i="50"/>
  <c r="BH20" i="50"/>
  <c r="AO20" i="50"/>
  <c r="AJ20" i="50"/>
  <c r="AH20" i="50"/>
  <c r="AE20" i="50"/>
  <c r="CV17" i="50"/>
  <c r="AV17" i="50"/>
  <c r="AR17" i="50"/>
  <c r="CS14" i="50"/>
  <c r="CU14" i="50" s="1"/>
  <c r="CP14" i="50"/>
  <c r="DP40" i="50" s="1"/>
  <c r="CU13" i="50"/>
  <c r="E13" i="50"/>
  <c r="AB12" i="50"/>
  <c r="AA12" i="50"/>
  <c r="O11" i="50"/>
  <c r="O10" i="50"/>
  <c r="AA8" i="50"/>
  <c r="AA7" i="50"/>
  <c r="O6" i="50"/>
  <c r="V3" i="50"/>
  <c r="AK1" i="50"/>
  <c r="AI1" i="50"/>
  <c r="B29" i="1"/>
  <c r="B35" i="1" s="1"/>
  <c r="B39" i="1" s="1"/>
  <c r="B45" i="1" s="1"/>
  <c r="A12" i="22"/>
  <c r="X107" i="21"/>
  <c r="R107" i="21"/>
  <c r="X106" i="21"/>
  <c r="R106" i="21"/>
  <c r="X105" i="21"/>
  <c r="R105" i="21"/>
  <c r="X104" i="21"/>
  <c r="R104" i="21"/>
  <c r="X103" i="21"/>
  <c r="R103" i="21"/>
  <c r="X102" i="21"/>
  <c r="R102" i="21"/>
  <c r="X101" i="21"/>
  <c r="R101" i="21"/>
  <c r="X100" i="21"/>
  <c r="R100" i="21"/>
  <c r="X99" i="21"/>
  <c r="R99" i="21"/>
  <c r="X98" i="21"/>
  <c r="R98" i="21"/>
  <c r="X97" i="21"/>
  <c r="R97" i="21"/>
  <c r="X96" i="21"/>
  <c r="R96" i="21"/>
  <c r="X95" i="21"/>
  <c r="R95" i="21"/>
  <c r="X94" i="21"/>
  <c r="R94" i="21"/>
  <c r="X93" i="21"/>
  <c r="R93" i="21"/>
  <c r="X92" i="21"/>
  <c r="R92" i="21"/>
  <c r="X91" i="21"/>
  <c r="R91" i="21"/>
  <c r="X90" i="21"/>
  <c r="R90" i="21"/>
  <c r="X89" i="21"/>
  <c r="R89" i="21"/>
  <c r="X88" i="21"/>
  <c r="R88" i="21"/>
  <c r="X87" i="21"/>
  <c r="R87" i="21"/>
  <c r="X86" i="21"/>
  <c r="R86" i="21"/>
  <c r="X85" i="21"/>
  <c r="R85" i="21"/>
  <c r="X84" i="21"/>
  <c r="R84" i="21"/>
  <c r="X83" i="21"/>
  <c r="R83" i="21"/>
  <c r="X82" i="21"/>
  <c r="R82" i="21"/>
  <c r="X81" i="21"/>
  <c r="R81" i="21"/>
  <c r="Q70" i="21"/>
  <c r="Q69" i="21"/>
  <c r="Q68" i="21"/>
  <c r="Q67" i="21"/>
  <c r="O57" i="21"/>
  <c r="P70" i="21" s="1"/>
  <c r="AG29" i="21"/>
  <c r="Y27" i="21"/>
  <c r="Y26" i="21"/>
  <c r="T21" i="21"/>
  <c r="S21" i="21" s="1"/>
  <c r="V18" i="21"/>
  <c r="U18" i="21"/>
  <c r="S15" i="21"/>
  <c r="T15" i="21" s="1"/>
  <c r="A8" i="22" s="1"/>
  <c r="AI13" i="21"/>
  <c r="BG12" i="21"/>
  <c r="AI12" i="21"/>
  <c r="BG11" i="21"/>
  <c r="BD11" i="21"/>
  <c r="AI11" i="21"/>
  <c r="BG10" i="21"/>
  <c r="BD10" i="21"/>
  <c r="BA10" i="21"/>
  <c r="AW10" i="21"/>
  <c r="AI10" i="21"/>
  <c r="BG9" i="21"/>
  <c r="BD9" i="21"/>
  <c r="BA9" i="21"/>
  <c r="AI9" i="21"/>
  <c r="BG8" i="21"/>
  <c r="BD8" i="21"/>
  <c r="AI8" i="21"/>
  <c r="BG7" i="21"/>
  <c r="BD7" i="21"/>
  <c r="BA7" i="21"/>
  <c r="AW7" i="21"/>
  <c r="AI7" i="21"/>
  <c r="S7" i="21"/>
  <c r="X60" i="21" s="1"/>
  <c r="AM6" i="21"/>
  <c r="AI6" i="21"/>
  <c r="BG5" i="21"/>
  <c r="BD5" i="21"/>
  <c r="BA5" i="21"/>
  <c r="AW5" i="21"/>
  <c r="AM8" i="21" s="1"/>
  <c r="AT5" i="21"/>
  <c r="AM7" i="21" s="1"/>
  <c r="X38" i="62" l="1"/>
  <c r="Y38" i="62" s="1"/>
  <c r="AC38" i="62"/>
  <c r="AD38" i="62" s="1"/>
  <c r="AS37" i="62"/>
  <c r="X37" i="62"/>
  <c r="Y37" i="62" s="1"/>
  <c r="AC37" i="62"/>
  <c r="AD37" i="62" s="1"/>
  <c r="X18" i="21"/>
  <c r="A10" i="22" s="1"/>
  <c r="CV13" i="50"/>
  <c r="CW16" i="50" s="1"/>
  <c r="P54" i="21"/>
  <c r="P44" i="21"/>
  <c r="CD72" i="62"/>
  <c r="H121" i="62"/>
  <c r="AM11" i="21"/>
  <c r="I148" i="62"/>
  <c r="H120" i="62"/>
  <c r="I144" i="62"/>
  <c r="BN38" i="62"/>
  <c r="DJ38" i="62" s="1"/>
  <c r="BI38" i="62" s="1"/>
  <c r="BN34" i="62"/>
  <c r="DJ34" i="62" s="1"/>
  <c r="BI34" i="62" s="1"/>
  <c r="BN33" i="62"/>
  <c r="DJ33" i="62" s="1"/>
  <c r="BI33" i="62" s="1"/>
  <c r="BN39" i="62"/>
  <c r="DJ39" i="62" s="1"/>
  <c r="BI39" i="62" s="1"/>
  <c r="BN37" i="62"/>
  <c r="DJ37" i="62" s="1"/>
  <c r="BI37" i="62" s="1"/>
  <c r="BN30" i="62"/>
  <c r="BN36" i="62"/>
  <c r="DJ36" i="62" s="1"/>
  <c r="BI36" i="62" s="1"/>
  <c r="BN32" i="62"/>
  <c r="DJ32" i="62" s="1"/>
  <c r="BI32" i="62" s="1"/>
  <c r="BN31" i="62"/>
  <c r="DJ31" i="62" s="1"/>
  <c r="BI31" i="62" s="1"/>
  <c r="BN35" i="62"/>
  <c r="DJ35" i="62" s="1"/>
  <c r="BI35" i="62" s="1"/>
  <c r="I161" i="62"/>
  <c r="AJ72" i="62"/>
  <c r="I153" i="62"/>
  <c r="Z72" i="62"/>
  <c r="AE72" i="62"/>
  <c r="I157" i="62"/>
  <c r="AI72" i="62"/>
  <c r="AH72" i="62" s="1"/>
  <c r="AM9" i="21"/>
  <c r="AM10" i="21"/>
  <c r="AT40" i="50"/>
  <c r="AU40" i="50" s="1"/>
  <c r="AQ42" i="50"/>
  <c r="AX98" i="50"/>
  <c r="BD99" i="50"/>
  <c r="AZ40" i="50"/>
  <c r="BF42" i="50"/>
  <c r="AL95" i="50"/>
  <c r="AW86" i="50"/>
  <c r="AQ74" i="50"/>
  <c r="AT75" i="50"/>
  <c r="AU75" i="50" s="1"/>
  <c r="AZ33" i="50"/>
  <c r="AZ34" i="50"/>
  <c r="AQ72" i="50"/>
  <c r="AT31" i="50"/>
  <c r="AU31" i="50" s="1"/>
  <c r="AL56" i="50"/>
  <c r="AM57" i="50"/>
  <c r="AT72" i="50"/>
  <c r="AU72" i="50" s="1"/>
  <c r="AQ75" i="50"/>
  <c r="BF95" i="50"/>
  <c r="AQ96" i="50"/>
  <c r="CQ148" i="50"/>
  <c r="AL48" i="50"/>
  <c r="AN48" i="50"/>
  <c r="AN49" i="50"/>
  <c r="AM50" i="50"/>
  <c r="AZ52" i="50"/>
  <c r="AP53" i="50"/>
  <c r="AW66" i="50"/>
  <c r="AN38" i="50"/>
  <c r="AN85" i="50"/>
  <c r="AM62" i="50"/>
  <c r="AN81" i="50"/>
  <c r="AL82" i="50"/>
  <c r="AL54" i="50"/>
  <c r="AR38" i="50"/>
  <c r="AL72" i="50"/>
  <c r="AW80" i="50"/>
  <c r="AV85" i="50"/>
  <c r="BD21" i="50"/>
  <c r="DI21" i="50"/>
  <c r="AW38" i="50"/>
  <c r="AP71" i="50"/>
  <c r="AL75" i="50"/>
  <c r="AW82" i="50"/>
  <c r="BD85" i="50"/>
  <c r="AV86" i="50"/>
  <c r="BE38" i="50"/>
  <c r="AN43" i="50"/>
  <c r="AR49" i="50"/>
  <c r="AW81" i="50"/>
  <c r="AL30" i="50"/>
  <c r="AQ44" i="50"/>
  <c r="AW49" i="50"/>
  <c r="AQ83" i="50"/>
  <c r="AV87" i="50"/>
  <c r="AR83" i="50"/>
  <c r="AW83" i="50"/>
  <c r="AN30" i="50"/>
  <c r="AV44" i="50"/>
  <c r="AT47" i="50"/>
  <c r="AU47" i="50" s="1"/>
  <c r="AV31" i="50"/>
  <c r="AP33" i="50"/>
  <c r="DI35" i="50"/>
  <c r="AL49" i="50"/>
  <c r="BE49" i="50"/>
  <c r="AX53" i="50"/>
  <c r="AR55" i="50"/>
  <c r="AP63" i="50"/>
  <c r="AM66" i="50"/>
  <c r="AL68" i="50"/>
  <c r="BF71" i="50"/>
  <c r="AM72" i="50"/>
  <c r="AM80" i="50"/>
  <c r="AQ85" i="50"/>
  <c r="AT95" i="50"/>
  <c r="AU95" i="50" s="1"/>
  <c r="AZ49" i="50"/>
  <c r="AW44" i="50"/>
  <c r="AV47" i="50"/>
  <c r="BD49" i="50"/>
  <c r="BD31" i="50"/>
  <c r="AX33" i="50"/>
  <c r="AQ38" i="50"/>
  <c r="BE48" i="50"/>
  <c r="AM49" i="50"/>
  <c r="BE57" i="50"/>
  <c r="AW63" i="50"/>
  <c r="AL81" i="50"/>
  <c r="AR85" i="50"/>
  <c r="BE95" i="50"/>
  <c r="AP98" i="50"/>
  <c r="P42" i="51"/>
  <c r="AZ87" i="50"/>
  <c r="AN27" i="50"/>
  <c r="AQ32" i="50"/>
  <c r="BF34" i="50"/>
  <c r="AM36" i="50"/>
  <c r="AV38" i="50"/>
  <c r="AP43" i="50"/>
  <c r="BE44" i="50"/>
  <c r="AQ49" i="50"/>
  <c r="AZ50" i="50"/>
  <c r="AL52" i="50"/>
  <c r="BF57" i="50"/>
  <c r="AL70" i="50"/>
  <c r="AL73" i="50"/>
  <c r="AM76" i="50"/>
  <c r="AV81" i="50"/>
  <c r="AZ83" i="50"/>
  <c r="AM84" i="50"/>
  <c r="AZ85" i="50"/>
  <c r="BE86" i="50"/>
  <c r="AL87" i="50"/>
  <c r="BE87" i="50"/>
  <c r="AQ88" i="50"/>
  <c r="AN94" i="50"/>
  <c r="BD86" i="50"/>
  <c r="AM89" i="50"/>
  <c r="AN97" i="50"/>
  <c r="BD26" i="50"/>
  <c r="AV30" i="50"/>
  <c r="AR32" i="50"/>
  <c r="AV43" i="50"/>
  <c r="AZ45" i="50"/>
  <c r="AL46" i="50"/>
  <c r="AL47" i="50"/>
  <c r="AP48" i="50"/>
  <c r="AW51" i="50"/>
  <c r="AQ58" i="50"/>
  <c r="AM60" i="50"/>
  <c r="BD69" i="50"/>
  <c r="AL78" i="50"/>
  <c r="AL86" i="50"/>
  <c r="AN87" i="50"/>
  <c r="AP89" i="50"/>
  <c r="AQ90" i="50"/>
  <c r="AQ92" i="50"/>
  <c r="AW97" i="50"/>
  <c r="BD87" i="50"/>
  <c r="AW30" i="50"/>
  <c r="AT32" i="50"/>
  <c r="AU32" i="50" s="1"/>
  <c r="AW36" i="50"/>
  <c r="AL38" i="50"/>
  <c r="AZ38" i="50"/>
  <c r="AM40" i="50"/>
  <c r="AX43" i="50"/>
  <c r="AN47" i="50"/>
  <c r="AT48" i="50"/>
  <c r="AU48" i="50" s="1"/>
  <c r="AV49" i="50"/>
  <c r="AP52" i="50"/>
  <c r="BD70" i="50"/>
  <c r="AL71" i="50"/>
  <c r="AQ73" i="50"/>
  <c r="AL74" i="50"/>
  <c r="AQ76" i="50"/>
  <c r="AM78" i="50"/>
  <c r="BE81" i="50"/>
  <c r="AZ84" i="50"/>
  <c r="AL85" i="50"/>
  <c r="BE85" i="50"/>
  <c r="AM86" i="50"/>
  <c r="AZ90" i="50"/>
  <c r="AQ94" i="50"/>
  <c r="AX97" i="50"/>
  <c r="AN98" i="50"/>
  <c r="AN35" i="50"/>
  <c r="AL51" i="50"/>
  <c r="AM58" i="50"/>
  <c r="AL76" i="50"/>
  <c r="AJ18" i="50"/>
  <c r="BD30" i="50"/>
  <c r="AN31" i="50"/>
  <c r="AZ32" i="50"/>
  <c r="BE36" i="50"/>
  <c r="AM38" i="50"/>
  <c r="BD38" i="50"/>
  <c r="AM44" i="50"/>
  <c r="AZ48" i="50"/>
  <c r="AQ52" i="50"/>
  <c r="AZ60" i="50"/>
  <c r="BE70" i="50"/>
  <c r="AT73" i="50"/>
  <c r="AU73" i="50" s="1"/>
  <c r="AM74" i="50"/>
  <c r="AM83" i="50"/>
  <c r="AQ87" i="50"/>
  <c r="AW94" i="50"/>
  <c r="AN95" i="50"/>
  <c r="BD97" i="50"/>
  <c r="AM45" i="50"/>
  <c r="BD47" i="50"/>
  <c r="AN69" i="50"/>
  <c r="AR47" i="50"/>
  <c r="BD48" i="50"/>
  <c r="AQ78" i="50"/>
  <c r="AQ86" i="50"/>
  <c r="AR87" i="50"/>
  <c r="AT51" i="50"/>
  <c r="AU51" i="50" s="1"/>
  <c r="AZ54" i="50"/>
  <c r="AZ56" i="50"/>
  <c r="AW59" i="50"/>
  <c r="AW60" i="50"/>
  <c r="AZ64" i="50"/>
  <c r="AW67" i="50"/>
  <c r="AW68" i="50"/>
  <c r="AT77" i="50"/>
  <c r="AU77" i="50" s="1"/>
  <c r="AQ79" i="50"/>
  <c r="AQ93" i="50"/>
  <c r="CQ149" i="50"/>
  <c r="CY24" i="50"/>
  <c r="AM30" i="50"/>
  <c r="AZ30" i="50"/>
  <c r="AX31" i="50"/>
  <c r="AW32" i="50"/>
  <c r="AM34" i="50"/>
  <c r="BE34" i="50"/>
  <c r="AL35" i="50"/>
  <c r="BD36" i="50"/>
  <c r="AL40" i="50"/>
  <c r="AW40" i="50"/>
  <c r="AI41" i="50"/>
  <c r="AD41" i="50" s="1"/>
  <c r="AP42" i="50"/>
  <c r="BD44" i="50"/>
  <c r="AL45" i="50"/>
  <c r="BD45" i="50"/>
  <c r="AT46" i="50"/>
  <c r="AU46" i="50" s="1"/>
  <c r="AR48" i="50"/>
  <c r="AL50" i="50"/>
  <c r="AV50" i="50"/>
  <c r="AQ53" i="50"/>
  <c r="BF54" i="50"/>
  <c r="BF56" i="50"/>
  <c r="AN57" i="50"/>
  <c r="AZ59" i="50"/>
  <c r="AX60" i="50"/>
  <c r="AR63" i="50"/>
  <c r="BE64" i="50"/>
  <c r="AM65" i="50"/>
  <c r="AR66" i="50"/>
  <c r="AS66" i="50" s="1"/>
  <c r="AZ67" i="50"/>
  <c r="BD68" i="50"/>
  <c r="AL69" i="50"/>
  <c r="BE69" i="50"/>
  <c r="AN70" i="50"/>
  <c r="AT79" i="50"/>
  <c r="AU79" i="50" s="1"/>
  <c r="AL80" i="50"/>
  <c r="BD80" i="50"/>
  <c r="AM81" i="50"/>
  <c r="BD81" i="50"/>
  <c r="AV82" i="50"/>
  <c r="BE83" i="50"/>
  <c r="AL84" i="50"/>
  <c r="AW84" i="50"/>
  <c r="AT85" i="50"/>
  <c r="AU85" i="50" s="1"/>
  <c r="AN86" i="50"/>
  <c r="AZ86" i="50"/>
  <c r="AT87" i="50"/>
  <c r="AU87" i="50" s="1"/>
  <c r="AP92" i="50"/>
  <c r="AV93" i="50"/>
  <c r="AV94" i="50"/>
  <c r="AR95" i="50"/>
  <c r="AL97" i="50"/>
  <c r="AW98" i="50"/>
  <c r="CR141" i="50"/>
  <c r="CR145" i="50" s="1"/>
  <c r="BE67" i="50"/>
  <c r="BE30" i="50"/>
  <c r="AL31" i="50"/>
  <c r="BF31" i="50"/>
  <c r="AL32" i="50"/>
  <c r="BE32" i="50"/>
  <c r="AP34" i="50"/>
  <c r="AN36" i="50"/>
  <c r="AP37" i="50"/>
  <c r="BE40" i="50"/>
  <c r="AW42" i="50"/>
  <c r="AN45" i="50"/>
  <c r="AM46" i="50"/>
  <c r="AV46" i="50"/>
  <c r="AN50" i="50"/>
  <c r="BD50" i="50"/>
  <c r="AM51" i="50"/>
  <c r="AZ51" i="50"/>
  <c r="AQ57" i="50"/>
  <c r="AR58" i="50"/>
  <c r="AN60" i="50"/>
  <c r="BE60" i="50"/>
  <c r="AI60" i="50"/>
  <c r="AD60" i="50" s="1"/>
  <c r="BE63" i="50"/>
  <c r="AR65" i="50"/>
  <c r="AS65" i="50" s="1"/>
  <c r="AZ66" i="50"/>
  <c r="AN68" i="50"/>
  <c r="AQ70" i="50"/>
  <c r="AT71" i="50"/>
  <c r="AU71" i="50" s="1"/>
  <c r="AT74" i="50"/>
  <c r="AU74" i="50" s="1"/>
  <c r="AT76" i="50"/>
  <c r="AU76" i="50" s="1"/>
  <c r="AT78" i="50"/>
  <c r="AU78" i="50" s="1"/>
  <c r="AN80" i="50"/>
  <c r="AM82" i="50"/>
  <c r="BD82" i="50"/>
  <c r="BE84" i="50"/>
  <c r="AQ89" i="50"/>
  <c r="AR92" i="50"/>
  <c r="AI93" i="50"/>
  <c r="AD93" i="50" s="1"/>
  <c r="AZ93" i="50"/>
  <c r="AX94" i="50"/>
  <c r="AV95" i="50"/>
  <c r="BE97" i="50"/>
  <c r="AZ98" i="50"/>
  <c r="AP27" i="50"/>
  <c r="CZ27" i="50"/>
  <c r="AQ30" i="50"/>
  <c r="AM32" i="50"/>
  <c r="AQ34" i="50"/>
  <c r="AP35" i="50"/>
  <c r="AT37" i="50"/>
  <c r="AU37" i="50" s="1"/>
  <c r="AT38" i="50"/>
  <c r="AU38" i="50" s="1"/>
  <c r="AQ40" i="50"/>
  <c r="AP41" i="50"/>
  <c r="AX42" i="50"/>
  <c r="AN44" i="50"/>
  <c r="AN46" i="50"/>
  <c r="AW46" i="50"/>
  <c r="AW48" i="50"/>
  <c r="AT49" i="50"/>
  <c r="AU49" i="50" s="1"/>
  <c r="BE51" i="50"/>
  <c r="AP54" i="50"/>
  <c r="AP56" i="50"/>
  <c r="AV57" i="50"/>
  <c r="AN59" i="50"/>
  <c r="BF60" i="50"/>
  <c r="AM64" i="50"/>
  <c r="BE66" i="50"/>
  <c r="AM67" i="50"/>
  <c r="AQ69" i="50"/>
  <c r="AT70" i="50"/>
  <c r="AU70" i="50" s="1"/>
  <c r="AM73" i="50"/>
  <c r="AM75" i="50"/>
  <c r="AL77" i="50"/>
  <c r="AL79" i="50"/>
  <c r="AQ81" i="50"/>
  <c r="AN82" i="50"/>
  <c r="BE82" i="50"/>
  <c r="AQ84" i="50"/>
  <c r="AM85" i="50"/>
  <c r="AW85" i="50"/>
  <c r="AR86" i="50"/>
  <c r="AM87" i="50"/>
  <c r="AW87" i="50"/>
  <c r="AX89" i="50"/>
  <c r="BE93" i="50"/>
  <c r="BF94" i="50"/>
  <c r="AI95" i="50"/>
  <c r="AD95" i="50" s="1"/>
  <c r="AW95" i="50"/>
  <c r="AP97" i="50"/>
  <c r="BF97" i="50"/>
  <c r="DA20" i="50"/>
  <c r="BD25" i="50"/>
  <c r="AW27" i="50"/>
  <c r="AR30" i="50"/>
  <c r="AW34" i="50"/>
  <c r="AX35" i="50"/>
  <c r="AQ36" i="50"/>
  <c r="AR40" i="50"/>
  <c r="AX41" i="50"/>
  <c r="AR45" i="50"/>
  <c r="AZ46" i="50"/>
  <c r="AR50" i="50"/>
  <c r="AS50" i="50" s="1"/>
  <c r="AQ51" i="50"/>
  <c r="AQ54" i="50"/>
  <c r="AQ56" i="50"/>
  <c r="AW57" i="50"/>
  <c r="AP60" i="50"/>
  <c r="AW65" i="50"/>
  <c r="AQ68" i="50"/>
  <c r="AT69" i="50"/>
  <c r="AU69" i="50" s="1"/>
  <c r="AV70" i="50"/>
  <c r="AW71" i="50"/>
  <c r="AM77" i="50"/>
  <c r="AM79" i="50"/>
  <c r="AQ80" i="50"/>
  <c r="AT81" i="50"/>
  <c r="AU81" i="50" s="1"/>
  <c r="AR84" i="50"/>
  <c r="AT86" i="50"/>
  <c r="AU86" i="50" s="1"/>
  <c r="AN93" i="50"/>
  <c r="BF93" i="50"/>
  <c r="AM94" i="50"/>
  <c r="BD95" i="50"/>
  <c r="AT97" i="50"/>
  <c r="AU97" i="50" s="1"/>
  <c r="BD98" i="50"/>
  <c r="CQ146" i="50"/>
  <c r="BF59" i="50"/>
  <c r="AX93" i="50"/>
  <c r="AX27" i="50"/>
  <c r="AT30" i="50"/>
  <c r="AU30" i="50" s="1"/>
  <c r="AZ35" i="50"/>
  <c r="AZ41" i="50"/>
  <c r="AI42" i="50"/>
  <c r="AD42" i="50" s="1"/>
  <c r="AT45" i="50"/>
  <c r="AU45" i="50" s="1"/>
  <c r="AQ46" i="50"/>
  <c r="BD46" i="50"/>
  <c r="AR51" i="50"/>
  <c r="AR54" i="50"/>
  <c r="AR56" i="50"/>
  <c r="AQ59" i="50"/>
  <c r="AQ60" i="50"/>
  <c r="AR64" i="50"/>
  <c r="AS64" i="50" s="1"/>
  <c r="AZ65" i="50"/>
  <c r="AR67" i="50"/>
  <c r="AS67" i="50" s="1"/>
  <c r="AT68" i="50"/>
  <c r="AU68" i="50" s="1"/>
  <c r="AV69" i="50"/>
  <c r="AW70" i="50"/>
  <c r="AN79" i="50"/>
  <c r="AT80" i="50"/>
  <c r="AU80" i="50" s="1"/>
  <c r="AQ82" i="50"/>
  <c r="AV97" i="50"/>
  <c r="CQ147" i="50"/>
  <c r="DO27" i="50"/>
  <c r="DO33" i="50"/>
  <c r="BD35" i="50"/>
  <c r="AV36" i="50"/>
  <c r="AI40" i="50"/>
  <c r="AD40" i="50" s="1"/>
  <c r="BF41" i="50"/>
  <c r="AR46" i="50"/>
  <c r="BE46" i="50"/>
  <c r="AI55" i="50"/>
  <c r="AD55" i="50" s="1"/>
  <c r="AW64" i="50"/>
  <c r="BE65" i="50"/>
  <c r="AW69" i="50"/>
  <c r="AQ77" i="50"/>
  <c r="AV80" i="50"/>
  <c r="AT82" i="50"/>
  <c r="AU82" i="50" s="1"/>
  <c r="AT84" i="50"/>
  <c r="AU84" i="50" s="1"/>
  <c r="F136" i="50"/>
  <c r="H136" i="50" s="1"/>
  <c r="R136" i="50" s="1"/>
  <c r="F139" i="50"/>
  <c r="H139" i="50" s="1"/>
  <c r="S139" i="50" s="1"/>
  <c r="CZ21" i="50"/>
  <c r="DT26" i="50"/>
  <c r="DP29" i="50"/>
  <c r="DN20" i="50"/>
  <c r="DA21" i="50"/>
  <c r="DN24" i="50"/>
  <c r="CX31" i="50"/>
  <c r="DA32" i="50"/>
  <c r="DT36" i="50"/>
  <c r="F146" i="50"/>
  <c r="H146" i="50" s="1"/>
  <c r="R146" i="50" s="1"/>
  <c r="F149" i="50"/>
  <c r="H149" i="50" s="1"/>
  <c r="R149" i="50" s="1"/>
  <c r="F170" i="50"/>
  <c r="F171" i="50"/>
  <c r="AQ29" i="50"/>
  <c r="AI29" i="50"/>
  <c r="AD29" i="50" s="1"/>
  <c r="BF29" i="50"/>
  <c r="AW29" i="50"/>
  <c r="AN29" i="50"/>
  <c r="BE29" i="50"/>
  <c r="AV29" i="50"/>
  <c r="AM29" i="50"/>
  <c r="BD29" i="50"/>
  <c r="AL29" i="50"/>
  <c r="AT29" i="50"/>
  <c r="AU29" i="50" s="1"/>
  <c r="AZ29" i="50"/>
  <c r="AP29" i="50"/>
  <c r="AI22" i="50"/>
  <c r="AD22" i="50" s="1"/>
  <c r="AX29" i="50"/>
  <c r="AR29" i="50"/>
  <c r="AI23" i="50"/>
  <c r="AD23" i="50" s="1"/>
  <c r="AI21" i="50"/>
  <c r="AD21" i="50" s="1"/>
  <c r="CZ24" i="50"/>
  <c r="CY26" i="50"/>
  <c r="CY99" i="50"/>
  <c r="CY98" i="50"/>
  <c r="CY97" i="50"/>
  <c r="CX99" i="50"/>
  <c r="CX98" i="50"/>
  <c r="DP99" i="50"/>
  <c r="DP98" i="50"/>
  <c r="DO99" i="50"/>
  <c r="DO98" i="50"/>
  <c r="DT99" i="50"/>
  <c r="DI99" i="50"/>
  <c r="CZ99" i="50"/>
  <c r="DT98" i="50"/>
  <c r="DI98" i="50"/>
  <c r="CZ98" i="50"/>
  <c r="DT97" i="50"/>
  <c r="DI97" i="50"/>
  <c r="CZ97" i="50"/>
  <c r="DT96" i="50"/>
  <c r="DI96" i="50"/>
  <c r="CZ96" i="50"/>
  <c r="DT95" i="50"/>
  <c r="DI95" i="50"/>
  <c r="CZ95" i="50"/>
  <c r="DT94" i="50"/>
  <c r="DA98" i="50"/>
  <c r="DQ97" i="50"/>
  <c r="DN96" i="50"/>
  <c r="DA96" i="50"/>
  <c r="DQ95" i="50"/>
  <c r="DI94" i="50"/>
  <c r="CZ94" i="50"/>
  <c r="DQ98" i="50"/>
  <c r="DP97" i="50"/>
  <c r="CY96" i="50"/>
  <c r="DP95" i="50"/>
  <c r="DH94" i="50"/>
  <c r="CY94" i="50"/>
  <c r="CY93" i="50"/>
  <c r="CY92" i="50"/>
  <c r="CY91" i="50"/>
  <c r="DN98" i="50"/>
  <c r="DO97" i="50"/>
  <c r="DA97" i="50"/>
  <c r="CX96" i="50"/>
  <c r="DO95" i="50"/>
  <c r="DR94" i="50"/>
  <c r="CX94" i="50"/>
  <c r="CX93" i="50"/>
  <c r="CX92" i="50"/>
  <c r="DG91" i="50"/>
  <c r="CX91" i="50"/>
  <c r="DN97" i="50"/>
  <c r="DN99" i="50"/>
  <c r="DI93" i="50"/>
  <c r="DN92" i="50"/>
  <c r="CZ92" i="50"/>
  <c r="DP91" i="50"/>
  <c r="DN90" i="50"/>
  <c r="DN89" i="50"/>
  <c r="DN88" i="50"/>
  <c r="DN87" i="50"/>
  <c r="DO91" i="50"/>
  <c r="DA91" i="50"/>
  <c r="DA90" i="50"/>
  <c r="DA89" i="50"/>
  <c r="DA88" i="50"/>
  <c r="DA87" i="50"/>
  <c r="DT93" i="50"/>
  <c r="DI92" i="50"/>
  <c r="DN91" i="50"/>
  <c r="CZ91" i="50"/>
  <c r="DT90" i="50"/>
  <c r="DI90" i="50"/>
  <c r="CZ90" i="50"/>
  <c r="DT89" i="50"/>
  <c r="DI89" i="50"/>
  <c r="CZ89" i="50"/>
  <c r="DA99" i="50"/>
  <c r="DG97" i="50"/>
  <c r="DQ94" i="50"/>
  <c r="DQ93" i="50"/>
  <c r="CW91" i="50"/>
  <c r="DH90" i="50"/>
  <c r="CY90" i="50"/>
  <c r="CY89" i="50"/>
  <c r="DH88" i="50"/>
  <c r="CY88" i="50"/>
  <c r="CW99" i="50"/>
  <c r="DA95" i="50"/>
  <c r="DP94" i="50"/>
  <c r="DA94" i="50"/>
  <c r="DP93" i="50"/>
  <c r="DT92" i="50"/>
  <c r="DI91" i="50"/>
  <c r="DQ99" i="50"/>
  <c r="CX97" i="50"/>
  <c r="CX95" i="50"/>
  <c r="CZ93" i="50"/>
  <c r="DA92" i="50"/>
  <c r="DQ91" i="50"/>
  <c r="DO89" i="50"/>
  <c r="DQ88" i="50"/>
  <c r="CZ88" i="50"/>
  <c r="DQ87" i="50"/>
  <c r="DO86" i="50"/>
  <c r="DO85" i="50"/>
  <c r="DO84" i="50"/>
  <c r="DO83" i="50"/>
  <c r="CW95" i="50"/>
  <c r="CW94" i="50"/>
  <c r="DO93" i="50"/>
  <c r="CW93" i="50"/>
  <c r="DP88" i="50"/>
  <c r="CX88" i="50"/>
  <c r="DP87" i="50"/>
  <c r="CZ87" i="50"/>
  <c r="DN86" i="50"/>
  <c r="DN85" i="50"/>
  <c r="DN84" i="50"/>
  <c r="DN95" i="50"/>
  <c r="DN93" i="50"/>
  <c r="DQ92" i="50"/>
  <c r="DO88" i="50"/>
  <c r="DO87" i="50"/>
  <c r="CY87" i="50"/>
  <c r="DA86" i="50"/>
  <c r="DA85" i="50"/>
  <c r="DA84" i="50"/>
  <c r="DA83" i="50"/>
  <c r="DQ96" i="50"/>
  <c r="DP92" i="50"/>
  <c r="DR90" i="50"/>
  <c r="CX90" i="50"/>
  <c r="DI88" i="50"/>
  <c r="DI87" i="50"/>
  <c r="CX87" i="50"/>
  <c r="DP96" i="50"/>
  <c r="DO94" i="50"/>
  <c r="DO92" i="50"/>
  <c r="DQ90" i="50"/>
  <c r="CW90" i="50"/>
  <c r="CW87" i="50"/>
  <c r="DS86" i="50"/>
  <c r="CY86" i="50"/>
  <c r="CY85" i="50"/>
  <c r="DH84" i="50"/>
  <c r="CY84" i="50"/>
  <c r="DS83" i="50"/>
  <c r="DH83" i="50"/>
  <c r="CY83" i="50"/>
  <c r="DS82" i="50"/>
  <c r="DA93" i="50"/>
  <c r="DT91" i="50"/>
  <c r="DR88" i="50"/>
  <c r="DG87" i="50"/>
  <c r="DQ86" i="50"/>
  <c r="CX86" i="50"/>
  <c r="DQ84" i="50"/>
  <c r="CX84" i="50"/>
  <c r="DT82" i="50"/>
  <c r="CW82" i="50"/>
  <c r="DQ81" i="50"/>
  <c r="CW81" i="50"/>
  <c r="DQ80" i="50"/>
  <c r="DQ79" i="50"/>
  <c r="DQ78" i="50"/>
  <c r="CW78" i="50"/>
  <c r="DQ77" i="50"/>
  <c r="CW77" i="50"/>
  <c r="DQ76" i="50"/>
  <c r="DQ75" i="50"/>
  <c r="DQ74" i="50"/>
  <c r="CW74" i="50"/>
  <c r="DQ73" i="50"/>
  <c r="CW73" i="50"/>
  <c r="DQ72" i="50"/>
  <c r="DQ71" i="50"/>
  <c r="DQ70" i="50"/>
  <c r="CW70" i="50"/>
  <c r="DP86" i="50"/>
  <c r="CW86" i="50"/>
  <c r="DP84" i="50"/>
  <c r="DT83" i="50"/>
  <c r="DP81" i="50"/>
  <c r="DP80" i="50"/>
  <c r="DP79" i="50"/>
  <c r="DP78" i="50"/>
  <c r="DP77" i="50"/>
  <c r="DP76" i="50"/>
  <c r="DP75" i="50"/>
  <c r="DN94" i="50"/>
  <c r="DP90" i="50"/>
  <c r="CX89" i="50"/>
  <c r="DI86" i="50"/>
  <c r="DT85" i="50"/>
  <c r="DI84" i="50"/>
  <c r="DQ82" i="50"/>
  <c r="DO81" i="50"/>
  <c r="DO80" i="50"/>
  <c r="DO79" i="50"/>
  <c r="DO78" i="50"/>
  <c r="DO77" i="50"/>
  <c r="DO76" i="50"/>
  <c r="DO75" i="50"/>
  <c r="DO74" i="50"/>
  <c r="DO73" i="50"/>
  <c r="DO72" i="50"/>
  <c r="DO96" i="50"/>
  <c r="CY95" i="50"/>
  <c r="DO90" i="50"/>
  <c r="CW89" i="50"/>
  <c r="DR85" i="50"/>
  <c r="CZ85" i="50"/>
  <c r="DQ83" i="50"/>
  <c r="DP82" i="50"/>
  <c r="DN81" i="50"/>
  <c r="DN80" i="50"/>
  <c r="DN79" i="50"/>
  <c r="DN78" i="50"/>
  <c r="DN77" i="50"/>
  <c r="DN76" i="50"/>
  <c r="DN75" i="50"/>
  <c r="DN74" i="50"/>
  <c r="DN73" i="50"/>
  <c r="DN72" i="50"/>
  <c r="DQ85" i="50"/>
  <c r="CX85" i="50"/>
  <c r="DP83" i="50"/>
  <c r="CZ83" i="50"/>
  <c r="DO82" i="50"/>
  <c r="DA82" i="50"/>
  <c r="DA81" i="50"/>
  <c r="DA80" i="50"/>
  <c r="DA79" i="50"/>
  <c r="DA78" i="50"/>
  <c r="DA77" i="50"/>
  <c r="DA76" i="50"/>
  <c r="DA75" i="50"/>
  <c r="DA74" i="50"/>
  <c r="DA73" i="50"/>
  <c r="DA72" i="50"/>
  <c r="DA71" i="50"/>
  <c r="DQ89" i="50"/>
  <c r="DT86" i="50"/>
  <c r="DN83" i="50"/>
  <c r="CZ82" i="50"/>
  <c r="DH81" i="50"/>
  <c r="DT80" i="50"/>
  <c r="CZ80" i="50"/>
  <c r="DT75" i="50"/>
  <c r="CZ75" i="50"/>
  <c r="DS74" i="50"/>
  <c r="CZ74" i="50"/>
  <c r="CY73" i="50"/>
  <c r="DP72" i="50"/>
  <c r="CX72" i="50"/>
  <c r="DO71" i="50"/>
  <c r="CZ71" i="50"/>
  <c r="DR70" i="50"/>
  <c r="DT87" i="50"/>
  <c r="CW85" i="50"/>
  <c r="DI83" i="50"/>
  <c r="CY82" i="50"/>
  <c r="DG81" i="50"/>
  <c r="DS80" i="50"/>
  <c r="CY80" i="50"/>
  <c r="DT76" i="50"/>
  <c r="CZ76" i="50"/>
  <c r="DS75" i="50"/>
  <c r="CY75" i="50"/>
  <c r="CY74" i="50"/>
  <c r="DP73" i="50"/>
  <c r="CX73" i="50"/>
  <c r="DI72" i="50"/>
  <c r="DN71" i="50"/>
  <c r="CY71" i="50"/>
  <c r="DP70" i="50"/>
  <c r="DT69" i="50"/>
  <c r="DI69" i="50"/>
  <c r="CZ69" i="50"/>
  <c r="DT68" i="50"/>
  <c r="DI68" i="50"/>
  <c r="CZ68" i="50"/>
  <c r="DT67" i="50"/>
  <c r="DI67" i="50"/>
  <c r="DG83" i="50"/>
  <c r="CX82" i="50"/>
  <c r="DR80" i="50"/>
  <c r="CX80" i="50"/>
  <c r="DT84" i="50"/>
  <c r="DN82" i="50"/>
  <c r="DI80" i="50"/>
  <c r="DT79" i="50"/>
  <c r="CZ79" i="50"/>
  <c r="DT78" i="50"/>
  <c r="CZ78" i="50"/>
  <c r="CY77" i="50"/>
  <c r="CX76" i="50"/>
  <c r="DI75" i="50"/>
  <c r="DI74" i="50"/>
  <c r="DH73" i="50"/>
  <c r="DG72" i="50"/>
  <c r="DN70" i="50"/>
  <c r="CZ70" i="50"/>
  <c r="DG69" i="50"/>
  <c r="CX69" i="50"/>
  <c r="DP89" i="50"/>
  <c r="CZ86" i="50"/>
  <c r="DP85" i="50"/>
  <c r="DR84" i="50"/>
  <c r="DI82" i="50"/>
  <c r="DT81" i="50"/>
  <c r="CZ81" i="50"/>
  <c r="DH80" i="50"/>
  <c r="DS79" i="50"/>
  <c r="CY79" i="50"/>
  <c r="CY78" i="50"/>
  <c r="CX77" i="50"/>
  <c r="DI76" i="50"/>
  <c r="DH75" i="50"/>
  <c r="DH74" i="50"/>
  <c r="DG73" i="50"/>
  <c r="DT71" i="50"/>
  <c r="DG71" i="50"/>
  <c r="DI70" i="50"/>
  <c r="CY70" i="50"/>
  <c r="DQ69" i="50"/>
  <c r="CW69" i="50"/>
  <c r="DQ68" i="50"/>
  <c r="CW68" i="50"/>
  <c r="CW83" i="50"/>
  <c r="CX81" i="50"/>
  <c r="DI79" i="50"/>
  <c r="DI78" i="50"/>
  <c r="DH77" i="50"/>
  <c r="DG76" i="50"/>
  <c r="DT73" i="50"/>
  <c r="DS72" i="50"/>
  <c r="CZ72" i="50"/>
  <c r="DT70" i="50"/>
  <c r="DG70" i="50"/>
  <c r="DO69" i="50"/>
  <c r="DO68" i="50"/>
  <c r="DR79" i="50"/>
  <c r="CX75" i="50"/>
  <c r="DG74" i="50"/>
  <c r="CZ73" i="50"/>
  <c r="CX71" i="50"/>
  <c r="DA70" i="50"/>
  <c r="DP69" i="50"/>
  <c r="CY69" i="50"/>
  <c r="CY67" i="50"/>
  <c r="DS66" i="50"/>
  <c r="DH66" i="50"/>
  <c r="CY66" i="50"/>
  <c r="DH65" i="50"/>
  <c r="CY65" i="50"/>
  <c r="DH64" i="50"/>
  <c r="CY64" i="50"/>
  <c r="DS63" i="50"/>
  <c r="DH63" i="50"/>
  <c r="CY63" i="50"/>
  <c r="DS62" i="50"/>
  <c r="CY62" i="50"/>
  <c r="DS61" i="50"/>
  <c r="DH61" i="50"/>
  <c r="CY61" i="50"/>
  <c r="DS60" i="50"/>
  <c r="CY60" i="50"/>
  <c r="CY59" i="50"/>
  <c r="DS58" i="50"/>
  <c r="DH58" i="50"/>
  <c r="CY58" i="50"/>
  <c r="DH57" i="50"/>
  <c r="CY57" i="50"/>
  <c r="DH56" i="50"/>
  <c r="DT88" i="50"/>
  <c r="DI81" i="50"/>
  <c r="DH79" i="50"/>
  <c r="DT72" i="50"/>
  <c r="CX70" i="50"/>
  <c r="DN69" i="50"/>
  <c r="DS67" i="50"/>
  <c r="DG67" i="50"/>
  <c r="CX67" i="50"/>
  <c r="DR66" i="50"/>
  <c r="CX66" i="50"/>
  <c r="CX65" i="50"/>
  <c r="DR64" i="50"/>
  <c r="DG64" i="50"/>
  <c r="CX64" i="50"/>
  <c r="DG63" i="50"/>
  <c r="CX63" i="50"/>
  <c r="DG62" i="50"/>
  <c r="CX62" i="50"/>
  <c r="DR61" i="50"/>
  <c r="DG61" i="50"/>
  <c r="CX61" i="50"/>
  <c r="DR60" i="50"/>
  <c r="CX60" i="50"/>
  <c r="DR59" i="50"/>
  <c r="CZ84" i="50"/>
  <c r="DR78" i="50"/>
  <c r="CZ77" i="50"/>
  <c r="DS71" i="50"/>
  <c r="DP68" i="50"/>
  <c r="DA68" i="50"/>
  <c r="DR67" i="50"/>
  <c r="CW67" i="50"/>
  <c r="DQ66" i="50"/>
  <c r="CW66" i="50"/>
  <c r="DQ65" i="50"/>
  <c r="CW65" i="50"/>
  <c r="DI85" i="50"/>
  <c r="DH78" i="50"/>
  <c r="CY76" i="50"/>
  <c r="CX74" i="50"/>
  <c r="DH72" i="50"/>
  <c r="DP71" i="50"/>
  <c r="DS70" i="50"/>
  <c r="DN68" i="50"/>
  <c r="CY68" i="50"/>
  <c r="DQ67" i="50"/>
  <c r="DP66" i="50"/>
  <c r="DP65" i="50"/>
  <c r="DP64" i="50"/>
  <c r="DP63" i="50"/>
  <c r="DP62" i="50"/>
  <c r="DP61" i="50"/>
  <c r="CY81" i="50"/>
  <c r="CX79" i="50"/>
  <c r="DR75" i="50"/>
  <c r="DS73" i="50"/>
  <c r="DI71" i="50"/>
  <c r="DO70" i="50"/>
  <c r="CX68" i="50"/>
  <c r="DP67" i="50"/>
  <c r="DO66" i="50"/>
  <c r="DO65" i="50"/>
  <c r="DO64" i="50"/>
  <c r="CX83" i="50"/>
  <c r="CX78" i="50"/>
  <c r="DI77" i="50"/>
  <c r="DT74" i="50"/>
  <c r="CY72" i="50"/>
  <c r="DG68" i="50"/>
  <c r="DN67" i="50"/>
  <c r="DA67" i="50"/>
  <c r="DA66" i="50"/>
  <c r="DA65" i="50"/>
  <c r="DA64" i="50"/>
  <c r="DA63" i="50"/>
  <c r="DA62" i="50"/>
  <c r="DA61" i="50"/>
  <c r="DA60" i="50"/>
  <c r="DT77" i="50"/>
  <c r="DP74" i="50"/>
  <c r="DN66" i="50"/>
  <c r="DT64" i="50"/>
  <c r="CZ64" i="50"/>
  <c r="DI63" i="50"/>
  <c r="DO61" i="50"/>
  <c r="CW61" i="50"/>
  <c r="DP60" i="50"/>
  <c r="CZ60" i="50"/>
  <c r="DG59" i="50"/>
  <c r="DO58" i="50"/>
  <c r="DT57" i="50"/>
  <c r="DG57" i="50"/>
  <c r="CW57" i="50"/>
  <c r="DO56" i="50"/>
  <c r="DN55" i="50"/>
  <c r="DN54" i="50"/>
  <c r="DN53" i="50"/>
  <c r="DN52" i="50"/>
  <c r="DN51" i="50"/>
  <c r="DO50" i="50"/>
  <c r="DP49" i="50"/>
  <c r="DQ48" i="50"/>
  <c r="DG77" i="50"/>
  <c r="CZ67" i="50"/>
  <c r="DI66" i="50"/>
  <c r="CZ65" i="50"/>
  <c r="DQ64" i="50"/>
  <c r="CW64" i="50"/>
  <c r="DT62" i="50"/>
  <c r="DN61" i="50"/>
  <c r="DO60" i="50"/>
  <c r="DT59" i="50"/>
  <c r="DN58" i="50"/>
  <c r="DA58" i="50"/>
  <c r="DR57" i="50"/>
  <c r="DN56" i="50"/>
  <c r="DA56" i="50"/>
  <c r="DA55" i="50"/>
  <c r="DA54" i="50"/>
  <c r="DA53" i="50"/>
  <c r="DA52" i="50"/>
  <c r="DA51" i="50"/>
  <c r="DN50" i="50"/>
  <c r="DO49" i="50"/>
  <c r="DI73" i="50"/>
  <c r="DN64" i="50"/>
  <c r="DQ62" i="50"/>
  <c r="CZ62" i="50"/>
  <c r="DI61" i="50"/>
  <c r="DN60" i="50"/>
  <c r="DQ59" i="50"/>
  <c r="CZ58" i="50"/>
  <c r="DQ57" i="50"/>
  <c r="CZ56" i="50"/>
  <c r="DT55" i="50"/>
  <c r="DI55" i="50"/>
  <c r="CZ55" i="50"/>
  <c r="DT54" i="50"/>
  <c r="DI54" i="50"/>
  <c r="CZ54" i="50"/>
  <c r="DT53" i="50"/>
  <c r="DI53" i="50"/>
  <c r="CZ53" i="50"/>
  <c r="DT52" i="50"/>
  <c r="DI52" i="50"/>
  <c r="CZ52" i="50"/>
  <c r="DT51" i="50"/>
  <c r="DI51" i="50"/>
  <c r="CZ51" i="50"/>
  <c r="DA50" i="50"/>
  <c r="DN49" i="50"/>
  <c r="DO48" i="50"/>
  <c r="DG80" i="50"/>
  <c r="DO67" i="50"/>
  <c r="DN65" i="50"/>
  <c r="DT63" i="50"/>
  <c r="DN62" i="50"/>
  <c r="DO59" i="50"/>
  <c r="DT58" i="50"/>
  <c r="DG58" i="50"/>
  <c r="CW58" i="50"/>
  <c r="DO57" i="50"/>
  <c r="DT56" i="50"/>
  <c r="CX56" i="50"/>
  <c r="CX55" i="50"/>
  <c r="DR54" i="50"/>
  <c r="DG54" i="50"/>
  <c r="CX54" i="50"/>
  <c r="DG53" i="50"/>
  <c r="CX53" i="50"/>
  <c r="DO63" i="50"/>
  <c r="CZ61" i="50"/>
  <c r="DP57" i="50"/>
  <c r="CX57" i="50"/>
  <c r="DP56" i="50"/>
  <c r="DO54" i="50"/>
  <c r="DH52" i="50"/>
  <c r="CW50" i="50"/>
  <c r="DQ49" i="50"/>
  <c r="DA49" i="50"/>
  <c r="DP48" i="50"/>
  <c r="DO47" i="50"/>
  <c r="DP46" i="50"/>
  <c r="DQ45" i="50"/>
  <c r="DR44" i="50"/>
  <c r="DG44" i="50"/>
  <c r="CX44" i="50"/>
  <c r="DS43" i="50"/>
  <c r="CY43" i="50"/>
  <c r="DT42" i="50"/>
  <c r="DI42" i="50"/>
  <c r="CZ42" i="50"/>
  <c r="DA41" i="50"/>
  <c r="DN40" i="50"/>
  <c r="DO39" i="50"/>
  <c r="DP38" i="50"/>
  <c r="DQ37" i="50"/>
  <c r="DG36" i="50"/>
  <c r="CX36" i="50"/>
  <c r="DS35" i="50"/>
  <c r="DH35" i="50"/>
  <c r="CY35" i="50"/>
  <c r="DT34" i="50"/>
  <c r="DI34" i="50"/>
  <c r="CZ34" i="50"/>
  <c r="DA33" i="50"/>
  <c r="DN32" i="50"/>
  <c r="DO31" i="50"/>
  <c r="DP30" i="50"/>
  <c r="DH68" i="50"/>
  <c r="CZ66" i="50"/>
  <c r="DT65" i="50"/>
  <c r="DN63" i="50"/>
  <c r="DT60" i="50"/>
  <c r="CX58" i="50"/>
  <c r="DN57" i="50"/>
  <c r="DI56" i="50"/>
  <c r="DS55" i="50"/>
  <c r="CY55" i="50"/>
  <c r="DS53" i="50"/>
  <c r="CY53" i="50"/>
  <c r="DG52" i="50"/>
  <c r="DR51" i="50"/>
  <c r="CZ49" i="50"/>
  <c r="DN48" i="50"/>
  <c r="DA48" i="50"/>
  <c r="DN47" i="50"/>
  <c r="DO46" i="50"/>
  <c r="DP45" i="50"/>
  <c r="DQ44" i="50"/>
  <c r="DR43" i="50"/>
  <c r="CX43" i="50"/>
  <c r="DS42" i="50"/>
  <c r="DH42" i="50"/>
  <c r="CY42" i="50"/>
  <c r="DT41" i="50"/>
  <c r="DI41" i="50"/>
  <c r="CZ41" i="50"/>
  <c r="DA40" i="50"/>
  <c r="DN39" i="50"/>
  <c r="DI65" i="50"/>
  <c r="DO62" i="50"/>
  <c r="DT61" i="50"/>
  <c r="DQ60" i="50"/>
  <c r="DA59" i="50"/>
  <c r="DR58" i="50"/>
  <c r="DQ55" i="50"/>
  <c r="DQ53" i="50"/>
  <c r="CW53" i="50"/>
  <c r="DQ51" i="50"/>
  <c r="CY51" i="50"/>
  <c r="DT50" i="50"/>
  <c r="DI49" i="50"/>
  <c r="CY49" i="50"/>
  <c r="CZ48" i="50"/>
  <c r="DA47" i="50"/>
  <c r="DN46" i="50"/>
  <c r="DO45" i="50"/>
  <c r="DP44" i="50"/>
  <c r="DQ43" i="50"/>
  <c r="CW43" i="50"/>
  <c r="CX42" i="50"/>
  <c r="DS41" i="50"/>
  <c r="DH41" i="50"/>
  <c r="CY41" i="50"/>
  <c r="DT40" i="50"/>
  <c r="DI40" i="50"/>
  <c r="CZ40" i="50"/>
  <c r="DA39" i="50"/>
  <c r="DN38" i="50"/>
  <c r="DO37" i="50"/>
  <c r="DP36" i="50"/>
  <c r="DQ35" i="50"/>
  <c r="DR34" i="50"/>
  <c r="CX34" i="50"/>
  <c r="DS33" i="50"/>
  <c r="DH33" i="50"/>
  <c r="CY33" i="50"/>
  <c r="DT32" i="50"/>
  <c r="DI32" i="50"/>
  <c r="CZ32" i="50"/>
  <c r="DA31" i="50"/>
  <c r="DN30" i="50"/>
  <c r="DO29" i="50"/>
  <c r="DP28" i="50"/>
  <c r="DQ27" i="50"/>
  <c r="CW27" i="50"/>
  <c r="DG26" i="50"/>
  <c r="CX26" i="50"/>
  <c r="DI64" i="50"/>
  <c r="DI62" i="50"/>
  <c r="DQ61" i="50"/>
  <c r="DI60" i="50"/>
  <c r="CZ59" i="50"/>
  <c r="DQ58" i="50"/>
  <c r="DI57" i="50"/>
  <c r="DP55" i="50"/>
  <c r="DP53" i="50"/>
  <c r="DS52" i="50"/>
  <c r="DP51" i="50"/>
  <c r="CX51" i="50"/>
  <c r="DH49" i="50"/>
  <c r="CX49" i="50"/>
  <c r="DI48" i="50"/>
  <c r="CY48" i="50"/>
  <c r="DT47" i="50"/>
  <c r="DI47" i="50"/>
  <c r="CZ47" i="50"/>
  <c r="DA46" i="50"/>
  <c r="DN45" i="50"/>
  <c r="DO44" i="50"/>
  <c r="DP43" i="50"/>
  <c r="DQ42" i="50"/>
  <c r="CW42" i="50"/>
  <c r="DR41" i="50"/>
  <c r="DG41" i="50"/>
  <c r="CX41" i="50"/>
  <c r="DS40" i="50"/>
  <c r="CY40" i="50"/>
  <c r="DT39" i="50"/>
  <c r="DI39" i="50"/>
  <c r="CZ39" i="50"/>
  <c r="DA38" i="50"/>
  <c r="DA69" i="50"/>
  <c r="DP59" i="50"/>
  <c r="CX59" i="50"/>
  <c r="DP58" i="50"/>
  <c r="DO55" i="50"/>
  <c r="DO53" i="50"/>
  <c r="DR52" i="50"/>
  <c r="DO51" i="50"/>
  <c r="DR50" i="50"/>
  <c r="DH48" i="50"/>
  <c r="CX48" i="50"/>
  <c r="DS47" i="50"/>
  <c r="DH47" i="50"/>
  <c r="CY47" i="50"/>
  <c r="DT46" i="50"/>
  <c r="DI46" i="50"/>
  <c r="CZ46" i="50"/>
  <c r="DA45" i="50"/>
  <c r="DN44" i="50"/>
  <c r="DO43" i="50"/>
  <c r="DP42" i="50"/>
  <c r="DQ41" i="50"/>
  <c r="CW41" i="50"/>
  <c r="CX40" i="50"/>
  <c r="DS39" i="50"/>
  <c r="DH39" i="50"/>
  <c r="CY39" i="50"/>
  <c r="DT38" i="50"/>
  <c r="DI38" i="50"/>
  <c r="CZ38" i="50"/>
  <c r="DA37" i="50"/>
  <c r="DN36" i="50"/>
  <c r="DO35" i="50"/>
  <c r="DP34" i="50"/>
  <c r="DT66" i="50"/>
  <c r="DA57" i="50"/>
  <c r="DQ54" i="50"/>
  <c r="CW54" i="50"/>
  <c r="DP52" i="50"/>
  <c r="CX52" i="50"/>
  <c r="DP50" i="50"/>
  <c r="CY50" i="50"/>
  <c r="DS48" i="50"/>
  <c r="DQ47" i="50"/>
  <c r="CW47" i="50"/>
  <c r="DR46" i="50"/>
  <c r="CX46" i="50"/>
  <c r="CY45" i="50"/>
  <c r="DT44" i="50"/>
  <c r="DI44" i="50"/>
  <c r="CZ44" i="50"/>
  <c r="DA43" i="50"/>
  <c r="DN42" i="50"/>
  <c r="CZ63" i="50"/>
  <c r="DN59" i="50"/>
  <c r="DH55" i="50"/>
  <c r="CY54" i="50"/>
  <c r="DG47" i="50"/>
  <c r="CY46" i="50"/>
  <c r="DI45" i="50"/>
  <c r="DH44" i="50"/>
  <c r="DO38" i="50"/>
  <c r="DP37" i="50"/>
  <c r="CZ37" i="50"/>
  <c r="DS36" i="50"/>
  <c r="DG35" i="50"/>
  <c r="DO32" i="50"/>
  <c r="CY32" i="50"/>
  <c r="CZ30" i="50"/>
  <c r="DI29" i="50"/>
  <c r="CZ29" i="50"/>
  <c r="DT28" i="50"/>
  <c r="CY28" i="50"/>
  <c r="DI27" i="50"/>
  <c r="CY27" i="50"/>
  <c r="DS26" i="50"/>
  <c r="DQ25" i="50"/>
  <c r="CW25" i="50"/>
  <c r="DR24" i="50"/>
  <c r="CX24" i="50"/>
  <c r="CY23" i="50"/>
  <c r="DT22" i="50"/>
  <c r="DI22" i="50"/>
  <c r="CZ22" i="50"/>
  <c r="DI59" i="50"/>
  <c r="CY52" i="50"/>
  <c r="DG45" i="50"/>
  <c r="CZ43" i="50"/>
  <c r="DA42" i="50"/>
  <c r="DH38" i="50"/>
  <c r="DN37" i="50"/>
  <c r="CY37" i="50"/>
  <c r="DQ36" i="50"/>
  <c r="DA36" i="50"/>
  <c r="DT33" i="50"/>
  <c r="CX32" i="50"/>
  <c r="DQ31" i="50"/>
  <c r="DI30" i="50"/>
  <c r="CY30" i="50"/>
  <c r="DT29" i="50"/>
  <c r="CY29" i="50"/>
  <c r="DS28" i="50"/>
  <c r="DG28" i="50"/>
  <c r="CX28" i="50"/>
  <c r="DT27" i="50"/>
  <c r="CX27" i="50"/>
  <c r="DQ26" i="50"/>
  <c r="DP25" i="50"/>
  <c r="DQ24" i="50"/>
  <c r="CW24" i="50"/>
  <c r="DR23" i="50"/>
  <c r="DG23" i="50"/>
  <c r="CX23" i="50"/>
  <c r="DS22" i="50"/>
  <c r="CY22" i="50"/>
  <c r="CY56" i="50"/>
  <c r="CW52" i="50"/>
  <c r="DQ50" i="50"/>
  <c r="DS46" i="50"/>
  <c r="DR39" i="50"/>
  <c r="CX39" i="50"/>
  <c r="DI37" i="50"/>
  <c r="CX37" i="50"/>
  <c r="DO36" i="50"/>
  <c r="CZ36" i="50"/>
  <c r="DT35" i="50"/>
  <c r="DS34" i="50"/>
  <c r="CW32" i="50"/>
  <c r="DP31" i="50"/>
  <c r="DH30" i="50"/>
  <c r="CX30" i="50"/>
  <c r="DG29" i="50"/>
  <c r="CX29" i="50"/>
  <c r="CW28" i="50"/>
  <c r="DS27" i="50"/>
  <c r="DG27" i="50"/>
  <c r="DP26" i="50"/>
  <c r="DO25" i="50"/>
  <c r="DP24" i="50"/>
  <c r="DQ23" i="50"/>
  <c r="DR22" i="50"/>
  <c r="DG22" i="50"/>
  <c r="CX22" i="50"/>
  <c r="DI50" i="50"/>
  <c r="DQ46" i="50"/>
  <c r="DA44" i="50"/>
  <c r="DT43" i="50"/>
  <c r="DQ39" i="50"/>
  <c r="CW39" i="50"/>
  <c r="DH37" i="50"/>
  <c r="CY36" i="50"/>
  <c r="DR35" i="50"/>
  <c r="DQ34" i="50"/>
  <c r="DQ33" i="50"/>
  <c r="DN31" i="50"/>
  <c r="CZ31" i="50"/>
  <c r="DT30" i="50"/>
  <c r="DG30" i="50"/>
  <c r="CW30" i="50"/>
  <c r="CW29" i="50"/>
  <c r="DQ28" i="50"/>
  <c r="DO26" i="50"/>
  <c r="DN25" i="50"/>
  <c r="DO24" i="50"/>
  <c r="DP23" i="50"/>
  <c r="DQ22" i="50"/>
  <c r="CW22" i="50"/>
  <c r="DQ63" i="50"/>
  <c r="DT49" i="50"/>
  <c r="CX47" i="50"/>
  <c r="DH46" i="50"/>
  <c r="CY44" i="50"/>
  <c r="DN43" i="50"/>
  <c r="DP41" i="50"/>
  <c r="DQ40" i="50"/>
  <c r="DP39" i="50"/>
  <c r="DG37" i="50"/>
  <c r="DI36" i="50"/>
  <c r="CW36" i="50"/>
  <c r="DP35" i="50"/>
  <c r="DA35" i="50"/>
  <c r="DO34" i="50"/>
  <c r="DA34" i="50"/>
  <c r="DP33" i="50"/>
  <c r="DS32" i="50"/>
  <c r="DI31" i="50"/>
  <c r="CY31" i="50"/>
  <c r="DS30" i="50"/>
  <c r="DQ29" i="50"/>
  <c r="DO28" i="50"/>
  <c r="DP27" i="50"/>
  <c r="DN26" i="50"/>
  <c r="DA26" i="50"/>
  <c r="CW62" i="50"/>
  <c r="DP54" i="50"/>
  <c r="DQ52" i="50"/>
  <c r="DT48" i="50"/>
  <c r="DO52" i="50"/>
  <c r="CZ50" i="50"/>
  <c r="DR48" i="50"/>
  <c r="DR47" i="50"/>
  <c r="DT45" i="50"/>
  <c r="CX45" i="50"/>
  <c r="DS44" i="50"/>
  <c r="DN41" i="50"/>
  <c r="DO40" i="50"/>
  <c r="DR38" i="50"/>
  <c r="CY38" i="50"/>
  <c r="DS37" i="50"/>
  <c r="CX35" i="50"/>
  <c r="DN33" i="50"/>
  <c r="CX33" i="50"/>
  <c r="DQ32" i="50"/>
  <c r="DT31" i="50"/>
  <c r="DG31" i="50"/>
  <c r="CW31" i="50"/>
  <c r="DQ30" i="50"/>
  <c r="DN29" i="50"/>
  <c r="DA28" i="50"/>
  <c r="DI58" i="50"/>
  <c r="CZ57" i="50"/>
  <c r="DQ56" i="50"/>
  <c r="CX50" i="50"/>
  <c r="DG48" i="50"/>
  <c r="DP47" i="50"/>
  <c r="CZ28" i="50"/>
  <c r="DN27" i="50"/>
  <c r="DT25" i="50"/>
  <c r="DI24" i="50"/>
  <c r="DI23" i="50"/>
  <c r="DS21" i="50"/>
  <c r="DH21" i="50"/>
  <c r="CY21" i="50"/>
  <c r="DT20" i="50"/>
  <c r="DP21" i="50"/>
  <c r="DQ20" i="50"/>
  <c r="DO41" i="50"/>
  <c r="CZ35" i="50"/>
  <c r="DR30" i="50"/>
  <c r="DI26" i="50"/>
  <c r="DA25" i="50"/>
  <c r="DH24" i="50"/>
  <c r="DA22" i="50"/>
  <c r="DR21" i="50"/>
  <c r="CX21" i="50"/>
  <c r="CY20" i="50"/>
  <c r="AH11" i="50"/>
  <c r="CW20" i="50"/>
  <c r="DS38" i="50"/>
  <c r="DH31" i="50"/>
  <c r="DO30" i="50"/>
  <c r="DR25" i="50"/>
  <c r="CZ25" i="50"/>
  <c r="DP22" i="50"/>
  <c r="DQ21" i="50"/>
  <c r="DR20" i="50"/>
  <c r="CX20" i="50"/>
  <c r="DO42" i="50"/>
  <c r="DQ38" i="50"/>
  <c r="DN34" i="50"/>
  <c r="CZ33" i="50"/>
  <c r="DP32" i="50"/>
  <c r="DA29" i="50"/>
  <c r="DN28" i="50"/>
  <c r="CY25" i="50"/>
  <c r="DO22" i="50"/>
  <c r="CZ45" i="50"/>
  <c r="DG39" i="50"/>
  <c r="DT37" i="50"/>
  <c r="CW33" i="50"/>
  <c r="DI28" i="50"/>
  <c r="DI25" i="50"/>
  <c r="CX25" i="50"/>
  <c r="DT24" i="50"/>
  <c r="DT23" i="50"/>
  <c r="DA23" i="50"/>
  <c r="DN22" i="50"/>
  <c r="DO21" i="50"/>
  <c r="DP20" i="50"/>
  <c r="DN35" i="50"/>
  <c r="DA30" i="50"/>
  <c r="DA27" i="50"/>
  <c r="CZ26" i="50"/>
  <c r="DS24" i="50"/>
  <c r="DA24" i="50"/>
  <c r="DO23" i="50"/>
  <c r="CZ23" i="50"/>
  <c r="DN21" i="50"/>
  <c r="DO20" i="50"/>
  <c r="CX38" i="50"/>
  <c r="BD20" i="50"/>
  <c r="AH18" i="50"/>
  <c r="AI20" i="50"/>
  <c r="AN20" i="50" s="1"/>
  <c r="DT21" i="50"/>
  <c r="DN23" i="50"/>
  <c r="DI33" i="50"/>
  <c r="CY34" i="50"/>
  <c r="DI43" i="50"/>
  <c r="AQ39" i="50"/>
  <c r="AI39" i="50"/>
  <c r="AD39" i="50" s="1"/>
  <c r="BE39" i="50"/>
  <c r="AW39" i="50"/>
  <c r="BD39" i="50"/>
  <c r="AV39" i="50"/>
  <c r="AN39" i="50"/>
  <c r="AM39" i="50"/>
  <c r="AR39" i="50"/>
  <c r="BF39" i="50"/>
  <c r="AP39" i="50"/>
  <c r="AL39" i="50"/>
  <c r="AI38" i="50"/>
  <c r="AD38" i="50" s="1"/>
  <c r="AX39" i="50"/>
  <c r="O9" i="50"/>
  <c r="BD22" i="50"/>
  <c r="AI24" i="50"/>
  <c r="AD24" i="50" s="1"/>
  <c r="AZ28" i="50"/>
  <c r="AR28" i="50"/>
  <c r="AX28" i="50"/>
  <c r="BF28" i="50"/>
  <c r="AW28" i="50"/>
  <c r="AN28" i="50"/>
  <c r="BE28" i="50"/>
  <c r="AV28" i="50"/>
  <c r="AM28" i="50"/>
  <c r="BD28" i="50"/>
  <c r="AL28" i="50"/>
  <c r="AT28" i="50"/>
  <c r="AU28" i="50" s="1"/>
  <c r="AQ28" i="50"/>
  <c r="AI28" i="50"/>
  <c r="AD28" i="50" s="1"/>
  <c r="AI30" i="50"/>
  <c r="AD30" i="50" s="1"/>
  <c r="AT39" i="50"/>
  <c r="AU39" i="50" s="1"/>
  <c r="BD23" i="50"/>
  <c r="BD24" i="50"/>
  <c r="AP28" i="50"/>
  <c r="AZ39" i="50"/>
  <c r="AQ37" i="50"/>
  <c r="AI37" i="50"/>
  <c r="AD37" i="50" s="1"/>
  <c r="BE37" i="50"/>
  <c r="AW37" i="50"/>
  <c r="AZ37" i="50"/>
  <c r="AN37" i="50"/>
  <c r="AI36" i="50"/>
  <c r="AD36" i="50" s="1"/>
  <c r="AI34" i="50"/>
  <c r="AD34" i="50" s="1"/>
  <c r="AX37" i="50"/>
  <c r="AM37" i="50"/>
  <c r="AV37" i="50"/>
  <c r="AL37" i="50"/>
  <c r="AI32" i="50"/>
  <c r="AD32" i="50" s="1"/>
  <c r="BD37" i="50"/>
  <c r="AR37" i="50"/>
  <c r="BF91" i="50"/>
  <c r="AW91" i="50"/>
  <c r="BE91" i="50"/>
  <c r="AV91" i="50"/>
  <c r="AN91" i="50"/>
  <c r="BD91" i="50"/>
  <c r="AM91" i="50"/>
  <c r="AT91" i="50"/>
  <c r="AU91" i="50" s="1"/>
  <c r="AL91" i="50"/>
  <c r="AR91" i="50"/>
  <c r="AQ91" i="50"/>
  <c r="AP91" i="50"/>
  <c r="AZ91" i="50"/>
  <c r="AI83" i="50"/>
  <c r="AD83" i="50" s="1"/>
  <c r="AI84" i="50"/>
  <c r="AD84" i="50" s="1"/>
  <c r="AI82" i="50"/>
  <c r="AD82" i="50" s="1"/>
  <c r="AI81" i="50"/>
  <c r="AD81" i="50" s="1"/>
  <c r="AI80" i="50"/>
  <c r="AD80" i="50" s="1"/>
  <c r="AI79" i="50"/>
  <c r="AD79" i="50" s="1"/>
  <c r="AI78" i="50"/>
  <c r="AD78" i="50" s="1"/>
  <c r="AI77" i="50"/>
  <c r="AD77" i="50" s="1"/>
  <c r="AI76" i="50"/>
  <c r="AD76" i="50" s="1"/>
  <c r="AI75" i="50"/>
  <c r="AD75" i="50" s="1"/>
  <c r="AX91" i="50"/>
  <c r="AI89" i="50"/>
  <c r="AD89" i="50" s="1"/>
  <c r="AI86" i="50"/>
  <c r="AD86" i="50" s="1"/>
  <c r="AI91" i="50"/>
  <c r="AD91" i="50" s="1"/>
  <c r="AK80" i="50"/>
  <c r="AK79" i="50"/>
  <c r="AI88" i="50"/>
  <c r="AD88" i="50" s="1"/>
  <c r="AI72" i="50"/>
  <c r="AD72" i="50" s="1"/>
  <c r="AI74" i="50"/>
  <c r="AD74" i="50" s="1"/>
  <c r="AK81" i="50"/>
  <c r="AK72" i="50"/>
  <c r="AI85" i="50"/>
  <c r="AD85" i="50" s="1"/>
  <c r="AI73" i="50"/>
  <c r="AD73" i="50" s="1"/>
  <c r="AI71" i="50"/>
  <c r="AD71" i="50" s="1"/>
  <c r="AI87" i="50"/>
  <c r="AD87" i="50" s="1"/>
  <c r="AI70" i="50"/>
  <c r="AD70" i="50" s="1"/>
  <c r="AI69" i="50"/>
  <c r="AD69" i="50" s="1"/>
  <c r="F147" i="50"/>
  <c r="AQ27" i="50"/>
  <c r="AZ27" i="50"/>
  <c r="BE33" i="50"/>
  <c r="AW33" i="50"/>
  <c r="AM33" i="50"/>
  <c r="AQ33" i="50"/>
  <c r="AI27" i="50"/>
  <c r="AD27" i="50" s="1"/>
  <c r="AR27" i="50"/>
  <c r="AZ31" i="50"/>
  <c r="AI33" i="50"/>
  <c r="AD33" i="50" s="1"/>
  <c r="AR33" i="50"/>
  <c r="AR35" i="50"/>
  <c r="BE35" i="50"/>
  <c r="AK40" i="50"/>
  <c r="AQ41" i="50"/>
  <c r="AI25" i="50"/>
  <c r="AD25" i="50" s="1"/>
  <c r="AT27" i="50"/>
  <c r="AU27" i="50" s="1"/>
  <c r="AP31" i="50"/>
  <c r="BD33" i="50"/>
  <c r="BD34" i="50"/>
  <c r="AV34" i="50"/>
  <c r="AN34" i="50"/>
  <c r="AT34" i="50"/>
  <c r="AU34" i="50" s="1"/>
  <c r="AL34" i="50"/>
  <c r="AR34" i="50"/>
  <c r="AT35" i="50"/>
  <c r="AU35" i="50" s="1"/>
  <c r="AI48" i="50"/>
  <c r="AD48" i="50" s="1"/>
  <c r="AI68" i="50"/>
  <c r="AD68" i="50" s="1"/>
  <c r="AI26" i="50"/>
  <c r="AD26" i="50" s="1"/>
  <c r="AL27" i="50"/>
  <c r="BD27" i="50"/>
  <c r="AQ31" i="50"/>
  <c r="AI31" i="50"/>
  <c r="AD31" i="50" s="1"/>
  <c r="BE31" i="50"/>
  <c r="AW31" i="50"/>
  <c r="AR31" i="50"/>
  <c r="AT33" i="50"/>
  <c r="AU33" i="50" s="1"/>
  <c r="BF33" i="50"/>
  <c r="AM35" i="50"/>
  <c r="AQ35" i="50"/>
  <c r="AI35" i="50"/>
  <c r="AD35" i="50" s="1"/>
  <c r="AV35" i="50"/>
  <c r="AI61" i="50"/>
  <c r="AD61" i="50" s="1"/>
  <c r="AT62" i="50"/>
  <c r="AU62" i="50" s="1"/>
  <c r="AL62" i="50"/>
  <c r="AQ62" i="50"/>
  <c r="AI62" i="50"/>
  <c r="AD62" i="50" s="1"/>
  <c r="BD62" i="50"/>
  <c r="AV62" i="50"/>
  <c r="AN62" i="50"/>
  <c r="AW62" i="50"/>
  <c r="AR62" i="50"/>
  <c r="BE62" i="50"/>
  <c r="AZ62" i="50"/>
  <c r="AI46" i="50"/>
  <c r="AD46" i="50" s="1"/>
  <c r="AX62" i="50"/>
  <c r="AP62" i="50"/>
  <c r="AI58" i="50"/>
  <c r="AD58" i="50" s="1"/>
  <c r="AI53" i="50"/>
  <c r="AD53" i="50" s="1"/>
  <c r="AI44" i="50"/>
  <c r="AD44" i="50" s="1"/>
  <c r="AM27" i="50"/>
  <c r="AV27" i="50"/>
  <c r="BE27" i="50"/>
  <c r="AL33" i="50"/>
  <c r="AV33" i="50"/>
  <c r="AW35" i="50"/>
  <c r="BE41" i="50"/>
  <c r="AW41" i="50"/>
  <c r="BD41" i="50"/>
  <c r="AV41" i="50"/>
  <c r="AN41" i="50"/>
  <c r="AM41" i="50"/>
  <c r="AT41" i="50"/>
  <c r="AU41" i="50" s="1"/>
  <c r="AL41" i="50"/>
  <c r="BD42" i="50"/>
  <c r="AV42" i="50"/>
  <c r="AN42" i="50"/>
  <c r="AM42" i="50"/>
  <c r="AT42" i="50"/>
  <c r="AU42" i="50" s="1"/>
  <c r="AL42" i="50"/>
  <c r="AZ42" i="50"/>
  <c r="AR42" i="50"/>
  <c r="AM43" i="50"/>
  <c r="AT43" i="50"/>
  <c r="AU43" i="50" s="1"/>
  <c r="AL43" i="50"/>
  <c r="AZ43" i="50"/>
  <c r="AR43" i="50"/>
  <c r="AQ43" i="50"/>
  <c r="AI43" i="50"/>
  <c r="AD43" i="50" s="1"/>
  <c r="BE43" i="50"/>
  <c r="AW43" i="50"/>
  <c r="BF43" i="50"/>
  <c r="BE55" i="50"/>
  <c r="AW55" i="50"/>
  <c r="BD55" i="50"/>
  <c r="AV55" i="50"/>
  <c r="AN55" i="50"/>
  <c r="AM55" i="50"/>
  <c r="AK55" i="50"/>
  <c r="AT55" i="50"/>
  <c r="AU55" i="50" s="1"/>
  <c r="AT61" i="50"/>
  <c r="AU61" i="50" s="1"/>
  <c r="AL61" i="50"/>
  <c r="AK61" i="50"/>
  <c r="AY61" i="50" s="1"/>
  <c r="BM61" i="50" s="1"/>
  <c r="BD61" i="50"/>
  <c r="AV61" i="50"/>
  <c r="AN61" i="50"/>
  <c r="BF61" i="50"/>
  <c r="AR61" i="50"/>
  <c r="BE61" i="50"/>
  <c r="AQ61" i="50"/>
  <c r="AP61" i="50"/>
  <c r="AM61" i="50"/>
  <c r="AP36" i="50"/>
  <c r="AX36" i="50"/>
  <c r="BF36" i="50"/>
  <c r="AP44" i="50"/>
  <c r="AX44" i="50"/>
  <c r="BF44" i="50"/>
  <c r="AW45" i="50"/>
  <c r="BE45" i="50"/>
  <c r="AM47" i="50"/>
  <c r="AM48" i="50"/>
  <c r="AV48" i="50"/>
  <c r="BF48" i="50"/>
  <c r="BE53" i="50"/>
  <c r="AW53" i="50"/>
  <c r="BD53" i="50"/>
  <c r="AV53" i="50"/>
  <c r="AN53" i="50"/>
  <c r="AM53" i="50"/>
  <c r="AR53" i="50"/>
  <c r="BF53" i="50"/>
  <c r="AT58" i="50"/>
  <c r="AL58" i="50"/>
  <c r="AP58" i="50"/>
  <c r="AX58" i="50"/>
  <c r="BF58" i="50"/>
  <c r="AW58" i="50"/>
  <c r="AN58" i="50"/>
  <c r="BD58" i="50"/>
  <c r="AV58" i="50"/>
  <c r="AT59" i="50"/>
  <c r="AU59" i="50" s="1"/>
  <c r="AL59" i="50"/>
  <c r="BD59" i="50"/>
  <c r="AR59" i="50"/>
  <c r="AI59" i="50"/>
  <c r="AD59" i="50" s="1"/>
  <c r="AP59" i="50"/>
  <c r="AX59" i="50"/>
  <c r="AP45" i="50"/>
  <c r="AX45" i="50"/>
  <c r="BF45" i="50"/>
  <c r="AL55" i="50"/>
  <c r="AZ55" i="50"/>
  <c r="AP30" i="50"/>
  <c r="AX30" i="50"/>
  <c r="AN32" i="50"/>
  <c r="AV32" i="50"/>
  <c r="BD32" i="50"/>
  <c r="AR36" i="50"/>
  <c r="AS36" i="50" s="1"/>
  <c r="AZ36" i="50"/>
  <c r="AP38" i="50"/>
  <c r="AX38" i="50"/>
  <c r="AN40" i="50"/>
  <c r="AV40" i="50"/>
  <c r="BD40" i="50"/>
  <c r="AR44" i="50"/>
  <c r="AS44" i="50" s="1"/>
  <c r="AZ44" i="50"/>
  <c r="AI45" i="50"/>
  <c r="AD45" i="50" s="1"/>
  <c r="AQ45" i="50"/>
  <c r="AP46" i="50"/>
  <c r="AX46" i="50"/>
  <c r="AW47" i="50"/>
  <c r="BE47" i="50"/>
  <c r="BE52" i="50"/>
  <c r="AW52" i="50"/>
  <c r="BD52" i="50"/>
  <c r="AV52" i="50"/>
  <c r="AN52" i="50"/>
  <c r="AI49" i="50"/>
  <c r="AD49" i="50" s="1"/>
  <c r="AM52" i="50"/>
  <c r="AR52" i="50"/>
  <c r="BF52" i="50"/>
  <c r="AT53" i="50"/>
  <c r="AU53" i="50" s="1"/>
  <c r="BE54" i="50"/>
  <c r="AW54" i="50"/>
  <c r="BD54" i="50"/>
  <c r="AV54" i="50"/>
  <c r="AN54" i="50"/>
  <c r="AM54" i="50"/>
  <c r="AT54" i="50"/>
  <c r="AU54" i="50" s="1"/>
  <c r="BE56" i="50"/>
  <c r="AW56" i="50"/>
  <c r="BD56" i="50"/>
  <c r="AV56" i="50"/>
  <c r="AN56" i="50"/>
  <c r="AM56" i="50"/>
  <c r="AT56" i="50"/>
  <c r="AU56" i="50" s="1"/>
  <c r="AM59" i="50"/>
  <c r="BE59" i="50"/>
  <c r="AP47" i="50"/>
  <c r="AX47" i="50"/>
  <c r="BF47" i="50"/>
  <c r="AI51" i="50"/>
  <c r="AD51" i="50" s="1"/>
  <c r="AI52" i="50"/>
  <c r="AD52" i="50" s="1"/>
  <c r="AI54" i="50"/>
  <c r="AD54" i="50" s="1"/>
  <c r="AP55" i="50"/>
  <c r="BF55" i="50"/>
  <c r="AI56" i="50"/>
  <c r="AD56" i="50" s="1"/>
  <c r="AW61" i="50"/>
  <c r="AP32" i="50"/>
  <c r="AX32" i="50"/>
  <c r="AL36" i="50"/>
  <c r="AP40" i="50"/>
  <c r="AX40" i="50"/>
  <c r="AL44" i="50"/>
  <c r="AI47" i="50"/>
  <c r="AD47" i="50" s="1"/>
  <c r="AQ47" i="50"/>
  <c r="AK48" i="50"/>
  <c r="AQ48" i="50"/>
  <c r="AT52" i="50"/>
  <c r="AU52" i="50" s="1"/>
  <c r="AL53" i="50"/>
  <c r="AQ55" i="50"/>
  <c r="AT57" i="50"/>
  <c r="AU57" i="50" s="1"/>
  <c r="AL57" i="50"/>
  <c r="BD57" i="50"/>
  <c r="AR57" i="50"/>
  <c r="AI57" i="50"/>
  <c r="AD57" i="50" s="1"/>
  <c r="AP57" i="50"/>
  <c r="AX57" i="50"/>
  <c r="BE58" i="50"/>
  <c r="AX61" i="50"/>
  <c r="AP49" i="50"/>
  <c r="AX49" i="50"/>
  <c r="AW50" i="50"/>
  <c r="BE50" i="50"/>
  <c r="AN51" i="50"/>
  <c r="AV51" i="50"/>
  <c r="BD51" i="50"/>
  <c r="AT63" i="50"/>
  <c r="AU63" i="50" s="1"/>
  <c r="AL63" i="50"/>
  <c r="AQ63" i="50"/>
  <c r="AI63" i="50"/>
  <c r="AD63" i="50" s="1"/>
  <c r="BD63" i="50"/>
  <c r="AV63" i="50"/>
  <c r="AN63" i="50"/>
  <c r="AX63" i="50"/>
  <c r="AP50" i="50"/>
  <c r="AX50" i="50"/>
  <c r="BF50" i="50"/>
  <c r="AZ63" i="50"/>
  <c r="AI50" i="50"/>
  <c r="AD50" i="50" s="1"/>
  <c r="AQ50" i="50"/>
  <c r="AP51" i="50"/>
  <c r="AX51" i="50"/>
  <c r="AT60" i="50"/>
  <c r="AU60" i="50" s="1"/>
  <c r="AL60" i="50"/>
  <c r="AR60" i="50"/>
  <c r="BD60" i="50"/>
  <c r="AM63" i="50"/>
  <c r="AN64" i="50"/>
  <c r="AV64" i="50"/>
  <c r="BD64" i="50"/>
  <c r="AN65" i="50"/>
  <c r="AV65" i="50"/>
  <c r="BD65" i="50"/>
  <c r="AN66" i="50"/>
  <c r="AV66" i="50"/>
  <c r="BD66" i="50"/>
  <c r="AN67" i="50"/>
  <c r="AV67" i="50"/>
  <c r="BD67" i="50"/>
  <c r="AP64" i="50"/>
  <c r="AX64" i="50"/>
  <c r="BF64" i="50"/>
  <c r="AP65" i="50"/>
  <c r="AX65" i="50"/>
  <c r="BF65" i="50"/>
  <c r="AP66" i="50"/>
  <c r="AX66" i="50"/>
  <c r="BF66" i="50"/>
  <c r="AP67" i="50"/>
  <c r="AX67" i="50"/>
  <c r="BF67" i="50"/>
  <c r="AI64" i="50"/>
  <c r="AD64" i="50" s="1"/>
  <c r="AQ64" i="50"/>
  <c r="AI65" i="50"/>
  <c r="AD65" i="50" s="1"/>
  <c r="AQ65" i="50"/>
  <c r="AI66" i="50"/>
  <c r="AD66" i="50" s="1"/>
  <c r="AQ66" i="50"/>
  <c r="AI67" i="50"/>
  <c r="AD67" i="50" s="1"/>
  <c r="AQ67" i="50"/>
  <c r="AK64" i="50"/>
  <c r="BA64" i="50" s="1"/>
  <c r="AL64" i="50"/>
  <c r="AL65" i="50"/>
  <c r="AL66" i="50"/>
  <c r="AL67" i="50"/>
  <c r="AM68" i="50"/>
  <c r="AZ68" i="50"/>
  <c r="AR68" i="50"/>
  <c r="BF68" i="50"/>
  <c r="AX68" i="50"/>
  <c r="AP68" i="50"/>
  <c r="BE68" i="50"/>
  <c r="AP69" i="50"/>
  <c r="AX69" i="50"/>
  <c r="BF69" i="50"/>
  <c r="AP70" i="50"/>
  <c r="AX70" i="50"/>
  <c r="BF70" i="50"/>
  <c r="AZ71" i="50"/>
  <c r="AR71" i="50"/>
  <c r="BD71" i="50"/>
  <c r="AV71" i="50"/>
  <c r="AN71" i="50"/>
  <c r="AQ71" i="50"/>
  <c r="AR69" i="50"/>
  <c r="AZ69" i="50"/>
  <c r="AR70" i="50"/>
  <c r="AZ70" i="50"/>
  <c r="AM71" i="50"/>
  <c r="AX71" i="50"/>
  <c r="AN72" i="50"/>
  <c r="AV72" i="50"/>
  <c r="BD72" i="50"/>
  <c r="AN73" i="50"/>
  <c r="AV73" i="50"/>
  <c r="BD73" i="50"/>
  <c r="AN74" i="50"/>
  <c r="AV74" i="50"/>
  <c r="BD74" i="50"/>
  <c r="AN75" i="50"/>
  <c r="AV75" i="50"/>
  <c r="BD75" i="50"/>
  <c r="AN76" i="50"/>
  <c r="AV76" i="50"/>
  <c r="BD76" i="50"/>
  <c r="AN77" i="50"/>
  <c r="AV77" i="50"/>
  <c r="BD77" i="50"/>
  <c r="AN78" i="50"/>
  <c r="AV78" i="50"/>
  <c r="BD78" i="50"/>
  <c r="AV79" i="50"/>
  <c r="BD79" i="50"/>
  <c r="AW72" i="50"/>
  <c r="BE72" i="50"/>
  <c r="AW73" i="50"/>
  <c r="BE73" i="50"/>
  <c r="AW74" i="50"/>
  <c r="BE74" i="50"/>
  <c r="AW75" i="50"/>
  <c r="BE75" i="50"/>
  <c r="AW76" i="50"/>
  <c r="BE76" i="50"/>
  <c r="AW77" i="50"/>
  <c r="BE77" i="50"/>
  <c r="AW78" i="50"/>
  <c r="BE78" i="50"/>
  <c r="AW79" i="50"/>
  <c r="BE79" i="50"/>
  <c r="BE80" i="50"/>
  <c r="AP72" i="50"/>
  <c r="AX72" i="50"/>
  <c r="BF72" i="50"/>
  <c r="AP73" i="50"/>
  <c r="AX73" i="50"/>
  <c r="BF73" i="50"/>
  <c r="AP74" i="50"/>
  <c r="AX74" i="50"/>
  <c r="BF74" i="50"/>
  <c r="AP75" i="50"/>
  <c r="AX75" i="50"/>
  <c r="BF75" i="50"/>
  <c r="AP76" i="50"/>
  <c r="AX76" i="50"/>
  <c r="BF76" i="50"/>
  <c r="AP77" i="50"/>
  <c r="AX77" i="50"/>
  <c r="BF77" i="50"/>
  <c r="AP78" i="50"/>
  <c r="AX78" i="50"/>
  <c r="BF78" i="50"/>
  <c r="AP79" i="50"/>
  <c r="AX79" i="50"/>
  <c r="BF79" i="50"/>
  <c r="AP80" i="50"/>
  <c r="AX80" i="50"/>
  <c r="BF80" i="50"/>
  <c r="AP81" i="50"/>
  <c r="AX81" i="50"/>
  <c r="BF81" i="50"/>
  <c r="AP82" i="50"/>
  <c r="AX82" i="50"/>
  <c r="BF82" i="50"/>
  <c r="AR72" i="50"/>
  <c r="AR73" i="50"/>
  <c r="AR74" i="50"/>
  <c r="AR75" i="50"/>
  <c r="AR76" i="50"/>
  <c r="AR77" i="50"/>
  <c r="AR78" i="50"/>
  <c r="AR79" i="50"/>
  <c r="AR80" i="50"/>
  <c r="AR81" i="50"/>
  <c r="AR82" i="50"/>
  <c r="BE88" i="50"/>
  <c r="AW88" i="50"/>
  <c r="BD88" i="50"/>
  <c r="AV88" i="50"/>
  <c r="AN88" i="50"/>
  <c r="AT88" i="50"/>
  <c r="AU88" i="50" s="1"/>
  <c r="AL88" i="50"/>
  <c r="AP88" i="50"/>
  <c r="AZ88" i="50"/>
  <c r="AM88" i="50"/>
  <c r="AX88" i="50"/>
  <c r="AK88" i="50"/>
  <c r="BA88" i="50" s="1"/>
  <c r="BF88" i="50"/>
  <c r="AL83" i="50"/>
  <c r="AT83" i="50"/>
  <c r="AP90" i="50"/>
  <c r="BF90" i="50"/>
  <c r="AN83" i="50"/>
  <c r="AV83" i="50"/>
  <c r="BD83" i="50"/>
  <c r="AN84" i="50"/>
  <c r="AV84" i="50"/>
  <c r="BD84" i="50"/>
  <c r="BE90" i="50"/>
  <c r="AW90" i="50"/>
  <c r="BD90" i="50"/>
  <c r="AV90" i="50"/>
  <c r="AN90" i="50"/>
  <c r="AM90" i="50"/>
  <c r="AT90" i="50"/>
  <c r="AU90" i="50" s="1"/>
  <c r="AL90" i="50"/>
  <c r="AP83" i="50"/>
  <c r="AX83" i="50"/>
  <c r="AP84" i="50"/>
  <c r="AX84" i="50"/>
  <c r="AP85" i="50"/>
  <c r="AX85" i="50"/>
  <c r="AP86" i="50"/>
  <c r="AX86" i="50"/>
  <c r="AP87" i="50"/>
  <c r="AX87" i="50"/>
  <c r="BE89" i="50"/>
  <c r="AW89" i="50"/>
  <c r="BD89" i="50"/>
  <c r="AV89" i="50"/>
  <c r="AN89" i="50"/>
  <c r="AT89" i="50"/>
  <c r="AU89" i="50" s="1"/>
  <c r="AL89" i="50"/>
  <c r="AR89" i="50"/>
  <c r="BF89" i="50"/>
  <c r="AI90" i="50"/>
  <c r="AD90" i="50" s="1"/>
  <c r="AX90" i="50"/>
  <c r="AT92" i="50"/>
  <c r="AU92" i="50" s="1"/>
  <c r="AL92" i="50"/>
  <c r="AX92" i="50"/>
  <c r="AN92" i="50"/>
  <c r="AW92" i="50"/>
  <c r="AM92" i="50"/>
  <c r="BF92" i="50"/>
  <c r="AV92" i="50"/>
  <c r="BE92" i="50"/>
  <c r="AI92" i="50"/>
  <c r="AD92" i="50" s="1"/>
  <c r="BD92" i="50"/>
  <c r="AM96" i="50"/>
  <c r="BF96" i="50"/>
  <c r="AW96" i="50"/>
  <c r="AN96" i="50"/>
  <c r="BE96" i="50"/>
  <c r="AV96" i="50"/>
  <c r="AL96" i="50"/>
  <c r="BD96" i="50"/>
  <c r="AT96" i="50"/>
  <c r="AU96" i="50" s="1"/>
  <c r="AX96" i="50"/>
  <c r="AT93" i="50"/>
  <c r="AU93" i="50" s="1"/>
  <c r="AL93" i="50"/>
  <c r="AR93" i="50"/>
  <c r="BD93" i="50"/>
  <c r="AP94" i="50"/>
  <c r="AK95" i="50"/>
  <c r="AY95" i="50" s="1"/>
  <c r="AI96" i="50"/>
  <c r="AD96" i="50" s="1"/>
  <c r="AZ96" i="50"/>
  <c r="AT94" i="50"/>
  <c r="AU94" i="50" s="1"/>
  <c r="AL94" i="50"/>
  <c r="AR94" i="50"/>
  <c r="BD94" i="50"/>
  <c r="AM93" i="50"/>
  <c r="AW93" i="50"/>
  <c r="AI94" i="50"/>
  <c r="AD94" i="50" s="1"/>
  <c r="BE94" i="50"/>
  <c r="AP96" i="50"/>
  <c r="H153" i="50"/>
  <c r="AX95" i="50"/>
  <c r="AQ97" i="50"/>
  <c r="AZ97" i="50"/>
  <c r="AR98" i="50"/>
  <c r="BE98" i="50"/>
  <c r="AP95" i="50"/>
  <c r="AI97" i="50"/>
  <c r="AD97" i="50" s="1"/>
  <c r="AR97" i="50"/>
  <c r="AQ95" i="50"/>
  <c r="AZ95" i="50"/>
  <c r="AT98" i="50"/>
  <c r="AU98" i="50" s="1"/>
  <c r="AL98" i="50"/>
  <c r="AQ98" i="50"/>
  <c r="AI98" i="50"/>
  <c r="AD98" i="50" s="1"/>
  <c r="AM98" i="50"/>
  <c r="AV98" i="50"/>
  <c r="F169" i="50"/>
  <c r="AI99" i="50"/>
  <c r="AD99" i="50" s="1"/>
  <c r="F137" i="50"/>
  <c r="H137" i="50" s="1"/>
  <c r="S137" i="50" s="1"/>
  <c r="F148" i="50"/>
  <c r="H148" i="50" s="1"/>
  <c r="R148" i="50" s="1"/>
  <c r="F141" i="50"/>
  <c r="H141" i="50" s="1"/>
  <c r="R141" i="50" s="1"/>
  <c r="F154" i="50"/>
  <c r="H154" i="50" s="1"/>
  <c r="S154" i="50" s="1"/>
  <c r="F150" i="50"/>
  <c r="H150" i="50" s="1"/>
  <c r="S150" i="50" s="1"/>
  <c r="F138" i="50"/>
  <c r="A11" i="22"/>
  <c r="P68" i="21"/>
  <c r="P52" i="21" s="1"/>
  <c r="S11" i="21"/>
  <c r="P67" i="21"/>
  <c r="N74" i="21"/>
  <c r="G17" i="21" s="1"/>
  <c r="E197" i="12" s="1"/>
  <c r="N75" i="21"/>
  <c r="G20" i="21" s="1"/>
  <c r="E200" i="12" s="1"/>
  <c r="P69" i="21"/>
  <c r="P43" i="21" s="1"/>
  <c r="Y72" i="62" l="1"/>
  <c r="X72" i="62" s="1"/>
  <c r="AD72" i="62"/>
  <c r="AC72" i="62" s="1"/>
  <c r="BJ37" i="62"/>
  <c r="DH85" i="50"/>
  <c r="CW88" i="50"/>
  <c r="CW96" i="50"/>
  <c r="DG93" i="50"/>
  <c r="CW26" i="50"/>
  <c r="DH95" i="50"/>
  <c r="DH89" i="50"/>
  <c r="CW92" i="50"/>
  <c r="DH86" i="50"/>
  <c r="DG94" i="50"/>
  <c r="DH91" i="50"/>
  <c r="DS98" i="50"/>
  <c r="DH36" i="50"/>
  <c r="AQ22" i="50"/>
  <c r="AP26" i="50"/>
  <c r="AQ26" i="50"/>
  <c r="AK25" i="50"/>
  <c r="AN26" i="50"/>
  <c r="AT26" i="50" s="1"/>
  <c r="AU26" i="50" s="1"/>
  <c r="AL26" i="50"/>
  <c r="BF26" i="50"/>
  <c r="AN25" i="50"/>
  <c r="AT25" i="50" s="1"/>
  <c r="AU25" i="50" s="1"/>
  <c r="AL25" i="50"/>
  <c r="BF25" i="50"/>
  <c r="AP25" i="50"/>
  <c r="AQ25" i="50"/>
  <c r="AL23" i="50"/>
  <c r="AQ24" i="50"/>
  <c r="AL24" i="50"/>
  <c r="AN24" i="50"/>
  <c r="AT24" i="50" s="1"/>
  <c r="AU24" i="50" s="1"/>
  <c r="BF24" i="50"/>
  <c r="AP24" i="50"/>
  <c r="BF23" i="50"/>
  <c r="AQ23" i="50"/>
  <c r="AP23" i="50"/>
  <c r="AN23" i="50"/>
  <c r="AR23" i="50" s="1"/>
  <c r="AP21" i="50"/>
  <c r="AP22" i="50"/>
  <c r="AN22" i="50"/>
  <c r="AR22" i="50" s="1"/>
  <c r="AL22" i="50"/>
  <c r="BF22" i="50"/>
  <c r="DS95" i="50"/>
  <c r="DR91" i="50"/>
  <c r="DH93" i="50"/>
  <c r="DH99" i="50"/>
  <c r="DR96" i="50"/>
  <c r="DS90" i="50"/>
  <c r="DS91" i="50"/>
  <c r="DS99" i="50"/>
  <c r="DR37" i="50"/>
  <c r="DH26" i="50"/>
  <c r="DH20" i="50"/>
  <c r="DS25" i="50"/>
  <c r="CZ20" i="50"/>
  <c r="DS54" i="50"/>
  <c r="DR27" i="50"/>
  <c r="CW23" i="50"/>
  <c r="DR28" i="50"/>
  <c r="DH32" i="50"/>
  <c r="DG38" i="50"/>
  <c r="CW46" i="50"/>
  <c r="DH23" i="50"/>
  <c r="DR31" i="50"/>
  <c r="CW38" i="50"/>
  <c r="DH45" i="50"/>
  <c r="DS49" i="50"/>
  <c r="CW56" i="50"/>
  <c r="DG40" i="50"/>
  <c r="CW49" i="50"/>
  <c r="DG75" i="50"/>
  <c r="DG42" i="50"/>
  <c r="CW55" i="50"/>
  <c r="DH54" i="50"/>
  <c r="DR36" i="50"/>
  <c r="CW45" i="50"/>
  <c r="DH50" i="50"/>
  <c r="DG55" i="50"/>
  <c r="DG82" i="50"/>
  <c r="DR62" i="50"/>
  <c r="DG65" i="50"/>
  <c r="DR68" i="50"/>
  <c r="DS56" i="50"/>
  <c r="DH59" i="50"/>
  <c r="DS64" i="50"/>
  <c r="DH67" i="50"/>
  <c r="DR71" i="50"/>
  <c r="DR69" i="50"/>
  <c r="DR87" i="50"/>
  <c r="DR74" i="50"/>
  <c r="DG78" i="50"/>
  <c r="DS87" i="50"/>
  <c r="DG84" i="50"/>
  <c r="DS84" i="50"/>
  <c r="DH87" i="50"/>
  <c r="DS88" i="50"/>
  <c r="DG96" i="50"/>
  <c r="DG92" i="50"/>
  <c r="DG99" i="50"/>
  <c r="DG95" i="50"/>
  <c r="DG20" i="50"/>
  <c r="DS20" i="50"/>
  <c r="DI20" i="50"/>
  <c r="DH53" i="50"/>
  <c r="DG32" i="50"/>
  <c r="DR33" i="50"/>
  <c r="DH22" i="50"/>
  <c r="DH29" i="50"/>
  <c r="DH51" i="50"/>
  <c r="DS23" i="50"/>
  <c r="DS45" i="50"/>
  <c r="DR56" i="50"/>
  <c r="DR40" i="50"/>
  <c r="DG49" i="50"/>
  <c r="DH40" i="50"/>
  <c r="DG34" i="50"/>
  <c r="DR42" i="50"/>
  <c r="DG43" i="50"/>
  <c r="CW37" i="50"/>
  <c r="DS51" i="50"/>
  <c r="DR55" i="50"/>
  <c r="CW60" i="50"/>
  <c r="CW59" i="50"/>
  <c r="DH69" i="50"/>
  <c r="DG60" i="50"/>
  <c r="DR65" i="50"/>
  <c r="DS59" i="50"/>
  <c r="DH62" i="50"/>
  <c r="DS68" i="50"/>
  <c r="DH76" i="50"/>
  <c r="DR81" i="50"/>
  <c r="DR77" i="50"/>
  <c r="DR76" i="50"/>
  <c r="DG79" i="50"/>
  <c r="DR82" i="50"/>
  <c r="CW71" i="50"/>
  <c r="CW75" i="50"/>
  <c r="CW79" i="50"/>
  <c r="DH82" i="50"/>
  <c r="DG88" i="50"/>
  <c r="DG89" i="50"/>
  <c r="CW97" i="50"/>
  <c r="DH96" i="50"/>
  <c r="CW98" i="50"/>
  <c r="DR99" i="50"/>
  <c r="DH25" i="50"/>
  <c r="DH34" i="50"/>
  <c r="CW21" i="50"/>
  <c r="DR32" i="50"/>
  <c r="DG21" i="50"/>
  <c r="DS31" i="50"/>
  <c r="DR45" i="50"/>
  <c r="CW34" i="50"/>
  <c r="DR49" i="50"/>
  <c r="DR29" i="50"/>
  <c r="DS29" i="50"/>
  <c r="CW40" i="50"/>
  <c r="DH27" i="50"/>
  <c r="DG24" i="50"/>
  <c r="DH28" i="50"/>
  <c r="DG33" i="50"/>
  <c r="DG46" i="50"/>
  <c r="DG51" i="50"/>
  <c r="CW63" i="50"/>
  <c r="CW51" i="50"/>
  <c r="DS50" i="50"/>
  <c r="DR26" i="50"/>
  <c r="CW35" i="50"/>
  <c r="CW44" i="50"/>
  <c r="DG50" i="50"/>
  <c r="DH70" i="50"/>
  <c r="DH43" i="50"/>
  <c r="DR53" i="50"/>
  <c r="DG56" i="50"/>
  <c r="DS76" i="50"/>
  <c r="CW48" i="50"/>
  <c r="DS69" i="50"/>
  <c r="DR72" i="50"/>
  <c r="DR63" i="50"/>
  <c r="DG66" i="50"/>
  <c r="DS57" i="50"/>
  <c r="DH60" i="50"/>
  <c r="DS65" i="50"/>
  <c r="DS81" i="50"/>
  <c r="DG85" i="50"/>
  <c r="DS78" i="50"/>
  <c r="DH71" i="50"/>
  <c r="DS77" i="50"/>
  <c r="DR89" i="50"/>
  <c r="DR86" i="50"/>
  <c r="DR73" i="50"/>
  <c r="DG90" i="50"/>
  <c r="DG86" i="50"/>
  <c r="DR83" i="50"/>
  <c r="CW84" i="50"/>
  <c r="CW72" i="50"/>
  <c r="CW76" i="50"/>
  <c r="CW80" i="50"/>
  <c r="DS85" i="50"/>
  <c r="DR95" i="50"/>
  <c r="DS89" i="50"/>
  <c r="DS96" i="50"/>
  <c r="DR93" i="50"/>
  <c r="DS93" i="50"/>
  <c r="DR97" i="50"/>
  <c r="DR92" i="50"/>
  <c r="DS94" i="50"/>
  <c r="DH97" i="50"/>
  <c r="DH92" i="50"/>
  <c r="DS97" i="50"/>
  <c r="DG25" i="50"/>
  <c r="DS92" i="50"/>
  <c r="DG98" i="50"/>
  <c r="DR98" i="50"/>
  <c r="DH98" i="50"/>
  <c r="CW13" i="50"/>
  <c r="AH4" i="50" s="1"/>
  <c r="S18" i="21"/>
  <c r="AK54" i="50"/>
  <c r="AY54" i="50" s="1"/>
  <c r="AK77" i="50"/>
  <c r="AY77" i="50" s="1"/>
  <c r="AK63" i="50"/>
  <c r="BA63" i="50" s="1"/>
  <c r="AK57" i="50"/>
  <c r="BA57" i="50" s="1"/>
  <c r="AK50" i="50"/>
  <c r="BC50" i="50" s="1"/>
  <c r="AK58" i="50"/>
  <c r="BA58" i="50" s="1"/>
  <c r="AK67" i="50"/>
  <c r="AY67" i="50" s="1"/>
  <c r="CF67" i="50" s="1"/>
  <c r="AK76" i="50"/>
  <c r="AY76" i="50" s="1"/>
  <c r="AK66" i="50"/>
  <c r="AY66" i="50" s="1"/>
  <c r="BM66" i="50" s="1"/>
  <c r="BX66" i="50" s="1"/>
  <c r="AK32" i="50"/>
  <c r="AY32" i="50" s="1"/>
  <c r="AK89" i="50"/>
  <c r="BA89" i="50" s="1"/>
  <c r="AL99" i="50"/>
  <c r="AK75" i="50"/>
  <c r="BA75" i="50" s="1"/>
  <c r="AK94" i="50"/>
  <c r="BA94" i="50" s="1"/>
  <c r="AK45" i="50"/>
  <c r="AY45" i="50" s="1"/>
  <c r="BM45" i="50" s="1"/>
  <c r="AK84" i="50"/>
  <c r="BA84" i="50" s="1"/>
  <c r="AL21" i="50"/>
  <c r="BF21" i="50"/>
  <c r="AK41" i="50"/>
  <c r="AY41" i="50" s="1"/>
  <c r="BM41" i="50" s="1"/>
  <c r="AK27" i="50"/>
  <c r="AY27" i="50" s="1"/>
  <c r="AK22" i="50"/>
  <c r="BF99" i="50"/>
  <c r="AK93" i="50"/>
  <c r="AY93" i="50" s="1"/>
  <c r="AK62" i="50"/>
  <c r="AY62" i="50" s="1"/>
  <c r="BM62" i="50" s="1"/>
  <c r="BW62" i="50" s="1"/>
  <c r="AK74" i="50"/>
  <c r="BA74" i="50" s="1"/>
  <c r="AK42" i="50"/>
  <c r="BA42" i="50" s="1"/>
  <c r="AK33" i="50"/>
  <c r="BA33" i="50" s="1"/>
  <c r="AK70" i="50"/>
  <c r="AY70" i="50" s="1"/>
  <c r="AK39" i="50"/>
  <c r="AY39" i="50" s="1"/>
  <c r="BM39" i="50" s="1"/>
  <c r="BO39" i="50" s="1"/>
  <c r="AQ99" i="50"/>
  <c r="AK60" i="50"/>
  <c r="BA60" i="50" s="1"/>
  <c r="AK30" i="50"/>
  <c r="BA30" i="50" s="1"/>
  <c r="AK85" i="50"/>
  <c r="AY85" i="50" s="1"/>
  <c r="AK73" i="50"/>
  <c r="AY73" i="50" s="1"/>
  <c r="AK37" i="50"/>
  <c r="AY37" i="50" s="1"/>
  <c r="BM37" i="50" s="1"/>
  <c r="AK23" i="50"/>
  <c r="AS40" i="50"/>
  <c r="BC40" i="50" s="1"/>
  <c r="AQ21" i="50"/>
  <c r="AN21" i="50"/>
  <c r="AR21" i="50" s="1"/>
  <c r="AK21" i="50"/>
  <c r="AK51" i="50"/>
  <c r="BA51" i="50" s="1"/>
  <c r="AK52" i="50"/>
  <c r="AY52" i="50" s="1"/>
  <c r="AK34" i="50"/>
  <c r="AY34" i="50" s="1"/>
  <c r="CF34" i="50" s="1"/>
  <c r="AK56" i="50"/>
  <c r="BA56" i="50" s="1"/>
  <c r="AK47" i="50"/>
  <c r="AY47" i="50" s="1"/>
  <c r="BM47" i="50" s="1"/>
  <c r="BN47" i="50" s="1"/>
  <c r="AK49" i="50"/>
  <c r="BA49" i="50" s="1"/>
  <c r="AK69" i="50"/>
  <c r="BA69" i="50" s="1"/>
  <c r="AK24" i="50"/>
  <c r="AK92" i="50"/>
  <c r="AY92" i="50" s="1"/>
  <c r="CF92" i="50" s="1"/>
  <c r="AK65" i="50"/>
  <c r="BA65" i="50" s="1"/>
  <c r="AK35" i="50"/>
  <c r="BA35" i="50" s="1"/>
  <c r="AK68" i="50"/>
  <c r="AY68" i="50" s="1"/>
  <c r="AK78" i="50"/>
  <c r="BA78" i="50" s="1"/>
  <c r="AK86" i="50"/>
  <c r="BA86" i="50" s="1"/>
  <c r="AK38" i="50"/>
  <c r="BA38" i="50" s="1"/>
  <c r="AN99" i="50"/>
  <c r="AR99" i="50" s="1"/>
  <c r="AK46" i="50"/>
  <c r="AY46" i="50" s="1"/>
  <c r="CF46" i="50" s="1"/>
  <c r="AK99" i="50"/>
  <c r="AK43" i="50"/>
  <c r="BA43" i="50" s="1"/>
  <c r="AK71" i="50"/>
  <c r="AY71" i="50" s="1"/>
  <c r="AK31" i="50"/>
  <c r="BA31" i="50" s="1"/>
  <c r="AK36" i="50"/>
  <c r="AY36" i="50" s="1"/>
  <c r="CE36" i="50" s="1"/>
  <c r="CL36" i="50" s="1"/>
  <c r="AK97" i="50"/>
  <c r="BA97" i="50" s="1"/>
  <c r="AP99" i="50"/>
  <c r="AK96" i="50"/>
  <c r="BA96" i="50" s="1"/>
  <c r="AK90" i="50"/>
  <c r="BA90" i="50" s="1"/>
  <c r="AK83" i="50"/>
  <c r="BA83" i="50" s="1"/>
  <c r="AK82" i="50"/>
  <c r="BA82" i="50" s="1"/>
  <c r="AK91" i="50"/>
  <c r="AY91" i="50" s="1"/>
  <c r="CE91" i="50" s="1"/>
  <c r="CL91" i="50" s="1"/>
  <c r="AK26" i="50"/>
  <c r="AK98" i="50"/>
  <c r="BA98" i="50" s="1"/>
  <c r="AK53" i="50"/>
  <c r="AY53" i="50" s="1"/>
  <c r="BM53" i="50" s="1"/>
  <c r="BO53" i="50" s="1"/>
  <c r="AK59" i="50"/>
  <c r="BA59" i="50" s="1"/>
  <c r="AK44" i="50"/>
  <c r="BA44" i="50" s="1"/>
  <c r="AK87" i="50"/>
  <c r="BA87" i="50" s="1"/>
  <c r="AK28" i="50"/>
  <c r="BA28" i="50" s="1"/>
  <c r="AK29" i="50"/>
  <c r="BA29" i="50" s="1"/>
  <c r="Y29" i="21"/>
  <c r="Z29" i="21" s="1"/>
  <c r="AD29" i="21" s="1"/>
  <c r="DF73" i="50"/>
  <c r="DJ73" i="50" s="1"/>
  <c r="AS51" i="50"/>
  <c r="AM14" i="21"/>
  <c r="AM15" i="21" s="1"/>
  <c r="T3" i="50"/>
  <c r="AS32" i="50"/>
  <c r="BN72" i="62"/>
  <c r="BN73" i="62" s="1"/>
  <c r="AY30" i="62" s="1"/>
  <c r="DJ30" i="62"/>
  <c r="BJ33" i="62"/>
  <c r="BJ35" i="62"/>
  <c r="BJ31" i="62"/>
  <c r="BJ32" i="62"/>
  <c r="BJ36" i="62"/>
  <c r="BJ34" i="62"/>
  <c r="BJ39" i="62"/>
  <c r="BJ30" i="62"/>
  <c r="BJ38" i="62"/>
  <c r="AS31" i="50"/>
  <c r="AS79" i="50"/>
  <c r="BC79" i="50" s="1"/>
  <c r="AS72" i="50"/>
  <c r="BC72" i="50" s="1"/>
  <c r="AS71" i="50"/>
  <c r="AS78" i="50"/>
  <c r="AS75" i="50"/>
  <c r="AS95" i="50"/>
  <c r="BC95" i="50" s="1"/>
  <c r="AS37" i="50"/>
  <c r="CR148" i="50"/>
  <c r="CR147" i="50"/>
  <c r="AS69" i="50"/>
  <c r="AS82" i="50"/>
  <c r="AS73" i="50"/>
  <c r="AS35" i="50"/>
  <c r="AS70" i="50"/>
  <c r="CR149" i="50"/>
  <c r="AS86" i="50"/>
  <c r="AS81" i="50"/>
  <c r="BC81" i="50" s="1"/>
  <c r="CR146" i="50"/>
  <c r="AS80" i="50"/>
  <c r="BC80" i="50" s="1"/>
  <c r="AS47" i="50"/>
  <c r="AS46" i="50"/>
  <c r="AS77" i="50"/>
  <c r="AY88" i="50"/>
  <c r="CF88" i="50" s="1"/>
  <c r="AS76" i="50"/>
  <c r="AS45" i="50"/>
  <c r="AS61" i="50"/>
  <c r="BC61" i="50" s="1"/>
  <c r="AS28" i="50"/>
  <c r="AS29" i="50"/>
  <c r="AS92" i="50"/>
  <c r="AS94" i="50"/>
  <c r="AS48" i="50"/>
  <c r="BC48" i="50" s="1"/>
  <c r="AS27" i="50"/>
  <c r="AS34" i="50"/>
  <c r="AK20" i="50"/>
  <c r="AS74" i="50"/>
  <c r="AS39" i="50"/>
  <c r="AS87" i="50"/>
  <c r="AS96" i="50"/>
  <c r="AS49" i="50"/>
  <c r="AS85" i="50"/>
  <c r="AS98" i="50"/>
  <c r="AS97" i="50"/>
  <c r="AS68" i="50"/>
  <c r="AS30" i="50"/>
  <c r="AS56" i="50"/>
  <c r="BA61" i="50"/>
  <c r="AS93" i="50"/>
  <c r="AS91" i="50"/>
  <c r="AS84" i="50"/>
  <c r="AS38" i="50"/>
  <c r="CF95" i="50"/>
  <c r="CE95" i="50"/>
  <c r="CL95" i="50" s="1"/>
  <c r="BM95" i="50"/>
  <c r="BX95" i="50" s="1"/>
  <c r="AS63" i="50"/>
  <c r="AS90" i="50"/>
  <c r="AS88" i="50"/>
  <c r="BC88" i="50" s="1"/>
  <c r="BB88" i="50" s="1"/>
  <c r="AS57" i="50"/>
  <c r="AY55" i="50"/>
  <c r="AS33" i="50"/>
  <c r="AS55" i="50"/>
  <c r="BC55" i="50" s="1"/>
  <c r="AQ20" i="50"/>
  <c r="S153" i="50"/>
  <c r="H13" i="50"/>
  <c r="BA48" i="50"/>
  <c r="AY81" i="50"/>
  <c r="BA81" i="50"/>
  <c r="H138" i="50"/>
  <c r="R138" i="50" s="1"/>
  <c r="R133" i="50" s="1"/>
  <c r="AS54" i="50"/>
  <c r="AS43" i="50"/>
  <c r="AS42" i="50"/>
  <c r="AY40" i="50"/>
  <c r="BA40" i="50"/>
  <c r="AS41" i="50"/>
  <c r="AU58" i="50"/>
  <c r="AS58" i="50"/>
  <c r="AS60" i="50"/>
  <c r="AS53" i="50"/>
  <c r="AS62" i="50"/>
  <c r="H147" i="50"/>
  <c r="S147" i="50" s="1"/>
  <c r="F6" i="50"/>
  <c r="AY79" i="50"/>
  <c r="BA79" i="50"/>
  <c r="AR20" i="50"/>
  <c r="BA55" i="50"/>
  <c r="AD20" i="50"/>
  <c r="F163" i="50" s="1"/>
  <c r="AB18" i="50" a="1"/>
  <c r="AB18" i="50" s="1"/>
  <c r="G15" i="50" s="1"/>
  <c r="BG15" i="50"/>
  <c r="BF20" i="50"/>
  <c r="AI18" i="50"/>
  <c r="BC64" i="50"/>
  <c r="BB64" i="50" s="1"/>
  <c r="AS52" i="50"/>
  <c r="AY80" i="50"/>
  <c r="BA80" i="50"/>
  <c r="AL20" i="50"/>
  <c r="BA95" i="50"/>
  <c r="AS89" i="50"/>
  <c r="AU83" i="50"/>
  <c r="AS83" i="50"/>
  <c r="CF61" i="50"/>
  <c r="BX61" i="50"/>
  <c r="BO61" i="50"/>
  <c r="BW61" i="50"/>
  <c r="CE61" i="50"/>
  <c r="CL61" i="50" s="1"/>
  <c r="BN61" i="50"/>
  <c r="AY64" i="50"/>
  <c r="AY48" i="50"/>
  <c r="AS59" i="50"/>
  <c r="BA72" i="50"/>
  <c r="AY72" i="50"/>
  <c r="AT20" i="50"/>
  <c r="AP20" i="50"/>
  <c r="P42" i="21"/>
  <c r="P53" i="21"/>
  <c r="P51" i="21"/>
  <c r="P41" i="21"/>
  <c r="J7" i="21"/>
  <c r="C206" i="12" s="1"/>
  <c r="A13" i="22"/>
  <c r="A20" i="22" s="1"/>
  <c r="O7" i="21" s="1"/>
  <c r="BA41" i="50" l="1"/>
  <c r="BC75" i="50"/>
  <c r="BA68" i="50"/>
  <c r="AY89" i="50"/>
  <c r="BA70" i="50"/>
  <c r="AR26" i="50"/>
  <c r="AS26" i="50" s="1"/>
  <c r="AR25" i="50"/>
  <c r="AY29" i="50"/>
  <c r="CE29" i="50" s="1"/>
  <c r="CL29" i="50" s="1"/>
  <c r="BA50" i="50"/>
  <c r="BB50" i="50" s="1"/>
  <c r="AY87" i="50"/>
  <c r="BM87" i="50" s="1"/>
  <c r="BO87" i="50" s="1"/>
  <c r="BC70" i="50"/>
  <c r="BA27" i="50"/>
  <c r="AY50" i="50"/>
  <c r="CE50" i="50" s="1"/>
  <c r="CL50" i="50" s="1"/>
  <c r="AR24" i="50"/>
  <c r="AV24" i="50" s="1"/>
  <c r="AW24" i="50" s="1"/>
  <c r="BC92" i="50"/>
  <c r="AY31" i="50"/>
  <c r="CE31" i="50" s="1"/>
  <c r="CL31" i="50" s="1"/>
  <c r="BA32" i="50"/>
  <c r="AT23" i="50"/>
  <c r="AV23" i="50" s="1"/>
  <c r="AT22" i="50"/>
  <c r="AU22" i="50" s="1"/>
  <c r="AJ4" i="50"/>
  <c r="AH12" i="50" s="1"/>
  <c r="DF88" i="50"/>
  <c r="DJ88" i="50" s="1"/>
  <c r="CC88" i="50" s="1"/>
  <c r="DF24" i="50"/>
  <c r="DJ24" i="50" s="1"/>
  <c r="DF97" i="50"/>
  <c r="DJ97" i="50" s="1"/>
  <c r="DF42" i="50"/>
  <c r="DJ42" i="50" s="1"/>
  <c r="DF76" i="50"/>
  <c r="DJ76" i="50" s="1"/>
  <c r="CC76" i="50" s="1"/>
  <c r="DF62" i="50"/>
  <c r="DJ62" i="50" s="1"/>
  <c r="CC62" i="50" s="1"/>
  <c r="DF51" i="50"/>
  <c r="DJ51" i="50" s="1"/>
  <c r="DF35" i="50"/>
  <c r="DJ35" i="50" s="1"/>
  <c r="DF83" i="50"/>
  <c r="DJ83" i="50" s="1"/>
  <c r="DF27" i="50"/>
  <c r="DJ27" i="50" s="1"/>
  <c r="CC27" i="50" s="1"/>
  <c r="DF56" i="50"/>
  <c r="DJ56" i="50" s="1"/>
  <c r="DF54" i="50"/>
  <c r="DJ54" i="50" s="1"/>
  <c r="CC54" i="50" s="1"/>
  <c r="DF78" i="50"/>
  <c r="DJ78" i="50" s="1"/>
  <c r="DF77" i="50"/>
  <c r="DJ77" i="50" s="1"/>
  <c r="CC77" i="50" s="1"/>
  <c r="DF29" i="50"/>
  <c r="DJ29" i="50" s="1"/>
  <c r="DF25" i="50"/>
  <c r="DJ25" i="50" s="1"/>
  <c r="DF48" i="50"/>
  <c r="DJ48" i="50" s="1"/>
  <c r="CC48" i="50" s="1"/>
  <c r="DF75" i="50"/>
  <c r="DJ75" i="50" s="1"/>
  <c r="DF89" i="50"/>
  <c r="DJ89" i="50" s="1"/>
  <c r="DF28" i="50"/>
  <c r="DJ28" i="50" s="1"/>
  <c r="DF90" i="50"/>
  <c r="DJ90" i="50" s="1"/>
  <c r="DF34" i="50"/>
  <c r="DJ34" i="50" s="1"/>
  <c r="CC34" i="50" s="1"/>
  <c r="DF70" i="50"/>
  <c r="DJ70" i="50" s="1"/>
  <c r="CC70" i="50" s="1"/>
  <c r="DF98" i="50"/>
  <c r="DJ98" i="50" s="1"/>
  <c r="DF49" i="50"/>
  <c r="DJ49" i="50" s="1"/>
  <c r="DF33" i="50"/>
  <c r="DJ33" i="50" s="1"/>
  <c r="DF63" i="50"/>
  <c r="DJ63" i="50" s="1"/>
  <c r="DF91" i="50"/>
  <c r="DJ91" i="50" s="1"/>
  <c r="CC91" i="50" s="1"/>
  <c r="DF40" i="50"/>
  <c r="DJ40" i="50" s="1"/>
  <c r="CC40" i="50" s="1"/>
  <c r="DF68" i="50"/>
  <c r="DJ68" i="50" s="1"/>
  <c r="CC68" i="50" s="1"/>
  <c r="DF43" i="50"/>
  <c r="DJ43" i="50" s="1"/>
  <c r="DF99" i="50"/>
  <c r="DJ99" i="50" s="1"/>
  <c r="DF64" i="50"/>
  <c r="DJ64" i="50" s="1"/>
  <c r="CC64" i="50" s="1"/>
  <c r="DF23" i="50"/>
  <c r="DJ23" i="50" s="1"/>
  <c r="DF45" i="50"/>
  <c r="DJ45" i="50" s="1"/>
  <c r="CC45" i="50" s="1"/>
  <c r="DF41" i="50"/>
  <c r="DJ41" i="50" s="1"/>
  <c r="CC41" i="50" s="1"/>
  <c r="DF72" i="50"/>
  <c r="DJ72" i="50" s="1"/>
  <c r="CC72" i="50" s="1"/>
  <c r="DF59" i="50"/>
  <c r="DJ59" i="50" s="1"/>
  <c r="DF82" i="50"/>
  <c r="DJ82" i="50" s="1"/>
  <c r="DF44" i="50"/>
  <c r="DJ44" i="50" s="1"/>
  <c r="DF69" i="50"/>
  <c r="DJ69" i="50" s="1"/>
  <c r="DF60" i="50"/>
  <c r="DJ60" i="50" s="1"/>
  <c r="DF37" i="50"/>
  <c r="DJ37" i="50" s="1"/>
  <c r="CC37" i="50" s="1"/>
  <c r="DF61" i="50"/>
  <c r="DJ61" i="50" s="1"/>
  <c r="CC61" i="50" s="1"/>
  <c r="DF86" i="50"/>
  <c r="DJ86" i="50" s="1"/>
  <c r="DF21" i="50"/>
  <c r="DJ21" i="50" s="1"/>
  <c r="DF53" i="50"/>
  <c r="DJ53" i="50" s="1"/>
  <c r="CC53" i="50" s="1"/>
  <c r="DF32" i="50"/>
  <c r="DJ32" i="50" s="1"/>
  <c r="CC32" i="50" s="1"/>
  <c r="DF26" i="50"/>
  <c r="DJ26" i="50" s="1"/>
  <c r="DF20" i="50"/>
  <c r="DJ20" i="50" s="1"/>
  <c r="DF52" i="50"/>
  <c r="DJ52" i="50" s="1"/>
  <c r="CC52" i="50" s="1"/>
  <c r="DF22" i="50"/>
  <c r="DJ22" i="50" s="1"/>
  <c r="DF67" i="50"/>
  <c r="DJ67" i="50" s="1"/>
  <c r="CC67" i="50" s="1"/>
  <c r="DF94" i="50"/>
  <c r="DJ94" i="50" s="1"/>
  <c r="DF30" i="50"/>
  <c r="DJ30" i="50" s="1"/>
  <c r="DF74" i="50"/>
  <c r="DJ74" i="50" s="1"/>
  <c r="DF58" i="50"/>
  <c r="DJ58" i="50" s="1"/>
  <c r="DF46" i="50"/>
  <c r="DJ46" i="50" s="1"/>
  <c r="CC46" i="50" s="1"/>
  <c r="DF55" i="50"/>
  <c r="DJ55" i="50" s="1"/>
  <c r="CC55" i="50" s="1"/>
  <c r="DF96" i="50"/>
  <c r="DJ96" i="50" s="1"/>
  <c r="DF57" i="50"/>
  <c r="DJ57" i="50" s="1"/>
  <c r="DF80" i="50"/>
  <c r="DJ80" i="50" s="1"/>
  <c r="CC80" i="50" s="1"/>
  <c r="DF31" i="50"/>
  <c r="DJ31" i="50" s="1"/>
  <c r="DF71" i="50"/>
  <c r="DJ71" i="50" s="1"/>
  <c r="CC71" i="50" s="1"/>
  <c r="DF93" i="50"/>
  <c r="DJ93" i="50" s="1"/>
  <c r="CC93" i="50" s="1"/>
  <c r="BC42" i="50"/>
  <c r="BB42" i="50" s="1"/>
  <c r="BA77" i="50"/>
  <c r="BC89" i="50"/>
  <c r="BB89" i="50" s="1"/>
  <c r="BC56" i="50"/>
  <c r="BB56" i="50" s="1"/>
  <c r="AY82" i="50"/>
  <c r="CF82" i="50" s="1"/>
  <c r="AY56" i="50"/>
  <c r="CE56" i="50" s="1"/>
  <c r="CL56" i="50" s="1"/>
  <c r="BC82" i="50"/>
  <c r="BB82" i="50" s="1"/>
  <c r="DF92" i="50"/>
  <c r="DJ92" i="50" s="1"/>
  <c r="CC92" i="50" s="1"/>
  <c r="AY63" i="50"/>
  <c r="CF63" i="50" s="1"/>
  <c r="DF95" i="50"/>
  <c r="DJ95" i="50" s="1"/>
  <c r="CC95" i="50" s="1"/>
  <c r="DF50" i="50"/>
  <c r="DJ50" i="50" s="1"/>
  <c r="DF84" i="50"/>
  <c r="DJ84" i="50" s="1"/>
  <c r="DF36" i="50"/>
  <c r="DJ36" i="50" s="1"/>
  <c r="CC36" i="50" s="1"/>
  <c r="DF81" i="50"/>
  <c r="DJ81" i="50" s="1"/>
  <c r="CC81" i="50" s="1"/>
  <c r="DF38" i="50"/>
  <c r="DJ38" i="50" s="1"/>
  <c r="DF79" i="50"/>
  <c r="DJ79" i="50" s="1"/>
  <c r="CC79" i="50" s="1"/>
  <c r="DF39" i="50"/>
  <c r="DJ39" i="50" s="1"/>
  <c r="CC39" i="50" s="1"/>
  <c r="DF87" i="50"/>
  <c r="DJ87" i="50" s="1"/>
  <c r="DF85" i="50"/>
  <c r="DJ85" i="50" s="1"/>
  <c r="CC85" i="50" s="1"/>
  <c r="DF66" i="50"/>
  <c r="DJ66" i="50" s="1"/>
  <c r="CC66" i="50" s="1"/>
  <c r="DF47" i="50"/>
  <c r="DJ47" i="50" s="1"/>
  <c r="CC47" i="50" s="1"/>
  <c r="DF65" i="50"/>
  <c r="DJ65" i="50" s="1"/>
  <c r="BC59" i="50"/>
  <c r="BB59" i="50" s="1"/>
  <c r="AL18" i="50"/>
  <c r="BA54" i="50"/>
  <c r="BA92" i="50"/>
  <c r="AY96" i="50"/>
  <c r="CF96" i="50" s="1"/>
  <c r="BC74" i="50"/>
  <c r="BB74" i="50" s="1"/>
  <c r="BC51" i="50"/>
  <c r="BB51" i="50" s="1"/>
  <c r="BM92" i="50"/>
  <c r="BX92" i="50" s="1"/>
  <c r="BC66" i="50"/>
  <c r="AY59" i="50"/>
  <c r="BM59" i="50" s="1"/>
  <c r="BX59" i="50" s="1"/>
  <c r="CE66" i="50"/>
  <c r="CL66" i="50" s="1"/>
  <c r="BA85" i="50"/>
  <c r="BC54" i="50"/>
  <c r="CF66" i="50"/>
  <c r="BO37" i="50"/>
  <c r="BC63" i="50"/>
  <c r="BB63" i="50" s="1"/>
  <c r="BC68" i="50"/>
  <c r="BB68" i="50" s="1"/>
  <c r="AY33" i="50"/>
  <c r="CE33" i="50" s="1"/>
  <c r="CL33" i="50" s="1"/>
  <c r="BC57" i="50"/>
  <c r="BB57" i="50" s="1"/>
  <c r="BC27" i="50"/>
  <c r="AY43" i="50"/>
  <c r="CF43" i="50" s="1"/>
  <c r="BC35" i="50"/>
  <c r="BB35" i="50" s="1"/>
  <c r="BA39" i="50"/>
  <c r="BC47" i="50"/>
  <c r="BC31" i="50"/>
  <c r="BB31" i="50" s="1"/>
  <c r="BA91" i="50"/>
  <c r="CE39" i="50"/>
  <c r="CL39" i="50" s="1"/>
  <c r="AY78" i="50"/>
  <c r="CF78" i="50" s="1"/>
  <c r="CF91" i="50"/>
  <c r="CF47" i="50"/>
  <c r="CF39" i="50"/>
  <c r="CE47" i="50"/>
  <c r="CL47" i="50" s="1"/>
  <c r="BC49" i="50"/>
  <c r="BB49" i="50" s="1"/>
  <c r="BM91" i="50"/>
  <c r="BW91" i="50" s="1"/>
  <c r="AY75" i="50"/>
  <c r="CF75" i="50" s="1"/>
  <c r="BC45" i="50"/>
  <c r="BA73" i="50"/>
  <c r="BA71" i="50"/>
  <c r="BC29" i="50"/>
  <c r="BB29" i="50" s="1"/>
  <c r="AY57" i="50"/>
  <c r="CE57" i="50" s="1"/>
  <c r="CL57" i="50" s="1"/>
  <c r="BC71" i="50"/>
  <c r="AY69" i="50"/>
  <c r="CE69" i="50" s="1"/>
  <c r="CL69" i="50" s="1"/>
  <c r="BA47" i="50"/>
  <c r="BC52" i="50"/>
  <c r="BC39" i="50"/>
  <c r="BC77" i="50"/>
  <c r="BC78" i="50"/>
  <c r="BB78" i="50" s="1"/>
  <c r="BC32" i="50"/>
  <c r="BC65" i="50"/>
  <c r="BB65" i="50" s="1"/>
  <c r="BC91" i="50"/>
  <c r="BB91" i="50" s="1"/>
  <c r="AY49" i="50"/>
  <c r="CF49" i="50" s="1"/>
  <c r="AY86" i="50"/>
  <c r="CF86" i="50" s="1"/>
  <c r="AY28" i="50"/>
  <c r="BC28" i="50"/>
  <c r="BB28" i="50" s="1"/>
  <c r="BA66" i="50"/>
  <c r="BC73" i="50"/>
  <c r="AY94" i="50"/>
  <c r="CE94" i="50" s="1"/>
  <c r="CL94" i="50" s="1"/>
  <c r="BC36" i="50"/>
  <c r="BC94" i="50"/>
  <c r="BB94" i="50" s="1"/>
  <c r="AY58" i="50"/>
  <c r="CF58" i="50" s="1"/>
  <c r="BC86" i="50"/>
  <c r="BB86" i="50" s="1"/>
  <c r="BA36" i="50"/>
  <c r="BC84" i="50"/>
  <c r="BB84" i="50" s="1"/>
  <c r="BC97" i="50"/>
  <c r="BB97" i="50" s="1"/>
  <c r="BA67" i="50"/>
  <c r="BA93" i="50"/>
  <c r="AY97" i="50"/>
  <c r="CE45" i="50"/>
  <c r="CL45" i="50" s="1"/>
  <c r="BX45" i="50"/>
  <c r="AQ18" i="50"/>
  <c r="BC93" i="50"/>
  <c r="BC98" i="50"/>
  <c r="BB98" i="50" s="1"/>
  <c r="CE67" i="50"/>
  <c r="CL67" i="50" s="1"/>
  <c r="CF45" i="50"/>
  <c r="AY98" i="50"/>
  <c r="BM98" i="50" s="1"/>
  <c r="BX98" i="50" s="1"/>
  <c r="BC67" i="50"/>
  <c r="AY60" i="50"/>
  <c r="CE60" i="50" s="1"/>
  <c r="CL60" i="50" s="1"/>
  <c r="BN45" i="50"/>
  <c r="AY38" i="50"/>
  <c r="CE38" i="50" s="1"/>
  <c r="CL38" i="50" s="1"/>
  <c r="BO45" i="50"/>
  <c r="BC38" i="50"/>
  <c r="BB38" i="50" s="1"/>
  <c r="BC69" i="50"/>
  <c r="BB69" i="50" s="1"/>
  <c r="BM67" i="50"/>
  <c r="BX67" i="50" s="1"/>
  <c r="BW45" i="50"/>
  <c r="BA45" i="50"/>
  <c r="BC60" i="50"/>
  <c r="BB60" i="50" s="1"/>
  <c r="BA76" i="50"/>
  <c r="BC76" i="50"/>
  <c r="AP18" i="50"/>
  <c r="BA53" i="50"/>
  <c r="CE62" i="50"/>
  <c r="CL62" i="50" s="1"/>
  <c r="CE53" i="50"/>
  <c r="CL53" i="50" s="1"/>
  <c r="AY30" i="50"/>
  <c r="CF30" i="50" s="1"/>
  <c r="CF62" i="50"/>
  <c r="CF53" i="50"/>
  <c r="AY84" i="50"/>
  <c r="CE84" i="50" s="1"/>
  <c r="CL84" i="50" s="1"/>
  <c r="BC62" i="50"/>
  <c r="BA62" i="50"/>
  <c r="BC53" i="50"/>
  <c r="BC30" i="50"/>
  <c r="BB30" i="50" s="1"/>
  <c r="AN18" i="50"/>
  <c r="CE37" i="50"/>
  <c r="CL37" i="50" s="1"/>
  <c r="BC43" i="50"/>
  <c r="BB43" i="50" s="1"/>
  <c r="BA37" i="50"/>
  <c r="BX41" i="50"/>
  <c r="AY42" i="50"/>
  <c r="CF42" i="50" s="1"/>
  <c r="BA34" i="50"/>
  <c r="BM34" i="50"/>
  <c r="BW34" i="50" s="1"/>
  <c r="AY83" i="50"/>
  <c r="CE83" i="50" s="1"/>
  <c r="CL83" i="50" s="1"/>
  <c r="AY35" i="50"/>
  <c r="CF35" i="50" s="1"/>
  <c r="CE41" i="50"/>
  <c r="CL41" i="50" s="1"/>
  <c r="BW41" i="50"/>
  <c r="BC44" i="50"/>
  <c r="BB44" i="50" s="1"/>
  <c r="AY65" i="50"/>
  <c r="BM65" i="50" s="1"/>
  <c r="BC96" i="50"/>
  <c r="BB96" i="50" s="1"/>
  <c r="AY44" i="50"/>
  <c r="CF44" i="50" s="1"/>
  <c r="CE92" i="50"/>
  <c r="CL92" i="50" s="1"/>
  <c r="CF37" i="50"/>
  <c r="BN41" i="50"/>
  <c r="BA52" i="50"/>
  <c r="AY90" i="50"/>
  <c r="CE90" i="50" s="1"/>
  <c r="CL90" i="50" s="1"/>
  <c r="BC33" i="50"/>
  <c r="BB33" i="50" s="1"/>
  <c r="BC46" i="50"/>
  <c r="AT99" i="50"/>
  <c r="AU99" i="50" s="1"/>
  <c r="BW37" i="50"/>
  <c r="AK18" i="50"/>
  <c r="CE34" i="50"/>
  <c r="CL34" i="50" s="1"/>
  <c r="BC90" i="50"/>
  <c r="BB90" i="50" s="1"/>
  <c r="BX37" i="50"/>
  <c r="AY74" i="50"/>
  <c r="CF41" i="50"/>
  <c r="BC41" i="50"/>
  <c r="BB41" i="50" s="1"/>
  <c r="AY51" i="50"/>
  <c r="BC85" i="50"/>
  <c r="BC87" i="50"/>
  <c r="BB87" i="50" s="1"/>
  <c r="BA46" i="50"/>
  <c r="BM46" i="50"/>
  <c r="BO46" i="50" s="1"/>
  <c r="BC34" i="50"/>
  <c r="BN37" i="50"/>
  <c r="BO41" i="50"/>
  <c r="BC37" i="50"/>
  <c r="BM36" i="50"/>
  <c r="BO36" i="50" s="1"/>
  <c r="CF36" i="50"/>
  <c r="CE46" i="50"/>
  <c r="CL46" i="50" s="1"/>
  <c r="AT21" i="50"/>
  <c r="AU21" i="50" s="1"/>
  <c r="Y30" i="21"/>
  <c r="Z30" i="21" s="1"/>
  <c r="BI30" i="62"/>
  <c r="DJ27" i="62"/>
  <c r="BM88" i="50"/>
  <c r="BO88" i="50" s="1"/>
  <c r="BB80" i="50"/>
  <c r="BC83" i="50"/>
  <c r="BB83" i="50" s="1"/>
  <c r="BB61" i="50"/>
  <c r="CE88" i="50"/>
  <c r="CL88" i="50" s="1"/>
  <c r="BO47" i="50"/>
  <c r="BP47" i="50" s="1"/>
  <c r="BN66" i="50"/>
  <c r="BB40" i="50"/>
  <c r="BB48" i="50"/>
  <c r="BW66" i="50"/>
  <c r="BY66" i="50" s="1"/>
  <c r="BO66" i="50"/>
  <c r="BB72" i="50"/>
  <c r="BC58" i="50"/>
  <c r="BB58" i="50" s="1"/>
  <c r="BW53" i="50"/>
  <c r="S133" i="50"/>
  <c r="V133" i="50" s="1"/>
  <c r="AC99" i="50"/>
  <c r="B99" i="50" s="1"/>
  <c r="AC98" i="50"/>
  <c r="B98" i="50" s="1"/>
  <c r="AC96" i="50"/>
  <c r="B96" i="50" s="1"/>
  <c r="AC94" i="50"/>
  <c r="B94" i="50" s="1"/>
  <c r="AC93" i="50"/>
  <c r="B93" i="50" s="1"/>
  <c r="AC92" i="50"/>
  <c r="B92" i="50" s="1"/>
  <c r="AC95" i="50"/>
  <c r="B95" i="50" s="1"/>
  <c r="AC91" i="50"/>
  <c r="B91" i="50" s="1"/>
  <c r="AC90" i="50"/>
  <c r="B90" i="50" s="1"/>
  <c r="AC89" i="50"/>
  <c r="B89" i="50" s="1"/>
  <c r="AC88" i="50"/>
  <c r="B88" i="50" s="1"/>
  <c r="AC87" i="50"/>
  <c r="B87" i="50" s="1"/>
  <c r="AC86" i="50"/>
  <c r="B86" i="50" s="1"/>
  <c r="AC85" i="50"/>
  <c r="B85" i="50" s="1"/>
  <c r="AC84" i="50"/>
  <c r="B84" i="50" s="1"/>
  <c r="AC83" i="50"/>
  <c r="B83" i="50" s="1"/>
  <c r="AC82" i="50"/>
  <c r="B82" i="50" s="1"/>
  <c r="AC72" i="50"/>
  <c r="B72" i="50" s="1"/>
  <c r="AC73" i="50"/>
  <c r="B73" i="50" s="1"/>
  <c r="AC97" i="50"/>
  <c r="B97" i="50" s="1"/>
  <c r="AC75" i="50"/>
  <c r="B75" i="50" s="1"/>
  <c r="AC81" i="50"/>
  <c r="B81" i="50" s="1"/>
  <c r="AC76" i="50"/>
  <c r="B76" i="50" s="1"/>
  <c r="AC78" i="50"/>
  <c r="B78" i="50" s="1"/>
  <c r="AC71" i="50"/>
  <c r="B71" i="50" s="1"/>
  <c r="AC67" i="50"/>
  <c r="B67" i="50" s="1"/>
  <c r="AC66" i="50"/>
  <c r="B66" i="50" s="1"/>
  <c r="AC65" i="50"/>
  <c r="B65" i="50" s="1"/>
  <c r="AC64" i="50"/>
  <c r="B64" i="50" s="1"/>
  <c r="AC63" i="50"/>
  <c r="B63" i="50" s="1"/>
  <c r="AC62" i="50"/>
  <c r="B62" i="50" s="1"/>
  <c r="AC61" i="50"/>
  <c r="B61" i="50" s="1"/>
  <c r="AC60" i="50"/>
  <c r="B60" i="50" s="1"/>
  <c r="AC59" i="50"/>
  <c r="B59" i="50" s="1"/>
  <c r="AC58" i="50"/>
  <c r="B58" i="50" s="1"/>
  <c r="AC57" i="50"/>
  <c r="B57" i="50" s="1"/>
  <c r="AC74" i="50"/>
  <c r="B74" i="50" s="1"/>
  <c r="AC70" i="50"/>
  <c r="B70" i="50" s="1"/>
  <c r="AC69" i="50"/>
  <c r="B69" i="50" s="1"/>
  <c r="AC68" i="50"/>
  <c r="B68" i="50" s="1"/>
  <c r="AC77" i="50"/>
  <c r="B77" i="50" s="1"/>
  <c r="AC80" i="50"/>
  <c r="B80" i="50" s="1"/>
  <c r="AC55" i="50"/>
  <c r="B55" i="50" s="1"/>
  <c r="AC44" i="50"/>
  <c r="B44" i="50" s="1"/>
  <c r="AC36" i="50"/>
  <c r="B36" i="50" s="1"/>
  <c r="AC43" i="50"/>
  <c r="B43" i="50" s="1"/>
  <c r="AC42" i="50"/>
  <c r="B42" i="50" s="1"/>
  <c r="AC34" i="50"/>
  <c r="B34" i="50" s="1"/>
  <c r="AC41" i="50"/>
  <c r="B41" i="50" s="1"/>
  <c r="AC56" i="50"/>
  <c r="B56" i="50" s="1"/>
  <c r="AC54" i="50"/>
  <c r="B54" i="50" s="1"/>
  <c r="AC52" i="50"/>
  <c r="B52" i="50" s="1"/>
  <c r="AC48" i="50"/>
  <c r="B48" i="50" s="1"/>
  <c r="AC40" i="50"/>
  <c r="B40" i="50" s="1"/>
  <c r="AC79" i="50"/>
  <c r="B79" i="50" s="1"/>
  <c r="AC53" i="50"/>
  <c r="B53" i="50" s="1"/>
  <c r="AC50" i="50"/>
  <c r="B50" i="50" s="1"/>
  <c r="AC46" i="50"/>
  <c r="B46" i="50" s="1"/>
  <c r="AC37" i="50"/>
  <c r="B37" i="50" s="1"/>
  <c r="AC27" i="50"/>
  <c r="B27" i="50" s="1"/>
  <c r="AC24" i="50"/>
  <c r="B24" i="50" s="1"/>
  <c r="AC45" i="50"/>
  <c r="B45" i="50" s="1"/>
  <c r="AC39" i="50"/>
  <c r="B39" i="50" s="1"/>
  <c r="AC38" i="50"/>
  <c r="B38" i="50" s="1"/>
  <c r="AC32" i="50"/>
  <c r="B32" i="50" s="1"/>
  <c r="AC29" i="50"/>
  <c r="B29" i="50" s="1"/>
  <c r="AC23" i="50"/>
  <c r="B23" i="50" s="1"/>
  <c r="AC49" i="50"/>
  <c r="B49" i="50" s="1"/>
  <c r="AC30" i="50"/>
  <c r="B30" i="50" s="1"/>
  <c r="AC28" i="50"/>
  <c r="B28" i="50" s="1"/>
  <c r="AC35" i="50"/>
  <c r="B35" i="50" s="1"/>
  <c r="AC31" i="50"/>
  <c r="B31" i="50" s="1"/>
  <c r="AC47" i="50"/>
  <c r="B47" i="50" s="1"/>
  <c r="AC33" i="50"/>
  <c r="B33" i="50" s="1"/>
  <c r="AC51" i="50"/>
  <c r="B51" i="50" s="1"/>
  <c r="AC22" i="50"/>
  <c r="B22" i="50" s="1"/>
  <c r="AC21" i="50"/>
  <c r="B21" i="50" s="1"/>
  <c r="AC26" i="50"/>
  <c r="B26" i="50" s="1"/>
  <c r="AC20" i="50"/>
  <c r="B20" i="50" s="1"/>
  <c r="AC25" i="50"/>
  <c r="B25" i="50" s="1"/>
  <c r="AU20" i="50"/>
  <c r="CE71" i="50"/>
  <c r="CL71" i="50" s="1"/>
  <c r="BM71" i="50"/>
  <c r="BW71" i="50" s="1"/>
  <c r="CF71" i="50"/>
  <c r="AS20" i="50"/>
  <c r="AV20" i="50"/>
  <c r="BB79" i="50"/>
  <c r="CF76" i="50"/>
  <c r="CE76" i="50"/>
  <c r="CL76" i="50" s="1"/>
  <c r="BM76" i="50"/>
  <c r="BX76" i="50" s="1"/>
  <c r="BB75" i="50"/>
  <c r="BM40" i="50"/>
  <c r="BO40" i="50" s="1"/>
  <c r="CF40" i="50"/>
  <c r="CE40" i="50"/>
  <c r="CL40" i="50" s="1"/>
  <c r="BX53" i="50"/>
  <c r="CF27" i="50"/>
  <c r="CE27" i="50"/>
  <c r="CL27" i="50" s="1"/>
  <c r="BM27" i="50"/>
  <c r="BW27" i="50" s="1"/>
  <c r="BW47" i="50"/>
  <c r="BN95" i="50"/>
  <c r="BY61" i="50"/>
  <c r="CF79" i="50"/>
  <c r="CE79" i="50"/>
  <c r="CL79" i="50" s="1"/>
  <c r="BM79" i="50"/>
  <c r="BN79" i="50" s="1"/>
  <c r="CF55" i="50"/>
  <c r="CE55" i="50"/>
  <c r="CL55" i="50" s="1"/>
  <c r="BM55" i="50"/>
  <c r="BW55" i="50" s="1"/>
  <c r="CE73" i="50"/>
  <c r="CL73" i="50" s="1"/>
  <c r="CC73" i="50"/>
  <c r="CF73" i="50"/>
  <c r="BM73" i="50"/>
  <c r="BO73" i="50" s="1"/>
  <c r="BN39" i="50"/>
  <c r="BX47" i="50"/>
  <c r="F164" i="50"/>
  <c r="H164" i="50" s="1"/>
  <c r="F155" i="50"/>
  <c r="B17" i="50" s="1"/>
  <c r="CF54" i="50"/>
  <c r="CE54" i="50"/>
  <c r="CL54" i="50" s="1"/>
  <c r="BM54" i="50"/>
  <c r="BO54" i="50" s="1"/>
  <c r="BX39" i="50"/>
  <c r="BO95" i="50"/>
  <c r="BW39" i="50"/>
  <c r="BO62" i="50"/>
  <c r="CE32" i="50"/>
  <c r="CL32" i="50" s="1"/>
  <c r="CF32" i="50"/>
  <c r="BM32" i="50"/>
  <c r="BO32" i="50" s="1"/>
  <c r="BM93" i="50"/>
  <c r="BN93" i="50" s="1"/>
  <c r="CF93" i="50"/>
  <c r="CE93" i="50"/>
  <c r="CL93" i="50" s="1"/>
  <c r="CF64" i="50"/>
  <c r="CE64" i="50"/>
  <c r="CL64" i="50" s="1"/>
  <c r="BM64" i="50"/>
  <c r="BX64" i="50" s="1"/>
  <c r="CF77" i="50"/>
  <c r="CE77" i="50"/>
  <c r="CL77" i="50" s="1"/>
  <c r="BM77" i="50"/>
  <c r="BX77" i="50" s="1"/>
  <c r="CE70" i="50"/>
  <c r="CL70" i="50" s="1"/>
  <c r="CF70" i="50"/>
  <c r="BM70" i="50"/>
  <c r="BN70" i="50" s="1"/>
  <c r="AX20" i="50"/>
  <c r="CF89" i="50"/>
  <c r="CE89" i="50"/>
  <c r="CL89" i="50" s="1"/>
  <c r="BM89" i="50"/>
  <c r="BO89" i="50" s="1"/>
  <c r="BB95" i="50"/>
  <c r="BX62" i="50"/>
  <c r="BY62" i="50" s="1"/>
  <c r="CF52" i="50"/>
  <c r="CE52" i="50"/>
  <c r="CL52" i="50" s="1"/>
  <c r="BM52" i="50"/>
  <c r="BW52" i="50" s="1"/>
  <c r="BN53" i="50"/>
  <c r="BB81" i="50"/>
  <c r="CE72" i="50"/>
  <c r="CL72" i="50" s="1"/>
  <c r="CF72" i="50"/>
  <c r="BM72" i="50"/>
  <c r="BW72" i="50" s="1"/>
  <c r="CE68" i="50"/>
  <c r="CL68" i="50" s="1"/>
  <c r="BM68" i="50"/>
  <c r="BW68" i="50" s="1"/>
  <c r="CF68" i="50"/>
  <c r="BB55" i="50"/>
  <c r="BN62" i="50"/>
  <c r="CE85" i="50"/>
  <c r="CL85" i="50" s="1"/>
  <c r="BM85" i="50"/>
  <c r="BX85" i="50" s="1"/>
  <c r="CF85" i="50"/>
  <c r="BW95" i="50"/>
  <c r="CF80" i="50"/>
  <c r="CE80" i="50"/>
  <c r="CL80" i="50" s="1"/>
  <c r="BM80" i="50"/>
  <c r="BX80" i="50" s="1"/>
  <c r="CE48" i="50"/>
  <c r="CL48" i="50" s="1"/>
  <c r="CF48" i="50"/>
  <c r="BM48" i="50"/>
  <c r="BX48" i="50" s="1"/>
  <c r="BP61" i="50"/>
  <c r="CF81" i="50"/>
  <c r="CE81" i="50"/>
  <c r="CL81" i="50" s="1"/>
  <c r="BM81" i="50"/>
  <c r="BO81" i="50" s="1"/>
  <c r="P46" i="21"/>
  <c r="P47" i="21" s="1"/>
  <c r="P7" i="21"/>
  <c r="H18" i="21"/>
  <c r="CC87" i="50" l="1"/>
  <c r="CF87" i="50"/>
  <c r="CC89" i="50"/>
  <c r="BM29" i="50"/>
  <c r="BW29" i="50" s="1"/>
  <c r="CE87" i="50"/>
  <c r="CL87" i="50" s="1"/>
  <c r="CF29" i="50"/>
  <c r="CC29" i="50"/>
  <c r="BB70" i="50"/>
  <c r="AX26" i="50"/>
  <c r="AV26" i="50"/>
  <c r="AW26" i="50" s="1"/>
  <c r="AV25" i="50"/>
  <c r="AW25" i="50" s="1"/>
  <c r="AS25" i="50"/>
  <c r="AX25" i="50"/>
  <c r="BM50" i="50"/>
  <c r="BO50" i="50" s="1"/>
  <c r="CC50" i="50"/>
  <c r="BB27" i="50"/>
  <c r="CF50" i="50"/>
  <c r="AR18" i="50"/>
  <c r="CF31" i="50"/>
  <c r="AS24" i="50"/>
  <c r="AX24" i="50"/>
  <c r="BM31" i="50"/>
  <c r="BX31" i="50" s="1"/>
  <c r="CC31" i="50"/>
  <c r="BB92" i="50"/>
  <c r="AH13" i="50"/>
  <c r="X13" i="50" s="1"/>
  <c r="X4" i="50"/>
  <c r="BM63" i="50"/>
  <c r="BN63" i="50" s="1"/>
  <c r="BB32" i="50"/>
  <c r="CC63" i="50"/>
  <c r="BM33" i="50"/>
  <c r="BX33" i="50" s="1"/>
  <c r="AX22" i="50"/>
  <c r="AW23" i="50"/>
  <c r="AU23" i="50"/>
  <c r="AU18" i="50" s="1"/>
  <c r="AS23" i="50"/>
  <c r="AX23" i="50"/>
  <c r="AV22" i="50"/>
  <c r="AW22" i="50" s="1"/>
  <c r="AS22" i="50"/>
  <c r="CE59" i="50"/>
  <c r="CL59" i="50" s="1"/>
  <c r="BM96" i="50"/>
  <c r="BN96" i="50" s="1"/>
  <c r="BB85" i="50"/>
  <c r="CC51" i="50"/>
  <c r="CC59" i="50"/>
  <c r="CC96" i="50"/>
  <c r="CE96" i="50"/>
  <c r="CL96" i="50" s="1"/>
  <c r="CF33" i="50"/>
  <c r="BB77" i="50"/>
  <c r="CC33" i="50"/>
  <c r="CC97" i="50"/>
  <c r="CF59" i="50"/>
  <c r="CE63" i="50"/>
  <c r="CL63" i="50" s="1"/>
  <c r="CC28" i="50"/>
  <c r="CC74" i="50"/>
  <c r="BM82" i="50"/>
  <c r="BW82" i="50" s="1"/>
  <c r="CE82" i="50"/>
  <c r="CL82" i="50" s="1"/>
  <c r="CF56" i="50"/>
  <c r="CC82" i="50"/>
  <c r="CC56" i="50"/>
  <c r="BM56" i="50"/>
  <c r="BX56" i="50" s="1"/>
  <c r="BP37" i="50"/>
  <c r="BO92" i="50"/>
  <c r="BN92" i="50"/>
  <c r="BW92" i="50"/>
  <c r="BY92" i="50" s="1"/>
  <c r="BB73" i="50"/>
  <c r="BB54" i="50"/>
  <c r="BM78" i="50"/>
  <c r="BX78" i="50" s="1"/>
  <c r="BN91" i="50"/>
  <c r="BM75" i="50"/>
  <c r="BX75" i="50" s="1"/>
  <c r="CE75" i="50"/>
  <c r="CL75" i="50" s="1"/>
  <c r="BB66" i="50"/>
  <c r="CC78" i="50"/>
  <c r="CE78" i="50"/>
  <c r="CL78" i="50" s="1"/>
  <c r="CC43" i="50"/>
  <c r="CE43" i="50"/>
  <c r="CL43" i="50" s="1"/>
  <c r="BM43" i="50"/>
  <c r="BX43" i="50" s="1"/>
  <c r="BM58" i="50"/>
  <c r="BW58" i="50" s="1"/>
  <c r="BX91" i="50"/>
  <c r="BY91" i="50" s="1"/>
  <c r="CC58" i="50"/>
  <c r="BB47" i="50"/>
  <c r="CE58" i="50"/>
  <c r="CL58" i="50" s="1"/>
  <c r="BB39" i="50"/>
  <c r="BO91" i="50"/>
  <c r="CC75" i="50"/>
  <c r="BB71" i="50"/>
  <c r="BM49" i="50"/>
  <c r="BW49" i="50" s="1"/>
  <c r="CC49" i="50"/>
  <c r="BB45" i="50"/>
  <c r="CE86" i="50"/>
  <c r="CL86" i="50" s="1"/>
  <c r="CC57" i="50"/>
  <c r="CE28" i="50"/>
  <c r="CL28" i="50" s="1"/>
  <c r="BM38" i="50"/>
  <c r="BO38" i="50" s="1"/>
  <c r="CF94" i="50"/>
  <c r="CC86" i="50"/>
  <c r="CF57" i="50"/>
  <c r="CF28" i="50"/>
  <c r="BM94" i="50"/>
  <c r="BN94" i="50" s="1"/>
  <c r="BM86" i="50"/>
  <c r="BW86" i="50" s="1"/>
  <c r="BM57" i="50"/>
  <c r="BN57" i="50" s="1"/>
  <c r="CC69" i="50"/>
  <c r="BM69" i="50"/>
  <c r="BW69" i="50" s="1"/>
  <c r="CF69" i="50"/>
  <c r="CC38" i="50"/>
  <c r="CC83" i="50"/>
  <c r="CE49" i="50"/>
  <c r="CL49" i="50" s="1"/>
  <c r="CF38" i="50"/>
  <c r="BM84" i="50"/>
  <c r="BO84" i="50" s="1"/>
  <c r="CF84" i="50"/>
  <c r="BB52" i="50"/>
  <c r="BB36" i="50"/>
  <c r="BM28" i="50"/>
  <c r="BN28" i="50" s="1"/>
  <c r="CC84" i="50"/>
  <c r="BM83" i="50"/>
  <c r="BW83" i="50" s="1"/>
  <c r="BM51" i="50"/>
  <c r="BO51" i="50" s="1"/>
  <c r="CF51" i="50"/>
  <c r="CE51" i="50"/>
  <c r="CL51" i="50" s="1"/>
  <c r="BB76" i="50"/>
  <c r="BB67" i="50"/>
  <c r="CF83" i="50"/>
  <c r="CF97" i="50"/>
  <c r="BM97" i="50"/>
  <c r="BN97" i="50" s="1"/>
  <c r="BX88" i="50"/>
  <c r="CE97" i="50"/>
  <c r="CL97" i="50" s="1"/>
  <c r="BB37" i="50"/>
  <c r="CC94" i="50"/>
  <c r="BP45" i="50"/>
  <c r="BB93" i="50"/>
  <c r="BX34" i="50"/>
  <c r="BY34" i="50" s="1"/>
  <c r="BO34" i="50"/>
  <c r="BN67" i="50"/>
  <c r="BX46" i="50"/>
  <c r="CF90" i="50"/>
  <c r="BM30" i="50"/>
  <c r="BN30" i="50" s="1"/>
  <c r="CC42" i="50"/>
  <c r="BN36" i="50"/>
  <c r="BP36" i="50" s="1"/>
  <c r="CE42" i="50"/>
  <c r="CL42" i="50" s="1"/>
  <c r="CC90" i="50"/>
  <c r="BW67" i="50"/>
  <c r="BY67" i="50" s="1"/>
  <c r="BY45" i="50"/>
  <c r="BX36" i="50"/>
  <c r="CC30" i="50"/>
  <c r="BM42" i="50"/>
  <c r="BN42" i="50" s="1"/>
  <c r="BW46" i="50"/>
  <c r="BN46" i="50"/>
  <c r="BP46" i="50" s="1"/>
  <c r="BM90" i="50"/>
  <c r="BN90" i="50" s="1"/>
  <c r="BW36" i="50"/>
  <c r="CE30" i="50"/>
  <c r="CL30" i="50" s="1"/>
  <c r="BO67" i="50"/>
  <c r="BY37" i="50"/>
  <c r="BY41" i="50"/>
  <c r="BP41" i="50"/>
  <c r="AQ15" i="50"/>
  <c r="BB62" i="50"/>
  <c r="BB53" i="50"/>
  <c r="CE35" i="50"/>
  <c r="CL35" i="50" s="1"/>
  <c r="CF60" i="50"/>
  <c r="CE98" i="50"/>
  <c r="CL98" i="50" s="1"/>
  <c r="BM60" i="50"/>
  <c r="BX60" i="50" s="1"/>
  <c r="CC60" i="50"/>
  <c r="BO98" i="50"/>
  <c r="BW98" i="50"/>
  <c r="BY98" i="50" s="1"/>
  <c r="CF98" i="50"/>
  <c r="BM35" i="50"/>
  <c r="BN35" i="50" s="1"/>
  <c r="BB34" i="50"/>
  <c r="BN98" i="50"/>
  <c r="CC98" i="50"/>
  <c r="CC35" i="50"/>
  <c r="CE74" i="50"/>
  <c r="CL74" i="50" s="1"/>
  <c r="BX65" i="50"/>
  <c r="CC65" i="50"/>
  <c r="BO65" i="50"/>
  <c r="BB46" i="50"/>
  <c r="BM44" i="50"/>
  <c r="BX44" i="50" s="1"/>
  <c r="CE44" i="50"/>
  <c r="CL44" i="50" s="1"/>
  <c r="AX99" i="50"/>
  <c r="CC44" i="50"/>
  <c r="AV99" i="50"/>
  <c r="AW99" i="50" s="1"/>
  <c r="BM74" i="50"/>
  <c r="BW74" i="50" s="1"/>
  <c r="AS99" i="50"/>
  <c r="CF74" i="50"/>
  <c r="AT18" i="50"/>
  <c r="CF65" i="50"/>
  <c r="BW65" i="50"/>
  <c r="CE65" i="50"/>
  <c r="CL65" i="50" s="1"/>
  <c r="BN65" i="50"/>
  <c r="BN34" i="50"/>
  <c r="AX21" i="50"/>
  <c r="AS21" i="50"/>
  <c r="AV21" i="50"/>
  <c r="AW21" i="50" s="1"/>
  <c r="H21" i="21"/>
  <c r="AD30" i="21"/>
  <c r="O19" i="21"/>
  <c r="BW88" i="50"/>
  <c r="Y60" i="21"/>
  <c r="O17" i="21"/>
  <c r="P107" i="62"/>
  <c r="O107" i="62"/>
  <c r="BD63" i="62"/>
  <c r="BF60" i="62"/>
  <c r="BF59" i="62"/>
  <c r="BD60" i="62"/>
  <c r="BF65" i="62"/>
  <c r="BB60" i="62"/>
  <c r="BB52" i="62"/>
  <c r="BF55" i="62"/>
  <c r="BF54" i="62"/>
  <c r="BD55" i="62"/>
  <c r="I114" i="62"/>
  <c r="BB68" i="62"/>
  <c r="BE41" i="62"/>
  <c r="BB42" i="62"/>
  <c r="BC44" i="62"/>
  <c r="BB47" i="62"/>
  <c r="BB54" i="62"/>
  <c r="BA48" i="62"/>
  <c r="BA49" i="62"/>
  <c r="BB48" i="62"/>
  <c r="BA42" i="62"/>
  <c r="BB45" i="62"/>
  <c r="BB49" i="62"/>
  <c r="BA62" i="62"/>
  <c r="BC45" i="62"/>
  <c r="BA51" i="62"/>
  <c r="BD46" i="62"/>
  <c r="BA41" i="62"/>
  <c r="BA47" i="62"/>
  <c r="BE61" i="62"/>
  <c r="BF45" i="62"/>
  <c r="BF50" i="62"/>
  <c r="BA54" i="62"/>
  <c r="BB67" i="62"/>
  <c r="BC65" i="62"/>
  <c r="BE62" i="62"/>
  <c r="BD69" i="62"/>
  <c r="P108" i="62"/>
  <c r="BE59" i="62"/>
  <c r="BC60" i="62"/>
  <c r="BC52" i="62"/>
  <c r="BC51" i="62"/>
  <c r="BC50" i="62"/>
  <c r="BB50" i="62"/>
  <c r="BE54" i="62"/>
  <c r="BC55" i="62"/>
  <c r="BC67" i="62"/>
  <c r="BF40" i="62"/>
  <c r="BC41" i="62"/>
  <c r="BB40" i="62"/>
  <c r="BE43" i="62"/>
  <c r="BF41" i="62"/>
  <c r="BA40" i="62"/>
  <c r="BB64" i="62"/>
  <c r="BA43" i="62"/>
  <c r="BA44" i="62"/>
  <c r="BB56" i="62"/>
  <c r="BD65" i="62"/>
  <c r="BE48" i="62"/>
  <c r="BC54" i="62"/>
  <c r="BB44" i="62"/>
  <c r="BB66" i="62"/>
  <c r="BF69" i="62"/>
  <c r="BD61" i="62"/>
  <c r="BD67" i="62"/>
  <c r="BD66" i="62"/>
  <c r="BD57" i="62"/>
  <c r="BA57" i="62"/>
  <c r="BF51" i="62"/>
  <c r="BC42" i="62"/>
  <c r="BA58" i="62"/>
  <c r="BC58" i="62"/>
  <c r="BE60" i="62"/>
  <c r="BE66" i="62"/>
  <c r="BF56" i="62"/>
  <c r="BE55" i="62"/>
  <c r="BE45" i="62"/>
  <c r="BF42" i="62"/>
  <c r="BB51" i="62"/>
  <c r="BC66" i="62"/>
  <c r="BD64" i="62"/>
  <c r="BF61" i="62"/>
  <c r="BE68" i="62"/>
  <c r="BC69" i="62"/>
  <c r="BF58" i="62"/>
  <c r="BD59" i="62"/>
  <c r="BD51" i="62"/>
  <c r="BD50" i="62"/>
  <c r="BD49" i="62"/>
  <c r="BC49" i="62"/>
  <c r="BF53" i="62"/>
  <c r="BD54" i="62"/>
  <c r="BE65" i="62"/>
  <c r="BF44" i="62"/>
  <c r="BD40" i="62"/>
  <c r="BF46" i="62"/>
  <c r="BD41" i="62"/>
  <c r="BA64" i="62"/>
  <c r="BA56" i="62"/>
  <c r="BA61" i="62"/>
  <c r="BA55" i="62"/>
  <c r="BA50" i="62"/>
  <c r="BA45" i="62"/>
  <c r="BE63" i="62"/>
  <c r="BE69" i="62"/>
  <c r="BF67" i="62"/>
  <c r="BD68" i="62"/>
  <c r="O108" i="62"/>
  <c r="BE58" i="62"/>
  <c r="BE50" i="62"/>
  <c r="BE49" i="62"/>
  <c r="BD48" i="62"/>
  <c r="BE53" i="62"/>
  <c r="BC43" i="62"/>
  <c r="BE51" i="62"/>
  <c r="BE42" i="62"/>
  <c r="BA63" i="62"/>
  <c r="BA53" i="62"/>
  <c r="BB57" i="62"/>
  <c r="BD45" i="62"/>
  <c r="BA66" i="62"/>
  <c r="BD62" i="62"/>
  <c r="BC40" i="62"/>
  <c r="BB43" i="62"/>
  <c r="BC64" i="62"/>
  <c r="BC61" i="62"/>
  <c r="BA69" i="62"/>
  <c r="BC56" i="62"/>
  <c r="BE44" i="62"/>
  <c r="BA65" i="62"/>
  <c r="BB61" i="62"/>
  <c r="BE64" i="62"/>
  <c r="BF62" i="62"/>
  <c r="BF68" i="62"/>
  <c r="BB63" i="62"/>
  <c r="BE67" i="62"/>
  <c r="P105" i="62"/>
  <c r="BF57" i="62"/>
  <c r="BF49" i="62"/>
  <c r="BF48" i="62"/>
  <c r="BF47" i="62"/>
  <c r="BE47" i="62"/>
  <c r="BC48" i="62"/>
  <c r="BF52" i="62"/>
  <c r="BD53" i="62"/>
  <c r="BC53" i="62"/>
  <c r="BD44" i="62"/>
  <c r="BC46" i="62"/>
  <c r="BB46" i="62"/>
  <c r="BA60" i="62"/>
  <c r="BB55" i="62"/>
  <c r="BB65" i="62"/>
  <c r="BA68" i="62"/>
  <c r="BB69" i="62"/>
  <c r="BF63" i="62"/>
  <c r="BB58" i="62"/>
  <c r="BC63" i="62"/>
  <c r="BC62" i="62"/>
  <c r="BF66" i="62"/>
  <c r="BC68" i="62"/>
  <c r="O105" i="62"/>
  <c r="BC59" i="62"/>
  <c r="BF64" i="62"/>
  <c r="BC57" i="62"/>
  <c r="BD58" i="62"/>
  <c r="BD47" i="62"/>
  <c r="BC47" i="62"/>
  <c r="BE52" i="62"/>
  <c r="BD52" i="62"/>
  <c r="BB41" i="62"/>
  <c r="BA67" i="62"/>
  <c r="BB53" i="62"/>
  <c r="BA52" i="62"/>
  <c r="BB59" i="62"/>
  <c r="BB62" i="62"/>
  <c r="BE57" i="62"/>
  <c r="BD56" i="62"/>
  <c r="BE46" i="62"/>
  <c r="BD43" i="62"/>
  <c r="BF43" i="62"/>
  <c r="BA59" i="62"/>
  <c r="BE56" i="62"/>
  <c r="BD42" i="62"/>
  <c r="BE40" i="62"/>
  <c r="BA46" i="62"/>
  <c r="BN88" i="50"/>
  <c r="BP88" i="50" s="1"/>
  <c r="BY53" i="50"/>
  <c r="BX55" i="50"/>
  <c r="BY55" i="50" s="1"/>
  <c r="BW70" i="50"/>
  <c r="BP66" i="50"/>
  <c r="H155" i="50"/>
  <c r="BN72" i="50"/>
  <c r="BO79" i="50"/>
  <c r="BP79" i="50" s="1"/>
  <c r="BX54" i="50"/>
  <c r="BN54" i="50"/>
  <c r="BP54" i="50" s="1"/>
  <c r="BO93" i="50"/>
  <c r="BP93" i="50" s="1"/>
  <c r="BN29" i="50"/>
  <c r="BX29" i="50"/>
  <c r="BY29" i="50" s="1"/>
  <c r="BW93" i="50"/>
  <c r="BX68" i="50"/>
  <c r="BY68" i="50" s="1"/>
  <c r="BO68" i="50"/>
  <c r="BX73" i="50"/>
  <c r="BX93" i="50"/>
  <c r="BN27" i="50"/>
  <c r="BX81" i="50"/>
  <c r="BN85" i="50"/>
  <c r="BW89" i="50"/>
  <c r="BW85" i="50"/>
  <c r="BY85" i="50" s="1"/>
  <c r="BX72" i="50"/>
  <c r="BY72" i="50" s="1"/>
  <c r="BX89" i="50"/>
  <c r="BN77" i="50"/>
  <c r="BO27" i="50"/>
  <c r="BW87" i="50"/>
  <c r="BN81" i="50"/>
  <c r="BP81" i="50" s="1"/>
  <c r="BN87" i="50"/>
  <c r="BP87" i="50" s="1"/>
  <c r="BO72" i="50"/>
  <c r="BN89" i="50"/>
  <c r="BP89" i="50" s="1"/>
  <c r="BW77" i="50"/>
  <c r="BY77" i="50" s="1"/>
  <c r="AW20" i="50"/>
  <c r="BW54" i="50"/>
  <c r="BN55" i="50"/>
  <c r="BW79" i="50"/>
  <c r="BX27" i="50"/>
  <c r="BY27" i="50" s="1"/>
  <c r="BN76" i="50"/>
  <c r="BX87" i="50"/>
  <c r="BO85" i="50"/>
  <c r="BN48" i="50"/>
  <c r="BN71" i="50"/>
  <c r="BO71" i="50"/>
  <c r="K158" i="50"/>
  <c r="J158" i="50"/>
  <c r="I158" i="50"/>
  <c r="H158" i="50"/>
  <c r="G158" i="50"/>
  <c r="L158" i="50"/>
  <c r="M158" i="50"/>
  <c r="F158" i="50"/>
  <c r="Y6" i="50"/>
  <c r="Y8" i="50" s="1"/>
  <c r="X6" i="50"/>
  <c r="X8" i="50"/>
  <c r="W8" i="50"/>
  <c r="W6" i="50"/>
  <c r="BO48" i="50"/>
  <c r="BP62" i="50"/>
  <c r="BN68" i="50"/>
  <c r="BX52" i="50"/>
  <c r="BY52" i="50" s="1"/>
  <c r="BO77" i="50"/>
  <c r="BX32" i="50"/>
  <c r="BN32" i="50"/>
  <c r="BN59" i="50"/>
  <c r="BO55" i="50"/>
  <c r="BX79" i="50"/>
  <c r="BP95" i="50"/>
  <c r="BX40" i="50"/>
  <c r="BN40" i="50"/>
  <c r="BW76" i="50"/>
  <c r="BW59" i="50"/>
  <c r="BP39" i="50"/>
  <c r="BW48" i="50"/>
  <c r="BN80" i="50"/>
  <c r="BO52" i="50"/>
  <c r="BN64" i="50"/>
  <c r="BY39" i="50"/>
  <c r="BY47" i="50"/>
  <c r="BW40" i="50"/>
  <c r="BW81" i="50"/>
  <c r="BW80" i="50"/>
  <c r="BO70" i="50"/>
  <c r="BP70" i="50" s="1"/>
  <c r="BW64" i="50"/>
  <c r="BO59" i="50"/>
  <c r="BN73" i="50"/>
  <c r="BO76" i="50"/>
  <c r="BX50" i="50"/>
  <c r="BY95" i="50"/>
  <c r="BW73" i="50"/>
  <c r="BN52" i="50"/>
  <c r="BW32" i="50"/>
  <c r="BO80" i="50"/>
  <c r="BX70" i="50"/>
  <c r="BO64" i="50"/>
  <c r="BN50" i="50"/>
  <c r="BX71" i="50"/>
  <c r="BY71" i="50" s="1"/>
  <c r="BP53" i="50"/>
  <c r="BO29" i="50" l="1"/>
  <c r="BP29" i="50" s="1"/>
  <c r="BW50" i="50"/>
  <c r="BY50" i="50" s="1"/>
  <c r="AM26" i="50"/>
  <c r="BC26" i="50" s="1"/>
  <c r="BA26" i="50"/>
  <c r="AM25" i="50"/>
  <c r="BW31" i="50"/>
  <c r="BY31" i="50" s="1"/>
  <c r="BO31" i="50"/>
  <c r="BN31" i="50"/>
  <c r="AM24" i="50"/>
  <c r="BC24" i="50" s="1"/>
  <c r="BO33" i="50"/>
  <c r="BX63" i="50"/>
  <c r="BW33" i="50"/>
  <c r="BY33" i="50" s="1"/>
  <c r="BN33" i="50"/>
  <c r="BW96" i="50"/>
  <c r="BW63" i="50"/>
  <c r="BO63" i="50"/>
  <c r="BP63" i="50" s="1"/>
  <c r="BO96" i="50"/>
  <c r="BP96" i="50" s="1"/>
  <c r="BX96" i="50"/>
  <c r="BY88" i="50"/>
  <c r="AM23" i="50"/>
  <c r="BC23" i="50" s="1"/>
  <c r="AM22" i="50"/>
  <c r="BC22" i="50" s="1"/>
  <c r="BO78" i="50"/>
  <c r="BN82" i="50"/>
  <c r="BX35" i="50"/>
  <c r="BO56" i="50"/>
  <c r="BO86" i="50"/>
  <c r="BX82" i="50"/>
  <c r="BY82" i="50" s="1"/>
  <c r="BO82" i="50"/>
  <c r="BN56" i="50"/>
  <c r="BW56" i="50"/>
  <c r="BY56" i="50" s="1"/>
  <c r="BN78" i="50"/>
  <c r="BW78" i="50"/>
  <c r="BY78" i="50" s="1"/>
  <c r="BP92" i="50"/>
  <c r="BP91" i="50"/>
  <c r="BW75" i="50"/>
  <c r="BY75" i="50" s="1"/>
  <c r="BO43" i="50"/>
  <c r="BO75" i="50"/>
  <c r="BN75" i="50"/>
  <c r="BO49" i="50"/>
  <c r="BN58" i="50"/>
  <c r="BN43" i="50"/>
  <c r="BW43" i="50"/>
  <c r="BY43" i="50" s="1"/>
  <c r="BP34" i="50"/>
  <c r="BN49" i="50"/>
  <c r="BX58" i="50"/>
  <c r="BY58" i="50" s="1"/>
  <c r="BO58" i="50"/>
  <c r="BX49" i="50"/>
  <c r="BY49" i="50" s="1"/>
  <c r="BX86" i="50"/>
  <c r="BY86" i="50" s="1"/>
  <c r="BO90" i="50"/>
  <c r="BP90" i="50" s="1"/>
  <c r="BN86" i="50"/>
  <c r="BX83" i="50"/>
  <c r="BY83" i="50" s="1"/>
  <c r="BW57" i="50"/>
  <c r="BW35" i="50"/>
  <c r="BW38" i="50"/>
  <c r="BN38" i="50"/>
  <c r="BP38" i="50" s="1"/>
  <c r="BO69" i="50"/>
  <c r="BX69" i="50"/>
  <c r="BY69" i="50" s="1"/>
  <c r="BX57" i="50"/>
  <c r="BX38" i="50"/>
  <c r="BN69" i="50"/>
  <c r="BO35" i="50"/>
  <c r="BP35" i="50" s="1"/>
  <c r="BO60" i="50"/>
  <c r="BX28" i="50"/>
  <c r="BO57" i="50"/>
  <c r="BP57" i="50" s="1"/>
  <c r="BW28" i="50"/>
  <c r="BX94" i="50"/>
  <c r="BW94" i="50"/>
  <c r="BW60" i="50"/>
  <c r="BY60" i="50" s="1"/>
  <c r="BO94" i="50"/>
  <c r="BP94" i="50" s="1"/>
  <c r="BN60" i="50"/>
  <c r="BX51" i="50"/>
  <c r="BN84" i="50"/>
  <c r="BP84" i="50" s="1"/>
  <c r="BO97" i="50"/>
  <c r="BP97" i="50" s="1"/>
  <c r="BX97" i="50"/>
  <c r="BN83" i="50"/>
  <c r="BX42" i="50"/>
  <c r="BO42" i="50"/>
  <c r="BP42" i="50" s="1"/>
  <c r="BX90" i="50"/>
  <c r="BW97" i="50"/>
  <c r="BW90" i="50"/>
  <c r="BO28" i="50"/>
  <c r="BP28" i="50" s="1"/>
  <c r="BW51" i="50"/>
  <c r="BO83" i="50"/>
  <c r="BW30" i="50"/>
  <c r="BN44" i="50"/>
  <c r="BX30" i="50"/>
  <c r="BW84" i="50"/>
  <c r="BN51" i="50"/>
  <c r="BP51" i="50" s="1"/>
  <c r="BP98" i="50"/>
  <c r="BX84" i="50"/>
  <c r="BY46" i="50"/>
  <c r="BO30" i="50"/>
  <c r="BP30" i="50" s="1"/>
  <c r="BP67" i="50"/>
  <c r="BW42" i="50"/>
  <c r="BY36" i="50"/>
  <c r="AR15" i="50"/>
  <c r="BW44" i="50"/>
  <c r="BY44" i="50" s="1"/>
  <c r="BO44" i="50"/>
  <c r="BP65" i="50"/>
  <c r="BY65" i="50"/>
  <c r="BN74" i="50"/>
  <c r="AX18" i="50"/>
  <c r="AM99" i="50"/>
  <c r="BC99" i="50" s="1"/>
  <c r="BX74" i="50"/>
  <c r="BY74" i="50" s="1"/>
  <c r="BO74" i="50"/>
  <c r="AW18" i="50"/>
  <c r="AM21" i="50"/>
  <c r="AV18" i="50"/>
  <c r="AY99" i="50"/>
  <c r="BA99" i="50"/>
  <c r="Q107" i="62"/>
  <c r="Q108" i="62"/>
  <c r="N74" i="62"/>
  <c r="I160" i="62"/>
  <c r="O71" i="62"/>
  <c r="N76" i="62"/>
  <c r="N71" i="62"/>
  <c r="O74" i="62"/>
  <c r="O73" i="62"/>
  <c r="O72" i="62"/>
  <c r="I152" i="62"/>
  <c r="O106" i="62"/>
  <c r="N72" i="62"/>
  <c r="P106" i="62"/>
  <c r="Q105" i="62"/>
  <c r="I156" i="62"/>
  <c r="N73" i="62"/>
  <c r="BP85" i="50"/>
  <c r="BY70" i="50"/>
  <c r="AM20" i="50"/>
  <c r="BA20" i="50" s="1"/>
  <c r="BY54" i="50"/>
  <c r="BP76" i="50"/>
  <c r="BY89" i="50"/>
  <c r="BY93" i="50"/>
  <c r="BP72" i="50"/>
  <c r="BP48" i="50"/>
  <c r="BP71" i="50"/>
  <c r="BP27" i="50"/>
  <c r="BY79" i="50"/>
  <c r="BP55" i="50"/>
  <c r="BY87" i="50"/>
  <c r="BP77" i="50"/>
  <c r="BY32" i="50"/>
  <c r="BY48" i="50"/>
  <c r="BP68" i="50"/>
  <c r="BY76" i="50"/>
  <c r="BY80" i="50"/>
  <c r="BP40" i="50"/>
  <c r="BP59" i="50"/>
  <c r="BP50" i="50"/>
  <c r="BY73" i="50"/>
  <c r="BP32" i="50"/>
  <c r="BY40" i="50"/>
  <c r="BP80" i="50"/>
  <c r="BP52" i="50"/>
  <c r="BP73" i="50"/>
  <c r="BP64" i="50"/>
  <c r="BY64" i="50"/>
  <c r="BY81" i="50"/>
  <c r="BY59" i="50"/>
  <c r="Z60" i="21"/>
  <c r="W11" i="21"/>
  <c r="BK37" i="62" l="1"/>
  <c r="BE37" i="62" s="1"/>
  <c r="BB26" i="50"/>
  <c r="AY26" i="50"/>
  <c r="AZ26" i="50" s="1"/>
  <c r="BA25" i="50"/>
  <c r="AY25" i="50"/>
  <c r="BC25" i="50"/>
  <c r="BP31" i="50"/>
  <c r="BA24" i="50"/>
  <c r="BB24" i="50" s="1"/>
  <c r="AY24" i="50"/>
  <c r="AZ24" i="50" s="1"/>
  <c r="BY63" i="50"/>
  <c r="BP33" i="50"/>
  <c r="BY96" i="50"/>
  <c r="BA22" i="50"/>
  <c r="BB22" i="50" s="1"/>
  <c r="AY22" i="50"/>
  <c r="AZ22" i="50" s="1"/>
  <c r="BA23" i="50"/>
  <c r="BB23" i="50" s="1"/>
  <c r="AY23" i="50"/>
  <c r="AZ23" i="50" s="1"/>
  <c r="BP56" i="50"/>
  <c r="BP82" i="50"/>
  <c r="BP86" i="50"/>
  <c r="BY35" i="50"/>
  <c r="BP78" i="50"/>
  <c r="BP60" i="50"/>
  <c r="BP75" i="50"/>
  <c r="BP58" i="50"/>
  <c r="BP43" i="50"/>
  <c r="BP49" i="50"/>
  <c r="BY57" i="50"/>
  <c r="BY94" i="50"/>
  <c r="BP83" i="50"/>
  <c r="BY38" i="50"/>
  <c r="BP69" i="50"/>
  <c r="BY28" i="50"/>
  <c r="BY30" i="50"/>
  <c r="BY90" i="50"/>
  <c r="BY97" i="50"/>
  <c r="BY51" i="50"/>
  <c r="BY42" i="50"/>
  <c r="BY84" i="50"/>
  <c r="BP44" i="50"/>
  <c r="BP74" i="50"/>
  <c r="A9" i="22"/>
  <c r="A21" i="22" s="1"/>
  <c r="O9" i="21" s="1"/>
  <c r="AV15" i="50"/>
  <c r="AY21" i="50"/>
  <c r="BA21" i="50"/>
  <c r="BC21" i="50"/>
  <c r="CF99" i="50"/>
  <c r="AZ99" i="50"/>
  <c r="CC99" i="50"/>
  <c r="CE99" i="50"/>
  <c r="CL99" i="50" s="1"/>
  <c r="BM99" i="50"/>
  <c r="BX99" i="50" s="1"/>
  <c r="BB99" i="50"/>
  <c r="S4" i="21"/>
  <c r="T4" i="21" s="1"/>
  <c r="Q106" i="62"/>
  <c r="N156" i="62"/>
  <c r="N144" i="62"/>
  <c r="BK31" i="62"/>
  <c r="BK33" i="62"/>
  <c r="BK35" i="62"/>
  <c r="BK36" i="62"/>
  <c r="BK32" i="62"/>
  <c r="BK34" i="62"/>
  <c r="N148" i="62"/>
  <c r="N160" i="62"/>
  <c r="N152" i="62"/>
  <c r="N140" i="62"/>
  <c r="M137" i="62"/>
  <c r="I134" i="62"/>
  <c r="I137" i="62"/>
  <c r="BK38" i="62"/>
  <c r="BK30" i="62"/>
  <c r="BK39" i="62"/>
  <c r="AM18" i="50"/>
  <c r="AM15" i="50" s="1"/>
  <c r="AY20" i="50"/>
  <c r="BC20" i="50"/>
  <c r="BB20" i="50" s="1"/>
  <c r="S5" i="21"/>
  <c r="BL37" i="62" l="1"/>
  <c r="P37" i="62" s="1"/>
  <c r="BB37" i="62"/>
  <c r="BF37" i="62"/>
  <c r="BD37" i="62"/>
  <c r="BA37" i="62"/>
  <c r="BC37" i="62"/>
  <c r="BM26" i="50"/>
  <c r="BB25" i="50"/>
  <c r="BM25" i="50"/>
  <c r="AZ25" i="50"/>
  <c r="BG37" i="62"/>
  <c r="BH37" i="62"/>
  <c r="BM24" i="50"/>
  <c r="BM22" i="50"/>
  <c r="BA18" i="50"/>
  <c r="BM23" i="50"/>
  <c r="AY15" i="50"/>
  <c r="BW99" i="50"/>
  <c r="BY99" i="50" s="1"/>
  <c r="BN99" i="50"/>
  <c r="BO99" i="50"/>
  <c r="BB21" i="50"/>
  <c r="AZ21" i="50"/>
  <c r="BM21" i="50"/>
  <c r="BA4" i="50" a="1"/>
  <c r="BA4" i="50" s="1"/>
  <c r="BA12" i="50" s="1"/>
  <c r="BB34" i="62"/>
  <c r="BC34" i="62"/>
  <c r="BL34" i="62"/>
  <c r="P34" i="62" s="1"/>
  <c r="BF34" i="62"/>
  <c r="BE34" i="62"/>
  <c r="BA34" i="62"/>
  <c r="BD34" i="62"/>
  <c r="BE32" i="62"/>
  <c r="BA32" i="62"/>
  <c r="BB32" i="62"/>
  <c r="BF32" i="62"/>
  <c r="BD32" i="62"/>
  <c r="BC32" i="62"/>
  <c r="BL32" i="62"/>
  <c r="P32" i="62" s="1"/>
  <c r="BG58" i="62"/>
  <c r="BG66" i="62"/>
  <c r="BG54" i="62"/>
  <c r="BG56" i="62"/>
  <c r="BG65" i="62"/>
  <c r="BG55" i="62"/>
  <c r="BG49" i="62"/>
  <c r="BG45" i="62"/>
  <c r="BG36" i="62"/>
  <c r="BG69" i="62"/>
  <c r="BG51" i="62"/>
  <c r="BG48" i="62"/>
  <c r="BG46" i="62"/>
  <c r="BG41" i="62"/>
  <c r="BG34" i="62"/>
  <c r="BG60" i="62"/>
  <c r="BG35" i="62"/>
  <c r="BG59" i="62"/>
  <c r="BG63" i="62"/>
  <c r="I112" i="62"/>
  <c r="BG44" i="62"/>
  <c r="BG53" i="62"/>
  <c r="BG61" i="62"/>
  <c r="BG57" i="62"/>
  <c r="BG40" i="62"/>
  <c r="BG43" i="62"/>
  <c r="BG67" i="62"/>
  <c r="BG64" i="62"/>
  <c r="BG68" i="62"/>
  <c r="BG52" i="62"/>
  <c r="BG32" i="62"/>
  <c r="BG50" i="62"/>
  <c r="BG42" i="62"/>
  <c r="BG62" i="62"/>
  <c r="BG47" i="62"/>
  <c r="BG33" i="62"/>
  <c r="BG31" i="62"/>
  <c r="BF35" i="62"/>
  <c r="BA35" i="62"/>
  <c r="BC35" i="62"/>
  <c r="BE35" i="62"/>
  <c r="BL35" i="62"/>
  <c r="P35" i="62" s="1"/>
  <c r="BD35" i="62"/>
  <c r="BB35" i="62"/>
  <c r="O90" i="62"/>
  <c r="BD33" i="62"/>
  <c r="BL33" i="62"/>
  <c r="P33" i="62" s="1"/>
  <c r="BB33" i="62"/>
  <c r="BA33" i="62"/>
  <c r="BF33" i="62"/>
  <c r="BE33" i="62"/>
  <c r="BC33" i="62"/>
  <c r="BF39" i="62"/>
  <c r="BE39" i="62"/>
  <c r="BL39" i="62"/>
  <c r="P39" i="62" s="1"/>
  <c r="BD39" i="62"/>
  <c r="BC39" i="62"/>
  <c r="BB39" i="62"/>
  <c r="BA39" i="62"/>
  <c r="O89" i="62"/>
  <c r="BH56" i="62"/>
  <c r="BH69" i="62"/>
  <c r="BH65" i="62"/>
  <c r="BH50" i="62"/>
  <c r="BH35" i="62"/>
  <c r="BH59" i="62"/>
  <c r="BH55" i="62"/>
  <c r="BH31" i="62"/>
  <c r="BH34" i="62"/>
  <c r="BH62" i="62"/>
  <c r="BH57" i="62"/>
  <c r="BH63" i="62"/>
  <c r="BH43" i="62"/>
  <c r="BH66" i="62"/>
  <c r="BH40" i="62"/>
  <c r="BH51" i="62"/>
  <c r="BH33" i="62"/>
  <c r="BH53" i="62"/>
  <c r="BH41" i="62"/>
  <c r="BH32" i="62"/>
  <c r="BH67" i="62"/>
  <c r="BH54" i="62"/>
  <c r="BH44" i="62"/>
  <c r="BH64" i="62"/>
  <c r="I113" i="62"/>
  <c r="BH61" i="62"/>
  <c r="BH49" i="62"/>
  <c r="BH58" i="62"/>
  <c r="BH48" i="62"/>
  <c r="BH36" i="62"/>
  <c r="BH46" i="62"/>
  <c r="O91" i="62"/>
  <c r="BH68" i="62"/>
  <c r="BH47" i="62"/>
  <c r="BH42" i="62"/>
  <c r="BH45" i="62"/>
  <c r="BH52" i="62"/>
  <c r="BH60" i="62"/>
  <c r="BB31" i="62"/>
  <c r="BF31" i="62"/>
  <c r="BA31" i="62"/>
  <c r="BC31" i="62"/>
  <c r="BE31" i="62"/>
  <c r="BD31" i="62"/>
  <c r="BL31" i="62"/>
  <c r="P31" i="62" s="1"/>
  <c r="BB30" i="62"/>
  <c r="BC30" i="62"/>
  <c r="BA30" i="62"/>
  <c r="BD30" i="62"/>
  <c r="BF30" i="62"/>
  <c r="BE30" i="62"/>
  <c r="BL30" i="62"/>
  <c r="P30" i="62" s="1"/>
  <c r="BH30" i="62"/>
  <c r="BH39" i="62"/>
  <c r="BH38" i="62"/>
  <c r="BC36" i="62"/>
  <c r="BA36" i="62"/>
  <c r="BD36" i="62"/>
  <c r="BF36" i="62"/>
  <c r="BL36" i="62"/>
  <c r="P36" i="62" s="1"/>
  <c r="BE36" i="62"/>
  <c r="BB36" i="62"/>
  <c r="BB38" i="62"/>
  <c r="BA38" i="62"/>
  <c r="BF38" i="62"/>
  <c r="BD38" i="62"/>
  <c r="BE38" i="62"/>
  <c r="BL38" i="62"/>
  <c r="P38" i="62" s="1"/>
  <c r="BC38" i="62"/>
  <c r="BG30" i="62"/>
  <c r="BG39" i="62"/>
  <c r="BG38" i="62"/>
  <c r="AY18" i="50"/>
  <c r="BM20" i="50"/>
  <c r="AZ20" i="50"/>
  <c r="J9" i="21"/>
  <c r="E206" i="12" s="1"/>
  <c r="S20" i="50" l="1"/>
  <c r="BE20" i="50" s="1"/>
  <c r="U29" i="50"/>
  <c r="AG29" i="50" s="1"/>
  <c r="U20" i="50"/>
  <c r="S34" i="50"/>
  <c r="BJ34" i="50" s="1"/>
  <c r="BT34" i="50" s="1"/>
  <c r="S66" i="50"/>
  <c r="BI66" i="50" s="1"/>
  <c r="BS66" i="50" s="1"/>
  <c r="U75" i="50"/>
  <c r="AG75" i="50" s="1"/>
  <c r="S69" i="50"/>
  <c r="BI69" i="50" s="1"/>
  <c r="BS69" i="50" s="1"/>
  <c r="U38" i="50"/>
  <c r="DB38" i="50" s="1"/>
  <c r="S49" i="50"/>
  <c r="BI49" i="50" s="1"/>
  <c r="BS49" i="50" s="1"/>
  <c r="T34" i="50"/>
  <c r="U51" i="50"/>
  <c r="AG51" i="50" s="1"/>
  <c r="U85" i="50"/>
  <c r="DB85" i="50" s="1"/>
  <c r="U80" i="50"/>
  <c r="DB80" i="50" s="1"/>
  <c r="U77" i="50"/>
  <c r="DB77" i="50" s="1"/>
  <c r="U23" i="50"/>
  <c r="DB23" i="50" s="1"/>
  <c r="U56" i="50"/>
  <c r="CT56" i="50" s="1"/>
  <c r="CU56" i="50" s="1"/>
  <c r="T35" i="50"/>
  <c r="S61" i="50"/>
  <c r="BJ61" i="50" s="1"/>
  <c r="BT61" i="50" s="1"/>
  <c r="U99" i="50"/>
  <c r="AG99" i="50" s="1"/>
  <c r="U33" i="50"/>
  <c r="DU33" i="50" s="1"/>
  <c r="U58" i="50"/>
  <c r="DU58" i="50" s="1"/>
  <c r="T53" i="50"/>
  <c r="T86" i="50"/>
  <c r="T78" i="50"/>
  <c r="S85" i="50"/>
  <c r="BJ85" i="50" s="1"/>
  <c r="BT85" i="50" s="1"/>
  <c r="S67" i="50"/>
  <c r="BI67" i="50" s="1"/>
  <c r="BS67" i="50" s="1"/>
  <c r="S33" i="50"/>
  <c r="BI33" i="50" s="1"/>
  <c r="BS33" i="50" s="1"/>
  <c r="S62" i="50"/>
  <c r="BJ62" i="50" s="1"/>
  <c r="BT62" i="50" s="1"/>
  <c r="U76" i="50"/>
  <c r="DU76" i="50" s="1"/>
  <c r="U98" i="50"/>
  <c r="CT98" i="50" s="1"/>
  <c r="CU98" i="50" s="1"/>
  <c r="T30" i="50"/>
  <c r="U47" i="50"/>
  <c r="DU47" i="50" s="1"/>
  <c r="T68" i="50"/>
  <c r="S58" i="50"/>
  <c r="BJ58" i="50" s="1"/>
  <c r="BT58" i="50" s="1"/>
  <c r="S83" i="50"/>
  <c r="BJ83" i="50" s="1"/>
  <c r="BT83" i="50" s="1"/>
  <c r="U82" i="50"/>
  <c r="DU82" i="50" s="1"/>
  <c r="T73" i="50"/>
  <c r="S42" i="50"/>
  <c r="BI42" i="50" s="1"/>
  <c r="BS42" i="50" s="1"/>
  <c r="U40" i="50"/>
  <c r="DB40" i="50" s="1"/>
  <c r="T91" i="50"/>
  <c r="S40" i="50"/>
  <c r="BJ40" i="50" s="1"/>
  <c r="BT40" i="50" s="1"/>
  <c r="T59" i="50"/>
  <c r="U94" i="50"/>
  <c r="DB94" i="50" s="1"/>
  <c r="U90" i="50"/>
  <c r="AG90" i="50" s="1"/>
  <c r="U95" i="50"/>
  <c r="AG95" i="50" s="1"/>
  <c r="S84" i="50"/>
  <c r="BI84" i="50" s="1"/>
  <c r="BS84" i="50" s="1"/>
  <c r="S79" i="50"/>
  <c r="BJ79" i="50" s="1"/>
  <c r="BT79" i="50" s="1"/>
  <c r="U35" i="50"/>
  <c r="AG35" i="50" s="1"/>
  <c r="S74" i="50"/>
  <c r="BI74" i="50" s="1"/>
  <c r="BS74" i="50" s="1"/>
  <c r="U31" i="50"/>
  <c r="AG31" i="50" s="1"/>
  <c r="S76" i="50"/>
  <c r="BJ76" i="50" s="1"/>
  <c r="BT76" i="50" s="1"/>
  <c r="U41" i="50"/>
  <c r="CT41" i="50" s="1"/>
  <c r="CU41" i="50" s="1"/>
  <c r="S96" i="50"/>
  <c r="BI96" i="50" s="1"/>
  <c r="BS96" i="50" s="1"/>
  <c r="U79" i="50"/>
  <c r="DB79" i="50" s="1"/>
  <c r="S80" i="50"/>
  <c r="BI80" i="50" s="1"/>
  <c r="BS80" i="50" s="1"/>
  <c r="U52" i="50"/>
  <c r="CT52" i="50" s="1"/>
  <c r="CU52" i="50" s="1"/>
  <c r="U24" i="50"/>
  <c r="T92" i="50"/>
  <c r="S43" i="50"/>
  <c r="BI43" i="50" s="1"/>
  <c r="BS43" i="50" s="1"/>
  <c r="T57" i="50"/>
  <c r="U46" i="50"/>
  <c r="DB46" i="50" s="1"/>
  <c r="U97" i="50"/>
  <c r="AG97" i="50" s="1"/>
  <c r="S46" i="50"/>
  <c r="BI46" i="50" s="1"/>
  <c r="BS46" i="50" s="1"/>
  <c r="S22" i="50"/>
  <c r="BE22" i="50" s="1"/>
  <c r="U68" i="50"/>
  <c r="AG68" i="50" s="1"/>
  <c r="T70" i="50"/>
  <c r="T52" i="50"/>
  <c r="U66" i="50"/>
  <c r="AG66" i="50" s="1"/>
  <c r="U87" i="50"/>
  <c r="AG87" i="50" s="1"/>
  <c r="T60" i="50"/>
  <c r="T45" i="50"/>
  <c r="U81" i="50"/>
  <c r="DB81" i="50" s="1"/>
  <c r="T54" i="50"/>
  <c r="U78" i="50"/>
  <c r="DB78" i="50" s="1"/>
  <c r="CC20" i="50"/>
  <c r="U55" i="50"/>
  <c r="DB55" i="50" s="1"/>
  <c r="S37" i="50"/>
  <c r="BI37" i="50" s="1"/>
  <c r="BS37" i="50" s="1"/>
  <c r="T94" i="50"/>
  <c r="T49" i="50"/>
  <c r="T76" i="50"/>
  <c r="T47" i="50"/>
  <c r="S27" i="50"/>
  <c r="BI27" i="50" s="1"/>
  <c r="BS27" i="50" s="1"/>
  <c r="S72" i="50"/>
  <c r="BJ72" i="50" s="1"/>
  <c r="BT72" i="50" s="1"/>
  <c r="S55" i="50"/>
  <c r="BI55" i="50" s="1"/>
  <c r="BS55" i="50" s="1"/>
  <c r="T40" i="50"/>
  <c r="U89" i="50"/>
  <c r="DB89" i="50" s="1"/>
  <c r="U70" i="50"/>
  <c r="DU70" i="50" s="1"/>
  <c r="U42" i="50"/>
  <c r="CT42" i="50" s="1"/>
  <c r="CU42" i="50" s="1"/>
  <c r="S92" i="50"/>
  <c r="BJ92" i="50" s="1"/>
  <c r="BT92" i="50" s="1"/>
  <c r="T56" i="50"/>
  <c r="S59" i="50"/>
  <c r="BI59" i="50" s="1"/>
  <c r="BS59" i="50" s="1"/>
  <c r="S71" i="50"/>
  <c r="BJ71" i="50" s="1"/>
  <c r="BT71" i="50" s="1"/>
  <c r="T39" i="50"/>
  <c r="S54" i="50"/>
  <c r="BJ54" i="50" s="1"/>
  <c r="BT54" i="50" s="1"/>
  <c r="T33" i="50"/>
  <c r="S41" i="50"/>
  <c r="BJ41" i="50" s="1"/>
  <c r="BT41" i="50" s="1"/>
  <c r="S87" i="50"/>
  <c r="BI87" i="50" s="1"/>
  <c r="BS87" i="50" s="1"/>
  <c r="S88" i="50"/>
  <c r="BI88" i="50" s="1"/>
  <c r="BS88" i="50" s="1"/>
  <c r="U91" i="50"/>
  <c r="DU91" i="50" s="1"/>
  <c r="U28" i="50"/>
  <c r="DB28" i="50" s="1"/>
  <c r="U71" i="50"/>
  <c r="DU71" i="50" s="1"/>
  <c r="S47" i="50"/>
  <c r="BJ47" i="50" s="1"/>
  <c r="BT47" i="50" s="1"/>
  <c r="S60" i="50"/>
  <c r="BI60" i="50" s="1"/>
  <c r="BS60" i="50" s="1"/>
  <c r="U73" i="50"/>
  <c r="DU73" i="50" s="1"/>
  <c r="T96" i="50"/>
  <c r="T48" i="50"/>
  <c r="S24" i="50"/>
  <c r="BI24" i="50" s="1"/>
  <c r="S64" i="50"/>
  <c r="BI64" i="50" s="1"/>
  <c r="BS64" i="50" s="1"/>
  <c r="U92" i="50"/>
  <c r="DB92" i="50" s="1"/>
  <c r="U61" i="50"/>
  <c r="CT61" i="50" s="1"/>
  <c r="CU61" i="50" s="1"/>
  <c r="U83" i="50"/>
  <c r="CT83" i="50" s="1"/>
  <c r="CU83" i="50" s="1"/>
  <c r="T46" i="50"/>
  <c r="S35" i="50"/>
  <c r="BJ35" i="50" s="1"/>
  <c r="BT35" i="50" s="1"/>
  <c r="T67" i="50"/>
  <c r="T90" i="50"/>
  <c r="T50" i="50"/>
  <c r="U32" i="50"/>
  <c r="DU32" i="50" s="1"/>
  <c r="U54" i="50"/>
  <c r="DB54" i="50" s="1"/>
  <c r="S78" i="50"/>
  <c r="BI78" i="50" s="1"/>
  <c r="BS78" i="50" s="1"/>
  <c r="U22" i="50"/>
  <c r="AG22" i="50" s="1"/>
  <c r="S44" i="50"/>
  <c r="BI44" i="50" s="1"/>
  <c r="BS44" i="50" s="1"/>
  <c r="T75" i="50"/>
  <c r="U45" i="50"/>
  <c r="CT45" i="50" s="1"/>
  <c r="CU45" i="50" s="1"/>
  <c r="U50" i="50"/>
  <c r="DB50" i="50" s="1"/>
  <c r="U34" i="50"/>
  <c r="AG34" i="50" s="1"/>
  <c r="U36" i="50"/>
  <c r="DB36" i="50" s="1"/>
  <c r="U65" i="50"/>
  <c r="DU65" i="50" s="1"/>
  <c r="T65" i="50"/>
  <c r="T72" i="50"/>
  <c r="T98" i="50"/>
  <c r="T83" i="50"/>
  <c r="U53" i="50"/>
  <c r="AG53" i="50" s="1"/>
  <c r="S97" i="50"/>
  <c r="BJ97" i="50" s="1"/>
  <c r="BT97" i="50" s="1"/>
  <c r="S28" i="50"/>
  <c r="BI28" i="50" s="1"/>
  <c r="BS28" i="50" s="1"/>
  <c r="T97" i="50"/>
  <c r="U25" i="50"/>
  <c r="U63" i="50"/>
  <c r="DU63" i="50" s="1"/>
  <c r="T99" i="50"/>
  <c r="T37" i="50"/>
  <c r="S51" i="50"/>
  <c r="BI51" i="50" s="1"/>
  <c r="BS51" i="50" s="1"/>
  <c r="T38" i="50"/>
  <c r="T58" i="50"/>
  <c r="U69" i="50"/>
  <c r="DU69" i="50" s="1"/>
  <c r="T88" i="50"/>
  <c r="T95" i="50"/>
  <c r="T89" i="50"/>
  <c r="S52" i="50"/>
  <c r="BI52" i="50" s="1"/>
  <c r="BS52" i="50" s="1"/>
  <c r="S70" i="50"/>
  <c r="BJ70" i="50" s="1"/>
  <c r="BT70" i="50" s="1"/>
  <c r="U37" i="50"/>
  <c r="DU37" i="50" s="1"/>
  <c r="U67" i="50"/>
  <c r="CT67" i="50" s="1"/>
  <c r="CU67" i="50" s="1"/>
  <c r="U60" i="50"/>
  <c r="CT60" i="50" s="1"/>
  <c r="CU60" i="50" s="1"/>
  <c r="T36" i="50"/>
  <c r="S75" i="50"/>
  <c r="BJ75" i="50" s="1"/>
  <c r="BT75" i="50" s="1"/>
  <c r="U59" i="50"/>
  <c r="CT59" i="50" s="1"/>
  <c r="CU59" i="50" s="1"/>
  <c r="S39" i="50"/>
  <c r="BI39" i="50" s="1"/>
  <c r="BS39" i="50" s="1"/>
  <c r="S68" i="50"/>
  <c r="BI68" i="50" s="1"/>
  <c r="BS68" i="50" s="1"/>
  <c r="U30" i="50"/>
  <c r="DB30" i="50" s="1"/>
  <c r="S99" i="50"/>
  <c r="BJ99" i="50" s="1"/>
  <c r="S48" i="50"/>
  <c r="BJ48" i="50" s="1"/>
  <c r="BT48" i="50" s="1"/>
  <c r="U57" i="50"/>
  <c r="CT57" i="50" s="1"/>
  <c r="CU57" i="50" s="1"/>
  <c r="T41" i="50"/>
  <c r="U49" i="50"/>
  <c r="AG49" i="50" s="1"/>
  <c r="U48" i="50"/>
  <c r="DU48" i="50" s="1"/>
  <c r="U44" i="50"/>
  <c r="AG44" i="50" s="1"/>
  <c r="T32" i="50"/>
  <c r="T74" i="50"/>
  <c r="S57" i="50"/>
  <c r="BJ57" i="50" s="1"/>
  <c r="BT57" i="50" s="1"/>
  <c r="S95" i="50"/>
  <c r="BI95" i="50" s="1"/>
  <c r="BS95" i="50" s="1"/>
  <c r="U21" i="50"/>
  <c r="CT21" i="50" s="1"/>
  <c r="CU21" i="50" s="1"/>
  <c r="U93" i="50"/>
  <c r="AG93" i="50" s="1"/>
  <c r="U88" i="50"/>
  <c r="DU88" i="50" s="1"/>
  <c r="U26" i="50"/>
  <c r="T66" i="50"/>
  <c r="T55" i="50"/>
  <c r="U39" i="50"/>
  <c r="AG39" i="50" s="1"/>
  <c r="S53" i="50"/>
  <c r="BJ53" i="50" s="1"/>
  <c r="BT53" i="50" s="1"/>
  <c r="S81" i="50"/>
  <c r="BJ81" i="50" s="1"/>
  <c r="BT81" i="50" s="1"/>
  <c r="U72" i="50"/>
  <c r="DB72" i="50" s="1"/>
  <c r="U27" i="50"/>
  <c r="CT27" i="50" s="1"/>
  <c r="CU27" i="50" s="1"/>
  <c r="S98" i="50"/>
  <c r="BI98" i="50" s="1"/>
  <c r="BS98" i="50" s="1"/>
  <c r="T44" i="50"/>
  <c r="U96" i="50"/>
  <c r="DU96" i="50" s="1"/>
  <c r="S45" i="50"/>
  <c r="BI45" i="50" s="1"/>
  <c r="BS45" i="50" s="1"/>
  <c r="U84" i="50"/>
  <c r="AG84" i="50" s="1"/>
  <c r="U86" i="50"/>
  <c r="DB86" i="50" s="1"/>
  <c r="S63" i="50"/>
  <c r="BI63" i="50" s="1"/>
  <c r="BS63" i="50" s="1"/>
  <c r="T63" i="50"/>
  <c r="S29" i="50"/>
  <c r="BI29" i="50" s="1"/>
  <c r="BS29" i="50" s="1"/>
  <c r="T28" i="50"/>
  <c r="T64" i="50"/>
  <c r="T80" i="50"/>
  <c r="S82" i="50"/>
  <c r="BJ82" i="50" s="1"/>
  <c r="BT82" i="50" s="1"/>
  <c r="U64" i="50"/>
  <c r="CT64" i="50" s="1"/>
  <c r="CU64" i="50" s="1"/>
  <c r="S36" i="50"/>
  <c r="BJ36" i="50" s="1"/>
  <c r="BT36" i="50" s="1"/>
  <c r="U74" i="50"/>
  <c r="CT74" i="50" s="1"/>
  <c r="CU74" i="50" s="1"/>
  <c r="T62" i="50"/>
  <c r="T42" i="50"/>
  <c r="S94" i="50"/>
  <c r="BJ94" i="50" s="1"/>
  <c r="BT94" i="50" s="1"/>
  <c r="T87" i="50"/>
  <c r="U62" i="50"/>
  <c r="AG62" i="50" s="1"/>
  <c r="S77" i="50"/>
  <c r="BI77" i="50" s="1"/>
  <c r="BS77" i="50" s="1"/>
  <c r="S73" i="50"/>
  <c r="BI73" i="50" s="1"/>
  <c r="BS73" i="50" s="1"/>
  <c r="U43" i="50"/>
  <c r="DB43" i="50" s="1"/>
  <c r="T77" i="50"/>
  <c r="T27" i="50"/>
  <c r="T79" i="50"/>
  <c r="S65" i="50"/>
  <c r="BI65" i="50" s="1"/>
  <c r="BS65" i="50" s="1"/>
  <c r="T61" i="50"/>
  <c r="T69" i="50"/>
  <c r="T29" i="50"/>
  <c r="T31" i="50"/>
  <c r="T71" i="50"/>
  <c r="S50" i="50"/>
  <c r="BJ50" i="50" s="1"/>
  <c r="BT50" i="50" s="1"/>
  <c r="S56" i="50"/>
  <c r="BI56" i="50" s="1"/>
  <c r="BS56" i="50" s="1"/>
  <c r="S23" i="50"/>
  <c r="BI23" i="50" s="1"/>
  <c r="BS23" i="50" s="1"/>
  <c r="BW23" i="50" s="1"/>
  <c r="S86" i="50"/>
  <c r="BJ86" i="50" s="1"/>
  <c r="BT86" i="50" s="1"/>
  <c r="T84" i="50"/>
  <c r="S32" i="50"/>
  <c r="BJ32" i="50" s="1"/>
  <c r="BT32" i="50" s="1"/>
  <c r="S26" i="50"/>
  <c r="S93" i="50"/>
  <c r="BJ93" i="50" s="1"/>
  <c r="BT93" i="50" s="1"/>
  <c r="S89" i="50"/>
  <c r="BI89" i="50" s="1"/>
  <c r="BS89" i="50" s="1"/>
  <c r="S91" i="50"/>
  <c r="BJ91" i="50" s="1"/>
  <c r="BT91" i="50" s="1"/>
  <c r="T82" i="50"/>
  <c r="S38" i="50"/>
  <c r="BJ38" i="50" s="1"/>
  <c r="BT38" i="50" s="1"/>
  <c r="T51" i="50"/>
  <c r="T93" i="50"/>
  <c r="S30" i="50"/>
  <c r="BJ30" i="50" s="1"/>
  <c r="BT30" i="50" s="1"/>
  <c r="S31" i="50"/>
  <c r="BI31" i="50" s="1"/>
  <c r="BS31" i="50" s="1"/>
  <c r="S25" i="50"/>
  <c r="T85" i="50"/>
  <c r="T81" i="50"/>
  <c r="S21" i="50"/>
  <c r="BE21" i="50" s="1"/>
  <c r="S90" i="50"/>
  <c r="BJ90" i="50" s="1"/>
  <c r="BT90" i="50" s="1"/>
  <c r="T43" i="50"/>
  <c r="BP99" i="50"/>
  <c r="BE99" i="50"/>
  <c r="BJ93" i="62"/>
  <c r="BJ89" i="62"/>
  <c r="J113" i="62"/>
  <c r="B76" i="62"/>
  <c r="J112" i="62"/>
  <c r="O76" i="62"/>
  <c r="BI89" i="62"/>
  <c r="O92" i="62"/>
  <c r="BN11" i="50"/>
  <c r="K9" i="21"/>
  <c r="P9" i="21"/>
  <c r="AG26" i="50" l="1"/>
  <c r="CC26" i="50"/>
  <c r="AG69" i="50"/>
  <c r="AG25" i="50"/>
  <c r="CC25" i="50"/>
  <c r="CT51" i="50"/>
  <c r="CU51" i="50" s="1"/>
  <c r="CT29" i="50"/>
  <c r="CU29" i="50" s="1"/>
  <c r="DB29" i="50"/>
  <c r="DU29" i="50"/>
  <c r="BI26" i="50"/>
  <c r="BE26" i="50"/>
  <c r="BE25" i="50"/>
  <c r="DU51" i="50"/>
  <c r="BJ66" i="50"/>
  <c r="BT66" i="50" s="1"/>
  <c r="DU75" i="50"/>
  <c r="CT75" i="50"/>
  <c r="CU75" i="50" s="1"/>
  <c r="DB75" i="50"/>
  <c r="BJ69" i="50"/>
  <c r="BK69" i="50" s="1"/>
  <c r="BU69" i="50" s="1"/>
  <c r="DU95" i="50"/>
  <c r="CT47" i="50"/>
  <c r="CU47" i="50" s="1"/>
  <c r="BI34" i="50"/>
  <c r="BS34" i="50" s="1"/>
  <c r="CT99" i="50"/>
  <c r="CU99" i="50" s="1"/>
  <c r="CT85" i="50"/>
  <c r="CU85" i="50" s="1"/>
  <c r="BI40" i="50"/>
  <c r="BS40" i="50" s="1"/>
  <c r="BJ49" i="50"/>
  <c r="BT49" i="50" s="1"/>
  <c r="BJ80" i="50"/>
  <c r="BK80" i="50" s="1"/>
  <c r="BL80" i="50" s="1"/>
  <c r="CT34" i="50"/>
  <c r="CU34" i="50" s="1"/>
  <c r="BJ84" i="50"/>
  <c r="BT84" i="50" s="1"/>
  <c r="DB98" i="50"/>
  <c r="AG65" i="50"/>
  <c r="CT38" i="50"/>
  <c r="CU38" i="50" s="1"/>
  <c r="DU38" i="50"/>
  <c r="AG38" i="50"/>
  <c r="BI61" i="50"/>
  <c r="BS61" i="50" s="1"/>
  <c r="CT35" i="50"/>
  <c r="CU35" i="50" s="1"/>
  <c r="BJ96" i="50"/>
  <c r="BK96" i="50" s="1"/>
  <c r="BU96" i="50" s="1"/>
  <c r="CT23" i="50"/>
  <c r="CU23" i="50" s="1"/>
  <c r="DB47" i="50"/>
  <c r="BI22" i="50"/>
  <c r="BJ22" i="50" s="1"/>
  <c r="BK22" i="50" s="1"/>
  <c r="BU22" i="50" s="1"/>
  <c r="AG70" i="50"/>
  <c r="DB83" i="50"/>
  <c r="CT80" i="50"/>
  <c r="CU80" i="50" s="1"/>
  <c r="DU99" i="50"/>
  <c r="BI72" i="50"/>
  <c r="BS72" i="50" s="1"/>
  <c r="DB99" i="50"/>
  <c r="DU80" i="50"/>
  <c r="DU31" i="50"/>
  <c r="BI76" i="50"/>
  <c r="BS76" i="50" s="1"/>
  <c r="BS24" i="50"/>
  <c r="BW24" i="50" s="1"/>
  <c r="BN24" i="50"/>
  <c r="CT77" i="50"/>
  <c r="CU77" i="50" s="1"/>
  <c r="CT94" i="50"/>
  <c r="CU94" i="50" s="1"/>
  <c r="AG41" i="50"/>
  <c r="DU94" i="50"/>
  <c r="DB58" i="50"/>
  <c r="CT33" i="50"/>
  <c r="CU33" i="50" s="1"/>
  <c r="AG85" i="50"/>
  <c r="AG77" i="50"/>
  <c r="BI83" i="50"/>
  <c r="BS83" i="50" s="1"/>
  <c r="CT82" i="50"/>
  <c r="CU82" i="50" s="1"/>
  <c r="CT58" i="50"/>
  <c r="CU58" i="50" s="1"/>
  <c r="AG78" i="50"/>
  <c r="DU77" i="50"/>
  <c r="AG80" i="50"/>
  <c r="DB24" i="50"/>
  <c r="CC24" i="50"/>
  <c r="DU78" i="50"/>
  <c r="AG94" i="50"/>
  <c r="AG76" i="50"/>
  <c r="BI62" i="50"/>
  <c r="BS62" i="50" s="1"/>
  <c r="BJ43" i="50"/>
  <c r="BK43" i="50" s="1"/>
  <c r="BU43" i="50" s="1"/>
  <c r="AG58" i="50"/>
  <c r="DB20" i="50"/>
  <c r="DU85" i="50"/>
  <c r="CT78" i="50"/>
  <c r="CU78" i="50" s="1"/>
  <c r="DB82" i="50"/>
  <c r="CT76" i="50"/>
  <c r="CU76" i="50" s="1"/>
  <c r="DB90" i="50"/>
  <c r="DB33" i="50"/>
  <c r="AG33" i="50"/>
  <c r="DB76" i="50"/>
  <c r="DB51" i="50"/>
  <c r="DU23" i="50"/>
  <c r="DU36" i="50"/>
  <c r="CT95" i="50"/>
  <c r="CU95" i="50" s="1"/>
  <c r="AG82" i="50"/>
  <c r="AG61" i="50"/>
  <c r="DU41" i="50"/>
  <c r="CT55" i="50"/>
  <c r="CU55" i="50" s="1"/>
  <c r="AF20" i="50"/>
  <c r="BI20" i="50"/>
  <c r="BS20" i="50" s="1"/>
  <c r="BW20" i="50" s="1"/>
  <c r="DU20" i="50"/>
  <c r="CC23" i="50"/>
  <c r="AG23" i="50"/>
  <c r="AG89" i="50"/>
  <c r="DU40" i="50"/>
  <c r="CT46" i="50"/>
  <c r="CU46" i="50" s="1"/>
  <c r="DU66" i="50"/>
  <c r="AG56" i="50"/>
  <c r="AG20" i="50"/>
  <c r="DB41" i="50"/>
  <c r="DU90" i="50"/>
  <c r="AG40" i="50"/>
  <c r="BJ42" i="50"/>
  <c r="BT42" i="50" s="1"/>
  <c r="DB56" i="50"/>
  <c r="DU55" i="50"/>
  <c r="DU56" i="50"/>
  <c r="BI79" i="50"/>
  <c r="BS79" i="50" s="1"/>
  <c r="DB97" i="50"/>
  <c r="CT20" i="50"/>
  <c r="CU20" i="50" s="1"/>
  <c r="CT90" i="50"/>
  <c r="CU90" i="50" s="1"/>
  <c r="DU57" i="50"/>
  <c r="CT31" i="50"/>
  <c r="CU31" i="50" s="1"/>
  <c r="BJ87" i="50"/>
  <c r="BK87" i="50" s="1"/>
  <c r="BU87" i="50" s="1"/>
  <c r="BJ33" i="50"/>
  <c r="BK33" i="50" s="1"/>
  <c r="BU33" i="50" s="1"/>
  <c r="CT81" i="50"/>
  <c r="CU81" i="50" s="1"/>
  <c r="DB35" i="50"/>
  <c r="AG60" i="50"/>
  <c r="DB31" i="50"/>
  <c r="DU97" i="50"/>
  <c r="CT32" i="50"/>
  <c r="CU32" i="50" s="1"/>
  <c r="DU54" i="50"/>
  <c r="DU98" i="50"/>
  <c r="DB65" i="50"/>
  <c r="DB95" i="50"/>
  <c r="DB87" i="50"/>
  <c r="DU24" i="50"/>
  <c r="AG55" i="50"/>
  <c r="BJ37" i="50"/>
  <c r="BT37" i="50" s="1"/>
  <c r="BJ74" i="50"/>
  <c r="BK74" i="50" s="1"/>
  <c r="BU74" i="50" s="1"/>
  <c r="DB69" i="50"/>
  <c r="AG98" i="50"/>
  <c r="BI85" i="50"/>
  <c r="BS85" i="50" s="1"/>
  <c r="BJ67" i="50"/>
  <c r="BK67" i="50" s="1"/>
  <c r="BL67" i="50" s="1"/>
  <c r="AG47" i="50"/>
  <c r="CT40" i="50"/>
  <c r="CU40" i="50" s="1"/>
  <c r="AG30" i="50"/>
  <c r="BJ60" i="50"/>
  <c r="BT60" i="50" s="1"/>
  <c r="BI58" i="50"/>
  <c r="BS58" i="50" s="1"/>
  <c r="DU87" i="50"/>
  <c r="DU35" i="50"/>
  <c r="CT22" i="50"/>
  <c r="CU22" i="50" s="1"/>
  <c r="AG81" i="50"/>
  <c r="CT68" i="50"/>
  <c r="CU68" i="50" s="1"/>
  <c r="CT73" i="50"/>
  <c r="CU73" i="50" s="1"/>
  <c r="DU81" i="50"/>
  <c r="AG54" i="50"/>
  <c r="CT54" i="50"/>
  <c r="CU54" i="50" s="1"/>
  <c r="DU52" i="50"/>
  <c r="DU79" i="50"/>
  <c r="CT79" i="50"/>
  <c r="CU79" i="50" s="1"/>
  <c r="DB67" i="50"/>
  <c r="AG67" i="50"/>
  <c r="AG46" i="50"/>
  <c r="BI41" i="50"/>
  <c r="BS41" i="50" s="1"/>
  <c r="CT65" i="50"/>
  <c r="CU65" i="50" s="1"/>
  <c r="DU68" i="50"/>
  <c r="CT70" i="50"/>
  <c r="CU70" i="50" s="1"/>
  <c r="AG83" i="50"/>
  <c r="CT97" i="50"/>
  <c r="CU97" i="50" s="1"/>
  <c r="AG79" i="50"/>
  <c r="CT69" i="50"/>
  <c r="CU69" i="50" s="1"/>
  <c r="DB52" i="50"/>
  <c r="BI99" i="50"/>
  <c r="BS99" i="50" s="1"/>
  <c r="CC22" i="50"/>
  <c r="BI54" i="50"/>
  <c r="BS54" i="50" s="1"/>
  <c r="DU89" i="50"/>
  <c r="CT25" i="50"/>
  <c r="CU25" i="50" s="1"/>
  <c r="CT36" i="50"/>
  <c r="CU36" i="50" s="1"/>
  <c r="CT89" i="50"/>
  <c r="CU89" i="50" s="1"/>
  <c r="DU46" i="50"/>
  <c r="DU83" i="50"/>
  <c r="DB61" i="50"/>
  <c r="CT24" i="50"/>
  <c r="CU24" i="50" s="1"/>
  <c r="CT26" i="50"/>
  <c r="CU26" i="50" s="1"/>
  <c r="AB2" i="50"/>
  <c r="DB96" i="50"/>
  <c r="DU61" i="50"/>
  <c r="DB68" i="50"/>
  <c r="AG52" i="50"/>
  <c r="DU67" i="50"/>
  <c r="BJ78" i="50"/>
  <c r="BK78" i="50" s="1"/>
  <c r="BL78" i="50" s="1"/>
  <c r="DU25" i="50"/>
  <c r="CT87" i="50"/>
  <c r="CU87" i="50" s="1"/>
  <c r="AG36" i="50"/>
  <c r="DB66" i="50"/>
  <c r="CT66" i="50"/>
  <c r="CU66" i="50" s="1"/>
  <c r="CT96" i="50"/>
  <c r="CU96" i="50" s="1"/>
  <c r="DB22" i="50"/>
  <c r="DB70" i="50"/>
  <c r="CT71" i="50"/>
  <c r="CU71" i="50" s="1"/>
  <c r="DB73" i="50"/>
  <c r="BJ28" i="50"/>
  <c r="BK28" i="50" s="1"/>
  <c r="BU28" i="50" s="1"/>
  <c r="BI47" i="50"/>
  <c r="BS47" i="50" s="1"/>
  <c r="AG24" i="50"/>
  <c r="AG42" i="50"/>
  <c r="BJ46" i="50"/>
  <c r="BK46" i="50" s="1"/>
  <c r="BU46" i="50" s="1"/>
  <c r="BJ55" i="50"/>
  <c r="BT55" i="50" s="1"/>
  <c r="DU27" i="50"/>
  <c r="DB34" i="50"/>
  <c r="AG57" i="50"/>
  <c r="AG91" i="50"/>
  <c r="DB32" i="50"/>
  <c r="BJ44" i="50"/>
  <c r="BT44" i="50" s="1"/>
  <c r="CT92" i="50"/>
  <c r="CU92" i="50" s="1"/>
  <c r="BJ27" i="50"/>
  <c r="BT27" i="50" s="1"/>
  <c r="AG71" i="50"/>
  <c r="DU92" i="50"/>
  <c r="DB71" i="50"/>
  <c r="DU34" i="50"/>
  <c r="AG92" i="50"/>
  <c r="AG32" i="50"/>
  <c r="BI97" i="50"/>
  <c r="BS97" i="50" s="1"/>
  <c r="AG63" i="50"/>
  <c r="DB63" i="50"/>
  <c r="DB74" i="50"/>
  <c r="BI92" i="50"/>
  <c r="BS92" i="50" s="1"/>
  <c r="BJ24" i="50"/>
  <c r="DU45" i="50"/>
  <c r="CT63" i="50"/>
  <c r="CU63" i="50" s="1"/>
  <c r="BI35" i="50"/>
  <c r="BS35" i="50" s="1"/>
  <c r="DB57" i="50"/>
  <c r="BI57" i="50"/>
  <c r="BS57" i="50" s="1"/>
  <c r="AG21" i="50"/>
  <c r="CT91" i="50"/>
  <c r="CU91" i="50" s="1"/>
  <c r="DB39" i="50"/>
  <c r="BI71" i="50"/>
  <c r="BS71" i="50" s="1"/>
  <c r="AG28" i="50"/>
  <c r="BI75" i="50"/>
  <c r="BS75" i="50" s="1"/>
  <c r="DB53" i="50"/>
  <c r="DU86" i="50"/>
  <c r="DB42" i="50"/>
  <c r="DU22" i="50"/>
  <c r="DU28" i="50"/>
  <c r="BJ51" i="50"/>
  <c r="BT51" i="50" s="1"/>
  <c r="BE24" i="50"/>
  <c r="DB45" i="50"/>
  <c r="AG86" i="50"/>
  <c r="BI82" i="50"/>
  <c r="BS82" i="50" s="1"/>
  <c r="DB59" i="50"/>
  <c r="AI15" i="50"/>
  <c r="G14" i="50" s="1"/>
  <c r="BI25" i="50"/>
  <c r="BJ25" i="50" s="1"/>
  <c r="AG50" i="50"/>
  <c r="DB60" i="50"/>
  <c r="DU59" i="50"/>
  <c r="BJ88" i="50"/>
  <c r="BK88" i="50" s="1"/>
  <c r="BU88" i="50" s="1"/>
  <c r="AG73" i="50"/>
  <c r="DB25" i="50"/>
  <c r="DU53" i="50"/>
  <c r="BJ64" i="50"/>
  <c r="BK64" i="50" s="1"/>
  <c r="BU64" i="50" s="1"/>
  <c r="BJ39" i="50"/>
  <c r="BK39" i="50" s="1"/>
  <c r="BU39" i="50" s="1"/>
  <c r="DU42" i="50"/>
  <c r="CT48" i="50"/>
  <c r="CU48" i="50" s="1"/>
  <c r="DB91" i="50"/>
  <c r="DU50" i="50"/>
  <c r="DB64" i="50"/>
  <c r="BJ59" i="50"/>
  <c r="BT59" i="50" s="1"/>
  <c r="CT28" i="50"/>
  <c r="CU28" i="50" s="1"/>
  <c r="AG45" i="50"/>
  <c r="CT53" i="50"/>
  <c r="CU53" i="50" s="1"/>
  <c r="CT50" i="50"/>
  <c r="CU50" i="50" s="1"/>
  <c r="DB48" i="50"/>
  <c r="DU49" i="50"/>
  <c r="CC21" i="50"/>
  <c r="BJ26" i="50"/>
  <c r="CT30" i="50"/>
  <c r="CU30" i="50" s="1"/>
  <c r="DB93" i="50"/>
  <c r="CT43" i="50"/>
  <c r="CU43" i="50" s="1"/>
  <c r="DB37" i="50"/>
  <c r="BJ98" i="50"/>
  <c r="BT98" i="50" s="1"/>
  <c r="AG27" i="50"/>
  <c r="AG64" i="50"/>
  <c r="BI36" i="50"/>
  <c r="BS36" i="50" s="1"/>
  <c r="BJ73" i="50"/>
  <c r="BK73" i="50" s="1"/>
  <c r="BL73" i="50" s="1"/>
  <c r="DU44" i="50"/>
  <c r="CT72" i="50"/>
  <c r="CU72" i="50" s="1"/>
  <c r="BJ68" i="50"/>
  <c r="BT68" i="50" s="1"/>
  <c r="DU30" i="50"/>
  <c r="CT93" i="50"/>
  <c r="CU93" i="50" s="1"/>
  <c r="BI70" i="50"/>
  <c r="BS70" i="50" s="1"/>
  <c r="DB44" i="50"/>
  <c r="CT37" i="50"/>
  <c r="CU37" i="50" s="1"/>
  <c r="AG72" i="50"/>
  <c r="DU64" i="50"/>
  <c r="AG37" i="50"/>
  <c r="DB88" i="50"/>
  <c r="CT86" i="50"/>
  <c r="CU86" i="50" s="1"/>
  <c r="AG48" i="50"/>
  <c r="DB26" i="50"/>
  <c r="DU74" i="50"/>
  <c r="DB49" i="50"/>
  <c r="BJ52" i="50"/>
  <c r="BT52" i="50" s="1"/>
  <c r="CT44" i="50"/>
  <c r="CU44" i="50" s="1"/>
  <c r="DB21" i="50"/>
  <c r="BI48" i="50"/>
  <c r="BS48" i="50" s="1"/>
  <c r="DU60" i="50"/>
  <c r="BI81" i="50"/>
  <c r="BS81" i="50" s="1"/>
  <c r="DU21" i="50"/>
  <c r="AG88" i="50"/>
  <c r="AG59" i="50"/>
  <c r="BJ63" i="50"/>
  <c r="BT63" i="50" s="1"/>
  <c r="DU26" i="50"/>
  <c r="AG74" i="50"/>
  <c r="CT49" i="50"/>
  <c r="CU49" i="50" s="1"/>
  <c r="BJ95" i="50"/>
  <c r="BK95" i="50" s="1"/>
  <c r="BU95" i="50" s="1"/>
  <c r="BJ77" i="50"/>
  <c r="BT77" i="50" s="1"/>
  <c r="CT62" i="50"/>
  <c r="CU62" i="50" s="1"/>
  <c r="DB84" i="50"/>
  <c r="AG96" i="50"/>
  <c r="CT84" i="50"/>
  <c r="CU84" i="50" s="1"/>
  <c r="BI53" i="50"/>
  <c r="BS53" i="50" s="1"/>
  <c r="CT39" i="50"/>
  <c r="CU39" i="50" s="1"/>
  <c r="BJ65" i="50"/>
  <c r="BT65" i="50" s="1"/>
  <c r="DU39" i="50"/>
  <c r="BJ45" i="50"/>
  <c r="BK45" i="50" s="1"/>
  <c r="BL45" i="50" s="1"/>
  <c r="CT88" i="50"/>
  <c r="CU88" i="50" s="1"/>
  <c r="DU84" i="50"/>
  <c r="BJ29" i="50"/>
  <c r="BK29" i="50" s="1"/>
  <c r="BU29" i="50" s="1"/>
  <c r="DU43" i="50"/>
  <c r="AG43" i="50"/>
  <c r="DB27" i="50"/>
  <c r="DU72" i="50"/>
  <c r="DU93" i="50"/>
  <c r="DB62" i="50"/>
  <c r="DU62" i="50"/>
  <c r="BI50" i="50"/>
  <c r="BS50" i="50" s="1"/>
  <c r="BI93" i="50"/>
  <c r="BS93" i="50" s="1"/>
  <c r="BI94" i="50"/>
  <c r="BS94" i="50" s="1"/>
  <c r="BI32" i="50"/>
  <c r="BS32" i="50" s="1"/>
  <c r="BE23" i="50"/>
  <c r="BJ56" i="50"/>
  <c r="BK56" i="50" s="1"/>
  <c r="BL56" i="50" s="1"/>
  <c r="BJ89" i="50"/>
  <c r="BK89" i="50" s="1"/>
  <c r="BL89" i="50" s="1"/>
  <c r="BI86" i="50"/>
  <c r="BS86" i="50" s="1"/>
  <c r="BJ23" i="50"/>
  <c r="BK23" i="50" s="1"/>
  <c r="BU23" i="50" s="1"/>
  <c r="BJ31" i="50"/>
  <c r="BK31" i="50" s="1"/>
  <c r="BL31" i="50" s="1"/>
  <c r="BI90" i="50"/>
  <c r="BS90" i="50" s="1"/>
  <c r="BI30" i="50"/>
  <c r="BS30" i="50" s="1"/>
  <c r="BN23" i="50"/>
  <c r="BI21" i="50"/>
  <c r="BS21" i="50" s="1"/>
  <c r="BW21" i="50" s="1"/>
  <c r="BI91" i="50"/>
  <c r="BS91" i="50" s="1"/>
  <c r="BI38" i="50"/>
  <c r="BS38" i="50" s="1"/>
  <c r="BT99" i="50"/>
  <c r="N26" i="62"/>
  <c r="C230" i="12" s="1"/>
  <c r="BS26" i="50" l="1"/>
  <c r="BW26" i="50" s="1"/>
  <c r="BN26" i="50"/>
  <c r="BT26" i="50"/>
  <c r="BX26" i="50" s="1"/>
  <c r="BO26" i="50"/>
  <c r="BT25" i="50"/>
  <c r="BX25" i="50" s="1"/>
  <c r="BO25" i="50"/>
  <c r="BS22" i="50"/>
  <c r="BW22" i="50" s="1"/>
  <c r="BS25" i="50"/>
  <c r="BW25" i="50" s="1"/>
  <c r="BN25" i="50"/>
  <c r="BO22" i="50"/>
  <c r="BT22" i="50"/>
  <c r="BX22" i="50" s="1"/>
  <c r="BT69" i="50"/>
  <c r="BN22" i="50"/>
  <c r="BK66" i="50"/>
  <c r="BU66" i="50" s="1"/>
  <c r="BT96" i="50"/>
  <c r="BL69" i="50"/>
  <c r="BQ69" i="50" s="1"/>
  <c r="CD69" i="50" s="1"/>
  <c r="BU80" i="50"/>
  <c r="BK85" i="50"/>
  <c r="BU85" i="50" s="1"/>
  <c r="BK40" i="50"/>
  <c r="BL40" i="50" s="1"/>
  <c r="BV40" i="50" s="1"/>
  <c r="BZ40" i="50" s="1"/>
  <c r="CA40" i="50" s="1"/>
  <c r="CO40" i="50" s="1"/>
  <c r="BK84" i="50"/>
  <c r="BL84" i="50" s="1"/>
  <c r="BQ84" i="50" s="1"/>
  <c r="CD84" i="50" s="1"/>
  <c r="BK49" i="50"/>
  <c r="BU49" i="50" s="1"/>
  <c r="BK34" i="50"/>
  <c r="BU34" i="50" s="1"/>
  <c r="BN16" i="50"/>
  <c r="BN10" i="50"/>
  <c r="BT80" i="50"/>
  <c r="BK61" i="50"/>
  <c r="BU61" i="50" s="1"/>
  <c r="BN20" i="50"/>
  <c r="BN15" i="50"/>
  <c r="BL33" i="50"/>
  <c r="BQ33" i="50" s="1"/>
  <c r="BT33" i="50"/>
  <c r="BT43" i="50"/>
  <c r="BK99" i="50"/>
  <c r="BL99" i="50" s="1"/>
  <c r="BV99" i="50" s="1"/>
  <c r="BZ99" i="50" s="1"/>
  <c r="CA99" i="50" s="1"/>
  <c r="CO99" i="50" s="1"/>
  <c r="BK79" i="50"/>
  <c r="BU79" i="50" s="1"/>
  <c r="BK72" i="50"/>
  <c r="BL72" i="50" s="1"/>
  <c r="BV72" i="50" s="1"/>
  <c r="BZ72" i="50" s="1"/>
  <c r="CA72" i="50" s="1"/>
  <c r="CO72" i="50" s="1"/>
  <c r="BL96" i="50"/>
  <c r="BQ96" i="50" s="1"/>
  <c r="CD96" i="50" s="1"/>
  <c r="BU78" i="50"/>
  <c r="BK51" i="50"/>
  <c r="BL51" i="50" s="1"/>
  <c r="BQ51" i="50" s="1"/>
  <c r="BK58" i="50"/>
  <c r="BU58" i="50" s="1"/>
  <c r="BJ20" i="50"/>
  <c r="BO15" i="50" s="1"/>
  <c r="BK83" i="50"/>
  <c r="BU83" i="50" s="1"/>
  <c r="BW15" i="50"/>
  <c r="BK62" i="50"/>
  <c r="BU62" i="50" s="1"/>
  <c r="CT100" i="50"/>
  <c r="CT101" i="50" s="1"/>
  <c r="C41" i="51" s="1"/>
  <c r="C42" i="51" s="1"/>
  <c r="BL43" i="50"/>
  <c r="BV43" i="50" s="1"/>
  <c r="BZ43" i="50" s="1"/>
  <c r="CA43" i="50" s="1"/>
  <c r="CO43" i="50" s="1"/>
  <c r="BK42" i="50"/>
  <c r="BU42" i="50" s="1"/>
  <c r="BK76" i="50"/>
  <c r="BU76" i="50" s="1"/>
  <c r="BT78" i="50"/>
  <c r="BT67" i="50"/>
  <c r="BK54" i="50"/>
  <c r="BU54" i="50" s="1"/>
  <c r="BT24" i="50"/>
  <c r="BX24" i="50" s="1"/>
  <c r="BY24" i="50" s="1"/>
  <c r="BO24" i="50"/>
  <c r="BP24" i="50" s="1"/>
  <c r="BL74" i="50"/>
  <c r="BV74" i="50" s="1"/>
  <c r="BZ74" i="50" s="1"/>
  <c r="CA74" i="50" s="1"/>
  <c r="CO74" i="50" s="1"/>
  <c r="BK92" i="50"/>
  <c r="BU92" i="50" s="1"/>
  <c r="BK37" i="50"/>
  <c r="BL37" i="50" s="1"/>
  <c r="BQ37" i="50" s="1"/>
  <c r="BL95" i="50"/>
  <c r="BV95" i="50" s="1"/>
  <c r="BZ95" i="50" s="1"/>
  <c r="CA95" i="50" s="1"/>
  <c r="CO95" i="50" s="1"/>
  <c r="BT87" i="50"/>
  <c r="BK60" i="50"/>
  <c r="BU60" i="50" s="1"/>
  <c r="BK47" i="50"/>
  <c r="BU47" i="50" s="1"/>
  <c r="BT74" i="50"/>
  <c r="BL28" i="50"/>
  <c r="BV28" i="50" s="1"/>
  <c r="BZ28" i="50" s="1"/>
  <c r="CA28" i="50" s="1"/>
  <c r="CO28" i="50" s="1"/>
  <c r="BL87" i="50"/>
  <c r="BQ87" i="50" s="1"/>
  <c r="CD87" i="50" s="1"/>
  <c r="BK24" i="50"/>
  <c r="BL24" i="50" s="1"/>
  <c r="BV24" i="50" s="1"/>
  <c r="BU67" i="50"/>
  <c r="BK55" i="50"/>
  <c r="BU55" i="50" s="1"/>
  <c r="BK82" i="50"/>
  <c r="BU82" i="50" s="1"/>
  <c r="BT88" i="50"/>
  <c r="BK27" i="50"/>
  <c r="BU27" i="50" s="1"/>
  <c r="BK41" i="50"/>
  <c r="BU41" i="50" s="1"/>
  <c r="BK71" i="50"/>
  <c r="BL71" i="50" s="1"/>
  <c r="BQ71" i="50" s="1"/>
  <c r="CD71" i="50" s="1"/>
  <c r="BT28" i="50"/>
  <c r="BU45" i="50"/>
  <c r="BT95" i="50"/>
  <c r="BL46" i="50"/>
  <c r="BQ46" i="50" s="1"/>
  <c r="BK44" i="50"/>
  <c r="BU44" i="50" s="1"/>
  <c r="BT46" i="50"/>
  <c r="BT39" i="50"/>
  <c r="BK97" i="50"/>
  <c r="BU97" i="50" s="1"/>
  <c r="BK52" i="50"/>
  <c r="BL52" i="50" s="1"/>
  <c r="BQ52" i="50" s="1"/>
  <c r="CD52" i="50" s="1"/>
  <c r="BU56" i="50"/>
  <c r="BT45" i="50"/>
  <c r="BL39" i="50"/>
  <c r="BV39" i="50" s="1"/>
  <c r="BZ39" i="50" s="1"/>
  <c r="CA39" i="50" s="1"/>
  <c r="CO39" i="50" s="1"/>
  <c r="BK35" i="50"/>
  <c r="BU35" i="50" s="1"/>
  <c r="BK63" i="50"/>
  <c r="BL63" i="50" s="1"/>
  <c r="BQ63" i="50" s="1"/>
  <c r="CD63" i="50" s="1"/>
  <c r="BL88" i="50"/>
  <c r="BQ88" i="50" s="1"/>
  <c r="CD88" i="50" s="1"/>
  <c r="BK75" i="50"/>
  <c r="BL75" i="50" s="1"/>
  <c r="BV75" i="50" s="1"/>
  <c r="BZ75" i="50" s="1"/>
  <c r="CA75" i="50" s="1"/>
  <c r="CO75" i="50" s="1"/>
  <c r="BK57" i="50"/>
  <c r="BU57" i="50" s="1"/>
  <c r="BK68" i="50"/>
  <c r="BU68" i="50" s="1"/>
  <c r="BK25" i="50"/>
  <c r="BU25" i="50" s="1"/>
  <c r="BT73" i="50"/>
  <c r="E14" i="50"/>
  <c r="BK59" i="50"/>
  <c r="BL59" i="50" s="1"/>
  <c r="BV59" i="50" s="1"/>
  <c r="BZ59" i="50" s="1"/>
  <c r="CA59" i="50" s="1"/>
  <c r="CO59" i="50" s="1"/>
  <c r="AG19" i="50"/>
  <c r="F14" i="50"/>
  <c r="BK36" i="50"/>
  <c r="BU36" i="50" s="1"/>
  <c r="BU73" i="50"/>
  <c r="BK77" i="50"/>
  <c r="BU77" i="50" s="1"/>
  <c r="BK81" i="50"/>
  <c r="BU81" i="50" s="1"/>
  <c r="BT64" i="50"/>
  <c r="BL64" i="50"/>
  <c r="BV64" i="50" s="1"/>
  <c r="BZ64" i="50" s="1"/>
  <c r="CA64" i="50" s="1"/>
  <c r="CO64" i="50" s="1"/>
  <c r="BK26" i="50"/>
  <c r="BL26" i="50" s="1"/>
  <c r="BK98" i="50"/>
  <c r="BU98" i="50" s="1"/>
  <c r="BU31" i="50"/>
  <c r="BK70" i="50"/>
  <c r="BL70" i="50" s="1"/>
  <c r="BV70" i="50" s="1"/>
  <c r="BZ70" i="50" s="1"/>
  <c r="CA70" i="50" s="1"/>
  <c r="CO70" i="50" s="1"/>
  <c r="BT29" i="50"/>
  <c r="BL29" i="50"/>
  <c r="BQ29" i="50" s="1"/>
  <c r="BK53" i="50"/>
  <c r="BU53" i="50" s="1"/>
  <c r="BK48" i="50"/>
  <c r="BL48" i="50" s="1"/>
  <c r="BV48" i="50" s="1"/>
  <c r="BZ48" i="50" s="1"/>
  <c r="CA48" i="50" s="1"/>
  <c r="CO48" i="50" s="1"/>
  <c r="BK32" i="50"/>
  <c r="BL32" i="50" s="1"/>
  <c r="BQ32" i="50" s="1"/>
  <c r="BK94" i="50"/>
  <c r="BL94" i="50" s="1"/>
  <c r="BV94" i="50" s="1"/>
  <c r="BZ94" i="50" s="1"/>
  <c r="CA94" i="50" s="1"/>
  <c r="CO94" i="50" s="1"/>
  <c r="BK93" i="50"/>
  <c r="BL93" i="50" s="1"/>
  <c r="BV93" i="50" s="1"/>
  <c r="BZ93" i="50" s="1"/>
  <c r="CA93" i="50" s="1"/>
  <c r="CO93" i="50" s="1"/>
  <c r="BK30" i="50"/>
  <c r="BU30" i="50" s="1"/>
  <c r="BK65" i="50"/>
  <c r="BU65" i="50" s="1"/>
  <c r="BU89" i="50"/>
  <c r="BK50" i="50"/>
  <c r="BL50" i="50" s="1"/>
  <c r="BQ50" i="50" s="1"/>
  <c r="BT56" i="50"/>
  <c r="BK90" i="50"/>
  <c r="BU90" i="50" s="1"/>
  <c r="BT89" i="50"/>
  <c r="BK86" i="50"/>
  <c r="BU86" i="50" s="1"/>
  <c r="BT31" i="50"/>
  <c r="BJ21" i="50"/>
  <c r="BT21" i="50" s="1"/>
  <c r="BX21" i="50" s="1"/>
  <c r="BY21" i="50" s="1"/>
  <c r="BT23" i="50"/>
  <c r="BX23" i="50" s="1"/>
  <c r="BY23" i="50" s="1"/>
  <c r="BO23" i="50"/>
  <c r="BP23" i="50" s="1"/>
  <c r="BK91" i="50"/>
  <c r="BU91" i="50" s="1"/>
  <c r="BK38" i="50"/>
  <c r="BL38" i="50" s="1"/>
  <c r="BV38" i="50" s="1"/>
  <c r="BZ38" i="50" s="1"/>
  <c r="CA38" i="50" s="1"/>
  <c r="CO38" i="50" s="1"/>
  <c r="BN21" i="50"/>
  <c r="BL22" i="50"/>
  <c r="BL23" i="50"/>
  <c r="BV23" i="50" s="1"/>
  <c r="BV78" i="50"/>
  <c r="BZ78" i="50" s="1"/>
  <c r="CA78" i="50" s="1"/>
  <c r="CO78" i="50" s="1"/>
  <c r="BQ78" i="50"/>
  <c r="CD78" i="50" s="1"/>
  <c r="BV89" i="50"/>
  <c r="BZ89" i="50" s="1"/>
  <c r="CA89" i="50" s="1"/>
  <c r="CO89" i="50" s="1"/>
  <c r="BQ89" i="50"/>
  <c r="CD89" i="50" s="1"/>
  <c r="BV31" i="50"/>
  <c r="BZ31" i="50" s="1"/>
  <c r="CA31" i="50" s="1"/>
  <c r="CO31" i="50" s="1"/>
  <c r="BQ31" i="50"/>
  <c r="BV67" i="50"/>
  <c r="BZ67" i="50" s="1"/>
  <c r="CA67" i="50" s="1"/>
  <c r="CO67" i="50" s="1"/>
  <c r="BQ67" i="50"/>
  <c r="CD67" i="50" s="1"/>
  <c r="BQ80" i="50"/>
  <c r="CD80" i="50" s="1"/>
  <c r="BV80" i="50"/>
  <c r="BZ80" i="50" s="1"/>
  <c r="CA80" i="50" s="1"/>
  <c r="CO80" i="50" s="1"/>
  <c r="BV45" i="50"/>
  <c r="BZ45" i="50" s="1"/>
  <c r="CA45" i="50" s="1"/>
  <c r="CO45" i="50" s="1"/>
  <c r="BQ45" i="50"/>
  <c r="BV56" i="50"/>
  <c r="BZ56" i="50" s="1"/>
  <c r="CA56" i="50" s="1"/>
  <c r="CO56" i="50" s="1"/>
  <c r="BQ56" i="50"/>
  <c r="CD56" i="50" s="1"/>
  <c r="BQ73" i="50"/>
  <c r="CD73" i="50" s="1"/>
  <c r="BV73" i="50"/>
  <c r="BZ73" i="50" s="1"/>
  <c r="CA73" i="50" s="1"/>
  <c r="CO73" i="50" s="1"/>
  <c r="BY22" i="50" l="1"/>
  <c r="BP25" i="50"/>
  <c r="BP26" i="50"/>
  <c r="BQ26" i="50" s="1"/>
  <c r="BY25" i="50"/>
  <c r="BY26" i="50"/>
  <c r="BP22" i="50"/>
  <c r="BQ22" i="50" s="1"/>
  <c r="T22" i="50" s="1"/>
  <c r="BL85" i="50"/>
  <c r="BQ85" i="50" s="1"/>
  <c r="CD85" i="50" s="1"/>
  <c r="CI85" i="50" s="1"/>
  <c r="BU99" i="50"/>
  <c r="BL34" i="50"/>
  <c r="BV34" i="50" s="1"/>
  <c r="BZ34" i="50" s="1"/>
  <c r="CA34" i="50" s="1"/>
  <c r="CO34" i="50" s="1"/>
  <c r="BQ99" i="50"/>
  <c r="CD99" i="50" s="1"/>
  <c r="CJ99" i="50" s="1"/>
  <c r="BV84" i="50"/>
  <c r="BZ84" i="50" s="1"/>
  <c r="CA84" i="50" s="1"/>
  <c r="CO84" i="50" s="1"/>
  <c r="BV96" i="50"/>
  <c r="BZ96" i="50" s="1"/>
  <c r="CA96" i="50" s="1"/>
  <c r="CO96" i="50" s="1"/>
  <c r="BU40" i="50"/>
  <c r="BL66" i="50"/>
  <c r="BQ66" i="50" s="1"/>
  <c r="CD66" i="50" s="1"/>
  <c r="CI66" i="50" s="1"/>
  <c r="BU84" i="50"/>
  <c r="BV69" i="50"/>
  <c r="BZ69" i="50" s="1"/>
  <c r="CA69" i="50" s="1"/>
  <c r="CO69" i="50" s="1"/>
  <c r="BQ40" i="50"/>
  <c r="BR40" i="50" s="1"/>
  <c r="BV33" i="50"/>
  <c r="BZ33" i="50" s="1"/>
  <c r="CA33" i="50" s="1"/>
  <c r="CO33" i="50" s="1"/>
  <c r="BQ43" i="50"/>
  <c r="BR43" i="50" s="1"/>
  <c r="BL79" i="50"/>
  <c r="BV79" i="50" s="1"/>
  <c r="BZ79" i="50" s="1"/>
  <c r="CA79" i="50" s="1"/>
  <c r="CO79" i="50" s="1"/>
  <c r="BQ72" i="50"/>
  <c r="CD72" i="50" s="1"/>
  <c r="CH72" i="50" s="1"/>
  <c r="BL49" i="50"/>
  <c r="BV49" i="50" s="1"/>
  <c r="BZ49" i="50" s="1"/>
  <c r="CA49" i="50" s="1"/>
  <c r="CO49" i="50" s="1"/>
  <c r="BL61" i="50"/>
  <c r="BV61" i="50" s="1"/>
  <c r="BZ61" i="50" s="1"/>
  <c r="CA61" i="50" s="1"/>
  <c r="CO61" i="50" s="1"/>
  <c r="BL83" i="50"/>
  <c r="BV83" i="50" s="1"/>
  <c r="BZ83" i="50" s="1"/>
  <c r="CA83" i="50" s="1"/>
  <c r="CO83" i="50" s="1"/>
  <c r="BO20" i="50"/>
  <c r="BP20" i="50" s="1"/>
  <c r="BU72" i="50"/>
  <c r="BL62" i="50"/>
  <c r="BV62" i="50" s="1"/>
  <c r="BZ62" i="50" s="1"/>
  <c r="CA62" i="50" s="1"/>
  <c r="CO62" i="50" s="1"/>
  <c r="BV87" i="50"/>
  <c r="BZ87" i="50" s="1"/>
  <c r="CA87" i="50" s="1"/>
  <c r="CO87" i="50" s="1"/>
  <c r="BQ28" i="50"/>
  <c r="BR28" i="50" s="1"/>
  <c r="BL58" i="50"/>
  <c r="BV58" i="50" s="1"/>
  <c r="BZ58" i="50" s="1"/>
  <c r="CA58" i="50" s="1"/>
  <c r="CO58" i="50" s="1"/>
  <c r="BX15" i="50"/>
  <c r="BO16" i="50"/>
  <c r="BT20" i="50"/>
  <c r="BX20" i="50" s="1"/>
  <c r="BY20" i="50" s="1"/>
  <c r="BK20" i="50"/>
  <c r="BU20" i="50" s="1"/>
  <c r="C23" i="51"/>
  <c r="C24" i="51" s="1"/>
  <c r="G24" i="51" s="1"/>
  <c r="BU51" i="50"/>
  <c r="BV88" i="50"/>
  <c r="BZ88" i="50" s="1"/>
  <c r="CA88" i="50" s="1"/>
  <c r="CO88" i="50" s="1"/>
  <c r="CU17" i="50"/>
  <c r="CV25" i="50" s="1"/>
  <c r="BV51" i="50"/>
  <c r="BZ51" i="50" s="1"/>
  <c r="CA51" i="50" s="1"/>
  <c r="CO51" i="50" s="1"/>
  <c r="BL42" i="50"/>
  <c r="BQ42" i="50" s="1"/>
  <c r="BR42" i="50" s="1"/>
  <c r="BU24" i="50"/>
  <c r="BV37" i="50"/>
  <c r="BZ37" i="50" s="1"/>
  <c r="CA37" i="50" s="1"/>
  <c r="CO37" i="50" s="1"/>
  <c r="BU37" i="50"/>
  <c r="BQ75" i="50"/>
  <c r="CD75" i="50" s="1"/>
  <c r="CG75" i="50" s="1"/>
  <c r="BL92" i="50"/>
  <c r="BV92" i="50" s="1"/>
  <c r="BZ92" i="50" s="1"/>
  <c r="CA92" i="50" s="1"/>
  <c r="CO92" i="50" s="1"/>
  <c r="BL57" i="50"/>
  <c r="BQ57" i="50" s="1"/>
  <c r="CD57" i="50" s="1"/>
  <c r="CI57" i="50" s="1"/>
  <c r="BL76" i="50"/>
  <c r="BV76" i="50" s="1"/>
  <c r="BZ76" i="50" s="1"/>
  <c r="CA76" i="50" s="1"/>
  <c r="CO76" i="50" s="1"/>
  <c r="BQ24" i="50"/>
  <c r="T24" i="50" s="1"/>
  <c r="BQ95" i="50"/>
  <c r="CD95" i="50" s="1"/>
  <c r="CI95" i="50" s="1"/>
  <c r="BL55" i="50"/>
  <c r="BV55" i="50" s="1"/>
  <c r="BZ55" i="50" s="1"/>
  <c r="CA55" i="50" s="1"/>
  <c r="CO55" i="50" s="1"/>
  <c r="BL54" i="50"/>
  <c r="BV54" i="50" s="1"/>
  <c r="BZ54" i="50" s="1"/>
  <c r="CA54" i="50" s="1"/>
  <c r="CO54" i="50" s="1"/>
  <c r="BL68" i="50"/>
  <c r="BQ68" i="50" s="1"/>
  <c r="CD68" i="50" s="1"/>
  <c r="CH68" i="50" s="1"/>
  <c r="BV46" i="50"/>
  <c r="BZ46" i="50" s="1"/>
  <c r="CA46" i="50" s="1"/>
  <c r="CO46" i="50" s="1"/>
  <c r="BL82" i="50"/>
  <c r="BQ82" i="50" s="1"/>
  <c r="CD82" i="50" s="1"/>
  <c r="CJ82" i="50" s="1"/>
  <c r="BV63" i="50"/>
  <c r="BZ63" i="50" s="1"/>
  <c r="CA63" i="50" s="1"/>
  <c r="CO63" i="50" s="1"/>
  <c r="BQ59" i="50"/>
  <c r="CD59" i="50" s="1"/>
  <c r="CJ59" i="50" s="1"/>
  <c r="BU63" i="50"/>
  <c r="BZ24" i="50"/>
  <c r="CA24" i="50" s="1"/>
  <c r="CO24" i="50" s="1"/>
  <c r="BQ74" i="50"/>
  <c r="CD74" i="50" s="1"/>
  <c r="CH74" i="50" s="1"/>
  <c r="BU59" i="50"/>
  <c r="BL47" i="50"/>
  <c r="BV47" i="50" s="1"/>
  <c r="BZ47" i="50" s="1"/>
  <c r="CA47" i="50" s="1"/>
  <c r="CO47" i="50" s="1"/>
  <c r="BL60" i="50"/>
  <c r="BV60" i="50" s="1"/>
  <c r="BZ60" i="50" s="1"/>
  <c r="CA60" i="50" s="1"/>
  <c r="CO60" i="50" s="1"/>
  <c r="BU75" i="50"/>
  <c r="BL98" i="50"/>
  <c r="BV98" i="50" s="1"/>
  <c r="BZ98" i="50" s="1"/>
  <c r="CA98" i="50" s="1"/>
  <c r="CO98" i="50" s="1"/>
  <c r="BL44" i="50"/>
  <c r="BQ44" i="50" s="1"/>
  <c r="BR44" i="50" s="1"/>
  <c r="BU71" i="50"/>
  <c r="BU94" i="50"/>
  <c r="BL27" i="50"/>
  <c r="BQ27" i="50" s="1"/>
  <c r="BR27" i="50" s="1"/>
  <c r="BU26" i="50"/>
  <c r="BL97" i="50"/>
  <c r="BV97" i="50" s="1"/>
  <c r="BZ97" i="50" s="1"/>
  <c r="CA97" i="50" s="1"/>
  <c r="CO97" i="50" s="1"/>
  <c r="BV52" i="50"/>
  <c r="BZ52" i="50" s="1"/>
  <c r="CA52" i="50" s="1"/>
  <c r="CO52" i="50" s="1"/>
  <c r="BL41" i="50"/>
  <c r="BV41" i="50" s="1"/>
  <c r="BZ41" i="50" s="1"/>
  <c r="CA41" i="50" s="1"/>
  <c r="CO41" i="50" s="1"/>
  <c r="BQ64" i="50"/>
  <c r="CD64" i="50" s="1"/>
  <c r="CI64" i="50" s="1"/>
  <c r="BV26" i="50"/>
  <c r="BV71" i="50"/>
  <c r="BZ71" i="50" s="1"/>
  <c r="CA71" i="50" s="1"/>
  <c r="CO71" i="50" s="1"/>
  <c r="BU52" i="50"/>
  <c r="BL86" i="50"/>
  <c r="BQ86" i="50" s="1"/>
  <c r="CD86" i="50" s="1"/>
  <c r="CI86" i="50" s="1"/>
  <c r="BU70" i="50"/>
  <c r="BQ70" i="50"/>
  <c r="CD70" i="50" s="1"/>
  <c r="CH70" i="50" s="1"/>
  <c r="BV29" i="50"/>
  <c r="BZ29" i="50" s="1"/>
  <c r="CA29" i="50" s="1"/>
  <c r="CO29" i="50" s="1"/>
  <c r="BQ39" i="50"/>
  <c r="CD39" i="50" s="1"/>
  <c r="BL35" i="50"/>
  <c r="BQ35" i="50" s="1"/>
  <c r="BR35" i="50" s="1"/>
  <c r="BL81" i="50"/>
  <c r="BV81" i="50" s="1"/>
  <c r="BZ81" i="50" s="1"/>
  <c r="CA81" i="50" s="1"/>
  <c r="CO81" i="50" s="1"/>
  <c r="BL25" i="50"/>
  <c r="BV25" i="50" s="1"/>
  <c r="BL36" i="50"/>
  <c r="BQ36" i="50" s="1"/>
  <c r="BR36" i="50" s="1"/>
  <c r="BQ94" i="50"/>
  <c r="CD94" i="50" s="1"/>
  <c r="CJ94" i="50" s="1"/>
  <c r="BL77" i="50"/>
  <c r="BQ77" i="50" s="1"/>
  <c r="CD77" i="50" s="1"/>
  <c r="CG77" i="50" s="1"/>
  <c r="BQ93" i="50"/>
  <c r="CD93" i="50" s="1"/>
  <c r="CH93" i="50" s="1"/>
  <c r="BL30" i="50"/>
  <c r="BQ30" i="50" s="1"/>
  <c r="CD30" i="50" s="1"/>
  <c r="BK21" i="50"/>
  <c r="BU21" i="50" s="1"/>
  <c r="BU32" i="50"/>
  <c r="BV50" i="50"/>
  <c r="BZ50" i="50" s="1"/>
  <c r="CA50" i="50" s="1"/>
  <c r="CO50" i="50" s="1"/>
  <c r="BV32" i="50"/>
  <c r="BZ32" i="50" s="1"/>
  <c r="CA32" i="50" s="1"/>
  <c r="CO32" i="50" s="1"/>
  <c r="BQ48" i="50"/>
  <c r="BR48" i="50" s="1"/>
  <c r="BU93" i="50"/>
  <c r="BU48" i="50"/>
  <c r="BL53" i="50"/>
  <c r="BV53" i="50" s="1"/>
  <c r="BZ53" i="50" s="1"/>
  <c r="CA53" i="50" s="1"/>
  <c r="CO53" i="50" s="1"/>
  <c r="BL90" i="50"/>
  <c r="BV90" i="50" s="1"/>
  <c r="BZ90" i="50" s="1"/>
  <c r="CA90" i="50" s="1"/>
  <c r="CO90" i="50" s="1"/>
  <c r="BU50" i="50"/>
  <c r="BL65" i="50"/>
  <c r="BQ65" i="50" s="1"/>
  <c r="CD65" i="50" s="1"/>
  <c r="CG65" i="50" s="1"/>
  <c r="BZ23" i="50"/>
  <c r="CA23" i="50" s="1"/>
  <c r="CO23" i="50" s="1"/>
  <c r="BO21" i="50"/>
  <c r="BP21" i="50" s="1"/>
  <c r="BQ38" i="50"/>
  <c r="BR38" i="50" s="1"/>
  <c r="BL91" i="50"/>
  <c r="BV91" i="50" s="1"/>
  <c r="BZ91" i="50" s="1"/>
  <c r="CA91" i="50" s="1"/>
  <c r="CO91" i="50" s="1"/>
  <c r="BU38" i="50"/>
  <c r="BV22" i="50"/>
  <c r="CI88" i="50"/>
  <c r="CJ88" i="50"/>
  <c r="CH88" i="50"/>
  <c r="CG88" i="50"/>
  <c r="CJ52" i="50"/>
  <c r="CH52" i="50"/>
  <c r="CG52" i="50"/>
  <c r="CI52" i="50"/>
  <c r="CJ96" i="50"/>
  <c r="CH96" i="50"/>
  <c r="CG96" i="50"/>
  <c r="CI96" i="50"/>
  <c r="CI69" i="50"/>
  <c r="CG69" i="50"/>
  <c r="CJ69" i="50"/>
  <c r="CH69" i="50"/>
  <c r="CH87" i="50"/>
  <c r="CG87" i="50"/>
  <c r="CJ87" i="50"/>
  <c r="CI87" i="50"/>
  <c r="CG73" i="50"/>
  <c r="CJ73" i="50"/>
  <c r="CI73" i="50"/>
  <c r="CH73" i="50"/>
  <c r="CG80" i="50"/>
  <c r="CI80" i="50"/>
  <c r="CH80" i="50"/>
  <c r="CJ80" i="50"/>
  <c r="CI89" i="50"/>
  <c r="CG89" i="50"/>
  <c r="CH89" i="50"/>
  <c r="CJ89" i="50"/>
  <c r="CH71" i="50"/>
  <c r="CI71" i="50"/>
  <c r="CJ71" i="50"/>
  <c r="CG71" i="50"/>
  <c r="CJ63" i="50"/>
  <c r="CI63" i="50"/>
  <c r="CH63" i="50"/>
  <c r="CG63" i="50"/>
  <c r="CG67" i="50"/>
  <c r="CJ67" i="50"/>
  <c r="CI67" i="50"/>
  <c r="CH67" i="50"/>
  <c r="CJ84" i="50"/>
  <c r="CH84" i="50"/>
  <c r="CG84" i="50"/>
  <c r="CI84" i="50"/>
  <c r="CI78" i="50"/>
  <c r="CG78" i="50"/>
  <c r="CH78" i="50"/>
  <c r="CJ78" i="50"/>
  <c r="CJ56" i="50"/>
  <c r="CH56" i="50"/>
  <c r="CI56" i="50"/>
  <c r="CG56" i="50"/>
  <c r="BQ23" i="50"/>
  <c r="CD50" i="50"/>
  <c r="BR50" i="50"/>
  <c r="CD45" i="50"/>
  <c r="BR45" i="50"/>
  <c r="CD31" i="50"/>
  <c r="BR31" i="50"/>
  <c r="CD33" i="50"/>
  <c r="BR33" i="50"/>
  <c r="BR29" i="50"/>
  <c r="CD29" i="50"/>
  <c r="CD37" i="50"/>
  <c r="BR37" i="50"/>
  <c r="CD51" i="50"/>
  <c r="BR51" i="50"/>
  <c r="G42" i="51"/>
  <c r="H42" i="51"/>
  <c r="F42" i="51"/>
  <c r="E42" i="51"/>
  <c r="K42" i="51"/>
  <c r="C43" i="51"/>
  <c r="J42" i="51"/>
  <c r="B42" i="51"/>
  <c r="I42" i="51"/>
  <c r="L42" i="51"/>
  <c r="D42" i="51"/>
  <c r="BR32" i="50"/>
  <c r="CD32" i="50"/>
  <c r="BR46" i="50"/>
  <c r="CD46" i="50"/>
  <c r="BZ25" i="50" l="1"/>
  <c r="CA25" i="50" s="1"/>
  <c r="CO25" i="50" s="1"/>
  <c r="BZ22" i="50"/>
  <c r="CA22" i="50" s="1"/>
  <c r="CO22" i="50" s="1"/>
  <c r="T26" i="50"/>
  <c r="CD26" i="50"/>
  <c r="BR26" i="50"/>
  <c r="BZ26" i="50"/>
  <c r="CA26" i="50" s="1"/>
  <c r="CO26" i="50" s="1"/>
  <c r="CV24" i="50"/>
  <c r="CV26" i="50"/>
  <c r="CG85" i="50"/>
  <c r="CH85" i="50"/>
  <c r="CJ85" i="50"/>
  <c r="BV85" i="50"/>
  <c r="BZ85" i="50" s="1"/>
  <c r="CA85" i="50" s="1"/>
  <c r="CO85" i="50" s="1"/>
  <c r="CH99" i="50"/>
  <c r="CI99" i="50"/>
  <c r="CD43" i="50"/>
  <c r="CH43" i="50" s="1"/>
  <c r="BQ34" i="50"/>
  <c r="CD34" i="50" s="1"/>
  <c r="CJ34" i="50" s="1"/>
  <c r="CG99" i="50"/>
  <c r="CH66" i="50"/>
  <c r="CD40" i="50"/>
  <c r="CH40" i="50" s="1"/>
  <c r="BV66" i="50"/>
  <c r="BZ66" i="50" s="1"/>
  <c r="CA66" i="50" s="1"/>
  <c r="CO66" i="50" s="1"/>
  <c r="CJ66" i="50"/>
  <c r="CG66" i="50"/>
  <c r="BQ58" i="50"/>
  <c r="CD58" i="50" s="1"/>
  <c r="CI58" i="50" s="1"/>
  <c r="CG72" i="50"/>
  <c r="BG72" i="50" s="1"/>
  <c r="CV21" i="50"/>
  <c r="CV22" i="50"/>
  <c r="BQ49" i="50"/>
  <c r="BR49" i="50" s="1"/>
  <c r="BV57" i="50"/>
  <c r="BZ57" i="50" s="1"/>
  <c r="CA57" i="50" s="1"/>
  <c r="CO57" i="50" s="1"/>
  <c r="CI82" i="50"/>
  <c r="CV20" i="50"/>
  <c r="BQ61" i="50"/>
  <c r="CD61" i="50" s="1"/>
  <c r="CG61" i="50" s="1"/>
  <c r="CH57" i="50"/>
  <c r="CG57" i="50"/>
  <c r="BQ79" i="50"/>
  <c r="CD79" i="50" s="1"/>
  <c r="CI79" i="50" s="1"/>
  <c r="CJ57" i="50"/>
  <c r="CG70" i="50"/>
  <c r="BG70" i="50" s="1"/>
  <c r="BV82" i="50"/>
  <c r="BZ82" i="50" s="1"/>
  <c r="CA82" i="50" s="1"/>
  <c r="CO82" i="50" s="1"/>
  <c r="BQ92" i="50"/>
  <c r="CD92" i="50" s="1"/>
  <c r="CH92" i="50" s="1"/>
  <c r="BQ83" i="50"/>
  <c r="CD83" i="50" s="1"/>
  <c r="CJ83" i="50" s="1"/>
  <c r="CI72" i="50"/>
  <c r="CD28" i="50"/>
  <c r="CG28" i="50" s="1"/>
  <c r="CJ72" i="50"/>
  <c r="CV23" i="50"/>
  <c r="BL20" i="50"/>
  <c r="BQ20" i="50" s="1"/>
  <c r="T20" i="50" s="1"/>
  <c r="BQ98" i="50"/>
  <c r="CD98" i="50" s="1"/>
  <c r="CG98" i="50" s="1"/>
  <c r="CG64" i="50"/>
  <c r="CD24" i="50"/>
  <c r="BQ62" i="50"/>
  <c r="CD62" i="50" s="1"/>
  <c r="CG62" i="50" s="1"/>
  <c r="CD42" i="50"/>
  <c r="CJ42" i="50" s="1"/>
  <c r="BV42" i="50"/>
  <c r="BZ42" i="50" s="1"/>
  <c r="CA42" i="50" s="1"/>
  <c r="CO42" i="50" s="1"/>
  <c r="CH95" i="50"/>
  <c r="BQ76" i="50"/>
  <c r="CD76" i="50" s="1"/>
  <c r="CG76" i="50" s="1"/>
  <c r="BR24" i="50"/>
  <c r="CJ95" i="50"/>
  <c r="CD44" i="50"/>
  <c r="CJ44" i="50" s="1"/>
  <c r="CG95" i="50"/>
  <c r="CI75" i="50"/>
  <c r="BV68" i="50"/>
  <c r="BZ68" i="50" s="1"/>
  <c r="CA68" i="50" s="1"/>
  <c r="CO68" i="50" s="1"/>
  <c r="CG74" i="50"/>
  <c r="BG74" i="50" s="1"/>
  <c r="CH75" i="50"/>
  <c r="BG75" i="50" s="1"/>
  <c r="CJ75" i="50"/>
  <c r="BR39" i="50"/>
  <c r="CJ64" i="50"/>
  <c r="BQ55" i="50"/>
  <c r="CD55" i="50" s="1"/>
  <c r="CI55" i="50" s="1"/>
  <c r="CJ70" i="50"/>
  <c r="CD36" i="50"/>
  <c r="CJ36" i="50" s="1"/>
  <c r="CI68" i="50"/>
  <c r="CG68" i="50"/>
  <c r="BG68" i="50" s="1"/>
  <c r="CJ68" i="50"/>
  <c r="BQ54" i="50"/>
  <c r="CD54" i="50" s="1"/>
  <c r="CH54" i="50" s="1"/>
  <c r="CD27" i="50"/>
  <c r="CG27" i="50" s="1"/>
  <c r="CI74" i="50"/>
  <c r="CJ74" i="50"/>
  <c r="CG94" i="50"/>
  <c r="CG82" i="50"/>
  <c r="CG59" i="50"/>
  <c r="CH82" i="50"/>
  <c r="CI59" i="50"/>
  <c r="BQ41" i="50"/>
  <c r="CD41" i="50" s="1"/>
  <c r="CJ41" i="50" s="1"/>
  <c r="CH59" i="50"/>
  <c r="CJ77" i="50"/>
  <c r="BQ60" i="50"/>
  <c r="CD60" i="50" s="1"/>
  <c r="CI60" i="50" s="1"/>
  <c r="CI70" i="50"/>
  <c r="CH86" i="50"/>
  <c r="BQ47" i="50"/>
  <c r="CD47" i="50" s="1"/>
  <c r="CJ47" i="50" s="1"/>
  <c r="BV44" i="50"/>
  <c r="BZ44" i="50" s="1"/>
  <c r="CA44" i="50" s="1"/>
  <c r="CO44" i="50" s="1"/>
  <c r="CJ86" i="50"/>
  <c r="CH77" i="50"/>
  <c r="BG77" i="50" s="1"/>
  <c r="CH94" i="50"/>
  <c r="CG86" i="50"/>
  <c r="BV36" i="50"/>
  <c r="BZ36" i="50" s="1"/>
  <c r="CA36" i="50" s="1"/>
  <c r="CO36" i="50" s="1"/>
  <c r="BQ97" i="50"/>
  <c r="CD97" i="50" s="1"/>
  <c r="CH97" i="50" s="1"/>
  <c r="CH64" i="50"/>
  <c r="BV27" i="50"/>
  <c r="BZ27" i="50" s="1"/>
  <c r="CA27" i="50" s="1"/>
  <c r="CO27" i="50" s="1"/>
  <c r="BV86" i="50"/>
  <c r="BZ86" i="50" s="1"/>
  <c r="CA86" i="50" s="1"/>
  <c r="CO86" i="50" s="1"/>
  <c r="BQ81" i="50"/>
  <c r="CD81" i="50" s="1"/>
  <c r="CH81" i="50" s="1"/>
  <c r="CD35" i="50"/>
  <c r="CI35" i="50" s="1"/>
  <c r="BV35" i="50"/>
  <c r="BZ35" i="50" s="1"/>
  <c r="CA35" i="50" s="1"/>
  <c r="CO35" i="50" s="1"/>
  <c r="BQ25" i="50"/>
  <c r="CI93" i="50"/>
  <c r="CI77" i="50"/>
  <c r="BR30" i="50"/>
  <c r="CI94" i="50"/>
  <c r="BQ53" i="50"/>
  <c r="CD53" i="50" s="1"/>
  <c r="CJ53" i="50" s="1"/>
  <c r="BV77" i="50"/>
  <c r="BZ77" i="50" s="1"/>
  <c r="CA77" i="50" s="1"/>
  <c r="CO77" i="50" s="1"/>
  <c r="CJ65" i="50"/>
  <c r="BV30" i="50"/>
  <c r="BZ30" i="50" s="1"/>
  <c r="CA30" i="50" s="1"/>
  <c r="CO30" i="50" s="1"/>
  <c r="CG93" i="50"/>
  <c r="BG93" i="50" s="1"/>
  <c r="CI65" i="50"/>
  <c r="BL21" i="50"/>
  <c r="CH65" i="50"/>
  <c r="BG65" i="50" s="1"/>
  <c r="BQ91" i="50"/>
  <c r="CD91" i="50" s="1"/>
  <c r="CJ91" i="50" s="1"/>
  <c r="CJ93" i="50"/>
  <c r="BV65" i="50"/>
  <c r="BZ65" i="50" s="1"/>
  <c r="CA65" i="50" s="1"/>
  <c r="CO65" i="50" s="1"/>
  <c r="CD48" i="50"/>
  <c r="CI48" i="50" s="1"/>
  <c r="CD38" i="50"/>
  <c r="CG38" i="50" s="1"/>
  <c r="BQ90" i="50"/>
  <c r="CD90" i="50" s="1"/>
  <c r="CJ90" i="50" s="1"/>
  <c r="BR22" i="50"/>
  <c r="CD22" i="50"/>
  <c r="BR23" i="50"/>
  <c r="T23" i="50"/>
  <c r="BG87" i="50"/>
  <c r="BG80" i="50"/>
  <c r="BG78" i="50"/>
  <c r="BG89" i="50"/>
  <c r="BG84" i="50"/>
  <c r="BG67" i="50"/>
  <c r="BG73" i="50"/>
  <c r="BG88" i="50"/>
  <c r="CG30" i="50"/>
  <c r="CJ30" i="50"/>
  <c r="CI30" i="50"/>
  <c r="CH30" i="50"/>
  <c r="CH39" i="50"/>
  <c r="CG39" i="50"/>
  <c r="CI39" i="50"/>
  <c r="CJ39" i="50"/>
  <c r="BG71" i="50"/>
  <c r="CI46" i="50"/>
  <c r="CH46" i="50"/>
  <c r="CG46" i="50"/>
  <c r="CJ46" i="50"/>
  <c r="CH29" i="50"/>
  <c r="CG29" i="50"/>
  <c r="CI29" i="50"/>
  <c r="CJ29" i="50"/>
  <c r="CG37" i="50"/>
  <c r="CJ37" i="50"/>
  <c r="CI37" i="50"/>
  <c r="CH37" i="50"/>
  <c r="CJ32" i="50"/>
  <c r="CI32" i="50"/>
  <c r="CG32" i="50"/>
  <c r="CH32" i="50"/>
  <c r="CJ51" i="50"/>
  <c r="CI51" i="50"/>
  <c r="CG51" i="50"/>
  <c r="CH51" i="50"/>
  <c r="CI45" i="50"/>
  <c r="CJ45" i="50"/>
  <c r="CH45" i="50"/>
  <c r="CG45" i="50"/>
  <c r="BG69" i="50"/>
  <c r="BG96" i="50"/>
  <c r="BG52" i="50"/>
  <c r="CI33" i="50"/>
  <c r="CJ33" i="50"/>
  <c r="CH33" i="50"/>
  <c r="CG33" i="50"/>
  <c r="CI31" i="50"/>
  <c r="CG31" i="50"/>
  <c r="CJ31" i="50"/>
  <c r="CH31" i="50"/>
  <c r="CI50" i="50"/>
  <c r="CH50" i="50"/>
  <c r="CG50" i="50"/>
  <c r="CJ50" i="50"/>
  <c r="BG56" i="50"/>
  <c r="BG63" i="50"/>
  <c r="CD23" i="50"/>
  <c r="B24" i="51"/>
  <c r="J24" i="51"/>
  <c r="D24" i="51"/>
  <c r="C25" i="51"/>
  <c r="B25" i="51" s="1"/>
  <c r="L24" i="51"/>
  <c r="H24" i="51"/>
  <c r="F24" i="51"/>
  <c r="I24" i="51"/>
  <c r="E24" i="51"/>
  <c r="K24" i="51"/>
  <c r="B43" i="51"/>
  <c r="I43" i="51"/>
  <c r="F43" i="51"/>
  <c r="J43" i="51"/>
  <c r="E43" i="51"/>
  <c r="H43" i="51"/>
  <c r="L43" i="51"/>
  <c r="G43" i="51"/>
  <c r="D43" i="51"/>
  <c r="K43" i="51"/>
  <c r="BR25" i="50" l="1"/>
  <c r="T25" i="50"/>
  <c r="BG85" i="50"/>
  <c r="CH34" i="50"/>
  <c r="CG34" i="50"/>
  <c r="CI34" i="50"/>
  <c r="CG43" i="50"/>
  <c r="BG43" i="50" s="1"/>
  <c r="BQ21" i="50"/>
  <c r="T21" i="50" s="1"/>
  <c r="BV21" i="50"/>
  <c r="BZ21" i="50" s="1"/>
  <c r="CA21" i="50" s="1"/>
  <c r="CO21" i="50" s="1"/>
  <c r="BG99" i="50"/>
  <c r="CI43" i="50"/>
  <c r="CJ43" i="50"/>
  <c r="CG40" i="50"/>
  <c r="BG40" i="50" s="1"/>
  <c r="CI40" i="50"/>
  <c r="BG66" i="50"/>
  <c r="BR34" i="50"/>
  <c r="CJ40" i="50"/>
  <c r="CJ28" i="50"/>
  <c r="CD49" i="50"/>
  <c r="CG49" i="50" s="1"/>
  <c r="CJ58" i="50"/>
  <c r="CJ61" i="50"/>
  <c r="CG58" i="50"/>
  <c r="CH58" i="50"/>
  <c r="CI28" i="50"/>
  <c r="CH28" i="50"/>
  <c r="BG28" i="50" s="1"/>
  <c r="CG83" i="50"/>
  <c r="CI61" i="50"/>
  <c r="BG57" i="50"/>
  <c r="CH79" i="50"/>
  <c r="CI98" i="50"/>
  <c r="CJ79" i="50"/>
  <c r="CI92" i="50"/>
  <c r="CH61" i="50"/>
  <c r="BG61" i="50" s="1"/>
  <c r="CJ62" i="50"/>
  <c r="CG79" i="50"/>
  <c r="CH47" i="50"/>
  <c r="CG47" i="50"/>
  <c r="BR47" i="50"/>
  <c r="CD20" i="50"/>
  <c r="BR20" i="50"/>
  <c r="CG90" i="50"/>
  <c r="BG82" i="50"/>
  <c r="CJ92" i="50"/>
  <c r="CJ98" i="50"/>
  <c r="CH83" i="50"/>
  <c r="CI47" i="50"/>
  <c r="CH98" i="50"/>
  <c r="BG98" i="50" s="1"/>
  <c r="BV20" i="50"/>
  <c r="BZ20" i="50" s="1"/>
  <c r="CA20" i="50" s="1"/>
  <c r="CO20" i="50" s="1"/>
  <c r="CG92" i="50"/>
  <c r="BG92" i="50" s="1"/>
  <c r="CI83" i="50"/>
  <c r="CI42" i="50"/>
  <c r="CI27" i="50"/>
  <c r="CI36" i="50"/>
  <c r="BG64" i="50"/>
  <c r="CH42" i="50"/>
  <c r="CJ55" i="50"/>
  <c r="BG86" i="50"/>
  <c r="CI76" i="50"/>
  <c r="CH62" i="50"/>
  <c r="BG62" i="50" s="1"/>
  <c r="CJ76" i="50"/>
  <c r="CI62" i="50"/>
  <c r="CH76" i="50"/>
  <c r="BG76" i="50" s="1"/>
  <c r="BG95" i="50"/>
  <c r="CH44" i="50"/>
  <c r="CG44" i="50"/>
  <c r="CG42" i="50"/>
  <c r="CI44" i="50"/>
  <c r="CG54" i="50"/>
  <c r="BG54" i="50" s="1"/>
  <c r="CG55" i="50"/>
  <c r="CH55" i="50"/>
  <c r="BG59" i="50"/>
  <c r="CG36" i="50"/>
  <c r="CH27" i="50"/>
  <c r="BG27" i="50" s="1"/>
  <c r="CH36" i="50"/>
  <c r="BG94" i="50"/>
  <c r="CJ54" i="50"/>
  <c r="CI54" i="50"/>
  <c r="CJ27" i="50"/>
  <c r="CG35" i="50"/>
  <c r="CH35" i="50"/>
  <c r="CG41" i="50"/>
  <c r="CH41" i="50"/>
  <c r="CI41" i="50"/>
  <c r="BR41" i="50"/>
  <c r="CG60" i="50"/>
  <c r="CJ35" i="50"/>
  <c r="CJ60" i="50"/>
  <c r="CH60" i="50"/>
  <c r="CJ97" i="50"/>
  <c r="CJ81" i="50"/>
  <c r="CI53" i="50"/>
  <c r="CI91" i="50"/>
  <c r="CG81" i="50"/>
  <c r="BG81" i="50" s="1"/>
  <c r="CI97" i="50"/>
  <c r="CI81" i="50"/>
  <c r="CG53" i="50"/>
  <c r="CI90" i="50"/>
  <c r="CH53" i="50"/>
  <c r="CG97" i="50"/>
  <c r="BG97" i="50" s="1"/>
  <c r="CD25" i="50"/>
  <c r="CJ48" i="50"/>
  <c r="CH48" i="50"/>
  <c r="CG48" i="50"/>
  <c r="CH90" i="50"/>
  <c r="CJ38" i="50"/>
  <c r="CI38" i="50"/>
  <c r="CG91" i="50"/>
  <c r="CH38" i="50"/>
  <c r="BG38" i="50" s="1"/>
  <c r="CH91" i="50"/>
  <c r="BG39" i="50"/>
  <c r="BG50" i="50"/>
  <c r="BG32" i="50"/>
  <c r="BG29" i="50"/>
  <c r="BG46" i="50"/>
  <c r="BG51" i="50"/>
  <c r="BG31" i="50"/>
  <c r="BG37" i="50"/>
  <c r="BG45" i="50"/>
  <c r="BG33" i="50"/>
  <c r="BG30" i="50"/>
  <c r="F25" i="51"/>
  <c r="F26" i="51" s="1"/>
  <c r="F18" i="51" s="1"/>
  <c r="E25" i="51"/>
  <c r="E26" i="51" s="1"/>
  <c r="E18" i="51" s="1"/>
  <c r="G25" i="51"/>
  <c r="G26" i="51" s="1"/>
  <c r="G18" i="51" s="1"/>
  <c r="J25" i="51"/>
  <c r="J26" i="51" s="1"/>
  <c r="J18" i="51" s="1"/>
  <c r="K25" i="51"/>
  <c r="K26" i="51" s="1"/>
  <c r="K18" i="51" s="1"/>
  <c r="H25" i="51"/>
  <c r="H26" i="51" s="1"/>
  <c r="H18" i="51" s="1"/>
  <c r="D25" i="51"/>
  <c r="D26" i="51" s="1"/>
  <c r="D18" i="51" s="1"/>
  <c r="I25" i="51"/>
  <c r="I26" i="51" s="1"/>
  <c r="I18" i="51" s="1"/>
  <c r="L25" i="51"/>
  <c r="L26" i="51" s="1"/>
  <c r="L18" i="51" s="1"/>
  <c r="D44" i="51"/>
  <c r="D36" i="51" s="1"/>
  <c r="F44" i="51"/>
  <c r="F36" i="51" s="1"/>
  <c r="K44" i="51"/>
  <c r="K36" i="51" s="1"/>
  <c r="J44" i="51"/>
  <c r="J36" i="51" s="1"/>
  <c r="L44" i="51"/>
  <c r="L36" i="51" s="1"/>
  <c r="I44" i="51"/>
  <c r="I36" i="51" s="1"/>
  <c r="H44" i="51"/>
  <c r="H36" i="51" s="1"/>
  <c r="G44" i="51"/>
  <c r="G36" i="51" s="1"/>
  <c r="E44" i="51"/>
  <c r="E36" i="51" s="1"/>
  <c r="BG34" i="50" l="1"/>
  <c r="CJ49" i="50"/>
  <c r="CD21" i="50"/>
  <c r="CD4" i="50" s="1"/>
  <c r="BR21" i="50"/>
  <c r="CI49" i="50"/>
  <c r="CH49" i="50"/>
  <c r="BG49" i="50" s="1"/>
  <c r="CB22" i="50"/>
  <c r="CK22" i="50" s="1"/>
  <c r="BG58" i="50"/>
  <c r="BG83" i="50"/>
  <c r="BG79" i="50"/>
  <c r="CM51" i="50"/>
  <c r="CM46" i="50"/>
  <c r="CM33" i="50"/>
  <c r="CM97" i="50"/>
  <c r="CB71" i="50"/>
  <c r="CK71" i="50" s="1"/>
  <c r="CB70" i="50"/>
  <c r="CK70" i="50" s="1"/>
  <c r="CB38" i="50"/>
  <c r="CK38" i="50" s="1"/>
  <c r="CM99" i="50"/>
  <c r="CM41" i="50"/>
  <c r="BG47" i="50"/>
  <c r="CM69" i="50"/>
  <c r="CB47" i="50"/>
  <c r="CK47" i="50" s="1"/>
  <c r="CM73" i="50"/>
  <c r="CM43" i="50"/>
  <c r="CB95" i="50"/>
  <c r="CK95" i="50" s="1"/>
  <c r="CB69" i="50"/>
  <c r="CK69" i="50" s="1"/>
  <c r="CB41" i="50"/>
  <c r="CK41" i="50" s="1"/>
  <c r="CB90" i="50"/>
  <c r="CK90" i="50" s="1"/>
  <c r="BG90" i="50"/>
  <c r="CB84" i="50"/>
  <c r="CK84" i="50" s="1"/>
  <c r="CM81" i="50"/>
  <c r="CB43" i="50"/>
  <c r="CK43" i="50" s="1"/>
  <c r="CM86" i="50"/>
  <c r="CM77" i="50"/>
  <c r="CM26" i="50"/>
  <c r="CB87" i="50"/>
  <c r="CK87" i="50" s="1"/>
  <c r="CB75" i="50"/>
  <c r="CK75" i="50" s="1"/>
  <c r="CB94" i="50"/>
  <c r="CK94" i="50" s="1"/>
  <c r="CB98" i="50"/>
  <c r="CK98" i="50" s="1"/>
  <c r="CM82" i="50"/>
  <c r="CM45" i="50"/>
  <c r="CB99" i="50"/>
  <c r="CK99" i="50" s="1"/>
  <c r="CB92" i="50"/>
  <c r="CK92" i="50" s="1"/>
  <c r="CM21" i="50"/>
  <c r="CB24" i="50"/>
  <c r="CK24" i="50" s="1"/>
  <c r="CM64" i="50"/>
  <c r="CM44" i="50"/>
  <c r="CM40" i="50"/>
  <c r="CB53" i="50"/>
  <c r="CK53" i="50" s="1"/>
  <c r="CM87" i="50"/>
  <c r="CM98" i="50"/>
  <c r="CM96" i="50"/>
  <c r="CM53" i="50"/>
  <c r="CB33" i="50"/>
  <c r="CK33" i="50" s="1"/>
  <c r="CB86" i="50"/>
  <c r="CK86" i="50" s="1"/>
  <c r="CB39" i="50"/>
  <c r="CK39" i="50" s="1"/>
  <c r="CM55" i="50"/>
  <c r="CB97" i="50"/>
  <c r="CK97" i="50" s="1"/>
  <c r="CM54" i="50"/>
  <c r="CB57" i="50"/>
  <c r="CK57" i="50" s="1"/>
  <c r="CB27" i="50"/>
  <c r="CK27" i="50" s="1"/>
  <c r="CM63" i="50"/>
  <c r="CB59" i="50"/>
  <c r="CK59" i="50" s="1"/>
  <c r="CM59" i="50"/>
  <c r="CB79" i="50"/>
  <c r="CK79" i="50" s="1"/>
  <c r="CM61" i="50"/>
  <c r="CB52" i="50"/>
  <c r="CK52" i="50" s="1"/>
  <c r="CB67" i="50"/>
  <c r="CK67" i="50" s="1"/>
  <c r="CM93" i="50"/>
  <c r="CM79" i="50"/>
  <c r="CB51" i="50"/>
  <c r="CK51" i="50" s="1"/>
  <c r="CM83" i="50"/>
  <c r="CM20" i="50"/>
  <c r="CB23" i="50"/>
  <c r="CK23" i="50" s="1"/>
  <c r="CB50" i="50"/>
  <c r="CK50" i="50" s="1"/>
  <c r="CM28" i="50"/>
  <c r="CB78" i="50"/>
  <c r="CK78" i="50" s="1"/>
  <c r="CB80" i="50"/>
  <c r="CK80" i="50" s="1"/>
  <c r="CB44" i="50"/>
  <c r="CK44" i="50" s="1"/>
  <c r="CM58" i="50"/>
  <c r="CM56" i="50"/>
  <c r="CB49" i="50"/>
  <c r="CK49" i="50" s="1"/>
  <c r="CB88" i="50"/>
  <c r="CK88" i="50" s="1"/>
  <c r="CB83" i="50"/>
  <c r="CK83" i="50" s="1"/>
  <c r="CB58" i="50"/>
  <c r="CK58" i="50" s="1"/>
  <c r="CB85" i="50"/>
  <c r="CK85" i="50" s="1"/>
  <c r="CB35" i="50"/>
  <c r="CK35" i="50" s="1"/>
  <c r="CB73" i="50"/>
  <c r="CK73" i="50" s="1"/>
  <c r="CM67" i="50"/>
  <c r="CM27" i="50"/>
  <c r="CB66" i="50"/>
  <c r="CK66" i="50" s="1"/>
  <c r="CM24" i="50"/>
  <c r="CM94" i="50"/>
  <c r="CM71" i="50"/>
  <c r="CB25" i="50"/>
  <c r="CK25" i="50" s="1"/>
  <c r="CB64" i="50"/>
  <c r="CK64" i="50" s="1"/>
  <c r="CM42" i="50"/>
  <c r="CB31" i="50"/>
  <c r="CK31" i="50" s="1"/>
  <c r="CM47" i="50"/>
  <c r="CM88" i="50"/>
  <c r="CB82" i="50"/>
  <c r="CK82" i="50" s="1"/>
  <c r="CB32" i="50"/>
  <c r="CK32" i="50" s="1"/>
  <c r="CB29" i="50"/>
  <c r="CK29" i="50" s="1"/>
  <c r="CM65" i="50"/>
  <c r="CM39" i="50"/>
  <c r="CB37" i="50"/>
  <c r="CK37" i="50" s="1"/>
  <c r="CM80" i="50"/>
  <c r="CB72" i="50"/>
  <c r="CK72" i="50" s="1"/>
  <c r="CM31" i="50"/>
  <c r="CB36" i="50"/>
  <c r="CK36" i="50" s="1"/>
  <c r="CM75" i="50"/>
  <c r="CM52" i="50"/>
  <c r="CM76" i="50"/>
  <c r="CB46" i="50"/>
  <c r="CK46" i="50" s="1"/>
  <c r="CM66" i="50"/>
  <c r="CM22" i="50"/>
  <c r="CB56" i="50"/>
  <c r="CK56" i="50" s="1"/>
  <c r="CM23" i="50"/>
  <c r="CB26" i="50"/>
  <c r="CK26" i="50" s="1"/>
  <c r="CB34" i="50"/>
  <c r="CK34" i="50" s="1"/>
  <c r="CM78" i="50"/>
  <c r="CM29" i="50"/>
  <c r="CM57" i="50"/>
  <c r="CB65" i="50"/>
  <c r="CK65" i="50" s="1"/>
  <c r="CB28" i="50"/>
  <c r="CK28" i="50" s="1"/>
  <c r="CM30" i="50"/>
  <c r="CM32" i="50"/>
  <c r="CB42" i="50"/>
  <c r="CK42" i="50" s="1"/>
  <c r="CB96" i="50"/>
  <c r="CK96" i="50" s="1"/>
  <c r="CB76" i="50"/>
  <c r="CK76" i="50" s="1"/>
  <c r="CB20" i="50"/>
  <c r="CK20" i="50" s="1"/>
  <c r="CB77" i="50"/>
  <c r="CK77" i="50" s="1"/>
  <c r="CM48" i="50"/>
  <c r="CB62" i="50"/>
  <c r="CK62" i="50" s="1"/>
  <c r="CM36" i="50"/>
  <c r="CB40" i="50"/>
  <c r="CK40" i="50" s="1"/>
  <c r="CB45" i="50"/>
  <c r="CK45" i="50" s="1"/>
  <c r="CB74" i="50"/>
  <c r="CK74" i="50" s="1"/>
  <c r="CB60" i="50"/>
  <c r="CK60" i="50" s="1"/>
  <c r="CM91" i="50"/>
  <c r="CM38" i="50"/>
  <c r="CB48" i="50"/>
  <c r="CK48" i="50" s="1"/>
  <c r="CB54" i="50"/>
  <c r="CK54" i="50" s="1"/>
  <c r="CM62" i="50"/>
  <c r="CB93" i="50"/>
  <c r="CK93" i="50" s="1"/>
  <c r="CM37" i="50"/>
  <c r="CB89" i="50"/>
  <c r="CK89" i="50" s="1"/>
  <c r="CM34" i="50"/>
  <c r="CM84" i="50"/>
  <c r="CB30" i="50"/>
  <c r="CK30" i="50" s="1"/>
  <c r="BG42" i="50"/>
  <c r="CA18" i="50"/>
  <c r="CC4" i="50" s="1"/>
  <c r="CC17" i="50" s="1"/>
  <c r="CM50" i="50"/>
  <c r="CM72" i="50"/>
  <c r="CB21" i="50"/>
  <c r="CK21" i="50" s="1"/>
  <c r="CB81" i="50"/>
  <c r="CK81" i="50" s="1"/>
  <c r="CM60" i="50"/>
  <c r="CM68" i="50"/>
  <c r="CM74" i="50"/>
  <c r="CM95" i="50"/>
  <c r="CM49" i="50"/>
  <c r="CM92" i="50"/>
  <c r="CM35" i="50"/>
  <c r="CB55" i="50"/>
  <c r="CK55" i="50" s="1"/>
  <c r="CB61" i="50"/>
  <c r="CK61" i="50" s="1"/>
  <c r="CM90" i="50"/>
  <c r="CM89" i="50"/>
  <c r="CM85" i="50"/>
  <c r="CB63" i="50"/>
  <c r="CK63" i="50" s="1"/>
  <c r="CB68" i="50"/>
  <c r="CK68" i="50" s="1"/>
  <c r="CB91" i="50"/>
  <c r="CK91" i="50" s="1"/>
  <c r="CM70" i="50"/>
  <c r="CM25" i="50"/>
  <c r="BG36" i="50"/>
  <c r="BG44" i="50"/>
  <c r="BG55" i="50"/>
  <c r="BG35" i="50"/>
  <c r="BG48" i="50"/>
  <c r="BG41" i="50"/>
  <c r="BG91" i="50"/>
  <c r="BG60" i="50"/>
  <c r="BG53" i="50"/>
  <c r="CF23" i="50"/>
  <c r="AI4" i="50"/>
  <c r="AK4" i="50"/>
  <c r="AJ8" i="50"/>
  <c r="AH8" i="50"/>
  <c r="CF20" i="50" l="1"/>
  <c r="CF26" i="50"/>
  <c r="CE25" i="50"/>
  <c r="CE26" i="50"/>
  <c r="CF25" i="50"/>
  <c r="AI12" i="50"/>
  <c r="AI13" i="50" s="1"/>
  <c r="CD8" i="50" s="1"/>
  <c r="CJ20" i="50" s="1"/>
  <c r="CF24" i="50"/>
  <c r="CF22" i="50"/>
  <c r="CF21" i="50"/>
  <c r="BA15" i="50"/>
  <c r="CC8" i="50"/>
  <c r="CB100" i="50"/>
  <c r="CC6" i="50"/>
  <c r="CG23" i="50" s="1"/>
  <c r="AM13" i="50"/>
  <c r="CE23" i="50"/>
  <c r="CE24" i="50"/>
  <c r="CE21" i="50"/>
  <c r="CI21" i="50" s="1"/>
  <c r="CE22" i="50"/>
  <c r="CD17" i="50"/>
  <c r="CN79" i="50" s="1"/>
  <c r="CE20" i="50"/>
  <c r="AI8" i="50"/>
  <c r="AK8" i="50"/>
  <c r="CJ25" i="50" l="1"/>
  <c r="CC12" i="50"/>
  <c r="CC13" i="50" s="1"/>
  <c r="CG26" i="50"/>
  <c r="CG25" i="50"/>
  <c r="CL26" i="50"/>
  <c r="V26" i="50" s="1"/>
  <c r="CI26" i="50"/>
  <c r="CJ23" i="50"/>
  <c r="Y23" i="50" s="1"/>
  <c r="CL25" i="50"/>
  <c r="V25" i="50" s="1"/>
  <c r="CI25" i="50"/>
  <c r="CJ26" i="50"/>
  <c r="CI23" i="50"/>
  <c r="X91" i="50"/>
  <c r="I7" i="50"/>
  <c r="Y13" i="50"/>
  <c r="AN13" i="50"/>
  <c r="Y4" i="50"/>
  <c r="CD6" i="50"/>
  <c r="X40" i="50"/>
  <c r="V33" i="50"/>
  <c r="W74" i="50"/>
  <c r="V80" i="50"/>
  <c r="W28" i="50"/>
  <c r="X54" i="50"/>
  <c r="W20" i="50"/>
  <c r="Y37" i="50"/>
  <c r="Y98" i="50"/>
  <c r="V57" i="50"/>
  <c r="X89" i="50"/>
  <c r="W77" i="50"/>
  <c r="X88" i="50"/>
  <c r="V48" i="50"/>
  <c r="V47" i="50"/>
  <c r="V30" i="50"/>
  <c r="X64" i="50"/>
  <c r="Y42" i="50"/>
  <c r="V40" i="50"/>
  <c r="X37" i="50"/>
  <c r="Y69" i="50"/>
  <c r="X96" i="50"/>
  <c r="W25" i="50"/>
  <c r="X83" i="50"/>
  <c r="X75" i="50"/>
  <c r="W46" i="50"/>
  <c r="X57" i="50"/>
  <c r="Y72" i="50"/>
  <c r="X29" i="50"/>
  <c r="Y82" i="50"/>
  <c r="Y71" i="50"/>
  <c r="X47" i="50"/>
  <c r="W73" i="50"/>
  <c r="X99" i="50"/>
  <c r="X22" i="50"/>
  <c r="W40" i="50"/>
  <c r="V87" i="50"/>
  <c r="V59" i="50"/>
  <c r="Y47" i="50"/>
  <c r="W67" i="50"/>
  <c r="X66" i="50"/>
  <c r="Y57" i="50"/>
  <c r="V41" i="50"/>
  <c r="X69" i="50"/>
  <c r="V82" i="50"/>
  <c r="W78" i="50"/>
  <c r="Y54" i="50"/>
  <c r="Y55" i="50"/>
  <c r="Y20" i="50"/>
  <c r="W63" i="50"/>
  <c r="W71" i="50"/>
  <c r="X72" i="50"/>
  <c r="V56" i="50"/>
  <c r="X71" i="50"/>
  <c r="V60" i="50"/>
  <c r="Y86" i="50"/>
  <c r="Y93" i="50"/>
  <c r="V86" i="50"/>
  <c r="V49" i="50"/>
  <c r="V67" i="50"/>
  <c r="Y38" i="50"/>
  <c r="CJ24" i="50"/>
  <c r="Y24" i="50" s="1"/>
  <c r="CJ22" i="50"/>
  <c r="Y22" i="50" s="1"/>
  <c r="W32" i="50"/>
  <c r="V27" i="50"/>
  <c r="W36" i="50"/>
  <c r="W37" i="50"/>
  <c r="W76" i="50"/>
  <c r="V88" i="50"/>
  <c r="W90" i="50"/>
  <c r="V76" i="50"/>
  <c r="X61" i="50"/>
  <c r="V94" i="50"/>
  <c r="V58" i="50"/>
  <c r="X63" i="50"/>
  <c r="Y95" i="50"/>
  <c r="Y85" i="50"/>
  <c r="Y27" i="50"/>
  <c r="V28" i="50"/>
  <c r="X36" i="50"/>
  <c r="CJ21" i="50"/>
  <c r="Y21" i="50" s="1"/>
  <c r="V95" i="50"/>
  <c r="Y48" i="50"/>
  <c r="X32" i="50"/>
  <c r="V91" i="50"/>
  <c r="CG22" i="50"/>
  <c r="CG24" i="50"/>
  <c r="CG20" i="50"/>
  <c r="Y84" i="50"/>
  <c r="Y49" i="50"/>
  <c r="V32" i="50"/>
  <c r="W99" i="50"/>
  <c r="V66" i="50"/>
  <c r="W70" i="50"/>
  <c r="CG21" i="50"/>
  <c r="Y52" i="50"/>
  <c r="W83" i="50"/>
  <c r="Y33" i="50"/>
  <c r="W50" i="50"/>
  <c r="Y41" i="50"/>
  <c r="Y67" i="50"/>
  <c r="V44" i="50"/>
  <c r="Y59" i="50"/>
  <c r="X51" i="50"/>
  <c r="W93" i="50"/>
  <c r="W58" i="50"/>
  <c r="Y50" i="50"/>
  <c r="V68" i="50"/>
  <c r="Y88" i="50"/>
  <c r="V89" i="50"/>
  <c r="X62" i="50"/>
  <c r="V52" i="50"/>
  <c r="W96" i="50"/>
  <c r="Y36" i="50"/>
  <c r="V53" i="50"/>
  <c r="X65" i="50"/>
  <c r="W85" i="50"/>
  <c r="X44" i="50"/>
  <c r="V51" i="50"/>
  <c r="Y30" i="50"/>
  <c r="W84" i="50"/>
  <c r="W81" i="50"/>
  <c r="W91" i="50"/>
  <c r="X24" i="50"/>
  <c r="Y29" i="50"/>
  <c r="Y83" i="50"/>
  <c r="V90" i="50"/>
  <c r="Y81" i="50"/>
  <c r="V73" i="50"/>
  <c r="W75" i="50"/>
  <c r="X30" i="50"/>
  <c r="X41" i="50"/>
  <c r="X48" i="50"/>
  <c r="X21" i="50"/>
  <c r="X39" i="50"/>
  <c r="X85" i="50"/>
  <c r="X86" i="50"/>
  <c r="V34" i="50"/>
  <c r="W34" i="50"/>
  <c r="Y78" i="50"/>
  <c r="V35" i="50"/>
  <c r="W94" i="50"/>
  <c r="V85" i="50"/>
  <c r="Y65" i="50"/>
  <c r="W59" i="50"/>
  <c r="W79" i="50"/>
  <c r="X70" i="50"/>
  <c r="W48" i="50"/>
  <c r="Y32" i="50"/>
  <c r="V79" i="50"/>
  <c r="Y39" i="50"/>
  <c r="V54" i="50"/>
  <c r="W66" i="50"/>
  <c r="V43" i="50"/>
  <c r="W61" i="50"/>
  <c r="V61" i="50"/>
  <c r="W39" i="50"/>
  <c r="W56" i="50"/>
  <c r="W82" i="50"/>
  <c r="X53" i="50"/>
  <c r="V77" i="50"/>
  <c r="Y43" i="50"/>
  <c r="X55" i="50"/>
  <c r="W53" i="50"/>
  <c r="W33" i="50"/>
  <c r="X45" i="50"/>
  <c r="V84" i="50"/>
  <c r="Y56" i="50"/>
  <c r="V37" i="50"/>
  <c r="X28" i="50"/>
  <c r="X33" i="50"/>
  <c r="Y89" i="50"/>
  <c r="W23" i="50"/>
  <c r="V55" i="50"/>
  <c r="Y51" i="50"/>
  <c r="X67" i="50"/>
  <c r="X90" i="50"/>
  <c r="W24" i="50"/>
  <c r="X34" i="50"/>
  <c r="W52" i="50"/>
  <c r="X92" i="50"/>
  <c r="X52" i="50"/>
  <c r="V78" i="50"/>
  <c r="X76" i="50"/>
  <c r="W60" i="50"/>
  <c r="Y35" i="50"/>
  <c r="Y25" i="50"/>
  <c r="Y79" i="50"/>
  <c r="X42" i="50"/>
  <c r="W68" i="50"/>
  <c r="W62" i="50"/>
  <c r="X20" i="50"/>
  <c r="Y34" i="50"/>
  <c r="W31" i="50"/>
  <c r="X80" i="50"/>
  <c r="Y87" i="50"/>
  <c r="X93" i="50"/>
  <c r="W49" i="50"/>
  <c r="W72" i="50"/>
  <c r="W21" i="50"/>
  <c r="W45" i="50"/>
  <c r="V71" i="50"/>
  <c r="X68" i="50"/>
  <c r="X95" i="50"/>
  <c r="V75" i="50"/>
  <c r="X94" i="50"/>
  <c r="Y62" i="50"/>
  <c r="Y63" i="50"/>
  <c r="Y31" i="50"/>
  <c r="W41" i="50"/>
  <c r="Y68" i="50"/>
  <c r="Y28" i="50"/>
  <c r="W80" i="50"/>
  <c r="Y90" i="50"/>
  <c r="X98" i="50"/>
  <c r="W65" i="50"/>
  <c r="Y45" i="50"/>
  <c r="W42" i="50"/>
  <c r="Y61" i="50"/>
  <c r="V38" i="50"/>
  <c r="X49" i="50"/>
  <c r="Y99" i="50"/>
  <c r="W35" i="50"/>
  <c r="W30" i="50"/>
  <c r="X35" i="50"/>
  <c r="X59" i="50"/>
  <c r="Y66" i="50"/>
  <c r="X73" i="50"/>
  <c r="V62" i="50"/>
  <c r="V29" i="50"/>
  <c r="V98" i="50"/>
  <c r="X43" i="50"/>
  <c r="X46" i="50"/>
  <c r="W95" i="50"/>
  <c r="V83" i="50"/>
  <c r="W22" i="50"/>
  <c r="V92" i="50"/>
  <c r="W55" i="50"/>
  <c r="X27" i="50"/>
  <c r="X38" i="50"/>
  <c r="Y97" i="50"/>
  <c r="Y96" i="50"/>
  <c r="V96" i="50"/>
  <c r="V65" i="50"/>
  <c r="W86" i="50"/>
  <c r="X74" i="50"/>
  <c r="Y70" i="50"/>
  <c r="X58" i="50"/>
  <c r="V46" i="50"/>
  <c r="X50" i="50"/>
  <c r="W38" i="50"/>
  <c r="W54" i="50"/>
  <c r="W97" i="50"/>
  <c r="W29" i="50"/>
  <c r="Y92" i="50"/>
  <c r="X60" i="50"/>
  <c r="W64" i="50"/>
  <c r="Y26" i="50"/>
  <c r="V36" i="50"/>
  <c r="X87" i="50"/>
  <c r="X79" i="50"/>
  <c r="Y77" i="50"/>
  <c r="Y58" i="50"/>
  <c r="X97" i="50"/>
  <c r="W44" i="50"/>
  <c r="V72" i="50"/>
  <c r="Y80" i="50"/>
  <c r="V81" i="50"/>
  <c r="Y76" i="50"/>
  <c r="V39" i="50"/>
  <c r="W69" i="50"/>
  <c r="V97" i="50"/>
  <c r="W51" i="50"/>
  <c r="Y73" i="50"/>
  <c r="X23" i="50"/>
  <c r="X81" i="50"/>
  <c r="X26" i="50"/>
  <c r="Y53" i="50"/>
  <c r="V69" i="50"/>
  <c r="Y64" i="50"/>
  <c r="W87" i="50"/>
  <c r="V31" i="50"/>
  <c r="V64" i="50"/>
  <c r="V45" i="50"/>
  <c r="Y75" i="50"/>
  <c r="X82" i="50"/>
  <c r="W57" i="50"/>
  <c r="V99" i="50"/>
  <c r="Y74" i="50"/>
  <c r="Y60" i="50"/>
  <c r="V70" i="50"/>
  <c r="W89" i="50"/>
  <c r="Y94" i="50"/>
  <c r="W47" i="50"/>
  <c r="W98" i="50"/>
  <c r="W26" i="50"/>
  <c r="W43" i="50"/>
  <c r="Y91" i="50"/>
  <c r="V93" i="50"/>
  <c r="W88" i="50"/>
  <c r="V50" i="50"/>
  <c r="X84" i="50"/>
  <c r="V42" i="50"/>
  <c r="X77" i="50"/>
  <c r="Y40" i="50"/>
  <c r="V74" i="50"/>
  <c r="V63" i="50"/>
  <c r="X56" i="50"/>
  <c r="Y44" i="50"/>
  <c r="W92" i="50"/>
  <c r="Y46" i="50"/>
  <c r="X31" i="50"/>
  <c r="X25" i="50"/>
  <c r="W27" i="50"/>
  <c r="X78" i="50"/>
  <c r="CL23" i="50"/>
  <c r="V23" i="50" s="1"/>
  <c r="CH23" i="50"/>
  <c r="BG23" i="50" s="1"/>
  <c r="CH24" i="50"/>
  <c r="CL24" i="50"/>
  <c r="V24" i="50" s="1"/>
  <c r="CI24" i="50"/>
  <c r="CL21" i="50"/>
  <c r="V21" i="50" s="1"/>
  <c r="CL22" i="50"/>
  <c r="V22" i="50" s="1"/>
  <c r="CI22" i="50"/>
  <c r="CH21" i="50"/>
  <c r="CH22" i="50"/>
  <c r="CN59" i="50"/>
  <c r="CN43" i="50"/>
  <c r="CN69" i="50"/>
  <c r="CN81" i="50"/>
  <c r="CN52" i="50"/>
  <c r="CN21" i="50"/>
  <c r="CN80" i="50"/>
  <c r="CN42" i="50"/>
  <c r="CN48" i="50"/>
  <c r="CN49" i="50"/>
  <c r="CN51" i="50"/>
  <c r="CN26" i="50"/>
  <c r="CN53" i="50"/>
  <c r="CN41" i="50"/>
  <c r="CN60" i="50"/>
  <c r="CN90" i="50"/>
  <c r="CN76" i="50"/>
  <c r="CN22" i="50"/>
  <c r="CN86" i="50"/>
  <c r="CN97" i="50"/>
  <c r="CN20" i="50"/>
  <c r="CN87" i="50"/>
  <c r="CN27" i="50"/>
  <c r="CN96" i="50"/>
  <c r="CN67" i="50"/>
  <c r="CN50" i="50"/>
  <c r="CN38" i="50"/>
  <c r="CN44" i="50"/>
  <c r="CN57" i="50"/>
  <c r="CN47" i="50"/>
  <c r="CN84" i="50"/>
  <c r="CN55" i="50"/>
  <c r="CN40" i="50"/>
  <c r="CN23" i="50"/>
  <c r="CE17" i="50"/>
  <c r="CN33" i="50"/>
  <c r="CN36" i="50"/>
  <c r="CN82" i="50"/>
  <c r="CN98" i="50"/>
  <c r="CN99" i="50"/>
  <c r="CN74" i="50"/>
  <c r="CN46" i="50"/>
  <c r="CN77" i="50"/>
  <c r="CN89" i="50"/>
  <c r="CN29" i="50"/>
  <c r="CN65" i="50"/>
  <c r="CN64" i="50"/>
  <c r="CN32" i="50"/>
  <c r="CN85" i="50"/>
  <c r="CN25" i="50"/>
  <c r="CN78" i="50"/>
  <c r="CN24" i="50"/>
  <c r="CN56" i="50"/>
  <c r="CN28" i="50"/>
  <c r="CN91" i="50"/>
  <c r="CN72" i="50"/>
  <c r="CN83" i="50"/>
  <c r="CN88" i="50"/>
  <c r="CN95" i="50"/>
  <c r="CN94" i="50"/>
  <c r="CN75" i="50"/>
  <c r="CN62" i="50"/>
  <c r="CN66" i="50"/>
  <c r="CN61" i="50"/>
  <c r="CN58" i="50"/>
  <c r="CN71" i="50"/>
  <c r="CN34" i="50"/>
  <c r="CN45" i="50"/>
  <c r="CN92" i="50"/>
  <c r="CN70" i="50"/>
  <c r="CN30" i="50"/>
  <c r="CN68" i="50"/>
  <c r="CN63" i="50"/>
  <c r="CN37" i="50"/>
  <c r="CN54" i="50"/>
  <c r="CN39" i="50"/>
  <c r="CL20" i="50"/>
  <c r="V20" i="50" s="1"/>
  <c r="CI20" i="50"/>
  <c r="V18" i="50"/>
  <c r="CN93" i="50"/>
  <c r="CN73" i="50"/>
  <c r="CN31" i="50"/>
  <c r="CN35" i="50"/>
  <c r="E25" i="64"/>
  <c r="E24" i="64"/>
  <c r="E23" i="64"/>
  <c r="E17" i="64"/>
  <c r="E19" i="64"/>
  <c r="E16" i="64"/>
  <c r="E20" i="64"/>
  <c r="E22" i="64"/>
  <c r="E21" i="64"/>
  <c r="E18" i="64"/>
  <c r="E15" i="64"/>
  <c r="CD12" i="50" l="1"/>
  <c r="CD13" i="50" s="1"/>
  <c r="X101" i="50" s="1"/>
  <c r="CH26" i="50"/>
  <c r="BG26" i="50" s="1"/>
  <c r="CH25" i="50"/>
  <c r="BG25" i="50" s="1"/>
  <c r="CH20" i="50"/>
  <c r="BG20" i="50" s="1"/>
  <c r="S14" i="64"/>
  <c r="BG21" i="50"/>
  <c r="BG24" i="50"/>
  <c r="BG22" i="50"/>
  <c r="CN100" i="50"/>
  <c r="X18" i="50"/>
  <c r="T14" i="64"/>
  <c r="T12" i="64" s="1"/>
  <c r="E52" i="64"/>
  <c r="E53" i="64"/>
  <c r="E55" i="64"/>
  <c r="E54" i="64"/>
  <c r="E56" i="64"/>
  <c r="E51" i="64"/>
  <c r="E90" i="64"/>
  <c r="E87" i="64"/>
  <c r="E89" i="64"/>
  <c r="E88" i="64"/>
  <c r="E86" i="64"/>
  <c r="E108" i="64"/>
  <c r="E111" i="64"/>
  <c r="E113" i="64"/>
  <c r="E112" i="64"/>
  <c r="E114" i="64"/>
  <c r="E109" i="64"/>
  <c r="E110" i="64"/>
  <c r="Z12" i="64"/>
  <c r="Z21" i="64"/>
  <c r="Z23" i="64"/>
  <c r="Z34" i="64"/>
  <c r="Z16" i="64"/>
  <c r="Z18" i="64"/>
  <c r="Z15" i="64"/>
  <c r="Z39" i="64"/>
  <c r="Z20" i="64"/>
  <c r="Z46" i="64"/>
  <c r="Z27" i="64"/>
  <c r="Z22" i="64"/>
  <c r="Z42" i="64"/>
  <c r="Z14" i="64"/>
  <c r="Z35" i="64"/>
  <c r="Z24" i="64"/>
  <c r="Z29" i="64"/>
  <c r="Z40" i="64"/>
  <c r="Z25" i="64"/>
  <c r="Z37" i="64"/>
  <c r="Z45" i="64"/>
  <c r="Z31" i="64"/>
  <c r="Z13" i="64"/>
  <c r="Z38" i="64"/>
  <c r="Z43" i="64"/>
  <c r="Z47" i="64"/>
  <c r="Z32" i="64"/>
  <c r="Z17" i="64"/>
  <c r="Z44" i="64"/>
  <c r="Z33" i="64"/>
  <c r="Z36" i="64"/>
  <c r="Z41" i="64"/>
  <c r="Z28" i="64"/>
  <c r="Z19" i="64"/>
  <c r="Z30" i="64"/>
  <c r="E120" i="64"/>
  <c r="Z26" i="64"/>
  <c r="E125" i="64"/>
  <c r="E126" i="64"/>
  <c r="E128" i="64"/>
  <c r="E129" i="64"/>
  <c r="E127" i="64"/>
  <c r="E122" i="64"/>
  <c r="E121" i="64"/>
  <c r="E123" i="64"/>
  <c r="E124" i="64"/>
  <c r="S21" i="64" l="1"/>
  <c r="S16" i="64"/>
  <c r="S12" i="64" s="1"/>
  <c r="S11" i="64" s="1"/>
  <c r="U262" i="64" s="1" a="1"/>
  <c r="U262" i="64" s="1"/>
  <c r="S20" i="64"/>
  <c r="S18" i="64"/>
  <c r="T11" i="64"/>
  <c r="V262" i="64" s="1" a="1"/>
  <c r="V262" i="64" s="1"/>
  <c r="U258" i="64" s="1" a="1"/>
  <c r="U258" i="64" s="1"/>
  <c r="BG18" i="50"/>
  <c r="Y101" i="50" s="1"/>
  <c r="AD30" i="64" a="1"/>
  <c r="AD30" i="64" s="1"/>
  <c r="AC30" i="64" a="1"/>
  <c r="AC30" i="64" s="1"/>
  <c r="AB30" i="64" a="1"/>
  <c r="AB30" i="64" s="1"/>
  <c r="AF30" i="64" a="1"/>
  <c r="AF30" i="64" s="1"/>
  <c r="AE30" i="64" a="1"/>
  <c r="AE30" i="64" s="1"/>
  <c r="AB32" i="64" a="1"/>
  <c r="AB32" i="64" s="1"/>
  <c r="AF32" i="64" a="1"/>
  <c r="AF32" i="64" s="1"/>
  <c r="AD32" i="64" a="1"/>
  <c r="AD32" i="64" s="1"/>
  <c r="AC32" i="64" a="1"/>
  <c r="AC32" i="64" s="1"/>
  <c r="AE32" i="64" a="1"/>
  <c r="AE32" i="64" s="1"/>
  <c r="AE25" i="64" a="1"/>
  <c r="AE25" i="64" s="1"/>
  <c r="AD25" i="64" a="1"/>
  <c r="AD25" i="64" s="1"/>
  <c r="AC25" i="64" a="1"/>
  <c r="AC25" i="64" s="1"/>
  <c r="AB25" i="64" a="1"/>
  <c r="AB25" i="64" s="1"/>
  <c r="AF25" i="64" a="1"/>
  <c r="AF25" i="64" s="1"/>
  <c r="AC27" i="64" a="1"/>
  <c r="AC27" i="64" s="1"/>
  <c r="AB27" i="64" a="1"/>
  <c r="AB27" i="64" s="1"/>
  <c r="AE27" i="64" a="1"/>
  <c r="AE27" i="64" s="1"/>
  <c r="AF27" i="64" a="1"/>
  <c r="AF27" i="64" s="1"/>
  <c r="AD27" i="64" a="1"/>
  <c r="AD27" i="64" s="1"/>
  <c r="AF23" i="64" a="1"/>
  <c r="AF23" i="64" s="1"/>
  <c r="AE23" i="64" a="1"/>
  <c r="AE23" i="64" s="1"/>
  <c r="AD23" i="64" a="1"/>
  <c r="AD23" i="64" s="1"/>
  <c r="AC23" i="64" a="1"/>
  <c r="AC23" i="64" s="1"/>
  <c r="AB23" i="64" a="1"/>
  <c r="AB23" i="64" s="1"/>
  <c r="AF26" i="64" a="1"/>
  <c r="AF26" i="64" s="1"/>
  <c r="AE26" i="64" a="1"/>
  <c r="AE26" i="64" s="1"/>
  <c r="AD26" i="64" a="1"/>
  <c r="AD26" i="64" s="1"/>
  <c r="AC26" i="64" a="1"/>
  <c r="AC26" i="64" s="1"/>
  <c r="AB26" i="64" a="1"/>
  <c r="AB26" i="64" s="1"/>
  <c r="T21" i="64"/>
  <c r="AC19" i="64" a="1"/>
  <c r="AC19" i="64" s="1"/>
  <c r="AB19" i="64" a="1"/>
  <c r="AB19" i="64" s="1"/>
  <c r="AD19" i="64" a="1"/>
  <c r="AD19" i="64" s="1"/>
  <c r="AF19" i="64" a="1"/>
  <c r="AF19" i="64" s="1"/>
  <c r="AE19" i="64" a="1"/>
  <c r="AE19" i="64" s="1"/>
  <c r="AF47" i="64" a="1"/>
  <c r="AF47" i="64" s="1"/>
  <c r="AE47" i="64" a="1"/>
  <c r="AE47" i="64" s="1"/>
  <c r="AD47" i="64" a="1"/>
  <c r="AD47" i="64" s="1"/>
  <c r="AC47" i="64" a="1"/>
  <c r="AC47" i="64" s="1"/>
  <c r="AB47" i="64" a="1"/>
  <c r="AB47" i="64" s="1"/>
  <c r="AB40" i="64" a="1"/>
  <c r="AB40" i="64" s="1"/>
  <c r="AF40" i="64" a="1"/>
  <c r="AF40" i="64" s="1"/>
  <c r="AD40" i="64" a="1"/>
  <c r="AD40" i="64" s="1"/>
  <c r="AE40" i="64" a="1"/>
  <c r="AE40" i="64" s="1"/>
  <c r="AC40" i="64" a="1"/>
  <c r="AC40" i="64" s="1"/>
  <c r="AD46" i="64" a="1"/>
  <c r="AD46" i="64" s="1"/>
  <c r="AC46" i="64" a="1"/>
  <c r="AC46" i="64" s="1"/>
  <c r="AB46" i="64" a="1"/>
  <c r="AB46" i="64" s="1"/>
  <c r="AF46" i="64" a="1"/>
  <c r="AF46" i="64" s="1"/>
  <c r="AE46" i="64" a="1"/>
  <c r="AE46" i="64" s="1"/>
  <c r="AF21" i="64" a="1"/>
  <c r="AF21" i="64" s="1"/>
  <c r="AE21" i="64" a="1"/>
  <c r="AE21" i="64" s="1"/>
  <c r="AC21" i="64" a="1"/>
  <c r="AC21" i="64" s="1"/>
  <c r="AB21" i="64" a="1"/>
  <c r="AB21" i="64" s="1"/>
  <c r="AD21" i="64" a="1"/>
  <c r="AD21" i="64" s="1"/>
  <c r="T20" i="64"/>
  <c r="AD22" i="64" a="1"/>
  <c r="AD22" i="64" s="1"/>
  <c r="AC22" i="64" a="1"/>
  <c r="AC22" i="64" s="1"/>
  <c r="AB22" i="64" a="1"/>
  <c r="AB22" i="64" s="1"/>
  <c r="AF22" i="64" a="1"/>
  <c r="AF22" i="64" s="1"/>
  <c r="AE22" i="64" a="1"/>
  <c r="AE22" i="64" s="1"/>
  <c r="AF29" i="64" a="1"/>
  <c r="AF29" i="64" s="1"/>
  <c r="AE29" i="64" a="1"/>
  <c r="AE29" i="64" s="1"/>
  <c r="AC29" i="64" a="1"/>
  <c r="AC29" i="64" s="1"/>
  <c r="AB29" i="64" a="1"/>
  <c r="AB29" i="64" s="1"/>
  <c r="AD29" i="64" a="1"/>
  <c r="AD29" i="64" s="1"/>
  <c r="AF20" i="64" a="1"/>
  <c r="AF20" i="64" s="1"/>
  <c r="AE20" i="64" a="1"/>
  <c r="AE20" i="64" s="1"/>
  <c r="AD20" i="64" a="1"/>
  <c r="AD20" i="64" s="1"/>
  <c r="AC20" i="64" a="1"/>
  <c r="AC20" i="64" s="1"/>
  <c r="AB20" i="64" a="1"/>
  <c r="AB20" i="64" s="1"/>
  <c r="AF12" i="64" a="1"/>
  <c r="AF12" i="64" s="1"/>
  <c r="AE12" i="64" a="1"/>
  <c r="AE12" i="64" s="1"/>
  <c r="AD12" i="64" a="1"/>
  <c r="AD12" i="64" s="1"/>
  <c r="AC12" i="64" a="1"/>
  <c r="AC12" i="64" s="1"/>
  <c r="AB12" i="64" a="1"/>
  <c r="AB12" i="64" s="1"/>
  <c r="T18" i="64"/>
  <c r="AE17" i="64" a="1"/>
  <c r="AE17" i="64" s="1"/>
  <c r="AD17" i="64" a="1"/>
  <c r="AD17" i="64" s="1"/>
  <c r="AC17" i="64" a="1"/>
  <c r="AC17" i="64" s="1"/>
  <c r="AB17" i="64" a="1"/>
  <c r="AB17" i="64" s="1"/>
  <c r="AF17" i="64" a="1"/>
  <c r="AF17" i="64" s="1"/>
  <c r="AC43" i="64" a="1"/>
  <c r="AC43" i="64" s="1"/>
  <c r="AB43" i="64" a="1"/>
  <c r="AB43" i="64" s="1"/>
  <c r="AD43" i="64" a="1"/>
  <c r="AD43" i="64" s="1"/>
  <c r="AF43" i="64" a="1"/>
  <c r="AF43" i="64" s="1"/>
  <c r="AE43" i="64" a="1"/>
  <c r="AE43" i="64" s="1"/>
  <c r="AE41" i="64" a="1"/>
  <c r="AE41" i="64" s="1"/>
  <c r="AD41" i="64" a="1"/>
  <c r="AD41" i="64" s="1"/>
  <c r="AC41" i="64" a="1"/>
  <c r="AC41" i="64" s="1"/>
  <c r="AB41" i="64" a="1"/>
  <c r="AB41" i="64" s="1"/>
  <c r="AF41" i="64" a="1"/>
  <c r="AF41" i="64" s="1"/>
  <c r="AD38" i="64" a="1"/>
  <c r="AD38" i="64" s="1"/>
  <c r="AC38" i="64" a="1"/>
  <c r="AC38" i="64" s="1"/>
  <c r="AB38" i="64" a="1"/>
  <c r="AB38" i="64" s="1"/>
  <c r="AF38" i="64" a="1"/>
  <c r="AF38" i="64" s="1"/>
  <c r="AE38" i="64" a="1"/>
  <c r="AE38" i="64" s="1"/>
  <c r="AB24" i="64" a="1"/>
  <c r="AB24" i="64" s="1"/>
  <c r="AF24" i="64" a="1"/>
  <c r="AF24" i="64" s="1"/>
  <c r="AD24" i="64" a="1"/>
  <c r="AD24" i="64" s="1"/>
  <c r="AC24" i="64" a="1"/>
  <c r="AC24" i="64" s="1"/>
  <c r="AE24" i="64" a="1"/>
  <c r="AE24" i="64" s="1"/>
  <c r="AF39" i="64" a="1"/>
  <c r="AF39" i="64" s="1"/>
  <c r="AE39" i="64" a="1"/>
  <c r="AE39" i="64" s="1"/>
  <c r="AD39" i="64" a="1"/>
  <c r="AD39" i="64" s="1"/>
  <c r="AC39" i="64" a="1"/>
  <c r="AC39" i="64" s="1"/>
  <c r="AB39" i="64" a="1"/>
  <c r="AB39" i="64" s="1"/>
  <c r="AF34" i="64" a="1"/>
  <c r="AF34" i="64" s="1"/>
  <c r="AE34" i="64" a="1"/>
  <c r="AE34" i="64" s="1"/>
  <c r="AD34" i="64" a="1"/>
  <c r="AD34" i="64" s="1"/>
  <c r="AB34" i="64" a="1"/>
  <c r="AB34" i="64" s="1"/>
  <c r="AC34" i="64" a="1"/>
  <c r="AC34" i="64" s="1"/>
  <c r="T16" i="64"/>
  <c r="AF36" i="64" a="1"/>
  <c r="AF36" i="64" s="1"/>
  <c r="AE36" i="64" a="1"/>
  <c r="AE36" i="64" s="1"/>
  <c r="AD36" i="64" a="1"/>
  <c r="AD36" i="64" s="1"/>
  <c r="AC36" i="64" a="1"/>
  <c r="AC36" i="64" s="1"/>
  <c r="AB36" i="64" a="1"/>
  <c r="AB36" i="64" s="1"/>
  <c r="AF13" i="64" a="1"/>
  <c r="AF13" i="64" s="1"/>
  <c r="AE13" i="64" a="1"/>
  <c r="AE13" i="64" s="1"/>
  <c r="AD13" i="64" a="1"/>
  <c r="AD13" i="64" s="1"/>
  <c r="AC13" i="64" a="1"/>
  <c r="AC13" i="64" s="1"/>
  <c r="AB13" i="64" a="1"/>
  <c r="AB13" i="64" s="1"/>
  <c r="AC35" i="64" a="1"/>
  <c r="AC35" i="64" s="1"/>
  <c r="AB35" i="64" a="1"/>
  <c r="AB35" i="64" s="1"/>
  <c r="AD35" i="64" a="1"/>
  <c r="AD35" i="64" s="1"/>
  <c r="AF35" i="64" a="1"/>
  <c r="AF35" i="64" s="1"/>
  <c r="AE35" i="64" a="1"/>
  <c r="AE35" i="64" s="1"/>
  <c r="AF15" i="64" a="1"/>
  <c r="AF15" i="64" s="1"/>
  <c r="AE15" i="64" a="1"/>
  <c r="AE15" i="64" s="1"/>
  <c r="AD15" i="64" a="1"/>
  <c r="AD15" i="64" s="1"/>
  <c r="AC15" i="64" a="1"/>
  <c r="AC15" i="64" s="1"/>
  <c r="AB15" i="64" a="1"/>
  <c r="AB15" i="64" s="1"/>
  <c r="AF37" i="64" a="1"/>
  <c r="AF37" i="64" s="1"/>
  <c r="AE37" i="64" a="1"/>
  <c r="AE37" i="64" s="1"/>
  <c r="AC37" i="64" a="1"/>
  <c r="AC37" i="64" s="1"/>
  <c r="AB37" i="64" a="1"/>
  <c r="AB37" i="64" s="1"/>
  <c r="AD37" i="64" a="1"/>
  <c r="AD37" i="64" s="1"/>
  <c r="AF28" i="64" a="1"/>
  <c r="AF28" i="64" s="1"/>
  <c r="AE28" i="64" a="1"/>
  <c r="AE28" i="64" s="1"/>
  <c r="AD28" i="64" a="1"/>
  <c r="AD28" i="64" s="1"/>
  <c r="AC28" i="64" a="1"/>
  <c r="AC28" i="64" s="1"/>
  <c r="AB28" i="64" a="1"/>
  <c r="AB28" i="64" s="1"/>
  <c r="AE33" i="64" a="1"/>
  <c r="AE33" i="64" s="1"/>
  <c r="AD33" i="64" a="1"/>
  <c r="AD33" i="64" s="1"/>
  <c r="AC33" i="64" a="1"/>
  <c r="AC33" i="64" s="1"/>
  <c r="AB33" i="64" a="1"/>
  <c r="AB33" i="64" s="1"/>
  <c r="AF33" i="64" a="1"/>
  <c r="AF33" i="64" s="1"/>
  <c r="AF31" i="64" a="1"/>
  <c r="AF31" i="64" s="1"/>
  <c r="AE31" i="64" a="1"/>
  <c r="AE31" i="64" s="1"/>
  <c r="AD31" i="64" a="1"/>
  <c r="AD31" i="64" s="1"/>
  <c r="AC31" i="64" a="1"/>
  <c r="AC31" i="64" s="1"/>
  <c r="AB31" i="64" a="1"/>
  <c r="AB31" i="64" s="1"/>
  <c r="AD14" i="64" a="1"/>
  <c r="AD14" i="64" s="1"/>
  <c r="AC14" i="64" a="1"/>
  <c r="AC14" i="64" s="1"/>
  <c r="AB14" i="64" a="1"/>
  <c r="AB14" i="64" s="1"/>
  <c r="AF14" i="64" a="1"/>
  <c r="AF14" i="64" s="1"/>
  <c r="AE14" i="64" a="1"/>
  <c r="AE14" i="64" s="1"/>
  <c r="AF18" i="64" a="1"/>
  <c r="AF18" i="64" s="1"/>
  <c r="AE18" i="64" a="1"/>
  <c r="AE18" i="64" s="1"/>
  <c r="AD18" i="64" a="1"/>
  <c r="AD18" i="64" s="1"/>
  <c r="AB18" i="64" a="1"/>
  <c r="AB18" i="64" s="1"/>
  <c r="AC18" i="64" a="1"/>
  <c r="AC18" i="64" s="1"/>
  <c r="AF44" i="64" a="1"/>
  <c r="AF44" i="64" s="1"/>
  <c r="AE44" i="64" a="1"/>
  <c r="AE44" i="64" s="1"/>
  <c r="AD44" i="64" a="1"/>
  <c r="AD44" i="64" s="1"/>
  <c r="AC44" i="64" a="1"/>
  <c r="AC44" i="64" s="1"/>
  <c r="AB44" i="64" a="1"/>
  <c r="AB44" i="64" s="1"/>
  <c r="AF45" i="64" a="1"/>
  <c r="AF45" i="64" s="1"/>
  <c r="AE45" i="64" a="1"/>
  <c r="AE45" i="64" s="1"/>
  <c r="AC45" i="64" a="1"/>
  <c r="AC45" i="64" s="1"/>
  <c r="AD45" i="64" a="1"/>
  <c r="AD45" i="64" s="1"/>
  <c r="AB45" i="64" a="1"/>
  <c r="AB45" i="64" s="1"/>
  <c r="AF42" i="64" a="1"/>
  <c r="AF42" i="64" s="1"/>
  <c r="AE42" i="64" a="1"/>
  <c r="AE42" i="64" s="1"/>
  <c r="AD42" i="64" a="1"/>
  <c r="AD42" i="64" s="1"/>
  <c r="AB42" i="64" a="1"/>
  <c r="AB42" i="64" s="1"/>
  <c r="AC42" i="64" a="1"/>
  <c r="AC42" i="64" s="1"/>
  <c r="AB16" i="64" a="1"/>
  <c r="AB16" i="64" s="1"/>
  <c r="AF16" i="64" a="1"/>
  <c r="AF16" i="64" s="1"/>
  <c r="AD16" i="64" a="1"/>
  <c r="AD16" i="64" s="1"/>
  <c r="AC16" i="64" a="1"/>
  <c r="AC16" i="64" s="1"/>
  <c r="AE16" i="64" a="1"/>
  <c r="AE16" i="64" s="1"/>
  <c r="T9" i="64" l="1" a="1"/>
  <c r="T9" i="64" s="1"/>
  <c r="T30" i="2" s="1"/>
  <c r="D30" i="12" s="1"/>
  <c r="AB9" i="64" a="1"/>
  <c r="AB9" i="64" s="1"/>
  <c r="AB66" i="64" a="1"/>
  <c r="AB66" i="64" s="1"/>
  <c r="S258" i="64" a="1"/>
  <c r="S258" i="64" s="1"/>
  <c r="S9" i="64" s="1" a="1"/>
  <c r="S9" i="64" s="1"/>
  <c r="AB10" i="64" a="1"/>
  <c r="AB10" i="64" s="1"/>
  <c r="AB74" i="64" a="1"/>
  <c r="AB74" i="64" s="1"/>
  <c r="AB67" i="64" a="1"/>
  <c r="AB67" i="64" s="1"/>
  <c r="AB58" i="64" a="1"/>
  <c r="AB58" i="64" s="1"/>
  <c r="AB61" i="64" a="1"/>
  <c r="AB61" i="64" s="1"/>
  <c r="AB60" i="64" a="1"/>
  <c r="AB60" i="64" s="1"/>
  <c r="AB73" i="64" l="1" a="1"/>
  <c r="AB73" i="64" s="1"/>
  <c r="AB72" i="64" a="1"/>
  <c r="AB72" i="64" s="1"/>
  <c r="AB68" i="64" a="1"/>
  <c r="AB68" i="64" s="1"/>
  <c r="AB77" i="64" a="1"/>
  <c r="AB77" i="64" s="1"/>
  <c r="AB69" i="64" a="1"/>
  <c r="AB69" i="64" s="1"/>
  <c r="AB59" i="64" a="1"/>
  <c r="AB59" i="64" s="1"/>
  <c r="AB63" i="64" a="1"/>
  <c r="AB63" i="64" s="1"/>
  <c r="AB70" i="64" a="1"/>
  <c r="AB70" i="64" s="1"/>
  <c r="AB64" i="64" a="1"/>
  <c r="AB64" i="64" s="1"/>
  <c r="AB57" i="64" a="1"/>
  <c r="AB57" i="64" s="1"/>
  <c r="AB71" i="64" a="1"/>
  <c r="AB71" i="64" s="1"/>
  <c r="AB62" i="64" a="1"/>
  <c r="AB62" i="64" s="1"/>
  <c r="AB56" i="64" a="1"/>
  <c r="AB56" i="64" s="1"/>
  <c r="AB390" i="64" a="1"/>
  <c r="AB390" i="64" s="1"/>
  <c r="AB389" i="64" a="1"/>
  <c r="AB389" i="64" s="1"/>
  <c r="AB388" i="64" a="1"/>
  <c r="AB388" i="64" s="1"/>
  <c r="AB54" i="64" l="1" a="1"/>
  <c r="AB54" i="64" s="1"/>
  <c r="T29" i="2"/>
  <c r="D29" i="12" s="1"/>
  <c r="R65" i="2"/>
  <c r="M781" i="64" l="1" a="1"/>
  <c r="M781" i="64" s="1"/>
  <c r="D49" i="12"/>
  <c r="AB53" i="64" a="1"/>
  <c r="AB53" i="64" s="1"/>
  <c r="AB387" i="64" a="1"/>
  <c r="AB387" i="6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Janet Siu</author>
  </authors>
  <commentList>
    <comment ref="B28" authorId="0" shapeId="0" xr:uid="{EABF07CE-12E6-4A84-90AC-C16AA40A8C12}">
      <text>
        <r>
          <rPr>
            <sz val="12"/>
            <color indexed="81"/>
            <rFont val="Arial"/>
            <family val="2"/>
            <scheme val="minor"/>
          </rPr>
          <t>Click filter arrow beside the table header "Filter Blanks". Select only "I" on the drop-down list.</t>
        </r>
      </text>
    </comment>
    <comment ref="B34" authorId="0" shapeId="0" xr:uid="{720AF230-590F-4BE7-9546-E729D6DD9A42}">
      <text>
        <r>
          <rPr>
            <sz val="12"/>
            <color indexed="81"/>
            <rFont val="Arial"/>
            <family val="2"/>
            <scheme val="minor"/>
          </rPr>
          <t>Click filter arrow beside the table header "Filter Blanks". Select only "I" on the drop-down list.</t>
        </r>
      </text>
    </comment>
    <comment ref="B48" authorId="0" shapeId="0" xr:uid="{AB697FEA-0B77-4903-8202-495B2CFB85F1}">
      <text>
        <r>
          <rPr>
            <sz val="12"/>
            <color indexed="81"/>
            <rFont val="Arial"/>
            <family val="2"/>
            <scheme val="minor"/>
          </rPr>
          <t>Click filter arrow beside the table header "Filter Blanks". Select only "I" on the drop-down list.</t>
        </r>
      </text>
    </comment>
    <comment ref="B56" authorId="0" shapeId="0" xr:uid="{147FBEA7-E0CA-4883-B409-BE44D6E84D19}">
      <text>
        <r>
          <rPr>
            <sz val="12"/>
            <color indexed="81"/>
            <rFont val="Arial"/>
            <family val="2"/>
            <scheme val="minor"/>
          </rPr>
          <t>Click filter arrow beside the table header "Filter Blanks". Select only "I" on the drop-down list.</t>
        </r>
      </text>
    </comment>
    <comment ref="B73" authorId="0" shapeId="0" xr:uid="{F906AA24-0DC9-4259-9750-5579B2F3B142}">
      <text>
        <r>
          <rPr>
            <sz val="12"/>
            <color indexed="81"/>
            <rFont val="Arial"/>
            <family val="2"/>
            <scheme val="minor"/>
          </rPr>
          <t>Click filter arrow beside the table header "Filter Blanks". Select only "I" on the drop-down list.</t>
        </r>
      </text>
    </comment>
    <comment ref="B181" authorId="0" shapeId="0" xr:uid="{1D95F916-914F-4954-BC40-A2C022290652}">
      <text>
        <r>
          <rPr>
            <sz val="12"/>
            <color indexed="81"/>
            <rFont val="Arial"/>
            <family val="2"/>
            <scheme val="minor"/>
          </rPr>
          <t>Click filter arrow beside the table header "Filter Blanks". Select only "I" on the drop-down list.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JacobBauer</author>
  </authors>
  <commentList>
    <comment ref="M28" authorId="0" shapeId="0" xr:uid="{00000000-0006-0000-0200-000001000000}">
      <text>
        <r>
          <rPr>
            <sz val="12"/>
            <color indexed="81"/>
            <rFont val="Arial"/>
            <family val="2"/>
          </rPr>
          <t>A roof is considered ‘vented’ if it —
(a) has one wind-driven roof ventilator per 50 m2 of ceiling area, with gable, eave or ridge vents; or
(b) of ceiling area, with gable, eave or ridge vents; or 
(c) is a tiled roof without sarking-type material at roof level.
If a roof is not ‘vented’, it is a ‘standard’ roof.</t>
        </r>
      </text>
    </comment>
    <comment ref="N28" authorId="0" shapeId="0" xr:uid="{00000000-0006-0000-0200-000002000000}">
      <text>
        <r>
          <rPr>
            <sz val="12"/>
            <color indexed="81"/>
            <rFont val="Arial"/>
            <family val="2"/>
          </rPr>
          <t>A layer of reflective insulation beneath the roof increasing resistance to radiant heat.</t>
        </r>
      </text>
    </comment>
    <comment ref="P43" authorId="0" shapeId="0" xr:uid="{00000000-0006-0000-0200-000003000000}">
      <text>
        <r>
          <rPr>
            <sz val="12"/>
            <color indexed="81"/>
            <rFont val="Arial"/>
            <family val="2"/>
          </rPr>
          <t>The roof light shaft index is determined by measuring the distance from the centre of the shaft at the roof to the centre of the shaft at the ceiling level and dividing it by the average internal dimension of the shaft opening at the ceiling level (or the diameter for a circular shaft) in the same units of measurement.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tony isaacs</author>
    <author>Bruce Lightfoot</author>
    <author>tc={5F06BB21-01B3-4274-AB59-8D5A5784595F}</author>
    <author>tc={A1A7DDD9-EC1F-41EC-88BA-8E15B9B9C8B2}</author>
  </authors>
  <commentList>
    <comment ref="B4" authorId="0" shapeId="0" xr:uid="{00000000-0006-0000-0500-000001000000}">
      <text>
        <r>
          <rPr>
            <b/>
            <sz val="12"/>
            <color indexed="81"/>
            <rFont val="Arial"/>
            <family val="2"/>
          </rPr>
          <t>Tip:</t>
        </r>
        <r>
          <rPr>
            <sz val="12"/>
            <color indexed="81"/>
            <rFont val="Arial"/>
            <family val="2"/>
          </rPr>
          <t xml:space="preserve">
Note that results will not display until you have entered a name for the dwelling.</t>
        </r>
      </text>
    </comment>
    <comment ref="AH4" authorId="1" shapeId="0" xr:uid="{00000000-0006-0000-0500-000002000000}">
      <text>
        <r>
          <rPr>
            <b/>
            <sz val="8"/>
            <color indexed="81"/>
            <rFont val="Tahoma"/>
            <family val="2"/>
          </rPr>
          <t>Bruce Lightfoot:</t>
        </r>
        <r>
          <rPr>
            <sz val="8"/>
            <color indexed="81"/>
            <rFont val="Tahoma"/>
            <family val="2"/>
          </rPr>
          <t xml:space="preserve">
Modified formula assumes that Cu does not vary with Air Movement level and reads only from the Standard Air Movement zone of the named range. (Formerly used second zone when Air Movement = H.)</t>
        </r>
      </text>
    </comment>
    <comment ref="AJ4" authorId="1" shapeId="0" xr:uid="{00000000-0006-0000-0500-000003000000}">
      <text>
        <r>
          <rPr>
            <b/>
            <sz val="8"/>
            <color indexed="81"/>
            <rFont val="Tahoma"/>
            <family val="2"/>
          </rPr>
          <t>Bruce Lightfoot:</t>
        </r>
        <r>
          <rPr>
            <sz val="8"/>
            <color indexed="81"/>
            <rFont val="Tahoma"/>
            <family val="2"/>
          </rPr>
          <t xml:space="preserve">
Modified formula assumes that Cu does not vary with Air Movement level and reads only from the Standard Air Movement zone of the named range. (Formerly used second zone when Air Movement = H.)</t>
        </r>
      </text>
    </comment>
    <comment ref="BA4" authorId="1" shapeId="0" xr:uid="{00000000-0006-0000-0500-000004000000}">
      <text>
        <r>
          <rPr>
            <b/>
            <sz val="9"/>
            <color indexed="81"/>
            <rFont val="Tahoma"/>
            <family val="2"/>
          </rPr>
          <t>Bruce Lightfoot:</t>
        </r>
        <r>
          <rPr>
            <sz val="9"/>
            <color indexed="81"/>
            <rFont val="Tahoma"/>
            <family val="2"/>
          </rPr>
          <t xml:space="preserve">
Array formula (for compatibility with Excel 2003) counts upper level input issues and inactive rows in the glazing elements table with flagged issues (but not alerts).</t>
        </r>
      </text>
    </comment>
    <comment ref="CC4" authorId="1" shapeId="0" xr:uid="{00000000-0006-0000-0500-000005000000}">
      <text>
        <r>
          <rPr>
            <b/>
            <sz val="8"/>
            <color indexed="81"/>
            <rFont val="Tahoma"/>
            <family val="2"/>
          </rPr>
          <t>Bruce Lightfoot:</t>
        </r>
        <r>
          <rPr>
            <sz val="8"/>
            <color indexed="81"/>
            <rFont val="Tahoma"/>
            <family val="2"/>
          </rPr>
          <t xml:space="preserve">
Set to zero if ConductanceAccess is zero to avoid Divide by Zero errors. Result is not displayed.</t>
        </r>
      </text>
    </comment>
    <comment ref="K6" authorId="0" shapeId="0" xr:uid="{00000000-0006-0000-0500-000006000000}">
      <text>
        <r>
          <rPr>
            <b/>
            <sz val="12"/>
            <color indexed="81"/>
            <rFont val="Arial"/>
            <family val="2"/>
          </rPr>
          <t xml:space="preserve">Tip: You must select the number of storeys on the HOME sheet
</t>
        </r>
        <r>
          <rPr>
            <sz val="12"/>
            <color indexed="81"/>
            <rFont val="Arial"/>
            <family val="2"/>
          </rPr>
          <t>For single storey enter S</t>
        </r>
        <r>
          <rPr>
            <i/>
            <sz val="12"/>
            <color indexed="81"/>
            <rFont val="Arial"/>
            <family val="2"/>
          </rPr>
          <t>ingle storey</t>
        </r>
        <r>
          <rPr>
            <sz val="12"/>
            <color indexed="81"/>
            <rFont val="Arial"/>
            <family val="2"/>
          </rPr>
          <t xml:space="preserve">
For all other mutliple storey dwellings enter </t>
        </r>
        <r>
          <rPr>
            <i/>
            <sz val="12"/>
            <color indexed="81"/>
            <rFont val="Arial"/>
            <family val="2"/>
          </rPr>
          <t>Two storey.</t>
        </r>
      </text>
    </comment>
    <comment ref="AH6" authorId="0" shapeId="0" xr:uid="{00000000-0006-0000-0500-000007000000}">
      <text>
        <r>
          <rPr>
            <b/>
            <sz val="9"/>
            <color indexed="81"/>
            <rFont val="Tahoma"/>
            <family val="2"/>
          </rPr>
          <t>tony isaacs:</t>
        </r>
        <r>
          <rPr>
            <sz val="9"/>
            <color indexed="81"/>
            <rFont val="Tahoma"/>
            <family val="2"/>
          </rPr>
          <t xml:space="preserve">
Fixed to 1</t>
        </r>
      </text>
    </comment>
    <comment ref="AI6" authorId="1" shapeId="0" xr:uid="{00000000-0006-0000-0500-000008000000}">
      <text>
        <r>
          <rPr>
            <b/>
            <sz val="8"/>
            <color indexed="81"/>
            <rFont val="Tahoma"/>
            <family val="2"/>
          </rPr>
          <t>Bruce Lightfoot:</t>
        </r>
        <r>
          <rPr>
            <sz val="8"/>
            <color indexed="81"/>
            <rFont val="Tahoma"/>
            <family val="2"/>
          </rPr>
          <t xml:space="preserve">
Fixed to Std</t>
        </r>
      </text>
    </comment>
    <comment ref="AJ6" authorId="1" shapeId="0" xr:uid="{00000000-0006-0000-0500-000009000000}">
      <text>
        <r>
          <rPr>
            <b/>
            <sz val="8"/>
            <color indexed="81"/>
            <rFont val="Tahoma"/>
            <family val="2"/>
          </rPr>
          <t>Bruce Lightfoot:</t>
        </r>
        <r>
          <rPr>
            <sz val="8"/>
            <color indexed="81"/>
            <rFont val="Tahoma"/>
            <family val="2"/>
          </rPr>
          <t xml:space="preserve">
Formulae deleted after changing references in former dependent (below) to refer to equivalent for Type A.</t>
        </r>
      </text>
    </comment>
    <comment ref="AK6" authorId="1" shapeId="0" xr:uid="{00000000-0006-0000-0500-00000A000000}">
      <text>
        <r>
          <rPr>
            <b/>
            <sz val="8"/>
            <color indexed="81"/>
            <rFont val="Tahoma"/>
            <family val="2"/>
          </rPr>
          <t>Bruce Lightfoot:</t>
        </r>
        <r>
          <rPr>
            <sz val="8"/>
            <color indexed="81"/>
            <rFont val="Tahoma"/>
            <family val="2"/>
          </rPr>
          <t xml:space="preserve">
Formulae deleted after changing references in former dependent (below) to refer to equivalent for Type A.</t>
        </r>
      </text>
    </comment>
    <comment ref="E7" authorId="0" shapeId="0" xr:uid="{00000000-0006-0000-0500-00000B000000}">
      <text>
        <r>
          <rPr>
            <b/>
            <sz val="12"/>
            <color indexed="81"/>
            <rFont val="Arial"/>
            <family val="2"/>
          </rPr>
          <t>Tip:</t>
        </r>
        <r>
          <rPr>
            <sz val="12"/>
            <color indexed="81"/>
            <rFont val="Arial"/>
            <family val="2"/>
          </rPr>
          <t xml:space="preserve">
Typically a Concrete Slab on Ground or a Waffle Pod Slab. The underside of the floor must be in contract with the ground. </t>
        </r>
        <r>
          <rPr>
            <b/>
            <i/>
            <sz val="12"/>
            <color indexed="81"/>
            <rFont val="Arial"/>
            <family val="2"/>
          </rPr>
          <t>Do not include the area of garage spaces</t>
        </r>
        <r>
          <rPr>
            <sz val="12"/>
            <color indexed="81"/>
            <rFont val="Arial"/>
            <family val="2"/>
          </rPr>
          <t xml:space="preserve"> unless they are heated and/or cooled.</t>
        </r>
      </text>
    </comment>
    <comment ref="F7" authorId="0" shapeId="0" xr:uid="{00000000-0006-0000-0500-00000C000000}">
      <text>
        <r>
          <rPr>
            <b/>
            <sz val="12"/>
            <color indexed="81"/>
            <rFont val="Arial"/>
            <family val="2"/>
          </rPr>
          <t xml:space="preserve">Tip:
</t>
        </r>
        <r>
          <rPr>
            <sz val="12"/>
            <color indexed="81"/>
            <rFont val="Arial"/>
            <family val="2"/>
          </rPr>
          <t xml:space="preserve">The floor area is measured to the inside of both internal and external walls.
Type area as a whole number without m2 label.
</t>
        </r>
      </text>
    </comment>
    <comment ref="E8" authorId="0" shapeId="0" xr:uid="{00000000-0006-0000-0500-00000D000000}">
      <text>
        <r>
          <rPr>
            <b/>
            <sz val="12"/>
            <color indexed="81"/>
            <rFont val="Arial"/>
            <family val="2"/>
          </rPr>
          <t>Tip:</t>
        </r>
        <r>
          <rPr>
            <sz val="12"/>
            <color indexed="81"/>
            <rFont val="Arial"/>
            <family val="2"/>
          </rPr>
          <t xml:space="preserve">
Typically a timber floor over a subfloor or over outdoor air. A concrete slab which is structurally designed to span between beams is often called a "suspended slab", but may still be in contact with the ground. If it is in contact with the ground, it is  a direct contact floor. Only concrete slabs over a subfloor space or the outdoor air are suspended.</t>
        </r>
      </text>
    </comment>
    <comment ref="F8" authorId="0" shapeId="0" xr:uid="{9A40288E-2A27-4502-9C54-2A14929318B6}">
      <text>
        <r>
          <rPr>
            <b/>
            <sz val="12"/>
            <color indexed="81"/>
            <rFont val="Arial"/>
            <family val="2"/>
          </rPr>
          <t xml:space="preserve">Tip:
</t>
        </r>
        <r>
          <rPr>
            <sz val="12"/>
            <color indexed="81"/>
            <rFont val="Arial"/>
            <family val="2"/>
          </rPr>
          <t xml:space="preserve">The floor area is measured to the inside of both internal and external walls.
Type area as a whole number without m2 label.
</t>
        </r>
      </text>
    </comment>
    <comment ref="AH8" authorId="1" shapeId="0" xr:uid="{00000000-0006-0000-0500-00000F000000}">
      <text>
        <r>
          <rPr>
            <b/>
            <sz val="8"/>
            <color indexed="81"/>
            <rFont val="Tahoma"/>
            <family val="2"/>
          </rPr>
          <t>Bruce Lightfoot:</t>
        </r>
        <r>
          <rPr>
            <sz val="8"/>
            <color indexed="81"/>
            <rFont val="Tahoma"/>
            <family val="2"/>
          </rPr>
          <t xml:space="preserve">
Reviewed and considered suitable for retention.</t>
        </r>
      </text>
    </comment>
    <comment ref="AI8" authorId="1" shapeId="0" xr:uid="{00000000-0006-0000-0500-000010000000}">
      <text>
        <r>
          <rPr>
            <b/>
            <sz val="8"/>
            <color indexed="81"/>
            <rFont val="Tahoma"/>
            <family val="2"/>
          </rPr>
          <t>Bruce Lightfoot:</t>
        </r>
        <r>
          <rPr>
            <sz val="8"/>
            <color indexed="81"/>
            <rFont val="Tahoma"/>
            <family val="2"/>
          </rPr>
          <t xml:space="preserve">
Reviewed and considered suitable for retention.</t>
        </r>
      </text>
    </comment>
    <comment ref="AH11" authorId="0" shapeId="0" xr:uid="{00000000-0006-0000-0500-000011000000}">
      <text>
        <r>
          <rPr>
            <b/>
            <sz val="9"/>
            <color indexed="81"/>
            <rFont val="Tahoma"/>
            <family val="2"/>
          </rPr>
          <t>tony isaacs:</t>
        </r>
        <r>
          <rPr>
            <sz val="9"/>
            <color indexed="81"/>
            <rFont val="Tahoma"/>
            <family val="2"/>
          </rPr>
          <t xml:space="preserve">
If Slab floor (direct contact) is &gt;=50% is slab, otherwise timber (suspended)
</t>
        </r>
      </text>
    </comment>
    <comment ref="E12" authorId="0" shapeId="0" xr:uid="{00000000-0006-0000-0500-000012000000}">
      <text>
        <r>
          <rPr>
            <b/>
            <sz val="12"/>
            <color indexed="81"/>
            <rFont val="Arial"/>
            <family val="2"/>
          </rPr>
          <t xml:space="preserve">Tip:
</t>
        </r>
        <r>
          <rPr>
            <sz val="12"/>
            <color indexed="81"/>
            <rFont val="Arial"/>
            <family val="2"/>
          </rPr>
          <t>These floors represent floors to rooms on upper levels that are over other rooms in the dwelling. If a floor on an upper level is over the outdoor air, include the area of this floor in suspended above.</t>
        </r>
      </text>
    </comment>
    <comment ref="F12" authorId="0" shapeId="0" xr:uid="{EBF4C3FF-8792-4096-8D7A-CF3E5CA38FB4}">
      <text>
        <r>
          <rPr>
            <b/>
            <sz val="12"/>
            <color indexed="81"/>
            <rFont val="Arial"/>
            <family val="2"/>
          </rPr>
          <t xml:space="preserve">Tip:
</t>
        </r>
        <r>
          <rPr>
            <sz val="12"/>
            <color indexed="81"/>
            <rFont val="Arial"/>
            <family val="2"/>
          </rPr>
          <t xml:space="preserve">The floor area is measured to the inside of both internal and external walls.
Type area as a whole number without m2 label.
</t>
        </r>
      </text>
    </comment>
    <comment ref="X12" authorId="1" shapeId="0" xr:uid="{00000000-0006-0000-0500-000014000000}">
      <text>
        <r>
          <rPr>
            <b/>
            <sz val="12"/>
            <color indexed="81"/>
            <rFont val="Arial"/>
            <family val="2"/>
          </rPr>
          <t xml:space="preserve">NCC Reference:
</t>
        </r>
        <r>
          <rPr>
            <sz val="12"/>
            <color indexed="81"/>
            <rFont val="Arial"/>
            <family val="2"/>
          </rPr>
          <t>13.3.2 (1)
Cu only for zones 2-8.</t>
        </r>
      </text>
    </comment>
    <comment ref="BA12" authorId="1" shapeId="0" xr:uid="{00000000-0006-0000-0500-000015000000}">
      <text>
        <r>
          <rPr>
            <b/>
            <sz val="8"/>
            <color indexed="81"/>
            <rFont val="Tahoma"/>
            <family val="2"/>
          </rPr>
          <t>Bruce Lightfoot:</t>
        </r>
        <r>
          <rPr>
            <sz val="8"/>
            <color indexed="81"/>
            <rFont val="Tahoma"/>
            <family val="2"/>
          </rPr>
          <t xml:space="preserve">
Tests whether flagged issues occur only in the last active row (typically during data input). If TRUE, message above calculated outcomes is hidden.</t>
        </r>
      </text>
    </comment>
    <comment ref="CP14" authorId="0" shapeId="0" xr:uid="{00000000-0006-0000-0500-000016000000}">
      <text>
        <r>
          <rPr>
            <b/>
            <sz val="9"/>
            <color indexed="81"/>
            <rFont val="Tahoma"/>
            <family val="2"/>
          </rPr>
          <t>tony isaacs:</t>
        </r>
        <r>
          <rPr>
            <sz val="9"/>
            <color indexed="81"/>
            <rFont val="Tahoma"/>
            <family val="2"/>
          </rPr>
          <t xml:space="preserve">
If slab area is &gt;= 50%, the factors and targets chosen are for slab floor (Direct Cintact). Id &lt;50%, the timber floor (Suspended).</t>
        </r>
      </text>
    </comment>
    <comment ref="F15" authorId="1" shapeId="0" xr:uid="{00000000-0006-0000-0500-000017000000}">
      <text>
        <r>
          <rPr>
            <b/>
            <sz val="12"/>
            <color indexed="81"/>
            <rFont val="Arial"/>
            <family val="2"/>
          </rPr>
          <t>Tip:</t>
        </r>
        <r>
          <rPr>
            <sz val="12"/>
            <color indexed="81"/>
            <rFont val="Arial"/>
            <family val="2"/>
          </rPr>
          <t xml:space="preserve">
Type the number of rows preferred (max 80) and press Enter or Tab to leave the cell. Follow the instruction that pops up beside this cell.</t>
        </r>
      </text>
    </comment>
    <comment ref="AB15" authorId="1" shapeId="0" xr:uid="{00000000-0006-0000-0500-000018000000}">
      <text>
        <r>
          <rPr>
            <b/>
            <sz val="8"/>
            <color indexed="81"/>
            <rFont val="Tahoma"/>
            <family val="2"/>
          </rPr>
          <t>Bruce Lightfoot:</t>
        </r>
        <r>
          <rPr>
            <sz val="8"/>
            <color indexed="81"/>
            <rFont val="Tahoma"/>
            <family val="2"/>
          </rPr>
          <t xml:space="preserve">
Font size in this cell sets height of this row for calculator form.</t>
        </r>
      </text>
    </comment>
    <comment ref="AI15" authorId="1" shapeId="0" xr:uid="{00000000-0006-0000-0500-000019000000}">
      <text>
        <r>
          <rPr>
            <b/>
            <sz val="8"/>
            <color indexed="81"/>
            <rFont val="Tahoma"/>
            <family val="2"/>
          </rPr>
          <t>Bruce Lightfoot:</t>
        </r>
        <r>
          <rPr>
            <sz val="8"/>
            <color indexed="81"/>
            <rFont val="Tahoma"/>
            <family val="2"/>
          </rPr>
          <t xml:space="preserve">
Rounded to 1 decimal place to match decimals displayed on Calculator form (21.7.09)</t>
        </r>
      </text>
    </comment>
    <comment ref="AC17" authorId="1" shapeId="0" xr:uid="{00000000-0006-0000-0500-00001A000000}">
      <text>
        <r>
          <rPr>
            <b/>
            <sz val="8"/>
            <color indexed="81"/>
            <rFont val="Tahoma"/>
            <family val="2"/>
          </rPr>
          <t>Bruce Lightfoot:</t>
        </r>
        <r>
          <rPr>
            <sz val="8"/>
            <color indexed="81"/>
            <rFont val="Tahoma"/>
            <family val="2"/>
          </rPr>
          <t xml:space="preserve">
Row height controlled by unseen font in this cell to ensure sufficient height for text box over table titles (without obscuring borders).</t>
        </r>
      </text>
    </comment>
    <comment ref="AT17" authorId="1" shapeId="0" xr:uid="{00000000-0006-0000-0500-00001B000000}">
      <text>
        <r>
          <rPr>
            <b/>
            <sz val="8"/>
            <color indexed="81"/>
            <rFont val="Tahoma"/>
            <family val="2"/>
          </rPr>
          <t>Bruce Lightfoot:</t>
        </r>
        <r>
          <rPr>
            <sz val="8"/>
            <color indexed="81"/>
            <rFont val="Tahoma"/>
            <family val="2"/>
          </rPr>
          <t xml:space="preserve">
Tests can return TRUE only when a valid element size has been given.</t>
        </r>
      </text>
    </comment>
    <comment ref="AX17" authorId="1" shapeId="0" xr:uid="{00000000-0006-0000-0500-00001C000000}">
      <text>
        <r>
          <rPr>
            <b/>
            <sz val="8"/>
            <color indexed="81"/>
            <rFont val="Tahoma"/>
            <family val="2"/>
          </rPr>
          <t>Bruce Lightfoot:</t>
        </r>
        <r>
          <rPr>
            <sz val="8"/>
            <color indexed="81"/>
            <rFont val="Tahoma"/>
            <family val="2"/>
          </rPr>
          <t xml:space="preserve">
Tests can return TRUE only when a valid element size has been given.</t>
        </r>
      </text>
    </comment>
    <comment ref="B18" authorId="1" shapeId="0" xr:uid="{00000000-0006-0000-0500-00001D000000}">
      <text>
        <r>
          <rPr>
            <b/>
            <sz val="12"/>
            <color indexed="81"/>
            <rFont val="Arial"/>
            <family val="2"/>
          </rPr>
          <t>Tip:</t>
        </r>
        <r>
          <rPr>
            <sz val="12"/>
            <color indexed="81"/>
            <rFont val="Arial"/>
            <family val="2"/>
          </rPr>
          <t xml:space="preserve">
The arrow below controls the number of rows displayed in the table.
</t>
        </r>
        <r>
          <rPr>
            <b/>
            <sz val="12"/>
            <color indexed="81"/>
            <rFont val="Arial"/>
            <family val="2"/>
          </rPr>
          <t>First set the number of rows preferred above the table.</t>
        </r>
        <r>
          <rPr>
            <sz val="12"/>
            <color indexed="81"/>
            <rFont val="Arial"/>
            <family val="2"/>
          </rPr>
          <t xml:space="preserve"> Then click the arrow and select the single number set from the drop down list. </t>
        </r>
      </text>
    </comment>
    <comment ref="AO18" authorId="1" shapeId="0" xr:uid="{00000000-0006-0000-0500-00001E000000}">
      <text>
        <r>
          <rPr>
            <b/>
            <sz val="8"/>
            <color indexed="81"/>
            <rFont val="Tahoma"/>
            <family val="2"/>
          </rPr>
          <t>Bruce Lightfoot:</t>
        </r>
        <r>
          <rPr>
            <sz val="8"/>
            <color indexed="81"/>
            <rFont val="Tahoma"/>
            <family val="2"/>
          </rPr>
          <t xml:space="preserve">
No count since column below is for conditional formatting only.</t>
        </r>
      </text>
    </comment>
    <comment ref="CA18" authorId="1" shapeId="0" xr:uid="{00000000-0006-0000-0500-00001F000000}">
      <text>
        <r>
          <rPr>
            <b/>
            <sz val="8"/>
            <color indexed="81"/>
            <rFont val="Tahoma"/>
            <family val="2"/>
          </rPr>
          <t>Bruce Lightfoot:</t>
        </r>
        <r>
          <rPr>
            <sz val="8"/>
            <color indexed="81"/>
            <rFont val="Tahoma"/>
            <family val="2"/>
          </rPr>
          <t xml:space="preserve">
The conductance allowances for zones 2-8 are calculated by multiplying this result (only) by the nominated Cu value. For zone 1, this value is set to 1 and the allowance is the product of Cu and the Floor area.</t>
        </r>
      </text>
    </comment>
    <comment ref="CL18" authorId="1" shapeId="0" xr:uid="{00000000-0006-0000-0500-000020000000}">
      <text>
        <r>
          <rPr>
            <b/>
            <sz val="8"/>
            <color indexed="81"/>
            <rFont val="Tahoma"/>
            <family val="2"/>
          </rPr>
          <t>Tip:</t>
        </r>
        <r>
          <rPr>
            <sz val="8"/>
            <color indexed="81"/>
            <rFont val="Tahoma"/>
            <family val="2"/>
          </rPr>
          <t xml:space="preserve">
</t>
        </r>
        <r>
          <rPr>
            <sz val="8"/>
            <color indexed="81"/>
            <rFont val="Tahoma"/>
            <family val="2"/>
          </rPr>
          <t>The Calculator compares height x width (even if they are blank) with any area given and uses the larger value in calculations</t>
        </r>
        <r>
          <rPr>
            <sz val="8"/>
            <color indexed="81"/>
            <rFont val="Tahoma"/>
            <family val="2"/>
          </rPr>
          <t>.
Any width or area value NOT used will be shown in grey italics and the value in the "area used" column will be in red bold font to show that there are conflicting inputs.</t>
        </r>
      </text>
    </comment>
    <comment ref="CM18" authorId="1" shapeId="0" xr:uid="{00000000-0006-0000-0500-000021000000}">
      <text>
        <r>
          <rPr>
            <b/>
            <sz val="8"/>
            <color indexed="81"/>
            <rFont val="Tahoma"/>
            <family val="2"/>
          </rPr>
          <t>Tip:</t>
        </r>
        <r>
          <rPr>
            <sz val="8"/>
            <color indexed="81"/>
            <rFont val="Tahoma"/>
            <family val="2"/>
          </rPr>
          <t xml:space="preserve">
</t>
        </r>
        <r>
          <rPr>
            <sz val="8"/>
            <color indexed="81"/>
            <rFont val="Tahoma"/>
            <family val="2"/>
          </rPr>
          <t>The Calculator compares height x width (even if they are blank) with any area given and uses the larger value in calculations</t>
        </r>
        <r>
          <rPr>
            <sz val="8"/>
            <color indexed="81"/>
            <rFont val="Tahoma"/>
            <family val="2"/>
          </rPr>
          <t>.
Any width or area value NOT used will be shown in grey italics and the value in the "area used" column will be in red bold font to show that there are conflicting inputs.</t>
        </r>
      </text>
    </comment>
    <comment ref="CN18" authorId="1" shapeId="0" xr:uid="{00000000-0006-0000-0500-000022000000}">
      <text>
        <r>
          <rPr>
            <b/>
            <sz val="8"/>
            <color indexed="81"/>
            <rFont val="Tahoma"/>
            <family val="2"/>
          </rPr>
          <t>Tip:</t>
        </r>
        <r>
          <rPr>
            <sz val="8"/>
            <color indexed="81"/>
            <rFont val="Tahoma"/>
            <family val="2"/>
          </rPr>
          <t xml:space="preserve">
</t>
        </r>
        <r>
          <rPr>
            <sz val="8"/>
            <color indexed="81"/>
            <rFont val="Tahoma"/>
            <family val="2"/>
          </rPr>
          <t>The Calculator compares height x width (even if they are blank) with any area given and uses the larger value in calculations</t>
        </r>
        <r>
          <rPr>
            <sz val="8"/>
            <color indexed="81"/>
            <rFont val="Tahoma"/>
            <family val="2"/>
          </rPr>
          <t>.
Any width or area value NOT used will be shown in grey italics and the value in the "area used" column will be in red bold font to show that there are conflicting inputs.</t>
        </r>
      </text>
    </comment>
    <comment ref="C19" authorId="1" shapeId="0" xr:uid="{00000000-0006-0000-0500-000023000000}">
      <text>
        <r>
          <rPr>
            <b/>
            <sz val="12"/>
            <color indexed="81"/>
            <rFont val="Arial"/>
            <family val="2"/>
          </rPr>
          <t>Tip:</t>
        </r>
        <r>
          <rPr>
            <sz val="12"/>
            <color indexed="81"/>
            <rFont val="Arial"/>
            <family val="2"/>
          </rPr>
          <t xml:space="preserve">
Glazing element identification.
Numbers 1 to 80 are shown by default but any identifying code can be used if preferred. (Longer descriptions can be used in next column.) For example, you could put in the Window number from a Window schedule to help match the window to the documentation.</t>
        </r>
      </text>
    </comment>
    <comment ref="D19" authorId="1" shapeId="0" xr:uid="{00000000-0006-0000-0500-000024000000}">
      <text>
        <r>
          <rPr>
            <b/>
            <sz val="12"/>
            <color indexed="81"/>
            <rFont val="Arial"/>
            <family val="2"/>
          </rPr>
          <t>Tip:</t>
        </r>
        <r>
          <rPr>
            <sz val="12"/>
            <color indexed="81"/>
            <rFont val="Arial"/>
            <family val="2"/>
          </rPr>
          <t xml:space="preserve">
This column can be used for (short) descriptions such as location (e.g. the room the window is in) or window type.</t>
        </r>
      </text>
    </comment>
    <comment ref="F19" authorId="1" shapeId="0" xr:uid="{00000000-0006-0000-0500-000025000000}">
      <text>
        <r>
          <rPr>
            <b/>
            <sz val="12"/>
            <color indexed="81"/>
            <rFont val="Arial"/>
            <family val="2"/>
          </rPr>
          <t xml:space="preserve">NCC reference: 
</t>
        </r>
        <r>
          <rPr>
            <sz val="12"/>
            <color indexed="81"/>
            <rFont val="Arial"/>
            <family val="2"/>
          </rPr>
          <t xml:space="preserve">ABCB Housing Provisions Standard Figure 13.3.2a
</t>
        </r>
        <r>
          <rPr>
            <b/>
            <sz val="12"/>
            <color indexed="81"/>
            <rFont val="Arial"/>
            <family val="2"/>
          </rPr>
          <t>Tip:</t>
        </r>
        <r>
          <rPr>
            <sz val="12"/>
            <color indexed="81"/>
            <rFont val="Arial"/>
            <family val="2"/>
          </rPr>
          <t xml:space="preserve">
Use the initials of the orientation sectors shown in Figure 13.3.2a: Orientation sectors (N, NE, E, etc). A drop down list is available when inputs above this table are complete.</t>
        </r>
      </text>
    </comment>
    <comment ref="G19" authorId="1" shapeId="0" xr:uid="{00000000-0006-0000-0500-000026000000}">
      <text>
        <r>
          <rPr>
            <b/>
            <sz val="12"/>
            <color indexed="81"/>
            <rFont val="Arial"/>
            <family val="2"/>
          </rPr>
          <t>Tip:</t>
        </r>
        <r>
          <rPr>
            <sz val="12"/>
            <color indexed="81"/>
            <rFont val="Arial"/>
            <family val="2"/>
          </rPr>
          <t xml:space="preserve">
Rectangular glazing elements can be described by height and width or simply by area. If height and width are used, do not enter a value for area.
Non-rectangular elements must be described by area and the height must be given if a shading projection is used.
</t>
        </r>
        <r>
          <rPr>
            <b/>
            <sz val="12"/>
            <color indexed="81"/>
            <rFont val="Arial"/>
            <family val="2"/>
          </rPr>
          <t>In all cases, include the area of frames.</t>
        </r>
      </text>
    </comment>
    <comment ref="I19" authorId="1" shapeId="0" xr:uid="{00000000-0006-0000-0500-000027000000}">
      <text>
        <r>
          <rPr>
            <b/>
            <sz val="12"/>
            <color indexed="81"/>
            <rFont val="Arial"/>
            <family val="2"/>
          </rPr>
          <t>Tip:</t>
        </r>
        <r>
          <rPr>
            <sz val="12"/>
            <color indexed="81"/>
            <rFont val="Arial"/>
            <family val="2"/>
          </rPr>
          <t xml:space="preserve">
Glazing elements that share the same glass and frame type, face the same orientation sector and have the same shading P/H value can be combined into a single notional element whose area can be recorded here.
The area of individual glazing elements can also be recorded here instead of listing height and width separately. </t>
        </r>
        <r>
          <rPr>
            <b/>
            <sz val="12"/>
            <color indexed="81"/>
            <rFont val="Arial"/>
            <family val="2"/>
          </rPr>
          <t>This is essential for non-rectangular shapes.</t>
        </r>
      </text>
    </comment>
    <comment ref="J19" authorId="0" shapeId="0" xr:uid="{00000000-0006-0000-0500-000028000000}">
      <text>
        <r>
          <rPr>
            <b/>
            <sz val="12"/>
            <color indexed="81"/>
            <rFont val="Arial"/>
            <family val="2"/>
          </rPr>
          <t xml:space="preserve">Tip: You must select a value for each window
Bedroom: 
</t>
        </r>
        <r>
          <rPr>
            <sz val="12"/>
            <color indexed="81"/>
            <rFont val="Arial"/>
            <family val="2"/>
          </rPr>
          <t xml:space="preserve">A sleeping area, or any adjacent space that can only be accessed from a bedroom. </t>
        </r>
        <r>
          <rPr>
            <b/>
            <sz val="12"/>
            <color indexed="81"/>
            <rFont val="Arial"/>
            <family val="2"/>
          </rPr>
          <t xml:space="preserve">
Utility:
</t>
        </r>
        <r>
          <rPr>
            <sz val="12"/>
            <color indexed="81"/>
            <rFont val="Arial"/>
            <family val="2"/>
          </rPr>
          <t xml:space="preserve">A laundry, bathroom or WC that has no central space conditioning. </t>
        </r>
        <r>
          <rPr>
            <b/>
            <sz val="12"/>
            <color indexed="81"/>
            <rFont val="Arial"/>
            <family val="2"/>
          </rPr>
          <t xml:space="preserve">
Other:
</t>
        </r>
        <r>
          <rPr>
            <sz val="12"/>
            <color indexed="81"/>
            <rFont val="Arial"/>
            <family val="2"/>
          </rPr>
          <t>A living space, hallway, study, dining room, kitchen etc. that is not solely accessed from a bedroom. Any other type of space that is not bedroom or utility.</t>
        </r>
        <r>
          <rPr>
            <b/>
            <sz val="12"/>
            <color indexed="81"/>
            <rFont val="Arial"/>
            <family val="2"/>
          </rPr>
          <t xml:space="preserve"> </t>
        </r>
      </text>
    </comment>
    <comment ref="K19" authorId="0" shapeId="0" xr:uid="{00000000-0006-0000-0500-000029000000}">
      <text>
        <r>
          <rPr>
            <b/>
            <sz val="12"/>
            <color indexed="81"/>
            <rFont val="Arial"/>
            <family val="2"/>
          </rPr>
          <t xml:space="preserve">Tip: You must select value for each window
</t>
        </r>
        <r>
          <rPr>
            <sz val="12"/>
            <color indexed="81"/>
            <rFont val="Arial"/>
            <family val="2"/>
          </rPr>
          <t>This data entry enables Glazing Calculations for the whole dwelling rather than level by level</t>
        </r>
        <r>
          <rPr>
            <b/>
            <sz val="12"/>
            <color indexed="81"/>
            <rFont val="Arial"/>
            <family val="2"/>
          </rPr>
          <t xml:space="preserve">
</t>
        </r>
        <r>
          <rPr>
            <sz val="12"/>
            <color indexed="81"/>
            <rFont val="Arial"/>
            <family val="2"/>
          </rPr>
          <t xml:space="preserve">
There are three options:
</t>
        </r>
        <r>
          <rPr>
            <b/>
            <sz val="12"/>
            <color indexed="81"/>
            <rFont val="Arial"/>
            <family val="2"/>
          </rPr>
          <t>Ground Direct</t>
        </r>
        <r>
          <rPr>
            <sz val="12"/>
            <color indexed="81"/>
            <rFont val="Arial"/>
            <family val="2"/>
          </rPr>
          <t xml:space="preserve">: the floor is on the lowest level in the dwelling and is in direct contact with the ground,
</t>
        </r>
        <r>
          <rPr>
            <b/>
            <sz val="12"/>
            <color indexed="81"/>
            <rFont val="Arial"/>
            <family val="2"/>
          </rPr>
          <t>Ground Suspended</t>
        </r>
        <r>
          <rPr>
            <sz val="12"/>
            <color indexed="81"/>
            <rFont val="Arial"/>
            <family val="2"/>
          </rPr>
          <t xml:space="preserve">: the floor is on the lowest level in the dwelling and is over a subfloor space or outdoor air,
</t>
        </r>
        <r>
          <rPr>
            <b/>
            <sz val="12"/>
            <color indexed="81"/>
            <rFont val="Arial"/>
            <family val="2"/>
          </rPr>
          <t>Upper</t>
        </r>
        <r>
          <rPr>
            <sz val="12"/>
            <color indexed="81"/>
            <rFont val="Arial"/>
            <family val="2"/>
          </rPr>
          <t xml:space="preserve">: the floor above the lowest level is over other rooms in the dwelling or outdoor air.
</t>
        </r>
        <r>
          <rPr>
            <b/>
            <sz val="12"/>
            <color indexed="81"/>
            <rFont val="Arial"/>
            <family val="2"/>
          </rPr>
          <t>Note on Split Level dwellings:</t>
        </r>
        <r>
          <rPr>
            <sz val="12"/>
            <color indexed="81"/>
            <rFont val="Arial"/>
            <family val="2"/>
          </rPr>
          <t xml:space="preserve">
In a split level dwelling the floors on the higher level is not considered to be an upper floor if it is in contacted with the ground, over a subfloor space or over the outdoor air. Enter as Ground: Direct or Suspeended.
</t>
        </r>
        <r>
          <rPr>
            <b/>
            <sz val="12"/>
            <color indexed="81"/>
            <rFont val="Arial"/>
            <family val="2"/>
          </rPr>
          <t>Note on dwellings with a basement:</t>
        </r>
        <r>
          <rPr>
            <sz val="12"/>
            <color indexed="81"/>
            <rFont val="Arial"/>
            <family val="2"/>
          </rPr>
          <t xml:space="preserve">
Only the rooms in the basement are allocated to Ground. Rooms above are considered to be Upper.  If the basement there are rooms above the basement level which are over a subfloor or in direct contact with the ground these are also classified as Ground.</t>
        </r>
        <r>
          <rPr>
            <sz val="9"/>
            <color indexed="81"/>
            <rFont val="Arial"/>
            <family val="2"/>
          </rPr>
          <t xml:space="preserve">
  </t>
        </r>
      </text>
    </comment>
    <comment ref="L19" authorId="0" shapeId="0" xr:uid="{00000000-0006-0000-0500-00002A000000}">
      <text>
        <r>
          <rPr>
            <b/>
            <sz val="12"/>
            <color indexed="81"/>
            <rFont val="Arial"/>
            <family val="2"/>
          </rPr>
          <t xml:space="preserve">Tip: You must select a value for each window 
</t>
        </r>
        <r>
          <rPr>
            <sz val="12"/>
            <color indexed="81"/>
            <rFont val="Arial"/>
            <family val="2"/>
          </rPr>
          <t>Enter the floor covering immediately adjacent to the window. 
If a room contains a mix of floor coverings enter the floor covering adjacent to that window. 
Floor coverings influence the the ability of a slab floor in contact with the ground to store solar heat gain from windows. Floor coverings with higher thermal mass (e.g. ceramic tiles) or minimal thermal resistance (e.g. vinyl tile 2 mm) allow the benefits of the thermal mass in the slab on ground to be better utilised. If you have a floor covering which is not shown enter other hard surface for coverings like ceramic tiles or thin vinyl tiles or other for any other type of floor covering.</t>
        </r>
      </text>
    </comment>
    <comment ref="M19" authorId="0" shapeId="0" xr:uid="{00000000-0006-0000-0500-00002B000000}">
      <text>
        <r>
          <rPr>
            <b/>
            <sz val="12"/>
            <color indexed="81"/>
            <rFont val="Arial"/>
            <family val="2"/>
          </rPr>
          <t xml:space="preserve">Tip: You must select a value for each window
</t>
        </r>
        <r>
          <rPr>
            <sz val="12"/>
            <color indexed="81"/>
            <rFont val="Arial"/>
            <family val="2"/>
          </rPr>
          <t xml:space="preserve">
</t>
        </r>
        <r>
          <rPr>
            <b/>
            <sz val="12"/>
            <color indexed="81"/>
            <rFont val="Arial"/>
            <family val="2"/>
          </rPr>
          <t xml:space="preserve">Light: </t>
        </r>
        <r>
          <rPr>
            <sz val="12"/>
            <color indexed="81"/>
            <rFont val="Arial"/>
            <family val="2"/>
          </rPr>
          <t xml:space="preserve">Solar absorptance of 0.4 or less
</t>
        </r>
        <r>
          <rPr>
            <b/>
            <sz val="12"/>
            <color indexed="81"/>
            <rFont val="Arial"/>
            <family val="2"/>
          </rPr>
          <t>Medium</t>
        </r>
        <r>
          <rPr>
            <sz val="12"/>
            <color indexed="81"/>
            <rFont val="Arial"/>
            <family val="2"/>
          </rPr>
          <t xml:space="preserve">: Solar absorptance between greater than 0.4 and under 0.70
</t>
        </r>
        <r>
          <rPr>
            <b/>
            <sz val="12"/>
            <color indexed="81"/>
            <rFont val="Arial"/>
            <family val="2"/>
          </rPr>
          <t>Dark</t>
        </r>
        <r>
          <rPr>
            <sz val="12"/>
            <color indexed="81"/>
            <rFont val="Arial"/>
            <family val="2"/>
          </rPr>
          <t>: Solar absorptance of greater than 0.7.
Most metal window frames have colorbond colours. To find the solar absorptance of colorbond colours use a search engine and search on: solar absorptance colorbond.</t>
        </r>
      </text>
    </comment>
    <comment ref="N19" authorId="0" shapeId="0" xr:uid="{00000000-0006-0000-0500-00002C000000}">
      <text>
        <r>
          <rPr>
            <b/>
            <sz val="12"/>
            <color indexed="81"/>
            <rFont val="Arial"/>
            <family val="2"/>
          </rPr>
          <t xml:space="preserve">Tip: You must select a value for each window
</t>
        </r>
        <r>
          <rPr>
            <sz val="12"/>
            <color indexed="81"/>
            <rFont val="Arial"/>
            <family val="2"/>
          </rPr>
          <t xml:space="preserve">
You can enter either the opening style or the percetange of the window which opens.
If you enter the opening style, e.g. fixed, awning, sliding etc. the opening area will use a default value based on industry window sizing charts.
For a fully openable bi-fold door or a lourvre window which has louvres over its full height, enter highly openable.
If you wish to calculate the openable percentage you can select a percentage openability in 5% steps up to 90%. 
Note that openbility is limited to 90% because the frame will always obscure some part of the opening.
Note that the minimum openable window area to floor area ratio is set to 5%, i.e. the minimum NCC requirement if no values are entered.
Note that openability on upper floors may be restricted for safety.</t>
        </r>
      </text>
    </comment>
    <comment ref="O19" authorId="1" shapeId="0" xr:uid="{00000000-0006-0000-0500-00002D000000}">
      <text>
        <r>
          <rPr>
            <b/>
            <sz val="12"/>
            <color indexed="81"/>
            <rFont val="Arial"/>
            <family val="2"/>
          </rPr>
          <t>Tip:</t>
        </r>
        <r>
          <rPr>
            <sz val="12"/>
            <color indexed="81"/>
            <rFont val="Arial"/>
            <family val="2"/>
          </rPr>
          <t xml:space="preserve">
Total System U-Value performance data in Australian Fenestration Rating Council (AFRC) format is based on the system (combined frame and glass) using winter environmental conditions. This performance data can be sourced from generic or custom product assessments, suppliers, manufacturers and industry associations (including their online resources).
See: www.wers.net</t>
        </r>
      </text>
    </comment>
    <comment ref="P19" authorId="1" shapeId="0" xr:uid="{00000000-0006-0000-0500-00002E000000}">
      <text>
        <r>
          <rPr>
            <b/>
            <sz val="12"/>
            <color indexed="81"/>
            <rFont val="Arial"/>
            <family val="2"/>
          </rPr>
          <t>Tip:</t>
        </r>
        <r>
          <rPr>
            <sz val="12"/>
            <color indexed="81"/>
            <rFont val="Arial"/>
            <family val="2"/>
          </rPr>
          <t xml:space="preserve">
Maximum value is 0.7. Values in excess of 0.7 will be trimmed to 0.7. 
</t>
        </r>
        <r>
          <rPr>
            <b/>
            <sz val="12"/>
            <color indexed="81"/>
            <rFont val="Arial"/>
            <family val="2"/>
          </rPr>
          <t>Red shading</t>
        </r>
        <r>
          <rPr>
            <sz val="12"/>
            <color indexed="81"/>
            <rFont val="Arial"/>
            <family val="2"/>
          </rPr>
          <t xml:space="preserve"> indictates the SHGC is above 0.7, invalid SHGC, enter a valid one.
Total System SHGC performance data in Australian Fenestration Rating Council (AFRC) format is based on the system (combined frame and glass) using summer environmental conditions. This performance data can be sourced from generic or custom product assessments, suppliers, manufacturers and industry associations (including their online resources).
See: www.wers.net</t>
        </r>
      </text>
    </comment>
    <comment ref="Q19" authorId="1" shapeId="0" xr:uid="{00000000-0006-0000-0500-00002F000000}">
      <text>
        <r>
          <rPr>
            <b/>
            <sz val="12"/>
            <color indexed="81"/>
            <rFont val="Arial"/>
            <family val="2"/>
          </rPr>
          <t>NCC reference:</t>
        </r>
        <r>
          <rPr>
            <sz val="12"/>
            <color indexed="81"/>
            <rFont val="Arial"/>
            <family val="2"/>
          </rPr>
          <t xml:space="preserve">
ABCB Housing Provisions Standard Figure 13.3.2b
</t>
        </r>
        <r>
          <rPr>
            <b/>
            <sz val="12"/>
            <color indexed="81"/>
            <rFont val="Arial"/>
            <family val="2"/>
          </rPr>
          <t>Tip:</t>
        </r>
        <r>
          <rPr>
            <sz val="12"/>
            <color indexed="81"/>
            <rFont val="Arial"/>
            <family val="2"/>
          </rPr>
          <t xml:space="preserve">
P is the horizontal distance from the glass face to the shadow casting edge of the projection. If shading is provided by a shading device in accordance with 13.3.4 Shading (b), enter </t>
        </r>
        <r>
          <rPr>
            <b/>
            <sz val="12"/>
            <color indexed="81"/>
            <rFont val="Arial"/>
            <family val="2"/>
          </rPr>
          <t>device</t>
        </r>
        <r>
          <rPr>
            <sz val="12"/>
            <color indexed="81"/>
            <rFont val="Arial"/>
            <family val="2"/>
          </rPr>
          <t xml:space="preserve">.
</t>
        </r>
      </text>
    </comment>
    <comment ref="R19" authorId="1" shapeId="0" xr:uid="{00000000-0006-0000-0500-000030000000}">
      <text>
        <r>
          <rPr>
            <b/>
            <sz val="12"/>
            <color indexed="81"/>
            <rFont val="Arial"/>
            <family val="2"/>
          </rPr>
          <t xml:space="preserve">NCC reference:
</t>
        </r>
        <r>
          <rPr>
            <sz val="12"/>
            <color indexed="81"/>
            <rFont val="Arial"/>
            <family val="2"/>
          </rPr>
          <t xml:space="preserve">ABCB Housing Provisions Standard Figure 13.3.2b
</t>
        </r>
        <r>
          <rPr>
            <b/>
            <sz val="12"/>
            <color indexed="81"/>
            <rFont val="Arial"/>
            <family val="2"/>
          </rPr>
          <t>Tip:</t>
        </r>
        <r>
          <rPr>
            <sz val="12"/>
            <color indexed="81"/>
            <rFont val="Arial"/>
            <family val="2"/>
          </rPr>
          <t xml:space="preserve">
H is the vertical distance from the </t>
        </r>
        <r>
          <rPr>
            <b/>
            <sz val="12"/>
            <color indexed="81"/>
            <rFont val="Arial"/>
            <family val="2"/>
          </rPr>
          <t>base</t>
        </r>
        <r>
          <rPr>
            <sz val="12"/>
            <color indexed="81"/>
            <rFont val="Arial"/>
            <family val="2"/>
          </rPr>
          <t xml:space="preserve"> of the glazing to the shadow casting edge of the projection.
When the edge is more than 0.5m above the head of the glazing, the Calculator will use half of the value of P shown at left.
</t>
        </r>
        <r>
          <rPr>
            <b/>
            <sz val="12"/>
            <color indexed="81"/>
            <rFont val="Arial"/>
            <family val="2"/>
          </rPr>
          <t>Grey shading</t>
        </r>
        <r>
          <rPr>
            <sz val="12"/>
            <color indexed="81"/>
            <rFont val="Arial"/>
            <family val="2"/>
          </rPr>
          <t xml:space="preserve"> indicate device being used, and H cell is ignored for calculations.</t>
        </r>
      </text>
    </comment>
    <comment ref="S19" authorId="1" shapeId="0" xr:uid="{00000000-0006-0000-0500-000031000000}">
      <text>
        <r>
          <rPr>
            <b/>
            <sz val="12"/>
            <color indexed="81"/>
            <rFont val="Arial"/>
            <family val="2"/>
          </rPr>
          <t>Tip:</t>
        </r>
        <r>
          <rPr>
            <sz val="12"/>
            <color indexed="81"/>
            <rFont val="Arial"/>
            <family val="2"/>
          </rPr>
          <t xml:space="preserve">
</t>
        </r>
        <r>
          <rPr>
            <i/>
            <sz val="12"/>
            <color indexed="81"/>
            <rFont val="Arial"/>
            <family val="2"/>
          </rPr>
          <t>Red shading</t>
        </r>
        <r>
          <rPr>
            <sz val="12"/>
            <color indexed="81"/>
            <rFont val="Arial"/>
            <family val="2"/>
          </rPr>
          <t xml:space="preserve">indicate that the value of P has been halved because H exceeds the glazing element height by more than 0.5m.
</t>
        </r>
        <r>
          <rPr>
            <b/>
            <sz val="12"/>
            <color indexed="81"/>
            <rFont val="Arial"/>
            <family val="2"/>
          </rPr>
          <t>Orange shading</t>
        </r>
        <r>
          <rPr>
            <sz val="12"/>
            <color indexed="81"/>
            <rFont val="Arial"/>
            <family val="2"/>
          </rPr>
          <t xml:space="preserve"> indicates that either the P/H value exceeds the limit of the exposure factor table or shading is provided by a shading device (which must be in accordance with 13.3.4(b)). Maximum shading credit is given in both cases.</t>
        </r>
      </text>
    </comment>
    <comment ref="U19" authorId="1" shapeId="0" xr:uid="{00000000-0006-0000-0500-000032000000}">
      <text>
        <r>
          <rPr>
            <b/>
            <sz val="12"/>
            <color indexed="81"/>
            <rFont val="Arial"/>
            <family val="2"/>
          </rPr>
          <t>Tip:</t>
        </r>
        <r>
          <rPr>
            <sz val="12"/>
            <color indexed="81"/>
            <rFont val="Arial"/>
            <family val="2"/>
          </rPr>
          <t xml:space="preserve">
This is the area used in  calculations. It is either the height multiplied by the width (when both are given) or any figure from the area column - whichever is the larger.
</t>
        </r>
        <r>
          <rPr>
            <b/>
            <sz val="12"/>
            <color indexed="81"/>
            <rFont val="Arial"/>
            <family val="2"/>
          </rPr>
          <t>Orange shading</t>
        </r>
        <r>
          <rPr>
            <sz val="12"/>
            <color indexed="81"/>
            <rFont val="Arial"/>
            <family val="2"/>
          </rPr>
          <t xml:space="preserve"> indicates both a width and area has been entered and the calcilator has determined which provides the greater area. Refer to greyed out cell in size columns to see which has been discarded.</t>
        </r>
      </text>
    </comment>
    <comment ref="V19" authorId="1" shapeId="0" xr:uid="{00000000-0006-0000-0500-000033000000}">
      <text>
        <r>
          <rPr>
            <b/>
            <sz val="12"/>
            <color indexed="81"/>
            <rFont val="Arial"/>
            <family val="2"/>
          </rPr>
          <t>Tip:</t>
        </r>
        <r>
          <rPr>
            <sz val="12"/>
            <color indexed="81"/>
            <rFont val="Arial"/>
            <family val="2"/>
          </rPr>
          <t xml:space="preserve">
This shows the percent of total heat losses in winter for this window.</t>
        </r>
      </text>
    </comment>
    <comment ref="W19" authorId="1" shapeId="0" xr:uid="{00000000-0006-0000-0500-000034000000}">
      <text>
        <r>
          <rPr>
            <b/>
            <sz val="12"/>
            <color indexed="81"/>
            <rFont val="Arial"/>
            <family val="2"/>
          </rPr>
          <t>Tip:</t>
        </r>
        <r>
          <rPr>
            <sz val="12"/>
            <color indexed="81"/>
            <rFont val="Arial"/>
            <family val="2"/>
          </rPr>
          <t xml:space="preserve">
This shows the percent of total winter heat gain for this window.</t>
        </r>
      </text>
    </comment>
    <comment ref="Y19" authorId="1" shapeId="0" xr:uid="{00000000-0006-0000-0500-000035000000}">
      <text>
        <r>
          <rPr>
            <b/>
            <sz val="12"/>
            <color indexed="81"/>
            <rFont val="Arial"/>
            <family val="2"/>
          </rPr>
          <t>Tip:</t>
        </r>
        <r>
          <rPr>
            <sz val="12"/>
            <color indexed="81"/>
            <rFont val="Arial"/>
            <family val="2"/>
          </rPr>
          <t xml:space="preserve">
'</t>
        </r>
        <r>
          <rPr>
            <b/>
            <sz val="12"/>
            <color indexed="81"/>
            <rFont val="Arial"/>
            <family val="2"/>
          </rPr>
          <t>Element share</t>
        </r>
        <r>
          <rPr>
            <sz val="12"/>
            <color indexed="81"/>
            <rFont val="Arial"/>
            <family val="2"/>
          </rPr>
          <t xml:space="preserve">' refers to the </t>
        </r>
        <r>
          <rPr>
            <b/>
            <sz val="12"/>
            <color indexed="81"/>
            <rFont val="Arial"/>
            <family val="2"/>
          </rPr>
          <t>first percentage figure</t>
        </r>
        <r>
          <rPr>
            <sz val="12"/>
            <color indexed="81"/>
            <rFont val="Arial"/>
            <family val="2"/>
          </rPr>
          <t xml:space="preserve">. It is the percentage contribution that the </t>
        </r>
        <r>
          <rPr>
            <b/>
            <sz val="12"/>
            <color indexed="81"/>
            <rFont val="Arial"/>
            <family val="2"/>
          </rPr>
          <t>individual glazing element</t>
        </r>
        <r>
          <rPr>
            <sz val="12"/>
            <color indexed="81"/>
            <rFont val="Arial"/>
            <family val="2"/>
          </rPr>
          <t xml:space="preserve"> makes to the aggregate solar heat gain outcome for its floor type. The figure will be 100% when there is only one glazing element for that floor type.
'</t>
        </r>
        <r>
          <rPr>
            <b/>
            <sz val="12"/>
            <color indexed="81"/>
            <rFont val="Arial"/>
            <family val="2"/>
          </rPr>
          <t>% of allowance used</t>
        </r>
        <r>
          <rPr>
            <sz val="12"/>
            <color indexed="81"/>
            <rFont val="Arial"/>
            <family val="2"/>
          </rPr>
          <t xml:space="preserve">' refers to the second percentage figure. It is the portion of the solar heat gain allowance consumed by </t>
        </r>
        <r>
          <rPr>
            <b/>
            <sz val="12"/>
            <color indexed="81"/>
            <rFont val="Arial"/>
            <family val="2"/>
          </rPr>
          <t>all glazing elements</t>
        </r>
        <r>
          <rPr>
            <sz val="12"/>
            <color indexed="81"/>
            <rFont val="Arial"/>
            <family val="2"/>
          </rPr>
          <t xml:space="preserve"> for the floor type. This value will be greater than 100% when the aggregate solar heat gain of the elements exceeds the solar heat gain allowance. </t>
        </r>
      </text>
    </comment>
    <comment ref="AD19" authorId="1" shapeId="0" xr:uid="{00000000-0006-0000-0500-000036000000}">
      <text>
        <r>
          <rPr>
            <b/>
            <sz val="8"/>
            <color indexed="81"/>
            <rFont val="Tahoma"/>
            <family val="2"/>
          </rPr>
          <t>Bruce Lightfoot:</t>
        </r>
        <r>
          <rPr>
            <sz val="8"/>
            <color indexed="81"/>
            <rFont val="Tahoma"/>
            <family val="2"/>
          </rPr>
          <t xml:space="preserve">
Values in this column are 1 or 0 only. 1 appears when the row is 'active' and allows counting of 'active' rows presently displayed.</t>
        </r>
      </text>
    </comment>
    <comment ref="AH19" authorId="1" shapeId="0" xr:uid="{00000000-0006-0000-0500-000037000000}">
      <text>
        <r>
          <rPr>
            <b/>
            <sz val="9"/>
            <color indexed="81"/>
            <rFont val="Tahoma"/>
            <family val="2"/>
          </rPr>
          <t>Bruce Lightfoot:</t>
        </r>
        <r>
          <rPr>
            <sz val="9"/>
            <color indexed="81"/>
            <rFont val="Tahoma"/>
            <family val="2"/>
          </rPr>
          <t xml:space="preserve">
Counts all entries to the right of the ID column in each row.</t>
        </r>
      </text>
    </comment>
    <comment ref="AI19" authorId="1" shapeId="0" xr:uid="{00000000-0006-0000-0500-000038000000}">
      <text>
        <r>
          <rPr>
            <b/>
            <sz val="8"/>
            <color indexed="81"/>
            <rFont val="Tahoma"/>
            <family val="2"/>
          </rPr>
          <t>Bruce Lightfoot:</t>
        </r>
        <r>
          <rPr>
            <sz val="8"/>
            <color indexed="81"/>
            <rFont val="Tahoma"/>
            <family val="2"/>
          </rPr>
          <t xml:space="preserve">
A row becomes 'active' once a valid orientation sector has been entered. This indicates only that the row is ready to accept the additional inputs needed for calculations.</t>
        </r>
      </text>
    </comment>
    <comment ref="AJ19" authorId="1" shapeId="0" xr:uid="{00000000-0006-0000-0500-000039000000}">
      <text>
        <r>
          <rPr>
            <b/>
            <sz val="8"/>
            <color indexed="81"/>
            <rFont val="Tahoma"/>
            <family val="2"/>
          </rPr>
          <t>Bruce Lightfoot:</t>
        </r>
        <r>
          <rPr>
            <sz val="8"/>
            <color indexed="81"/>
            <rFont val="Tahoma"/>
            <family val="2"/>
          </rPr>
          <t xml:space="preserve">
"data" refers only to the inputs to the right of the Orientation column.</t>
        </r>
      </text>
    </comment>
    <comment ref="AK19" authorId="1" shapeId="0" xr:uid="{00000000-0006-0000-0500-00003A000000}">
      <text>
        <r>
          <rPr>
            <b/>
            <sz val="9"/>
            <color indexed="81"/>
            <rFont val="Tahoma"/>
            <family val="2"/>
          </rPr>
          <t>Bruce Lightfoot:</t>
        </r>
        <r>
          <rPr>
            <sz val="9"/>
            <color indexed="81"/>
            <rFont val="Tahoma"/>
            <family val="2"/>
          </rPr>
          <t xml:space="preserve">
Long label (not wrapped) is for use in input alerts.</t>
        </r>
      </text>
    </comment>
    <comment ref="AL19" authorId="1" shapeId="0" xr:uid="{00000000-0006-0000-0500-00003B000000}">
      <text>
        <r>
          <rPr>
            <b/>
            <sz val="8"/>
            <color indexed="81"/>
            <rFont val="Tahoma"/>
            <family val="2"/>
          </rPr>
          <t>Bruce Lightfoot:</t>
        </r>
        <r>
          <rPr>
            <sz val="8"/>
            <color indexed="81"/>
            <rFont val="Tahoma"/>
            <family val="2"/>
          </rPr>
          <t xml:space="preserve">
Conditional formatting limitations in pre 2007 versions prevent this condition being shown by colour.</t>
        </r>
      </text>
    </comment>
    <comment ref="AN19" authorId="1" shapeId="0" xr:uid="{00000000-0006-0000-0500-00003C000000}">
      <text>
        <r>
          <rPr>
            <b/>
            <sz val="9"/>
            <color indexed="81"/>
            <rFont val="Tahoma"/>
            <family val="2"/>
          </rPr>
          <t>Bruce Lightfoot:</t>
        </r>
        <r>
          <rPr>
            <sz val="9"/>
            <color indexed="81"/>
            <rFont val="Tahoma"/>
            <family val="2"/>
          </rPr>
          <t xml:space="preserve">
Long label (not wrapped) is for use in input alerts.</t>
        </r>
      </text>
    </comment>
    <comment ref="AO19" authorId="1" shapeId="0" xr:uid="{00000000-0006-0000-0500-00003D000000}">
      <text>
        <r>
          <rPr>
            <b/>
            <sz val="8"/>
            <color indexed="81"/>
            <rFont val="Tahoma"/>
            <family val="2"/>
          </rPr>
          <t>Bruce Lightfoot:</t>
        </r>
        <r>
          <rPr>
            <sz val="8"/>
            <color indexed="81"/>
            <rFont val="Tahoma"/>
            <family val="2"/>
          </rPr>
          <t xml:space="preserve">
Can evaluate to TRUE only when a width figure has been given.</t>
        </r>
      </text>
    </comment>
    <comment ref="AR19" authorId="1" shapeId="0" xr:uid="{00000000-0006-0000-0500-00003E000000}">
      <text>
        <r>
          <rPr>
            <b/>
            <sz val="9"/>
            <color indexed="81"/>
            <rFont val="Tahoma"/>
            <family val="2"/>
          </rPr>
          <t>Bruce Lightfoot:</t>
        </r>
        <r>
          <rPr>
            <sz val="9"/>
            <color indexed="81"/>
            <rFont val="Tahoma"/>
            <family val="2"/>
          </rPr>
          <t xml:space="preserve">
Evaluation is suppressed until Size details have been provided.</t>
        </r>
      </text>
    </comment>
    <comment ref="AS19" authorId="1" shapeId="0" xr:uid="{00000000-0006-0000-0500-00003F000000}">
      <text>
        <r>
          <rPr>
            <b/>
            <sz val="9"/>
            <color indexed="81"/>
            <rFont val="Tahoma"/>
            <family val="2"/>
          </rPr>
          <t>Bruce Lightfoot:</t>
        </r>
        <r>
          <rPr>
            <sz val="9"/>
            <color indexed="81"/>
            <rFont val="Tahoma"/>
            <family val="2"/>
          </rPr>
          <t xml:space="preserve">
Separator shown in this heading will be used when both U-Value and SHGC are needed.</t>
        </r>
      </text>
    </comment>
    <comment ref="BA19" authorId="1" shapeId="0" xr:uid="{00000000-0006-0000-0500-000040000000}">
      <text>
        <r>
          <rPr>
            <b/>
            <sz val="9"/>
            <color indexed="81"/>
            <rFont val="Tahoma"/>
            <family val="2"/>
          </rPr>
          <t>Bruce Lightfoot:</t>
        </r>
        <r>
          <rPr>
            <sz val="9"/>
            <color indexed="81"/>
            <rFont val="Tahoma"/>
            <family val="2"/>
          </rPr>
          <t xml:space="preserve">
Note that some issues are not flagged until preceding issues have been cleared. This total does not necessarily include all issues present at any one time.</t>
        </r>
      </text>
    </comment>
    <comment ref="BB19" authorId="1" shapeId="0" xr:uid="{00000000-0006-0000-0500-000041000000}">
      <text>
        <r>
          <rPr>
            <b/>
            <sz val="8"/>
            <color indexed="81"/>
            <rFont val="Tahoma"/>
            <family val="2"/>
          </rPr>
          <t>Bruce Lightfoot:</t>
        </r>
        <r>
          <rPr>
            <sz val="8"/>
            <color indexed="81"/>
            <rFont val="Tahoma"/>
            <family val="2"/>
          </rPr>
          <t xml:space="preserve">
"Advice" label will be used when the next row of the table has no data anywhere in the row.</t>
        </r>
      </text>
    </comment>
    <comment ref="BD19" authorId="1" shapeId="0" xr:uid="{00000000-0006-0000-0500-000042000000}">
      <text>
        <r>
          <rPr>
            <b/>
            <sz val="8"/>
            <color indexed="81"/>
            <rFont val="Tahoma"/>
            <family val="2"/>
          </rPr>
          <t>Bruce Lightfoot:</t>
        </r>
        <r>
          <rPr>
            <sz val="8"/>
            <color indexed="81"/>
            <rFont val="Tahoma"/>
            <family val="2"/>
          </rPr>
          <t xml:space="preserve">
Test can return TRUE only when a glazing height (h) has been given.
Tony Isaacs:
Halving p/h for eave offset &gt; 0.5 is OK for conventional small eaves, but for deep shade is inaccurate. Fixing would mean recalculating factors</t>
        </r>
      </text>
    </comment>
    <comment ref="BM19" authorId="1" shapeId="0" xr:uid="{00000000-0006-0000-0500-000043000000}">
      <text>
        <r>
          <rPr>
            <b/>
            <sz val="8"/>
            <color indexed="81"/>
            <rFont val="Tahoma"/>
            <family val="2"/>
          </rPr>
          <t xml:space="preserve">Bruce Lightfoot:
</t>
        </r>
        <r>
          <rPr>
            <sz val="8"/>
            <color indexed="81"/>
            <rFont val="Tahoma"/>
            <family val="2"/>
          </rPr>
          <t>Font set to 8 point since t</t>
        </r>
        <r>
          <rPr>
            <sz val="8"/>
            <color indexed="81"/>
            <rFont val="Tahoma"/>
            <family val="2"/>
          </rPr>
          <t>his column may include FALSE.</t>
        </r>
      </text>
    </comment>
    <comment ref="BN19" authorId="1" shapeId="0" xr:uid="{00000000-0006-0000-0500-000044000000}">
      <text>
        <r>
          <rPr>
            <b/>
            <sz val="8"/>
            <color indexed="81"/>
            <rFont val="Tahoma"/>
            <family val="2"/>
          </rPr>
          <t>Bruce Lightfoot:</t>
        </r>
        <r>
          <rPr>
            <sz val="8"/>
            <color indexed="81"/>
            <rFont val="Tahoma"/>
            <family val="2"/>
          </rPr>
          <t xml:space="preserve">
10.00 appears for active elements when Zone is zero to avoid lookup failures and downstream effects.</t>
        </r>
      </text>
    </comment>
    <comment ref="BQ19" authorId="1" shapeId="0" xr:uid="{00000000-0006-0000-0500-000045000000}">
      <text>
        <r>
          <rPr>
            <b/>
            <sz val="8"/>
            <color indexed="81"/>
            <rFont val="Tahoma"/>
            <family val="2"/>
          </rPr>
          <t>Bruce Lightfoot:</t>
        </r>
        <r>
          <rPr>
            <sz val="8"/>
            <color indexed="81"/>
            <rFont val="Tahoma"/>
            <family val="2"/>
          </rPr>
          <t xml:space="preserve">
Interpolated E value. (Labelled "actual" to suit column width.)
10.00 will appear when Zone is zero.</t>
        </r>
      </text>
    </comment>
    <comment ref="BS19" authorId="2" shapeId="0" xr:uid="{00000000-0006-0000-0500-000046000000}">
      <text>
        <t>[Threaded comment]
Your version of Excel allows you to read this threaded comment; however, any edits to it will get removed if the file is opened in a newer version of Excel. Learn more: https://go.microsoft.com/fwlink/?linkid=870924
Comment:
    TI: added BM to BP to stop entry of "device" at Q reducing winter heat gain. Sets P/H to zero. Ideally, would have both projection details and device details in a separate column. 
 25/4/22</t>
      </text>
    </comment>
    <comment ref="BW19" authorId="1" shapeId="0" xr:uid="{00000000-0006-0000-0500-000047000000}">
      <text>
        <r>
          <rPr>
            <b/>
            <sz val="8"/>
            <color indexed="81"/>
            <rFont val="Tahoma"/>
            <family val="2"/>
          </rPr>
          <t>Bruce Lightfoot:</t>
        </r>
        <r>
          <rPr>
            <sz val="8"/>
            <color indexed="81"/>
            <rFont val="Tahoma"/>
            <family val="2"/>
          </rPr>
          <t xml:space="preserve">
10.00 appears for active elements when Zone is zero to avoid lookup failures and downstream effects.</t>
        </r>
      </text>
    </comment>
    <comment ref="BZ19" authorId="1" shapeId="0" xr:uid="{00000000-0006-0000-0500-000048000000}">
      <text>
        <r>
          <rPr>
            <b/>
            <sz val="8"/>
            <color indexed="81"/>
            <rFont val="Tahoma"/>
            <family val="2"/>
          </rPr>
          <t>Bruce Lightfoot:</t>
        </r>
        <r>
          <rPr>
            <sz val="8"/>
            <color indexed="81"/>
            <rFont val="Tahoma"/>
            <family val="2"/>
          </rPr>
          <t xml:space="preserve">
Interpolated E value. (Labelled "actual" to suit column width.)
10.00 will appear when Zone is zero.</t>
        </r>
      </text>
    </comment>
    <comment ref="CA19" authorId="1" shapeId="0" xr:uid="{00000000-0006-0000-0500-000049000000}">
      <text>
        <r>
          <rPr>
            <b/>
            <sz val="8"/>
            <color indexed="81"/>
            <rFont val="Tahoma"/>
            <family val="2"/>
          </rPr>
          <t>Bruce Lightfoot:</t>
        </r>
        <r>
          <rPr>
            <sz val="8"/>
            <color indexed="81"/>
            <rFont val="Tahoma"/>
            <family val="2"/>
          </rPr>
          <t xml:space="preserve">
These results are referred to "Access" and their sum is multiplied with Cu (for zones 2-8).</t>
        </r>
      </text>
    </comment>
    <comment ref="CC19" authorId="1" shapeId="0" xr:uid="{00000000-0006-0000-0500-00004A000000}">
      <text>
        <r>
          <rPr>
            <b/>
            <sz val="8"/>
            <color indexed="81"/>
            <rFont val="Tahoma"/>
            <family val="2"/>
          </rPr>
          <t>Bruce Lightfoot:</t>
        </r>
        <r>
          <rPr>
            <sz val="8"/>
            <color indexed="81"/>
            <rFont val="Tahoma"/>
            <family val="2"/>
          </rPr>
          <t xml:space="preserve">
These values accumulate to form the numerator of the fraction in the left hand side of the Conductance equation. The denominator is transferred to the right hand side by using it to multiply Cu and create the Conductance allowance.</t>
        </r>
      </text>
    </comment>
    <comment ref="CE19" authorId="1" shapeId="0" xr:uid="{00000000-0006-0000-0500-00004B000000}">
      <text>
        <r>
          <rPr>
            <b/>
            <sz val="8"/>
            <color indexed="81"/>
            <rFont val="Tahoma"/>
            <family val="2"/>
          </rPr>
          <t>Bruce Lightfoot:</t>
        </r>
        <r>
          <rPr>
            <sz val="8"/>
            <color indexed="81"/>
            <rFont val="Tahoma"/>
            <family val="2"/>
          </rPr>
          <t xml:space="preserve">
Formulae adjusted to refer to combined result 18.10.09.</t>
        </r>
      </text>
    </comment>
    <comment ref="CI19" authorId="1" shapeId="0" xr:uid="{00000000-0006-0000-0500-00004C000000}">
      <text>
        <r>
          <rPr>
            <b/>
            <sz val="8"/>
            <color indexed="81"/>
            <rFont val="Tahoma"/>
            <family val="2"/>
          </rPr>
          <t>Bruce Lightfoot:</t>
        </r>
        <r>
          <rPr>
            <sz val="8"/>
            <color indexed="81"/>
            <rFont val="Tahoma"/>
            <family val="2"/>
          </rPr>
          <t xml:space="preserve">
"Label" is the string that appears in the "% share of % of allowance" column.</t>
        </r>
      </text>
    </comment>
    <comment ref="CS19" authorId="3" shapeId="0" xr:uid="{00000000-0006-0000-0500-00004D000000}">
      <text>
        <t>[Threaded comment]
Your version of Excel allows you to read this threaded comment; however, any edits to it will get removed if the file is opened in a newer version of Excel. Learn more: https://go.microsoft.com/fwlink/?linkid=870924
Comment:
    TI: fixed error in openability lookup, incomplete if statement, 22/4/22</t>
      </text>
    </comment>
    <comment ref="BG20" authorId="1" shapeId="0" xr:uid="{00000000-0006-0000-0500-00004E000000}">
      <text>
        <r>
          <rPr>
            <b/>
            <sz val="8"/>
            <color indexed="81"/>
            <rFont val="Tahoma"/>
            <family val="2"/>
          </rPr>
          <t>Bruce Lightfoot:</t>
        </r>
        <r>
          <rPr>
            <sz val="8"/>
            <color indexed="81"/>
            <rFont val="Tahoma"/>
            <family val="2"/>
          </rPr>
          <t xml:space="preserve">
Formula tests for completion of inputs before allowing display of compliance failures.</t>
        </r>
      </text>
    </comment>
    <comment ref="R133" authorId="1" shapeId="0" xr:uid="{00000000-0006-0000-0500-00004F000000}">
      <text>
        <r>
          <rPr>
            <b/>
            <sz val="9"/>
            <color indexed="81"/>
            <rFont val="Tahoma"/>
            <family val="2"/>
          </rPr>
          <t>Bruce Lightfoot:</t>
        </r>
        <r>
          <rPr>
            <sz val="9"/>
            <color indexed="81"/>
            <rFont val="Tahoma"/>
            <family val="2"/>
          </rPr>
          <t xml:space="preserve">
This count refers to the lengths of alert strings calculated below.</t>
        </r>
      </text>
    </comment>
    <comment ref="S133" authorId="1" shapeId="0" xr:uid="{00000000-0006-0000-0500-000050000000}">
      <text>
        <r>
          <rPr>
            <b/>
            <sz val="9"/>
            <color indexed="81"/>
            <rFont val="Tahoma"/>
            <family val="2"/>
          </rPr>
          <t>Bruce Lightfoot:</t>
        </r>
        <r>
          <rPr>
            <sz val="9"/>
            <color indexed="81"/>
            <rFont val="Tahoma"/>
            <family val="2"/>
          </rPr>
          <t xml:space="preserve">
This count refers to the lengths of alert strings calculated below.</t>
        </r>
      </text>
    </comment>
    <comment ref="V133" authorId="1" shapeId="0" xr:uid="{00000000-0006-0000-0500-000051000000}">
      <text>
        <r>
          <rPr>
            <b/>
            <sz val="9"/>
            <color indexed="81"/>
            <rFont val="Tahoma"/>
            <family val="2"/>
          </rPr>
          <t>Bruce Lightfoot:</t>
        </r>
        <r>
          <rPr>
            <sz val="9"/>
            <color indexed="81"/>
            <rFont val="Tahoma"/>
            <family val="2"/>
          </rPr>
          <t xml:space="preserve">
Sum of Alerts and Issues</t>
        </r>
      </text>
    </comment>
    <comment ref="H137" authorId="1" shapeId="0" xr:uid="{00000000-0006-0000-0500-000052000000}">
      <text>
        <r>
          <rPr>
            <b/>
            <sz val="8"/>
            <color indexed="81"/>
            <rFont val="Tahoma"/>
            <family val="2"/>
          </rPr>
          <t>Bruce Lightfoot:</t>
        </r>
        <r>
          <rPr>
            <sz val="8"/>
            <color indexed="81"/>
            <rFont val="Tahoma"/>
            <family val="2"/>
          </rPr>
          <t xml:space="preserve">
Leading spaces to control alignment and coverage of input box title</t>
        </r>
      </text>
    </comment>
    <comment ref="H138" authorId="1" shapeId="0" xr:uid="{00000000-0006-0000-0500-000053000000}">
      <text>
        <r>
          <rPr>
            <b/>
            <sz val="8"/>
            <color indexed="81"/>
            <rFont val="Tahoma"/>
            <family val="2"/>
          </rPr>
          <t>Bruce Lightfoot:</t>
        </r>
        <r>
          <rPr>
            <sz val="8"/>
            <color indexed="81"/>
            <rFont val="Tahoma"/>
            <family val="2"/>
          </rPr>
          <t xml:space="preserve">
Leading space added to text box message 9.6.09</t>
        </r>
      </text>
    </comment>
    <comment ref="E139" authorId="1" shapeId="0" xr:uid="{00000000-0006-0000-0500-000054000000}">
      <text>
        <r>
          <rPr>
            <b/>
            <sz val="8"/>
            <color indexed="81"/>
            <rFont val="Tahoma"/>
            <family val="2"/>
          </rPr>
          <t>Bruce Lightfoot:</t>
        </r>
        <r>
          <rPr>
            <sz val="8"/>
            <color indexed="81"/>
            <rFont val="Tahoma"/>
            <family val="2"/>
          </rPr>
          <t xml:space="preserve">
'Glazing' means at least one glazing element has a sector assigned.</t>
        </r>
      </text>
    </comment>
    <comment ref="H139" authorId="1" shapeId="0" xr:uid="{00000000-0006-0000-0500-000055000000}">
      <text>
        <r>
          <rPr>
            <b/>
            <sz val="8"/>
            <color indexed="81"/>
            <rFont val="Tahoma"/>
            <family val="2"/>
          </rPr>
          <t>Bruce Lightfoot:</t>
        </r>
        <r>
          <rPr>
            <sz val="8"/>
            <color indexed="81"/>
            <rFont val="Tahoma"/>
            <family val="2"/>
          </rPr>
          <t xml:space="preserve">
Leading spaces added to text box contents 9.6.09 to control alignment</t>
        </r>
      </text>
    </comment>
    <comment ref="E141" authorId="1" shapeId="0" xr:uid="{00000000-0006-0000-0500-000056000000}">
      <text>
        <r>
          <rPr>
            <b/>
            <sz val="8"/>
            <color indexed="81"/>
            <rFont val="Tahoma"/>
            <family val="2"/>
          </rPr>
          <t>Bruce Lightfoot:</t>
        </r>
        <r>
          <rPr>
            <sz val="8"/>
            <color indexed="81"/>
            <rFont val="Tahoma"/>
            <family val="2"/>
          </rPr>
          <t xml:space="preserve">
"prior" refers to preceding inputs (in cursor order)</t>
        </r>
      </text>
    </comment>
    <comment ref="E142" authorId="1" shapeId="0" xr:uid="{00000000-0006-0000-0500-000057000000}">
      <text>
        <r>
          <rPr>
            <b/>
            <sz val="8"/>
            <color indexed="81"/>
            <rFont val="Tahoma"/>
            <family val="2"/>
          </rPr>
          <t>Bruce Lightfoot:</t>
        </r>
        <r>
          <rPr>
            <sz val="8"/>
            <color indexed="81"/>
            <rFont val="Tahoma"/>
            <family val="2"/>
          </rPr>
          <t xml:space="preserve">
SOU changed to Storey 9.6.09</t>
        </r>
      </text>
    </comment>
    <comment ref="H142" authorId="1" shapeId="0" xr:uid="{00000000-0006-0000-0500-000058000000}">
      <text>
        <r>
          <rPr>
            <b/>
            <sz val="8"/>
            <color indexed="81"/>
            <rFont val="Tahoma"/>
            <family val="2"/>
          </rPr>
          <t>Bruce Lightfoot:</t>
        </r>
        <r>
          <rPr>
            <sz val="8"/>
            <color indexed="81"/>
            <rFont val="Tahoma"/>
            <family val="2"/>
          </rPr>
          <t xml:space="preserve">
Leading spaces added to location error message over normal title when text box is in cell to left.</t>
        </r>
      </text>
    </comment>
    <comment ref="G153" authorId="0" shapeId="0" xr:uid="{00000000-0006-0000-0500-000059000000}">
      <text>
        <r>
          <rPr>
            <b/>
            <sz val="9"/>
            <color indexed="81"/>
            <rFont val="Tahoma"/>
            <family val="2"/>
          </rPr>
          <t>tony isaacs:</t>
        </r>
        <r>
          <rPr>
            <sz val="9"/>
            <color indexed="81"/>
            <rFont val="Tahoma"/>
            <family val="2"/>
          </rPr>
          <t xml:space="preserve">
Fixed to flase as wall concessions no longer relevent</t>
        </r>
      </text>
    </comment>
    <comment ref="H155" authorId="1" shapeId="0" xr:uid="{00000000-0006-0000-0500-00005A000000}">
      <text>
        <r>
          <rPr>
            <b/>
            <sz val="8"/>
            <color indexed="81"/>
            <rFont val="Tahoma"/>
            <family val="2"/>
          </rPr>
          <t>Bruce Lightfoot:</t>
        </r>
        <r>
          <rPr>
            <sz val="8"/>
            <color indexed="81"/>
            <rFont val="Tahoma"/>
            <family val="2"/>
          </rPr>
          <t xml:space="preserve">
Additional condition needed here (in contrast to cells above) due to multiple uses of TopInputsOK. Alert message changed 9.6.09 to suit restricted width in title row.</t>
        </r>
      </text>
    </comment>
    <comment ref="H164" authorId="1" shapeId="0" xr:uid="{00000000-0006-0000-0500-00005B000000}">
      <text>
        <r>
          <rPr>
            <b/>
            <sz val="8"/>
            <color indexed="81"/>
            <rFont val="Tahoma"/>
            <family val="2"/>
          </rPr>
          <t>Bruce Lightfoot:</t>
        </r>
        <r>
          <rPr>
            <sz val="8"/>
            <color indexed="81"/>
            <rFont val="Tahoma"/>
            <family val="2"/>
          </rPr>
          <t xml:space="preserve">
This formula formerly supplied an error alert to a text box that is no longer used. Error is now flagged by data validation constraints.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JacobBauer</author>
  </authors>
  <commentList>
    <comment ref="I30" authorId="0" shapeId="0" xr:uid="{00000000-0006-0000-1100-000001000000}">
      <text>
        <r>
          <rPr>
            <b/>
            <sz val="12"/>
            <color indexed="81"/>
            <rFont val="Arial"/>
            <family val="2"/>
          </rPr>
          <t>Habitable room</t>
        </r>
        <r>
          <rPr>
            <sz val="12"/>
            <color indexed="81"/>
            <rFont val="Arial"/>
            <family val="2"/>
          </rPr>
          <t xml:space="preserve">: A room used for normal domestic activities, and— 
(a) includes a bedroom, living room, lounge room, music room, television room, kitchen, dining room, sewing room, study, playroom, family room, home theatre and sunroom; but 
(b) excludes a bathroom, laundry, water closet, pantry, walk-in wardrobe, corridor, hallway, lobby, photographic darkroom, clothes-drying room, and other spaces of a specialised nature occupied neither frequently nor for extended periods.
</t>
        </r>
        <r>
          <rPr>
            <b/>
            <sz val="12"/>
            <color indexed="81"/>
            <rFont val="Arial"/>
            <family val="2"/>
          </rPr>
          <t>Conditioned space</t>
        </r>
        <r>
          <rPr>
            <sz val="12"/>
            <color indexed="81"/>
            <rFont val="Arial"/>
            <family val="2"/>
          </rPr>
          <t>: For the purposes of—
(a) Volume One, a space within a building, including a ceiling or under-floor supply air plenum or return air plenum, where the environment is likely, by the intended use of the space, to have its temperature controlled by air conditioning; or 
(b) Volume Two, a space within a building that is heated or cooled by the building’s domestic services, excluding a non-habitable room in which a heater with a capacity of not more than 1.2 kW or 4.3 MJ/hour is installed.</t>
        </r>
      </text>
    </comment>
    <comment ref="I53" authorId="0" shapeId="0" xr:uid="{00000000-0006-0000-1100-000002000000}">
      <text>
        <r>
          <rPr>
            <b/>
            <sz val="12"/>
            <color indexed="81"/>
            <rFont val="Arial"/>
            <family val="2"/>
          </rPr>
          <t>Habitable room</t>
        </r>
        <r>
          <rPr>
            <sz val="12"/>
            <color indexed="81"/>
            <rFont val="Arial"/>
            <family val="2"/>
          </rPr>
          <t xml:space="preserve">: A room used for normal domestic activities, and— 
(a) includes a bedroom, living room, lounge room, music room, television room, kitchen, dining room, sewing room, study, playroom, family room, home theatre and sunroom; but 
(b) excludes a bathroom, laundry, water closet, pantry, walk-in wardrobe, corridor, hallway, lobby, photographic darkroom, clothes-drying room, and other spaces of a specialised nature occupied neither frequently nor for extended periods.
</t>
        </r>
        <r>
          <rPr>
            <b/>
            <sz val="12"/>
            <color indexed="81"/>
            <rFont val="Arial"/>
            <family val="2"/>
          </rPr>
          <t>Conditioned space</t>
        </r>
        <r>
          <rPr>
            <sz val="12"/>
            <color indexed="81"/>
            <rFont val="Arial"/>
            <family val="2"/>
          </rPr>
          <t>: For the purposes of—
(a) Volume One, a space within a building, including a ceiling or under-floor supply air plenum or return air plenum, where the environment is likely, by the intended use of the space, to have its temperature controlled by air conditioning; or 
(b) Volume Two, a space within a building that is heated or cooled by the building’s domestic services, excluding a non-habitable room in which a heater with a capacity of not more than 1.2 kW or 4.3 MJ/hour is installed.</t>
        </r>
      </text>
    </comment>
    <comment ref="I66" authorId="0" shapeId="0" xr:uid="{00000000-0006-0000-1100-000003000000}">
      <text>
        <r>
          <rPr>
            <b/>
            <sz val="12"/>
            <color indexed="81"/>
            <rFont val="Arial"/>
            <family val="2"/>
          </rPr>
          <t>Habitable room</t>
        </r>
        <r>
          <rPr>
            <sz val="12"/>
            <color indexed="81"/>
            <rFont val="Arial"/>
            <family val="2"/>
          </rPr>
          <t xml:space="preserve">: A room used for normal domestic activities, and— 
(a) includes a bedroom, living room, lounge room, music room, television room, kitchen, dining room, sewing room, study, playroom, family room, home theatre and sunroom; but 
(b) excludes a bathroom, laundry, water closet, pantry, walk-in wardrobe, corridor, hallway, lobby, photographic darkroom, clothes-drying room, and other spaces of a specialised nature occupied neither frequently nor for extended periods.
</t>
        </r>
        <r>
          <rPr>
            <b/>
            <sz val="12"/>
            <color indexed="81"/>
            <rFont val="Arial"/>
            <family val="2"/>
          </rPr>
          <t>Conditioned space</t>
        </r>
        <r>
          <rPr>
            <sz val="12"/>
            <color indexed="81"/>
            <rFont val="Arial"/>
            <family val="2"/>
          </rPr>
          <t>: For the purposes of—
(a) Volume One, a space within a building, including a ceiling or under-floor supply air plenum or return air plenum, where the environment is likely, by the intended use of the space, to have its temperature controlled by air conditioning; or 
(b) Volume Two, a space within a building that is heated or cooled by the building’s domestic services, excluding a non-habitable room in which a heater with a capacity of not more than 1.2 kW or 4.3 MJ/hour is installed.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Woolnough, Matt</author>
    <author>Lu, Roger</author>
    <author>Armstrong, Alexander</author>
  </authors>
  <commentList>
    <comment ref="S11" authorId="0" shapeId="0" xr:uid="{00000000-0006-0000-1300-000001000000}">
      <text>
        <r>
          <rPr>
            <b/>
            <sz val="9"/>
            <color indexed="81"/>
            <rFont val="Tahoma"/>
            <family val="2"/>
          </rPr>
          <t>Woolnough, Matt:</t>
        </r>
        <r>
          <rPr>
            <sz val="9"/>
            <color indexed="81"/>
            <rFont val="Tahoma"/>
            <family val="2"/>
          </rPr>
          <t xml:space="preserve">
Looks up the energy factor based on the location climate zone and building class.</t>
        </r>
      </text>
    </comment>
    <comment ref="W11" authorId="1" shapeId="0" xr:uid="{00000000-0006-0000-1300-000002000000}">
      <text>
        <r>
          <rPr>
            <b/>
            <sz val="9"/>
            <color indexed="81"/>
            <rFont val="Tahoma"/>
            <family val="2"/>
          </rPr>
          <t>Lu, Roger:</t>
        </r>
        <r>
          <rPr>
            <sz val="9"/>
            <color indexed="81"/>
            <rFont val="Tahoma"/>
            <family val="2"/>
          </rPr>
          <t xml:space="preserve">
E_w, or E_e is the efficiency factor obtained.</t>
        </r>
      </text>
    </comment>
    <comment ref="F15" authorId="2" shapeId="0" xr:uid="{00000000-0006-0000-1300-000003000000}">
      <text>
        <r>
          <rPr>
            <b/>
            <sz val="9"/>
            <color indexed="81"/>
            <rFont val="Arial"/>
            <family val="2"/>
          </rPr>
          <t xml:space="preserve">Heat pumps
</t>
        </r>
        <r>
          <rPr>
            <sz val="9"/>
            <color indexed="81"/>
            <rFont val="Arial"/>
            <family val="2"/>
          </rPr>
          <t>When using a ducted or non-ducted heat pump users have the optoin to select the relevant rating system supplied for the hearing and cooling heat pump systems.
For Pre 2019  heating and cooling heat pump systems:
● 2013 Gems star rating, or
● AEER/ACOP factor
For Post 2019 heating and cooling heat pump systems:
● 2019 GEMS star rating,  or
● HSPF/TSCPF factors</t>
        </r>
      </text>
    </comment>
    <comment ref="S15" authorId="1" shapeId="0" xr:uid="{00000000-0006-0000-1300-000004000000}">
      <text>
        <r>
          <rPr>
            <b/>
            <sz val="9"/>
            <color indexed="81"/>
            <rFont val="Tahoma"/>
            <family val="2"/>
          </rPr>
          <t>Lu, Roger:</t>
        </r>
        <r>
          <rPr>
            <sz val="9"/>
            <color indexed="81"/>
            <rFont val="Tahoma"/>
            <family val="2"/>
          </rPr>
          <t xml:space="preserve">
Looks up the area factor from the relevant Volume One or Housing Provisions tables.</t>
        </r>
      </text>
    </comment>
    <comment ref="Y29" authorId="0" shapeId="0" xr:uid="{00000000-0006-0000-1300-000005000000}">
      <text>
        <r>
          <rPr>
            <b/>
            <sz val="9"/>
            <color indexed="81"/>
            <rFont val="Tahoma"/>
            <family val="2"/>
          </rPr>
          <t>Woolnough, Matt:</t>
        </r>
        <r>
          <rPr>
            <sz val="9"/>
            <color indexed="81"/>
            <rFont val="Tahoma"/>
            <family val="2"/>
          </rPr>
          <t xml:space="preserve">
Takes star rating for space heating.</t>
        </r>
      </text>
    </comment>
    <comment ref="Z29" authorId="0" shapeId="0" xr:uid="{00000000-0006-0000-1300-000006000000}">
      <text>
        <r>
          <rPr>
            <b/>
            <sz val="9"/>
            <color indexed="81"/>
            <rFont val="Tahoma"/>
            <family val="2"/>
          </rPr>
          <t>Woolnough, Matt:</t>
        </r>
        <r>
          <rPr>
            <sz val="9"/>
            <color indexed="81"/>
            <rFont val="Tahoma"/>
            <family val="2"/>
          </rPr>
          <t xml:space="preserve">
Takes input from from space heating type and joins to star rating.</t>
        </r>
      </text>
    </comment>
    <comment ref="AG29" authorId="0" shapeId="0" xr:uid="{00000000-0006-0000-1300-000007000000}">
      <text>
        <r>
          <rPr>
            <b/>
            <sz val="9"/>
            <color indexed="81"/>
            <rFont val="Tahoma"/>
            <family val="2"/>
          </rPr>
          <t>Woolnough, Matt:</t>
        </r>
        <r>
          <rPr>
            <sz val="9"/>
            <color indexed="81"/>
            <rFont val="Tahoma"/>
            <family val="2"/>
          </rPr>
          <t xml:space="preserve">
Sets the value of the column being looked in the lookup array based on space cooling type. </t>
        </r>
      </text>
    </comment>
    <comment ref="Y30" authorId="0" shapeId="0" xr:uid="{00000000-0006-0000-1300-000008000000}">
      <text>
        <r>
          <rPr>
            <b/>
            <sz val="9"/>
            <color indexed="81"/>
            <rFont val="Tahoma"/>
            <family val="2"/>
          </rPr>
          <t>Woolnough, Matt:</t>
        </r>
        <r>
          <rPr>
            <sz val="9"/>
            <color indexed="81"/>
            <rFont val="Tahoma"/>
            <family val="2"/>
          </rPr>
          <t xml:space="preserve">
Takes star rating for the space cooling.</t>
        </r>
      </text>
    </comment>
    <comment ref="Z30" authorId="0" shapeId="0" xr:uid="{00000000-0006-0000-1300-000009000000}">
      <text>
        <r>
          <rPr>
            <b/>
            <sz val="9"/>
            <color indexed="81"/>
            <rFont val="Tahoma"/>
            <family val="2"/>
          </rPr>
          <t>Woolnough, Matt:</t>
        </r>
        <r>
          <rPr>
            <sz val="9"/>
            <color indexed="81"/>
            <rFont val="Tahoma"/>
            <family val="2"/>
          </rPr>
          <t xml:space="preserve">
Takes input value for space cooling type and joins star rating 
</t>
        </r>
      </text>
    </comment>
    <comment ref="X60" authorId="0" shapeId="0" xr:uid="{00000000-0006-0000-1300-00000A000000}">
      <text>
        <r>
          <rPr>
            <b/>
            <sz val="9"/>
            <color indexed="81"/>
            <rFont val="Tahoma"/>
            <family val="2"/>
          </rPr>
          <t>Woolnough, Matt:</t>
        </r>
        <r>
          <rPr>
            <sz val="9"/>
            <color indexed="81"/>
            <rFont val="Tahoma"/>
            <family val="2"/>
          </rPr>
          <t xml:space="preserve">
Takes user input for location to which is used to navigate to the correct sheet when determining Ew</t>
        </r>
      </text>
    </comment>
    <comment ref="Y60" authorId="0" shapeId="0" xr:uid="{00000000-0006-0000-1300-00000B000000}">
      <text>
        <r>
          <rPr>
            <b/>
            <sz val="9"/>
            <color indexed="81"/>
            <rFont val="Tahoma"/>
            <family val="2"/>
          </rPr>
          <t>Woolnough, Matt:</t>
        </r>
        <r>
          <rPr>
            <sz val="9"/>
            <color indexed="81"/>
            <rFont val="Tahoma"/>
            <family val="2"/>
          </rPr>
          <t xml:space="preserve">
Navigates to the correct row based on the space heating selection and lets top left of the lookup array in column C</t>
        </r>
      </text>
    </comment>
    <comment ref="Z60" authorId="0" shapeId="0" xr:uid="{00000000-0006-0000-1300-00000C000000}">
      <text>
        <r>
          <rPr>
            <b/>
            <sz val="9"/>
            <color indexed="81"/>
            <rFont val="Tahoma"/>
            <family val="2"/>
          </rPr>
          <t>Woolnough, Matt:</t>
        </r>
        <r>
          <rPr>
            <sz val="9"/>
            <color indexed="81"/>
            <rFont val="Tahoma"/>
            <family val="2"/>
          </rPr>
          <t xml:space="preserve">
sets bettom right value for lookup array in column K</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Bruce Lightfoot</author>
    <author>ndtarczynski</author>
    <author>Sipols, Michael</author>
    <author>Nick</author>
  </authors>
  <commentList>
    <comment ref="BL24" authorId="0" shapeId="0" xr:uid="{00000000-0006-0000-1500-000001000000}">
      <text>
        <r>
          <rPr>
            <b/>
            <sz val="8"/>
            <color indexed="81"/>
            <rFont val="Tahoma"/>
            <family val="2"/>
          </rPr>
          <t>Bruce Lightfoot:</t>
        </r>
        <r>
          <rPr>
            <sz val="8"/>
            <color indexed="81"/>
            <rFont val="Tahoma"/>
            <family val="2"/>
          </rPr>
          <t xml:space="preserve">
This value controls the decimal precision of overall results reporting within 1% of 100% (in this calculator only). 
Use </t>
        </r>
        <r>
          <rPr>
            <b/>
            <sz val="8"/>
            <color indexed="81"/>
            <rFont val="Tahoma"/>
            <family val="2"/>
          </rPr>
          <t>3</t>
        </r>
        <r>
          <rPr>
            <sz val="8"/>
            <color indexed="81"/>
            <rFont val="Tahoma"/>
            <family val="2"/>
          </rPr>
          <t xml:space="preserve"> to show 1 decimal place or </t>
        </r>
        <r>
          <rPr>
            <b/>
            <sz val="8"/>
            <color indexed="81"/>
            <rFont val="Tahoma"/>
            <family val="2"/>
          </rPr>
          <t>2</t>
        </r>
        <r>
          <rPr>
            <sz val="8"/>
            <color indexed="81"/>
            <rFont val="Tahoma"/>
            <family val="2"/>
          </rPr>
          <t xml:space="preserve"> to show no decimal places.</t>
        </r>
      </text>
    </comment>
    <comment ref="AO26" authorId="1" shapeId="0" xr:uid="{00000000-0006-0000-1500-000002000000}">
      <text>
        <r>
          <rPr>
            <b/>
            <sz val="8"/>
            <color indexed="81"/>
            <rFont val="Tahoma"/>
            <family val="2"/>
          </rPr>
          <t>ndtarczynski:</t>
        </r>
        <r>
          <rPr>
            <sz val="8"/>
            <color indexed="81"/>
            <rFont val="Tahoma"/>
            <family val="2"/>
          </rPr>
          <t xml:space="preserve">
The Cell Left Blank For Function is for the purpose of showing the prompt 'Row Skipped (Ok if intentional)' The output will only show True if there is True output highlighted in the rows below for Data entered in Row </t>
        </r>
      </text>
    </comment>
    <comment ref="AP26" authorId="1" shapeId="0" xr:uid="{00000000-0006-0000-1500-000003000000}">
      <text>
        <r>
          <rPr>
            <b/>
            <sz val="8"/>
            <color indexed="81"/>
            <rFont val="Tahoma"/>
            <family val="2"/>
          </rPr>
          <t>ndtarczynski:</t>
        </r>
        <r>
          <rPr>
            <sz val="8"/>
            <color indexed="81"/>
            <rFont val="Tahoma"/>
            <family val="2"/>
          </rPr>
          <t xml:space="preserve">
This column indicates if the entire row is left blank.
</t>
        </r>
      </text>
    </comment>
    <comment ref="AQ26" authorId="1" shapeId="0" xr:uid="{00000000-0006-0000-1500-000004000000}">
      <text>
        <r>
          <rPr>
            <b/>
            <sz val="8"/>
            <color indexed="81"/>
            <rFont val="Tahoma"/>
            <family val="2"/>
          </rPr>
          <t>ndtarczynski:</t>
        </r>
        <r>
          <rPr>
            <sz val="8"/>
            <color indexed="81"/>
            <rFont val="Tahoma"/>
            <family val="2"/>
          </rPr>
          <t xml:space="preserve">
-Entry inputs OK
-Adjustment factor 2 not used for a Class 1
-Adjustment Factor 1 (Fixed dimming, Lumen depreciation) OK
-Adjustment Factor 2 (Fixed dimming, Lumen depreciation) OK</t>
        </r>
      </text>
    </comment>
    <comment ref="BN26" authorId="0" shapeId="0" xr:uid="{00000000-0006-0000-1500-000005000000}">
      <text>
        <r>
          <rPr>
            <b/>
            <sz val="8"/>
            <color indexed="81"/>
            <rFont val="Tahoma"/>
            <family val="2"/>
          </rPr>
          <t>Bruce Lightfoot:</t>
        </r>
        <r>
          <rPr>
            <sz val="8"/>
            <color indexed="81"/>
            <rFont val="Tahoma"/>
            <family val="2"/>
          </rPr>
          <t xml:space="preserve">
Checks whether Location shown is valid for the nominated Classification. #N/A indicates that it is not and will trigger conditional formatting in the Location cell.</t>
        </r>
      </text>
    </comment>
    <comment ref="DB28" authorId="0" shapeId="0" xr:uid="{00000000-0006-0000-1500-000006000000}">
      <text>
        <r>
          <rPr>
            <b/>
            <sz val="8"/>
            <color indexed="81"/>
            <rFont val="Tahoma"/>
            <family val="2"/>
          </rPr>
          <t>Bruce Lightfoot:</t>
        </r>
        <r>
          <rPr>
            <sz val="8"/>
            <color indexed="81"/>
            <rFont val="Tahoma"/>
            <family val="2"/>
          </rPr>
          <t xml:space="preserve">
Because use of Control Devices is optional, it is not appropriate to prompt for an entry by default. If the associated data is present without the related control (usually residues of prior data input), then this prompt will highlight the absence from the Adjustment Factor column.</t>
        </r>
      </text>
    </comment>
    <comment ref="DC28" authorId="0" shapeId="0" xr:uid="{00000000-0006-0000-1500-000007000000}">
      <text>
        <r>
          <rPr>
            <b/>
            <sz val="8"/>
            <color indexed="81"/>
            <rFont val="Tahoma"/>
            <family val="2"/>
          </rPr>
          <t>Bruce Lightfoot:</t>
        </r>
        <r>
          <rPr>
            <sz val="8"/>
            <color indexed="81"/>
            <rFont val="Tahoma"/>
            <family val="2"/>
          </rPr>
          <t xml:space="preserve">
Because use of Control Devices is optional, it is not appropriate to prompt for an entry by default. If the associated data is present without the related control (usually residues of prior data input), then this prompt will highlight the absence from the Adjustment Factor column.</t>
        </r>
      </text>
    </comment>
    <comment ref="DE28" authorId="0" shapeId="0" xr:uid="{00000000-0006-0000-1500-000008000000}">
      <text>
        <r>
          <rPr>
            <b/>
            <sz val="8"/>
            <color indexed="81"/>
            <rFont val="Tahoma"/>
            <family val="2"/>
          </rPr>
          <t>Bruce Lightfoot:</t>
        </r>
        <r>
          <rPr>
            <sz val="8"/>
            <color indexed="81"/>
            <rFont val="Tahoma"/>
            <family val="2"/>
          </rPr>
          <t xml:space="preserve">
If Dynamic Dimming (for Lumen Depreciation Factor) is selected, no Fixed Dimming data can be present.</t>
        </r>
      </text>
    </comment>
    <comment ref="DF28" authorId="0" shapeId="0" xr:uid="{00000000-0006-0000-1500-000009000000}">
      <text>
        <r>
          <rPr>
            <b/>
            <sz val="8"/>
            <color indexed="81"/>
            <rFont val="Tahoma"/>
            <family val="2"/>
          </rPr>
          <t>Bruce Lightfoot:</t>
        </r>
        <r>
          <rPr>
            <sz val="8"/>
            <color indexed="81"/>
            <rFont val="Tahoma"/>
            <family val="2"/>
          </rPr>
          <t xml:space="preserve">
If Fixed Dimming is selected, no Dynamic Dimming data (for Lumen Depreciation Factor) can be present. Error message is terse to suit available space.</t>
        </r>
      </text>
    </comment>
    <comment ref="DC29" authorId="2" shapeId="0" xr:uid="{00000000-0006-0000-1500-00000A000000}">
      <text>
        <r>
          <rPr>
            <b/>
            <sz val="9"/>
            <color indexed="81"/>
            <rFont val="Tahoma"/>
            <family val="2"/>
          </rPr>
          <t>Sipols, Michael:</t>
        </r>
        <r>
          <rPr>
            <sz val="9"/>
            <color indexed="81"/>
            <rFont val="Tahoma"/>
            <family val="2"/>
          </rPr>
          <t xml:space="preserve">
This column reworked to check that if the illumance factor is input, that fixed diming is also selected</t>
        </r>
      </text>
    </comment>
    <comment ref="DD29" authorId="2" shapeId="0" xr:uid="{00000000-0006-0000-1500-00000B000000}">
      <text>
        <r>
          <rPr>
            <b/>
            <sz val="9"/>
            <color indexed="81"/>
            <rFont val="Tahoma"/>
            <family val="2"/>
          </rPr>
          <t>Sipols, Michael:</t>
        </r>
        <r>
          <rPr>
            <sz val="9"/>
            <color indexed="81"/>
            <rFont val="Tahoma"/>
            <family val="2"/>
          </rPr>
          <t xml:space="preserve">
This checked to see if the lumen depreciation factor was included, whoich is no longer necessary. Reworked to check if fixed dimming is selected without an illumancne factor</t>
        </r>
      </text>
    </comment>
    <comment ref="DE29" authorId="2" shapeId="0" xr:uid="{00000000-0006-0000-1500-00000C000000}">
      <text>
        <r>
          <rPr>
            <b/>
            <sz val="9"/>
            <color indexed="81"/>
            <rFont val="Tahoma"/>
            <family val="2"/>
          </rPr>
          <t>Sipols, Michael:</t>
        </r>
        <r>
          <rPr>
            <sz val="9"/>
            <color indexed="81"/>
            <rFont val="Tahoma"/>
            <family val="2"/>
          </rPr>
          <t xml:space="preserve">
Used to check if when lumen depreciation factor is selected, that no other dimming information is entered.
Reworked to check that the factor isn't NA for this class</t>
        </r>
      </text>
    </comment>
    <comment ref="DF29" authorId="2" shapeId="0" xr:uid="{00000000-0006-0000-1500-00000D000000}">
      <text>
        <r>
          <rPr>
            <b/>
            <sz val="9"/>
            <color indexed="81"/>
            <rFont val="Tahoma"/>
            <family val="2"/>
          </rPr>
          <t>Sipols, Michael:</t>
        </r>
        <r>
          <rPr>
            <sz val="9"/>
            <color indexed="81"/>
            <rFont val="Tahoma"/>
            <family val="2"/>
          </rPr>
          <t xml:space="preserve">
Used to check that if diming via area is used, that depreciation factor for variable isn't also used. No longer necessary.
Reworked to check if Design LDF is input when Additional Lumen Depreciation Factor is selected
</t>
        </r>
      </text>
    </comment>
    <comment ref="DG29" authorId="2" shapeId="0" xr:uid="{00000000-0006-0000-1500-00000E000000}">
      <text>
        <r>
          <rPr>
            <b/>
            <sz val="9"/>
            <color indexed="81"/>
            <rFont val="Tahoma"/>
            <family val="2"/>
          </rPr>
          <t>Sipols, Michael:</t>
        </r>
        <r>
          <rPr>
            <sz val="9"/>
            <color indexed="81"/>
            <rFont val="Tahoma"/>
            <family val="2"/>
          </rPr>
          <t xml:space="preserve">
Checks if a design lumen depreciation factor has been ntered without selecting the correct adjustment factor</t>
        </r>
      </text>
    </comment>
    <comment ref="DH29" authorId="2" shapeId="0" xr:uid="{00000000-0006-0000-1500-00000F000000}">
      <text>
        <r>
          <rPr>
            <b/>
            <sz val="9"/>
            <color indexed="81"/>
            <rFont val="Tahoma"/>
            <family val="2"/>
          </rPr>
          <t>Sipols, Michael:</t>
        </r>
        <r>
          <rPr>
            <sz val="9"/>
            <color indexed="81"/>
            <rFont val="Tahoma"/>
            <family val="2"/>
          </rPr>
          <t xml:space="preserve">
Checks whether a % of full power has been entered without the appropriate adjustment factor being selected</t>
        </r>
      </text>
    </comment>
    <comment ref="DI29" authorId="2" shapeId="0" xr:uid="{00000000-0006-0000-1500-000010000000}">
      <text>
        <r>
          <rPr>
            <b/>
            <sz val="9"/>
            <color indexed="81"/>
            <rFont val="Tahoma"/>
            <family val="2"/>
          </rPr>
          <t>Sipols, Michael:</t>
        </r>
        <r>
          <rPr>
            <sz val="9"/>
            <color indexed="81"/>
            <rFont val="Tahoma"/>
            <family val="2"/>
          </rPr>
          <t xml:space="preserve">
Checks whether the adjustment factor selected is valid (primarily for change over between Vol 1 and Vol 2 adjustment factors)</t>
        </r>
      </text>
    </comment>
    <comment ref="AZ30" authorId="2" shapeId="0" xr:uid="{00000000-0006-0000-1500-000011000000}">
      <text>
        <r>
          <rPr>
            <b/>
            <sz val="9"/>
            <color indexed="81"/>
            <rFont val="Tahoma"/>
            <family val="2"/>
          </rPr>
          <t>Sipols, Michael:</t>
        </r>
        <r>
          <rPr>
            <sz val="9"/>
            <color indexed="81"/>
            <rFont val="Tahoma"/>
            <family val="2"/>
          </rPr>
          <t xml:space="preserve">
Only used for multi adjustment factor case in V1</t>
        </r>
      </text>
    </comment>
    <comment ref="CZ30" authorId="0" shapeId="0" xr:uid="{00000000-0006-0000-1500-000012000000}">
      <text>
        <r>
          <rPr>
            <b/>
            <sz val="8"/>
            <color indexed="81"/>
            <rFont val="Tahoma"/>
            <family val="2"/>
          </rPr>
          <t>Bruce Lightfoot:</t>
        </r>
        <r>
          <rPr>
            <sz val="8"/>
            <color indexed="81"/>
            <rFont val="Tahoma"/>
            <family val="2"/>
          </rPr>
          <t xml:space="preserve">
Based on modified version used for Volume One calculator with Names adjusted to suit Volume Two.  Ditto for all columns in this group.</t>
        </r>
      </text>
    </comment>
    <comment ref="BN72" authorId="0" shapeId="0" xr:uid="{00000000-0006-0000-1500-000013000000}">
      <text>
        <r>
          <rPr>
            <b/>
            <sz val="8"/>
            <color indexed="81"/>
            <rFont val="Tahoma"/>
            <family val="2"/>
          </rPr>
          <t>Bruce Lightfoot:</t>
        </r>
        <r>
          <rPr>
            <sz val="8"/>
            <color indexed="81"/>
            <rFont val="Tahoma"/>
            <family val="2"/>
          </rPr>
          <t xml:space="preserve">
Sum function used to expose any #NA vlaues. Message below (when not "OK") is a trigger for GeneralAdviceTwo formula to display note on calculator form.</t>
        </r>
      </text>
    </comment>
    <comment ref="BL77" authorId="2" shapeId="0" xr:uid="{00000000-0006-0000-1500-000014000000}">
      <text>
        <r>
          <rPr>
            <b/>
            <sz val="9"/>
            <color indexed="81"/>
            <rFont val="Tahoma"/>
            <family val="2"/>
          </rPr>
          <t>Sipols, Michael:</t>
        </r>
        <r>
          <rPr>
            <sz val="9"/>
            <color indexed="81"/>
            <rFont val="Tahoma"/>
            <family val="2"/>
          </rPr>
          <t xml:space="preserve">
Orphan</t>
        </r>
      </text>
    </comment>
    <comment ref="J87" authorId="0" shapeId="0" xr:uid="{00000000-0006-0000-1500-000015000000}">
      <text>
        <r>
          <rPr>
            <b/>
            <sz val="8"/>
            <color indexed="81"/>
            <rFont val="Tahoma"/>
            <family val="2"/>
          </rPr>
          <t>Bruce Lightfoot:</t>
        </r>
        <r>
          <rPr>
            <sz val="8"/>
            <color indexed="81"/>
            <rFont val="Tahoma"/>
            <family val="2"/>
          </rPr>
          <t xml:space="preserve">
This cell has no dependents and does not influence conditional formatting.</t>
        </r>
      </text>
    </comment>
    <comment ref="J88" authorId="0" shapeId="0" xr:uid="{00000000-0006-0000-1500-000016000000}">
      <text>
        <r>
          <rPr>
            <b/>
            <sz val="8"/>
            <color indexed="81"/>
            <rFont val="Tahoma"/>
            <family val="2"/>
          </rPr>
          <t>Bruce Lightfoot:</t>
        </r>
        <r>
          <rPr>
            <sz val="8"/>
            <color indexed="81"/>
            <rFont val="Tahoma"/>
            <family val="2"/>
          </rPr>
          <t xml:space="preserve">
Unique formula in this first row. DO NOT COPY DOWN.</t>
        </r>
      </text>
    </comment>
    <comment ref="G99" authorId="0" shapeId="0" xr:uid="{00000000-0006-0000-1500-000017000000}">
      <text>
        <r>
          <rPr>
            <b/>
            <sz val="8"/>
            <color indexed="81"/>
            <rFont val="Tahoma"/>
            <family val="2"/>
          </rPr>
          <t>Bruce Lightfoot:</t>
        </r>
        <r>
          <rPr>
            <sz val="8"/>
            <color indexed="81"/>
            <rFont val="Tahoma"/>
            <family val="2"/>
          </rPr>
          <t xml:space="preserve">
This heading and the descriptors below moved left one column to allow narrowing of column H to overcome word wrap problems in heading rows of the calculator form.</t>
        </r>
      </text>
    </comment>
    <comment ref="O99" authorId="0" shapeId="0" xr:uid="{00000000-0006-0000-1500-000018000000}">
      <text>
        <r>
          <rPr>
            <b/>
            <sz val="8"/>
            <color indexed="81"/>
            <rFont val="Tahoma"/>
            <family val="2"/>
          </rPr>
          <t>Bruce Lightfoot:</t>
        </r>
        <r>
          <rPr>
            <sz val="8"/>
            <color indexed="81"/>
            <rFont val="Tahoma"/>
            <family val="2"/>
          </rPr>
          <t xml:space="preserve">
Heading changed from "Formular" to "Formulas".</t>
        </r>
      </text>
    </comment>
    <comment ref="G101" authorId="3" shapeId="0" xr:uid="{00000000-0006-0000-1500-000019000000}">
      <text>
        <r>
          <rPr>
            <b/>
            <sz val="9"/>
            <color indexed="81"/>
            <rFont val="Tahoma"/>
            <family val="2"/>
          </rPr>
          <t>Nick:</t>
        </r>
        <r>
          <rPr>
            <sz val="9"/>
            <color indexed="81"/>
            <rFont val="Tahoma"/>
            <family val="2"/>
          </rPr>
          <t xml:space="preserve">
Cell previously was used for the 'Enter Storey' input which has now been removed. Therefore the cell have deliberatly been left blank.</t>
        </r>
      </text>
    </comment>
    <comment ref="J105" authorId="1" shapeId="0" xr:uid="{00000000-0006-0000-1500-00001A000000}">
      <text>
        <r>
          <rPr>
            <b/>
            <sz val="8"/>
            <color indexed="81"/>
            <rFont val="Tahoma"/>
            <family val="2"/>
          </rPr>
          <t>ndtarczynski:</t>
        </r>
        <r>
          <rPr>
            <sz val="8"/>
            <color indexed="81"/>
            <rFont val="Tahoma"/>
            <family val="2"/>
          </rPr>
          <t xml:space="preserve">
Title 
firstinputsres</t>
        </r>
      </text>
    </comment>
    <comment ref="O105" authorId="0" shapeId="0" xr:uid="{00000000-0006-0000-1500-00001B000000}">
      <text>
        <r>
          <rPr>
            <b/>
            <sz val="9"/>
            <color indexed="81"/>
            <rFont val="Tahoma"/>
            <family val="2"/>
          </rPr>
          <t>Bruce Lightfoot:</t>
        </r>
        <r>
          <rPr>
            <sz val="9"/>
            <color indexed="81"/>
            <rFont val="Tahoma"/>
            <family val="2"/>
          </rPr>
          <t xml:space="preserve">
Rounding controlled by user variable value in PrecisionTwo.</t>
        </r>
      </text>
    </comment>
    <comment ref="P105" authorId="0" shapeId="0" xr:uid="{00000000-0006-0000-1500-00001C000000}">
      <text>
        <r>
          <rPr>
            <b/>
            <sz val="9"/>
            <color indexed="81"/>
            <rFont val="Tahoma"/>
            <family val="2"/>
          </rPr>
          <t>Bruce Lightfoot:</t>
        </r>
        <r>
          <rPr>
            <sz val="9"/>
            <color indexed="81"/>
            <rFont val="Tahoma"/>
            <family val="2"/>
          </rPr>
          <t xml:space="preserve">
Rounding controlled by user variable value in PrecisionTwo.</t>
        </r>
      </text>
    </comment>
    <comment ref="O106" authorId="0" shapeId="0" xr:uid="{00000000-0006-0000-1500-00001D000000}">
      <text>
        <r>
          <rPr>
            <b/>
            <sz val="9"/>
            <color indexed="81"/>
            <rFont val="Tahoma"/>
            <family val="2"/>
          </rPr>
          <t>Bruce Lightfoot:</t>
        </r>
        <r>
          <rPr>
            <sz val="9"/>
            <color indexed="81"/>
            <rFont val="Tahoma"/>
            <family val="2"/>
          </rPr>
          <t xml:space="preserve">
This cell inherits the rounding applied in referenced cell.</t>
        </r>
      </text>
    </comment>
    <comment ref="P106" authorId="0" shapeId="0" xr:uid="{00000000-0006-0000-1500-00001E000000}">
      <text>
        <r>
          <rPr>
            <b/>
            <sz val="9"/>
            <color indexed="81"/>
            <rFont val="Tahoma"/>
            <family val="2"/>
          </rPr>
          <t>Bruce Lightfoot:</t>
        </r>
        <r>
          <rPr>
            <sz val="9"/>
            <color indexed="81"/>
            <rFont val="Tahoma"/>
            <family val="2"/>
          </rPr>
          <t xml:space="preserve">
This cell inherits the rounding applied in referenced cell.</t>
        </r>
      </text>
    </comment>
    <comment ref="O107" authorId="0" shapeId="0" xr:uid="{00000000-0006-0000-1500-00001F000000}">
      <text>
        <r>
          <rPr>
            <b/>
            <sz val="9"/>
            <color indexed="81"/>
            <rFont val="Tahoma"/>
            <family val="2"/>
          </rPr>
          <t>Bruce Lightfoot:</t>
        </r>
        <r>
          <rPr>
            <sz val="9"/>
            <color indexed="81"/>
            <rFont val="Tahoma"/>
            <family val="2"/>
          </rPr>
          <t xml:space="preserve">
Rounding controlled by user variable value in PrecisionTwo.</t>
        </r>
      </text>
    </comment>
    <comment ref="P107" authorId="0" shapeId="0" xr:uid="{00000000-0006-0000-1500-000020000000}">
      <text>
        <r>
          <rPr>
            <b/>
            <sz val="9"/>
            <color indexed="81"/>
            <rFont val="Tahoma"/>
            <family val="2"/>
          </rPr>
          <t>Bruce Lightfoot:</t>
        </r>
        <r>
          <rPr>
            <sz val="9"/>
            <color indexed="81"/>
            <rFont val="Tahoma"/>
            <family val="2"/>
          </rPr>
          <t xml:space="preserve">
Rounding controlled by user variable value in PrecisionTwo.</t>
        </r>
      </text>
    </comment>
    <comment ref="O108" authorId="0" shapeId="0" xr:uid="{00000000-0006-0000-1500-000021000000}">
      <text>
        <r>
          <rPr>
            <b/>
            <sz val="9"/>
            <color indexed="81"/>
            <rFont val="Tahoma"/>
            <family val="2"/>
          </rPr>
          <t>Bruce Lightfoot:</t>
        </r>
        <r>
          <rPr>
            <sz val="9"/>
            <color indexed="81"/>
            <rFont val="Tahoma"/>
            <family val="2"/>
          </rPr>
          <t xml:space="preserve">
Rounding controlled by user variable value in PrecisionTwo.</t>
        </r>
      </text>
    </comment>
    <comment ref="P108" authorId="0" shapeId="0" xr:uid="{00000000-0006-0000-1500-000022000000}">
      <text>
        <r>
          <rPr>
            <b/>
            <sz val="9"/>
            <color indexed="81"/>
            <rFont val="Tahoma"/>
            <family val="2"/>
          </rPr>
          <t>Bruce Lightfoot:</t>
        </r>
        <r>
          <rPr>
            <sz val="9"/>
            <color indexed="81"/>
            <rFont val="Tahoma"/>
            <family val="2"/>
          </rPr>
          <t xml:space="preserve">
Rounding controlled by user variable value in PrecisionTwo.</t>
        </r>
      </text>
    </comment>
    <comment ref="N115" authorId="0" shapeId="0" xr:uid="{00000000-0006-0000-1500-000023000000}">
      <text>
        <r>
          <rPr>
            <b/>
            <sz val="8"/>
            <color indexed="81"/>
            <rFont val="Tahoma"/>
            <family val="2"/>
          </rPr>
          <t>Bruce Lightfoot:</t>
        </r>
        <r>
          <rPr>
            <sz val="8"/>
            <color indexed="81"/>
            <rFont val="Tahoma"/>
            <family val="2"/>
          </rPr>
          <t xml:space="preserve">
This value controls the decimal precision of Pass/Fail comparisons (in this calculator only). 
The number refers directly to the number of decimal places employed.</t>
        </r>
      </text>
    </comment>
    <comment ref="I140" authorId="0" shapeId="0" xr:uid="{00000000-0006-0000-1500-000024000000}">
      <text>
        <r>
          <rPr>
            <b/>
            <sz val="9"/>
            <color indexed="81"/>
            <rFont val="Tahoma"/>
            <family val="2"/>
          </rPr>
          <t>Bruce Lightfoot:</t>
        </r>
        <r>
          <rPr>
            <sz val="9"/>
            <color indexed="81"/>
            <rFont val="Tahoma"/>
            <family val="2"/>
          </rPr>
          <t xml:space="preserve">
Rounded to 2 decimal points but displayed to 3 to demonstrate rounding.</t>
        </r>
      </text>
    </comment>
    <comment ref="I144" authorId="0" shapeId="0" xr:uid="{00000000-0006-0000-1500-000025000000}">
      <text>
        <r>
          <rPr>
            <b/>
            <sz val="9"/>
            <color indexed="81"/>
            <rFont val="Tahoma"/>
            <family val="2"/>
          </rPr>
          <t>Bruce Lightfoot:</t>
        </r>
        <r>
          <rPr>
            <sz val="9"/>
            <color indexed="81"/>
            <rFont val="Tahoma"/>
            <family val="2"/>
          </rPr>
          <t xml:space="preserve">
Rounded to 2 decimal points but displayed to 3 to demonstrate rounding.</t>
        </r>
      </text>
    </comment>
    <comment ref="I148" authorId="0" shapeId="0" xr:uid="{00000000-0006-0000-1500-000026000000}">
      <text>
        <r>
          <rPr>
            <b/>
            <sz val="9"/>
            <color indexed="81"/>
            <rFont val="Tahoma"/>
            <family val="2"/>
          </rPr>
          <t>Bruce Lightfoot:</t>
        </r>
        <r>
          <rPr>
            <sz val="9"/>
            <color indexed="81"/>
            <rFont val="Tahoma"/>
            <family val="2"/>
          </rPr>
          <t xml:space="preserve">
Rounded to 2 decimal points but displayed to 3 to demonstrate rounding.</t>
        </r>
      </text>
    </comment>
    <comment ref="I152" authorId="0" shapeId="0" xr:uid="{00000000-0006-0000-1500-000027000000}">
      <text>
        <r>
          <rPr>
            <b/>
            <sz val="9"/>
            <color indexed="81"/>
            <rFont val="Tahoma"/>
            <family val="2"/>
          </rPr>
          <t>Bruce Lightfoot:</t>
        </r>
        <r>
          <rPr>
            <sz val="9"/>
            <color indexed="81"/>
            <rFont val="Tahoma"/>
            <family val="2"/>
          </rPr>
          <t xml:space="preserve">
Inherits rounding applied to source cell result.</t>
        </r>
      </text>
    </comment>
    <comment ref="I156" authorId="0" shapeId="0" xr:uid="{00000000-0006-0000-1500-000028000000}">
      <text>
        <r>
          <rPr>
            <b/>
            <sz val="9"/>
            <color indexed="81"/>
            <rFont val="Tahoma"/>
            <family val="2"/>
          </rPr>
          <t>Bruce Lightfoot:</t>
        </r>
        <r>
          <rPr>
            <sz val="9"/>
            <color indexed="81"/>
            <rFont val="Tahoma"/>
            <family val="2"/>
          </rPr>
          <t xml:space="preserve">
Inherits rounding applied to source cell result.</t>
        </r>
      </text>
    </comment>
    <comment ref="I160" authorId="0" shapeId="0" xr:uid="{00000000-0006-0000-1500-000029000000}">
      <text>
        <r>
          <rPr>
            <b/>
            <sz val="9"/>
            <color indexed="81"/>
            <rFont val="Tahoma"/>
            <family val="2"/>
          </rPr>
          <t>Bruce Lightfoot:</t>
        </r>
        <r>
          <rPr>
            <sz val="9"/>
            <color indexed="81"/>
            <rFont val="Tahoma"/>
            <family val="2"/>
          </rPr>
          <t xml:space="preserve">
Inherits rounding applied to source cell result.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tc={0EF264EF-E4AC-4AFA-BB53-BD523537D298}</author>
    <author>tc={B64D74DB-D17E-4865-9160-0479E6E3E607}</author>
  </authors>
  <commentList>
    <comment ref="J246" authorId="0" shapeId="0" xr:uid="{00000000-0006-0000-3400-000001000000}">
      <text>
        <t>[Threaded comment]
Your version of Excel allows you to read this threaded comment; however, any edits to it will get removed if the file is opened in a newer version of Excel. Learn more: https://go.microsoft.com/fwlink/?linkid=870924
Comment:
    Should this be 'North West'</t>
      </text>
    </comment>
    <comment ref="J309" authorId="1" shapeId="0" xr:uid="{00000000-0006-0000-3400-000002000000}">
      <text>
        <t>[Threaded comment]
Your version of Excel allows you to read this threaded comment; however, any edits to it will get removed if the file is opened in a newer version of Excel. Learn more: https://go.microsoft.com/fwlink/?linkid=870924
Comment:
    Should this be 'North West'</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Sipols, Michael</author>
    <author>Bruce Lightfoot</author>
  </authors>
  <commentList>
    <comment ref="P4" authorId="0" shapeId="0" xr:uid="{00000000-0006-0000-3700-000001000000}">
      <text>
        <r>
          <rPr>
            <b/>
            <sz val="9"/>
            <color indexed="81"/>
            <rFont val="Tahoma"/>
            <family val="2"/>
          </rPr>
          <t>Sipols, Michael:</t>
        </r>
        <r>
          <rPr>
            <sz val="9"/>
            <color indexed="81"/>
            <rFont val="Tahoma"/>
            <family val="2"/>
          </rPr>
          <t xml:space="preserve">
Siuzes cut by one to suit number of scenarios, and Part set to same as All, since we no longer need to distinction</t>
        </r>
      </text>
    </comment>
    <comment ref="W9" authorId="0" shapeId="0" xr:uid="{00000000-0006-0000-3700-000002000000}">
      <text>
        <r>
          <rPr>
            <b/>
            <sz val="9"/>
            <color indexed="81"/>
            <rFont val="Tahoma"/>
            <family val="2"/>
          </rPr>
          <t>Sipols, Michael:</t>
        </r>
        <r>
          <rPr>
            <sz val="9"/>
            <color indexed="81"/>
            <rFont val="Tahoma"/>
            <family val="2"/>
          </rPr>
          <t xml:space="preserve">
This checks whether the residential building is class 1 or 10a, in order to populate the options lists appropriately for the differences between Volume One and Two adjustment factors</t>
        </r>
      </text>
    </comment>
    <comment ref="T11" authorId="1" shapeId="0" xr:uid="{00000000-0006-0000-3700-000003000000}">
      <text>
        <r>
          <rPr>
            <b/>
            <sz val="8"/>
            <color indexed="81"/>
            <rFont val="Tahoma"/>
            <family val="2"/>
          </rPr>
          <t>Bruce Lightfoot:</t>
        </r>
        <r>
          <rPr>
            <sz val="8"/>
            <color indexed="81"/>
            <rFont val="Tahoma"/>
            <family val="2"/>
          </rPr>
          <t xml:space="preserve">
These logical values present in original ranges on each calculator sheet replaced by this shared version.</t>
        </r>
      </text>
    </comment>
    <comment ref="AE11" authorId="1" shapeId="0" xr:uid="{00000000-0006-0000-3700-000004000000}">
      <text>
        <r>
          <rPr>
            <b/>
            <sz val="8"/>
            <color indexed="81"/>
            <rFont val="Tahoma"/>
            <family val="2"/>
          </rPr>
          <t>Bruce Lightfoot:</t>
        </r>
        <r>
          <rPr>
            <sz val="8"/>
            <color indexed="81"/>
            <rFont val="Tahoma"/>
            <family val="2"/>
          </rPr>
          <t xml:space="preserve">
These logical values present in original ranges on each calculator sheet replaced by this shared version.</t>
        </r>
      </text>
    </comment>
    <comment ref="R24" authorId="1" shapeId="0" xr:uid="{00000000-0006-0000-3700-000005000000}">
      <text>
        <r>
          <rPr>
            <b/>
            <sz val="8"/>
            <color indexed="81"/>
            <rFont val="Tahoma"/>
            <family val="2"/>
          </rPr>
          <t>Bruce Lightfoot:</t>
        </r>
        <r>
          <rPr>
            <sz val="8"/>
            <color indexed="81"/>
            <rFont val="Tahoma"/>
            <family val="2"/>
          </rPr>
          <t xml:space="preserve">
This zero value appears in the original lists. It is probably used as part of the lookup functions which refer to the blue filled Named Range.
</t>
        </r>
        <r>
          <rPr>
            <b/>
            <sz val="8"/>
            <color indexed="81"/>
            <rFont val="Tahoma"/>
            <family val="2"/>
          </rPr>
          <t>Michael Sipols:</t>
        </r>
        <r>
          <rPr>
            <sz val="8"/>
            <color indexed="81"/>
            <rFont val="Tahoma"/>
            <family val="2"/>
          </rPr>
          <t xml:space="preserve">
The zero will be used in vlookups as the result when no selection is made. In Excel parlance, 0=""</t>
        </r>
      </text>
    </comment>
    <comment ref="AC24" authorId="1" shapeId="0" xr:uid="{00000000-0006-0000-3700-000006000000}">
      <text>
        <r>
          <rPr>
            <b/>
            <sz val="8"/>
            <color indexed="81"/>
            <rFont val="Tahoma"/>
            <family val="2"/>
          </rPr>
          <t>Bruce Lightfoot:</t>
        </r>
        <r>
          <rPr>
            <sz val="8"/>
            <color indexed="81"/>
            <rFont val="Tahoma"/>
            <family val="2"/>
          </rPr>
          <t xml:space="preserve">
This zero value appears in the original lists. It is probably used as part of the lookup functions which refer to the blue filled Named Range.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3">
    <bk>
      <extLst>
        <ext uri="{3e2802c4-a4d2-4d8b-9148-e3be6c30e623}">
          <xlrd:rvb i="0"/>
        </ext>
      </extLst>
    </bk>
    <bk>
      <extLst>
        <ext uri="{3e2802c4-a4d2-4d8b-9148-e3be6c30e623}">
          <xlrd:rvb i="1"/>
        </ext>
      </extLst>
    </bk>
    <bk>
      <extLst>
        <ext uri="{3e2802c4-a4d2-4d8b-9148-e3be6c30e623}">
          <xlrd:rvb i="2"/>
        </ext>
      </extLst>
    </bk>
  </futureMetadata>
  <cellMetadata count="1">
    <bk>
      <rc t="1" v="0"/>
    </bk>
  </cellMetadata>
  <valueMetadata count="3">
    <bk>
      <rc t="2" v="0"/>
    </bk>
    <bk>
      <rc t="2" v="1"/>
    </bk>
    <bk>
      <rc t="2" v="2"/>
    </bk>
  </valueMetadata>
</metadata>
</file>

<file path=xl/sharedStrings.xml><?xml version="1.0" encoding="utf-8"?>
<sst xmlns="http://schemas.openxmlformats.org/spreadsheetml/2006/main" count="17429" uniqueCount="2385">
  <si>
    <t>STEP 1 | ENTER PROJECT DETAILS</t>
  </si>
  <si>
    <t>NAVIGATING THE CALCULATOR</t>
  </si>
  <si>
    <t>Enter site details.</t>
  </si>
  <si>
    <t>Cells in the calculator</t>
  </si>
  <si>
    <t>Project Title</t>
  </si>
  <si>
    <t>Address</t>
  </si>
  <si>
    <t>Street</t>
  </si>
  <si>
    <t>Suburb</t>
  </si>
  <si>
    <t>NOTE: When making adjustments to any inputs on the HOME sheet, it's crucial to thoroughly examine your selections on all sheets to ensure they align with your updated inputs.</t>
  </si>
  <si>
    <t>State/Territory</t>
  </si>
  <si>
    <t>Postcode</t>
  </si>
  <si>
    <t>Lot/DP [number]</t>
  </si>
  <si>
    <t>Buttons in the calculator</t>
  </si>
  <si>
    <t>Type [new dwelling/renovation/existing]</t>
  </si>
  <si>
    <t>Select the type of development that is being proposed.</t>
  </si>
  <si>
    <t>.</t>
  </si>
  <si>
    <t>Select additional developments (if applicable).</t>
  </si>
  <si>
    <t>Select the Climate Zone of the development.</t>
  </si>
  <si>
    <r>
      <rPr>
        <i/>
        <sz val="12"/>
        <rFont val="Arial"/>
        <family val="2"/>
      </rPr>
      <t xml:space="preserve">Refer to the </t>
    </r>
    <r>
      <rPr>
        <i/>
        <u/>
        <sz val="12"/>
        <color theme="10"/>
        <rFont val="Arial"/>
        <family val="2"/>
      </rPr>
      <t>ABCB Climate Zone Map</t>
    </r>
    <r>
      <rPr>
        <i/>
        <sz val="12"/>
        <color theme="10"/>
        <rFont val="Arial"/>
        <family val="2"/>
      </rPr>
      <t xml:space="preserve"> </t>
    </r>
    <r>
      <rPr>
        <i/>
        <sz val="12"/>
        <rFont val="Arial"/>
        <family val="2"/>
      </rPr>
      <t>to search for climate zone your building is located in</t>
    </r>
    <r>
      <rPr>
        <i/>
        <sz val="12"/>
        <color theme="10"/>
        <rFont val="Arial"/>
        <family val="2"/>
      </rPr>
      <t>.</t>
    </r>
  </si>
  <si>
    <t>Climate Zone</t>
  </si>
  <si>
    <t>Select the number of storeys for the development</t>
  </si>
  <si>
    <t>Storeys</t>
  </si>
  <si>
    <t>Two storey dwelling</t>
  </si>
  <si>
    <t>STEP 2 | COMPLETE PART 13.2 BUILDING FABRIC</t>
  </si>
  <si>
    <t>Determine applicability</t>
  </si>
  <si>
    <t>Complete calculations</t>
  </si>
  <si>
    <t>STEP 3 | COMPLETE PART 13.3 EXTERNAL GLAZING</t>
  </si>
  <si>
    <t>STEP 4 | COMPLETE PART 13.4 BUILDING SEALING</t>
  </si>
  <si>
    <t>Are the only means of air-conditioning by using an evaporative cooler?</t>
  </si>
  <si>
    <t>No</t>
  </si>
  <si>
    <t>STEP 5 | COMPLETE PART 13.5 CEILING FANS</t>
  </si>
  <si>
    <t>STEP 6 | COMPLETE PART 13.6 WHOLE-OF-HOME ENERGY USAGE</t>
  </si>
  <si>
    <t>STEP 7 | COMPLETE PART 13.7 SERVICES</t>
  </si>
  <si>
    <t>IMPORTANT NOTICE AND DISCLAIMER IN RESPECT OF THE ENERGY EFFICIENCY CALCULATOR</t>
  </si>
  <si>
    <t/>
  </si>
  <si>
    <t>PROJECT DETAILS</t>
  </si>
  <si>
    <t>Details</t>
  </si>
  <si>
    <t>Value</t>
  </si>
  <si>
    <t>Lot/DP</t>
  </si>
  <si>
    <t>PROJECT TYPE</t>
  </si>
  <si>
    <t>Type</t>
  </si>
  <si>
    <t>Development Type</t>
  </si>
  <si>
    <t>Applicable additional developments</t>
  </si>
  <si>
    <t>The applicant must construct the floor(s), walls, and ceiling/roof of the dwelling in accordance with the specifications listed in the tables below.</t>
  </si>
  <si>
    <t>13.2.3 Roofs and ceilings</t>
  </si>
  <si>
    <t>Filter Blanks</t>
  </si>
  <si>
    <t>Roof Type</t>
  </si>
  <si>
    <t xml:space="preserve"> Additional insulation required (R-Value) </t>
  </si>
  <si>
    <t>Other specifications</t>
  </si>
  <si>
    <t>13.2.4 Roof lights</t>
  </si>
  <si>
    <t>Room</t>
  </si>
  <si>
    <t xml:space="preserve">Total Area of Roof lights </t>
  </si>
  <si>
    <t>Total System SHGC*</t>
  </si>
  <si>
    <t>Total System U-Value**</t>
  </si>
  <si>
    <t>13.2.5 External walls</t>
  </si>
  <si>
    <t>Wall Type</t>
  </si>
  <si>
    <t>Minimum External Walls R-Value</t>
  </si>
  <si>
    <t>13.2.6 Floors and subfloor walls</t>
  </si>
  <si>
    <t>Requirement</t>
  </si>
  <si>
    <t>PART 13.3 EXTERNAL GLAZING</t>
  </si>
  <si>
    <t>The applicant must install the windows, glazed doors and shading devices described in the table below, in accordance with the specifications listed in the table. Relevant overshadowing specifications must be satisfied for each window and glazed door.</t>
  </si>
  <si>
    <t>Window/glazed door no.</t>
  </si>
  <si>
    <t>Facing sector</t>
  </si>
  <si>
    <t>Height
(m)</t>
  </si>
  <si>
    <t>Width
(m)</t>
  </si>
  <si>
    <t>Performance</t>
  </si>
  <si>
    <t xml:space="preserve"> Shading (Dimension within 10%) </t>
  </si>
  <si>
    <t>PART 13.4 BUILDING SEALING</t>
  </si>
  <si>
    <t>13.4.3 Roof lights</t>
  </si>
  <si>
    <t>The applicant acknowledges that the roof lights meets the sealing requirements as per Part 13.4.3</t>
  </si>
  <si>
    <t>Location of roof light</t>
  </si>
  <si>
    <t>Number of Lights</t>
  </si>
  <si>
    <t>Conditioned space</t>
  </si>
  <si>
    <t>Habitable room</t>
  </si>
  <si>
    <t>13.4.4 External windows and doors</t>
  </si>
  <si>
    <t>The applicant acknowledges that the external windows and doors meets the requirements as per Part 13.4.4</t>
  </si>
  <si>
    <t>Location of external doors</t>
  </si>
  <si>
    <t>Number of doors</t>
  </si>
  <si>
    <t>PART 13.5 CEILING FANS</t>
  </si>
  <si>
    <t>The applicant acknowledges that ceiling fans must be installed in accordance with 13.5.2 </t>
  </si>
  <si>
    <t>13.5.2 Ceiling fans</t>
  </si>
  <si>
    <t>Ceiling #</t>
  </si>
  <si>
    <t>Room (habitable)</t>
  </si>
  <si>
    <t>Size of room (m²)</t>
  </si>
  <si>
    <t>Number of fans</t>
  </si>
  <si>
    <t>Diameter of fans (mm)</t>
  </si>
  <si>
    <t>PART 13.6 WHOLE-OF-HOME ENERGY USAGE</t>
  </si>
  <si>
    <t>Heating and Cooling</t>
  </si>
  <si>
    <t>Main space conditioning - HEATING</t>
  </si>
  <si>
    <t>Main space conditioning - COOLING</t>
  </si>
  <si>
    <t>Net equivalent energy usage</t>
  </si>
  <si>
    <t>Allowance</t>
  </si>
  <si>
    <t>Actual</t>
  </si>
  <si>
    <t>Pools and spas</t>
  </si>
  <si>
    <t>Water heating</t>
  </si>
  <si>
    <t>Main water heater type</t>
  </si>
  <si>
    <t>Photovoltaics</t>
  </si>
  <si>
    <t>PART 13.7  SERVICES</t>
  </si>
  <si>
    <t>13.7.2, 13.7.3, 13.7.4, 13.7.5, 13.7.7</t>
  </si>
  <si>
    <t>13.7.6 Artificial lighting</t>
  </si>
  <si>
    <t>13.7.8 and 13.7.9</t>
  </si>
  <si>
    <t>1. Displaying the calculator form</t>
  </si>
  <si>
    <t>2. Adding and changing details</t>
  </si>
  <si>
    <t>13.2.6 Floors and subfloor walls / 13.2.7 Attached class 10a building</t>
  </si>
  <si>
    <t>Exemplar Home Help Guide</t>
  </si>
  <si>
    <t>Step 1. Enter Project Details</t>
  </si>
  <si>
    <t>Step 2. Complete Calculations 1</t>
  </si>
  <si>
    <t>By ticking this box, you agree that a metal-framed wall that forms part of the building envelope must have a thermal break, consisting of a material with an R-Value of not less than R0.2, installed at all points of contact between the external cladding and the metal frame if the wall—
(a) does not have a wall lining or has a wall lining that is fixed directly to the metal frame; and
(b) is clad with weatherboards, fibre-cement or the like, or metal sheeting fixed to the metal frame.</t>
  </si>
  <si>
    <t>13.2.1 Application of Part 13.2</t>
  </si>
  <si>
    <t>Part 13.2 must be applied as directed in H6D2(1)(a) or (b).</t>
  </si>
  <si>
    <t>Click to View Part 13.2 of National Construction Code</t>
  </si>
  <si>
    <t>13.2.2 Building fabric thermal insulation</t>
  </si>
  <si>
    <t>By ticking this box, you agree that a metal framed roof —_x000D_
(a) has metal sheet roofing directly fixed to metal purlins, metal rafters or metal battens; and_x000D_
(b) does not have a ceiling lining or has a ceiling lining fixed directly to those metal purlins, metal rafters or metal battens,_x000D_
must have a thermal break, consisting of a material with an R-Value of greater than or equal to 0.2, installed between the metal sheet roofing and its supporting metal purlins, metal rafters or metal battens.</t>
  </si>
  <si>
    <t>By ticking this box, you agree insulation meets requirements set out in AS/NZ 4859.1</t>
  </si>
  <si>
    <t>Rows Required</t>
  </si>
  <si>
    <t>Climate zone 6, 7, &amp; 8 must comply with Roof ventilation requirement as per Part 10.8.3</t>
  </si>
  <si>
    <t>1. Enter the roof type(s)</t>
  </si>
  <si>
    <t>Calculation</t>
  </si>
  <si>
    <t>Thermal Bridging for Metal Framed Roofs only</t>
  </si>
  <si>
    <t>Show</t>
  </si>
  <si>
    <t>Rows</t>
  </si>
  <si>
    <t>#</t>
  </si>
  <si>
    <t>Roof Ventilation</t>
  </si>
  <si>
    <t>Reflective Insulation Under Roof</t>
  </si>
  <si>
    <t>Under Roof Insulation R-Value</t>
  </si>
  <si>
    <t>Solar Absorptance 
(Value between 0 and 1)</t>
  </si>
  <si>
    <t>Direction of Heat Flow</t>
  </si>
  <si>
    <t>Thermal Bridging Calculation</t>
  </si>
  <si>
    <t>Percentage of Ceiling Area Uninsulated</t>
  </si>
  <si>
    <t>Minimum R-Value Required</t>
  </si>
  <si>
    <t>Additional Requirements</t>
  </si>
  <si>
    <t>Thermal breaks</t>
  </si>
  <si>
    <t>Rows Shown</t>
  </si>
  <si>
    <t>2. Enter roof light(s)</t>
  </si>
  <si>
    <t>Room Size (m2)</t>
  </si>
  <si>
    <r>
      <t>Roof Light Size (m</t>
    </r>
    <r>
      <rPr>
        <b/>
        <sz val="14"/>
        <color theme="0"/>
        <rFont val="Aptos Narrow"/>
        <family val="2"/>
      </rPr>
      <t>²</t>
    </r>
    <r>
      <rPr>
        <b/>
        <sz val="14"/>
        <color theme="0"/>
        <rFont val="Arial"/>
        <family val="2"/>
      </rPr>
      <t>)</t>
    </r>
  </si>
  <si>
    <t xml:space="preserve">Total Area of Roof Lights </t>
  </si>
  <si>
    <t>Roof Light Shaft Index</t>
  </si>
  <si>
    <t>3. Enter wall types</t>
  </si>
  <si>
    <t>Thermal Bridging for Metal Framed Walls Only</t>
  </si>
  <si>
    <t>Overhang (mm)</t>
  </si>
  <si>
    <t>Wall Height (m)</t>
  </si>
  <si>
    <t>Reflective Airspace</t>
  </si>
  <si>
    <t>4. Add floor and subfloor wall</t>
  </si>
  <si>
    <t>Thermal Bridging for Metal Framed Floors Only</t>
  </si>
  <si>
    <t>Suspended floor with open subfloor</t>
  </si>
  <si>
    <t>Suspended floor with enclosed subfloor</t>
  </si>
  <si>
    <t>Floor type</t>
  </si>
  <si>
    <t>In-Slab or In-Screed Heating or Cooling</t>
  </si>
  <si>
    <t>Frame Material</t>
  </si>
  <si>
    <t>Subfloor Wall Height (mm)</t>
  </si>
  <si>
    <t>Reflective Insulation Facing Down Over the Subfloor Space</t>
  </si>
  <si>
    <t>Minimum Subfloor Wall Insulation R-Value</t>
  </si>
  <si>
    <t>Thermal Bridging Option</t>
  </si>
  <si>
    <t>Floor Covering</t>
  </si>
  <si>
    <t>Direction of Heat Flow Required</t>
  </si>
  <si>
    <t>13.2.7 Attached class 10a building</t>
  </si>
  <si>
    <t xml:space="preserve">(i) insulation with R-Value greater than or equal to 0.64 must be installed around the vertical edge of its perimeter; and 
(ii) insulation with an R-Value greater than or equal to 0.64 must be installed underneath the slab </t>
  </si>
  <si>
    <t>(i) insulation with an R-Value greater than or equal to 1.0 must be installed around the vertical edge of its perimeter; and 
(ii) insulation with an R-Value greater than or equal to 2.0 must be installed underneath the slab.</t>
  </si>
  <si>
    <t>Direction of heat flow</t>
  </si>
  <si>
    <t>Minimum subfloor wall
insulation R-Value</t>
  </si>
  <si>
    <t>Model Name</t>
  </si>
  <si>
    <t>Climate Zones</t>
  </si>
  <si>
    <t>Flag</t>
  </si>
  <si>
    <t>External Wall Type</t>
  </si>
  <si>
    <t>Floors and Subfloor Walls</t>
  </si>
  <si>
    <t>Rooms</t>
  </si>
  <si>
    <t>Habitable room type</t>
  </si>
  <si>
    <t>Short Text</t>
  </si>
  <si>
    <t>Index</t>
  </si>
  <si>
    <t xml:space="preserve">13.2.5 External Walls Options </t>
  </si>
  <si>
    <t>Ductwork Material</t>
  </si>
  <si>
    <t xml:space="preserve"> Piping referred to in 3</t>
  </si>
  <si>
    <t xml:space="preserve"> Piping referred to in 4</t>
  </si>
  <si>
    <t>heating-only system or cooling-only system</t>
  </si>
  <si>
    <t>Combined heating and refrigerated cooling system</t>
  </si>
  <si>
    <t>State</t>
  </si>
  <si>
    <t>1</t>
  </si>
  <si>
    <t>2</t>
  </si>
  <si>
    <t>3</t>
  </si>
  <si>
    <t>4</t>
  </si>
  <si>
    <t>5</t>
  </si>
  <si>
    <t>6</t>
  </si>
  <si>
    <t>7</t>
  </si>
  <si>
    <t>8</t>
  </si>
  <si>
    <t>Subfloor wall height (mm)</t>
  </si>
  <si>
    <t>Housing Energy Efficiency Calculator</t>
  </si>
  <si>
    <t>Single storey dwelling</t>
  </si>
  <si>
    <t>Timber-framed pitched roof with horizontal ceiling</t>
  </si>
  <si>
    <t>Vented</t>
  </si>
  <si>
    <t>Yes</t>
  </si>
  <si>
    <t>Concrete block walls</t>
  </si>
  <si>
    <t>Concrete slab-on-ground</t>
  </si>
  <si>
    <r>
      <t xml:space="preserve">Insulation with an R-Value </t>
    </r>
    <r>
      <rPr>
        <sz val="11"/>
        <color theme="1"/>
        <rFont val="Calibri"/>
        <family val="2"/>
      </rPr>
      <t>≥</t>
    </r>
    <r>
      <rPr>
        <sz val="11"/>
        <color theme="1"/>
        <rFont val="Arial"/>
        <family val="2"/>
      </rPr>
      <t>1.0  installed around the vertical edge of its perimeter.</t>
    </r>
  </si>
  <si>
    <t>Bedroom</t>
  </si>
  <si>
    <t>a Class 1 building</t>
  </si>
  <si>
    <t>Class 1</t>
  </si>
  <si>
    <t>New Dwelling</t>
  </si>
  <si>
    <t>Option 1 - increase insulation between floor framing to specified minimum R-Value</t>
  </si>
  <si>
    <t>Flexible Ductwork</t>
  </si>
  <si>
    <t>ACT</t>
  </si>
  <si>
    <t>Down</t>
  </si>
  <si>
    <t>Up</t>
  </si>
  <si>
    <t>≤600</t>
  </si>
  <si>
    <t>Timber-framed flat, skillion or cathedral roof</t>
  </si>
  <si>
    <t>Standard</t>
  </si>
  <si>
    <t>Concrete block walls with internal lining fixed to a metal frame</t>
  </si>
  <si>
    <t>TB_Concrete</t>
  </si>
  <si>
    <t>Non-bedroom</t>
  </si>
  <si>
    <t>a Class 10a building with a conditioned space</t>
  </si>
  <si>
    <t>Class10a</t>
  </si>
  <si>
    <t>Renovation</t>
  </si>
  <si>
    <t>Option2 - add a layer of continuous insulation product above or below the floor framing with specified R-Value</t>
  </si>
  <si>
    <t>Sheetmetal Ductwork - external insulation</t>
  </si>
  <si>
    <t>NSW</t>
  </si>
  <si>
    <t>&gt;600 to ≤900</t>
  </si>
  <si>
    <t>Metal-framed pitched roof with horizontal ceiling</t>
  </si>
  <si>
    <t>TB_Metal_Pitched</t>
  </si>
  <si>
    <t>Lightweight walls</t>
  </si>
  <si>
    <t>Heated space</t>
  </si>
  <si>
    <t>a Class 1 building with an attached Class 10a building</t>
  </si>
  <si>
    <t>Existing</t>
  </si>
  <si>
    <t>Sheetmetal Ductwork - internal insulation</t>
  </si>
  <si>
    <t>NT</t>
  </si>
  <si>
    <t>&gt;900 to ≤1200</t>
  </si>
  <si>
    <t>Metal-framed flat, skillion or cathedral roof</t>
  </si>
  <si>
    <t>TB_Metal_Flat</t>
  </si>
  <si>
    <t>Lightweight metal-framed walls</t>
  </si>
  <si>
    <t>TB_Lightweight</t>
  </si>
  <si>
    <t>Waffle pod slab</t>
  </si>
  <si>
    <t>QLD</t>
  </si>
  <si>
    <t>&gt;1200 to ≤1500</t>
  </si>
  <si>
    <t>Roofs constructed with insulated sandwich panels</t>
  </si>
  <si>
    <t>Masonry veneer walls</t>
  </si>
  <si>
    <t>SA</t>
  </si>
  <si>
    <t>&gt;1500 to ≤1800</t>
  </si>
  <si>
    <t>Masonry veneer metal-framed walls</t>
  </si>
  <si>
    <t>TB_MasonryVeener</t>
  </si>
  <si>
    <t>Development Selected</t>
  </si>
  <si>
    <t>TAS</t>
  </si>
  <si>
    <t>Masonry cavity wall</t>
  </si>
  <si>
    <t>VIC</t>
  </si>
  <si>
    <t>Insulated sandwich panels with timber frame</t>
  </si>
  <si>
    <t>WA</t>
  </si>
  <si>
    <t>Insulated sandwich panels with metal frame</t>
  </si>
  <si>
    <t>Concrete Slab Options</t>
  </si>
  <si>
    <t>13.4 Applicable Climate Zone - No Conditions</t>
  </si>
  <si>
    <t>External Walls Thermal Bridging Calculation</t>
  </si>
  <si>
    <t>Table 13.2.3s Metal-framed pitched roof with horizontal ceiling Calculation</t>
  </si>
  <si>
    <t>Table 13.2.5p Concrete block wall Calculation</t>
  </si>
  <si>
    <t>Table 13.2.3t Metal-framed flat, skillion or cathedral roof Calculation</t>
  </si>
  <si>
    <t>Table 13.2.5s Concrete block wall Option 1 Calculation</t>
  </si>
  <si>
    <t>Yes (used solely in a bathroom, amenity area or the like)</t>
  </si>
  <si>
    <t>Table 13.2.3u Option 1 Metal-framed flat, skillion or cathedral roof Calculation</t>
  </si>
  <si>
    <t>Table 13.2.5s Concrete block wall Option 2 Calculation</t>
  </si>
  <si>
    <t>Table 13.2.3u Option 2 Metal-framed flat, skillion or cathedral roof Calculation</t>
  </si>
  <si>
    <t>Table 13.2.5q Lightweight wall Calculation</t>
  </si>
  <si>
    <t xml:space="preserve"> A building in climate zones 1, 2, 3 and 5 where the only means of air-conditioning is by using an evaporative
cooler.</t>
  </si>
  <si>
    <t>Table 13.2.5t Lightweight wall Calculation</t>
  </si>
  <si>
    <t>Table 13.2.5r Masonry veneer wall calculation</t>
  </si>
  <si>
    <t>Table 13.2.5u Masonry veneer wall calculation</t>
  </si>
  <si>
    <t>Class 10b swimming pool associated with a Class 1 or 10a building</t>
  </si>
  <si>
    <t>Floor is over an unenclosed space</t>
  </si>
  <si>
    <t>Concrete block walls with internal lining fixed to a metal frame - Thermal Bridging Options</t>
  </si>
  <si>
    <t>Floor is over an enclosed subfloor space</t>
  </si>
  <si>
    <t>Metal-framed suspended floor over an unenclosed space</t>
  </si>
  <si>
    <t>Applicability</t>
  </si>
  <si>
    <t>Part</t>
  </si>
  <si>
    <t>Metal-framed suspended floor over an enclosed subfloor space</t>
  </si>
  <si>
    <t>Lightweight metal-framed walls - Thermal Bridging Options</t>
  </si>
  <si>
    <t>Frame Options</t>
  </si>
  <si>
    <t>Timber</t>
  </si>
  <si>
    <t>13.7.6</t>
  </si>
  <si>
    <t>Metal</t>
  </si>
  <si>
    <t>Masonry veneer metal-framed walls - Thermal Bridging Options</t>
  </si>
  <si>
    <t>13.2.6 Thermal Bridging Option</t>
  </si>
  <si>
    <t>(a) Minimum Total R-Value of floor</t>
  </si>
  <si>
    <t>Minimum total R-Value of floor</t>
  </si>
  <si>
    <t>(b) Option 1 - increase insulation between floor framing to specified minimum R-Value</t>
  </si>
  <si>
    <t>Specified minimum R-Value</t>
  </si>
  <si>
    <t>(b) Option 2 - add a layer of continuous insulation product above or below the floor framing with specified R-Value</t>
  </si>
  <si>
    <t>Roof lights 13.2</t>
  </si>
  <si>
    <t>≤ 3.5% of the floor area</t>
  </si>
  <si>
    <t>&gt;3.5% and ≤ 5% of the floor area of the room or space</t>
  </si>
  <si>
    <t>Roof lights shaft index</t>
  </si>
  <si>
    <t>&lt; 1.0</t>
  </si>
  <si>
    <t>≥ 1.0 to &lt; 2.5</t>
  </si>
  <si>
    <t>≥ 2.5</t>
  </si>
  <si>
    <t>Under-roof insulation R-Value - USE COLUMN B</t>
  </si>
  <si>
    <t>Row 29</t>
  </si>
  <si>
    <t>Row 30</t>
  </si>
  <si>
    <t>Tables for 13.2.3</t>
  </si>
  <si>
    <t>Roofs and Ceilings</t>
  </si>
  <si>
    <t>Minimum Adjusted R-Value</t>
  </si>
  <si>
    <t>Data Validation Check Row 29</t>
  </si>
  <si>
    <t>Data Validation Check Row 30</t>
  </si>
  <si>
    <t>Table 13.2.3a</t>
  </si>
  <si>
    <t>Metal Framed Roofs</t>
  </si>
  <si>
    <t>Concatenate</t>
  </si>
  <si>
    <t>Under roof concat</t>
  </si>
  <si>
    <t>Pitched roof with horizontal ceiling – minimum R-Value for ceiling insulation: climate zone 1 – single storey dwelling</t>
  </si>
  <si>
    <t>Timber Framed Roofs</t>
  </si>
  <si>
    <t>1Timber-framed pitched roof with horizontal ceilingSingle storey dwellingVentedYes</t>
  </si>
  <si>
    <t>Roof ventilation</t>
  </si>
  <si>
    <t>Reflective insulation under-roof</t>
  </si>
  <si>
    <t>Under-roof insulation R-Value</t>
  </si>
  <si>
    <t>SA ≤ 0.23</t>
  </si>
  <si>
    <t>0.23 &lt; SA ≤ 0.32</t>
  </si>
  <si>
    <t>0.32 &lt; SA ≤ 0.42</t>
  </si>
  <si>
    <t>0.42 &lt; SA ≤ 0.53</t>
  </si>
  <si>
    <t>0.53 &lt; SA ≤ 0.64</t>
  </si>
  <si>
    <t>Column D used for below</t>
  </si>
  <si>
    <t>1Timber-framed pitched roof with horizontal ceilingSingle storey dwellingVentedNo</t>
  </si>
  <si>
    <t>1Timber-framed pitched roof with horizontal ceilingSingle storey dwelling</t>
  </si>
  <si>
    <t>1Timber-framed pitched roof with horizontal ceilingSingle storey dwellingStandardYes</t>
  </si>
  <si>
    <t>≥ 1.0 to &lt; 1.5</t>
  </si>
  <si>
    <t>1Timber-framed pitched roof with horizontal ceilingTwo storey dwelling</t>
  </si>
  <si>
    <t>1Timber-framed pitched roof with horizontal ceilingSingle storey dwellingStandardNo</t>
  </si>
  <si>
    <t>≥ 1.5</t>
  </si>
  <si>
    <t>2Timber-framed pitched roof with horizontal ceiling</t>
  </si>
  <si>
    <t>1Timber-framed pitched roof with horizontal ceilingTwo storey dwellingVentedYes</t>
  </si>
  <si>
    <t>X - not permitted, review inputs</t>
  </si>
  <si>
    <t>3Timber-framed pitched roof with horizontal ceiling</t>
  </si>
  <si>
    <t>1Timber-framed pitched roof with horizontal ceilingTwo storey dwellingVentedNo</t>
  </si>
  <si>
    <t>4Timber-framed pitched roof with horizontal ceiling</t>
  </si>
  <si>
    <t>1Timber-framed pitched roof with horizontal ceilingTwo storey dwellingStandardYes</t>
  </si>
  <si>
    <t>5Timber-framed pitched roof with horizontal ceiling</t>
  </si>
  <si>
    <t>1Timber-framed pitched roof with horizontal ceilingTwo storey dwellingStandardNo</t>
  </si>
  <si>
    <t>6Timber-framed pitched roof with horizontal ceiling</t>
  </si>
  <si>
    <t>2Timber-framed pitched roof with horizontal ceilingVentedYes</t>
  </si>
  <si>
    <t>7Timber-framed pitched roof with horizontal ceiling</t>
  </si>
  <si>
    <t>2Timber-framed pitched roof with horizontal ceilingVentedNo</t>
  </si>
  <si>
    <t>8Timber-framed pitched roof with horizontal ceiling</t>
  </si>
  <si>
    <t>2Timber-framed pitched roof with horizontal ceilingStandardYes</t>
  </si>
  <si>
    <t>Column B used for below</t>
  </si>
  <si>
    <t>2Timber-framed pitched roof with horizontal ceilingStandardNo</t>
  </si>
  <si>
    <t>1Timber-framed flat, skillion or cathedral roofSingle storey dwelling</t>
  </si>
  <si>
    <t>3Timber-framed pitched roof with horizontal ceilingVentedYes</t>
  </si>
  <si>
    <t>1Timber-framed flat, skillion or cathedral roofTwo storey dwelling</t>
  </si>
  <si>
    <t>3Timber-framed pitched roof with horizontal ceilingVentedNo</t>
  </si>
  <si>
    <t>2Timber-framed flat, skillion or cathedral roof</t>
  </si>
  <si>
    <t>3Timber-framed pitched roof with horizontal ceilingStandardYes</t>
  </si>
  <si>
    <t>Table 13.2.3b</t>
  </si>
  <si>
    <t>3Timber-framed flat, skillion or cathedral roof</t>
  </si>
  <si>
    <t>3Timber-framed pitched roof with horizontal ceilingStandardNo</t>
  </si>
  <si>
    <t>Pitched roof with horizontal ceiling – minimum R-Value for ceiling insulation: climate zone 1 – Two storey dwelling</t>
  </si>
  <si>
    <t>4Timber-framed flat, skillion or cathedral roof</t>
  </si>
  <si>
    <t>4Timber-framed pitched roof with horizontal ceilingVentedYes</t>
  </si>
  <si>
    <t>5Timber-framed flat, skillion or cathedral roof</t>
  </si>
  <si>
    <t>4Timber-framed pitched roof with horizontal ceilingVentedNo</t>
  </si>
  <si>
    <t>6Timber-framed flat, skillion or cathedral roof</t>
  </si>
  <si>
    <t>4Timber-framed pitched roof with horizontal ceilingStandardYes</t>
  </si>
  <si>
    <t>7Timber-framed flat, skillion or cathedral roof</t>
  </si>
  <si>
    <t>4Timber-framed pitched roof with horizontal ceilingStandardNo</t>
  </si>
  <si>
    <t>≥ 1.5 to &lt; 2.0</t>
  </si>
  <si>
    <t>8Timber-framed flat, skillion or cathedral roof</t>
  </si>
  <si>
    <t>5Timber-framed pitched roof with horizontal ceilingVentedYes</t>
  </si>
  <si>
    <t>≥ 2.0</t>
  </si>
  <si>
    <t>5Timber-framed pitched roof with horizontal ceilingVentedNo</t>
  </si>
  <si>
    <t>5Timber-framed pitched roof with horizontal ceilingStandardYes</t>
  </si>
  <si>
    <t>5Timber-framed pitched roof with horizontal ceilingStandardNo</t>
  </si>
  <si>
    <t>6Timber-framed pitched roof with horizontal ceilingVentedYes</t>
  </si>
  <si>
    <t>6Timber-framed pitched roof with horizontal ceilingVentedNo</t>
  </si>
  <si>
    <t>6Timber-framed pitched roof with horizontal ceilingStandardYes</t>
  </si>
  <si>
    <t>6Timber-framed pitched roof with horizontal ceilingStandardNo</t>
  </si>
  <si>
    <t>7Timber-framed pitched roof with horizontal ceilingVentedYes</t>
  </si>
  <si>
    <t>7Timber-framed pitched roof with horizontal ceilingVentedNo</t>
  </si>
  <si>
    <t>7Timber-framed pitched roof with horizontal ceilingStandardYes</t>
  </si>
  <si>
    <t>7Timber-framed pitched roof with horizontal ceilingStandardNo</t>
  </si>
  <si>
    <t>8Timber-framed pitched roof with horizontal ceilingVentedYes</t>
  </si>
  <si>
    <t>8Timber-framed pitched roof with horizontal ceilingVentedNo</t>
  </si>
  <si>
    <t>8Timber-framed pitched roof with horizontal ceilingStandardYes</t>
  </si>
  <si>
    <t>Table 13.2.3c</t>
  </si>
  <si>
    <t>8Timber-framed pitched roof with horizontal ceilingStandardNo</t>
  </si>
  <si>
    <t>Pitched roof with horizontal ceiling – minimum R-Value for ceiling insulation: climate zone 2</t>
  </si>
  <si>
    <t>0.42 &lt; SA ≤  0.64</t>
  </si>
  <si>
    <t>Any</t>
  </si>
  <si>
    <t>SA - USE COLUMN C</t>
  </si>
  <si>
    <t>&lt; 0.5</t>
  </si>
  <si>
    <t>≥ 0.5</t>
  </si>
  <si>
    <t>≥ 0.5 to &lt; 1.0</t>
  </si>
  <si>
    <t>≥ 1.0</t>
  </si>
  <si>
    <t>Table 13.2.3d</t>
  </si>
  <si>
    <t>Pitched roof with horizontal ceiling – minimum R-Value for ceiling insulation: climate zone 3</t>
  </si>
  <si>
    <t>0.53 &lt; SA ≤ 0 .64</t>
  </si>
  <si>
    <t>Table 13.2.3e</t>
  </si>
  <si>
    <t>Pitched roof with horizontal ceiling – minimum R-Value for ceiling insulation: climate zone 4</t>
  </si>
  <si>
    <t>0.23 &lt; SA ≤ 0.64</t>
  </si>
  <si>
    <t>≤ 0.5</t>
  </si>
  <si>
    <t>&gt; 0.5</t>
  </si>
  <si>
    <t>Table 13.2.3f</t>
  </si>
  <si>
    <t>Pitched roof with horizontal ceiling – minimum R-Value for ceiling insulation: climate zone 5</t>
  </si>
  <si>
    <t>SA ≤ 0.42</t>
  </si>
  <si>
    <t>0.42 &lt; SA ≤ 0.64</t>
  </si>
  <si>
    <t>&lt; 2.0</t>
  </si>
  <si>
    <t>&gt; 0.5 to &lt; 2.0</t>
  </si>
  <si>
    <t>Table 13.2.3g</t>
  </si>
  <si>
    <t>Pitched roof with horizontal ceiling – minimum R-Value for ceiling insulation: climate zone 6</t>
  </si>
  <si>
    <t>0.23 ≤ SA ≤ 0.64</t>
  </si>
  <si>
    <t>0.64 &lt; SA ≤ 0.96</t>
  </si>
  <si>
    <t>Table 13.2.3h</t>
  </si>
  <si>
    <t>Pitched roof with horizontal ceiling – minimum R-Value for ceiling insulation: climate zone 7</t>
  </si>
  <si>
    <t>0.64 &lt; SA ≤ 0.73</t>
  </si>
  <si>
    <t>0.73 &lt; SA ≤ 0.85</t>
  </si>
  <si>
    <t>0.85 &lt; SA ≤ 0.96</t>
  </si>
  <si>
    <t>Table 13.2.3i</t>
  </si>
  <si>
    <t>Pitched roof with horizontal ceiling – minimum R-Value for ceiling insulation: climate zone 8</t>
  </si>
  <si>
    <t>&lt; 1.5</t>
  </si>
  <si>
    <t>≥1.5</t>
  </si>
  <si>
    <t>Table 13.2.3j</t>
  </si>
  <si>
    <t>Flat, skillion or cathedral roof - minimum R-value for ceiling insulation: climate zone 1 - single storey dwelling</t>
  </si>
  <si>
    <t>Table 13.2.3k</t>
  </si>
  <si>
    <t>Flat, skillion or cathedral roof - minimum R-value for ceiling insulation: climate zone 1 - Two storey dwelling</t>
  </si>
  <si>
    <t>Table 13.2.3l</t>
  </si>
  <si>
    <t>Flat, skillion or cathedral roof - minimum R-value for ceiling insulation: climate zone 2</t>
  </si>
  <si>
    <t>Table 13.2.3m</t>
  </si>
  <si>
    <t>Flat, skillion or cathedral roof - minimum R-value for ceiling insulation: climate zone 3</t>
  </si>
  <si>
    <t>Table 13.2.3n</t>
  </si>
  <si>
    <t>Flat, skillion or cathedral roof - minimum R-value for ceiling insulation: climate zone 4</t>
  </si>
  <si>
    <t>SA ≤ 0.64</t>
  </si>
  <si>
    <t>Table 13.2.3o</t>
  </si>
  <si>
    <t>Flat, skillion or cathedral roof - minimum R-value for ceiling insulation: climate zone 5</t>
  </si>
  <si>
    <t>Table 13.2.3p</t>
  </si>
  <si>
    <t>Flat, skillion or cathedral roof - minimum R-value for ceiling insulation: climate zone 6</t>
  </si>
  <si>
    <t>0.23 ≤ SA &lt; 0.64</t>
  </si>
  <si>
    <t>SA = 0.64</t>
  </si>
  <si>
    <t>Table 13.2.3q</t>
  </si>
  <si>
    <t>Flat, skillion or cathedral roof - minimum R-value for ceiling insulation: climate zone 7</t>
  </si>
  <si>
    <t>Table 13.2.3r</t>
  </si>
  <si>
    <t>Flat, skillion or cathedral roof - minimum R-value for ceiling insulation: climate zone 8</t>
  </si>
  <si>
    <t>0.64 &lt; SA .0 .73</t>
  </si>
  <si>
    <t>Table 13.2.3s</t>
  </si>
  <si>
    <t>Metal-framed pitched roof with horizontal ceiling - minimum Total R-Value of ceiling to account for thermal bridging</t>
  </si>
  <si>
    <t>Minimum ceiling insulation R-Value from Tables 13.2.3a to 13.2.3i as applicable</t>
  </si>
  <si>
    <t>Minimum ceiling Total R-Value</t>
  </si>
  <si>
    <t>Table 13.2.3t</t>
  </si>
  <si>
    <t>Metal-framed flat, skillion or cathedral roof - minimum Total R-Value of ceiling to account for thermal bridging</t>
  </si>
  <si>
    <t>Minimum ceiling insulation R-Value from Tables 13.2.3j to 13.2.3r</t>
  </si>
  <si>
    <t>Minimum Total R-Value to account for thermal bridging – heat flow down</t>
  </si>
  <si>
    <t>Minimum Total R-Value to account for thermal bridging – heat flow up</t>
  </si>
  <si>
    <t>Table 13.2.3u</t>
  </si>
  <si>
    <t>Metal-framed flat, skillion or cathedral roof - thermal bridging mitigation</t>
  </si>
  <si>
    <t>Option 1 – increase insulation between roof frame members to specified minimum R-Value</t>
  </si>
  <si>
    <r>
      <t xml:space="preserve">Option 2 – add a layer of continuous insulation with specified minimum </t>
    </r>
    <r>
      <rPr>
        <i/>
        <sz val="11"/>
        <color rgb="FFFFFFFF"/>
        <rFont val="Arial"/>
        <family val="2"/>
      </rPr>
      <t xml:space="preserve">R- Value </t>
    </r>
    <r>
      <rPr>
        <sz val="11"/>
        <color rgb="FFFFFFFF"/>
        <rFont val="Arial"/>
        <family val="2"/>
      </rPr>
      <t>above or below the roof frame members</t>
    </r>
  </si>
  <si>
    <t>Table 13.2.3v</t>
  </si>
  <si>
    <t>Climate zone</t>
  </si>
  <si>
    <t>2 (altitude less than 300 m)</t>
  </si>
  <si>
    <t>2 (altitude 300 m or more)</t>
  </si>
  <si>
    <t>Down and up</t>
  </si>
  <si>
    <t xml:space="preserve">  </t>
  </si>
  <si>
    <t>Row</t>
  </si>
  <si>
    <t>Column</t>
  </si>
  <si>
    <t>Table 13.2.3w</t>
  </si>
  <si>
    <t>Adjusted minimum R-Value of ceiling insulation required to compensate for loss of ceiling insulation area</t>
  </si>
  <si>
    <t>Min</t>
  </si>
  <si>
    <t>Max</t>
  </si>
  <si>
    <t>Percentage of ceiling area uninsulated</t>
  </si>
  <si>
    <t>Minimum R-Value of ceiling insulation required to satisfy 13.2.3(1) and (3)</t>
  </si>
  <si>
    <t>0.5 to less than 1.0%</t>
  </si>
  <si>
    <t>1.0% to less than 1.5%</t>
  </si>
  <si>
    <t>1.5% to less than 2.0%</t>
  </si>
  <si>
    <t>2.0% to less than 2.5%</t>
  </si>
  <si>
    <t>2.5% to less than 3.0%</t>
  </si>
  <si>
    <t>3.0% to less than 4.0%</t>
  </si>
  <si>
    <t>4.0% to less than 5.0%</t>
  </si>
  <si>
    <t>Table 13.2.3x</t>
  </si>
  <si>
    <t>Total R-Value for roofs constructed with insulated sandwich panels</t>
  </si>
  <si>
    <t>1 (single storey dwelling)</t>
  </si>
  <si>
    <t>1 (two or more storey dwelling)</t>
  </si>
  <si>
    <t>2 (heat flow down)</t>
  </si>
  <si>
    <t>2 (heat flow up)</t>
  </si>
  <si>
    <t>3 (heat flow down)</t>
  </si>
  <si>
    <t>3 (heat flow up)</t>
  </si>
  <si>
    <t>Data Validation Check Row 64 Helper for CountIf</t>
  </si>
  <si>
    <t>Data Validation Check Row 65 Helper for CountIf</t>
  </si>
  <si>
    <t>Data Validation Check Row 66 Helper for CountIf</t>
  </si>
  <si>
    <t>Data Validation Check Row 67 Helper for CountIf</t>
  </si>
  <si>
    <t>Tables for 13.2.4</t>
  </si>
  <si>
    <t>Roof lights</t>
  </si>
  <si>
    <t>External walls</t>
  </si>
  <si>
    <t>Roof lights - Total System SHGC</t>
  </si>
  <si>
    <t>Metal Framed Walls</t>
  </si>
  <si>
    <t>Roof light shaft index Note 1</t>
  </si>
  <si>
    <t>Total area of roof lights up to 3.5% of the floor area of the room or space</t>
  </si>
  <si>
    <t>Total area of roof lights more than 3.5% and up to 5% of the floor area of the room or space</t>
  </si>
  <si>
    <t>Row 64</t>
  </si>
  <si>
    <t>Row 65</t>
  </si>
  <si>
    <t>Row 66</t>
  </si>
  <si>
    <t>Row 67</t>
  </si>
  <si>
    <t>≤ 0.45</t>
  </si>
  <si>
    <t>≤ 0.29</t>
  </si>
  <si>
    <t>Data Validation Check Row 64</t>
  </si>
  <si>
    <t>≤ 0.51</t>
  </si>
  <si>
    <t>≤ 0.33</t>
  </si>
  <si>
    <t>Data Validation Check Row 65</t>
  </si>
  <si>
    <t>≤ 0.76</t>
  </si>
  <si>
    <t>≤ 0.49</t>
  </si>
  <si>
    <t>R-Value</t>
  </si>
  <si>
    <t>Data Validation Check Row 66</t>
  </si>
  <si>
    <t>Two Storey R-Value adjustment</t>
  </si>
  <si>
    <t>Data Validation Check Row 67</t>
  </si>
  <si>
    <t>Tables for 13.2.5</t>
  </si>
  <si>
    <t>1Concrete block walls</t>
  </si>
  <si>
    <t>Table 13.2.5a</t>
  </si>
  <si>
    <t>1Lightweight walls</t>
  </si>
  <si>
    <t>Concrete block walls - minimum insulation R-Value: climate zone 1</t>
  </si>
  <si>
    <t>2Masonry veneer walls</t>
  </si>
  <si>
    <t>Overhang</t>
  </si>
  <si>
    <t>Wall type</t>
  </si>
  <si>
    <t>Table ID</t>
  </si>
  <si>
    <t>Wall height (m)</t>
  </si>
  <si>
    <t>2Masonry cavity wall</t>
  </si>
  <si>
    <t>≤ 2.4</t>
  </si>
  <si>
    <t>&gt; 2.4 to ≤ 2.7</t>
  </si>
  <si>
    <t>&gt; 2.7 to ≤ 3.0</t>
  </si>
  <si>
    <t>&gt; 3.0 to ≤ 3.6</t>
  </si>
  <si>
    <t>3Concrete block walls</t>
  </si>
  <si>
    <t>1Concrete block walls≤ 0.3</t>
  </si>
  <si>
    <t>≤ 0.3</t>
  </si>
  <si>
    <t>3Lightweight walls</t>
  </si>
  <si>
    <t>1Concrete block walls&gt; 0.3 to ≤ 0.4</t>
  </si>
  <si>
    <t>&gt; 0 to ≤ 300</t>
  </si>
  <si>
    <t>Reflective</t>
  </si>
  <si>
    <t>4Masonry veneer walls</t>
  </si>
  <si>
    <t>1Concrete block walls&gt; 0.4 to ≤ 0.5</t>
  </si>
  <si>
    <t>&gt; 300 to ≤ 450</t>
  </si>
  <si>
    <t>4Masonry cavity wall</t>
  </si>
  <si>
    <t>1Concrete block walls&gt; 0.5 to ≤ 0.6</t>
  </si>
  <si>
    <t>&gt; 450 to ≤ 600</t>
  </si>
  <si>
    <t>5Masonry veneer walls</t>
  </si>
  <si>
    <t>1Concrete block walls&gt; 0.6 to ≤ 0.7</t>
  </si>
  <si>
    <t>&gt; 600 to ≤ 900</t>
  </si>
  <si>
    <t>5Masonry cavity wall</t>
  </si>
  <si>
    <t>1Lightweight walls≤ 0.3</t>
  </si>
  <si>
    <t>&gt; 900 to ≤ 1200</t>
  </si>
  <si>
    <t>6Masonry veneer walls</t>
  </si>
  <si>
    <t>&gt; 1200 to ≤ 1500</t>
  </si>
  <si>
    <t>6Masonry cavity wall</t>
  </si>
  <si>
    <t>1Lightweight walls&gt; 0.3 to ≤ 0.4</t>
  </si>
  <si>
    <t>&gt; 1500 to ≤ 1800</t>
  </si>
  <si>
    <t>7Masonry veneer walls</t>
  </si>
  <si>
    <t>1Lightweight walls&gt; 0.4 to ≤ 0.5</t>
  </si>
  <si>
    <t>&gt; 1800 to ≤ 2400</t>
  </si>
  <si>
    <t>7Masonry cavity wall</t>
  </si>
  <si>
    <t>1Lightweight walls&gt; 0.5 to ≤ 0.6</t>
  </si>
  <si>
    <t>&gt; 0.3 to ≤ 0.4</t>
  </si>
  <si>
    <t>8Lightweight walls</t>
  </si>
  <si>
    <t>1Lightweight walls&gt; 0.6 to ≤ 0.7</t>
  </si>
  <si>
    <t>2Masonry veneer walls≤ 0.35</t>
  </si>
  <si>
    <t>Check</t>
  </si>
  <si>
    <t>2Masonry veneer walls&gt; 0.35 to ≤ 0.5</t>
  </si>
  <si>
    <t>2Masonry veneer walls&gt; 0.5 to ≤ 0.7</t>
  </si>
  <si>
    <t>2Masonry cavity wall≤ 0.35</t>
  </si>
  <si>
    <t>1Concrete block wallsTwo storey dwelling</t>
  </si>
  <si>
    <t>2Masonry cavity wall&gt; 0.35 to ≤ 0.5</t>
  </si>
  <si>
    <t>1Lightweight wallsTwo storey dwelling</t>
  </si>
  <si>
    <t>2Masonry cavity wall&gt; 0.5 to ≤ 0.7</t>
  </si>
  <si>
    <t>2Masonry veneer wallsTwo storey dwelling</t>
  </si>
  <si>
    <t>3Concrete block walls≤ 0.7</t>
  </si>
  <si>
    <t>2Masonry cavity wallTwo storey dwelling</t>
  </si>
  <si>
    <t>3Lightweight walls≤ 0.3</t>
  </si>
  <si>
    <t>&gt; 0.4 to ≤ 0.5</t>
  </si>
  <si>
    <t>3Concrete block wallsTwo storey dwelling</t>
  </si>
  <si>
    <t>None</t>
  </si>
  <si>
    <t>3Lightweight walls&gt; 0.3 to ≤ 0.4</t>
  </si>
  <si>
    <t>&gt; 0 ≤ 300</t>
  </si>
  <si>
    <t>3Lightweight wallsTwo storey dwelling</t>
  </si>
  <si>
    <t>3Lightweight walls&gt; 0.4 to ≤ 0.5</t>
  </si>
  <si>
    <t>4Masonry veneer wallsTwo storey dwelling</t>
  </si>
  <si>
    <t>3Lightweight walls&gt; 0.5 to ≤ 0.6</t>
  </si>
  <si>
    <t>4Masonry cavity wallTwo storey dwelling</t>
  </si>
  <si>
    <t>3Lightweight walls&gt; 0.6 to ≤ 0.7</t>
  </si>
  <si>
    <t>5Masonry veneer wallsTwo storey dwelling</t>
  </si>
  <si>
    <t>4Masonry veneer walls≤ 0.35</t>
  </si>
  <si>
    <t>5Masonry cavity wallTwo storey dwelling</t>
  </si>
  <si>
    <t>4Masonry veneer walls&gt; 0.35 to ≤ 0.5</t>
  </si>
  <si>
    <t>6Masonry veneer wallsTwo storey dwelling</t>
  </si>
  <si>
    <t>4Masonry veneer walls&gt; 0.5 to ≤ 0.7</t>
  </si>
  <si>
    <t>6Masonry cavity wallTwo storey dwelling</t>
  </si>
  <si>
    <t>up to Max of 1.44</t>
  </si>
  <si>
    <t>4Masonry cavity wall≤ 0.35</t>
  </si>
  <si>
    <t>7Masonry veneer wallsTwo storey dwelling</t>
  </si>
  <si>
    <t>4Masonry cavity wall&gt; 0.35 to ≤ 0.5</t>
  </si>
  <si>
    <t>&gt; 0.5 to ≤ 0.6</t>
  </si>
  <si>
    <t>7Masonry cavity wallTwo storey dwelling</t>
  </si>
  <si>
    <t>4Masonry cavity wall&gt; 0.5 to ≤ 0.7</t>
  </si>
  <si>
    <t>8Lightweight wallsTwo storey dwelling</t>
  </si>
  <si>
    <t>Max cannot  be more than 2.7, or 3.1 (if there is a relfective airspace)</t>
  </si>
  <si>
    <t>5Masonry veneer walls≤ 0.35</t>
  </si>
  <si>
    <t>5Masonry veneer walls&gt; 0.35 to ≤ 0.5</t>
  </si>
  <si>
    <t>5Masonry veneer walls&gt; 0.5 to ≤ 0.7</t>
  </si>
  <si>
    <t>5Masonry cavity wall≤ 0.35</t>
  </si>
  <si>
    <t>5Masonry cavity wall&gt; 0.35 to ≤ 0.5</t>
  </si>
  <si>
    <t>5Masonry cavity wall&gt; 0.5 to ≤ 0.7</t>
  </si>
  <si>
    <t>6Masonry veneer walls≤ 0.35</t>
  </si>
  <si>
    <t>6Masonry veneer walls&gt; 0.35 to ≤ 0.5</t>
  </si>
  <si>
    <t>&gt; 0.6 to ≤ 0.7</t>
  </si>
  <si>
    <t>6Masonry veneer walls&gt; 0.5 to ≤ 0.7</t>
  </si>
  <si>
    <t>6Masonry veneer walls&gt; 0.7 to ≤ 0.85</t>
  </si>
  <si>
    <t>6Masonry cavity wall≤ 0.35</t>
  </si>
  <si>
    <t>6Masonry cavity wall&gt; 0.35 to ≤ 0.5</t>
  </si>
  <si>
    <t>6Masonry cavity wall&gt; 0.5 to ≤ 0.7</t>
  </si>
  <si>
    <t>6Masonry cavity wall&gt; 0.7 to ≤ 0.85</t>
  </si>
  <si>
    <t>7Masonry veneer walls≤ 0.35</t>
  </si>
  <si>
    <t>7Masonry veneer walls&gt; 0.35 to ≤ 0.5</t>
  </si>
  <si>
    <t>7Masonry veneer walls&gt; 0.5 to ≤ 0.7</t>
  </si>
  <si>
    <t>7Masonry veneer walls&gt; 0.7 to ≤ 0.85</t>
  </si>
  <si>
    <t>Table 13.2.5b</t>
  </si>
  <si>
    <t>7Masonry cavity wall≤ 0.35</t>
  </si>
  <si>
    <t>Lightweight walls - minimum insulation R-Value: climate zone 1</t>
  </si>
  <si>
    <t>7Masonry cavity wall&gt; 0.35 to ≤ 0.5</t>
  </si>
  <si>
    <t>7Masonry cavity wall&gt; 0.5 to ≤ 0.7</t>
  </si>
  <si>
    <t>7Masonry cavity wall&gt; 0.7 to ≤ 0.85</t>
  </si>
  <si>
    <t>8Lightweight walls≤ 0.35</t>
  </si>
  <si>
    <t>8Lightweight walls&gt; 0.35 to ≤ 0.5</t>
  </si>
  <si>
    <t>8Lightweight walls&gt; 0.5 to ≤ 0.7</t>
  </si>
  <si>
    <t>8Lightweight walls&gt; 0.7 to ≤ 0.85</t>
  </si>
  <si>
    <t>Data Validation Check Row 68</t>
  </si>
  <si>
    <t>Data Validation Check Row 69</t>
  </si>
  <si>
    <t>&gt;1200 to ≤ 1500</t>
  </si>
  <si>
    <t>Wall Height</t>
  </si>
  <si>
    <t>Table 13.2.5c</t>
  </si>
  <si>
    <t>Masonry veneer wall - minimum insulation R-Value: climate zone 2</t>
  </si>
  <si>
    <t>≤ 0.35</t>
  </si>
  <si>
    <t>&gt; 0.35 to ≤ 0.5</t>
  </si>
  <si>
    <t>&gt; 0.5 to ≤ 0.7</t>
  </si>
  <si>
    <t>Table 13.2.5d</t>
  </si>
  <si>
    <t>Masonry cavity wall - minimum insulation R-Value: climate zone 2</t>
  </si>
  <si>
    <t>Table 13.2.5e</t>
  </si>
  <si>
    <t>Concrete block wall - minimum insulation R-Value: climate zone 3</t>
  </si>
  <si>
    <t>≤ 0.7</t>
  </si>
  <si>
    <t>Table 13.2.5f</t>
  </si>
  <si>
    <t>Lightweight wall - minimum insulation R-Value: climate zone 3</t>
  </si>
  <si>
    <t>&gt; to ≤ 300</t>
  </si>
  <si>
    <t>Table 13.2.5g</t>
  </si>
  <si>
    <t>Masonry veneer wall - minimum insulation R-Value: climate zone 4</t>
  </si>
  <si>
    <t>Table 13.2.5h</t>
  </si>
  <si>
    <t>Masonry cavity wall - minimum insulation R-Value: climate zone 4</t>
  </si>
  <si>
    <t>0,51</t>
  </si>
  <si>
    <t>Table 13.2.5i</t>
  </si>
  <si>
    <t>Masonry veneer wall - minimum insulation R-Value: climate zone 5</t>
  </si>
  <si>
    <t>2.7 to ≤ 3.0</t>
  </si>
  <si>
    <t>Table 13.2.5j</t>
  </si>
  <si>
    <t>Masonry cavity wall - minimum insulation R-Value: climate zone 5</t>
  </si>
  <si>
    <t>Table 13.2.5k</t>
  </si>
  <si>
    <t>Masonry veneer wall - minimum insulation R-Value: climate zone 6</t>
  </si>
  <si>
    <t>&gt; 0.7 to ≤ 0.85</t>
  </si>
  <si>
    <t>Table 13.2.5l</t>
  </si>
  <si>
    <t>Masonry cavity wall - minimum insulation R-Value: climate zone 6</t>
  </si>
  <si>
    <t>Table 13.2.5m</t>
  </si>
  <si>
    <t>Masonry veneer wall - minimum insulation R-Value: climate zone 7</t>
  </si>
  <si>
    <t>Table 13.2.5n</t>
  </si>
  <si>
    <t>Masonry cavity wall - minimum insulation R-Value: climate zone 7</t>
  </si>
  <si>
    <t>Table 13.2.5o</t>
  </si>
  <si>
    <t>Lightweight wall - minimum insulation R-Value: climate zone 8</t>
  </si>
  <si>
    <t>Table 13.2.5p</t>
  </si>
  <si>
    <t>Concrete block walls with internal lining fixed to a metal frame: minimum Total R-Value to account for thermal bridging</t>
  </si>
  <si>
    <r>
      <t xml:space="preserve">Wall insulation </t>
    </r>
    <r>
      <rPr>
        <b/>
        <i/>
        <sz val="11"/>
        <color rgb="FFFFFFFF"/>
        <rFont val="Arial"/>
        <family val="2"/>
      </rPr>
      <t xml:space="preserve">R-Value </t>
    </r>
    <r>
      <rPr>
        <b/>
        <sz val="11"/>
        <color rgb="FFFFFFFF"/>
        <rFont val="Arial"/>
        <family val="2"/>
      </rPr>
      <t>from Tables 13.2.5a and 13.2.5e</t>
    </r>
  </si>
  <si>
    <t>Minimum Total R-Value to account for thermal bridging</t>
  </si>
  <si>
    <t>Table 13.2.5q</t>
  </si>
  <si>
    <t>Lightweight metal-framed walls: minimum Total R-Value to account for thermal bridging</t>
  </si>
  <si>
    <r>
      <t xml:space="preserve">Wall insulation </t>
    </r>
    <r>
      <rPr>
        <b/>
        <i/>
        <sz val="11"/>
        <color rgb="FFFFFFFF"/>
        <rFont val="Arial"/>
        <family val="2"/>
      </rPr>
      <t xml:space="preserve">R-Value required </t>
    </r>
    <r>
      <rPr>
        <b/>
        <sz val="11"/>
        <color rgb="FFFFFFFF"/>
        <rFont val="Arial"/>
        <family val="2"/>
      </rPr>
      <t>in accordance with 13.2.5(2)</t>
    </r>
  </si>
  <si>
    <t>Table 13.2.5r</t>
  </si>
  <si>
    <t>Masonry veneer metal-framed walls: minimum Total R-Value to account for thermal bridging</t>
  </si>
  <si>
    <t>Wall insulation from Tables 13.2.5c, 13.2.5g, 13.2.5i, 13.2.5k and 13.2.5m</t>
  </si>
  <si>
    <r>
      <t xml:space="preserve">Minimum </t>
    </r>
    <r>
      <rPr>
        <b/>
        <i/>
        <sz val="11"/>
        <color rgb="FFFFFFFF"/>
        <rFont val="Arial"/>
        <family val="2"/>
      </rPr>
      <t xml:space="preserve">Total R-Value </t>
    </r>
    <r>
      <rPr>
        <b/>
        <sz val="11"/>
        <color rgb="FFFFFFFF"/>
        <rFont val="Arial"/>
        <family val="2"/>
      </rPr>
      <t>to account for thermal bridging</t>
    </r>
  </si>
  <si>
    <t>Table 13.2.5s</t>
  </si>
  <si>
    <t>Concrete block walls with internal lining fixed to a metal frame - thermal bridging mitigation</t>
  </si>
  <si>
    <r>
      <t xml:space="preserve">Wall insulation </t>
    </r>
    <r>
      <rPr>
        <b/>
        <i/>
        <sz val="11"/>
        <color rgb="FFFFFFFF"/>
        <rFont val="Arial"/>
        <family val="2"/>
      </rPr>
      <t xml:space="preserve">R-Values </t>
    </r>
    <r>
      <rPr>
        <b/>
        <sz val="11"/>
        <color rgb="FFFFFFFF"/>
        <rFont val="Arial"/>
        <family val="2"/>
      </rPr>
      <t>from Tables</t>
    </r>
    <r>
      <rPr>
        <b/>
        <sz val="11"/>
        <color theme="0"/>
        <rFont val="Arial"/>
        <family val="2"/>
      </rPr>
      <t xml:space="preserve"> 13.2.5a to 13.2.5e</t>
    </r>
  </si>
  <si>
    <t>Option 1 – increase insulation between wall framing to specified minimum R-Value</t>
  </si>
  <si>
    <r>
      <t xml:space="preserve">Option 2 – add a layer of continuous insulation with specified minimum </t>
    </r>
    <r>
      <rPr>
        <b/>
        <i/>
        <sz val="11"/>
        <color rgb="FFFFFFFF"/>
        <rFont val="Arial"/>
        <family val="2"/>
      </rPr>
      <t xml:space="preserve">R- Value </t>
    </r>
    <r>
      <rPr>
        <b/>
        <sz val="11"/>
        <color rgb="FFFFFFFF"/>
        <rFont val="Arial"/>
        <family val="2"/>
      </rPr>
      <t>on the inside or outside of the wall framing</t>
    </r>
  </si>
  <si>
    <t>Not required</t>
  </si>
  <si>
    <t>0 or reflective</t>
  </si>
  <si>
    <t>0.5 or 1.0</t>
  </si>
  <si>
    <t>1.5, 2.0 or 2.5</t>
  </si>
  <si>
    <t>Table 13.2.5t</t>
  </si>
  <si>
    <t>Lightweight metal-framed walls - thermal bridging mitigation</t>
  </si>
  <si>
    <r>
      <t xml:space="preserve">Wall insulation </t>
    </r>
    <r>
      <rPr>
        <b/>
        <i/>
        <sz val="11"/>
        <color rgb="FFFFFFFF"/>
        <rFont val="Arial"/>
        <family val="2"/>
      </rPr>
      <t xml:space="preserve">R-Value </t>
    </r>
    <r>
      <rPr>
        <b/>
        <sz val="11"/>
        <color rgb="FFFFFFFF"/>
        <rFont val="Arial"/>
        <family val="2"/>
      </rPr>
      <t>from Tables 13.2.5a to 13.2.5o</t>
    </r>
  </si>
  <si>
    <t>Thermal bridging mitigation</t>
  </si>
  <si>
    <t>&gt;0 to ≤1.5</t>
  </si>
  <si>
    <t>Either install reflective insulation outside the frame to create a minimum 20 mm reflective airspace between frame and cladding, or increase insulation between frames by R0.5.</t>
  </si>
  <si>
    <t>&gt;1.5</t>
  </si>
  <si>
    <t>Either install reflective insulation outside the frame to create a minimum 20 mm reflective airspace between frame and cladding, or add a layer of continuous insulation with an R-Value of at least R0.30 on the inside or the outside of the frame.</t>
  </si>
  <si>
    <t>Table 13.2.5u</t>
  </si>
  <si>
    <t>Masonry veneer metal-framed walls - thermal bridging mitigation</t>
  </si>
  <si>
    <r>
      <t xml:space="preserve">Wall insulation </t>
    </r>
    <r>
      <rPr>
        <b/>
        <i/>
        <sz val="11"/>
        <color rgb="FFFFFFFF"/>
        <rFont val="Arial"/>
        <family val="2"/>
      </rPr>
      <t xml:space="preserve">R-Value </t>
    </r>
    <r>
      <rPr>
        <b/>
        <sz val="11"/>
        <color rgb="FFFFFFFF"/>
        <rFont val="Arial"/>
        <family val="2"/>
      </rPr>
      <t>from Tables 13.2.5c, 13.2.5g, 13.2.5i, 13.2.5k and 13.2.5m</t>
    </r>
  </si>
  <si>
    <t>Thermal bridging mitigation options</t>
  </si>
  <si>
    <t>&gt; 0</t>
  </si>
  <si>
    <t>Either install reflective insulation outside the frame to a minimum 20 mm reflective airspace between the frame and veneer, or add a layer of continuous insulation with an R-Value of at least R0.30 on the inside or the outside of the frame.</t>
  </si>
  <si>
    <t>Tables for 13.2.6</t>
  </si>
  <si>
    <t>Floors and subfloor walls</t>
  </si>
  <si>
    <t>Table 13.2.6a</t>
  </si>
  <si>
    <t>Minimum R-Value of floor insulation where the floor is over an unenclosed space</t>
  </si>
  <si>
    <t>Floor Type</t>
  </si>
  <si>
    <t>if used in conjunction with a reflective airspace</t>
  </si>
  <si>
    <t>4.0, or 3.5 if used in conjunction with a reflective airspace</t>
  </si>
  <si>
    <t>Table 13.2.6b</t>
  </si>
  <si>
    <t>Minimum R-Value of subfloor wall insulation where the floor is over an enclosed subfloor space: climate zone 2</t>
  </si>
  <si>
    <t>Column1</t>
  </si>
  <si>
    <t>Minimum subfloor wall insulation R-Value</t>
  </si>
  <si>
    <t>Table 13.2.6c</t>
  </si>
  <si>
    <t>Minimum R-Value of subfloor wall insulation where the floor is over an enclosed subfloor space: climate zone 3</t>
  </si>
  <si>
    <t>Table 13.2.6d</t>
  </si>
  <si>
    <t>Minimum R-Value of subfloor wall insulation where the floor is over an enclosed subfloor space: climate zone 4</t>
  </si>
  <si>
    <t>Reflective insulation facing down over the subfloor space</t>
  </si>
  <si>
    <t>Minimum suspended floor insulation R-Value</t>
  </si>
  <si>
    <t>Table 13.2.6e</t>
  </si>
  <si>
    <t>Minimum R-Value of subfloor wall insulation where the floor is over an enclosed subfloor space: climate zone 5</t>
  </si>
  <si>
    <t>Reflective insulation facing down over the subfloor surface</t>
  </si>
  <si>
    <t>Table 13.2.6f</t>
  </si>
  <si>
    <t>Minimum R-Value of subfloor wall insulation where the floor is over an enclosed subfloor space: climate zone 6</t>
  </si>
  <si>
    <t>Reflective insulation facing down over the subfloor area</t>
  </si>
  <si>
    <t>Table 13.2.6g</t>
  </si>
  <si>
    <t>Minimum R-Value of subfloor wall insulation where the floor is over an enclosed subfloor space: climate zone 7</t>
  </si>
  <si>
    <t>Table 13.2.6h</t>
  </si>
  <si>
    <t>Minimum R-Value of subfloor wall insulation where the floor is over an enclosed subfloor space: climate zone 8</t>
  </si>
  <si>
    <t>Table 13.2.6i</t>
  </si>
  <si>
    <t>Metal-framed suspended floor - minimum Total R-Value for floor to account for thermal bridging</t>
  </si>
  <si>
    <t>Floor insulation from Tables 13.2.6a and 13.2.6d to 13.2.6h as applicable</t>
  </si>
  <si>
    <t>Floor covering</t>
  </si>
  <si>
    <t>Minimum Total R-Value of floor</t>
  </si>
  <si>
    <t>Carpet</t>
  </si>
  <si>
    <t>Other</t>
  </si>
  <si>
    <t>Table 13.2.6j</t>
  </si>
  <si>
    <t>Metal-framed suspended floor - thermal bridging mitigation</t>
  </si>
  <si>
    <t>Option 1 – increase insulation between floor framing to specified minimum R-Value</t>
  </si>
  <si>
    <t>Option 2– add a layer of continuous insulation product above or below the floor framing with specified R-Value</t>
  </si>
  <si>
    <t>Metal-framed suspended floor</t>
  </si>
  <si>
    <t>≥ 3.0</t>
  </si>
  <si>
    <t>Table 13.2.6k</t>
  </si>
  <si>
    <t>Floor - direction of heat flow</t>
  </si>
  <si>
    <t>`</t>
  </si>
  <si>
    <t>Waffle Pod Slab</t>
  </si>
  <si>
    <t>Insulation with an R-Value ≥1.0  installed around the vertical edge of its perimeter.</t>
  </si>
  <si>
    <r>
      <t xml:space="preserve">Insulation with R-Value </t>
    </r>
    <r>
      <rPr>
        <sz val="11"/>
        <color theme="1"/>
        <rFont val="Calibri"/>
        <family val="2"/>
      </rPr>
      <t>≥</t>
    </r>
    <r>
      <rPr>
        <sz val="11"/>
        <color theme="1"/>
        <rFont val="Arial"/>
        <family val="2"/>
      </rPr>
      <t>0.64 must be installed around the vertical edge of its perimeter; and insulation with an R-Value ≥0.64 must be installed underneath the slab.</t>
    </r>
  </si>
  <si>
    <r>
      <t xml:space="preserve">Insulation with R-Value </t>
    </r>
    <r>
      <rPr>
        <sz val="11"/>
        <color theme="1"/>
        <rFont val="Calibri"/>
        <family val="2"/>
      </rPr>
      <t>≥</t>
    </r>
    <r>
      <rPr>
        <sz val="11"/>
        <color theme="1"/>
        <rFont val="Arial"/>
        <family val="2"/>
      </rPr>
      <t>1.0 must be installed around the vertical edge of its perimeter; and insulation with an R-Value ≥2.0 must be installed underneath the slab.</t>
    </r>
  </si>
  <si>
    <t>Tips for using the Glazing Calculator:</t>
  </si>
  <si>
    <t>Calculator version (4.2):</t>
  </si>
  <si>
    <t>Version 4.2 of the Glazing Calculator (calculator) was first issued for use under Part 13.3 External glazing of the NCC 2022 ABCB Housing Provisions Standard.</t>
  </si>
  <si>
    <r>
      <t xml:space="preserve">Updates to this file may be available for download from the ABCB website from time to time. The file name will include the version number. </t>
    </r>
    <r>
      <rPr>
        <b/>
        <sz val="14"/>
        <color rgb="FFFF0000"/>
        <rFont val="Arial"/>
        <family val="2"/>
      </rPr>
      <t>The latest version for the relevant NCC edition should always be used.</t>
    </r>
  </si>
  <si>
    <t>A record of changes made to each version of the calculator appears at the end of this Help section. (Scroll down to see the version history.)</t>
  </si>
  <si>
    <t>Operating system:</t>
  </si>
  <si>
    <t xml:space="preserve">The calculator has been developed in the Windows ® versions of Microsoft Excel ® 2007 and above. </t>
  </si>
  <si>
    <t>The .xlsx file is suitable for use in the 2007 and 2010 versions of Excel for Windows and in the 2011 version of Excel for Apple Mac ®. These Help instructions and the screenshots refer to the Windows version and may not fully reflect the Mac interface.</t>
  </si>
  <si>
    <t>Displaying the calculator form:</t>
  </si>
  <si>
    <t xml:space="preserve">The calculator form has been designed for viewing as a whole "page" with 10 rows visible in the glazing elements table (at 70% zoom - assuming a minimum screen resolution of 1024 x 768 pixels). </t>
  </si>
  <si>
    <t>Some users may need to adjust the screen zoom setting to see the whole form at once. The worksheet background does not change when zoom settings are altered and also does not print.</t>
  </si>
  <si>
    <r>
      <t>Users with</t>
    </r>
    <r>
      <rPr>
        <b/>
        <sz val="14"/>
        <color rgb="FFFF0000"/>
        <rFont val="Arial"/>
        <family val="2"/>
      </rPr>
      <t xml:space="preserve"> Excel 2002 (Excel XP) or later for Windows and 2011 for Mac</t>
    </r>
    <r>
      <rPr>
        <sz val="14"/>
        <color rgb="FFFF0000"/>
        <rFont val="Arial"/>
        <family val="2"/>
      </rPr>
      <t xml:space="preserve"> can change the number of rows visible by using the arrow to the left of the 'ID' heading near the top left of the glazing elements table. First set the number of rows preferred (maximum 80) in the input cell immediately above the table and press Enter. Next, click the arrow beside 'ID' and select that number in the drop-down list which opens. (The number set will be the only number shown in the list.)</t>
    </r>
  </si>
  <si>
    <t>The input cell for the number of rows preferred will not accept numbers that would cause data used by calculations to be hidden. (This data includes inputs to the 'Facing sector' column and those to its right.)  A warning message will be displayed if this is attempted.</t>
  </si>
  <si>
    <t>Adding and changing glazing details:</t>
  </si>
  <si>
    <t>Unlocked cells on the calculator form are accessible for user input. (Other cells generally cannot be selected or edited, except as noted below for the glazing elements table.)</t>
  </si>
  <si>
    <t>When all input cells at the top of the calculator form are blank, advisory messages will appear in sequence above each of the cells needing input. Press Enter or Tab after typing inputs to move to the next available cell.</t>
  </si>
  <si>
    <t>Cells to the right of the table contain calculations whose results can be seen but not edited. To change results, change the user inputs.</t>
  </si>
  <si>
    <t>Any of the unlocked cells can be selected and edited. Adjoining unlocked cells can be selected in a block (or range) to clear their contents at the same time.</t>
  </si>
  <si>
    <t>To remove unwanted data, select the cell or range, right click to show the context menu and select Clear Contents from that menu. Alternatively (in Windows), use the Delete key.</t>
  </si>
  <si>
    <t>If copying data between cells, always use Paste Special | Paste Values to avoid formatting errors on the calculator form.</t>
  </si>
  <si>
    <t>Details above the glazing elements table (including at least one floor type) and at least one glazing element must be supplied for calculator outcomes to be displayed.</t>
  </si>
  <si>
    <t>Error and alert messages:</t>
  </si>
  <si>
    <t>The calculator has been designed to identify anticipated input errors but may not trap all invalid inputs.</t>
  </si>
  <si>
    <t>Identified issues concerning inputs above the glazing elements table are flagged above the input cells.</t>
  </si>
  <si>
    <t>Input issues in each row of the glazing elements table are identified in bold red font to the right of the row (overlaying the calculations area).</t>
  </si>
  <si>
    <t>Missing inputs anywhere on the form are generally highlighted by error messages. Invalid inputs or those which may be contributing to outcomes failures are highlighted by red fill.</t>
  </si>
  <si>
    <t>Calculator outcomes cannot be displayed until all input issues have been resolved (which will clear any colour highlighting and advisory messages). Several messages may appear in sequence for the same row as issues are resolved.</t>
  </si>
  <si>
    <t xml:space="preserve">Calculator outcomes resulting in a "tick" are valid only if all of the input details comply with NCC elemental DTS requirements. The claimed air movement level must be verified by separate calculation, since this is not checked by the calculator.
</t>
  </si>
  <si>
    <t>3. Error and alert messages</t>
  </si>
  <si>
    <t>Printing:</t>
  </si>
  <si>
    <t>The calculator form can be printed using the File | Print menu.</t>
  </si>
  <si>
    <t>The print area has been pre-set to allow printing as one or more A4 pages (landscape format), depending on the number of rows displayed in the form. Some margins may need to be adjusted to suit some printers (particularly inkjets).</t>
  </si>
  <si>
    <t>The Help button shown on the bottom left of the calculator form.</t>
  </si>
  <si>
    <t>These Help instructions can be printed (using File | Print) for ready reference while using the calculator form.</t>
  </si>
  <si>
    <t>New features of NCC Volume Two Glazing Calculator for NCC 2022</t>
  </si>
  <si>
    <t>Calculator version (4.1):</t>
  </si>
  <si>
    <t>The calculator achieves a better alignment with the requirements of NatHERS simulations at 7 stars.</t>
  </si>
  <si>
    <t>Winter requirements pass if the glazing performance is equivalent to the average heating load at 7 stars.</t>
  </si>
  <si>
    <t>Summer requirements pass if the glazing performance is equivalent to the average cooling load at 7 stars.</t>
  </si>
  <si>
    <t>There are a number of new data inputs required. These define similar properties to those assumed for NatHERS simulation. The reason for the inclusion of these new inputs are described below.</t>
  </si>
  <si>
    <t xml:space="preserve">All new data entries have fixed options available, accessed by clicking on the down arrow next to the selected cell. Guidance on what to select is shown in Tips, displayed when the mouse hovers over the column heading. </t>
  </si>
  <si>
    <t>Is the window in a bedroom or utility room?</t>
  </si>
  <si>
    <t>Bedrooms are assumed to be occupied at different times and are heated and cooled to different thermostat temperatures. Therefore, solar gains and conduction heat flows through glass affect these rooms differently from other areas in the house. In NatHERS ratings, it was clear the most cost-effective method of achieving compliance is to install higher performance glazing in living areas first. This factor ensures that a similar outcome is achieved with the calculator.</t>
  </si>
  <si>
    <t>A utility room is a bathroom, laundry or WC that does not contain space or central heating or cooling outlets. This does not include electric radiators which are designed to be used only when the room is occupied.</t>
  </si>
  <si>
    <t>Number of storeys</t>
  </si>
  <si>
    <t xml:space="preserve">The 2019 Glazing Calculator required users to produce one calculator for each level. The 2022 Glazing Calculator now allows multiple level dwellings to be assessed. To do this the user must specify that the building is "Two or more storeys" above the window inputs. </t>
  </si>
  <si>
    <t>Is the window on the ground level or an upper level?</t>
  </si>
  <si>
    <t xml:space="preserve">The level factor was developed to allow the calculator to model all storeys in a dwelling in one calculation rather than require a separate calculator for each level. </t>
  </si>
  <si>
    <t>What is the floor covering of the floor immediately adjacent to the window?</t>
  </si>
  <si>
    <t>The floor covering on a slab on ground (SOG) significantly affects the ability of the concrete slab to store solar gains through windows. Dwellings that achieve a NatHERS 7-star rating using ceramic tiles or a polished concrete floor finish are able to use higher windows areas and use less high-performance glazing. Including the floor covering in the calculator allows similar benefits of greater design flexibility and lower cost compliance found in NatHERS. Note in the calculator a hard floor surface means a floor covering with a low thermal resistance like a ceramic tile. A floating timber floor has a much higher thermal resistance than a ceramic tile, so is classified as a soft floor even though it is hard to touch.</t>
  </si>
  <si>
    <t>What is the colour of the window frame?</t>
  </si>
  <si>
    <t>The colour of the frame affects the amount of solar radiation it absorbs. NatHERS ratings show that adjusting the window frame colour (solar absorptance) to suit the climate better was not only a no-cost improvement but also facilitated the use of larger glazing areas or reduced the need for high-performance glazing. Given the higher stringency of building fabric requirements, not allowing for frame colour would have unnecessarily limited design freedom and imposed additional cost.</t>
  </si>
  <si>
    <t>What is the openability of the window?</t>
  </si>
  <si>
    <t>Window openability is now entered into the calculator. It is equal to the area of the openable sash(as) divided by the total area of the window and expressed as a percentage (%). Window openability is one of the main determinants of air flow through a dwelling. Air flow through a dwelling can make internal conditions feel comfortable even when the air temperature is above the cooling thermostat by increasing the body's heat loss by evaporation. NatHERS simulations show that greater air flow through the dwelling allows occupants to avoid the use of cooling. The calculator assesses the openable window area to floor area ratio and allows higher heat gains through windows in summer at higher openable window areas. In locations like Darwin and Sydney, this new factor allows window areas to be increased by significantly more than the previous "highly ventilated" dwelling allowance in NCC 2019.</t>
  </si>
  <si>
    <t>Floor area of the dwelling</t>
  </si>
  <si>
    <r>
      <t xml:space="preserve">Floor areas </t>
    </r>
    <r>
      <rPr>
        <b/>
        <i/>
        <sz val="12"/>
        <rFont val="Arial"/>
        <family val="2"/>
      </rPr>
      <t>must be measured to the inside of external and internal walls</t>
    </r>
    <r>
      <rPr>
        <sz val="12"/>
        <rFont val="Arial"/>
        <family val="2"/>
      </rPr>
      <t>. A new data input for the area of upper floors is also required.</t>
    </r>
  </si>
  <si>
    <t>Winter outcomes</t>
  </si>
  <si>
    <r>
      <t>NCC 2019 showed the proportion of conduction heat loss for each window as a percentage of the winter C</t>
    </r>
    <r>
      <rPr>
        <vertAlign val="subscript"/>
        <sz val="12"/>
        <rFont val="Arial"/>
        <family val="2"/>
      </rPr>
      <t>U</t>
    </r>
    <r>
      <rPr>
        <sz val="12"/>
        <rFont val="Arial"/>
        <family val="2"/>
      </rPr>
      <t>/C</t>
    </r>
    <r>
      <rPr>
        <vertAlign val="subscript"/>
        <sz val="12"/>
        <rFont val="Arial"/>
        <family val="2"/>
      </rPr>
      <t>SHGC</t>
    </r>
    <r>
      <rPr>
        <sz val="12"/>
        <rFont val="Arial"/>
        <family val="2"/>
      </rPr>
      <t xml:space="preserve"> score. </t>
    </r>
  </si>
  <si>
    <t>The proportion of winter heat loss and winter heat gain for each window is now shown. The proportion of the target achieved is now shown in the column heading.</t>
  </si>
  <si>
    <t>Differences between suspended floors and floors in direct contact with the ground</t>
  </si>
  <si>
    <t>NCC 2019 set different targets for dwellings with suspended floors and floors in direct contact with the ground, but used the same summer and winter solar exposure factors for both types. The winter and summer exposure factors have been developed for each type of floor to reflect the different impacts of solar gains through windows for dwellings with each type of floor.</t>
  </si>
  <si>
    <t>Changes to seasonal requirements for climate zone 1 (hot humid) and climate zone 8 (alpine)</t>
  </si>
  <si>
    <t>In climate zone 1, there is now no requirement for meeting conductance performance targets.</t>
  </si>
  <si>
    <t>In climate zone 8, there is now no requirement to meet a summer solar gain target.</t>
  </si>
  <si>
    <t>Window default openability assumptions</t>
  </si>
  <si>
    <t>See Table 1.</t>
  </si>
  <si>
    <t>The values in the table opposite were obtained by inspecting window sizing charts from the largest manufacturers in Australia and obtaining an average value.</t>
  </si>
  <si>
    <t>Table 1: Default openability assumptions for windows</t>
  </si>
  <si>
    <t>Overhang projection and depth measurements.</t>
  </si>
  <si>
    <t>Overhang projection and depth measurements are needed for the calculator. See figure 13.3.2b from the ABCB Housing Provisions Standards for details on P and H.</t>
  </si>
  <si>
    <t xml:space="preserve"> </t>
  </si>
  <si>
    <t>Version history:</t>
  </si>
  <si>
    <t>4.2 (September 2023)</t>
  </si>
  <si>
    <t>•</t>
  </si>
  <si>
    <t>Minor edit to correct drop down box for climate zone 5</t>
  </si>
  <si>
    <t>4.1 (March 2023):</t>
  </si>
  <si>
    <t>Minor style updates to remove beta stage</t>
  </si>
  <si>
    <t>4.0 (September 2022):</t>
  </si>
  <si>
    <t>Extensively revised calculator for use with NCC 2022 ABCB Housing Provisions Standard</t>
  </si>
  <si>
    <t>3.00 (June 2019):</t>
  </si>
  <si>
    <t>Revised styling and branding to match other NCC 2019 calculators</t>
  </si>
  <si>
    <t>Renewed protection</t>
  </si>
  <si>
    <t>2.05 (May 2014):</t>
  </si>
  <si>
    <t>Removed case sensitivity of inputs for Air Movement on the Calculator form.</t>
  </si>
  <si>
    <t>Revised text of cell tips behind the "Total System U-Value" and "Total System SHGC" column headings on the Calculator form.</t>
  </si>
  <si>
    <t>2.04 (May 2013):</t>
  </si>
  <si>
    <t>Changed "Total U-Value" and "SHGC" to "Total System U-Value" and "Total System SHGC"
to reflect changes to BCA 2013.</t>
  </si>
  <si>
    <t>2.03 (December 2011):</t>
  </si>
  <si>
    <t>Modified Calculator formatting and error reporting for compatibility with Excel 2010 on Windows and 2011 on Mac.</t>
  </si>
  <si>
    <t>Increased the maximum number of rows available in the glazing elements table from 40 to 80.</t>
  </si>
  <si>
    <t>Revised Help notes and screenshots to suit Calculator changes.</t>
  </si>
  <si>
    <t>2.02:</t>
  </si>
  <si>
    <t>Fixed display of constants at upper right of form for Suspended floors.</t>
  </si>
  <si>
    <t>2.01:</t>
  </si>
  <si>
    <t>Changed "NFRC" to "AFRC" in headings of Total U-Value and SHGC columns.</t>
  </si>
  <si>
    <t>(AFRC refers to the Australian Fenestration Rating Council. See cell comments in headings,)</t>
  </si>
  <si>
    <t>2.00:</t>
  </si>
  <si>
    <t>First public issue of extensively revised version for use with BCA 2010.</t>
  </si>
  <si>
    <t>1.03:</t>
  </si>
  <si>
    <t>Merged building description text box to become one cell.</t>
  </si>
  <si>
    <t>Added additional explanatory information for entering Standard and High Air Movement levels.</t>
  </si>
  <si>
    <t>1.02:</t>
  </si>
  <si>
    <t>Enabled interpolation of Air Movement levels between Standard and High</t>
  </si>
  <si>
    <t>Fixed display of glazing percentages below Floor type table when both floor types are used.</t>
  </si>
  <si>
    <t>Changed second row title of Floor type table to "Area of floor" to match term in Clause 3.12.2.1(a).</t>
  </si>
  <si>
    <t>Added input tips (describing Floor types A and B) to the input cells for "Area of floor".</t>
  </si>
  <si>
    <t>Added a worksheet for users' notes and calculations (and displayed worksheet tabs for access).</t>
  </si>
  <si>
    <t>Updated screenshots.</t>
  </si>
  <si>
    <t>1.01:</t>
  </si>
  <si>
    <t>Enhanced input cues for data needed above the glazing elements table.</t>
  </si>
  <si>
    <t>Added a new note 3 to Help notes and revised text of note 18 (formerly note 17).</t>
  </si>
  <si>
    <t>Added this Version history to the Help screen.</t>
  </si>
  <si>
    <t>1.00:</t>
  </si>
  <si>
    <t>First public issue.</t>
  </si>
  <si>
    <t>Up_Win_Area</t>
  </si>
  <si>
    <t>Constants table</t>
  </si>
  <si>
    <t>Type A</t>
  </si>
  <si>
    <t>Type B</t>
  </si>
  <si>
    <t>AreaApercent / AreaBpercent</t>
  </si>
  <si>
    <t>Outcomes (for reporting)</t>
  </si>
  <si>
    <t>A is now set for slab (Direct Contact)</t>
  </si>
  <si>
    <t>B is now set for timber (Suspended)</t>
  </si>
  <si>
    <r>
      <t>C</t>
    </r>
    <r>
      <rPr>
        <vertAlign val="subscript"/>
        <sz val="14"/>
        <rFont val="Arial"/>
        <family val="2"/>
      </rPr>
      <t>U</t>
    </r>
  </si>
  <si>
    <r>
      <t>C</t>
    </r>
    <r>
      <rPr>
        <vertAlign val="subscript"/>
        <sz val="14"/>
        <rFont val="Arial"/>
        <family val="2"/>
      </rPr>
      <t>SHGC</t>
    </r>
  </si>
  <si>
    <t>CuA</t>
  </si>
  <si>
    <t>CshgcA</t>
  </si>
  <si>
    <t>CuB</t>
  </si>
  <si>
    <t>CshgcB</t>
  </si>
  <si>
    <t>Headings are names of cells below</t>
  </si>
  <si>
    <t>Cond</t>
  </si>
  <si>
    <t>SHG</t>
  </si>
  <si>
    <t>CuA / CshgcA</t>
  </si>
  <si>
    <t>CuB / CshgcB</t>
  </si>
  <si>
    <t>(Values for Standard Air Movement only</t>
  </si>
  <si>
    <t>Element issues (excluding alerts) plus upper input issues</t>
  </si>
  <si>
    <t>Aggregated elements outcome</t>
  </si>
  <si>
    <t xml:space="preserve">Floor construction </t>
  </si>
  <si>
    <t>MultipleAir / SuffixAir</t>
  </si>
  <si>
    <t>Std</t>
  </si>
  <si>
    <t>allowance minus outcome</t>
  </si>
  <si>
    <t>Negative values are failures</t>
  </si>
  <si>
    <t xml:space="preserve">Direct contact </t>
  </si>
  <si>
    <t>Ground</t>
  </si>
  <si>
    <t xml:space="preserve">Ground suspended </t>
  </si>
  <si>
    <t>DifferenceA / InterpolatedA</t>
  </si>
  <si>
    <t>DifferenceB / InterpolatedB</t>
  </si>
  <si>
    <t>AdviceIssuesOnly</t>
  </si>
  <si>
    <t>% share of allowance (rounded up)</t>
  </si>
  <si>
    <t>Allowance zero when no zone is shown (possible #DIV/0 errors)</t>
  </si>
  <si>
    <t>row</t>
  </si>
  <si>
    <t>High</t>
  </si>
  <si>
    <t>%Cu allowed</t>
  </si>
  <si>
    <t>%Cshgc allowed</t>
  </si>
  <si>
    <t>col</t>
  </si>
  <si>
    <t>Zone Lookup Calculation</t>
  </si>
  <si>
    <t>Suspended upper floor(s)</t>
  </si>
  <si>
    <t>No wall insulation concession used</t>
  </si>
  <si>
    <t>Allowances</t>
  </si>
  <si>
    <r>
      <t>C</t>
    </r>
    <r>
      <rPr>
        <vertAlign val="subscript"/>
        <sz val="14"/>
        <rFont val="Arial"/>
        <family val="2"/>
      </rPr>
      <t>U</t>
    </r>
    <r>
      <rPr>
        <sz val="14"/>
        <rFont val="Arial"/>
        <family val="2"/>
      </rPr>
      <t xml:space="preserve"> / C</t>
    </r>
    <r>
      <rPr>
        <vertAlign val="subscript"/>
        <sz val="14"/>
        <rFont val="Arial"/>
        <family val="2"/>
      </rPr>
      <t>SHGC W</t>
    </r>
  </si>
  <si>
    <r>
      <t>C</t>
    </r>
    <r>
      <rPr>
        <vertAlign val="subscript"/>
        <sz val="14"/>
        <rFont val="Arial"/>
        <family val="2"/>
      </rPr>
      <t>SHGC S</t>
    </r>
    <r>
      <rPr>
        <sz val="14"/>
        <rFont val="Arial"/>
        <family val="2"/>
      </rPr>
      <t xml:space="preserve"> x area</t>
    </r>
  </si>
  <si>
    <t>Cu column label</t>
  </si>
  <si>
    <t>CuWeighted / CshgcWeighted</t>
  </si>
  <si>
    <t>Cu_achieved</t>
  </si>
  <si>
    <t>C shgc_achieved</t>
  </si>
  <si>
    <t>count of failed elements</t>
  </si>
  <si>
    <t>FailedCondAFailedSHGA</t>
  </si>
  <si>
    <t>Zone</t>
  </si>
  <si>
    <t>Zone_Lookup</t>
  </si>
  <si>
    <t>Zone_Col</t>
  </si>
  <si>
    <t>AllowedCond</t>
  </si>
  <si>
    <t>AllowedSHG</t>
  </si>
  <si>
    <t>DIV/0 error trap precedes logic test</t>
  </si>
  <si>
    <t>Slab or Timber Calculation?</t>
  </si>
  <si>
    <t>Zone_Col replaces Zone in lookups because there are now 2 versions of Zone 5: one for Perth with Brick Cavity walls, and the other for non brick cavity walls</t>
  </si>
  <si>
    <t>GlazingAreaA</t>
  </si>
  <si>
    <t>DudSize</t>
  </si>
  <si>
    <t>DudFactors</t>
  </si>
  <si>
    <t>DudPerformance</t>
  </si>
  <si>
    <t>DudShading</t>
  </si>
  <si>
    <t>DudTableInputs</t>
  </si>
  <si>
    <t>AllInputsOK</t>
  </si>
  <si>
    <t>OrphanData</t>
  </si>
  <si>
    <t>ShowPassCond</t>
  </si>
  <si>
    <t>ShowPassSHG</t>
  </si>
  <si>
    <t>Number of rows for table below</t>
  </si>
  <si>
    <t>row height</t>
  </si>
  <si>
    <t>master cell for confirmation of inputs</t>
  </si>
  <si>
    <t>text</t>
  </si>
  <si>
    <t>In dwellings with a mixture of Direct Contact and Suspended floors on the lowest level the factors selected for radiation and conduction modifiers will be slab if this is greater than 50% of the ground floor area</t>
  </si>
  <si>
    <t>Check factors affecting are input in cells below</t>
  </si>
  <si>
    <t>With separate factors for suspended floors and direct contact floors it is not clear how interpolation would work</t>
  </si>
  <si>
    <t>Shading</t>
  </si>
  <si>
    <t>Calculation data</t>
  </si>
  <si>
    <t>Summer outcomes</t>
  </si>
  <si>
    <t>LastActive</t>
  </si>
  <si>
    <t>TableEntries</t>
  </si>
  <si>
    <t>RowsActive</t>
  </si>
  <si>
    <t>RowsWithData</t>
  </si>
  <si>
    <t>NoSector</t>
  </si>
  <si>
    <t>Size</t>
  </si>
  <si>
    <t>RowsOK</t>
  </si>
  <si>
    <t>InputIssues</t>
  </si>
  <si>
    <t>VisibleFailures</t>
  </si>
  <si>
    <t>Solar heat gain exposure factors</t>
  </si>
  <si>
    <t>Glazing element</t>
  </si>
  <si>
    <t>Orient-ation</t>
  </si>
  <si>
    <t>Factors affecting impact of glazing performance</t>
  </si>
  <si>
    <r>
      <t xml:space="preserve">P&amp;H </t>
    </r>
    <r>
      <rPr>
        <sz val="14"/>
        <color theme="0"/>
        <rFont val="Arial"/>
        <family val="2"/>
      </rPr>
      <t>or</t>
    </r>
    <r>
      <rPr>
        <b/>
        <sz val="14"/>
        <color theme="0"/>
        <rFont val="Arial"/>
        <family val="2"/>
      </rPr>
      <t xml:space="preserve"> Device</t>
    </r>
  </si>
  <si>
    <t>Exposure</t>
  </si>
  <si>
    <t>Projecttion for summer</t>
  </si>
  <si>
    <t>Projecttion for winter</t>
  </si>
  <si>
    <t>Conductance factors / access</t>
  </si>
  <si>
    <t>Element outcomes</t>
  </si>
  <si>
    <t>move+size</t>
  </si>
  <si>
    <t>move only</t>
  </si>
  <si>
    <t>no move or size</t>
  </si>
  <si>
    <t>Window Openability (for calculation of Cshgc)</t>
  </si>
  <si>
    <t>Summer Radiation Factors</t>
  </si>
  <si>
    <t>Winter Conduction Factors</t>
  </si>
  <si>
    <t>Winter Radiation Factors</t>
  </si>
  <si>
    <t xml:space="preserve"> ID</t>
  </si>
  <si>
    <r>
      <t>Description</t>
    </r>
    <r>
      <rPr>
        <sz val="14"/>
        <color theme="0"/>
        <rFont val="Arial"/>
        <family val="2"/>
      </rPr>
      <t xml:space="preserve"> 
(optional)</t>
    </r>
  </si>
  <si>
    <r>
      <t xml:space="preserve">Height
</t>
    </r>
    <r>
      <rPr>
        <sz val="14"/>
        <color theme="0"/>
        <rFont val="Arial"/>
        <family val="2"/>
      </rPr>
      <t>(m)</t>
    </r>
  </si>
  <si>
    <r>
      <t xml:space="preserve">Width
</t>
    </r>
    <r>
      <rPr>
        <sz val="14"/>
        <color theme="0"/>
        <rFont val="Arial"/>
        <family val="2"/>
      </rPr>
      <t>(m)</t>
    </r>
  </si>
  <si>
    <r>
      <t xml:space="preserve">Area
</t>
    </r>
    <r>
      <rPr>
        <sz val="14"/>
        <color theme="0"/>
        <rFont val="Arial"/>
        <family val="2"/>
      </rPr>
      <t>(m²)</t>
    </r>
  </si>
  <si>
    <t>Room type Bedroom / Utility? / Other</t>
  </si>
  <si>
    <t>Level/ Floor type</t>
  </si>
  <si>
    <t>Adjacent Floor Covering</t>
  </si>
  <si>
    <t>Frame colour</t>
  </si>
  <si>
    <t>Openability</t>
  </si>
  <si>
    <r>
      <t xml:space="preserve">Total System
U-Value
</t>
    </r>
    <r>
      <rPr>
        <sz val="14"/>
        <color theme="0"/>
        <rFont val="Arial"/>
        <family val="2"/>
      </rPr>
      <t>(AFRC)</t>
    </r>
  </si>
  <si>
    <r>
      <t xml:space="preserve">Total System SHGC
</t>
    </r>
    <r>
      <rPr>
        <sz val="14"/>
        <color theme="0"/>
        <rFont val="Arial"/>
        <family val="2"/>
      </rPr>
      <t>(AFRC)</t>
    </r>
  </si>
  <si>
    <r>
      <t xml:space="preserve">P
</t>
    </r>
    <r>
      <rPr>
        <sz val="14"/>
        <color theme="0"/>
        <rFont val="Arial"/>
        <family val="2"/>
      </rPr>
      <t>(m)</t>
    </r>
  </si>
  <si>
    <r>
      <t xml:space="preserve">H
</t>
    </r>
    <r>
      <rPr>
        <sz val="14"/>
        <color theme="0"/>
        <rFont val="Arial"/>
        <family val="2"/>
      </rPr>
      <t>(m)</t>
    </r>
  </si>
  <si>
    <t xml:space="preserve"> P/H
</t>
  </si>
  <si>
    <r>
      <t>E</t>
    </r>
    <r>
      <rPr>
        <b/>
        <vertAlign val="subscript"/>
        <sz val="14"/>
        <color theme="0"/>
        <rFont val="Arial"/>
        <family val="2"/>
      </rPr>
      <t>s</t>
    </r>
  </si>
  <si>
    <r>
      <t xml:space="preserve">Area used
</t>
    </r>
    <r>
      <rPr>
        <sz val="14"/>
        <color theme="0"/>
        <rFont val="Arial"/>
        <family val="2"/>
      </rPr>
      <t>(m²)</t>
    </r>
  </si>
  <si>
    <t>% of winter heat loss</t>
  </si>
  <si>
    <t>% of winter heat gain</t>
  </si>
  <si>
    <r>
      <t>SHGC x
E</t>
    </r>
    <r>
      <rPr>
        <b/>
        <vertAlign val="subscript"/>
        <sz val="14"/>
        <color theme="0"/>
        <rFont val="Arial"/>
        <family val="2"/>
      </rPr>
      <t>s</t>
    </r>
    <r>
      <rPr>
        <b/>
        <sz val="14"/>
        <color theme="0"/>
        <rFont val="Arial"/>
        <family val="2"/>
      </rPr>
      <t xml:space="preserve"> x Area</t>
    </r>
  </si>
  <si>
    <t>Element share
% of
allowance used</t>
  </si>
  <si>
    <t>show</t>
  </si>
  <si>
    <t>active shown</t>
  </si>
  <si>
    <t>filled cells</t>
  </si>
  <si>
    <t>row active</t>
  </si>
  <si>
    <t>filled data</t>
  </si>
  <si>
    <t>Row skipped (OK if intentional)</t>
  </si>
  <si>
    <t>no Sector given</t>
  </si>
  <si>
    <t>glazing Height</t>
  </si>
  <si>
    <t>Size (Height &amp; Width or Area)</t>
  </si>
  <si>
    <t>width ignored</t>
  </si>
  <si>
    <t>floor area(s) not entered for relevant floor types</t>
  </si>
  <si>
    <t>factor(s) affecting glazing performance</t>
  </si>
  <si>
    <t>Total System U-Value</t>
  </si>
  <si>
    <t xml:space="preserve"> &amp; </t>
  </si>
  <si>
    <t>Total System SHGC</t>
  </si>
  <si>
    <t>invalid SHGC, SHGC must not exceed 0.7</t>
  </si>
  <si>
    <t>invalid P</t>
  </si>
  <si>
    <t>shading H needed</t>
  </si>
  <si>
    <t>shading H without P</t>
  </si>
  <si>
    <t>inputs OK</t>
  </si>
  <si>
    <t>shading active</t>
  </si>
  <si>
    <t>issues flagged</t>
  </si>
  <si>
    <t>issue / advice messages</t>
  </si>
  <si>
    <t>issue message part 2</t>
  </si>
  <si>
    <t>H - h &gt; 0.5m</t>
  </si>
  <si>
    <t>P/H &gt; 2</t>
  </si>
  <si>
    <t>h x w &lt;&gt; area</t>
  </si>
  <si>
    <t>visible failure</t>
  </si>
  <si>
    <t>(H-h)/depth</t>
  </si>
  <si>
    <t>P/H above</t>
  </si>
  <si>
    <t>P/H below</t>
  </si>
  <si>
    <t>P/H interval</t>
  </si>
  <si>
    <t>% interval</t>
  </si>
  <si>
    <t>sector</t>
  </si>
  <si>
    <t>Es
above</t>
  </si>
  <si>
    <t>Es
below</t>
  </si>
  <si>
    <t>Es
interval</t>
  </si>
  <si>
    <t>actual Es x Radiation Multiplier (CS)</t>
  </si>
  <si>
    <t>Es no Mult</t>
  </si>
  <si>
    <t>Ew
above</t>
  </si>
  <si>
    <t>Ew
below</t>
  </si>
  <si>
    <t>Ew interval</t>
  </si>
  <si>
    <t>actual Ew</t>
  </si>
  <si>
    <t>A x SHGC x Ew</t>
  </si>
  <si>
    <t>% Ew</t>
  </si>
  <si>
    <t>condct A x U</t>
  </si>
  <si>
    <t>solar heat gain</t>
  </si>
  <si>
    <t>% condct</t>
  </si>
  <si>
    <t>% SHG</t>
  </si>
  <si>
    <t>agg condct fails</t>
  </si>
  <si>
    <t>agg SHG fails</t>
  </si>
  <si>
    <t>Conductance label</t>
  </si>
  <si>
    <t>Solar Heat Gain label</t>
  </si>
  <si>
    <t>Gain %</t>
  </si>
  <si>
    <t>Loss %</t>
  </si>
  <si>
    <t>Conductance / Gain without this window</t>
  </si>
  <si>
    <t>Height Class</t>
  </si>
  <si>
    <t>Width Class</t>
  </si>
  <si>
    <t>If default opening type used</t>
  </si>
  <si>
    <t>If direct % input</t>
  </si>
  <si>
    <t>Openable Area</t>
  </si>
  <si>
    <t>check Open area &lt;&gt; Area</t>
  </si>
  <si>
    <t>Room Type</t>
  </si>
  <si>
    <t>Frame Dark</t>
  </si>
  <si>
    <t>Frame Medium</t>
  </si>
  <si>
    <t>Frame Light</t>
  </si>
  <si>
    <t>Hard Floor</t>
  </si>
  <si>
    <t>Summer Radiation Multiplier</t>
  </si>
  <si>
    <t>Floor Solar abs Classification</t>
  </si>
  <si>
    <t>Orien-tation  Number</t>
  </si>
  <si>
    <t>Orient-ation Conduct-ion Factor</t>
  </si>
  <si>
    <t>Bedroom Conduct-ion factor</t>
  </si>
  <si>
    <t>Room Factor</t>
  </si>
  <si>
    <t>Level factor</t>
  </si>
  <si>
    <t>Con-duction Multiplier</t>
  </si>
  <si>
    <t>Floor Surface Factor H</t>
  </si>
  <si>
    <t>Frame Colour Factor Dark F</t>
  </si>
  <si>
    <t>Frame Colour Factor Medium F</t>
  </si>
  <si>
    <t>Frame Colour Factor Light F</t>
  </si>
  <si>
    <t>Bedroom Solar Gain Factor</t>
  </si>
  <si>
    <t>Room Factor R</t>
  </si>
  <si>
    <t>Level Factor L1</t>
  </si>
  <si>
    <t>Winter  Radiation Multiplier</t>
  </si>
  <si>
    <t>Bedroom / Utility?</t>
  </si>
  <si>
    <t>Level/ Floor Type</t>
  </si>
  <si>
    <t xml:space="preserve">Adjacent Floor Covering </t>
  </si>
  <si>
    <t>Frame Colour</t>
  </si>
  <si>
    <t>Openable Area of window</t>
  </si>
  <si>
    <t>Keep row below glazing elements table blank to ensure intended operation of autofilter for rows</t>
  </si>
  <si>
    <t>Openable Area %</t>
  </si>
  <si>
    <t>Data lists for new inputs</t>
  </si>
  <si>
    <t>Level</t>
  </si>
  <si>
    <t>Adjacent Floor Cover</t>
  </si>
  <si>
    <t>Open-ability</t>
  </si>
  <si>
    <t>Hard Floor?</t>
  </si>
  <si>
    <t>Brick Cavity</t>
  </si>
  <si>
    <t>One</t>
  </si>
  <si>
    <t>Ground: Direct</t>
  </si>
  <si>
    <t>Light</t>
  </si>
  <si>
    <t>Fixed</t>
  </si>
  <si>
    <t>Window opening type</t>
  </si>
  <si>
    <t>Window height (m)</t>
  </si>
  <si>
    <t>Openable portion %*</t>
  </si>
  <si>
    <t>Soft</t>
  </si>
  <si>
    <t>Carp</t>
  </si>
  <si>
    <t>Two or more</t>
  </si>
  <si>
    <t>Ground: Suspended</t>
  </si>
  <si>
    <t>Ceramic Tile</t>
  </si>
  <si>
    <t>Medium</t>
  </si>
  <si>
    <t>Awning</t>
  </si>
  <si>
    <t>Window width</t>
  </si>
  <si>
    <t>Hard</t>
  </si>
  <si>
    <t>C Tile</t>
  </si>
  <si>
    <t>Yes, full brick house</t>
  </si>
  <si>
    <t>Utility</t>
  </si>
  <si>
    <t>Upper</t>
  </si>
  <si>
    <t>Cork</t>
  </si>
  <si>
    <t>Dark</t>
  </si>
  <si>
    <t>Casement</t>
  </si>
  <si>
    <t>Up to 1.2 m</t>
  </si>
  <si>
    <t>&gt;1.2 to &lt; 2.7 m</t>
  </si>
  <si>
    <t>2.7 m and over</t>
  </si>
  <si>
    <t>Floating Timber</t>
  </si>
  <si>
    <t>Double Hung</t>
  </si>
  <si>
    <t xml:space="preserve">&lt; 1.5 </t>
  </si>
  <si>
    <t>Timb</t>
  </si>
  <si>
    <t>Other Hard surface</t>
  </si>
  <si>
    <t>Highly Openable</t>
  </si>
  <si>
    <t>Louvre</t>
  </si>
  <si>
    <t>Double hung</t>
  </si>
  <si>
    <t>Polished Concrete</t>
  </si>
  <si>
    <t>Sliding</t>
  </si>
  <si>
    <t>Conc</t>
  </si>
  <si>
    <t>Temporary lookup assist, delete when finished</t>
  </si>
  <si>
    <t>Vinyl Tile</t>
  </si>
  <si>
    <t>Sliding Door</t>
  </si>
  <si>
    <t>V Tile</t>
  </si>
  <si>
    <t>Summer Slab</t>
  </si>
  <si>
    <t xml:space="preserve">≥ 1.5 </t>
  </si>
  <si>
    <t>Winter</t>
  </si>
  <si>
    <t>5 BC</t>
  </si>
  <si>
    <t>Bedroom Conduction</t>
  </si>
  <si>
    <t>Glazing schedule inactive</t>
  </si>
  <si>
    <t>Bedroom Radiation</t>
  </si>
  <si>
    <t>NoGlazing</t>
  </si>
  <si>
    <t>UpperInputsAlerts</t>
  </si>
  <si>
    <t>UpperInputsIssues</t>
  </si>
  <si>
    <t>UpperInputsFlagged</t>
  </si>
  <si>
    <t>Zone and Building inputs</t>
  </si>
  <si>
    <t>status</t>
  </si>
  <si>
    <t>alert
/issue</t>
  </si>
  <si>
    <t xml:space="preserve"> no Glazing / no Building</t>
  </si>
  <si>
    <t>Glazing / no Building</t>
  </si>
  <si>
    <t>no Glazing / Building / no Zone</t>
  </si>
  <si>
    <t>Glazing / no Zone</t>
  </si>
  <si>
    <t>NoZoneTableActive</t>
  </si>
  <si>
    <t>Row Start</t>
  </si>
  <si>
    <t>Row end</t>
  </si>
  <si>
    <t>no Glazing / prior / no Storey</t>
  </si>
  <si>
    <t>Glazing / no Storey</t>
  </si>
  <si>
    <t>Col Star</t>
  </si>
  <si>
    <t>Col En.</t>
  </si>
  <si>
    <t>first 3 inputs complete</t>
  </si>
  <si>
    <t>First3Inputs</t>
  </si>
  <si>
    <t>Checks only for presence of Building, Zone and Storey inputs. Does not evaluate whether glazing schedule is active.</t>
  </si>
  <si>
    <t>Floor and Air inputs</t>
  </si>
  <si>
    <t>no Glazing / prior / no Floor</t>
  </si>
  <si>
    <t>EmptyA</t>
  </si>
  <si>
    <t>Glazing / no Floor</t>
  </si>
  <si>
    <t>no Glazing / prior / Concession blank</t>
  </si>
  <si>
    <t>no Glazing / prior / no Air</t>
  </si>
  <si>
    <t>VentPending</t>
  </si>
  <si>
    <t>Glazing / no Air</t>
  </si>
  <si>
    <t>OrphanVent</t>
  </si>
  <si>
    <t>Floor A / Air</t>
  </si>
  <si>
    <t>ActiveA</t>
  </si>
  <si>
    <t>Floor B / Air</t>
  </si>
  <si>
    <t>ActiveB</t>
  </si>
  <si>
    <t>Wall concession n/a for Zone</t>
  </si>
  <si>
    <t>Now fixed to FALSE</t>
  </si>
  <si>
    <t>Glazing / prior / Concession blank</t>
  </si>
  <si>
    <t>upper inputs all present / Table inactive</t>
  </si>
  <si>
    <t>TopInputsOK</t>
  </si>
  <si>
    <t>Checks presence of upper inputs, validity of Wall concession and whether glazing schedule is active.</t>
  </si>
  <si>
    <t>Sectors available</t>
  </si>
  <si>
    <t>Drop down list (if UpperInputsAlerts =0)</t>
  </si>
  <si>
    <t>OrientationsA (Dynamic range for Sectors selection)</t>
  </si>
  <si>
    <t>Glazing elements table display</t>
  </si>
  <si>
    <t>rows available in form</t>
  </si>
  <si>
    <t>RowsAvailable</t>
  </si>
  <si>
    <t>rows currently displayed</t>
  </si>
  <si>
    <t>RowsDisplayed</t>
  </si>
  <si>
    <t>active rows displayed</t>
  </si>
  <si>
    <t>ActiveDisplayed</t>
  </si>
  <si>
    <t>active rows NOT displayed</t>
  </si>
  <si>
    <t>ActiveHidden</t>
  </si>
  <si>
    <t>valid Exposure factor types</t>
  </si>
  <si>
    <t>Es</t>
  </si>
  <si>
    <t>Ew</t>
  </si>
  <si>
    <t>Ew / Es</t>
  </si>
  <si>
    <t>ValidExposures (Dynamic range for Exposure Factors display)</t>
  </si>
  <si>
    <t>Glazing elements inputs</t>
  </si>
  <si>
    <t>count of Sectors in schedule</t>
  </si>
  <si>
    <t>SectorsInA</t>
  </si>
  <si>
    <t>Sectors / no Floor / no Air</t>
  </si>
  <si>
    <t>Sectors / no Floor / Air</t>
  </si>
  <si>
    <t>Sectors / Floor / no Air</t>
  </si>
  <si>
    <t>Valid options for wall concession inputs</t>
  </si>
  <si>
    <t>Dynamic range below to limit list to options available in zone</t>
  </si>
  <si>
    <t>Count of Options available in Zone</t>
  </si>
  <si>
    <t>NoWallConcession</t>
  </si>
  <si>
    <t>string</t>
  </si>
  <si>
    <t>zone</t>
  </si>
  <si>
    <t>Cu</t>
  </si>
  <si>
    <t>Cshgc</t>
  </si>
  <si>
    <t>essential</t>
  </si>
  <si>
    <t>Table 3.12.1.3b Climate zone 1 Option (a)(ii)</t>
  </si>
  <si>
    <t>high mass walls AND CSOG OR internal masonry (both on lowest storey)</t>
  </si>
  <si>
    <t>Table 3.12.1.3b Climate zone 2 Option (a)(ii)</t>
  </si>
  <si>
    <t>Table 3.12.1.3b Climate zone 3 Option (a)(ii)</t>
  </si>
  <si>
    <t>Table 3.12.1.3b Climate zone 4 Option (a)(i)</t>
  </si>
  <si>
    <t>high mass walls AND R0.5 AND CSOG OR internal masonry (both on lowest storey)</t>
  </si>
  <si>
    <t>Table 3.12.1.3b Climate zone 4 Option (b)</t>
  </si>
  <si>
    <t>high mass walls</t>
  </si>
  <si>
    <t>Table 3.12.1.3b Climate zone 5 Option (a)(ii)</t>
  </si>
  <si>
    <t>Table 3.12.1.3b Climate zone 5 Option (b)(ii)</t>
  </si>
  <si>
    <t>high mass walls AND CSOG AND internal masonry (both on lowest storey)</t>
  </si>
  <si>
    <t>Table 3.12.1.3b Climate zone 6 Option (a)(i)</t>
  </si>
  <si>
    <t>Table 3.12.1.3b Climate zone 6 Option (b)</t>
  </si>
  <si>
    <t>Table 3.12.1.3b Climate zone 7 Option (a)(i)</t>
  </si>
  <si>
    <t>high mass walls AND R1.0</t>
  </si>
  <si>
    <t>Table 3.12.1.3b Climate zone 7 Option (b)(i)</t>
  </si>
  <si>
    <t>high mass walls AND R0.5</t>
  </si>
  <si>
    <t>Note:</t>
  </si>
  <si>
    <t>Data on this sheet was pasted originally from the Exposure sheet of Glazing constants derivations v1.1.xlsx (21.6.09)</t>
  </si>
  <si>
    <t>Constants are rounded to 3 decimal places and Exposure factors to 2 for consistency with manual calculations using printed values.</t>
  </si>
  <si>
    <t>Summer exposure factor tables are condensed from their former versions since the calculator interpolates values as needed.</t>
  </si>
  <si>
    <t xml:space="preserve">The tables now show only the P/H values directly available in the output of Terry Williamson's program SOLSHAD. </t>
  </si>
  <si>
    <t>Table 3.12.2.1</t>
  </si>
  <si>
    <t>CONSTANTS FOR CONDUCTANCE AND SOLAR HEAT GAIN</t>
  </si>
  <si>
    <t>Values updated to match effect of 2010 Public Draft stringency (adjusted for revised Conductance method).</t>
  </si>
  <si>
    <t>Table values are in 8 point font to constrain column widths.</t>
  </si>
  <si>
    <t>Floor in direct contact with the ground</t>
  </si>
  <si>
    <t>climate zone</t>
  </si>
  <si>
    <t>Slab Orientation Conduction Factors</t>
  </si>
  <si>
    <r>
      <t>C</t>
    </r>
    <r>
      <rPr>
        <vertAlign val="subscript"/>
        <sz val="10"/>
        <rFont val="Arial"/>
        <family val="2"/>
      </rPr>
      <t>U</t>
    </r>
  </si>
  <si>
    <t>Orientation</t>
  </si>
  <si>
    <r>
      <t>C</t>
    </r>
    <r>
      <rPr>
        <vertAlign val="subscript"/>
        <sz val="10"/>
        <rFont val="Arial"/>
        <family val="2"/>
      </rPr>
      <t>SHGC</t>
    </r>
  </si>
  <si>
    <t>OC_Fact_Slab</t>
  </si>
  <si>
    <t>Orient_Num</t>
  </si>
  <si>
    <r>
      <t>C</t>
    </r>
    <r>
      <rPr>
        <vertAlign val="subscript"/>
        <sz val="10"/>
        <rFont val="Arial"/>
        <family val="2"/>
      </rPr>
      <t>SHGC</t>
    </r>
    <r>
      <rPr>
        <sz val="10"/>
        <rFont val="Arial"/>
        <family val="2"/>
      </rPr>
      <t xml:space="preserve"> 5%</t>
    </r>
  </si>
  <si>
    <t>S_Slab_Fact</t>
  </si>
  <si>
    <t>Climate</t>
  </si>
  <si>
    <t>N</t>
  </si>
  <si>
    <t>NE</t>
  </si>
  <si>
    <t>E</t>
  </si>
  <si>
    <t>SE</t>
  </si>
  <si>
    <t>S</t>
  </si>
  <si>
    <t>SW</t>
  </si>
  <si>
    <t>W</t>
  </si>
  <si>
    <t>NW</t>
  </si>
  <si>
    <r>
      <t>C</t>
    </r>
    <r>
      <rPr>
        <vertAlign val="subscript"/>
        <sz val="10"/>
        <rFont val="Arial"/>
        <family val="2"/>
      </rPr>
      <t>SHGC</t>
    </r>
    <r>
      <rPr>
        <sz val="10"/>
        <rFont val="Arial"/>
        <family val="2"/>
      </rPr>
      <t xml:space="preserve"> 10%</t>
    </r>
  </si>
  <si>
    <t>S_Timb_Fact</t>
  </si>
  <si>
    <t>Orient No.</t>
  </si>
  <si>
    <r>
      <t>C</t>
    </r>
    <r>
      <rPr>
        <vertAlign val="subscript"/>
        <sz val="10"/>
        <rFont val="Arial"/>
        <family val="2"/>
      </rPr>
      <t>SHGC</t>
    </r>
    <r>
      <rPr>
        <sz val="10"/>
        <rFont val="Arial"/>
        <family val="2"/>
      </rPr>
      <t xml:space="preserve"> 15%</t>
    </r>
  </si>
  <si>
    <t>Summer Timber</t>
  </si>
  <si>
    <r>
      <t>C</t>
    </r>
    <r>
      <rPr>
        <vertAlign val="subscript"/>
        <sz val="10"/>
        <rFont val="Arial"/>
        <family val="2"/>
      </rPr>
      <t>SHGC</t>
    </r>
    <r>
      <rPr>
        <sz val="10"/>
        <rFont val="Arial"/>
        <family val="2"/>
      </rPr>
      <t xml:space="preserve"> 20%</t>
    </r>
  </si>
  <si>
    <t>Openable/Floor</t>
  </si>
  <si>
    <r>
      <t>C</t>
    </r>
    <r>
      <rPr>
        <strike/>
        <vertAlign val="subscript"/>
        <sz val="10"/>
        <rFont val="Arial"/>
        <family val="2"/>
      </rPr>
      <t>U</t>
    </r>
  </si>
  <si>
    <r>
      <t>C</t>
    </r>
    <r>
      <rPr>
        <strike/>
        <vertAlign val="subscript"/>
        <sz val="10"/>
        <rFont val="Arial"/>
        <family val="2"/>
      </rPr>
      <t>SHGC</t>
    </r>
  </si>
  <si>
    <r>
      <t>ConstantsA</t>
    </r>
    <r>
      <rPr>
        <sz val="8"/>
        <color indexed="12"/>
        <rFont val="Arial"/>
        <family val="2"/>
      </rPr>
      <t xml:space="preserve"> (contains 2 areas)</t>
    </r>
  </si>
  <si>
    <t>W_Slab_Fact</t>
  </si>
  <si>
    <t>W_Timb_Fact</t>
  </si>
  <si>
    <t>Suspended Orientation Conduction Factors</t>
  </si>
  <si>
    <t>Winter Slab</t>
  </si>
  <si>
    <t>Winter Timber</t>
  </si>
  <si>
    <t>Suspended floor</t>
  </si>
  <si>
    <t>OC_Fact_Timb</t>
  </si>
  <si>
    <t>Bed Con</t>
  </si>
  <si>
    <r>
      <t>ConstantsB</t>
    </r>
    <r>
      <rPr>
        <sz val="8"/>
        <color indexed="12"/>
        <rFont val="Arial"/>
        <family val="2"/>
      </rPr>
      <t xml:space="preserve"> (contains 2 areas)</t>
    </r>
  </si>
  <si>
    <t>Table 3.12.2.2</t>
  </si>
  <si>
    <t>EXPOSURE FACTORS FOR CONDUCTANCE AND SOLAR HEAT GAIN</t>
  </si>
  <si>
    <t>Summer and winter tables form multipart named ranges for lookup purposes</t>
  </si>
  <si>
    <t>Orientations</t>
  </si>
  <si>
    <t>Used for indexing of multipart named ranges for exposure factors</t>
  </si>
  <si>
    <t>Slab Floor</t>
  </si>
  <si>
    <t>3.12.2.2b</t>
  </si>
  <si>
    <r>
      <t xml:space="preserve">SUMMER </t>
    </r>
    <r>
      <rPr>
        <i/>
        <sz val="10"/>
        <color indexed="10"/>
        <rFont val="Arial"/>
        <family val="2"/>
      </rPr>
      <t>(taken as December - February in all locations)</t>
    </r>
  </si>
  <si>
    <t>Values in the condensed summer exposure factors tables below have been confirmed as consistent in every instance with the related values in the former larger tables (21.6.09)</t>
  </si>
  <si>
    <t>CLIMATE ZONE 1</t>
  </si>
  <si>
    <t>CLIMATE ZONE 2</t>
  </si>
  <si>
    <t>CLIMATE ZONE 3</t>
  </si>
  <si>
    <t>CLIMATE ZONE 4</t>
  </si>
  <si>
    <t>CLIMATE ZONE 5</t>
  </si>
  <si>
    <t>CLIMATE ZONE 6</t>
  </si>
  <si>
    <t>CLIMATE ZONE 7</t>
  </si>
  <si>
    <t>CLIMATE ZONE 8</t>
  </si>
  <si>
    <t>Darwin</t>
  </si>
  <si>
    <t>Brisbane</t>
  </si>
  <si>
    <t>Longreach</t>
  </si>
  <si>
    <t>Mildura</t>
  </si>
  <si>
    <t>West Sydney</t>
  </si>
  <si>
    <t>Perth</t>
  </si>
  <si>
    <t>Brick Cavity Wall Slab floor</t>
  </si>
  <si>
    <t>Melbourne</t>
  </si>
  <si>
    <t>Hobart</t>
  </si>
  <si>
    <t>Thredbo</t>
  </si>
  <si>
    <t>overhang</t>
  </si>
  <si>
    <t>P/H</t>
  </si>
  <si>
    <t>Projections</t>
  </si>
  <si>
    <t>glazing height</t>
  </si>
  <si>
    <t>Adjust height value to vary calculated overhangs. Overhangs are for information only and are not precedents for the Calculator.</t>
  </si>
  <si>
    <t>3.12.2.2a</t>
  </si>
  <si>
    <r>
      <t xml:space="preserve">WINTER </t>
    </r>
    <r>
      <rPr>
        <i/>
        <sz val="10"/>
        <color indexed="12"/>
        <rFont val="Arial"/>
        <family val="2"/>
      </rPr>
      <t>(taken as June - August in all listed locations)</t>
    </r>
  </si>
  <si>
    <t>Conductance exposure factors are not used for Zone 1 but a dummy table is provided to suit the lookup mechanism which uses multipart named ranges.</t>
  </si>
  <si>
    <t>Timber Floor</t>
  </si>
  <si>
    <t>Brick Cavity Wall Timber floor</t>
  </si>
  <si>
    <t>New Summer exposure factors Slab</t>
  </si>
  <si>
    <t>New factors developed for NCC Glazing Calculations for NCC Climate Zone 1, Slab on Ground floors</t>
  </si>
  <si>
    <t>Solar Heat Gain maximum CSHGC</t>
  </si>
  <si>
    <t>overhang (mm)</t>
  </si>
  <si>
    <t>P/H for 2100mm high window</t>
  </si>
  <si>
    <t>Factor</t>
  </si>
  <si>
    <t xml:space="preserve">Value </t>
  </si>
  <si>
    <t xml:space="preserve">Allowable Solar Gain per m2 </t>
  </si>
  <si>
    <t>CSHGC</t>
  </si>
  <si>
    <t xml:space="preserve">Room type multiplier (for Bedroom and Unconditioned areas) </t>
  </si>
  <si>
    <t>Allowable Solar Gain per m2 (5% openable window area)*</t>
  </si>
  <si>
    <t>Level multiplier (for upper floors)</t>
  </si>
  <si>
    <t>Allowable Solar Gain per m2 (10% openable window area)*</t>
  </si>
  <si>
    <t>Frame solar absorptance multiplier* (for metal frame windows) 0.85</t>
  </si>
  <si>
    <t>Allowable Solar Gain per m2 (15% openable window area)*</t>
  </si>
  <si>
    <t>Frame solar absorptance multiplier (for metal frame windows) 0.50</t>
  </si>
  <si>
    <t>Allowable Solar Gain per m2 (20% openable window area)*</t>
  </si>
  <si>
    <t>Frame solar absorptance multiplier (for metal frame windows) 0.35</t>
  </si>
  <si>
    <t>Hard floor surface multiplier**</t>
  </si>
  <si>
    <t>^^from correlation^^</t>
  </si>
  <si>
    <t>Frame_SA_Sum_Sla</t>
  </si>
  <si>
    <t>New Summer exposure factors, Suspended floors</t>
  </si>
  <si>
    <t>New factors developed for NCC Glazing Calculations for NCC Climate Zone 6, suspended floors</t>
  </si>
  <si>
    <t>Solar Heat Gain maximum CSHGC, suspended floors</t>
  </si>
  <si>
    <t>Frame_SA_Sum_Tim</t>
  </si>
  <si>
    <t>New factors developed for NCC Glazing Calculations for NCC Climate Zone 6, Slab on Ground floors</t>
  </si>
  <si>
    <t>New Winter exposure factors</t>
  </si>
  <si>
    <t>New factors developed for NCC Glazing Calculations for NCC Climate Zone 5, Slab on Ground floors</t>
  </si>
  <si>
    <t>Orientation based conduction mutliplers</t>
  </si>
  <si>
    <t>Living</t>
  </si>
  <si>
    <t>Bed</t>
  </si>
  <si>
    <t>Bedroom conduction weighting factor</t>
  </si>
  <si>
    <t>Bedroom solar gain weighting factor</t>
  </si>
  <si>
    <t>Limit to Conductance: Cu / Cshgc</t>
  </si>
  <si>
    <t>Allowable CU / CSHGC NCC Climate Zone 2</t>
  </si>
  <si>
    <t>Hard floor surface factor**</t>
  </si>
  <si>
    <t>Frame_SA_Win_Sla</t>
  </si>
  <si>
    <t>New factors developed for NCC Glazing Calculations for NCC Climate Zone 6, Suspended floors</t>
  </si>
  <si>
    <t>Limit to Conductance: CU / CSHGC</t>
  </si>
  <si>
    <t>Allowable CU - CSHGC NCC Climate Zone 6</t>
  </si>
  <si>
    <t>Frame_SA_Win_Tim</t>
  </si>
  <si>
    <t xml:space="preserve">P/H </t>
  </si>
  <si>
    <t>Allowable CU / CSHGC NCC Climate Zone 6</t>
  </si>
  <si>
    <t>Hard floor surface factor from sims</t>
  </si>
  <si>
    <t>New factors developed for NCC Glazing Calculations for NCC Climate Zone 5, suspended floors</t>
  </si>
  <si>
    <t>New factors developed for NCC Glazing Calculations for NCC Climate Zone 5, Suspended floors</t>
  </si>
  <si>
    <t>overhang (mm) for 2100 window</t>
  </si>
  <si>
    <t>from correlation</t>
  </si>
  <si>
    <t>from sims</t>
  </si>
  <si>
    <t>???</t>
  </si>
  <si>
    <t>changed factors to represent Canberra Not Hobart</t>
  </si>
  <si>
    <t>Sim</t>
  </si>
  <si>
    <t>Wagga Wagga</t>
  </si>
  <si>
    <t>Sydney</t>
  </si>
  <si>
    <t>Canberra</t>
  </si>
  <si>
    <t>13.4.3 Roof Lights</t>
  </si>
  <si>
    <t>13.4.5 Exhaust fan</t>
  </si>
  <si>
    <t>13.4.6 Construction of ceilings, walls and floors / 13.4.7 Evaporative coolers</t>
  </si>
  <si>
    <t>13.4.1 Application of Part 13.4</t>
  </si>
  <si>
    <t>Part 13.4 must be applied as directed in H6D2(1)(a) or (b).</t>
  </si>
  <si>
    <t>Click to View Part 13.4 of National Construction Code</t>
  </si>
  <si>
    <t>13.4.2 Chimneys and flues</t>
  </si>
  <si>
    <t>By ticking this box, you agree the chimney or flue of an open solid-fuel burning appliance must be provided with a damper or flap that can be closed to seal the chimney or flue.</t>
  </si>
  <si>
    <t>The requirements of this 13.4.2 are to be read in conjunction with the fire safety requirements in Part 12.4 of the ABCB Housing Provisions.</t>
  </si>
  <si>
    <t>Sealing Requirement</t>
  </si>
  <si>
    <t>Requirement that the roof light seal is constructed from either:
(a) an imperforate ceiling diffuser or the like installed at the ceiling or internal lining level; or 
(b) a weatherproof seal; or 
(c) a shutter system readily operated either manually, mechanically or electronically by the occupant.</t>
  </si>
  <si>
    <t>Rows Required:</t>
  </si>
  <si>
    <r>
      <t xml:space="preserve">Room 
</t>
    </r>
    <r>
      <rPr>
        <b/>
        <sz val="10"/>
        <color theme="0"/>
        <rFont val="Arial"/>
        <family val="2"/>
      </rPr>
      <t>(Linked to inputs from 13.2.4)</t>
    </r>
  </si>
  <si>
    <t>Meets sealing requirement?</t>
  </si>
  <si>
    <t xml:space="preserve">*A roof light should be sealed regardless of which room it serves in climate zones 4, 5, 6, 7 and 8. </t>
  </si>
  <si>
    <t>A seal to restrict air infiltration is required for:
(a) the bottom edge of a door, must be a draft protection device; and 
(b) for the other edges of a door or the edges of an openable window or other such opening, "may be a foam or rubber compressible strip, fibrous seal or the like."</t>
  </si>
  <si>
    <t>A window complying with the maximum air infiltration rates specified in AS 2047 need not comply with (2)(b).</t>
  </si>
  <si>
    <t>By ticking this box, you agree all windows comply with sealing requirements as per Part 13.4.4</t>
  </si>
  <si>
    <t>Location Descirption</t>
  </si>
  <si>
    <t>An exhaust fan must be fitted with a sealing device such as a self-closing damper, filter or the like.</t>
  </si>
  <si>
    <t>Location of exhaust fan</t>
  </si>
  <si>
    <t>Number of Exhausts</t>
  </si>
  <si>
    <t>13.4.6 Construction of ceilings, walls and floors</t>
  </si>
  <si>
    <t>By ticking this box, you agree ceiling, walls, floors and any opening such as a window frame, door frame, roof light frame or the like when forming part of the external fabric of— 
(a) a conditioned space; or 
(b) a habitable room in climate zones 4, 5, 6, 7 and 8. 
Must be -
(a) enclosed by internal lining systems that are close-fitting at ceiling, wall and floor junctions; or 
(b) sealed at junctions and penetrations with - (i) close-fitting architrave, skirting or cornice; or (ii) expanding foam, rubber compressive strip, caulking or the like.</t>
  </si>
  <si>
    <t>13.4.7 Evaporative coolers</t>
  </si>
  <si>
    <t xml:space="preserve">By ticking this box, you agree an evaporative cooler must be fitted with a self-closing damper or the like when serving— 
(a) a heated space; or 
(b) a habitable room in climate zones 4, 5, 6, 7 or 8. </t>
  </si>
  <si>
    <t>13.5.1 Application of Part 13.5</t>
  </si>
  <si>
    <t>Part 13.5 must be applied as directed in H6D2(1)(b)</t>
  </si>
  <si>
    <t>Click to View Part 13.5 of National Construction Code</t>
  </si>
  <si>
    <t>Zone 1,2,3</t>
  </si>
  <si>
    <t>Relevant only for climate zones 1, 2, &amp; 3 and climate zone 5 in Queensland</t>
  </si>
  <si>
    <t>Zone 5 (NSW/QLD)</t>
  </si>
  <si>
    <t>13.5.2 Applicable</t>
  </si>
  <si>
    <t>Room Descirption</t>
  </si>
  <si>
    <t>Room Type (habitable)</t>
  </si>
  <si>
    <t>Minimum number and diameter (mm) of ceiling fans required</t>
  </si>
  <si>
    <t>Note</t>
  </si>
  <si>
    <t>Number</t>
  </si>
  <si>
    <t>Diameter</t>
  </si>
  <si>
    <t>Tips for using the Whole-of-home calculator:</t>
  </si>
  <si>
    <t>Calculator version (2.01):</t>
  </si>
  <si>
    <t>Version 2.01 of the Whole-of-home calculator (calculator) automates the NCC whole-of-home energy use requirements of NCC 2022 (Part 13.6 of ABCB Housing Provisions and J3D14 of NCC Volume One).</t>
  </si>
  <si>
    <r>
      <t xml:space="preserve">Updates to this file may be available for download from the ABCB website from time to time. The file name will include the version number. </t>
    </r>
    <r>
      <rPr>
        <b/>
        <sz val="14"/>
        <color rgb="FFFF0000"/>
        <rFont val="Arial"/>
        <family val="2"/>
        <scheme val="major"/>
      </rPr>
      <t>The latest version should always be used.</t>
    </r>
  </si>
  <si>
    <t xml:space="preserve">The calculator has been developed in the Windows ® versions of Microsoft Excel ® 2013. </t>
  </si>
  <si>
    <t>The .xlsx file is suitable for use in the 2013 and above versions of Excel for Windows. These Help instructions and the screenshots refer to the Windows version and may not fully reflect the Mac interface.</t>
  </si>
  <si>
    <t>Adding and changing inputs:</t>
  </si>
  <si>
    <t>Unlocked cells on the calculator form are accessible for user input.</t>
  </si>
  <si>
    <t xml:space="preserve">Some cells require the user to input values manually (i.e. floor area, star ratings, pool and spa volumes and photovoltaic capacity). </t>
  </si>
  <si>
    <t xml:space="preserve">Cells which require specific inputs have a drop down icon that will appear once the cell has been selected. Users can select inputs from this dropdown list or enter them manually. Where users have entered information manually that does not match one of the options from the dropdown list an error message will appear.  </t>
  </si>
  <si>
    <t>Calculator outcomes resulting in the Actual Net Equivalent Energy Usage output turning green and displaying a tick are valid only if all of the input details comply with NCC elemental DTS requirements.</t>
  </si>
  <si>
    <t>Users' worksheet:</t>
  </si>
  <si>
    <t>A protected worksheet with most cells accessible has been provided for users' notes and calculations. (Protection is essential to maintain the integrity of the calculator but does restrict the functions and operations available to the user.) The Worksheet can be accessed by selecting its tab at the bottom of the Excel window.</t>
  </si>
  <si>
    <t>Use of this worksheet is optional and responsibility for its contents and consequences remains entirely with the user.</t>
  </si>
  <si>
    <t>1.00 (September 2022)</t>
  </si>
  <si>
    <t>●</t>
  </si>
  <si>
    <t>First release of Whole-of-Home Calculator</t>
  </si>
  <si>
    <t>2.00 (March 2023)</t>
  </si>
  <si>
    <t>Updates undertaken as per the report  - Australian Building Codes Board NCC 2022 Whole of Home Calculator Test (ABCB, March 2023)</t>
  </si>
  <si>
    <t>2.01 (Aug 2023)</t>
  </si>
  <si>
    <t>Amendment to disclaimer/guidance for use of calculator. To align who calculator with remainder of ABCB calculators after beta testing complete.</t>
  </si>
  <si>
    <t>Climate Zone check</t>
  </si>
  <si>
    <t>Result</t>
  </si>
  <si>
    <t>Home details</t>
  </si>
  <si>
    <t>Hand Calc</t>
  </si>
  <si>
    <t>Your Project Name</t>
  </si>
  <si>
    <t>CZ/State</t>
  </si>
  <si>
    <t>Option 1 (net-zero)</t>
  </si>
  <si>
    <t>Evaporative</t>
  </si>
  <si>
    <t>Option 2 (net-zero ready)</t>
  </si>
  <si>
    <t>Ducted heat pump</t>
  </si>
  <si>
    <t>NCC Climate zone</t>
  </si>
  <si>
    <t>&lt; Help</t>
  </si>
  <si>
    <t>Ducted gas</t>
  </si>
  <si>
    <t>Non-ducted heat pump</t>
  </si>
  <si>
    <r>
      <t>Total Floor area (m</t>
    </r>
    <r>
      <rPr>
        <vertAlign val="superscript"/>
        <sz val="12"/>
        <color theme="1"/>
        <rFont val="Arial"/>
        <family val="2"/>
      </rPr>
      <t>2</t>
    </r>
    <r>
      <rPr>
        <sz val="12"/>
        <color theme="1"/>
        <rFont val="Arial"/>
        <family val="2"/>
      </rPr>
      <t>)</t>
    </r>
  </si>
  <si>
    <t>Ee</t>
  </si>
  <si>
    <t>False added to the Vlookup expression</t>
  </si>
  <si>
    <t>Non-ducted gas</t>
  </si>
  <si>
    <t>Other or not specified</t>
  </si>
  <si>
    <t>NCC Building classification</t>
  </si>
  <si>
    <t>EF</t>
  </si>
  <si>
    <t>EW</t>
  </si>
  <si>
    <t>Electric storage (standard)</t>
  </si>
  <si>
    <t>Electric storage (off peak)</t>
  </si>
  <si>
    <t>Equipment details</t>
  </si>
  <si>
    <t>Panel electric resistance</t>
  </si>
  <si>
    <t>Heat pump (standard)</t>
  </si>
  <si>
    <t>Space heating/cooling</t>
  </si>
  <si>
    <t>Slab electric resistance</t>
  </si>
  <si>
    <t>Heat pump (off peak)</t>
  </si>
  <si>
    <t>Area Factor</t>
  </si>
  <si>
    <t>Adjusted area</t>
  </si>
  <si>
    <t>Wood heater</t>
  </si>
  <si>
    <t>Solar electric</t>
  </si>
  <si>
    <t>&lt; changed from: Solar electric (standard)</t>
  </si>
  <si>
    <t>If using a heat pump specify rating type &gt;</t>
  </si>
  <si>
    <t>Gas storage</t>
  </si>
  <si>
    <t>Check Values</t>
  </si>
  <si>
    <t>Gas instantaneous</t>
  </si>
  <si>
    <t>Ep (pool)</t>
  </si>
  <si>
    <t>State no</t>
  </si>
  <si>
    <t>Round star rating</t>
  </si>
  <si>
    <t>Fp</t>
  </si>
  <si>
    <t>Solar gas</t>
  </si>
  <si>
    <r>
      <t xml:space="preserve">Main space conditioning - </t>
    </r>
    <r>
      <rPr>
        <b/>
        <sz val="12"/>
        <color rgb="FFFF0000"/>
        <rFont val="Arial"/>
        <family val="2"/>
      </rPr>
      <t>HEATING</t>
    </r>
  </si>
  <si>
    <t>Pool volume (L)</t>
  </si>
  <si>
    <t>Pool pump star rating</t>
  </si>
  <si>
    <t>Es Spa pump PV requirement</t>
  </si>
  <si>
    <r>
      <t xml:space="preserve">Main space conditioning - </t>
    </r>
    <r>
      <rPr>
        <b/>
        <sz val="12"/>
        <color rgb="FF0070C0"/>
        <rFont val="Arial"/>
        <family val="2"/>
      </rPr>
      <t>COOLING</t>
    </r>
  </si>
  <si>
    <t>Spa volume (L)</t>
  </si>
  <si>
    <t>Changed fields - will now return an error if option is not found</t>
  </si>
  <si>
    <t>F</t>
  </si>
  <si>
    <t>AF</t>
  </si>
  <si>
    <t>Photovoltaic capacity (kW)</t>
  </si>
  <si>
    <t>&lt;50</t>
  </si>
  <si>
    <t>50-59</t>
  </si>
  <si>
    <t>60-69</t>
  </si>
  <si>
    <t>Notes:</t>
  </si>
  <si>
    <t>70-79</t>
  </si>
  <si>
    <t>1. This calculator automates the NCC whole-of-home energy usage requirements (Part 13.6 of the ABCB Housing Provisions and J3D14 of NCC Volume One).</t>
  </si>
  <si>
    <t>80-89</t>
  </si>
  <si>
    <t>&lt; line was missing</t>
  </si>
  <si>
    <t>2. For the purposes of this calculator, floor area is measured within the inside face of the external walls of the sole-occupancy unit (SOU) and includes any conditioned attached Class 10a part.</t>
  </si>
  <si>
    <t>Heating Gas star list</t>
  </si>
  <si>
    <t>Heating'Heat pump star list</t>
  </si>
  <si>
    <t>90-99</t>
  </si>
  <si>
    <t>&lt; 3</t>
  </si>
  <si>
    <t>&lt; 2.25</t>
  </si>
  <si>
    <t>100-109</t>
  </si>
  <si>
    <t>Ducted Gas&lt;3</t>
  </si>
  <si>
    <t>3 to &lt; 4.5</t>
  </si>
  <si>
    <t>2.25 to &lt; 3</t>
  </si>
  <si>
    <t>110-119</t>
  </si>
  <si>
    <t>Ducted Heat Pump&lt;2.25</t>
  </si>
  <si>
    <t>HP - Ducted &lt; 3 stars (&lt; 2.25)</t>
  </si>
  <si>
    <t>4.5 to  &lt; 6</t>
  </si>
  <si>
    <t>3 to  &lt; 3.75</t>
  </si>
  <si>
    <t>120-129</t>
  </si>
  <si>
    <t>Ducted Gas&lt;4.5</t>
  </si>
  <si>
    <t>Ducted Heat Pump&lt;3</t>
  </si>
  <si>
    <t>HP - Ducted &lt; 4.5 stars (&lt; 3)</t>
  </si>
  <si>
    <t xml:space="preserve">
</t>
  </si>
  <si>
    <t>≥ 6</t>
  </si>
  <si>
    <t>≥ 3.75</t>
  </si>
  <si>
    <t>130-139</t>
  </si>
  <si>
    <t>Ducted Gas&lt;6</t>
  </si>
  <si>
    <t>Ducted Heat Pump&lt;3.75</t>
  </si>
  <si>
    <t>HP - Ducted &lt; 6 stars (&lt; 3.75)</t>
  </si>
  <si>
    <t>140-149</t>
  </si>
  <si>
    <t>Ducted Gas&gt;6</t>
  </si>
  <si>
    <t>Ducted Heat Pump&gt;3.75</t>
  </si>
  <si>
    <t>HP - Ducted ≥ 6 stars (≥ 3.75)</t>
  </si>
  <si>
    <t>150-159</t>
  </si>
  <si>
    <t>Non-ducted Gas&lt;3</t>
  </si>
  <si>
    <t>Non-ducted Heat Pump&lt;2.25</t>
  </si>
  <si>
    <t>HP - Non-Ducted &lt; 3 stars (&lt; 2.25)</t>
  </si>
  <si>
    <t>160-169</t>
  </si>
  <si>
    <t>Non-ducted Gas&lt;4.5</t>
  </si>
  <si>
    <t>Non-ducted Heat Pump&lt;3</t>
  </si>
  <si>
    <t>HP - Non-Ducted &lt; 4.5 stars (&lt; 3)</t>
  </si>
  <si>
    <t>Heating Drop down star list</t>
  </si>
  <si>
    <t>170-179</t>
  </si>
  <si>
    <t>Non-ducted Gas&lt;6</t>
  </si>
  <si>
    <t>Non-ducted Heat Pump&lt;3.75</t>
  </si>
  <si>
    <t>HP - Non-Ducted &lt; 6 stars (&lt; 3.75)</t>
  </si>
  <si>
    <t>180-189</t>
  </si>
  <si>
    <t>Non-ducted Gas&gt;6</t>
  </si>
  <si>
    <t>Non-ducted Heat Pump&gt;3.75</t>
  </si>
  <si>
    <t>HP - Non-Ducted ≥ 6 stars (≥ 3.75)</t>
  </si>
  <si>
    <t>190-199</t>
  </si>
  <si>
    <t>Other or None Specified</t>
  </si>
  <si>
    <t>200-209</t>
  </si>
  <si>
    <t>210-219</t>
  </si>
  <si>
    <t>220-229</t>
  </si>
  <si>
    <t>Electric Storage (standard)</t>
  </si>
  <si>
    <t>230-239</t>
  </si>
  <si>
    <t>Electric Storage (off peak)</t>
  </si>
  <si>
    <t>240-249</t>
  </si>
  <si>
    <t>Heat Pump (Standard)</t>
  </si>
  <si>
    <t>250-259</t>
  </si>
  <si>
    <t>Heat Pump (off peak)</t>
  </si>
  <si>
    <t>260-269</t>
  </si>
  <si>
    <t>Solar Electric</t>
  </si>
  <si>
    <t>Cooling</t>
  </si>
  <si>
    <t>270-279</t>
  </si>
  <si>
    <t>Panel Electric Resistance</t>
  </si>
  <si>
    <t>Gas Storage</t>
  </si>
  <si>
    <t>280-289</t>
  </si>
  <si>
    <t>Slab Electric Resistance</t>
  </si>
  <si>
    <t>Gas Instantaneous</t>
  </si>
  <si>
    <t>290-299</t>
  </si>
  <si>
    <t>Wood Heater</t>
  </si>
  <si>
    <t>Solar Gas</t>
  </si>
  <si>
    <t>300-309</t>
  </si>
  <si>
    <t>310-319</t>
  </si>
  <si>
    <t>320-329</t>
  </si>
  <si>
    <t>New Set up for heater and cooler dropdowns</t>
  </si>
  <si>
    <t>330-339</t>
  </si>
  <si>
    <t>&lt; selected</t>
  </si>
  <si>
    <t>340-349</t>
  </si>
  <si>
    <t>Star Rating (GEMS 2013)</t>
  </si>
  <si>
    <t>Seasonal Star Rating (2019)</t>
  </si>
  <si>
    <t>AEER/ACOP (GEMS 2013)</t>
  </si>
  <si>
    <t>HSPF/TSCPF (GEMS 2019)</t>
  </si>
  <si>
    <t>350-359</t>
  </si>
  <si>
    <t>360-369</t>
  </si>
  <si>
    <t>&lt; 3.75</t>
  </si>
  <si>
    <t>370-379</t>
  </si>
  <si>
    <t>3.75 to &lt; 4.5</t>
  </si>
  <si>
    <t>380-389</t>
  </si>
  <si>
    <t>4.5 to &lt; 6</t>
  </si>
  <si>
    <t>3 to &lt; 3.75</t>
  </si>
  <si>
    <t>4.5 to &lt; 5.25</t>
  </si>
  <si>
    <t>390-399</t>
  </si>
  <si>
    <t>≥ 5.25</t>
  </si>
  <si>
    <t>400-409</t>
  </si>
  <si>
    <t>410-419</t>
  </si>
  <si>
    <t>420-429</t>
  </si>
  <si>
    <t>Selected</t>
  </si>
  <si>
    <t>Equiv 2019 Star</t>
  </si>
  <si>
    <t>430-439</t>
  </si>
  <si>
    <t>440-449</t>
  </si>
  <si>
    <t>450-459</t>
  </si>
  <si>
    <t>460-469</t>
  </si>
  <si>
    <t>470-479</t>
  </si>
  <si>
    <t>480-489</t>
  </si>
  <si>
    <t>490-499</t>
  </si>
  <si>
    <t>selected</t>
  </si>
  <si>
    <t>Titles</t>
  </si>
  <si>
    <t>&gt;500</t>
  </si>
  <si>
    <t>Star Rating (2013)</t>
  </si>
  <si>
    <t>Star Rating (2019)</t>
  </si>
  <si>
    <t>ACOP Value</t>
  </si>
  <si>
    <t>HSPF Value</t>
  </si>
  <si>
    <t>AEER Value</t>
  </si>
  <si>
    <t>TCSPF value Value</t>
  </si>
  <si>
    <t>2-SOU</t>
  </si>
  <si>
    <t>Jurisdiction</t>
  </si>
  <si>
    <r>
      <t>Energy factor (E</t>
    </r>
    <r>
      <rPr>
        <b/>
        <u/>
        <vertAlign val="subscript"/>
        <sz val="10"/>
        <color rgb="FF006600"/>
        <rFont val="Arial"/>
        <family val="2"/>
      </rPr>
      <t>F</t>
    </r>
    <r>
      <rPr>
        <b/>
        <u/>
        <sz val="10"/>
        <color rgb="FF006600"/>
        <rFont val="Arial"/>
        <family val="2"/>
      </rPr>
      <t>)</t>
    </r>
  </si>
  <si>
    <r>
      <t>E</t>
    </r>
    <r>
      <rPr>
        <b/>
        <u/>
        <vertAlign val="subscript"/>
        <sz val="10"/>
        <color rgb="FF006600"/>
        <rFont val="Arial"/>
        <family val="2"/>
      </rPr>
      <t>F</t>
    </r>
  </si>
  <si>
    <t xml:space="preserve"> ✓</t>
  </si>
  <si>
    <t>Pool pump GEMS star rating</t>
  </si>
  <si>
    <t>Spa pump GEMS star rating</t>
  </si>
  <si>
    <t>All types</t>
  </si>
  <si>
    <t>13.7.1 Application of Part 13.7</t>
  </si>
  <si>
    <t>Part 13.7 must be applied as directed in H6D2(2)</t>
  </si>
  <si>
    <t>Click to View Part 13.7 of National Construction Code</t>
  </si>
  <si>
    <t xml:space="preserve">By ticking this box, you agree to meet the requirements of the following Clauses of the Housing Provisions;
13.7.2 Insulation of services,
13.7.3 Central heating water piping,
13.7.4 Heating and cooling ductwork,
13.7.5 Electric resistance space heating, and
13.7.7 Water heater in a heated water supply system.
</t>
  </si>
  <si>
    <t>13.7.2 Insulation of Services</t>
  </si>
  <si>
    <t>Thermal insulation for central heating water piping and heating and cooling ductwork must - 
(a) be protected against the effects of weather and sunlight; &amp; 
(b) be able to withstand the temperatures within the piping or ductwork; &amp;
(c) use thermal insulation material in accordance with AS/NZS 4859.1</t>
  </si>
  <si>
    <t>13.7.3 Central Heating Water Piping</t>
  </si>
  <si>
    <t>The central heating water piping provisions apply to systems designed to heat the building via water, such as a hydronic heating system</t>
  </si>
  <si>
    <t>Does your project have central heating water piping that is not within a conditioned space (Yes/No)?</t>
  </si>
  <si>
    <t>Your central heating water piping must be thermally insulated to achieve the minimum material R-Values as set out in the table below:</t>
  </si>
  <si>
    <t>Piping</t>
  </si>
  <si>
    <t>Minimum material R-Value Required</t>
  </si>
  <si>
    <t>Internal piping</t>
  </si>
  <si>
    <t>Piping located within a ventilated wall space, an enclosed building subfloor or a roof space</t>
  </si>
  <si>
    <t>Piping located outside the building or in an unenclosed building subfloor or roof space</t>
  </si>
  <si>
    <t>13.7.4 Heating and Cooling Ductwork</t>
  </si>
  <si>
    <t>Are the ducts:
(i) under a suspended floor with an enclosed perimeter; or 
(ii) in a roof space that has an insulation of greater than or equal to R0.5 directly beneath the roofing.</t>
  </si>
  <si>
    <t>Heating and cooling ductwork and fittings must—
(a) achieve the material R-Value in the table below; and
(b) be sealed against air loss—
(i) by closing all openings in the surface, joints and seams of ductwork with adhesives, mastics, sealants or gaskets in accordance with AS 4254.1 and AS 4254.2 for a Class C seal; or
(ii) for flexible ductwork, with a draw band in conjunction with a sealant or adhesive tape
Note the above requirements do not apply to heating and cooling ductwork and fittings located within the insulated building 
envelope including a service riser within the conditioned space, internal floors between storeys and the like.</t>
  </si>
  <si>
    <t>Heating and Cooling Ductwork</t>
  </si>
  <si>
    <t>Heating-only system or cooling-only system including an evaporative cooling system</t>
  </si>
  <si>
    <t>Duct insulation must—
(a) abut adjoining duct insulation to form a continuous barrier; and
(b) be installed so that it maintains its position and thickness, other than at flanges and supports; and
(c) where located outside the building, under a suspended floor, in an attached Class 10a building or in a roof space— 
     (i) be protected by an outer sleeve of protective sheeting to prevent the insulation becoming damp; and 
    (ii) have the outer protective sleeve sealed with adhesive tape not less than 48 mm wide creating an airtight 
    and waterproof seal.</t>
  </si>
  <si>
    <t>13.7.5 Electric Resistance Space Heating</t>
  </si>
  <si>
    <t>Requirements for an electric resistance space heating system that serves more than one room must have - 
(a) separate isolating switches for each room; &amp; 
(b) a separate temperature controller and time switch for each group of rooms with common heating needs; &amp; 
(c) power loads of not more than 110W/m² for living areas, and 150W/m² for bathrooms.</t>
  </si>
  <si>
    <t>13.7.7 Water heater in a heated water supply system</t>
  </si>
  <si>
    <t>Compliance regulation where a water heater in a heated water supply system must be designed and installed in accordance with Part B2 of NCC Volume Three - Plumbing Code of Australia</t>
  </si>
  <si>
    <t xml:space="preserve">By ticking this box, you agree to meet the requirements of the following Clauses of the Housing Provisions;
13.7.8 Swimming pool heating and pumping,
13.7.9 Spa pool heating and pumping.
</t>
  </si>
  <si>
    <t>13.7.8 Swimming pool heating and pumping</t>
  </si>
  <si>
    <t>For the purposes of 13.7.8, a swimming pool does not include a spa pool</t>
  </si>
  <si>
    <t>To comply with the regulations, the heating for a swimming pool must be by - 
(a) a solar heater not boosted by electric resistance heating; or 
(b) a heater using reclaimed energy; or 
(c) a gas heater; or 
(d) a heat pump; or 
(e) a combination of (a) to (d)</t>
  </si>
  <si>
    <t>1. Applicable to gas heater or a heat pump</t>
  </si>
  <si>
    <r>
      <t xml:space="preserve">It is necessary that if some or all of the pool heating requires a gas heater or a heat pump, the swimming pool must have a cover with a </t>
    </r>
    <r>
      <rPr>
        <b/>
        <sz val="12"/>
        <color theme="1"/>
        <rFont val="Arial"/>
        <family val="2"/>
      </rPr>
      <t>minimum R-Value of 0.05</t>
    </r>
    <r>
      <rPr>
        <sz val="12"/>
        <color theme="1"/>
        <rFont val="Arial"/>
        <family val="2"/>
      </rPr>
      <t>, unless located in a conditioned space; and a time switch to control the operation of the heater. A time switch is also required to control the operation of a circulation pump.</t>
    </r>
  </si>
  <si>
    <t>13.7.9 Spa pool heating and pumping</t>
  </si>
  <si>
    <t>To comply with the regulations, the heating for a spa pool that shares a water recirculation system with a swimming pool must be by - (a) a solar heater; or (b) a heater using reclaimed energy; or (c) a gas heater; or (d) a heat pump; or (e) a combination of (a) to (d)</t>
  </si>
  <si>
    <t>It is necessary that if some or all of the spa heating requires a gas heater or a heat pump, the spa pool must have a cover; and a push buton and a time switch to control the operation of the heater. A time switch is also required if the spa pool has a capacity of 680L to control the operation of a circulation pump.</t>
  </si>
  <si>
    <t>Tips for using the Lighting Calculator:</t>
  </si>
  <si>
    <t>Calculator version (3.10):</t>
  </si>
  <si>
    <t>This version of the Lighting Calculator was first issued for use with Part 3.12.5.5 Artificial lighting in Volume Two of NCC 2019. Updates to this file may be available from the ABCB website from time to time. The file name will include the version number. The latest version should always be used.</t>
  </si>
  <si>
    <t>A record of changes made to each version of the Lighting Calculator appears at the end of this Help section. (Scroll down to see the version history.)</t>
  </si>
  <si>
    <t>The Lighting Calculator has been developed in the Windows ® version of Microsoft Excel ®. This file, in the .xlsx format, is suitable for use in the 2010 and later versions of Excel for Windows.</t>
  </si>
  <si>
    <t>The Lighting Calculator is not compatible with Microsoft Excel 2003 or earlier, while substantial data validation issues may be encountered using Microsoft Excel 2007.</t>
  </si>
  <si>
    <t>The Lighting Calculator is not compatible with Google Docs or similar alternatives to Microsoft Excel.</t>
  </si>
  <si>
    <t>Application</t>
  </si>
  <si>
    <t>The Lighting Calculator applies only the following provisions —</t>
  </si>
  <si>
    <t>in Volume Two: 3.12.5.5(a) and 3.12.5.5(b),</t>
  </si>
  <si>
    <t>All other lighting provisions, including any exemptions, are determined by the relevant provisions of the NCC.</t>
  </si>
  <si>
    <t>Using the Calculator</t>
  </si>
  <si>
    <t xml:space="preserve">When opening the Calculator, the first screen will provide four navigation options which are explained in notes 8 to 11 below.
</t>
  </si>
  <si>
    <r>
      <t>Residential Lighting Calculator for NCC Volume Two:</t>
    </r>
    <r>
      <rPr>
        <sz val="14"/>
        <rFont val="Arial"/>
        <family val="2"/>
      </rPr>
      <t xml:space="preserve">
This calculator can be used with NCC Volume Two, for a Class 1 building and a Class 10a building associated with a Class 1 building.
</t>
    </r>
  </si>
  <si>
    <r>
      <t xml:space="preserve">Illumination Power Density Adjustment Factors for a Control Device:
</t>
    </r>
    <r>
      <rPr>
        <sz val="14"/>
        <rFont val="Arial"/>
        <family val="2"/>
      </rPr>
      <t xml:space="preserve">The calculator provides links to this screen, which outlines the information contained in 3.12.5.5(f) of NCC Volume Two.  When using this screen, it is important to note the letter located on the left hand side of each adjustment factor because this letter is used to identify adjustment factors in the drop down menus provided by the calculators. 
</t>
    </r>
  </si>
  <si>
    <r>
      <t xml:space="preserve">Help screen:
</t>
    </r>
    <r>
      <rPr>
        <sz val="14"/>
        <rFont val="Arial"/>
        <family val="2"/>
      </rPr>
      <t xml:space="preserve">This option navigates to this page with its tips for using the calculator and links to screenshots with explanatory notes.
</t>
    </r>
  </si>
  <si>
    <r>
      <t xml:space="preserve">Worksheet:
</t>
    </r>
    <r>
      <rPr>
        <sz val="14"/>
        <rFont val="Arial"/>
        <family val="2"/>
      </rPr>
      <t xml:space="preserve">The worksheet has been made available to record notes or to make other calculations. The use of the worksheet is optional and responsibility for its contents and consequences remains entirely with the user
</t>
    </r>
  </si>
  <si>
    <r>
      <rPr>
        <b/>
        <sz val="14"/>
        <rFont val="Arial"/>
        <family val="2"/>
      </rPr>
      <t>Additional information:</t>
    </r>
    <r>
      <rPr>
        <sz val="14"/>
        <rFont val="Arial"/>
        <family val="2"/>
      </rPr>
      <t xml:space="preserve">
Additional information is provided in a table beyond the right hand side of each calculator. This is for information only and is intended to offer the user a greater understanding of the figures involved in producing the final outcome values. The values relate to the individual rows of the related calculator but the information is not designed to be printed out.  </t>
    </r>
  </si>
  <si>
    <t>Displaying the calculator forms</t>
  </si>
  <si>
    <t xml:space="preserve">Each calculator form has been designed for viewing as a whole "page" with 10 rows visible in the lighting systems table when the Excel ribbon is minimised, assuming a screen resolution of 1920 x 1080 pixels. At this resolution, the zoom function (located on the top tool bar, under View | Zoom, or at the bottom right hand corner of the Excel window should be set to 70%. </t>
  </si>
  <si>
    <t>Users can change the number of rows in the table by using the arrow to the left of the 'ID' heading near the top left of the lighting systems table. First set the number of rows preferred in the input cell immediately above the table. (Up to 40 rows can be displayed for this Residential Calculator) Then click the arrow and select that number in the drop down list which opens. (The number set will be the only number shown in the list.)</t>
  </si>
  <si>
    <t>Adding and changing lighting details:</t>
  </si>
  <si>
    <t>The calculator is designed to accept inputs made in sequence. Error and Alert messages, as discussed below, may not work effectively if the designed sequence is not followed. If input restrictions or errors occur, start from the beginning by entering the description of the building, then its Classification and the number of table rows preferred. Next, input the lighting systems, one row at a time, filling in all of the columns except for:</t>
  </si>
  <si>
    <t>• the Adjustment Factor columns, if no adjustment factor is going to be used.</t>
  </si>
  <si>
    <t>2. Adding and changing lighting details</t>
  </si>
  <si>
    <t>Error and alert messages</t>
  </si>
  <si>
    <t>The Calculator has been designed to identify anticipated input errors but may not trap all invalid inputs.</t>
  </si>
  <si>
    <t>Input issues in each row of the lighting systems table are identified in red font on the right of the row (over the Outcomes area).</t>
  </si>
  <si>
    <t>If data validation messages prevent intended input (particularly in the four columns under the Fixed Dimming Percentages headings), read any error message carefully and click Cancel instead of Retry. Read the input advice and enter a suitable value.</t>
  </si>
  <si>
    <t>Calculator outcomes cannot be displayed until all input issues have been resolved (clearing any colour highlighting and advisory messages). Several messages may appear in sequence for the same row as issues are resolved.</t>
  </si>
  <si>
    <t>Outcomes reporting</t>
  </si>
  <si>
    <t>The outcomes on the right hand side of the Calculator form will be displayed with a colour coding which is illustrated on the screenshots sheet. In general, green is used to indicate a Pass and red highlights a Failure.</t>
  </si>
  <si>
    <t>The two % values reported in each row of the rightmost column are, firstly, the % contribution of each lighting system to the aggregate result for related systems and, secondly, the % of the aggregate allowance used by those related systems. For related systems, the first % values will always add up to 100%. The second % value will be the same for any of the related systems.</t>
  </si>
  <si>
    <t>Calculator outcomes resulting in a "tick" are valid only if all of the input details comply with relevant NCC Deemed-to-Satisfy (DTS) Provisions.</t>
  </si>
  <si>
    <t>4. Outcomes Reporting</t>
  </si>
  <si>
    <t>Printing</t>
  </si>
  <si>
    <t>The Calculator form can be printed using the File | Print menu or the Print button on the top icon bar.</t>
  </si>
  <si>
    <t>The print area has been pre-set to allow printing as one or more A4 pages (landscape format), depending on the number of rows displayed in the form. Some margins may need adjustment to suit some printers (particularly inkjets).</t>
  </si>
  <si>
    <t>These Help instructions can be printed (using File | Print) for ready reference while using the calculator forms.</t>
  </si>
  <si>
    <t>3.10:</t>
  </si>
  <si>
    <t>Styling updates</t>
  </si>
  <si>
    <t>3.00:</t>
  </si>
  <si>
    <t>Updated to reflect changes to the NCC 2019 and separate the Volume One And Volume Two Lighting Calculators</t>
  </si>
  <si>
    <t>Separation between adjustment factors in Volume One and Volume Two added, with separate reference tables to reflect the provisions of 2019</t>
  </si>
  <si>
    <t>Correct input checks updated to suit new requirements for 2019 Volume One adjustment factors</t>
  </si>
  <si>
    <t>Help and Screenshots updated to reflect changes</t>
  </si>
  <si>
    <t>New protection and passwords</t>
  </si>
  <si>
    <t>2.30:</t>
  </si>
  <si>
    <t>Usability improvements including alterations to formatting</t>
  </si>
  <si>
    <t>Minor changes to some table headings</t>
  </si>
  <si>
    <t>Minor correction amendments to the adjustment factor selection</t>
  </si>
  <si>
    <t>New screenshots.</t>
  </si>
  <si>
    <t>2.20:</t>
  </si>
  <si>
    <t>Correction amendments for outcome reporting in both the Residential Calculator and Non-residential Calculator, including conditional formatting changes.</t>
  </si>
  <si>
    <t>Correction of calculation for fixed dimming used as a second adjustment factor in the Residential Calculator.</t>
  </si>
  <si>
    <t>Removal of the 'Storey' identifier from both the Residential and Non-residential Calculators.</t>
  </si>
  <si>
    <t>Usability improvements including more conditional formatting for missing inputs.</t>
  </si>
  <si>
    <t>Minor changes to some table headings and advisory message contents.</t>
  </si>
  <si>
    <t>Amendments to wording and order of some entries on this Help screen.</t>
  </si>
  <si>
    <t>2.10</t>
  </si>
  <si>
    <t>Correction amendment for the design calculated outcome for Class 1, 2 and 4 buildings.</t>
  </si>
  <si>
    <t>Formatting amendment for the Verandah or Balcony calculated outcome for Class 1, 2 and 4 buildings.</t>
  </si>
  <si>
    <t>Minor editorial amendments.</t>
  </si>
  <si>
    <t>2.00</t>
  </si>
  <si>
    <t>Amend calculator in response to public consultation.</t>
  </si>
  <si>
    <t>Amend adjustment factors in the Residential Calculator in response to changes in NCC 2011.</t>
  </si>
  <si>
    <t>Amend the calculations in the Residential Calculator to reflect different lighting zones.</t>
  </si>
  <si>
    <t>Acknowledgements</t>
  </si>
  <si>
    <r>
      <t>The Australian Building Codes Board (ABCB) would like to acknowledge and thank the practitioners, industry bodies and government agencies who assisted in the development of the Lighting Calculator. This assistance has helped refine the Calculator</t>
    </r>
    <r>
      <rPr>
        <sz val="14"/>
        <color rgb="FFFF0000"/>
        <rFont val="Arial"/>
        <family val="2"/>
      </rPr>
      <t>,</t>
    </r>
    <r>
      <rPr>
        <sz val="14"/>
        <rFont val="Arial"/>
        <family val="2"/>
      </rPr>
      <t xml:space="preserve"> improving its functionality and user interface.</t>
    </r>
  </si>
  <si>
    <t>Calculator</t>
  </si>
  <si>
    <t>TopInputsOKTwo</t>
  </si>
  <si>
    <t>Rows Preferred</t>
  </si>
  <si>
    <t>Number of rows preferred in table below</t>
  </si>
  <si>
    <t>Display Precision</t>
  </si>
  <si>
    <t>RowsFilledTwo</t>
  </si>
  <si>
    <t>Description</t>
  </si>
  <si>
    <t>Type of space</t>
  </si>
  <si>
    <t>Floor area of the space</t>
  </si>
  <si>
    <t>Design Lamp or Illumination Power Load</t>
  </si>
  <si>
    <t>Location</t>
  </si>
  <si>
    <t>Adjustment Factor</t>
  </si>
  <si>
    <t>Adjustment Factor 1</t>
  </si>
  <si>
    <t>Adjustment Factor Used</t>
  </si>
  <si>
    <t>Lowest Adjustment Factor</t>
  </si>
  <si>
    <t>Adjusted MLPD 1 Including Room Aspect</t>
  </si>
  <si>
    <t>Class 1, 2 or 4 values</t>
  </si>
  <si>
    <t>Verandah or Balcony values</t>
  </si>
  <si>
    <t>Class 10 values</t>
  </si>
  <si>
    <t>Entry Inputs Ok</t>
  </si>
  <si>
    <t>Adjustment 1 inputs OK (Volume Two)</t>
  </si>
  <si>
    <t>Verandah or balcony used</t>
  </si>
  <si>
    <t>Data entered in Row</t>
  </si>
  <si>
    <t>Row Left Blank For Function</t>
  </si>
  <si>
    <t>Row Left Blank Realistic</t>
  </si>
  <si>
    <t>Entry Inputs and Adjustment Input Ok</t>
  </si>
  <si>
    <t>Aggregate Outcomes</t>
  </si>
  <si>
    <t>Lamp Power Density / Illumination Power Density</t>
  </si>
  <si>
    <t>Advice</t>
  </si>
  <si>
    <r>
      <t xml:space="preserve">Advice 2 </t>
    </r>
    <r>
      <rPr>
        <i/>
        <sz val="10"/>
        <rFont val="Arial"/>
        <family val="2"/>
      </rPr>
      <t>(not used in this version)</t>
    </r>
  </si>
  <si>
    <t>Adjustment Factor One Advice</t>
  </si>
  <si>
    <r>
      <t xml:space="preserve">General Advisory Note
</t>
    </r>
    <r>
      <rPr>
        <i/>
        <sz val="10"/>
        <color rgb="FF0000FF"/>
        <rFont val="Arial"/>
        <family val="2"/>
      </rPr>
      <t>(Named Range: GeneralAdviceTwo)</t>
    </r>
  </si>
  <si>
    <t>Show General Advisory Note</t>
  </si>
  <si>
    <t>Conditional Formatting</t>
  </si>
  <si>
    <t>Lighting System Share</t>
  </si>
  <si>
    <t>Percentage of Allowance</t>
  </si>
  <si>
    <t>Outcome label</t>
  </si>
  <si>
    <t>Location OK</t>
  </si>
  <si>
    <t>ID</t>
  </si>
  <si>
    <r>
      <t xml:space="preserve">Lamp / Illumination Power Density Allowance
</t>
    </r>
    <r>
      <rPr>
        <b/>
        <i/>
        <sz val="14"/>
        <color theme="0"/>
        <rFont val="Arial"/>
        <family val="2"/>
      </rPr>
      <t>(prior to use of any Adjustment Factors)</t>
    </r>
  </si>
  <si>
    <t>Adjustment Factor One</t>
  </si>
  <si>
    <r>
      <t xml:space="preserve">Lamp / Illumination Power Density Allowance
</t>
    </r>
    <r>
      <rPr>
        <b/>
        <i/>
        <sz val="14"/>
        <color theme="0"/>
        <rFont val="Arial"/>
        <family val="2"/>
      </rPr>
      <t>(after use of any Adjustment Factors)</t>
    </r>
  </si>
  <si>
    <t>Inputs needed</t>
  </si>
  <si>
    <t>Tests below were formerly located in consolidated formulae in columns AT-AV</t>
  </si>
  <si>
    <t>Dimming % Area</t>
  </si>
  <si>
    <t>Lamp or Illumination Power Density</t>
  </si>
  <si>
    <t>System Share of % of Aggregate Allowance Used</t>
  </si>
  <si>
    <t>Lamp Power Density / Illumination Power Density Design</t>
  </si>
  <si>
    <t>Lighting System Share of % of Allowance Used</t>
  </si>
  <si>
    <t>Lighting System inputs</t>
  </si>
  <si>
    <t>First Adjustment Factor inputs</t>
  </si>
  <si>
    <t>sum of row totals below</t>
  </si>
  <si>
    <t>System Allowance</t>
  </si>
  <si>
    <t>System Design</t>
  </si>
  <si>
    <t>Floor area</t>
  </si>
  <si>
    <t>Design Load</t>
  </si>
  <si>
    <t>Design W/m²</t>
  </si>
  <si>
    <t>DLPL</t>
  </si>
  <si>
    <t>MLPL</t>
  </si>
  <si>
    <t>Design</t>
  </si>
  <si>
    <t>Green cell white text</t>
  </si>
  <si>
    <t>Red cell white text</t>
  </si>
  <si>
    <t>White cell green text</t>
  </si>
  <si>
    <t>White cell red text</t>
  </si>
  <si>
    <t>Tan cell</t>
  </si>
  <si>
    <t>RowsShownTwo</t>
  </si>
  <si>
    <t>Space</t>
  </si>
  <si>
    <t>Fixed Dimming m²</t>
  </si>
  <si>
    <t xml:space="preserve">Fixed Dimming % </t>
  </si>
  <si>
    <t>all Fixed data</t>
  </si>
  <si>
    <t>Fixed Dimming @ Illuminance Factor</t>
  </si>
  <si>
    <t>Illuminance Factor @ Fixed Dimming</t>
  </si>
  <si>
    <t>NA Check</t>
  </si>
  <si>
    <t>Depreciation Factor @ Design LPF</t>
  </si>
  <si>
    <t>Design LDF @ Additional LDF</t>
  </si>
  <si>
    <t>Fixed Dimming % Without Fixed Dimming Selected</t>
  </si>
  <si>
    <t>Valid Adjustment Factor</t>
  </si>
  <si>
    <t>Input Issues</t>
  </si>
  <si>
    <t>Row Not Skipped</t>
  </si>
  <si>
    <t>W/m²</t>
  </si>
  <si>
    <t>Watts</t>
  </si>
  <si>
    <t>Floor area Sum</t>
  </si>
  <si>
    <t>Total design Sum</t>
  </si>
  <si>
    <t>Average</t>
  </si>
  <si>
    <t>Expanded Allowance</t>
  </si>
  <si>
    <t>Amount</t>
  </si>
  <si>
    <t>Two Factors Used</t>
  </si>
  <si>
    <t xml:space="preserve">Area Used </t>
  </si>
  <si>
    <t>Area Used</t>
  </si>
  <si>
    <t>Label for column C</t>
  </si>
  <si>
    <t>Dynamic range: ValidLocations Two</t>
  </si>
  <si>
    <t>Test Area</t>
  </si>
  <si>
    <t>(a) Lighting timer</t>
  </si>
  <si>
    <t>One or more inputs True</t>
  </si>
  <si>
    <t>All inputs ok</t>
  </si>
  <si>
    <t>All Valid</t>
  </si>
  <si>
    <t>All Invalid</t>
  </si>
  <si>
    <t>Lounge room</t>
  </si>
  <si>
    <t>(b) Motion detector</t>
  </si>
  <si>
    <t>Living room</t>
  </si>
  <si>
    <t>(c) Motion detector</t>
  </si>
  <si>
    <t>Balconytrue</t>
  </si>
  <si>
    <t>Corridor</t>
  </si>
  <si>
    <t>(d) Motion detector</t>
  </si>
  <si>
    <t>Laundry</t>
  </si>
  <si>
    <t>(f) Manual dimming system</t>
  </si>
  <si>
    <t>One Value Invalid</t>
  </si>
  <si>
    <t>Toilet</t>
  </si>
  <si>
    <t>(g) Programmable dimming system</t>
  </si>
  <si>
    <t>Bathroom</t>
  </si>
  <si>
    <t>(h) Dynamic dimming system</t>
  </si>
  <si>
    <t>Kitchen</t>
  </si>
  <si>
    <t>(i) Dynamic dimming system</t>
  </si>
  <si>
    <t>Verandah or balcony</t>
  </si>
  <si>
    <t>(j) Additional lumen depreciation factor</t>
  </si>
  <si>
    <t>(k) Fixed dimming</t>
  </si>
  <si>
    <t>For labels to left of Allowance boxes above</t>
  </si>
  <si>
    <t>(l) Daylight sensor and dynamic lighting</t>
  </si>
  <si>
    <t>Building zone and inputs</t>
  </si>
  <si>
    <t>Output</t>
  </si>
  <si>
    <t>Formulas</t>
  </si>
  <si>
    <t>(m) Daylight sensor and dynamic lighting</t>
  </si>
  <si>
    <t>No Building description input</t>
  </si>
  <si>
    <t>If Class 1, 2 or 4 building used</t>
  </si>
  <si>
    <t>Cell left blank</t>
  </si>
  <si>
    <t>If Verandah or balcony used</t>
  </si>
  <si>
    <t>Obsolete–No dependents</t>
  </si>
  <si>
    <t>Bld descript /  No Class</t>
  </si>
  <si>
    <t>If Class 10 building used</t>
  </si>
  <si>
    <t>Delete associated Names</t>
  </si>
  <si>
    <t>Bld descript / Class / no input</t>
  </si>
  <si>
    <t>Averages</t>
  </si>
  <si>
    <t>Building Descriptn/Classification Valid</t>
  </si>
  <si>
    <t>TRUE if two upper inputs are not blank</t>
  </si>
  <si>
    <t xml:space="preserve">Class 1 building </t>
  </si>
  <si>
    <t>Percent1</t>
  </si>
  <si>
    <t>Within a Class 2 or 4 building</t>
  </si>
  <si>
    <t>PercentBalcony</t>
  </si>
  <si>
    <t>Class 10 building</t>
  </si>
  <si>
    <t>Percent10</t>
  </si>
  <si>
    <t>Classifications</t>
  </si>
  <si>
    <t>Results in S97:T100 above display in the Allowance and Design</t>
  </si>
  <si>
    <t>Calculated Outcomes Conditional Formatting</t>
  </si>
  <si>
    <t>Average boxes at the lower right of the visible calculator form.</t>
  </si>
  <si>
    <t>Class 10a</t>
  </si>
  <si>
    <t>Allowance results are precedents for Pass/Fail tests in rows 144</t>
  </si>
  <si>
    <t>Overall design pass</t>
  </si>
  <si>
    <t>For outcomes heading text and fill colour</t>
  </si>
  <si>
    <t>to 152 below (columns I and R).</t>
  </si>
  <si>
    <t>Overall design fail</t>
  </si>
  <si>
    <t>Named Range: ResClassifications</t>
  </si>
  <si>
    <t>All inputs valid</t>
  </si>
  <si>
    <t>Comparison Precision</t>
  </si>
  <si>
    <t>PrecisionTwo</t>
  </si>
  <si>
    <t>Advisory Note for multiple use of Classifications or Verandah or Balcony</t>
  </si>
  <si>
    <t>Precedent for conditional formatting of orange fill below Advisory Message above lighting systems table</t>
  </si>
  <si>
    <t>Percentage</t>
  </si>
  <si>
    <t>Total</t>
  </si>
  <si>
    <t>top row of Allowance and Design Average reporting</t>
  </si>
  <si>
    <t>Floor Area / Total Watts of design</t>
  </si>
  <si>
    <t>(no dependents)</t>
  </si>
  <si>
    <t>Design Watts/Average Watt Allowance</t>
  </si>
  <si>
    <t>Aggregate Design Illumination power load (ADIPL) Load (Class 1, 2 and 4)</t>
  </si>
  <si>
    <t>AMIPDL &gt; ADIPL (Pass) Class 1, 2 and 4</t>
  </si>
  <si>
    <t>(precedent for tick/cross, conditional formats</t>
  </si>
  <si>
    <t>PassClass1</t>
  </si>
  <si>
    <t>and % of Allowance Used)</t>
  </si>
  <si>
    <t>Aggregate Design Illumination power load (ADIPL) Load (Verandah)</t>
  </si>
  <si>
    <t>AMIPDL &gt; ADIPL (Pass) Verandah</t>
  </si>
  <si>
    <t>(precedent for tick/cross, conditional formats and % of Allowance Used)</t>
  </si>
  <si>
    <t>PassBalcony</t>
  </si>
  <si>
    <t>Aggregate Design Illumination power load (ADIPL) Load (Class 10)</t>
  </si>
  <si>
    <t>AMIPDL &gt; ADIPL (Pass) Class 10</t>
  </si>
  <si>
    <t>PassClass10</t>
  </si>
  <si>
    <t>Aggregate Maximum Illumination power density load (AMIPDL) Allowance (Class 1, 2 and 4)</t>
  </si>
  <si>
    <t>ADIPL &gt; AMIPDL (Fail) Class 1, 2 and 4</t>
  </si>
  <si>
    <t>(precedent for Pass/Fail tests, conditional formats and % of Allowance Used)</t>
  </si>
  <si>
    <t>FailClass1</t>
  </si>
  <si>
    <t>(precedent for Lighting System Share)</t>
  </si>
  <si>
    <t>Aggregate Maximum Illumination power density load (AMIPDL) Allowance (Verandah)</t>
  </si>
  <si>
    <t>ADIPL &gt; AMIPDL (Fail) Verandah</t>
  </si>
  <si>
    <t>FailBalcony</t>
  </si>
  <si>
    <t>Aggregate Maximum Illumination power density load (AMIPDL) Allowance (Class 10)</t>
  </si>
  <si>
    <t>ADIPL &gt; AMIPDL (Fail) Class 10</t>
  </si>
  <si>
    <t>FailClass10</t>
  </si>
  <si>
    <t>Tips for using the Housing Energy Efficiency Calculator:</t>
  </si>
  <si>
    <t>Calculator version (1.0):</t>
  </si>
  <si>
    <r>
      <t xml:space="preserve">Updates to this file may be available for download from the ABCB website from time to time. The file name will include the version number. </t>
    </r>
    <r>
      <rPr>
        <b/>
        <sz val="14"/>
        <rFont val="Arial"/>
        <family val="2"/>
      </rPr>
      <t>The latest version for the relevant NCC edition should always be used.</t>
    </r>
  </si>
  <si>
    <t xml:space="preserve">The calculator has been designed to enable zooming for accessibility of reading (at 70% zoom - assuming a minimum screen resolution of 1024 x 768 pixels). </t>
  </si>
  <si>
    <t>Some users may need to adjust the screen zoom setting to see the tables. The worksheet background does not change when zoom settings are altered and also does not print.</t>
  </si>
  <si>
    <r>
      <t>Users with</t>
    </r>
    <r>
      <rPr>
        <b/>
        <sz val="14"/>
        <rFont val="Arial"/>
        <family val="2"/>
      </rPr>
      <t xml:space="preserve"> Excel 2002 (Excel XP) or later for Windows and 2011 for Mac</t>
    </r>
    <r>
      <rPr>
        <sz val="14"/>
        <rFont val="Arial"/>
        <family val="2"/>
      </rPr>
      <t xml:space="preserve"> can change the number of rows visible by using the arrow to the left of the '#" or 'ID' heading near the top left of each table. First set the number of rows preferred in the input cell immediately above the table and press Enter. Next, click the arrow beside '#" or 'ID' and select that number in the drop-down list which opens. (The number set will be the only number shown in the list.)</t>
    </r>
  </si>
  <si>
    <t>The input cell for the number of rows preferred will not accept numbers that would cause data used by calculations to be hidden. A warning message will be displayed if this is attempted.</t>
  </si>
  <si>
    <t>Adding and changing details:</t>
  </si>
  <si>
    <t>Unlocked cells on the calculator form are accessible for user input. (Other cells generally cannot be selected or edited.)</t>
  </si>
  <si>
    <t>When all input cells within a table are blank, advisory messages will appear in the cell to the right of each table asking for inputs. Press Enter or Tab after typing inputs to move to the next available cell.</t>
  </si>
  <si>
    <t>Cells coloured grey contain calculations whose results can be seen but not edited. To change results, change the user inputs.</t>
  </si>
  <si>
    <t>Details on the HOME page (including at least one floor type) and a Climate Zone must be supplied for calculator outcomes to be displayed.</t>
  </si>
  <si>
    <t>Identified issues concerning inputs are flagged in the Minimum R-Value Cells.</t>
  </si>
  <si>
    <t>Input issues in each row of the tables are identified in bold red font to the right of the row (in the minimum R Value cell).</t>
  </si>
  <si>
    <t>Missing inputs anywhere on the form are generally highlighted by error messages. Invalid inputs or those which may be contributing to outcome failures will result in an error message in the Minimum R-Value Required cell or will be highlighted by red text.</t>
  </si>
  <si>
    <t>The Help button shown on the top right of the HOME page.</t>
  </si>
  <si>
    <t>0.9:</t>
  </si>
  <si>
    <t>BETA version of calculator developed.</t>
  </si>
  <si>
    <t>13.3 External glazing version history:</t>
  </si>
  <si>
    <t>13.6 Whole-of-home calculator version history:</t>
  </si>
  <si>
    <t>13.7.6 Artificial lighting version history:</t>
  </si>
  <si>
    <t>This worksheet has been added at the request of industry for recording notes and making calculations (where desired).</t>
  </si>
  <si>
    <t>To maintain the integrity of the Calculator, this sheet is protected causing some unavoidable restrictions on the functions available.</t>
  </si>
  <si>
    <t>All cells below row 8 are accessible for user input, editing and formatting, subject to the limitations due to protection.</t>
  </si>
  <si>
    <t>There is a navigation panel located to the right of this worksheet with links back to each sheet within this calculator</t>
  </si>
  <si>
    <t>Area of Glazing Element</t>
  </si>
  <si>
    <t>Total System U-Value of each glazing element</t>
  </si>
  <si>
    <t>Total system SHGC foir each glazing element not exceeding 0.7</t>
  </si>
  <si>
    <t>Ew - Winter exposure factor for each element</t>
  </si>
  <si>
    <t>BC - Bedroom conductance factor</t>
  </si>
  <si>
    <t>OC - Orientation sector conductance factor</t>
  </si>
  <si>
    <t>Rw - Room type factor</t>
  </si>
  <si>
    <t>BSw - Bedroom solar heat gain factor</t>
  </si>
  <si>
    <t>Lw - Factor for each glazing element located on a floor level above the lower floor level</t>
  </si>
  <si>
    <t>Fw - frame factor for each glazing element</t>
  </si>
  <si>
    <t>Hw - Floor factor for each glazing element</t>
  </si>
  <si>
    <t>P/H must be determined</t>
  </si>
  <si>
    <t>Tables for 13.5.2</t>
  </si>
  <si>
    <t>Ceiling fans</t>
  </si>
  <si>
    <t>Table 13.5.2</t>
  </si>
  <si>
    <t>Minimum ceiling fan requirements in climate zones 1,2,3 and 5</t>
  </si>
  <si>
    <r>
      <t xml:space="preserve">Minimum number and diameter (mm) of ceiling fans </t>
    </r>
    <r>
      <rPr>
        <b/>
        <sz val="11"/>
        <color rgb="FFFFFFFF"/>
        <rFont val="Arial"/>
        <family val="2"/>
        <scheme val="major"/>
      </rPr>
      <t>required in a bedroom in climate zones 1, 2 and 3</t>
    </r>
  </si>
  <si>
    <r>
      <t xml:space="preserve">Minimum number and diameter (mm) of ceiling fans </t>
    </r>
    <r>
      <rPr>
        <b/>
        <sz val="11"/>
        <color rgb="FFFFFFFF"/>
        <rFont val="Arial"/>
        <family val="2"/>
        <scheme val="major"/>
      </rPr>
      <t>required in a habitable room other than a bedroom in climate zones 1, 2, 3 and 5 (NSW and Qld)</t>
    </r>
  </si>
  <si>
    <t>&lt;15</t>
  </si>
  <si>
    <t>1 x 900</t>
  </si>
  <si>
    <t>≥15&lt;20</t>
  </si>
  <si>
    <t>1 x 1200</t>
  </si>
  <si>
    <t>≥20&lt;25</t>
  </si>
  <si>
    <t>1 x 1400</t>
  </si>
  <si>
    <t>≥25&lt;30</t>
  </si>
  <si>
    <t>2 x 1200</t>
  </si>
  <si>
    <t>≥30&lt;45</t>
  </si>
  <si>
    <t>2 x 1400</t>
  </si>
  <si>
    <t>≥45&lt;50</t>
  </si>
  <si>
    <t>3 x 1200</t>
  </si>
  <si>
    <t>≥50</t>
  </si>
  <si>
    <t>3 x 1400</t>
  </si>
  <si>
    <t>QA Checks</t>
  </si>
  <si>
    <t>Manual Checks</t>
  </si>
  <si>
    <t>Legend:</t>
  </si>
  <si>
    <t>A</t>
  </si>
  <si>
    <t>the floor area factor obtained from multiplying the total floor area by the adjustment factor in Table J3D14a</t>
  </si>
  <si>
    <t>the main space conditioning and main water heater efficiency factor obtained from the ABCB Standard for Whole-of-Home Efficiency Factors</t>
  </si>
  <si>
    <t>double check this - use method used in QA before</t>
  </si>
  <si>
    <t>Ep</t>
  </si>
  <si>
    <t xml:space="preserve">the swimming pool pump energy usage </t>
  </si>
  <si>
    <t xml:space="preserve"> ✓? (some factors are wrong)</t>
  </si>
  <si>
    <t>the spa pump energy usage</t>
  </si>
  <si>
    <t>Er</t>
  </si>
  <si>
    <t>the installed capacity of photovoltaic solar power apportioned to a sole-occupancy unit of a Class 2building or Class 4 part of a building (kW)</t>
  </si>
  <si>
    <t>Ef</t>
  </si>
  <si>
    <t>the energy factor obtained from Table J3D14b</t>
  </si>
  <si>
    <t>Floor area adjustment factors for Class 2</t>
  </si>
  <si>
    <t>Energy factors for Class 2</t>
  </si>
  <si>
    <t>Net equivalent energy usage (allowance)</t>
  </si>
  <si>
    <t>Net equivalent energy usage (actual)</t>
  </si>
  <si>
    <t>Notes</t>
  </si>
  <si>
    <t>Preliminary information in housing provisions, Section 2.4: change 'at' to 'as'</t>
  </si>
  <si>
    <t>Improve screenshots</t>
  </si>
  <si>
    <t xml:space="preserve">NCC Climate Zone </t>
  </si>
  <si>
    <t>GAS HEATING TYPES</t>
  </si>
  <si>
    <t>Col 1</t>
  </si>
  <si>
    <t>Col 2</t>
  </si>
  <si>
    <t>Col 3</t>
  </si>
  <si>
    <t>Col 4</t>
  </si>
  <si>
    <t>Col 5</t>
  </si>
  <si>
    <t>Col 6</t>
  </si>
  <si>
    <t>Col 7</t>
  </si>
  <si>
    <t>Col 8</t>
  </si>
  <si>
    <t>Col 9</t>
  </si>
  <si>
    <t>Col 10</t>
  </si>
  <si>
    <t>Main Type of Heater</t>
  </si>
  <si>
    <t>Main type of Cooler</t>
  </si>
  <si>
    <t>Electric Storage (peak)</t>
  </si>
  <si>
    <t>Heat Pump (off-peak)</t>
  </si>
  <si>
    <t>Solar electric (Standard)</t>
  </si>
  <si>
    <t>Gas - Ducted</t>
  </si>
  <si>
    <t>(includes Hydronic)</t>
  </si>
  <si>
    <t>&lt; 3Stars</t>
  </si>
  <si>
    <t>&lt; 4.5Stars</t>
  </si>
  <si>
    <t>&lt; 6Stars</t>
  </si>
  <si>
    <t>≥ 6Stars</t>
  </si>
  <si>
    <t>Gas - Non Ducted</t>
  </si>
  <si>
    <t>HEAT PUMP HEATING TYPES</t>
  </si>
  <si>
    <t>Heat Pump - Ducted</t>
  </si>
  <si>
    <t>&lt; 3 Stars (&lt; 2.25)</t>
  </si>
  <si>
    <t>&lt; 4.5 Stars (&lt; 3.0)</t>
  </si>
  <si>
    <t>&lt; 6 Stars (&lt; 3.75)</t>
  </si>
  <si>
    <t>≥ 6 Stars (≥ 3.75)</t>
  </si>
  <si>
    <t>Heat Pump - Non Ducted</t>
  </si>
  <si>
    <t>OTHER HEATING TYPES</t>
  </si>
  <si>
    <t>Electric - Resistance (Panel)</t>
  </si>
  <si>
    <t xml:space="preserve">Wood Heater </t>
  </si>
  <si>
    <t>Electric - Resistance (Slab)</t>
  </si>
  <si>
    <t xml:space="preserve">Swimming Pool Pump </t>
  </si>
  <si>
    <t>Star</t>
  </si>
  <si>
    <t>MJ PV/1000L</t>
  </si>
  <si>
    <t>kW PV/1000L</t>
  </si>
  <si>
    <t>kW PV / 40,000</t>
  </si>
  <si>
    <t>Note: For Option 2 Need to select a base case (eg, 5 Stars)</t>
  </si>
  <si>
    <t>Requirement = difference between 5 stars and selected star rating</t>
  </si>
  <si>
    <t>Spa Pump</t>
  </si>
  <si>
    <t>Note: For Option 2 Need to select a base case (eg, 50% of ZNSC)</t>
  </si>
  <si>
    <t>MJ PV/100 L</t>
  </si>
  <si>
    <t>kW PV/100L</t>
  </si>
  <si>
    <t>kW PV/4000L</t>
  </si>
  <si>
    <t>Requirement = % * Reuirement for ZNSC</t>
  </si>
  <si>
    <t>Tables for 13.3.2</t>
  </si>
  <si>
    <t>External Glazing - Winter</t>
  </si>
  <si>
    <t>Table 13.3.2a</t>
  </si>
  <si>
    <t>Maximum conductance to solar heat gain ratio (Cu/Cshgc)</t>
  </si>
  <si>
    <t>5 (lightweight wall)</t>
  </si>
  <si>
    <t>5 (concrete or masonry wall)</t>
  </si>
  <si>
    <t>Table 13.3.2b</t>
  </si>
  <si>
    <t>Orientation sector winter exposure factor (Ew) - floor in direct contact with the ground: climate zone 2</t>
  </si>
  <si>
    <t>North</t>
  </si>
  <si>
    <t>North east</t>
  </si>
  <si>
    <t>East</t>
  </si>
  <si>
    <t>South east</t>
  </si>
  <si>
    <t>South</t>
  </si>
  <si>
    <t>South west</t>
  </si>
  <si>
    <t>West</t>
  </si>
  <si>
    <t>North west</t>
  </si>
  <si>
    <t>Table 13.3.2c</t>
  </si>
  <si>
    <t>Orientation sector winter exposure factor (Ew) - suspended floor: climate zone 2</t>
  </si>
  <si>
    <t>Table 13.3.2d</t>
  </si>
  <si>
    <t>Orientation sector winter exposure factor (Ew) - floor in direct contact with the ground: climate zone 3</t>
  </si>
  <si>
    <t>Table 13.3.2e</t>
  </si>
  <si>
    <t>Orientation sector winter exposure factor (Ew) - suspended floor: climate zone 3</t>
  </si>
  <si>
    <t>Table 13.3.2f</t>
  </si>
  <si>
    <t>Orientation sector winter exposure factor (Ew) - floor in direct contact with the ground: climate zone 4</t>
  </si>
  <si>
    <t>0,43</t>
  </si>
  <si>
    <t>Table 13.3.2g</t>
  </si>
  <si>
    <t>Orientation sector winter exposure factor (Ew) - suspended floor: climate zone 4</t>
  </si>
  <si>
    <t>Table 13.3.2h</t>
  </si>
  <si>
    <t>Orientation sector winter exposure factor (Ew) - floor in direct contact with the ground: climate zone 5 (lightweight wall)</t>
  </si>
  <si>
    <t>Table 13.3.2i</t>
  </si>
  <si>
    <t>Orientation sector winter exposure factor (Ew) - floor in direct contact with the ground: climate zone 5 (concrete or masonry wall)</t>
  </si>
  <si>
    <t>Table 13.3.2j</t>
  </si>
  <si>
    <t>Orientation sector winter exposure factor (Ew) - suspended floor: climate zone 5 (lightweight wall)</t>
  </si>
  <si>
    <t>Table 13.3.2k</t>
  </si>
  <si>
    <t>Orientation sector winter exposure factor (Ew) - suspended floor: climate zone 5 (concrete or masonry wall)</t>
  </si>
  <si>
    <t>Table 13.3.2l</t>
  </si>
  <si>
    <t>Orientation sector winter exposure factor (Ew) - floor in direct contact with the ground: climate zone 6</t>
  </si>
  <si>
    <t>Table 13.3.2m</t>
  </si>
  <si>
    <t>Orientation sector winter exposure factor (Ew) - suspended floor: climate zone 6</t>
  </si>
  <si>
    <t>Table 13.3.2n</t>
  </si>
  <si>
    <t>Orientation sector winter exposure factor (Ew) - floor in direct contact with the ground: climate zone 7</t>
  </si>
  <si>
    <t>Table 13.3.2o</t>
  </si>
  <si>
    <t>Orientation sector winter exposure factor (Ew) - suspended floor: climate zone 7</t>
  </si>
  <si>
    <t>North east2</t>
  </si>
  <si>
    <t>Table 13.3.2p</t>
  </si>
  <si>
    <t>Orientation sector winter exposure factor (Ew) - floor in direct contact with the ground: climate zone 8</t>
  </si>
  <si>
    <t>Table 13.3.2q</t>
  </si>
  <si>
    <t>Orientation sector winter exposure factor (Ew) - suspended floor: climate zone 8</t>
  </si>
  <si>
    <t>Table 13.3.2r</t>
  </si>
  <si>
    <t>Bedroom conductance factor (BC)</t>
  </si>
  <si>
    <t>5 (lightweight or masonry veneer wall)</t>
  </si>
  <si>
    <t>Table 13.3.2s</t>
  </si>
  <si>
    <t>Orientation sector conductance factor (OC): climate zone 2</t>
  </si>
  <si>
    <t>Table 13.3.2t</t>
  </si>
  <si>
    <t>Orientation sector conductance factor (OC): climate zone 3</t>
  </si>
  <si>
    <t>Table 13.3.2u</t>
  </si>
  <si>
    <t>Orientation sector conductance factor (OC): climate zone 4</t>
  </si>
  <si>
    <t>Table 13.3.2v</t>
  </si>
  <si>
    <t>Orientation sector conductance factor (OC): climate zone 5</t>
  </si>
  <si>
    <t>Wall construction</t>
  </si>
  <si>
    <t>Lightweight or masonry veneer</t>
  </si>
  <si>
    <t>Concrete or masonry</t>
  </si>
  <si>
    <t>Table 13.3.2w</t>
  </si>
  <si>
    <t>Orientation sector conductance factor (OC): climate zone 6</t>
  </si>
  <si>
    <t>Table 13.3.2x</t>
  </si>
  <si>
    <t>Orientation sector conductance factor (OC): climate zone 7</t>
  </si>
  <si>
    <t>Table 13.3.2y</t>
  </si>
  <si>
    <t>Orientation sector conductance factor (OC): climate zone 8</t>
  </si>
  <si>
    <t>Table 13.3.2z</t>
  </si>
  <si>
    <t>Winter solar heat gain factors: climate zone 2</t>
  </si>
  <si>
    <t>Type of factor</t>
  </si>
  <si>
    <t>Factor for a floor in direct contact with the ground</t>
  </si>
  <si>
    <t>Factor for a suspended floor</t>
  </si>
  <si>
    <t>Room factor (RW) for a bedroom and a room which is not a conditioned space</t>
  </si>
  <si>
    <r>
      <t>Bedroom solar heat gain factor (BS</t>
    </r>
    <r>
      <rPr>
        <sz val="9"/>
        <color theme="1"/>
        <rFont val="Arial"/>
        <family val="2"/>
      </rPr>
      <t>W)</t>
    </r>
  </si>
  <si>
    <t>Level factor (LW) for all floor levels above the lowest floor</t>
  </si>
  <si>
    <t>Frame factor (FW) for frames with a solar absorptance of ≤ 0.40</t>
  </si>
  <si>
    <t>Frame factor (FW) for frames with a solar absorptance of &gt; 0.40 to &lt; 0.68</t>
  </si>
  <si>
    <t>Frame factor (FW) for frames with a solar absorptance of ≥ 0.68</t>
  </si>
  <si>
    <r>
      <t>Floor factor (for tiled or vinyl covered floor) (H</t>
    </r>
    <r>
      <rPr>
        <sz val="9"/>
        <color theme="1"/>
        <rFont val="Arial"/>
        <family val="2"/>
      </rPr>
      <t>W)</t>
    </r>
  </si>
  <si>
    <t>Not applicable</t>
  </si>
  <si>
    <t>Table 13.3.2aa</t>
  </si>
  <si>
    <t>Winter solar heat gain factors: climate zone 3</t>
  </si>
  <si>
    <t>Level factor (LW) for all levels above the lowest floor</t>
  </si>
  <si>
    <t>Table 13.3.2ab</t>
  </si>
  <si>
    <t>Winter solar heat gain factors: climate zone 4</t>
  </si>
  <si>
    <t>Table 13.3.2ac</t>
  </si>
  <si>
    <t>Winter solar heat gain factors: climate zone 5 - lightweight or masonry veneer wall</t>
  </si>
  <si>
    <t>Bedroom solar heat gain factor (BSW)</t>
  </si>
  <si>
    <t>Table 13.3.2ad</t>
  </si>
  <si>
    <t>Winter solar heat gain factors: climate zone 5 - concrete or masonry wall</t>
  </si>
  <si>
    <r>
      <t>Bedroom solar heat gain factor (BS</t>
    </r>
    <r>
      <rPr>
        <sz val="11"/>
        <color rgb="FF262526"/>
        <rFont val="Arial"/>
        <family val="2"/>
        <scheme val="major"/>
      </rPr>
      <t>W)</t>
    </r>
  </si>
  <si>
    <r>
      <t>Level factor (L</t>
    </r>
    <r>
      <rPr>
        <sz val="11"/>
        <color rgb="FF262526"/>
        <rFont val="Arial"/>
        <family val="2"/>
        <scheme val="major"/>
      </rPr>
      <t>W) for all floor levels above the lowest floor</t>
    </r>
  </si>
  <si>
    <r>
      <t>Frame factor (F</t>
    </r>
    <r>
      <rPr>
        <sz val="11"/>
        <color rgb="FF262526"/>
        <rFont val="Arial"/>
        <family val="2"/>
        <scheme val="major"/>
      </rPr>
      <t>W) for frames with a solar absorptance of ≤ 0.40</t>
    </r>
  </si>
  <si>
    <r>
      <t>Frame factor (F</t>
    </r>
    <r>
      <rPr>
        <sz val="11"/>
        <color rgb="FF262526"/>
        <rFont val="Arial"/>
        <family val="2"/>
        <scheme val="major"/>
      </rPr>
      <t>W) for frames with a solar absorptance of &gt; 0.40 to &lt; 0.68</t>
    </r>
  </si>
  <si>
    <r>
      <t>Frame factor (F</t>
    </r>
    <r>
      <rPr>
        <sz val="11"/>
        <color rgb="FF262526"/>
        <rFont val="Arial"/>
        <family val="2"/>
        <scheme val="major"/>
      </rPr>
      <t>W) for frames with a solar absorptance of ≥ 0.68</t>
    </r>
  </si>
  <si>
    <r>
      <t>Floor factor (for tiled or vinyl covered floor) (H</t>
    </r>
    <r>
      <rPr>
        <sz val="11"/>
        <color rgb="FF262526"/>
        <rFont val="Arial"/>
        <family val="2"/>
        <scheme val="major"/>
      </rPr>
      <t>W)</t>
    </r>
  </si>
  <si>
    <t>Table 13.3.2ae</t>
  </si>
  <si>
    <t>Winter solar heat gain factors: climate zone 6</t>
  </si>
  <si>
    <t>Table 13.3.2af</t>
  </si>
  <si>
    <t>Winter solar heat gain factors: climate zone 7</t>
  </si>
  <si>
    <t>Table 13.3.2ag</t>
  </si>
  <si>
    <t>Winter solar heat gain factors: climate zone 8</t>
  </si>
  <si>
    <t>Room factor (RW) for a bedroom or a which is not a conditioned space</t>
  </si>
  <si>
    <r>
      <t>(H</t>
    </r>
    <r>
      <rPr>
        <sz val="11"/>
        <color rgb="FF262526"/>
        <rFont val="Arial"/>
        <family val="2"/>
        <scheme val="major"/>
      </rPr>
      <t>W)</t>
    </r>
  </si>
  <si>
    <t>Tables for 13.3.3</t>
  </si>
  <si>
    <t>External Glazing - Summer</t>
  </si>
  <si>
    <t>Table 13.3.3a</t>
  </si>
  <si>
    <t>Constant for solar heat gain coefficient (Cshgc): climate zones 1 to 7</t>
  </si>
  <si>
    <t>Ventilation opening area</t>
  </si>
  <si>
    <t>5 (concrete or brick wall)</t>
  </si>
  <si>
    <t>Table 13.3.3b</t>
  </si>
  <si>
    <t>Orientation sector summer exposure factor (Es) - floor in direct contact with the ground: climate zone 1</t>
  </si>
  <si>
    <t>Table 13.3.3c</t>
  </si>
  <si>
    <t>Orientation sector summer exposure factor (Es) - suspended floor: climate zone 1</t>
  </si>
  <si>
    <t>South East</t>
  </si>
  <si>
    <t>Table 13.3.3d</t>
  </si>
  <si>
    <t>Orientation sector summer exposure factor (Es) - floor in direct contact with the ground: climate zone 2</t>
  </si>
  <si>
    <t>Table 13.3.3e</t>
  </si>
  <si>
    <t>Orientation sector summer exposure factor (Es) - suspended floor: climate zone 2</t>
  </si>
  <si>
    <t>Table 13.3.3f</t>
  </si>
  <si>
    <t>Orientation sector summer exposure factor (Es) - floor in direct contact with the ground: climate zone 3</t>
  </si>
  <si>
    <t>Table 13.3.3g</t>
  </si>
  <si>
    <t>Orientation sector summer exposure factor (Es) - suspended floor: climate zone 3</t>
  </si>
  <si>
    <t>Table 13.3.3h</t>
  </si>
  <si>
    <t>Orientation sector summer exposure factor (Es) - floor in direct contact with the ground: climate zone 4</t>
  </si>
  <si>
    <t>Table 13.3.3i</t>
  </si>
  <si>
    <t>Orientation sector summer exposure factor (Es) - suspended floor: climate zone 4</t>
  </si>
  <si>
    <t>Table 13.3.3j</t>
  </si>
  <si>
    <t>Orientation sector summer exposure factor (Es) - floor in direct contact with the ground: climate zone 5 (lightweight or masonry veneer wall)</t>
  </si>
  <si>
    <t>Table 13.3.3k</t>
  </si>
  <si>
    <t>Orientation sector summer exposure factor (Es) - floor in direct contact with the ground: climate zone 5 (concrete or masonry wall)</t>
  </si>
  <si>
    <t>Table 13.3.3l</t>
  </si>
  <si>
    <t>Orientation sector summer exposure factor (Es) - suspended floor: climate zone 5 (lightweight or masonry veneer wall)</t>
  </si>
  <si>
    <t>Table 13.3.3m</t>
  </si>
  <si>
    <t>Orientation sector summer exposure factor (Es) - suspended floor: climate zone 5 (concrete or masonry wall)</t>
  </si>
  <si>
    <t>Table 13.3.3n</t>
  </si>
  <si>
    <t>Orientation sector summer exposure factor (Es) - floor in direct contact with the ground: climate zone 6</t>
  </si>
  <si>
    <t>Table 13.3.3o</t>
  </si>
  <si>
    <t>Orientation sector summer exposure factor (Es) - suspended floor: climate zone 6</t>
  </si>
  <si>
    <t>Table 13.3.3p</t>
  </si>
  <si>
    <t>Orientation sector summer exposure factor (Es) - floor in direct contact with the ground: climate zone 7</t>
  </si>
  <si>
    <t>Table 13.3.3q</t>
  </si>
  <si>
    <t>Orientation sector summer exposure factor (Es) - suspended floor: climate zone 7</t>
  </si>
  <si>
    <t>Table 13.3.3r</t>
  </si>
  <si>
    <t>Summer solar heat gain factors: climate zone 1</t>
  </si>
  <si>
    <r>
      <t xml:space="preserve">Room factor (RS) for a bedroom and a room which is not a </t>
    </r>
    <r>
      <rPr>
        <sz val="11"/>
        <rFont val="Arial"/>
        <family val="2"/>
        <scheme val="major"/>
      </rPr>
      <t>conditioned space</t>
    </r>
  </si>
  <si>
    <t>Level factor (LS) for all other floor levels</t>
  </si>
  <si>
    <t>Frame factor (FS) for frames with a solar absorptance of ≤ 0.40</t>
  </si>
  <si>
    <t>Frame factor (FS) for frames with a solar absorptance of &gt; 0.40 to &lt; 0.68</t>
  </si>
  <si>
    <t>Frame factor (FS) for frames with a solar absorptance of ≥ 0.68</t>
  </si>
  <si>
    <t>Floor factor (for tiled or vinyl covered floor) (HS)</t>
  </si>
  <si>
    <t>Table 13.3.3s</t>
  </si>
  <si>
    <t>Summer solar heat gain factors: climate zone 2</t>
  </si>
  <si>
    <t>Table 13.3.3t</t>
  </si>
  <si>
    <t>Summer solar heat gain factors: climate zone 3</t>
  </si>
  <si>
    <t>Frame factor (FS) for frames with a solar absorptance of &lt; 0.40 to &lt; 0.68</t>
  </si>
  <si>
    <t>Floor factor (for tiled or vinyl covered floor (HS)</t>
  </si>
  <si>
    <t>Table 13.3.3u</t>
  </si>
  <si>
    <t>Summer solar heat gain factors: climate zone 4</t>
  </si>
  <si>
    <t>Type factor</t>
  </si>
  <si>
    <t>Table 13.3.3v</t>
  </si>
  <si>
    <t>Summer solar heat gain factors: climate zone 5 (lightweight or masonry veneer wall)</t>
  </si>
  <si>
    <t>Table 13.3.3w</t>
  </si>
  <si>
    <t>Summer solar heat gain factors: climate zone 5 (concrete or masonry wall)</t>
  </si>
  <si>
    <t>Frame factor (FS) for frames with a solar absorptance of ≥ 68</t>
  </si>
  <si>
    <t>Table 13.3.3x</t>
  </si>
  <si>
    <t>Summer solar heat gain factors: climate zone 6</t>
  </si>
  <si>
    <t>Factor for suspended floor</t>
  </si>
  <si>
    <t>Table 13.3.3y</t>
  </si>
  <si>
    <t>Summer solar heat gain factors: climate zone 7</t>
  </si>
  <si>
    <t>Tables for 13.6.2</t>
  </si>
  <si>
    <t>Net equivalent energy use</t>
  </si>
  <si>
    <t>Table 13.6.2a</t>
  </si>
  <si>
    <t>Floor area adjustment factor</t>
  </si>
  <si>
    <t>Total floor area m²</t>
  </si>
  <si>
    <t>Floor area factor</t>
  </si>
  <si>
    <t>160–169</t>
  </si>
  <si>
    <t>280–289</t>
  </si>
  <si>
    <t>400–409</t>
  </si>
  <si>
    <t>50–59</t>
  </si>
  <si>
    <t>170–179</t>
  </si>
  <si>
    <t>290–299</t>
  </si>
  <si>
    <t>410–419</t>
  </si>
  <si>
    <t>60–69</t>
  </si>
  <si>
    <t>180–189</t>
  </si>
  <si>
    <t>300–309</t>
  </si>
  <si>
    <t>420–429</t>
  </si>
  <si>
    <t>70–79</t>
  </si>
  <si>
    <t>190–199</t>
  </si>
  <si>
    <t>310–319</t>
  </si>
  <si>
    <t>430–439</t>
  </si>
  <si>
    <t>80–89</t>
  </si>
  <si>
    <t>200–209</t>
  </si>
  <si>
    <t>320–329</t>
  </si>
  <si>
    <t>440–449</t>
  </si>
  <si>
    <t>90–99</t>
  </si>
  <si>
    <t>210–219</t>
  </si>
  <si>
    <t>330–339</t>
  </si>
  <si>
    <t>450–459</t>
  </si>
  <si>
    <t>100–109</t>
  </si>
  <si>
    <t>220–229</t>
  </si>
  <si>
    <t>340–349</t>
  </si>
  <si>
    <t>460–469</t>
  </si>
  <si>
    <t>110–119</t>
  </si>
  <si>
    <t>230–239</t>
  </si>
  <si>
    <t>350–359</t>
  </si>
  <si>
    <t>470–479</t>
  </si>
  <si>
    <t>120–129</t>
  </si>
  <si>
    <t>240–249</t>
  </si>
  <si>
    <t>360–369</t>
  </si>
  <si>
    <t>480–489</t>
  </si>
  <si>
    <t>130–139</t>
  </si>
  <si>
    <t>250–259</t>
  </si>
  <si>
    <t>370–379</t>
  </si>
  <si>
    <t>490–499</t>
  </si>
  <si>
    <t>140–149</t>
  </si>
  <si>
    <t>260–269</t>
  </si>
  <si>
    <t>380–389</t>
  </si>
  <si>
    <t>150–159</t>
  </si>
  <si>
    <t>270–279</t>
  </si>
  <si>
    <t>390–399</t>
  </si>
  <si>
    <t>—</t>
  </si>
  <si>
    <t>Table 13.6.2b</t>
  </si>
  <si>
    <t>Energy factor (Ef)</t>
  </si>
  <si>
    <t>Qld</t>
  </si>
  <si>
    <t>Tas</t>
  </si>
  <si>
    <t>Vic</t>
  </si>
  <si>
    <t>Table 13.6.2c</t>
  </si>
  <si>
    <t>Swimming pool pump factor (Fp) (kW/1000 litres.annum)</t>
  </si>
  <si>
    <t>1 or unrated</t>
  </si>
  <si>
    <t>Table 13.6.2d</t>
  </si>
  <si>
    <t>Spa pump factor (Fs) (kW/100 litres.annum)</t>
  </si>
  <si>
    <t>Tables for 13.7.3</t>
  </si>
  <si>
    <t>Central heating water piping</t>
  </si>
  <si>
    <t>Table 13.7.3(explanatory)</t>
  </si>
  <si>
    <t>R-Value of insulation fused for smaller diameter piping</t>
  </si>
  <si>
    <t>Insulation</t>
  </si>
  <si>
    <t>9 mm of closed cell polymer</t>
  </si>
  <si>
    <t>13 mm of closed cell polymer</t>
  </si>
  <si>
    <t>19 mm of closed cell polymer</t>
  </si>
  <si>
    <t>25 mm of closed cell polymer</t>
  </si>
  <si>
    <t>25 mm of glasswool</t>
  </si>
  <si>
    <t>Tables for 13.7.4</t>
  </si>
  <si>
    <t>Heating and cooling ductwork</t>
  </si>
  <si>
    <t>Table 13.7.4a(explanatory)</t>
  </si>
  <si>
    <t>R-Values for typical ductwork insulation materials - flexible ductwork</t>
  </si>
  <si>
    <t>Insulating material and thickness</t>
  </si>
  <si>
    <r>
      <t>45 mm glasswool (11 kg/m</t>
    </r>
    <r>
      <rPr>
        <sz val="7"/>
        <color rgb="FF262526"/>
        <rFont val="Arial"/>
        <family val="2"/>
      </rPr>
      <t>3</t>
    </r>
    <r>
      <rPr>
        <sz val="10"/>
        <color rgb="FF262526"/>
        <rFont val="Arial"/>
        <family val="2"/>
      </rPr>
      <t>)</t>
    </r>
  </si>
  <si>
    <r>
      <t>70 mm polyester (6.4 kg/m</t>
    </r>
    <r>
      <rPr>
        <sz val="7"/>
        <color rgb="FF262526"/>
        <rFont val="Arial"/>
        <family val="2"/>
      </rPr>
      <t>3</t>
    </r>
    <r>
      <rPr>
        <sz val="10"/>
        <color rgb="FF262526"/>
        <rFont val="Arial"/>
        <family val="2"/>
      </rPr>
      <t>)</t>
    </r>
  </si>
  <si>
    <r>
      <t>63 mm glasswool (11 kg/m</t>
    </r>
    <r>
      <rPr>
        <sz val="7"/>
        <color rgb="FF262526"/>
        <rFont val="Arial"/>
        <family val="2"/>
      </rPr>
      <t>3</t>
    </r>
    <r>
      <rPr>
        <sz val="10"/>
        <color rgb="FF262526"/>
        <rFont val="Arial"/>
        <family val="2"/>
      </rPr>
      <t>)</t>
    </r>
  </si>
  <si>
    <r>
      <t>90 mm polyester (8.9 kg/m</t>
    </r>
    <r>
      <rPr>
        <sz val="7"/>
        <color rgb="FF262526"/>
        <rFont val="Arial"/>
        <family val="2"/>
      </rPr>
      <t>3</t>
    </r>
    <r>
      <rPr>
        <sz val="10"/>
        <color rgb="FF262526"/>
        <rFont val="Arial"/>
        <family val="2"/>
      </rPr>
      <t>)</t>
    </r>
  </si>
  <si>
    <r>
      <t>85 mm glasswool (11 kg/m</t>
    </r>
    <r>
      <rPr>
        <sz val="7"/>
        <color rgb="FF262526"/>
        <rFont val="Arial"/>
        <family val="2"/>
      </rPr>
      <t>3</t>
    </r>
    <r>
      <rPr>
        <sz val="10"/>
        <color rgb="FF262526"/>
        <rFont val="Arial"/>
        <family val="2"/>
      </rPr>
      <t>)</t>
    </r>
  </si>
  <si>
    <t>Table 13.7.4b(explanatory)</t>
  </si>
  <si>
    <t>R-Value for typical ductwork insulation materials - sheetmetal ductwork - external insulation</t>
  </si>
  <si>
    <r>
      <t>38 mm glasswool (22 kg/m</t>
    </r>
    <r>
      <rPr>
        <sz val="7"/>
        <color rgb="FF262526"/>
        <rFont val="Arial"/>
        <family val="2"/>
      </rPr>
      <t>3</t>
    </r>
    <r>
      <rPr>
        <sz val="10"/>
        <color rgb="FF262526"/>
        <rFont val="Arial"/>
        <family val="2"/>
      </rPr>
      <t>)</t>
    </r>
  </si>
  <si>
    <r>
      <t>50 mm polyester (20 kg/m</t>
    </r>
    <r>
      <rPr>
        <sz val="7"/>
        <color rgb="FF262526"/>
        <rFont val="Arial"/>
        <family val="2"/>
      </rPr>
      <t>3</t>
    </r>
    <r>
      <rPr>
        <sz val="10"/>
        <color rgb="FF262526"/>
        <rFont val="Arial"/>
        <family val="2"/>
      </rPr>
      <t>)</t>
    </r>
  </si>
  <si>
    <r>
      <t>50 mm glasswool (22 kg/m</t>
    </r>
    <r>
      <rPr>
        <sz val="7"/>
        <color rgb="FF262526"/>
        <rFont val="Arial"/>
        <family val="2"/>
      </rPr>
      <t>3</t>
    </r>
    <r>
      <rPr>
        <sz val="10"/>
        <color rgb="FF262526"/>
        <rFont val="Arial"/>
        <family val="2"/>
      </rPr>
      <t>)</t>
    </r>
  </si>
  <si>
    <r>
      <t>75 mm polyester (20 kg/m</t>
    </r>
    <r>
      <rPr>
        <sz val="7"/>
        <color rgb="FF262526"/>
        <rFont val="Arial"/>
        <family val="2"/>
      </rPr>
      <t>3</t>
    </r>
    <r>
      <rPr>
        <sz val="10"/>
        <color rgb="FF262526"/>
        <rFont val="Arial"/>
        <family val="2"/>
      </rPr>
      <t>)</t>
    </r>
  </si>
  <si>
    <t>Table 13.7.4c(explanatory)</t>
  </si>
  <si>
    <t>R-Value for typical ductwork insulation materials - sheetmetal ductwork - internal insulation</t>
  </si>
  <si>
    <r>
      <t>38 mm glasswool (32 kg/m</t>
    </r>
    <r>
      <rPr>
        <sz val="7"/>
        <color rgb="FF262526"/>
        <rFont val="Arial"/>
        <family val="2"/>
      </rPr>
      <t>3</t>
    </r>
    <r>
      <rPr>
        <sz val="10"/>
        <color rgb="FF262526"/>
        <rFont val="Arial"/>
        <family val="2"/>
      </rPr>
      <t>)</t>
    </r>
  </si>
  <si>
    <r>
      <t>50 mm polyester (32 kg/m</t>
    </r>
    <r>
      <rPr>
        <sz val="7"/>
        <color rgb="FF262526"/>
        <rFont val="Arial"/>
        <family val="2"/>
      </rPr>
      <t>3</t>
    </r>
    <r>
      <rPr>
        <sz val="10"/>
        <color rgb="FF262526"/>
        <rFont val="Arial"/>
        <family val="2"/>
      </rPr>
      <t>)</t>
    </r>
  </si>
  <si>
    <r>
      <t>50 mm glasswool (32 kg/m</t>
    </r>
    <r>
      <rPr>
        <sz val="7"/>
        <color rgb="FF262526"/>
        <rFont val="Arial"/>
        <family val="2"/>
      </rPr>
      <t>3</t>
    </r>
    <r>
      <rPr>
        <sz val="10"/>
        <color rgb="FF262526"/>
        <rFont val="Arial"/>
        <family val="2"/>
      </rPr>
      <t>)</t>
    </r>
  </si>
  <si>
    <t>Common list for both calculators</t>
  </si>
  <si>
    <t>Blue filled area below contains 3 Named ranges used by both calculators (for ease of maintenance and updating)</t>
  </si>
  <si>
    <r>
      <t>Values 1-13 in the first column appear in Data Validation menus for corridors (</t>
    </r>
    <r>
      <rPr>
        <b/>
        <i/>
        <sz val="10"/>
        <color rgb="FF0000FF"/>
        <rFont val="Arial"/>
        <family val="2"/>
      </rPr>
      <t>ValidControlsAll</t>
    </r>
    <r>
      <rPr>
        <i/>
        <sz val="10"/>
        <color rgb="FF0000FF"/>
        <rFont val="Arial"/>
        <family val="2"/>
      </rPr>
      <t>)</t>
    </r>
  </si>
  <si>
    <r>
      <t>Values 2-13 in the first column appear in Data Validation menus for non-corridor spaces (</t>
    </r>
    <r>
      <rPr>
        <b/>
        <i/>
        <sz val="10"/>
        <color rgb="FF0000FF"/>
        <rFont val="Arial"/>
        <family val="2"/>
      </rPr>
      <t>ValidControlsPart</t>
    </r>
    <r>
      <rPr>
        <i/>
        <sz val="10"/>
        <color rgb="FF0000FF"/>
        <rFont val="Arial"/>
        <family val="2"/>
      </rPr>
      <t>)</t>
    </r>
  </si>
  <si>
    <t>ILLUMINATION POWER DENSITY ADJUSTMENT FACTOR FOR A CONTROL DEVICE (VOLUME TWO)</t>
  </si>
  <si>
    <r>
      <t>All blue filled cells form a lookup range for Adjustment Factors (</t>
    </r>
    <r>
      <rPr>
        <b/>
        <i/>
        <sz val="10"/>
        <color rgb="FF0000FF"/>
        <rFont val="Arial"/>
        <family val="2"/>
      </rPr>
      <t>Afactors</t>
    </r>
    <r>
      <rPr>
        <i/>
        <sz val="10"/>
        <color rgb="FF0000FF"/>
        <rFont val="Arial"/>
        <family val="2"/>
      </rPr>
      <t>)</t>
    </r>
  </si>
  <si>
    <t>See cell comment in Q25 about the zero for value 14.</t>
  </si>
  <si>
    <t>Item</t>
  </si>
  <si>
    <t>Illumination power density adjustment factor</t>
  </si>
  <si>
    <t>Volume Two?</t>
  </si>
  <si>
    <t>Volume One Adjustment Factors List</t>
  </si>
  <si>
    <t xml:space="preserve">Residential List </t>
  </si>
  <si>
    <t>Non-Residential List</t>
  </si>
  <si>
    <t>Volume Two Adjustment Factors List</t>
  </si>
  <si>
    <t>Control</t>
  </si>
  <si>
    <t>Set value</t>
  </si>
  <si>
    <t>Class</t>
  </si>
  <si>
    <t>Lighting timer</t>
  </si>
  <si>
    <t>(a)</t>
  </si>
  <si>
    <t>For corridor lighting</t>
  </si>
  <si>
    <t>a</t>
  </si>
  <si>
    <t>a)Motion detector</t>
  </si>
  <si>
    <t>a)Lighting timer (corridor)</t>
  </si>
  <si>
    <t>b</t>
  </si>
  <si>
    <t>b)Motion detector</t>
  </si>
  <si>
    <t>Motion detector</t>
  </si>
  <si>
    <t>(b)</t>
  </si>
  <si>
    <t>Where—</t>
  </si>
  <si>
    <t>c</t>
  </si>
  <si>
    <t>c)Motion detector</t>
  </si>
  <si>
    <t xml:space="preserve">(aa) at least 75% of the floor area of a space is controlled by one or more motion detectors; or </t>
  </si>
  <si>
    <t>d</t>
  </si>
  <si>
    <t>d)Programmable dimming system</t>
  </si>
  <si>
    <t>d)Motion detector</t>
  </si>
  <si>
    <t>(bb) an area of less than 200 m² is switched as a block by one or more detectors</t>
  </si>
  <si>
    <t>e</t>
  </si>
  <si>
    <t>e)Fixed dimming</t>
  </si>
  <si>
    <t>e)Manual dimming system</t>
  </si>
  <si>
    <t>(c)</t>
  </si>
  <si>
    <t>Where up to 6 lights are switched as a block by one or more detectors</t>
  </si>
  <si>
    <t>f</t>
  </si>
  <si>
    <t>f)Lumen depreciation dimming</t>
  </si>
  <si>
    <t>f)Programmable dimming system</t>
  </si>
  <si>
    <t>g</t>
  </si>
  <si>
    <t>g)Two stage sensor</t>
  </si>
  <si>
    <t>g)Dynamic dimming system (fluoros)</t>
  </si>
  <si>
    <t>(d)</t>
  </si>
  <si>
    <t>Where up to 2 lights are switched as a block by one or more detectors</t>
  </si>
  <si>
    <t>h</t>
  </si>
  <si>
    <t>h)Two stage sensor</t>
  </si>
  <si>
    <t>h)Dynamic dimming system (discharge)</t>
  </si>
  <si>
    <t>i</t>
  </si>
  <si>
    <t>i)Daylight sensor and dynamic lighting</t>
  </si>
  <si>
    <t>i)Additional lumen depreciation factor</t>
  </si>
  <si>
    <t>Manual dimming system (Note 1)</t>
  </si>
  <si>
    <r>
      <t>(e)</t>
    </r>
    <r>
      <rPr>
        <sz val="10"/>
        <rFont val="Arial"/>
        <family val="2"/>
      </rPr>
      <t/>
    </r>
  </si>
  <si>
    <t>Where not less than 75% of the area of a space is controlled by manually operated dimmers</t>
  </si>
  <si>
    <t>j</t>
  </si>
  <si>
    <t>j)Daylight sensor and dynamic lighting</t>
  </si>
  <si>
    <t>j)Fixed dimming</t>
  </si>
  <si>
    <t>k</t>
  </si>
  <si>
    <t>k)Daylight sensor and dynamic lighting</t>
  </si>
  <si>
    <t>Programmable dimming system (Note 2)</t>
  </si>
  <si>
    <t>(f)</t>
  </si>
  <si>
    <t>Where not less than 75% of the area of a space is controlled by programmable dimmers</t>
  </si>
  <si>
    <t>l</t>
  </si>
  <si>
    <t>l)Daylight sensor and dynamic lighting</t>
  </si>
  <si>
    <t>Dynamic dimming system (Note 3)</t>
  </si>
  <si>
    <t>(g)</t>
  </si>
  <si>
    <t>Fluorescent lights with automatic compensation for lumen depreciation</t>
  </si>
  <si>
    <t>The design lumen depreciation factor - not less than 0.9</t>
  </si>
  <si>
    <t>One row removed here to suit 2019 number of factors</t>
  </si>
  <si>
    <t>Adjustment factors for light colour (only applicable to Class 3,5-9)</t>
  </si>
  <si>
    <t>Class check list for Daylight Sensor and Dynamic Lighting</t>
  </si>
  <si>
    <t>(h)</t>
  </si>
  <si>
    <t>High pressure discharge lights with automatic compensation for lumen depreciation</t>
  </si>
  <si>
    <t>The design lumen depreciation factor - not less than 0.8</t>
  </si>
  <si>
    <t>a) CRI ≥ 90</t>
  </si>
  <si>
    <t>Class 5, 6, 7, 8, 9c, or 9a other than a ward area</t>
  </si>
  <si>
    <t>Class 3, 9c or 9a ward</t>
  </si>
  <si>
    <t>b) CCT ≤ 3500 K</t>
  </si>
  <si>
    <t>Class 5</t>
  </si>
  <si>
    <t>Class 3</t>
  </si>
  <si>
    <t>c) CCT ≥ 4500 K</t>
  </si>
  <si>
    <t>Class 6</t>
  </si>
  <si>
    <t>Class 9c</t>
  </si>
  <si>
    <r>
      <t>(i)</t>
    </r>
    <r>
      <rPr>
        <sz val="10"/>
        <rFont val="Arial"/>
        <family val="2"/>
      </rPr>
      <t/>
    </r>
  </si>
  <si>
    <t>Design lumen depreciation factor other than those mentioned above 
(Additional lumen depreciation factor)</t>
  </si>
  <si>
    <t>Value to be entered into third column of adjustment factors</t>
  </si>
  <si>
    <t>Class 7</t>
  </si>
  <si>
    <t>Class 9a</t>
  </si>
  <si>
    <t>Class 8</t>
  </si>
  <si>
    <t>Class 9b</t>
  </si>
  <si>
    <t>Fixed dimming (Note 4)</t>
  </si>
  <si>
    <t>(j)</t>
  </si>
  <si>
    <t xml:space="preserve">Where at least 75% of the floor area is controlled by fixed dimmers that reduce the overall lighting level and the power consumption of the lighting </t>
  </si>
  <si>
    <t>% of full power to which the dimmer is set divided by 0.95</t>
  </si>
  <si>
    <r>
      <t xml:space="preserve">Daylight sensor and dynamic lighting control device in accordance with Specification J6 - dimmed or stepped switching of lights adjacent </t>
    </r>
    <r>
      <rPr>
        <b/>
        <i/>
        <sz val="14"/>
        <rFont val="Arial"/>
        <family val="2"/>
      </rPr>
      <t>windows</t>
    </r>
  </si>
  <si>
    <r>
      <t>(k)</t>
    </r>
    <r>
      <rPr>
        <sz val="14"/>
        <rFont val="Arial"/>
        <family val="2"/>
      </rPr>
      <t xml:space="preserve"> </t>
    </r>
  </si>
  <si>
    <t>Lights within the space adjacent to windows other than roof lights for a distance from the window equal to the depth of the floor to window head height.</t>
  </si>
  <si>
    <t>(l)</t>
  </si>
  <si>
    <t>Lights within the space adjacent to roof lights</t>
  </si>
  <si>
    <t xml:space="preserve"> Notes:</t>
  </si>
  <si>
    <t>1.</t>
  </si>
  <si>
    <t>Manual dimming is where lights are controlled by a knob, slider or other mechanism or where there are pre-selected scenes that are manually selected.</t>
  </si>
  <si>
    <t>2.</t>
  </si>
  <si>
    <t>Programmed dimming is where pre-selected scenes or levels are automatically selected by the time of day, photoelectric cell or occupancy sensor.</t>
  </si>
  <si>
    <t>3.</t>
  </si>
  <si>
    <t>Dynamic dimming is where the lighting level is varied automatically by a photoelectric cell to either proportionally compensate for the availability of daylight or the lumen depreciation of the lamps.</t>
  </si>
  <si>
    <t>4.</t>
  </si>
  <si>
    <t>Fixed dimming is where lights are controlled to a level and that level cannot be adjusted by the user.</t>
  </si>
  <si>
    <t>5.</t>
  </si>
  <si>
    <t xml:space="preserve">The illumination power density adjustment factor is only applied to lights controlled by that item. This adjustment factor does not apply to tungsten halogen or other incandescent sources.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</si>
</sst>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43" formatCode="_-* #,##0.00_-;\-* #,##0.00_-;_-* &quot;-&quot;??_-;_-@_-"/>
    <numFmt numFmtId="164" formatCode="0.0"/>
    <numFmt numFmtId="165" formatCode="0.000"/>
    <numFmt numFmtId="166" formatCode="_-* #,##0_-;\-* #,##0_-;_-* &quot;-&quot;??_-;_-@_-"/>
    <numFmt numFmtId="167" formatCode="_-* #,##0.000_-;\-* #,##0.000_-;_-* &quot;-&quot;??_-;_-@_-"/>
    <numFmt numFmtId="168" formatCode="#,##0.00_ ;[Red]\-#,##0.00\ "/>
    <numFmt numFmtId="169" formatCode="0.00_ ;[Red]\-0.00\ "/>
    <numFmt numFmtId="170" formatCode="0.0000_ ;[Red]\-0.0000\ "/>
    <numFmt numFmtId="171" formatCode="0.000_ ;[Red]\-0.000_ ;&quot;inactive&quot;;"/>
    <numFmt numFmtId="172" formatCode="0.0000_ ;[Red]\-0.0000_ ;&quot;inactive&quot;"/>
    <numFmt numFmtId="173" formatCode="0.000_ ;[Red]\-0.000\ "/>
    <numFmt numFmtId="174" formatCode="0.000;;"/>
    <numFmt numFmtId="175" formatCode="0%;;"/>
    <numFmt numFmtId="176" formatCode="0&quot;m²&quot;;;"/>
    <numFmt numFmtId="177" formatCode="General&quot;m²&quot;"/>
    <numFmt numFmtId="178" formatCode="#,##0_ ;[Red]\-#,##0\ "/>
    <numFmt numFmtId="179" formatCode="General&quot;m²&quot;;;"/>
    <numFmt numFmtId="180" formatCode="0.0_ ;[Red]\-0.0\ ;"/>
    <numFmt numFmtId="181" formatCode="0.0&quot;m²&quot;;;"/>
    <numFmt numFmtId="182" formatCode="0.0%"/>
    <numFmt numFmtId="183" formatCode="0.00;;0"/>
    <numFmt numFmtId="184" formatCode="0_ ;[Red]\-0\ "/>
    <numFmt numFmtId="185" formatCode="0.0_ ;[Red]\-0.0\ "/>
    <numFmt numFmtId="186" formatCode="0.00;;"/>
    <numFmt numFmtId="187" formatCode="0.00\ ;;"/>
    <numFmt numFmtId="188" formatCode="0.0\ ;;"/>
    <numFmt numFmtId="189" formatCode="0%;;0"/>
    <numFmt numFmtId="190" formatCode="0%;\-0%;0"/>
    <numFmt numFmtId="191" formatCode="0.0000"/>
    <numFmt numFmtId="192" formatCode="General&quot;°&quot;"/>
    <numFmt numFmtId="193" formatCode="General\°"/>
    <numFmt numFmtId="194" formatCode="#,##0.0&quot; m²&quot;"/>
    <numFmt numFmtId="195" formatCode="#\ \W"/>
    <numFmt numFmtId="196" formatCode="#,##0.0&quot; W/m²&quot;"/>
    <numFmt numFmtId="197" formatCode="#,##0.0\ \W"/>
    <numFmt numFmtId="198" formatCode="0\ \W"/>
    <numFmt numFmtId="199" formatCode="General;;"/>
    <numFmt numFmtId="200" formatCode="#,##0.0\ &quot;W/m²&quot;"/>
    <numFmt numFmtId="201" formatCode="0.0\ &quot;W/m²&quot;"/>
    <numFmt numFmtId="202" formatCode="#,##0.00\ &quot;W/m²&quot;"/>
    <numFmt numFmtId="203" formatCode="0.00\ &quot;W/m²&quot;"/>
    <numFmt numFmtId="204" formatCode="0.000%"/>
    <numFmt numFmtId="205" formatCode="0."/>
  </numFmts>
  <fonts count="233" x14ac:knownFonts="1">
    <font>
      <sz val="11"/>
      <color theme="1"/>
      <name val="Arial"/>
      <family val="2"/>
      <scheme val="minor"/>
    </font>
    <font>
      <b/>
      <sz val="11"/>
      <color theme="1"/>
      <name val="Arial"/>
      <family val="2"/>
      <scheme val="minor"/>
    </font>
    <font>
      <sz val="11"/>
      <color theme="0"/>
      <name val="Arial"/>
      <family val="2"/>
      <scheme val="minor"/>
    </font>
    <font>
      <b/>
      <sz val="11"/>
      <color theme="0"/>
      <name val="Arial"/>
      <family val="2"/>
      <scheme val="minor"/>
    </font>
    <font>
      <b/>
      <sz val="14"/>
      <color theme="4"/>
      <name val="Arial"/>
      <family val="2"/>
      <scheme val="minor"/>
    </font>
    <font>
      <u/>
      <sz val="11"/>
      <color theme="10"/>
      <name val="Arial"/>
      <family val="2"/>
      <scheme val="minor"/>
    </font>
    <font>
      <b/>
      <sz val="11"/>
      <color theme="1"/>
      <name val="Segoe UI Light"/>
      <family val="2"/>
    </font>
    <font>
      <sz val="11"/>
      <color theme="1"/>
      <name val="Arial"/>
      <family val="2"/>
      <scheme val="major"/>
    </font>
    <font>
      <b/>
      <sz val="11"/>
      <color theme="0"/>
      <name val="Arial"/>
      <family val="2"/>
      <scheme val="major"/>
    </font>
    <font>
      <b/>
      <sz val="11"/>
      <color rgb="FFFFFFFF"/>
      <name val="Arial"/>
      <family val="2"/>
      <scheme val="major"/>
    </font>
    <font>
      <sz val="9"/>
      <color theme="1"/>
      <name val="Arial"/>
      <family val="2"/>
    </font>
    <font>
      <sz val="11"/>
      <color rgb="FF262526"/>
      <name val="Arial"/>
      <family val="2"/>
      <scheme val="major"/>
    </font>
    <font>
      <sz val="11"/>
      <name val="Arial"/>
      <family val="2"/>
      <scheme val="major"/>
    </font>
    <font>
      <sz val="7"/>
      <color rgb="FF262526"/>
      <name val="Arial"/>
      <family val="2"/>
    </font>
    <font>
      <sz val="10"/>
      <color rgb="FF262526"/>
      <name val="Arial"/>
      <family val="2"/>
    </font>
    <font>
      <sz val="10"/>
      <name val="Arial"/>
      <family val="2"/>
    </font>
    <font>
      <sz val="10"/>
      <name val="Arial"/>
      <family val="2"/>
    </font>
    <font>
      <b/>
      <sz val="18"/>
      <color theme="0"/>
      <name val="Arial"/>
      <family val="2"/>
    </font>
    <font>
      <b/>
      <sz val="16"/>
      <color theme="0"/>
      <name val="Arial"/>
      <family val="2"/>
    </font>
    <font>
      <b/>
      <sz val="8"/>
      <name val="Arial"/>
      <family val="2"/>
    </font>
    <font>
      <sz val="8"/>
      <name val="Arial"/>
      <family val="2"/>
    </font>
    <font>
      <b/>
      <sz val="14"/>
      <color theme="0"/>
      <name val="Arial"/>
      <family val="2"/>
    </font>
    <font>
      <b/>
      <sz val="9"/>
      <color indexed="81"/>
      <name val="Tahoma"/>
      <family val="2"/>
    </font>
    <font>
      <sz val="9"/>
      <color indexed="81"/>
      <name val="Tahoma"/>
      <family val="2"/>
    </font>
    <font>
      <sz val="9"/>
      <color indexed="81"/>
      <name val="Arial"/>
      <family val="2"/>
    </font>
    <font>
      <sz val="11"/>
      <name val="Arial"/>
      <family val="2"/>
      <scheme val="minor"/>
    </font>
    <font>
      <sz val="11"/>
      <color theme="1"/>
      <name val="Arial"/>
      <family val="2"/>
      <scheme val="minor"/>
    </font>
    <font>
      <sz val="8"/>
      <name val="Arial"/>
      <family val="2"/>
      <scheme val="minor"/>
    </font>
    <font>
      <sz val="11"/>
      <color theme="1"/>
      <name val="Arial"/>
      <family val="2"/>
    </font>
    <font>
      <sz val="11"/>
      <color rgb="FFFF0000"/>
      <name val="Arial"/>
      <family val="2"/>
    </font>
    <font>
      <sz val="11"/>
      <color theme="1"/>
      <name val="Calibri"/>
      <family val="2"/>
    </font>
    <font>
      <b/>
      <sz val="11"/>
      <name val="Arial"/>
      <family val="2"/>
    </font>
    <font>
      <b/>
      <sz val="11"/>
      <color theme="0"/>
      <name val="Arial"/>
      <family val="2"/>
    </font>
    <font>
      <sz val="12"/>
      <color theme="1"/>
      <name val="Arial"/>
      <family val="2"/>
    </font>
    <font>
      <b/>
      <sz val="12"/>
      <color theme="1"/>
      <name val="Arial"/>
      <family val="2"/>
    </font>
    <font>
      <u/>
      <sz val="11"/>
      <color theme="10"/>
      <name val="Arial"/>
      <family val="2"/>
    </font>
    <font>
      <vertAlign val="superscript"/>
      <sz val="12"/>
      <color theme="1"/>
      <name val="Arial"/>
      <family val="2"/>
    </font>
    <font>
      <b/>
      <sz val="28"/>
      <color rgb="FFC8CBCF"/>
      <name val="Wingdings"/>
      <charset val="2"/>
    </font>
    <font>
      <b/>
      <sz val="12"/>
      <color rgb="FFFF0000"/>
      <name val="Arial"/>
      <family val="2"/>
    </font>
    <font>
      <sz val="12"/>
      <color rgb="FFFF0000"/>
      <name val="Arial"/>
      <family val="2"/>
    </font>
    <font>
      <b/>
      <sz val="12"/>
      <color rgb="FF0070C0"/>
      <name val="Arial"/>
      <family val="2"/>
    </font>
    <font>
      <sz val="8"/>
      <color theme="1"/>
      <name val="Arial"/>
      <family val="2"/>
    </font>
    <font>
      <b/>
      <i/>
      <u/>
      <sz val="10"/>
      <color rgb="FF006600"/>
      <name val="Arial"/>
      <family val="2"/>
    </font>
    <font>
      <b/>
      <u/>
      <sz val="10"/>
      <color rgb="FF006600"/>
      <name val="Arial"/>
      <family val="2"/>
    </font>
    <font>
      <b/>
      <u/>
      <vertAlign val="subscript"/>
      <sz val="10"/>
      <color rgb="FF006600"/>
      <name val="Arial"/>
      <family val="2"/>
    </font>
    <font>
      <u/>
      <sz val="10"/>
      <color rgb="FF006600"/>
      <name val="Arial"/>
      <family val="2"/>
    </font>
    <font>
      <u/>
      <sz val="11"/>
      <color rgb="FF006600"/>
      <name val="Arial"/>
      <family val="2"/>
    </font>
    <font>
      <b/>
      <sz val="9"/>
      <color indexed="81"/>
      <name val="Arial"/>
      <family val="2"/>
    </font>
    <font>
      <sz val="14"/>
      <color theme="1"/>
      <name val="Arial"/>
      <family val="2"/>
      <scheme val="minor"/>
    </font>
    <font>
      <sz val="20"/>
      <color theme="1"/>
      <name val="Arial"/>
      <family val="2"/>
      <scheme val="minor"/>
    </font>
    <font>
      <sz val="20"/>
      <color theme="0"/>
      <name val="Arial"/>
      <family val="2"/>
      <scheme val="minor"/>
    </font>
    <font>
      <b/>
      <sz val="20"/>
      <color theme="1"/>
      <name val="Arial"/>
      <family val="2"/>
      <scheme val="minor"/>
    </font>
    <font>
      <b/>
      <sz val="11"/>
      <color rgb="FFFF0000"/>
      <name val="Arial"/>
      <family val="2"/>
      <scheme val="minor"/>
    </font>
    <font>
      <b/>
      <sz val="14"/>
      <color theme="1"/>
      <name val="Arial"/>
      <family val="2"/>
      <scheme val="minor"/>
    </font>
    <font>
      <sz val="11"/>
      <color theme="2"/>
      <name val="Arial"/>
      <family val="2"/>
      <scheme val="minor"/>
    </font>
    <font>
      <sz val="10"/>
      <name val="Arial"/>
      <family val="2"/>
    </font>
    <font>
      <sz val="20"/>
      <name val="Arial"/>
      <family val="2"/>
    </font>
    <font>
      <b/>
      <sz val="16"/>
      <name val="Arial"/>
      <family val="2"/>
    </font>
    <font>
      <b/>
      <sz val="16"/>
      <color indexed="9"/>
      <name val="Arial"/>
      <family val="2"/>
    </font>
    <font>
      <sz val="16"/>
      <color indexed="9"/>
      <name val="Arial"/>
      <family val="2"/>
    </font>
    <font>
      <sz val="10"/>
      <name val="Inter"/>
      <family val="2"/>
    </font>
    <font>
      <b/>
      <sz val="10"/>
      <name val="Inter"/>
      <family val="2"/>
    </font>
    <font>
      <b/>
      <sz val="8"/>
      <name val="Inter"/>
      <family val="2"/>
    </font>
    <font>
      <sz val="10"/>
      <color indexed="23"/>
      <name val="Inter"/>
      <family val="2"/>
    </font>
    <font>
      <i/>
      <sz val="8"/>
      <color indexed="12"/>
      <name val="Inter"/>
      <family val="2"/>
    </font>
    <font>
      <sz val="8"/>
      <color rgb="FFFF0000"/>
      <name val="Inter"/>
      <family val="2"/>
    </font>
    <font>
      <sz val="14"/>
      <name val="Arial"/>
      <family val="2"/>
    </font>
    <font>
      <b/>
      <sz val="14"/>
      <name val="Arial"/>
      <family val="2"/>
    </font>
    <font>
      <vertAlign val="subscript"/>
      <sz val="14"/>
      <name val="Arial"/>
      <family val="2"/>
    </font>
    <font>
      <sz val="8"/>
      <name val="Inter"/>
      <family val="2"/>
    </font>
    <font>
      <i/>
      <sz val="10"/>
      <color indexed="12"/>
      <name val="Inter"/>
      <family val="2"/>
    </font>
    <font>
      <b/>
      <i/>
      <sz val="14"/>
      <color indexed="9"/>
      <name val="Arial"/>
      <family val="2"/>
    </font>
    <font>
      <sz val="8"/>
      <color indexed="23"/>
      <name val="Inter"/>
      <family val="2"/>
    </font>
    <font>
      <b/>
      <i/>
      <sz val="10"/>
      <color indexed="23"/>
      <name val="Inter"/>
      <family val="2"/>
    </font>
    <font>
      <b/>
      <i/>
      <sz val="10"/>
      <name val="Inter"/>
      <family val="2"/>
    </font>
    <font>
      <b/>
      <sz val="10"/>
      <color rgb="FF0000FF"/>
      <name val="Arial"/>
      <family val="2"/>
    </font>
    <font>
      <sz val="10"/>
      <color rgb="FF0000FF"/>
      <name val="Arial"/>
      <family val="2"/>
    </font>
    <font>
      <b/>
      <i/>
      <sz val="10"/>
      <color indexed="9"/>
      <name val="Arial"/>
      <family val="2"/>
    </font>
    <font>
      <i/>
      <sz val="8"/>
      <color indexed="12"/>
      <name val="Arial"/>
      <family val="2"/>
    </font>
    <font>
      <i/>
      <sz val="10"/>
      <color indexed="12"/>
      <name val="Arial"/>
      <family val="2"/>
    </font>
    <font>
      <b/>
      <i/>
      <sz val="14"/>
      <color rgb="FFFF0000"/>
      <name val="Arial"/>
      <family val="2"/>
    </font>
    <font>
      <i/>
      <sz val="10"/>
      <name val="Inter"/>
      <family val="2"/>
    </font>
    <font>
      <b/>
      <sz val="14"/>
      <color rgb="FFFF0000"/>
      <name val="Arial"/>
      <family val="2"/>
    </font>
    <font>
      <i/>
      <sz val="14"/>
      <color indexed="53"/>
      <name val="Arial"/>
      <family val="2"/>
    </font>
    <font>
      <sz val="14"/>
      <color rgb="FFC7CBCE"/>
      <name val="Arial"/>
      <family val="2"/>
    </font>
    <font>
      <b/>
      <i/>
      <sz val="14"/>
      <color indexed="53"/>
      <name val="Arial"/>
      <family val="2"/>
    </font>
    <font>
      <b/>
      <i/>
      <sz val="10"/>
      <color indexed="53"/>
      <name val="Arial"/>
      <family val="2"/>
    </font>
    <font>
      <i/>
      <sz val="10"/>
      <name val="Arial"/>
      <family val="2"/>
    </font>
    <font>
      <sz val="8"/>
      <color rgb="FF0000FF"/>
      <name val="Arial"/>
      <family val="2"/>
    </font>
    <font>
      <b/>
      <i/>
      <sz val="14"/>
      <color rgb="FFC7CBCE"/>
      <name val="Arial"/>
      <family val="2"/>
    </font>
    <font>
      <i/>
      <sz val="8"/>
      <color indexed="23"/>
      <name val="Inter"/>
      <family val="2"/>
    </font>
    <font>
      <b/>
      <sz val="8"/>
      <color indexed="23"/>
      <name val="Inter"/>
      <family val="2"/>
    </font>
    <font>
      <b/>
      <i/>
      <sz val="10"/>
      <color rgb="FFFF0000"/>
      <name val="Inter"/>
      <family val="2"/>
    </font>
    <font>
      <b/>
      <i/>
      <sz val="14"/>
      <color indexed="17"/>
      <name val="Arial"/>
      <family val="2"/>
    </font>
    <font>
      <i/>
      <sz val="14"/>
      <name val="Arial"/>
      <family val="2"/>
    </font>
    <font>
      <b/>
      <i/>
      <sz val="10"/>
      <color indexed="10"/>
      <name val="Inter"/>
      <family val="2"/>
    </font>
    <font>
      <sz val="14"/>
      <color rgb="FFFF0000"/>
      <name val="Arial"/>
      <family val="2"/>
    </font>
    <font>
      <sz val="20"/>
      <name val="Inter"/>
      <family val="2"/>
    </font>
    <font>
      <b/>
      <i/>
      <sz val="10"/>
      <color indexed="9"/>
      <name val="Inter"/>
      <family val="2"/>
    </font>
    <font>
      <b/>
      <sz val="10"/>
      <color rgb="FFFF0000"/>
      <name val="Arial"/>
      <family val="2"/>
    </font>
    <font>
      <b/>
      <i/>
      <sz val="14"/>
      <color theme="0"/>
      <name val="Arial"/>
      <family val="2"/>
    </font>
    <font>
      <sz val="14"/>
      <color theme="0"/>
      <name val="Arial"/>
      <family val="2"/>
    </font>
    <font>
      <i/>
      <sz val="10"/>
      <color indexed="23"/>
      <name val="Inter"/>
      <family val="2"/>
    </font>
    <font>
      <b/>
      <sz val="10"/>
      <color indexed="23"/>
      <name val="Inter"/>
      <family val="2"/>
    </font>
    <font>
      <b/>
      <sz val="10"/>
      <color rgb="FFFF0000"/>
      <name val="Inter"/>
      <family val="2"/>
    </font>
    <font>
      <sz val="14"/>
      <color theme="1"/>
      <name val="Arial"/>
      <family val="2"/>
    </font>
    <font>
      <b/>
      <vertAlign val="subscript"/>
      <sz val="14"/>
      <color theme="0"/>
      <name val="Arial"/>
      <family val="2"/>
    </font>
    <font>
      <sz val="8"/>
      <color indexed="9"/>
      <name val="Inter"/>
      <family val="2"/>
    </font>
    <font>
      <i/>
      <sz val="8"/>
      <color indexed="55"/>
      <name val="Inter"/>
      <family val="2"/>
    </font>
    <font>
      <i/>
      <sz val="8"/>
      <color indexed="10"/>
      <name val="Inter"/>
      <family val="2"/>
    </font>
    <font>
      <b/>
      <sz val="8"/>
      <color indexed="10"/>
      <name val="Inter"/>
      <family val="2"/>
    </font>
    <font>
      <b/>
      <sz val="11"/>
      <color theme="0"/>
      <name val="Inter"/>
      <family val="2"/>
    </font>
    <font>
      <b/>
      <sz val="8"/>
      <color indexed="9"/>
      <name val="Inter"/>
      <family val="2"/>
    </font>
    <font>
      <sz val="14"/>
      <color indexed="9"/>
      <name val="Arial"/>
      <family val="2"/>
    </font>
    <font>
      <b/>
      <sz val="14"/>
      <color theme="1"/>
      <name val="Arial"/>
      <family val="2"/>
    </font>
    <font>
      <i/>
      <sz val="14"/>
      <color theme="1"/>
      <name val="Arial"/>
      <family val="2"/>
    </font>
    <font>
      <sz val="8"/>
      <color rgb="FF808080"/>
      <name val="Inter"/>
      <family val="2"/>
    </font>
    <font>
      <i/>
      <sz val="8"/>
      <color theme="0"/>
      <name val="Inter"/>
      <family val="2"/>
    </font>
    <font>
      <sz val="14"/>
      <name val="Inter"/>
      <family val="2"/>
    </font>
    <font>
      <sz val="14"/>
      <color indexed="9"/>
      <name val="Inter"/>
      <family val="2"/>
    </font>
    <font>
      <b/>
      <sz val="14"/>
      <name val="Inter"/>
      <family val="2"/>
    </font>
    <font>
      <b/>
      <sz val="14"/>
      <color theme="1"/>
      <name val="Inter"/>
      <family val="2"/>
    </font>
    <font>
      <i/>
      <sz val="14"/>
      <color theme="1"/>
      <name val="Inter"/>
      <family val="2"/>
    </font>
    <font>
      <sz val="14"/>
      <color theme="1"/>
      <name val="Inter"/>
      <family val="2"/>
    </font>
    <font>
      <sz val="2"/>
      <color indexed="9"/>
      <name val="Inter"/>
      <family val="2"/>
    </font>
    <font>
      <sz val="2"/>
      <color indexed="9"/>
      <name val="Arial"/>
      <family val="2"/>
    </font>
    <font>
      <sz val="10"/>
      <color indexed="23"/>
      <name val="Arial"/>
      <family val="2"/>
    </font>
    <font>
      <sz val="8"/>
      <color indexed="23"/>
      <name val="Arial"/>
      <family val="2"/>
    </font>
    <font>
      <b/>
      <sz val="12"/>
      <name val="Arial"/>
      <family val="2"/>
    </font>
    <font>
      <b/>
      <i/>
      <sz val="12"/>
      <name val="Arial"/>
      <family val="2"/>
    </font>
    <font>
      <b/>
      <sz val="72"/>
      <name val="Wingdings"/>
      <charset val="2"/>
    </font>
    <font>
      <sz val="9"/>
      <name val="Arial"/>
      <family val="2"/>
    </font>
    <font>
      <b/>
      <sz val="10"/>
      <color theme="1" tint="0.499984740745262"/>
      <name val="Inter"/>
      <family val="2"/>
    </font>
    <font>
      <b/>
      <i/>
      <sz val="8"/>
      <color indexed="17"/>
      <name val="Inter"/>
      <family val="2"/>
    </font>
    <font>
      <sz val="10"/>
      <color theme="1" tint="0.499984740745262"/>
      <name val="Inter"/>
      <family val="2"/>
    </font>
    <font>
      <b/>
      <i/>
      <sz val="8"/>
      <color indexed="10"/>
      <name val="Inter"/>
      <family val="2"/>
    </font>
    <font>
      <sz val="10"/>
      <color theme="0"/>
      <name val="Inter"/>
      <family val="2"/>
    </font>
    <font>
      <sz val="10"/>
      <color rgb="FFFF0000"/>
      <name val="Inter"/>
      <family val="2"/>
    </font>
    <font>
      <i/>
      <sz val="8"/>
      <name val="Inter"/>
      <family val="2"/>
    </font>
    <font>
      <b/>
      <i/>
      <sz val="8"/>
      <name val="Inter"/>
      <family val="2"/>
    </font>
    <font>
      <i/>
      <sz val="10"/>
      <color rgb="FFFF0000"/>
      <name val="Inter"/>
      <family val="2"/>
    </font>
    <font>
      <b/>
      <i/>
      <sz val="10"/>
      <color rgb="FF008000"/>
      <name val="Inter"/>
      <family val="2"/>
    </font>
    <font>
      <i/>
      <sz val="10"/>
      <color rgb="FF0000FF"/>
      <name val="Inter"/>
      <family val="2"/>
    </font>
    <font>
      <b/>
      <i/>
      <sz val="8"/>
      <color theme="0"/>
      <name val="Inter"/>
      <family val="2"/>
    </font>
    <font>
      <i/>
      <sz val="8"/>
      <color indexed="9"/>
      <name val="Inter"/>
      <family val="2"/>
    </font>
    <font>
      <sz val="8"/>
      <color rgb="FF0000FF"/>
      <name val="Inter"/>
      <family val="2"/>
    </font>
    <font>
      <i/>
      <sz val="10"/>
      <color indexed="9"/>
      <name val="Inter"/>
      <family val="2"/>
    </font>
    <font>
      <b/>
      <sz val="12"/>
      <color indexed="81"/>
      <name val="Arial"/>
      <family val="2"/>
    </font>
    <font>
      <sz val="12"/>
      <color indexed="81"/>
      <name val="Arial"/>
      <family val="2"/>
    </font>
    <font>
      <b/>
      <sz val="8"/>
      <color indexed="81"/>
      <name val="Tahoma"/>
      <family val="2"/>
    </font>
    <font>
      <sz val="8"/>
      <color indexed="81"/>
      <name val="Tahoma"/>
      <family val="2"/>
    </font>
    <font>
      <i/>
      <sz val="12"/>
      <color indexed="81"/>
      <name val="Arial"/>
      <family val="2"/>
    </font>
    <font>
      <b/>
      <i/>
      <sz val="12"/>
      <color indexed="81"/>
      <name val="Arial"/>
      <family val="2"/>
    </font>
    <font>
      <b/>
      <sz val="10"/>
      <color indexed="12"/>
      <name val="Arial"/>
      <family val="2"/>
    </font>
    <font>
      <b/>
      <i/>
      <sz val="10"/>
      <name val="Arial"/>
      <family val="2"/>
    </font>
    <font>
      <b/>
      <sz val="10"/>
      <name val="Arial"/>
      <family val="2"/>
    </font>
    <font>
      <vertAlign val="subscript"/>
      <sz val="10"/>
      <name val="Arial"/>
      <family val="2"/>
    </font>
    <font>
      <strike/>
      <sz val="8"/>
      <name val="Arial"/>
      <family val="2"/>
    </font>
    <font>
      <strike/>
      <sz val="10"/>
      <name val="Arial"/>
      <family val="2"/>
    </font>
    <font>
      <strike/>
      <vertAlign val="subscript"/>
      <sz val="10"/>
      <name val="Arial"/>
      <family val="2"/>
    </font>
    <font>
      <sz val="8"/>
      <color indexed="12"/>
      <name val="Arial"/>
      <family val="2"/>
    </font>
    <font>
      <i/>
      <sz val="10"/>
      <color indexed="23"/>
      <name val="Arial"/>
      <family val="2"/>
    </font>
    <font>
      <b/>
      <sz val="12"/>
      <color indexed="10"/>
      <name val="Arial"/>
      <family val="2"/>
    </font>
    <font>
      <i/>
      <sz val="10"/>
      <color indexed="10"/>
      <name val="Arial"/>
      <family val="2"/>
    </font>
    <font>
      <sz val="10"/>
      <color indexed="10"/>
      <name val="Arial"/>
      <family val="2"/>
    </font>
    <font>
      <b/>
      <sz val="10"/>
      <color indexed="10"/>
      <name val="Arial"/>
      <family val="2"/>
    </font>
    <font>
      <b/>
      <sz val="12"/>
      <color indexed="12"/>
      <name val="Arial"/>
      <family val="2"/>
    </font>
    <font>
      <sz val="10"/>
      <color indexed="12"/>
      <name val="Arial"/>
      <family val="2"/>
    </font>
    <font>
      <sz val="10"/>
      <color theme="1"/>
      <name val="Arial"/>
      <family val="2"/>
    </font>
    <font>
      <sz val="10"/>
      <color rgb="FF000000"/>
      <name val="Arial"/>
      <family val="2"/>
    </font>
    <font>
      <b/>
      <sz val="10"/>
      <color theme="0"/>
      <name val="Arial"/>
      <family val="2"/>
    </font>
    <font>
      <b/>
      <sz val="10"/>
      <color rgb="FFFFFFFF"/>
      <name val="Arial"/>
      <family val="2"/>
    </font>
    <font>
      <b/>
      <sz val="10"/>
      <color rgb="FF000000"/>
      <name val="Arial"/>
      <family val="2"/>
    </font>
    <font>
      <sz val="10"/>
      <color theme="0"/>
      <name val="Arial"/>
      <family val="2"/>
    </font>
    <font>
      <sz val="10"/>
      <color theme="1" tint="0.499984740745262"/>
      <name val="Arial"/>
      <family val="2"/>
    </font>
    <font>
      <b/>
      <sz val="10"/>
      <color theme="1" tint="0.499984740745262"/>
      <name val="Arial"/>
      <family val="2"/>
    </font>
    <font>
      <i/>
      <sz val="10"/>
      <color rgb="FF0000FF"/>
      <name val="Arial"/>
      <family val="2"/>
    </font>
    <font>
      <b/>
      <i/>
      <sz val="10"/>
      <color theme="1" tint="0.499984740745262"/>
      <name val="Arial"/>
      <family val="2"/>
    </font>
    <font>
      <sz val="10"/>
      <color rgb="FFFF0000"/>
      <name val="Arial"/>
      <family val="2"/>
    </font>
    <font>
      <sz val="6"/>
      <name val="Arial"/>
      <family val="2"/>
    </font>
    <font>
      <sz val="6"/>
      <color indexed="9"/>
      <name val="Arial"/>
      <family val="2"/>
    </font>
    <font>
      <b/>
      <i/>
      <sz val="14"/>
      <name val="Arial"/>
      <family val="2"/>
    </font>
    <font>
      <b/>
      <sz val="75"/>
      <name val="Wingdings"/>
      <charset val="2"/>
    </font>
    <font>
      <sz val="12"/>
      <name val="Arial"/>
      <family val="2"/>
    </font>
    <font>
      <b/>
      <u/>
      <sz val="10"/>
      <name val="Arial"/>
      <family val="2"/>
    </font>
    <font>
      <b/>
      <i/>
      <sz val="10"/>
      <color rgb="FF0000FF"/>
      <name val="Arial"/>
      <family val="2"/>
    </font>
    <font>
      <sz val="18"/>
      <color rgb="FFC7CBCE"/>
      <name val="Arial"/>
      <family val="2"/>
    </font>
    <font>
      <b/>
      <sz val="9"/>
      <name val="Arial"/>
      <family val="2"/>
    </font>
    <font>
      <sz val="11"/>
      <name val="Calibri"/>
      <family val="2"/>
    </font>
    <font>
      <sz val="18"/>
      <color indexed="9"/>
      <name val="Arial"/>
      <family val="2"/>
    </font>
    <font>
      <sz val="11"/>
      <color theme="0"/>
      <name val="Arial"/>
      <family val="2"/>
    </font>
    <font>
      <sz val="11"/>
      <color rgb="FF000000"/>
      <name val="Arial"/>
      <family val="2"/>
    </font>
    <font>
      <b/>
      <sz val="11"/>
      <color theme="1"/>
      <name val="Arial"/>
      <family val="2"/>
    </font>
    <font>
      <sz val="11"/>
      <name val="Arial"/>
      <family val="2"/>
    </font>
    <font>
      <b/>
      <sz val="14"/>
      <color theme="4"/>
      <name val="Arial"/>
      <family val="2"/>
    </font>
    <font>
      <b/>
      <sz val="12"/>
      <color theme="9"/>
      <name val="Arial"/>
      <family val="2"/>
    </font>
    <font>
      <b/>
      <sz val="11"/>
      <color theme="9"/>
      <name val="Arial"/>
      <family val="2"/>
    </font>
    <font>
      <i/>
      <sz val="11"/>
      <color theme="1"/>
      <name val="Arial"/>
      <family val="2"/>
    </font>
    <font>
      <b/>
      <sz val="18"/>
      <color theme="1"/>
      <name val="Arial"/>
      <family val="2"/>
    </font>
    <font>
      <i/>
      <sz val="11"/>
      <color rgb="FFFFFFFF"/>
      <name val="Arial"/>
      <family val="2"/>
    </font>
    <font>
      <sz val="11"/>
      <color rgb="FFFFFFFF"/>
      <name val="Arial"/>
      <family val="2"/>
    </font>
    <font>
      <b/>
      <i/>
      <sz val="11"/>
      <color rgb="FFFFFFFF"/>
      <name val="Arial"/>
      <family val="2"/>
    </font>
    <font>
      <b/>
      <sz val="11"/>
      <color rgb="FFFFFFFF"/>
      <name val="Arial"/>
      <family val="2"/>
    </font>
    <font>
      <b/>
      <sz val="11"/>
      <color theme="4"/>
      <name val="Arial"/>
      <family val="2"/>
    </font>
    <font>
      <sz val="9"/>
      <color rgb="FF000000"/>
      <name val="Arial"/>
      <family val="2"/>
    </font>
    <font>
      <b/>
      <sz val="14"/>
      <color theme="9"/>
      <name val="Arial"/>
      <family val="2"/>
    </font>
    <font>
      <i/>
      <sz val="12"/>
      <color theme="1"/>
      <name val="Arial"/>
      <family val="2"/>
    </font>
    <font>
      <sz val="12"/>
      <color theme="0"/>
      <name val="Arial"/>
      <family val="2"/>
    </font>
    <font>
      <u/>
      <sz val="12"/>
      <color theme="10"/>
      <name val="Arial"/>
      <family val="2"/>
    </font>
    <font>
      <b/>
      <sz val="12"/>
      <color theme="4"/>
      <name val="Arial"/>
      <family val="2"/>
    </font>
    <font>
      <i/>
      <sz val="12"/>
      <color theme="10"/>
      <name val="Arial"/>
      <family val="2"/>
    </font>
    <font>
      <i/>
      <sz val="12"/>
      <name val="Arial"/>
      <family val="2"/>
    </font>
    <font>
      <i/>
      <u/>
      <sz val="12"/>
      <color theme="10"/>
      <name val="Arial"/>
      <family val="2"/>
    </font>
    <font>
      <u/>
      <sz val="12"/>
      <color theme="4" tint="0.249977111117893"/>
      <name val="Arial"/>
      <family val="2"/>
    </font>
    <font>
      <sz val="12"/>
      <color theme="1"/>
      <name val="Arial"/>
      <family val="2"/>
      <scheme val="minor"/>
    </font>
    <font>
      <sz val="12"/>
      <color indexed="81"/>
      <name val="Arial"/>
      <family val="2"/>
      <scheme val="minor"/>
    </font>
    <font>
      <sz val="14"/>
      <color indexed="23"/>
      <name val="Arial"/>
      <family val="2"/>
    </font>
    <font>
      <sz val="12"/>
      <color indexed="23"/>
      <name val="Arial"/>
      <family val="2"/>
    </font>
    <font>
      <vertAlign val="subscript"/>
      <sz val="12"/>
      <name val="Arial"/>
      <family val="2"/>
    </font>
    <font>
      <sz val="12"/>
      <color rgb="FF002E5D"/>
      <name val="Arial"/>
      <family val="2"/>
    </font>
    <font>
      <sz val="16"/>
      <name val="Arial"/>
      <family val="2"/>
      <scheme val="minor"/>
    </font>
    <font>
      <sz val="14"/>
      <name val="Arial"/>
      <family val="2"/>
      <scheme val="major"/>
    </font>
    <font>
      <b/>
      <sz val="14"/>
      <name val="Arial"/>
      <family val="2"/>
      <scheme val="major"/>
    </font>
    <font>
      <b/>
      <sz val="18"/>
      <color theme="0"/>
      <name val="Arial"/>
      <family val="2"/>
      <scheme val="major"/>
    </font>
    <font>
      <sz val="14"/>
      <color indexed="23"/>
      <name val="Arial"/>
      <family val="2"/>
      <scheme val="major"/>
    </font>
    <font>
      <b/>
      <i/>
      <sz val="14"/>
      <color rgb="FFFF0000"/>
      <name val="Arial"/>
      <family val="2"/>
      <scheme val="major"/>
    </font>
    <font>
      <i/>
      <sz val="14"/>
      <name val="Arial"/>
      <family val="2"/>
      <scheme val="major"/>
    </font>
    <font>
      <sz val="14"/>
      <name val="Arial"/>
      <family val="2"/>
      <scheme val="major"/>
    </font>
    <font>
      <b/>
      <i/>
      <sz val="16"/>
      <name val="Arial"/>
      <family val="2"/>
    </font>
    <font>
      <b/>
      <sz val="14"/>
      <color rgb="FFFF0000"/>
      <name val="Arial"/>
      <family val="2"/>
      <scheme val="major"/>
    </font>
    <font>
      <sz val="14"/>
      <color rgb="FFFF0000"/>
      <name val="Arial"/>
      <family val="2"/>
      <scheme val="major"/>
    </font>
    <font>
      <b/>
      <sz val="14"/>
      <color theme="0"/>
      <name val="Aptos Narrow"/>
      <family val="2"/>
    </font>
    <font>
      <sz val="11"/>
      <color theme="0"/>
      <name val="Arial"/>
      <family val="2"/>
      <scheme val="major"/>
    </font>
  </fonts>
  <fills count="61">
    <fill>
      <patternFill patternType="none"/>
    </fill>
    <fill>
      <patternFill patternType="gray125"/>
    </fill>
    <fill>
      <patternFill patternType="solid">
        <fgColor theme="4"/>
        <bgColor indexed="64"/>
      </patternFill>
    </fill>
    <fill>
      <patternFill patternType="solid">
        <fgColor rgb="FF002E5D"/>
        <bgColor indexed="64"/>
      </patternFill>
    </fill>
    <fill>
      <patternFill patternType="solid">
        <fgColor theme="1"/>
        <bgColor indexed="64"/>
      </patternFill>
    </fill>
    <fill>
      <patternFill patternType="solid">
        <fgColor rgb="FFC8CBCF"/>
        <bgColor indexed="64"/>
      </patternFill>
    </fill>
    <fill>
      <patternFill patternType="solid">
        <fgColor rgb="FFFFFFCC"/>
        <bgColor indexed="64"/>
      </patternFill>
    </fill>
    <fill>
      <patternFill patternType="solid">
        <fgColor rgb="FFCAE6F6"/>
        <bgColor indexed="64"/>
      </patternFill>
    </fill>
    <fill>
      <patternFill patternType="solid">
        <fgColor theme="4" tint="0.79998168889431442"/>
        <bgColor indexed="64"/>
      </patternFill>
    </fill>
    <fill>
      <patternFill patternType="solid">
        <fgColor rgb="FFFF000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rgb="FFA5A5A5"/>
      </patternFill>
    </fill>
    <fill>
      <patternFill patternType="solid">
        <fgColor theme="5"/>
      </patternFill>
    </fill>
    <fill>
      <patternFill patternType="solid">
        <fgColor rgb="FFC7CBCE"/>
        <bgColor indexed="64"/>
      </patternFill>
    </fill>
    <fill>
      <patternFill patternType="solid">
        <fgColor indexed="22"/>
        <bgColor indexed="64"/>
      </patternFill>
    </fill>
    <fill>
      <patternFill patternType="solid">
        <fgColor rgb="FFDBD2C2"/>
        <bgColor indexed="64"/>
      </patternFill>
    </fill>
    <fill>
      <patternFill patternType="solid">
        <fgColor indexed="44"/>
        <bgColor indexed="64"/>
      </patternFill>
    </fill>
    <fill>
      <patternFill patternType="solid">
        <fgColor indexed="41"/>
        <bgColor indexed="64"/>
      </patternFill>
    </fill>
    <fill>
      <patternFill patternType="solid">
        <fgColor indexed="47"/>
        <bgColor indexed="64"/>
      </patternFill>
    </fill>
    <fill>
      <patternFill patternType="solid">
        <fgColor indexed="26"/>
        <bgColor indexed="64"/>
      </patternFill>
    </fill>
    <fill>
      <patternFill patternType="solid">
        <fgColor indexed="43"/>
        <bgColor indexed="64"/>
      </patternFill>
    </fill>
    <fill>
      <patternFill patternType="solid">
        <fgColor indexed="10"/>
        <bgColor indexed="64"/>
      </patternFill>
    </fill>
    <fill>
      <patternFill patternType="solid">
        <fgColor indexed="52"/>
        <bgColor indexed="64"/>
      </patternFill>
    </fill>
    <fill>
      <patternFill patternType="solid">
        <fgColor indexed="13"/>
        <bgColor indexed="64"/>
      </patternFill>
    </fill>
    <fill>
      <patternFill patternType="solid">
        <fgColor indexed="9"/>
        <bgColor indexed="64"/>
      </patternFill>
    </fill>
    <fill>
      <patternFill patternType="solid">
        <fgColor theme="0"/>
        <bgColor theme="0"/>
      </patternFill>
    </fill>
    <fill>
      <patternFill patternType="solid">
        <fgColor theme="0"/>
        <bgColor indexed="64"/>
      </patternFill>
    </fill>
    <fill>
      <patternFill patternType="solid">
        <fgColor rgb="FF999FA7"/>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1"/>
        <bgColor theme="1"/>
      </patternFill>
    </fill>
    <fill>
      <patternFill patternType="solid">
        <fgColor theme="0" tint="-0.14999847407452621"/>
        <bgColor theme="0" tint="-0.14999847407452621"/>
      </patternFill>
    </fill>
    <fill>
      <patternFill patternType="solid">
        <fgColor rgb="FF000000"/>
        <bgColor indexed="64"/>
      </patternFill>
    </fill>
    <fill>
      <patternFill patternType="solid">
        <fgColor rgb="FFCCCCCC"/>
        <bgColor indexed="64"/>
      </patternFill>
    </fill>
    <fill>
      <patternFill patternType="solid">
        <fgColor theme="7"/>
        <bgColor indexed="64"/>
      </patternFill>
    </fill>
    <fill>
      <patternFill patternType="solid">
        <fgColor theme="4"/>
        <bgColor theme="4"/>
      </patternFill>
    </fill>
    <fill>
      <patternFill patternType="solid">
        <fgColor theme="0" tint="-0.14999847407452621"/>
        <bgColor indexed="64"/>
      </patternFill>
    </fill>
    <fill>
      <patternFill patternType="solid">
        <fgColor indexed="55"/>
        <bgColor indexed="64"/>
      </patternFill>
    </fill>
    <fill>
      <patternFill patternType="solid">
        <fgColor rgb="FFA78E64"/>
        <bgColor indexed="64"/>
      </patternFill>
    </fill>
    <fill>
      <patternFill patternType="solid">
        <fgColor rgb="FF720205"/>
        <bgColor indexed="64"/>
      </patternFill>
    </fill>
    <fill>
      <patternFill patternType="solid">
        <fgColor rgb="FFC08F81"/>
        <bgColor indexed="64"/>
      </patternFill>
    </fill>
    <fill>
      <patternFill patternType="solid">
        <fgColor indexed="23"/>
        <bgColor indexed="64"/>
      </patternFill>
    </fill>
    <fill>
      <patternFill patternType="darkUp">
        <fgColor rgb="FFDBD2C2"/>
        <bgColor theme="0"/>
      </patternFill>
    </fill>
    <fill>
      <patternFill patternType="solid">
        <fgColor rgb="FFFF6600"/>
        <bgColor indexed="64"/>
      </patternFill>
    </fill>
    <fill>
      <patternFill patternType="solid">
        <fgColor indexed="53"/>
        <bgColor indexed="64"/>
      </patternFill>
    </fill>
    <fill>
      <patternFill patternType="solid">
        <fgColor rgb="FFC0C0C0"/>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1" tint="0.499984740745262"/>
        <bgColor indexed="64"/>
      </patternFill>
    </fill>
    <fill>
      <patternFill patternType="lightUp">
        <fgColor theme="1"/>
      </patternFill>
    </fill>
    <fill>
      <patternFill patternType="solid">
        <fgColor theme="4"/>
        <bgColor indexed="42"/>
      </patternFill>
    </fill>
    <fill>
      <patternFill patternType="solid">
        <fgColor theme="4" tint="0.749992370372631"/>
        <bgColor indexed="64"/>
      </patternFill>
    </fill>
    <fill>
      <patternFill patternType="solid">
        <fgColor theme="4" tint="0.89999084444715716"/>
        <bgColor indexed="64"/>
      </patternFill>
    </fill>
    <fill>
      <patternFill patternType="darkUp">
        <fgColor rgb="FFDBD2C2"/>
        <bgColor rgb="FFFFFFCC"/>
      </patternFill>
    </fill>
    <fill>
      <patternFill patternType="solid">
        <fgColor theme="0"/>
        <bgColor rgb="FF000000"/>
      </patternFill>
    </fill>
    <fill>
      <patternFill patternType="solid">
        <fgColor rgb="FFD9D9D9"/>
        <bgColor indexed="64"/>
      </patternFill>
    </fill>
  </fills>
  <borders count="250">
    <border>
      <left/>
      <right/>
      <top/>
      <bottom/>
      <diagonal/>
    </border>
    <border>
      <left style="thin">
        <color theme="1"/>
      </left>
      <right style="thin">
        <color theme="1"/>
      </right>
      <top style="thin">
        <color theme="1"/>
      </top>
      <bottom/>
      <diagonal/>
    </border>
    <border>
      <left style="thin">
        <color indexed="64"/>
      </left>
      <right style="thin">
        <color indexed="64"/>
      </right>
      <top/>
      <bottom style="thin">
        <color indexed="64"/>
      </bottom>
      <diagonal/>
    </border>
    <border>
      <left/>
      <right/>
      <top/>
      <bottom style="thin">
        <color indexed="64"/>
      </bottom>
      <diagonal/>
    </border>
    <border>
      <left style="medium">
        <color indexed="64"/>
      </left>
      <right/>
      <top/>
      <bottom style="thin">
        <color indexed="64"/>
      </bottom>
      <diagonal/>
    </border>
    <border>
      <left/>
      <right style="thin">
        <color indexed="64"/>
      </right>
      <top/>
      <bottom/>
      <diagonal/>
    </border>
    <border>
      <left style="medium">
        <color indexed="64"/>
      </left>
      <right/>
      <top style="thin">
        <color indexed="64"/>
      </top>
      <bottom style="thin">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thin">
        <color rgb="FFC8CBCF"/>
      </right>
      <top style="thin">
        <color rgb="FFC8CBCF"/>
      </top>
      <bottom/>
      <diagonal/>
    </border>
    <border>
      <left style="thin">
        <color indexed="64"/>
      </left>
      <right style="thin">
        <color rgb="FFC8CBCF"/>
      </right>
      <top/>
      <bottom style="thin">
        <color rgb="FFC8CBCF"/>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thick">
        <color indexed="64"/>
      </left>
      <right style="medium">
        <color indexed="64"/>
      </right>
      <top style="thick">
        <color indexed="64"/>
      </top>
      <bottom style="medium">
        <color indexed="64"/>
      </bottom>
      <diagonal/>
    </border>
    <border>
      <left/>
      <right/>
      <top style="thick">
        <color indexed="64"/>
      </top>
      <bottom style="medium">
        <color indexed="64"/>
      </bottom>
      <diagonal/>
    </border>
    <border>
      <left style="thin">
        <color indexed="64"/>
      </left>
      <right style="thin">
        <color indexed="64"/>
      </right>
      <top/>
      <bottom/>
      <diagonal/>
    </border>
    <border>
      <left style="thick">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ck">
        <color indexed="64"/>
      </left>
      <right style="medium">
        <color indexed="64"/>
      </right>
      <top/>
      <bottom style="thick">
        <color indexed="64"/>
      </bottom>
      <diagonal/>
    </border>
    <border>
      <left/>
      <right/>
      <top/>
      <bottom style="thick">
        <color indexed="64"/>
      </bottom>
      <diagonal/>
    </border>
    <border>
      <left style="medium">
        <color indexed="64"/>
      </left>
      <right style="thin">
        <color indexed="64"/>
      </right>
      <top style="thin">
        <color indexed="64"/>
      </top>
      <bottom style="medium">
        <color indexed="64"/>
      </bottom>
      <diagonal/>
    </border>
    <border>
      <left/>
      <right style="medium">
        <color indexed="64"/>
      </right>
      <top/>
      <bottom style="thick">
        <color indexed="64"/>
      </bottom>
      <diagonal/>
    </border>
    <border>
      <left/>
      <right style="thick">
        <color indexed="64"/>
      </right>
      <top/>
      <bottom style="thick">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right style="thin">
        <color indexed="64"/>
      </right>
      <top style="thin">
        <color indexed="64"/>
      </top>
      <bottom style="medium">
        <color indexed="64"/>
      </bottom>
      <diagonal/>
    </border>
    <border>
      <left style="medium">
        <color rgb="FFFF0000"/>
      </left>
      <right style="medium">
        <color rgb="FFFF0000"/>
      </right>
      <top style="medium">
        <color rgb="FFFF0000"/>
      </top>
      <bottom style="medium">
        <color rgb="FFFF0000"/>
      </bottom>
      <diagonal/>
    </border>
    <border>
      <left style="double">
        <color rgb="FF3F3F3F"/>
      </left>
      <right style="double">
        <color rgb="FF3F3F3F"/>
      </right>
      <top style="double">
        <color rgb="FF3F3F3F"/>
      </top>
      <bottom style="double">
        <color rgb="FF3F3F3F"/>
      </bottom>
      <diagonal/>
    </border>
    <border>
      <left/>
      <right/>
      <top/>
      <bottom style="thin">
        <color indexed="55"/>
      </bottom>
      <diagonal/>
    </border>
    <border>
      <left/>
      <right/>
      <top/>
      <bottom style="thin">
        <color indexed="9"/>
      </bottom>
      <diagonal/>
    </border>
    <border>
      <left style="medium">
        <color rgb="FF969696"/>
      </left>
      <right style="medium">
        <color rgb="FF969696"/>
      </right>
      <top style="medium">
        <color rgb="FF969696"/>
      </top>
      <bottom style="medium">
        <color rgb="FF969696"/>
      </bottom>
      <diagonal/>
    </border>
    <border>
      <left style="medium">
        <color indexed="55"/>
      </left>
      <right style="medium">
        <color indexed="55"/>
      </right>
      <top/>
      <bottom/>
      <diagonal/>
    </border>
    <border>
      <left/>
      <right/>
      <top style="thin">
        <color rgb="FF969696"/>
      </top>
      <bottom style="thin">
        <color rgb="FF969696"/>
      </bottom>
      <diagonal/>
    </border>
    <border>
      <left/>
      <right style="thin">
        <color indexed="64"/>
      </right>
      <top style="thin">
        <color rgb="FF969696"/>
      </top>
      <bottom style="thin">
        <color rgb="FF969696"/>
      </bottom>
      <diagonal/>
    </border>
    <border>
      <left style="thin">
        <color indexed="64"/>
      </left>
      <right style="thin">
        <color indexed="64"/>
      </right>
      <top/>
      <bottom style="thin">
        <color rgb="FF969696"/>
      </bottom>
      <diagonal/>
    </border>
    <border>
      <left/>
      <right style="thin">
        <color indexed="55"/>
      </right>
      <top/>
      <bottom style="thin">
        <color rgb="FF969696"/>
      </bottom>
      <diagonal/>
    </border>
    <border>
      <left style="thin">
        <color indexed="55"/>
      </left>
      <right style="thin">
        <color indexed="55"/>
      </right>
      <top/>
      <bottom style="thin">
        <color rgb="FF969696"/>
      </bottom>
      <diagonal/>
    </border>
    <border>
      <left style="thin">
        <color indexed="64"/>
      </left>
      <right style="thin">
        <color indexed="55"/>
      </right>
      <top/>
      <bottom style="thin">
        <color rgb="FF969696"/>
      </bottom>
      <diagonal/>
    </border>
    <border>
      <left style="thin">
        <color indexed="55"/>
      </left>
      <right style="thin">
        <color indexed="64"/>
      </right>
      <top/>
      <bottom style="thin">
        <color rgb="FF969696"/>
      </bottom>
      <diagonal/>
    </border>
    <border>
      <left/>
      <right style="thin">
        <color indexed="64"/>
      </right>
      <top/>
      <bottom style="thin">
        <color rgb="FF969696"/>
      </bottom>
      <diagonal/>
    </border>
    <border>
      <left style="thin">
        <color indexed="55"/>
      </left>
      <right style="medium">
        <color indexed="64"/>
      </right>
      <top/>
      <bottom style="thin">
        <color rgb="FF969696"/>
      </bottom>
      <diagonal/>
    </border>
    <border>
      <left style="thin">
        <color indexed="9"/>
      </left>
      <right style="thin">
        <color indexed="9"/>
      </right>
      <top/>
      <bottom style="thin">
        <color indexed="9"/>
      </bottom>
      <diagonal/>
    </border>
    <border>
      <left style="medium">
        <color indexed="9"/>
      </left>
      <right style="thin">
        <color indexed="9"/>
      </right>
      <top/>
      <bottom style="thin">
        <color indexed="9"/>
      </bottom>
      <diagonal/>
    </border>
    <border>
      <left style="thin">
        <color indexed="9"/>
      </left>
      <right style="medium">
        <color indexed="9"/>
      </right>
      <top/>
      <bottom style="thin">
        <color indexed="9"/>
      </bottom>
      <diagonal/>
    </border>
    <border>
      <left style="thin">
        <color indexed="64"/>
      </left>
      <right style="thin">
        <color indexed="55"/>
      </right>
      <top style="thin">
        <color rgb="FF969696"/>
      </top>
      <bottom style="thin">
        <color rgb="FF969696"/>
      </bottom>
      <diagonal/>
    </border>
    <border>
      <left style="thin">
        <color indexed="55"/>
      </left>
      <right style="thin">
        <color indexed="64"/>
      </right>
      <top style="thin">
        <color rgb="FF969696"/>
      </top>
      <bottom style="thin">
        <color rgb="FF969696"/>
      </bottom>
      <diagonal/>
    </border>
    <border>
      <left style="thin">
        <color indexed="64"/>
      </left>
      <right style="thin">
        <color indexed="64"/>
      </right>
      <top style="thin">
        <color rgb="FF969696"/>
      </top>
      <bottom style="thin">
        <color rgb="FF969696"/>
      </bottom>
      <diagonal/>
    </border>
    <border>
      <left style="thin">
        <color indexed="55"/>
      </left>
      <right style="medium">
        <color indexed="64"/>
      </right>
      <top style="thin">
        <color rgb="FF969696"/>
      </top>
      <bottom style="thin">
        <color rgb="FF969696"/>
      </bottom>
      <diagonal/>
    </border>
    <border>
      <left style="thin">
        <color indexed="55"/>
      </left>
      <right/>
      <top/>
      <bottom style="thin">
        <color rgb="FF969696"/>
      </bottom>
      <diagonal/>
    </border>
    <border>
      <left style="thin">
        <color theme="1"/>
      </left>
      <right style="thin">
        <color indexed="55"/>
      </right>
      <top/>
      <bottom style="thin">
        <color indexed="55"/>
      </bottom>
      <diagonal/>
    </border>
    <border>
      <left style="thin">
        <color indexed="55"/>
      </left>
      <right style="thin">
        <color indexed="55"/>
      </right>
      <top/>
      <bottom style="thin">
        <color indexed="55"/>
      </bottom>
      <diagonal/>
    </border>
    <border>
      <left style="thin">
        <color indexed="55"/>
      </left>
      <right style="thin">
        <color indexed="64"/>
      </right>
      <top/>
      <bottom style="thin">
        <color indexed="55"/>
      </bottom>
      <diagonal/>
    </border>
    <border>
      <left style="thin">
        <color indexed="55"/>
      </left>
      <right/>
      <top style="thin">
        <color rgb="FF969696"/>
      </top>
      <bottom style="thin">
        <color rgb="FF969696"/>
      </bottom>
      <diagonal/>
    </border>
    <border>
      <left/>
      <right style="thin">
        <color indexed="55"/>
      </right>
      <top style="thin">
        <color rgb="FF969696"/>
      </top>
      <bottom style="thin">
        <color rgb="FF969696"/>
      </bottom>
      <diagonal/>
    </border>
    <border>
      <left style="thin">
        <color indexed="55"/>
      </left>
      <right style="thin">
        <color indexed="55"/>
      </right>
      <top style="thin">
        <color rgb="FF969696"/>
      </top>
      <bottom style="thin">
        <color rgb="FF969696"/>
      </bottom>
      <diagonal/>
    </border>
    <border>
      <left/>
      <right/>
      <top style="thin">
        <color rgb="FF969696"/>
      </top>
      <bottom/>
      <diagonal/>
    </border>
    <border>
      <left/>
      <right style="thin">
        <color indexed="64"/>
      </right>
      <top style="thin">
        <color rgb="FF969696"/>
      </top>
      <bottom/>
      <diagonal/>
    </border>
    <border>
      <left style="thin">
        <color indexed="64"/>
      </left>
      <right style="thin">
        <color indexed="64"/>
      </right>
      <top style="thin">
        <color rgb="FF969696"/>
      </top>
      <bottom/>
      <diagonal/>
    </border>
    <border>
      <left/>
      <right style="thin">
        <color indexed="55"/>
      </right>
      <top style="thin">
        <color rgb="FF969696"/>
      </top>
      <bottom/>
      <diagonal/>
    </border>
    <border>
      <left style="thin">
        <color indexed="55"/>
      </left>
      <right style="thin">
        <color indexed="55"/>
      </right>
      <top style="thin">
        <color rgb="FF969696"/>
      </top>
      <bottom/>
      <diagonal/>
    </border>
    <border>
      <left style="thin">
        <color indexed="55"/>
      </left>
      <right/>
      <top style="thin">
        <color rgb="FF969696"/>
      </top>
      <bottom/>
      <diagonal/>
    </border>
    <border>
      <left style="thin">
        <color indexed="64"/>
      </left>
      <right style="thin">
        <color indexed="55"/>
      </right>
      <top style="thin">
        <color rgb="FF969696"/>
      </top>
      <bottom/>
      <diagonal/>
    </border>
    <border>
      <left style="thin">
        <color indexed="55"/>
      </left>
      <right style="thin">
        <color indexed="64"/>
      </right>
      <top style="thin">
        <color rgb="FF969696"/>
      </top>
      <bottom/>
      <diagonal/>
    </border>
    <border>
      <left style="thin">
        <color indexed="64"/>
      </left>
      <right style="thin">
        <color indexed="55"/>
      </right>
      <top/>
      <bottom/>
      <diagonal/>
    </border>
    <border>
      <left style="thin">
        <color indexed="55"/>
      </left>
      <right style="medium">
        <color indexed="64"/>
      </right>
      <top style="thin">
        <color rgb="FF969696"/>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55"/>
      </right>
      <top/>
      <bottom/>
      <diagonal/>
    </border>
    <border>
      <left/>
      <right style="thin">
        <color indexed="55"/>
      </right>
      <top/>
      <bottom style="thin">
        <color indexed="55"/>
      </bottom>
      <diagonal/>
    </border>
    <border>
      <left style="thin">
        <color indexed="64"/>
      </left>
      <right style="thin">
        <color indexed="55"/>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top style="thin">
        <color theme="1"/>
      </top>
      <bottom style="thin">
        <color theme="1"/>
      </bottom>
      <diagonal/>
    </border>
    <border>
      <left style="thin">
        <color theme="1"/>
      </left>
      <right style="thin">
        <color theme="1"/>
      </right>
      <top style="thin">
        <color theme="1"/>
      </top>
      <bottom style="thin">
        <color theme="1"/>
      </bottom>
      <diagonal/>
    </border>
    <border>
      <left style="medium">
        <color rgb="FF000000"/>
      </left>
      <right style="medium">
        <color rgb="FF000000"/>
      </right>
      <top style="medium">
        <color rgb="FF000000"/>
      </top>
      <bottom style="medium">
        <color rgb="FF000000"/>
      </bottom>
      <diagonal/>
    </border>
    <border>
      <left style="medium">
        <color rgb="FF666666"/>
      </left>
      <right style="medium">
        <color rgb="FF666666"/>
      </right>
      <top/>
      <bottom style="medium">
        <color rgb="FF666666"/>
      </bottom>
      <diagonal/>
    </border>
    <border>
      <left style="thin">
        <color theme="4"/>
      </left>
      <right style="thin">
        <color theme="4"/>
      </right>
      <top style="thin">
        <color theme="4"/>
      </top>
      <bottom/>
      <diagonal/>
    </border>
    <border>
      <left style="thin">
        <color theme="4"/>
      </left>
      <right/>
      <top style="thin">
        <color theme="4"/>
      </top>
      <bottom/>
      <diagonal/>
    </border>
    <border>
      <left/>
      <right/>
      <top style="thin">
        <color theme="4"/>
      </top>
      <bottom/>
      <diagonal/>
    </border>
    <border>
      <left style="thin">
        <color theme="4"/>
      </left>
      <right style="thin">
        <color theme="4"/>
      </right>
      <top style="thin">
        <color theme="4"/>
      </top>
      <bottom style="thin">
        <color indexed="64"/>
      </bottom>
      <diagonal/>
    </border>
    <border>
      <left style="dashed">
        <color indexed="64"/>
      </left>
      <right style="dashed">
        <color indexed="64"/>
      </right>
      <top style="dashed">
        <color indexed="64"/>
      </top>
      <bottom style="dashed">
        <color indexed="64"/>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thin">
        <color auto="1"/>
      </right>
      <top/>
      <bottom/>
      <diagonal/>
    </border>
    <border>
      <left style="thin">
        <color indexed="22"/>
      </left>
      <right style="thin">
        <color indexed="22"/>
      </right>
      <top/>
      <bottom/>
      <diagonal/>
    </border>
    <border>
      <left style="medium">
        <color auto="1"/>
      </left>
      <right style="medium">
        <color auto="1"/>
      </right>
      <top style="medium">
        <color auto="1"/>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1"/>
      </left>
      <right/>
      <top/>
      <bottom/>
      <diagonal/>
    </border>
    <border>
      <left style="thin">
        <color theme="4"/>
      </left>
      <right/>
      <top/>
      <bottom/>
      <diagonal/>
    </border>
    <border>
      <left/>
      <right style="thin">
        <color theme="4"/>
      </right>
      <top/>
      <bottom/>
      <diagonal/>
    </border>
    <border>
      <left/>
      <right style="thin">
        <color theme="1"/>
      </right>
      <top/>
      <bottom/>
      <diagonal/>
    </border>
    <border>
      <left style="thin">
        <color theme="1"/>
      </left>
      <right style="thin">
        <color theme="1"/>
      </right>
      <top/>
      <bottom/>
      <diagonal/>
    </border>
    <border>
      <left style="thin">
        <color auto="1"/>
      </left>
      <right/>
      <top style="thin">
        <color theme="4"/>
      </top>
      <bottom/>
      <diagonal/>
    </border>
    <border>
      <left/>
      <right style="thin">
        <color theme="4"/>
      </right>
      <top style="thin">
        <color theme="4"/>
      </top>
      <bottom/>
      <diagonal/>
    </border>
    <border>
      <left/>
      <right style="thin">
        <color theme="4"/>
      </right>
      <top style="thin">
        <color theme="4"/>
      </top>
      <bottom style="thin">
        <color theme="4"/>
      </bottom>
      <diagonal/>
    </border>
    <border>
      <left/>
      <right/>
      <top style="thin">
        <color theme="4"/>
      </top>
      <bottom style="thin">
        <color theme="4"/>
      </bottom>
      <diagonal/>
    </border>
    <border>
      <left style="thin">
        <color indexed="64"/>
      </left>
      <right/>
      <top/>
      <bottom/>
      <diagonal/>
    </border>
    <border>
      <left style="thin">
        <color auto="1"/>
      </left>
      <right/>
      <top style="thin">
        <color theme="4"/>
      </top>
      <bottom style="thin">
        <color auto="1"/>
      </bottom>
      <diagonal/>
    </border>
    <border>
      <left style="thin">
        <color indexed="64"/>
      </left>
      <right style="thin">
        <color auto="1"/>
      </right>
      <top/>
      <bottom/>
      <diagonal/>
    </border>
    <border>
      <left/>
      <right/>
      <top style="medium">
        <color indexed="64"/>
      </top>
      <bottom/>
      <diagonal/>
    </border>
    <border>
      <left/>
      <right style="thin">
        <color auto="1"/>
      </right>
      <top style="thin">
        <color auto="1"/>
      </top>
      <bottom/>
      <diagonal/>
    </border>
    <border>
      <left/>
      <right/>
      <top style="thin">
        <color auto="1"/>
      </top>
      <bottom/>
      <diagonal/>
    </border>
    <border>
      <left style="medium">
        <color indexed="55"/>
      </left>
      <right/>
      <top style="medium">
        <color indexed="55"/>
      </top>
      <bottom style="medium">
        <color indexed="55"/>
      </bottom>
      <diagonal/>
    </border>
    <border>
      <left/>
      <right/>
      <top style="medium">
        <color indexed="55"/>
      </top>
      <bottom style="medium">
        <color indexed="55"/>
      </bottom>
      <diagonal/>
    </border>
    <border>
      <left/>
      <right style="medium">
        <color indexed="55"/>
      </right>
      <top style="medium">
        <color indexed="55"/>
      </top>
      <bottom style="medium">
        <color indexed="55"/>
      </bottom>
      <diagonal/>
    </border>
    <border>
      <left style="medium">
        <color indexed="55"/>
      </left>
      <right style="medium">
        <color indexed="55"/>
      </right>
      <top style="medium">
        <color indexed="55"/>
      </top>
      <bottom style="medium">
        <color indexed="55"/>
      </bottom>
      <diagonal/>
    </border>
    <border>
      <left/>
      <right/>
      <top/>
      <bottom style="medium">
        <color indexed="9"/>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9"/>
      </left>
      <right style="thin">
        <color indexed="9"/>
      </right>
      <top/>
      <bottom style="medium">
        <color indexed="9"/>
      </bottom>
      <diagonal/>
    </border>
    <border>
      <left style="thin">
        <color indexed="9"/>
      </left>
      <right style="thin">
        <color indexed="9"/>
      </right>
      <top/>
      <bottom style="medium">
        <color indexed="22"/>
      </bottom>
      <diagonal/>
    </border>
    <border>
      <left style="medium">
        <color indexed="9"/>
      </left>
      <right style="thin">
        <color indexed="9"/>
      </right>
      <top style="medium">
        <color indexed="9"/>
      </top>
      <bottom style="medium">
        <color indexed="9"/>
      </bottom>
      <diagonal/>
    </border>
    <border>
      <left style="thin">
        <color indexed="9"/>
      </left>
      <right style="thin">
        <color indexed="9"/>
      </right>
      <top style="medium">
        <color indexed="9"/>
      </top>
      <bottom style="medium">
        <color indexed="9"/>
      </bottom>
      <diagonal/>
    </border>
    <border>
      <left style="thin">
        <color indexed="9"/>
      </left>
      <right style="medium">
        <color indexed="9"/>
      </right>
      <top style="medium">
        <color indexed="9"/>
      </top>
      <bottom style="medium">
        <color indexed="9"/>
      </bottom>
      <diagonal/>
    </border>
    <border>
      <left style="thin">
        <color indexed="9"/>
      </left>
      <right style="thin">
        <color indexed="9"/>
      </right>
      <top style="medium">
        <color indexed="9"/>
      </top>
      <bottom style="thin">
        <color indexed="9"/>
      </bottom>
      <diagonal/>
    </border>
    <border>
      <left/>
      <right/>
      <top style="medium">
        <color indexed="9"/>
      </top>
      <bottom/>
      <diagonal/>
    </border>
    <border>
      <left style="thin">
        <color indexed="55"/>
      </left>
      <right style="thin">
        <color indexed="64"/>
      </right>
      <top/>
      <bottom/>
      <diagonal/>
    </border>
    <border>
      <left style="thin">
        <color indexed="55"/>
      </left>
      <right style="thin">
        <color indexed="55"/>
      </right>
      <top/>
      <bottom/>
      <diagonal/>
    </border>
    <border>
      <left/>
      <right style="thick">
        <color indexed="64"/>
      </right>
      <top/>
      <bottom style="medium">
        <color indexed="64"/>
      </bottom>
      <diagonal/>
    </border>
    <border>
      <left style="thin">
        <color indexed="64"/>
      </left>
      <right style="thin">
        <color auto="1"/>
      </right>
      <top/>
      <bottom style="thin">
        <color auto="1"/>
      </bottom>
      <diagonal/>
    </border>
    <border>
      <left/>
      <right/>
      <top style="thin">
        <color theme="4"/>
      </top>
      <bottom style="thin">
        <color auto="1"/>
      </bottom>
      <diagonal/>
    </border>
    <border>
      <left style="thin">
        <color indexed="64"/>
      </left>
      <right style="thin">
        <color auto="1"/>
      </right>
      <top style="thin">
        <color theme="4"/>
      </top>
      <bottom style="thin">
        <color auto="1"/>
      </bottom>
      <diagonal/>
    </border>
    <border>
      <left style="thin">
        <color indexed="23"/>
      </left>
      <right style="thin">
        <color indexed="23"/>
      </right>
      <top style="thin">
        <color indexed="23"/>
      </top>
      <bottom style="thin">
        <color indexed="9"/>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right/>
      <top style="thin">
        <color indexed="64"/>
      </top>
      <bottom style="thin">
        <color indexed="55"/>
      </bottom>
      <diagonal/>
    </border>
    <border>
      <left style="thin">
        <color indexed="64"/>
      </left>
      <right style="thin">
        <color auto="1"/>
      </right>
      <top style="thin">
        <color auto="1"/>
      </top>
      <bottom style="thin">
        <color auto="1"/>
      </bottom>
      <diagonal/>
    </border>
    <border>
      <left style="thin">
        <color indexed="55"/>
      </left>
      <right style="thin">
        <color indexed="64"/>
      </right>
      <top style="thin">
        <color indexed="64"/>
      </top>
      <bottom style="thin">
        <color indexed="55"/>
      </bottom>
      <diagonal/>
    </border>
    <border>
      <left/>
      <right style="thin">
        <color indexed="55"/>
      </right>
      <top style="thin">
        <color indexed="64"/>
      </top>
      <bottom style="thin">
        <color indexed="55"/>
      </bottom>
      <diagonal/>
    </border>
    <border>
      <left style="thin">
        <color indexed="55"/>
      </left>
      <right style="thin">
        <color indexed="55"/>
      </right>
      <top style="thin">
        <color indexed="64"/>
      </top>
      <bottom style="thin">
        <color indexed="55"/>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55"/>
      </right>
      <top style="thin">
        <color indexed="64"/>
      </top>
      <bottom style="thin">
        <color indexed="64"/>
      </bottom>
      <diagonal/>
    </border>
    <border>
      <left style="thin">
        <color indexed="55"/>
      </left>
      <right style="thin">
        <color indexed="55"/>
      </right>
      <top style="thin">
        <color indexed="64"/>
      </top>
      <bottom style="thin">
        <color indexed="64"/>
      </bottom>
      <diagonal/>
    </border>
    <border>
      <left style="thin">
        <color indexed="55"/>
      </left>
      <right style="thin">
        <color indexed="64"/>
      </right>
      <top style="thin">
        <color indexed="64"/>
      </top>
      <bottom style="thin">
        <color indexed="64"/>
      </bottom>
      <diagonal/>
    </border>
    <border>
      <left/>
      <right style="thin">
        <color indexed="22"/>
      </right>
      <top style="thin">
        <color indexed="22"/>
      </top>
      <bottom style="thin">
        <color indexed="64"/>
      </bottom>
      <diagonal/>
    </border>
    <border>
      <left style="thin">
        <color indexed="22"/>
      </left>
      <right style="thin">
        <color indexed="22"/>
      </right>
      <top style="thin">
        <color indexed="22"/>
      </top>
      <bottom style="thin">
        <color indexed="64"/>
      </bottom>
      <diagonal/>
    </border>
    <border>
      <left style="thin">
        <color indexed="22"/>
      </left>
      <right style="thin">
        <color indexed="64"/>
      </right>
      <top style="thin">
        <color indexed="22"/>
      </top>
      <bottom style="thin">
        <color indexed="64"/>
      </bottom>
      <diagonal/>
    </border>
    <border>
      <left style="thin">
        <color indexed="64"/>
      </left>
      <right style="thin">
        <color indexed="64"/>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indexed="64"/>
      </top>
      <bottom/>
      <diagonal/>
    </border>
    <border>
      <left style="thin">
        <color indexed="64"/>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auto="1"/>
      </bottom>
      <diagonal/>
    </border>
    <border>
      <left/>
      <right/>
      <top style="thin">
        <color indexed="64"/>
      </top>
      <bottom style="thin">
        <color indexed="64"/>
      </bottom>
      <diagonal/>
    </border>
    <border>
      <left/>
      <right/>
      <top style="thin">
        <color indexed="55"/>
      </top>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top style="thin">
        <color auto="1"/>
      </top>
      <bottom style="thin">
        <color auto="1"/>
      </bottom>
      <diagonal/>
    </border>
    <border>
      <left style="thin">
        <color indexed="55"/>
      </left>
      <right/>
      <top style="thin">
        <color indexed="64"/>
      </top>
      <bottom/>
      <diagonal/>
    </border>
    <border>
      <left style="thin">
        <color theme="1"/>
      </left>
      <right style="thin">
        <color indexed="55"/>
      </right>
      <top style="thin">
        <color indexed="64"/>
      </top>
      <bottom/>
      <diagonal/>
    </border>
    <border>
      <left style="thin">
        <color indexed="55"/>
      </left>
      <right style="thin">
        <color indexed="55"/>
      </right>
      <top style="thin">
        <color indexed="64"/>
      </top>
      <bottom/>
      <diagonal/>
    </border>
    <border>
      <left style="thin">
        <color indexed="55"/>
      </left>
      <right style="thin">
        <color indexed="64"/>
      </right>
      <top style="thin">
        <color indexed="64"/>
      </top>
      <bottom/>
      <diagonal/>
    </border>
    <border>
      <left style="thin">
        <color indexed="55"/>
      </left>
      <right/>
      <top style="thin">
        <color indexed="55"/>
      </top>
      <bottom style="thin">
        <color indexed="55"/>
      </bottom>
      <diagonal/>
    </border>
    <border>
      <left style="thin">
        <color theme="1"/>
      </left>
      <right style="thin">
        <color indexed="55"/>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64"/>
      </right>
      <top style="thin">
        <color indexed="55"/>
      </top>
      <bottom style="thin">
        <color indexed="55"/>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medium">
        <color indexed="9"/>
      </left>
      <right style="thin">
        <color indexed="9"/>
      </right>
      <top style="thin">
        <color indexed="9"/>
      </top>
      <bottom style="thin">
        <color indexed="9"/>
      </bottom>
      <diagonal/>
    </border>
    <border>
      <left style="thin">
        <color theme="1"/>
      </left>
      <right style="thin">
        <color indexed="55"/>
      </right>
      <top style="thin">
        <color indexed="55"/>
      </top>
      <bottom/>
      <diagonal/>
    </border>
    <border>
      <left style="thin">
        <color indexed="55"/>
      </left>
      <right style="thin">
        <color indexed="55"/>
      </right>
      <top style="thin">
        <color indexed="55"/>
      </top>
      <bottom/>
      <diagonal/>
    </border>
    <border>
      <left style="thin">
        <color indexed="55"/>
      </left>
      <right style="thin">
        <color indexed="64"/>
      </right>
      <top style="thin">
        <color indexed="55"/>
      </top>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medium">
        <color indexed="9"/>
      </bottom>
      <diagonal/>
    </border>
    <border>
      <left style="thin">
        <color indexed="9"/>
      </left>
      <right/>
      <top style="thin">
        <color indexed="9"/>
      </top>
      <bottom style="medium">
        <color indexed="9"/>
      </bottom>
      <diagonal/>
    </border>
    <border>
      <left/>
      <right style="thin">
        <color indexed="9"/>
      </right>
      <top style="thin">
        <color indexed="9"/>
      </top>
      <bottom style="medium">
        <color indexed="9"/>
      </bottom>
      <diagonal/>
    </border>
    <border>
      <left style="medium">
        <color indexed="9"/>
      </left>
      <right style="thin">
        <color indexed="9"/>
      </right>
      <top style="thin">
        <color indexed="9"/>
      </top>
      <bottom style="medium">
        <color indexed="9"/>
      </bottom>
      <diagonal/>
    </border>
    <border>
      <left/>
      <right/>
      <top style="thin">
        <color indexed="55"/>
      </top>
      <bottom style="thin">
        <color indexed="55"/>
      </bottom>
      <diagonal/>
    </border>
    <border>
      <left style="thin">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thin">
        <color indexed="55"/>
      </top>
      <bottom/>
      <diagonal/>
    </border>
    <border>
      <left/>
      <right/>
      <top style="thin">
        <color indexed="64"/>
      </top>
      <bottom/>
      <diagonal/>
    </border>
    <border>
      <left style="thin">
        <color indexed="64"/>
      </left>
      <right style="thin">
        <color indexed="55"/>
      </right>
      <top style="thin">
        <color indexed="64"/>
      </top>
      <bottom/>
      <diagonal/>
    </border>
    <border>
      <left style="thin">
        <color indexed="55"/>
      </left>
      <right style="thin">
        <color indexed="64"/>
      </right>
      <top style="thin">
        <color indexed="55"/>
      </top>
      <bottom style="thin">
        <color indexed="64"/>
      </bottom>
      <diagonal/>
    </border>
    <border>
      <left/>
      <right style="thin">
        <color indexed="55"/>
      </right>
      <top style="thin">
        <color indexed="55"/>
      </top>
      <bottom style="thin">
        <color indexed="64"/>
      </bottom>
      <diagonal/>
    </border>
    <border>
      <left style="thin">
        <color indexed="55"/>
      </left>
      <right style="thin">
        <color indexed="55"/>
      </right>
      <top style="thin">
        <color indexed="55"/>
      </top>
      <bottom style="thin">
        <color indexed="64"/>
      </bottom>
      <diagonal/>
    </border>
    <border>
      <left style="thin">
        <color indexed="64"/>
      </left>
      <right style="thin">
        <color indexed="55"/>
      </right>
      <top style="thin">
        <color indexed="64"/>
      </top>
      <bottom style="thin">
        <color indexed="64"/>
      </bottom>
      <diagonal/>
    </border>
    <border>
      <left style="thin">
        <color indexed="64"/>
      </left>
      <right style="thin">
        <color indexed="64"/>
      </right>
      <top style="thin">
        <color indexed="64"/>
      </top>
      <bottom/>
      <diagonal/>
    </border>
    <border>
      <left/>
      <right style="thin">
        <color indexed="22"/>
      </right>
      <top style="thin">
        <color indexed="64"/>
      </top>
      <bottom style="thin">
        <color indexed="22"/>
      </bottom>
      <diagonal/>
    </border>
    <border>
      <left style="thin">
        <color indexed="22"/>
      </left>
      <right style="thin">
        <color indexed="22"/>
      </right>
      <top style="thin">
        <color indexed="64"/>
      </top>
      <bottom style="thin">
        <color indexed="22"/>
      </bottom>
      <diagonal/>
    </border>
    <border>
      <left style="thin">
        <color indexed="22"/>
      </left>
      <right style="thin">
        <color indexed="64"/>
      </right>
      <top style="thin">
        <color indexed="64"/>
      </top>
      <bottom style="thin">
        <color indexed="22"/>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3"/>
      </left>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
      <left style="thin">
        <color indexed="63"/>
      </left>
      <right/>
      <top/>
      <bottom style="thin">
        <color auto="1"/>
      </bottom>
      <diagonal/>
    </border>
    <border>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top style="thin">
        <color indexed="22"/>
      </top>
      <bottom style="thin">
        <color indexed="22"/>
      </bottom>
      <diagonal/>
    </border>
    <border>
      <left style="thin">
        <color indexed="22"/>
      </left>
      <right style="thin">
        <color indexed="64"/>
      </right>
      <top style="thin">
        <color indexed="22"/>
      </top>
      <bottom style="thin">
        <color indexed="22"/>
      </bottom>
      <diagonal/>
    </border>
    <border>
      <left style="thin">
        <color indexed="22"/>
      </left>
      <right style="thin">
        <color indexed="22"/>
      </right>
      <top style="thin">
        <color indexed="22"/>
      </top>
      <bottom/>
      <diagonal/>
    </border>
    <border>
      <left/>
      <right/>
      <top style="thin">
        <color indexed="64"/>
      </top>
      <bottom/>
      <diagonal/>
    </border>
    <border>
      <left/>
      <right/>
      <top style="thin">
        <color indexed="22"/>
      </top>
      <bottom style="medium">
        <color auto="1"/>
      </bottom>
      <diagonal/>
    </border>
    <border>
      <left style="thin">
        <color indexed="64"/>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auto="1"/>
      </bottom>
      <diagonal/>
    </border>
    <border>
      <left/>
      <right/>
      <top style="thin">
        <color indexed="64"/>
      </top>
      <bottom style="thin">
        <color indexed="64"/>
      </bottom>
      <diagonal/>
    </border>
  </borders>
  <cellStyleXfs count="13">
    <xf numFmtId="0" fontId="0" fillId="0" borderId="0"/>
    <xf numFmtId="0" fontId="5" fillId="0" borderId="0" applyNumberFormat="0" applyFill="0" applyBorder="0" applyAlignment="0" applyProtection="0"/>
    <xf numFmtId="0" fontId="15" fillId="0" borderId="0"/>
    <xf numFmtId="9" fontId="16" fillId="0" borderId="0" applyFont="0" applyFill="0" applyBorder="0" applyAlignment="0" applyProtection="0"/>
    <xf numFmtId="43" fontId="26" fillId="0" borderId="0" applyFont="0" applyFill="0" applyBorder="0" applyAlignment="0" applyProtection="0"/>
    <xf numFmtId="0" fontId="55" fillId="0" borderId="0"/>
    <xf numFmtId="9" fontId="15" fillId="0" borderId="0" applyFont="0" applyFill="0" applyBorder="0" applyAlignment="0" applyProtection="0"/>
    <xf numFmtId="0" fontId="3" fillId="13" borderId="48" applyNumberFormat="0" applyAlignment="0" applyProtection="0"/>
    <xf numFmtId="0" fontId="2" fillId="14" borderId="0" applyNumberFormat="0" applyBorder="0" applyAlignment="0" applyProtection="0"/>
    <xf numFmtId="9" fontId="26" fillId="0" borderId="0" applyFont="0" applyFill="0" applyBorder="0" applyAlignment="0" applyProtection="0"/>
    <xf numFmtId="9" fontId="15" fillId="0" borderId="0" applyFont="0" applyFill="0" applyBorder="0" applyAlignment="0" applyProtection="0"/>
    <xf numFmtId="43" fontId="26" fillId="0" borderId="0" applyFont="0" applyFill="0" applyBorder="0" applyAlignment="0" applyProtection="0"/>
    <xf numFmtId="0" fontId="15" fillId="0" borderId="0"/>
  </cellStyleXfs>
  <cellXfs count="1805">
    <xf numFmtId="0" fontId="0" fillId="0" borderId="0" xfId="0"/>
    <xf numFmtId="0" fontId="0" fillId="2" borderId="0" xfId="0" applyFill="1"/>
    <xf numFmtId="0" fontId="1" fillId="0" borderId="0" xfId="0" applyFont="1"/>
    <xf numFmtId="0" fontId="4" fillId="0" borderId="0" xfId="0" applyFont="1"/>
    <xf numFmtId="0" fontId="6" fillId="0" borderId="0" xfId="0" applyFont="1"/>
    <xf numFmtId="0" fontId="7" fillId="0" borderId="0" xfId="0" applyFont="1"/>
    <xf numFmtId="0" fontId="0" fillId="0" borderId="0" xfId="0" applyAlignment="1">
      <alignment horizontal="right"/>
    </xf>
    <xf numFmtId="0" fontId="0" fillId="0" borderId="0" xfId="0" applyAlignment="1">
      <alignment horizontal="left"/>
    </xf>
    <xf numFmtId="0" fontId="0" fillId="0" borderId="0" xfId="0" applyAlignment="1">
      <alignment wrapText="1"/>
    </xf>
    <xf numFmtId="0" fontId="7" fillId="0" borderId="0" xfId="0" applyFont="1" applyAlignment="1">
      <alignment wrapText="1"/>
    </xf>
    <xf numFmtId="0" fontId="3" fillId="2" borderId="0" xfId="0" applyFont="1" applyFill="1" applyAlignment="1">
      <alignment wrapText="1"/>
    </xf>
    <xf numFmtId="0" fontId="3" fillId="2" borderId="0" xfId="0" applyFont="1" applyFill="1" applyAlignment="1">
      <alignment horizontal="right" wrapText="1"/>
    </xf>
    <xf numFmtId="0" fontId="0" fillId="0" borderId="0" xfId="0" applyAlignment="1">
      <alignment horizontal="right" wrapText="1"/>
    </xf>
    <xf numFmtId="0" fontId="8" fillId="2" borderId="0" xfId="0" applyFont="1" applyFill="1" applyAlignment="1">
      <alignment wrapText="1"/>
    </xf>
    <xf numFmtId="0" fontId="0" fillId="0" borderId="0" xfId="0" applyAlignment="1">
      <alignment horizontal="center"/>
    </xf>
    <xf numFmtId="0" fontId="0" fillId="0" borderId="0" xfId="0" applyAlignment="1">
      <alignment horizontal="left" wrapText="1"/>
    </xf>
    <xf numFmtId="0" fontId="0" fillId="0" borderId="0" xfId="0" applyAlignment="1">
      <alignment horizontal="center" wrapText="1"/>
    </xf>
    <xf numFmtId="0" fontId="7" fillId="0" borderId="0" xfId="0" applyFont="1" applyAlignment="1">
      <alignment horizontal="left" wrapText="1"/>
    </xf>
    <xf numFmtId="0" fontId="8" fillId="2" borderId="0" xfId="0" applyFont="1" applyFill="1" applyAlignment="1">
      <alignment horizontal="left" wrapText="1"/>
    </xf>
    <xf numFmtId="0" fontId="3" fillId="2" borderId="0" xfId="0" applyFont="1" applyFill="1"/>
    <xf numFmtId="0" fontId="28" fillId="5" borderId="0" xfId="0" applyFont="1" applyFill="1"/>
    <xf numFmtId="0" fontId="28" fillId="3" borderId="0" xfId="0" applyFont="1" applyFill="1"/>
    <xf numFmtId="0" fontId="28" fillId="0" borderId="0" xfId="0" applyFont="1"/>
    <xf numFmtId="0" fontId="29" fillId="0" borderId="0" xfId="0" applyFont="1" applyAlignment="1">
      <alignment vertical="center"/>
    </xf>
    <xf numFmtId="0" fontId="30" fillId="0" borderId="0" xfId="0" applyFont="1"/>
    <xf numFmtId="0" fontId="17" fillId="3" borderId="0" xfId="0" applyFont="1" applyFill="1" applyAlignment="1">
      <alignment horizontal="right" vertical="center"/>
    </xf>
    <xf numFmtId="0" fontId="17" fillId="0" borderId="0" xfId="0" applyFont="1"/>
    <xf numFmtId="0" fontId="31" fillId="0" borderId="0" xfId="0" applyFont="1"/>
    <xf numFmtId="0" fontId="28" fillId="5" borderId="10" xfId="0" applyFont="1" applyFill="1" applyBorder="1"/>
    <xf numFmtId="0" fontId="28" fillId="5" borderId="7" xfId="0" applyFont="1" applyFill="1" applyBorder="1"/>
    <xf numFmtId="0" fontId="32" fillId="0" borderId="0" xfId="0" applyFont="1"/>
    <xf numFmtId="0" fontId="29" fillId="0" borderId="0" xfId="0" applyFont="1"/>
    <xf numFmtId="0" fontId="28" fillId="0" borderId="0" xfId="0" applyFont="1" applyAlignment="1">
      <alignment horizontal="right"/>
    </xf>
    <xf numFmtId="0" fontId="28" fillId="9" borderId="0" xfId="0" applyFont="1" applyFill="1"/>
    <xf numFmtId="0" fontId="28" fillId="10" borderId="0" xfId="0" applyFont="1" applyFill="1"/>
    <xf numFmtId="0" fontId="28" fillId="0" borderId="15" xfId="0" applyFont="1" applyBorder="1"/>
    <xf numFmtId="0" fontId="28" fillId="8" borderId="8" xfId="0" applyFont="1" applyFill="1" applyBorder="1"/>
    <xf numFmtId="0" fontId="28" fillId="8" borderId="9" xfId="0" applyFont="1" applyFill="1" applyBorder="1"/>
    <xf numFmtId="0" fontId="28" fillId="8" borderId="7" xfId="0" applyFont="1" applyFill="1" applyBorder="1"/>
    <xf numFmtId="0" fontId="28" fillId="8" borderId="10" xfId="0" applyFont="1" applyFill="1" applyBorder="1"/>
    <xf numFmtId="0" fontId="28" fillId="11" borderId="15" xfId="0" applyFont="1" applyFill="1" applyBorder="1"/>
    <xf numFmtId="0" fontId="28" fillId="0" borderId="0" xfId="0" applyFont="1" applyAlignment="1">
      <alignment vertical="center"/>
    </xf>
    <xf numFmtId="164" fontId="33" fillId="0" borderId="0" xfId="0" applyNumberFormat="1" applyFont="1" applyAlignment="1">
      <alignment vertical="center"/>
    </xf>
    <xf numFmtId="0" fontId="28" fillId="0" borderId="0" xfId="0" applyFont="1" applyAlignment="1">
      <alignment vertical="center" wrapText="1"/>
    </xf>
    <xf numFmtId="0" fontId="28" fillId="0" borderId="0" xfId="0" applyFont="1" applyAlignment="1">
      <alignment wrapText="1"/>
    </xf>
    <xf numFmtId="0" fontId="33" fillId="0" borderId="16" xfId="0" applyFont="1" applyBorder="1" applyAlignment="1">
      <alignment vertical="center" wrapText="1"/>
    </xf>
    <xf numFmtId="0" fontId="33" fillId="0" borderId="17" xfId="0" applyFont="1" applyBorder="1" applyAlignment="1">
      <alignment vertical="center" wrapText="1"/>
    </xf>
    <xf numFmtId="0" fontId="10" fillId="0" borderId="19" xfId="0" applyFont="1" applyBorder="1" applyAlignment="1">
      <alignment vertical="center" wrapText="1"/>
    </xf>
    <xf numFmtId="0" fontId="33" fillId="0" borderId="0" xfId="0" applyFont="1" applyAlignment="1">
      <alignment vertical="center" wrapText="1"/>
    </xf>
    <xf numFmtId="0" fontId="28" fillId="5" borderId="0" xfId="0" applyFont="1" applyFill="1" applyAlignment="1">
      <alignment wrapText="1"/>
    </xf>
    <xf numFmtId="0" fontId="28" fillId="10" borderId="0" xfId="0" applyFont="1" applyFill="1" applyAlignment="1">
      <alignment wrapText="1"/>
    </xf>
    <xf numFmtId="0" fontId="10" fillId="9" borderId="19" xfId="0" applyFont="1" applyFill="1" applyBorder="1" applyAlignment="1">
      <alignment vertical="center" wrapText="1"/>
    </xf>
    <xf numFmtId="0" fontId="28" fillId="0" borderId="21" xfId="0" applyFont="1" applyBorder="1"/>
    <xf numFmtId="0" fontId="28" fillId="0" borderId="22" xfId="0" applyFont="1" applyBorder="1"/>
    <xf numFmtId="164" fontId="33" fillId="5" borderId="0" xfId="0" applyNumberFormat="1" applyFont="1" applyFill="1" applyAlignment="1">
      <alignment vertical="center"/>
    </xf>
    <xf numFmtId="0" fontId="28" fillId="5" borderId="0" xfId="0" quotePrefix="1" applyFont="1" applyFill="1"/>
    <xf numFmtId="0" fontId="10" fillId="0" borderId="23" xfId="0" applyFont="1" applyBorder="1" applyAlignment="1">
      <alignment vertical="center" wrapText="1"/>
    </xf>
    <xf numFmtId="0" fontId="10" fillId="0" borderId="24" xfId="0" applyFont="1" applyBorder="1" applyAlignment="1">
      <alignment vertical="center" wrapText="1"/>
    </xf>
    <xf numFmtId="0" fontId="10" fillId="0" borderId="0" xfId="0" applyFont="1" applyAlignment="1">
      <alignment vertical="center" wrapText="1"/>
    </xf>
    <xf numFmtId="0" fontId="28" fillId="0" borderId="25" xfId="0" applyFont="1" applyBorder="1"/>
    <xf numFmtId="0" fontId="10" fillId="0" borderId="26" xfId="0" applyFont="1" applyBorder="1" applyAlignment="1">
      <alignment vertical="center" wrapText="1"/>
    </xf>
    <xf numFmtId="0" fontId="10" fillId="0" borderId="27" xfId="0" applyFont="1" applyBorder="1" applyAlignment="1">
      <alignment vertical="center" wrapText="1"/>
    </xf>
    <xf numFmtId="0" fontId="28" fillId="9" borderId="8" xfId="0" applyFont="1" applyFill="1" applyBorder="1"/>
    <xf numFmtId="0" fontId="28" fillId="9" borderId="9" xfId="0" applyFont="1" applyFill="1" applyBorder="1"/>
    <xf numFmtId="0" fontId="28" fillId="0" borderId="28" xfId="0" applyFont="1" applyBorder="1"/>
    <xf numFmtId="0" fontId="28" fillId="0" borderId="10" xfId="0" applyFont="1" applyBorder="1"/>
    <xf numFmtId="0" fontId="28" fillId="0" borderId="29" xfId="0" applyFont="1" applyBorder="1"/>
    <xf numFmtId="0" fontId="28" fillId="0" borderId="7" xfId="0" applyFont="1" applyBorder="1"/>
    <xf numFmtId="0" fontId="28" fillId="0" borderId="30" xfId="0" applyFont="1" applyBorder="1"/>
    <xf numFmtId="0" fontId="28" fillId="0" borderId="31" xfId="0" applyFont="1" applyBorder="1"/>
    <xf numFmtId="165" fontId="28" fillId="0" borderId="0" xfId="0" applyNumberFormat="1" applyFont="1"/>
    <xf numFmtId="0" fontId="28" fillId="0" borderId="32" xfId="0" applyFont="1" applyBorder="1"/>
    <xf numFmtId="0" fontId="28" fillId="0" borderId="33" xfId="0" applyFont="1" applyBorder="1"/>
    <xf numFmtId="0" fontId="28" fillId="0" borderId="34" xfId="0" applyFont="1" applyBorder="1"/>
    <xf numFmtId="0" fontId="28" fillId="0" borderId="2" xfId="0" applyFont="1" applyBorder="1"/>
    <xf numFmtId="0" fontId="28" fillId="0" borderId="35" xfId="0" applyFont="1" applyBorder="1"/>
    <xf numFmtId="0" fontId="42" fillId="0" borderId="15" xfId="0" applyFont="1" applyBorder="1" applyAlignment="1">
      <alignment vertical="center"/>
    </xf>
    <xf numFmtId="0" fontId="43" fillId="0" borderId="34" xfId="0" applyFont="1" applyBorder="1" applyAlignment="1">
      <alignment horizontal="center" vertical="center"/>
    </xf>
    <xf numFmtId="0" fontId="42" fillId="0" borderId="15" xfId="0" applyFont="1" applyBorder="1" applyAlignment="1">
      <alignment horizontal="center" vertical="center"/>
    </xf>
    <xf numFmtId="0" fontId="45" fillId="0" borderId="36" xfId="0" applyFont="1" applyBorder="1" applyAlignment="1">
      <alignment vertical="center"/>
    </xf>
    <xf numFmtId="0" fontId="45" fillId="0" borderId="36" xfId="0" applyFont="1" applyBorder="1" applyAlignment="1">
      <alignment horizontal="center" vertical="center"/>
    </xf>
    <xf numFmtId="0" fontId="43" fillId="0" borderId="34" xfId="0" applyFont="1" applyBorder="1" applyAlignment="1">
      <alignment vertical="center" wrapText="1"/>
    </xf>
    <xf numFmtId="0" fontId="43" fillId="0" borderId="34" xfId="0" applyFont="1" applyBorder="1" applyAlignment="1">
      <alignment horizontal="justify" vertical="center" wrapText="1"/>
    </xf>
    <xf numFmtId="0" fontId="43" fillId="0" borderId="15" xfId="0" applyFont="1" applyBorder="1" applyAlignment="1">
      <alignment vertical="center" wrapText="1"/>
    </xf>
    <xf numFmtId="0" fontId="46" fillId="0" borderId="36" xfId="0" applyFont="1" applyBorder="1" applyAlignment="1">
      <alignment vertical="center" wrapText="1"/>
    </xf>
    <xf numFmtId="2" fontId="28" fillId="0" borderId="0" xfId="0" applyNumberFormat="1" applyFont="1"/>
    <xf numFmtId="0" fontId="48" fillId="0" borderId="0" xfId="0" applyFont="1"/>
    <xf numFmtId="0" fontId="0" fillId="10" borderId="0" xfId="0" applyFill="1"/>
    <xf numFmtId="0" fontId="49" fillId="0" borderId="28" xfId="0" applyFont="1" applyBorder="1"/>
    <xf numFmtId="0" fontId="49" fillId="0" borderId="33" xfId="0" applyFont="1" applyBorder="1"/>
    <xf numFmtId="0" fontId="50" fillId="4" borderId="33" xfId="0" applyFont="1" applyFill="1" applyBorder="1" applyAlignment="1">
      <alignment horizontal="center"/>
    </xf>
    <xf numFmtId="0" fontId="51" fillId="0" borderId="33" xfId="0" applyFont="1" applyBorder="1"/>
    <xf numFmtId="0" fontId="0" fillId="0" borderId="33" xfId="0" applyBorder="1"/>
    <xf numFmtId="0" fontId="52" fillId="0" borderId="33" xfId="0" applyFont="1" applyBorder="1" applyAlignment="1">
      <alignment horizontal="center"/>
    </xf>
    <xf numFmtId="0" fontId="50" fillId="2" borderId="34" xfId="0" applyFont="1" applyFill="1" applyBorder="1" applyAlignment="1">
      <alignment horizontal="center"/>
    </xf>
    <xf numFmtId="0" fontId="3" fillId="12" borderId="37" xfId="0" applyFont="1" applyFill="1" applyBorder="1" applyAlignment="1">
      <alignment horizontal="center"/>
    </xf>
    <xf numFmtId="0" fontId="3" fillId="12" borderId="38" xfId="0" applyFont="1" applyFill="1" applyBorder="1" applyAlignment="1">
      <alignment horizontal="center"/>
    </xf>
    <xf numFmtId="0" fontId="3" fillId="12" borderId="39" xfId="0" applyFont="1" applyFill="1" applyBorder="1" applyAlignment="1">
      <alignment horizontal="center"/>
    </xf>
    <xf numFmtId="0" fontId="3" fillId="12" borderId="40" xfId="0" applyFont="1" applyFill="1" applyBorder="1" applyAlignment="1">
      <alignment horizontal="center"/>
    </xf>
    <xf numFmtId="0" fontId="0" fillId="0" borderId="41" xfId="0" applyBorder="1"/>
    <xf numFmtId="0" fontId="0" fillId="0" borderId="8" xfId="0" applyBorder="1"/>
    <xf numFmtId="0" fontId="53" fillId="0" borderId="8" xfId="0" applyFont="1" applyBorder="1"/>
    <xf numFmtId="0" fontId="0" fillId="0" borderId="9" xfId="0" applyBorder="1"/>
    <xf numFmtId="0" fontId="53" fillId="0" borderId="36" xfId="0" applyFont="1" applyBorder="1" applyAlignment="1">
      <alignment wrapText="1"/>
    </xf>
    <xf numFmtId="0" fontId="53" fillId="0" borderId="7" xfId="0" applyFont="1" applyBorder="1" applyAlignment="1">
      <alignment wrapText="1"/>
    </xf>
    <xf numFmtId="0" fontId="1" fillId="0" borderId="42" xfId="0" applyFont="1" applyBorder="1" applyAlignment="1">
      <alignment textRotation="90" wrapText="1"/>
    </xf>
    <xf numFmtId="0" fontId="1" fillId="0" borderId="15" xfId="0" applyFont="1" applyBorder="1" applyAlignment="1">
      <alignment textRotation="90" wrapText="1"/>
    </xf>
    <xf numFmtId="0" fontId="1" fillId="0" borderId="8" xfId="0" applyFont="1" applyBorder="1"/>
    <xf numFmtId="0" fontId="0" fillId="0" borderId="21" xfId="0" applyBorder="1"/>
    <xf numFmtId="165" fontId="0" fillId="0" borderId="43" xfId="0" applyNumberFormat="1" applyBorder="1" applyAlignment="1">
      <alignment horizontal="center"/>
    </xf>
    <xf numFmtId="165" fontId="0" fillId="0" borderId="44" xfId="0" applyNumberFormat="1" applyBorder="1" applyAlignment="1">
      <alignment horizontal="center"/>
    </xf>
    <xf numFmtId="0" fontId="25" fillId="0" borderId="7" xfId="0" applyFont="1" applyBorder="1"/>
    <xf numFmtId="0" fontId="0" fillId="0" borderId="22" xfId="0" applyBorder="1"/>
    <xf numFmtId="165" fontId="0" fillId="0" borderId="29" xfId="0" applyNumberFormat="1" applyBorder="1" applyAlignment="1">
      <alignment horizontal="center"/>
    </xf>
    <xf numFmtId="0" fontId="54" fillId="0" borderId="7" xfId="0" applyFont="1" applyBorder="1"/>
    <xf numFmtId="0" fontId="0" fillId="0" borderId="7" xfId="0" applyBorder="1"/>
    <xf numFmtId="0" fontId="0" fillId="0" borderId="25" xfId="0" applyBorder="1"/>
    <xf numFmtId="165" fontId="0" fillId="0" borderId="35" xfId="0" applyNumberFormat="1" applyBorder="1" applyAlignment="1">
      <alignment horizontal="center"/>
    </xf>
    <xf numFmtId="165" fontId="0" fillId="0" borderId="32" xfId="0" applyNumberFormat="1" applyBorder="1" applyAlignment="1">
      <alignment horizontal="center"/>
    </xf>
    <xf numFmtId="0" fontId="1" fillId="0" borderId="7" xfId="0" applyFont="1" applyBorder="1"/>
    <xf numFmtId="0" fontId="1" fillId="0" borderId="41" xfId="0" applyFont="1" applyBorder="1"/>
    <xf numFmtId="0" fontId="1" fillId="0" borderId="45" xfId="0" applyFont="1" applyBorder="1"/>
    <xf numFmtId="0" fontId="54" fillId="0" borderId="45" xfId="0" applyFont="1" applyBorder="1"/>
    <xf numFmtId="0" fontId="0" fillId="0" borderId="45" xfId="0" applyBorder="1"/>
    <xf numFmtId="0" fontId="0" fillId="0" borderId="36" xfId="0" applyBorder="1"/>
    <xf numFmtId="0" fontId="0" fillId="0" borderId="46" xfId="0" applyBorder="1"/>
    <xf numFmtId="165" fontId="0" fillId="0" borderId="47" xfId="0" applyNumberFormat="1" applyBorder="1" applyAlignment="1">
      <alignment horizontal="center"/>
    </xf>
    <xf numFmtId="165" fontId="0" fillId="0" borderId="2" xfId="0" applyNumberFormat="1" applyBorder="1" applyAlignment="1">
      <alignment horizontal="center"/>
    </xf>
    <xf numFmtId="0" fontId="25" fillId="0" borderId="45" xfId="0" applyFont="1" applyBorder="1"/>
    <xf numFmtId="165" fontId="0" fillId="0" borderId="21" xfId="0" applyNumberFormat="1" applyBorder="1" applyAlignment="1">
      <alignment horizontal="center"/>
    </xf>
    <xf numFmtId="165" fontId="0" fillId="0" borderId="22" xfId="0" applyNumberFormat="1" applyBorder="1" applyAlignment="1">
      <alignment horizontal="center"/>
    </xf>
    <xf numFmtId="165" fontId="0" fillId="0" borderId="25" xfId="0" applyNumberFormat="1" applyBorder="1" applyAlignment="1">
      <alignment horizontal="center"/>
    </xf>
    <xf numFmtId="0" fontId="3" fillId="4" borderId="8" xfId="0" applyFont="1" applyFill="1" applyBorder="1"/>
    <xf numFmtId="43" fontId="0" fillId="0" borderId="0" xfId="0" applyNumberFormat="1"/>
    <xf numFmtId="0" fontId="52" fillId="0" borderId="0" xfId="0" applyFont="1"/>
    <xf numFmtId="165" fontId="0" fillId="0" borderId="0" xfId="0" applyNumberFormat="1" applyAlignment="1">
      <alignment horizontal="center"/>
    </xf>
    <xf numFmtId="0" fontId="25" fillId="0" borderId="0" xfId="0" applyFont="1"/>
    <xf numFmtId="0" fontId="54" fillId="0" borderId="0" xfId="0" applyFont="1"/>
    <xf numFmtId="0" fontId="53" fillId="0" borderId="45" xfId="0" applyFont="1" applyBorder="1" applyAlignment="1">
      <alignment wrapText="1"/>
    </xf>
    <xf numFmtId="0" fontId="56" fillId="3" borderId="0" xfId="2" applyFont="1" applyFill="1"/>
    <xf numFmtId="0" fontId="15" fillId="15" borderId="0" xfId="2" applyFill="1"/>
    <xf numFmtId="0" fontId="60" fillId="16" borderId="0" xfId="2" applyFont="1" applyFill="1"/>
    <xf numFmtId="0" fontId="61" fillId="16" borderId="0" xfId="2" applyFont="1" applyFill="1" applyAlignment="1">
      <alignment horizontal="right"/>
    </xf>
    <xf numFmtId="0" fontId="62" fillId="16" borderId="0" xfId="2" applyFont="1" applyFill="1" applyAlignment="1">
      <alignment horizontal="right"/>
    </xf>
    <xf numFmtId="9" fontId="63" fillId="16" borderId="0" xfId="6" applyFont="1" applyFill="1" applyAlignment="1">
      <alignment horizontal="left"/>
    </xf>
    <xf numFmtId="0" fontId="64" fillId="16" borderId="0" xfId="2" applyFont="1" applyFill="1" applyAlignment="1">
      <alignment horizontal="left"/>
    </xf>
    <xf numFmtId="0" fontId="61" fillId="16" borderId="0" xfId="2" applyFont="1" applyFill="1" applyAlignment="1">
      <alignment horizontal="left"/>
    </xf>
    <xf numFmtId="0" fontId="60" fillId="15" borderId="0" xfId="2" applyFont="1" applyFill="1"/>
    <xf numFmtId="0" fontId="18" fillId="15" borderId="0" xfId="2" applyFont="1" applyFill="1" applyAlignment="1">
      <alignment vertical="center"/>
    </xf>
    <xf numFmtId="0" fontId="65" fillId="16" borderId="0" xfId="2" applyFont="1" applyFill="1" applyAlignment="1">
      <alignment horizontal="left"/>
    </xf>
    <xf numFmtId="0" fontId="66" fillId="15" borderId="0" xfId="2" applyFont="1" applyFill="1"/>
    <xf numFmtId="0" fontId="66" fillId="15" borderId="0" xfId="2" applyFont="1" applyFill="1" applyAlignment="1">
      <alignment horizontal="center"/>
    </xf>
    <xf numFmtId="0" fontId="66" fillId="15" borderId="49" xfId="2" applyFont="1" applyFill="1" applyBorder="1" applyAlignment="1">
      <alignment horizontal="center"/>
    </xf>
    <xf numFmtId="0" fontId="69" fillId="16" borderId="3" xfId="2" applyFont="1" applyFill="1" applyBorder="1" applyAlignment="1">
      <alignment horizontal="center"/>
    </xf>
    <xf numFmtId="0" fontId="70" fillId="16" borderId="0" xfId="2" applyFont="1" applyFill="1"/>
    <xf numFmtId="0" fontId="62" fillId="16" borderId="50" xfId="2" applyFont="1" applyFill="1" applyBorder="1" applyAlignment="1">
      <alignment horizontal="center"/>
    </xf>
    <xf numFmtId="168" fontId="63" fillId="16" borderId="0" xfId="2" applyNumberFormat="1" applyFont="1" applyFill="1"/>
    <xf numFmtId="0" fontId="71" fillId="15" borderId="0" xfId="2" applyFont="1" applyFill="1"/>
    <xf numFmtId="0" fontId="67" fillId="15" borderId="0" xfId="2" applyFont="1" applyFill="1" applyAlignment="1">
      <alignment vertical="center" wrapText="1"/>
    </xf>
    <xf numFmtId="170" fontId="66" fillId="15" borderId="0" xfId="2" applyNumberFormat="1" applyFont="1" applyFill="1" applyAlignment="1">
      <alignment horizontal="center"/>
    </xf>
    <xf numFmtId="0" fontId="64" fillId="16" borderId="0" xfId="2" applyFont="1" applyFill="1" applyAlignment="1">
      <alignment horizontal="right"/>
    </xf>
    <xf numFmtId="171" fontId="72" fillId="18" borderId="0" xfId="2" applyNumberFormat="1" applyFont="1" applyFill="1" applyAlignment="1">
      <alignment horizontal="right"/>
    </xf>
    <xf numFmtId="172" fontId="72" fillId="19" borderId="0" xfId="2" applyNumberFormat="1" applyFont="1" applyFill="1"/>
    <xf numFmtId="171" fontId="72" fillId="18" borderId="0" xfId="2" applyNumberFormat="1" applyFont="1" applyFill="1"/>
    <xf numFmtId="171" fontId="72" fillId="19" borderId="0" xfId="2" applyNumberFormat="1" applyFont="1" applyFill="1"/>
    <xf numFmtId="0" fontId="73" fillId="19" borderId="0" xfId="2" applyFont="1" applyFill="1" applyAlignment="1">
      <alignment horizontal="center"/>
    </xf>
    <xf numFmtId="168" fontId="63" fillId="20" borderId="0" xfId="2" applyNumberFormat="1" applyFont="1" applyFill="1"/>
    <xf numFmtId="0" fontId="74" fillId="16" borderId="0" xfId="2" applyFont="1" applyFill="1" applyAlignment="1">
      <alignment horizontal="left"/>
    </xf>
    <xf numFmtId="0" fontId="15" fillId="0" borderId="0" xfId="2"/>
    <xf numFmtId="0" fontId="75" fillId="0" borderId="0" xfId="2" applyFont="1" applyAlignment="1">
      <alignment horizontal="left" vertical="center"/>
    </xf>
    <xf numFmtId="0" fontId="76" fillId="0" borderId="0" xfId="2" applyFont="1" applyAlignment="1">
      <alignment horizontal="left" vertical="center"/>
    </xf>
    <xf numFmtId="0" fontId="77" fillId="0" borderId="0" xfId="2" applyFont="1"/>
    <xf numFmtId="0" fontId="75" fillId="0" borderId="0" xfId="2" applyFont="1" applyAlignment="1">
      <alignment horizontal="center" vertical="center"/>
    </xf>
    <xf numFmtId="0" fontId="19" fillId="0" borderId="0" xfId="2" applyFont="1" applyAlignment="1">
      <alignment horizontal="right" wrapText="1"/>
    </xf>
    <xf numFmtId="173" fontId="20" fillId="0" borderId="0" xfId="2" applyNumberFormat="1" applyFont="1" applyAlignment="1">
      <alignment horizontal="center"/>
    </xf>
    <xf numFmtId="0" fontId="15" fillId="16" borderId="0" xfId="2" applyFill="1"/>
    <xf numFmtId="0" fontId="78" fillId="16" borderId="0" xfId="2" applyFont="1" applyFill="1" applyAlignment="1">
      <alignment horizontal="left"/>
    </xf>
    <xf numFmtId="0" fontId="79" fillId="16" borderId="0" xfId="2" applyFont="1" applyFill="1"/>
    <xf numFmtId="0" fontId="66" fillId="15" borderId="0" xfId="2" applyFont="1" applyFill="1" applyAlignment="1">
      <alignment vertical="top"/>
    </xf>
    <xf numFmtId="0" fontId="66" fillId="15" borderId="0" xfId="2" applyFont="1" applyFill="1" applyAlignment="1">
      <alignment horizontal="right"/>
    </xf>
    <xf numFmtId="0" fontId="66" fillId="15" borderId="0" xfId="2" applyFont="1" applyFill="1" applyAlignment="1">
      <alignment horizontal="left"/>
    </xf>
    <xf numFmtId="0" fontId="67" fillId="15" borderId="0" xfId="2" applyFont="1" applyFill="1" applyAlignment="1">
      <alignment horizontal="right" wrapText="1"/>
    </xf>
    <xf numFmtId="174" fontId="66" fillId="15" borderId="0" xfId="2" applyNumberFormat="1" applyFont="1" applyFill="1" applyAlignment="1">
      <alignment horizontal="center"/>
    </xf>
    <xf numFmtId="175" fontId="80" fillId="15" borderId="0" xfId="6" applyNumberFormat="1" applyFont="1" applyFill="1" applyBorder="1" applyAlignment="1" applyProtection="1">
      <alignment horizontal="center"/>
    </xf>
    <xf numFmtId="169" fontId="72" fillId="20" borderId="0" xfId="2" applyNumberFormat="1" applyFont="1" applyFill="1" applyAlignment="1">
      <alignment horizontal="right"/>
    </xf>
    <xf numFmtId="169" fontId="72" fillId="21" borderId="0" xfId="2" quotePrefix="1" applyNumberFormat="1" applyFont="1" applyFill="1" applyAlignment="1">
      <alignment horizontal="center"/>
    </xf>
    <xf numFmtId="0" fontId="81" fillId="16" borderId="0" xfId="2" applyFont="1" applyFill="1" applyAlignment="1">
      <alignment horizontal="left"/>
    </xf>
    <xf numFmtId="0" fontId="70" fillId="16" borderId="0" xfId="2" quotePrefix="1" applyFont="1" applyFill="1"/>
    <xf numFmtId="0" fontId="66" fillId="15" borderId="0" xfId="2" applyFont="1" applyFill="1" applyAlignment="1">
      <alignment horizontal="right" vertical="center"/>
    </xf>
    <xf numFmtId="0" fontId="67" fillId="15" borderId="0" xfId="2" applyFont="1" applyFill="1" applyAlignment="1">
      <alignment horizontal="right"/>
    </xf>
    <xf numFmtId="0" fontId="67" fillId="15" borderId="0" xfId="2" applyFont="1" applyFill="1"/>
    <xf numFmtId="0" fontId="83" fillId="15" borderId="0" xfId="2" applyFont="1" applyFill="1" applyAlignment="1">
      <alignment horizontal="right" indent="15"/>
    </xf>
    <xf numFmtId="0" fontId="84" fillId="15" borderId="0" xfId="2" applyFont="1" applyFill="1" applyProtection="1">
      <protection hidden="1"/>
    </xf>
    <xf numFmtId="173" fontId="72" fillId="18" borderId="0" xfId="2" applyNumberFormat="1" applyFont="1" applyFill="1" applyAlignment="1">
      <alignment horizontal="right"/>
    </xf>
    <xf numFmtId="173" fontId="72" fillId="19" borderId="0" xfId="2" applyNumberFormat="1" applyFont="1" applyFill="1"/>
    <xf numFmtId="173" fontId="72" fillId="18" borderId="0" xfId="2" applyNumberFormat="1" applyFont="1" applyFill="1"/>
    <xf numFmtId="0" fontId="64" fillId="16" borderId="0" xfId="2" applyFont="1" applyFill="1" applyAlignment="1">
      <alignment horizontal="center"/>
    </xf>
    <xf numFmtId="9" fontId="63" fillId="20" borderId="0" xfId="6" applyFont="1" applyFill="1" applyAlignment="1">
      <alignment horizontal="right"/>
    </xf>
    <xf numFmtId="0" fontId="76" fillId="0" borderId="0" xfId="2" applyFont="1" applyAlignment="1">
      <alignment horizontal="center" vertical="center"/>
    </xf>
    <xf numFmtId="0" fontId="20" fillId="0" borderId="0" xfId="2" applyFont="1" applyAlignment="1">
      <alignment horizontal="right"/>
    </xf>
    <xf numFmtId="177" fontId="86" fillId="0" borderId="0" xfId="2" applyNumberFormat="1" applyFont="1" applyAlignment="1">
      <alignment horizontal="center"/>
    </xf>
    <xf numFmtId="0" fontId="20" fillId="0" borderId="0" xfId="2" applyFont="1"/>
    <xf numFmtId="0" fontId="19" fillId="0" borderId="0" xfId="2" applyFont="1" applyAlignment="1">
      <alignment horizontal="right"/>
    </xf>
    <xf numFmtId="174" fontId="20" fillId="0" borderId="0" xfId="2" applyNumberFormat="1" applyFont="1" applyAlignment="1">
      <alignment horizontal="center"/>
    </xf>
    <xf numFmtId="0" fontId="78" fillId="16" borderId="0" xfId="2" applyFont="1" applyFill="1" applyAlignment="1">
      <alignment horizontal="right"/>
    </xf>
    <xf numFmtId="0" fontId="78" fillId="16" borderId="0" xfId="2" applyFont="1" applyFill="1" applyAlignment="1">
      <alignment horizontal="center"/>
    </xf>
    <xf numFmtId="0" fontId="87" fillId="16" borderId="0" xfId="2" applyFont="1" applyFill="1" applyAlignment="1">
      <alignment horizontal="left"/>
    </xf>
    <xf numFmtId="0" fontId="88" fillId="0" borderId="0" xfId="2" applyFont="1" applyAlignment="1">
      <alignment horizontal="left" vertical="center"/>
    </xf>
    <xf numFmtId="0" fontId="82" fillId="15" borderId="0" xfId="2" applyFont="1" applyFill="1" applyAlignment="1">
      <alignment wrapText="1"/>
    </xf>
    <xf numFmtId="0" fontId="89" fillId="15" borderId="0" xfId="2" applyFont="1" applyFill="1" applyProtection="1">
      <protection hidden="1"/>
    </xf>
    <xf numFmtId="0" fontId="66" fillId="15" borderId="0" xfId="2" applyFont="1" applyFill="1" applyAlignment="1">
      <alignment horizontal="left" indent="1"/>
    </xf>
    <xf numFmtId="0" fontId="90" fillId="19" borderId="0" xfId="2" applyFont="1" applyFill="1" applyAlignment="1">
      <alignment horizontal="right"/>
    </xf>
    <xf numFmtId="0" fontId="70" fillId="16" borderId="0" xfId="2" applyFont="1" applyFill="1" applyAlignment="1">
      <alignment horizontal="right"/>
    </xf>
    <xf numFmtId="173" fontId="72" fillId="20" borderId="0" xfId="2" applyNumberFormat="1" applyFont="1" applyFill="1" applyAlignment="1">
      <alignment horizontal="right"/>
    </xf>
    <xf numFmtId="173" fontId="72" fillId="21" borderId="0" xfId="2" quotePrefix="1" applyNumberFormat="1" applyFont="1" applyFill="1"/>
    <xf numFmtId="173" fontId="69" fillId="16" borderId="0" xfId="2" applyNumberFormat="1" applyFont="1" applyFill="1"/>
    <xf numFmtId="0" fontId="91" fillId="19" borderId="0" xfId="2" applyFont="1" applyFill="1" applyAlignment="1">
      <alignment horizontal="center"/>
    </xf>
    <xf numFmtId="0" fontId="92" fillId="16" borderId="0" xfId="2" applyFont="1" applyFill="1"/>
    <xf numFmtId="0" fontId="64" fillId="16" borderId="0" xfId="2" applyFont="1" applyFill="1"/>
    <xf numFmtId="179" fontId="67" fillId="15" borderId="0" xfId="2" applyNumberFormat="1" applyFont="1" applyFill="1" applyAlignment="1">
      <alignment horizontal="center"/>
    </xf>
    <xf numFmtId="0" fontId="80" fillId="15" borderId="0" xfId="2" applyFont="1" applyFill="1"/>
    <xf numFmtId="164" fontId="63" fillId="18" borderId="0" xfId="2" applyNumberFormat="1" applyFont="1" applyFill="1"/>
    <xf numFmtId="0" fontId="63" fillId="19" borderId="0" xfId="2" applyFont="1" applyFill="1"/>
    <xf numFmtId="9" fontId="60" fillId="16" borderId="0" xfId="6" applyFont="1" applyFill="1"/>
    <xf numFmtId="0" fontId="91" fillId="19" borderId="0" xfId="2" applyFont="1" applyFill="1"/>
    <xf numFmtId="0" fontId="93" fillId="15" borderId="0" xfId="2" applyFont="1" applyFill="1" applyAlignment="1">
      <alignment horizontal="left" indent="1"/>
    </xf>
    <xf numFmtId="0" fontId="94" fillId="15" borderId="0" xfId="2" applyFont="1" applyFill="1" applyAlignment="1">
      <alignment horizontal="right"/>
    </xf>
    <xf numFmtId="181" fontId="94" fillId="15" borderId="0" xfId="2" applyNumberFormat="1" applyFont="1" applyFill="1" applyAlignment="1">
      <alignment horizontal="center"/>
    </xf>
    <xf numFmtId="0" fontId="94" fillId="15" borderId="0" xfId="2" applyFont="1" applyFill="1"/>
    <xf numFmtId="0" fontId="95" fillId="16" borderId="0" xfId="2" applyFont="1" applyFill="1"/>
    <xf numFmtId="0" fontId="96" fillId="15" borderId="0" xfId="2" applyFont="1" applyFill="1"/>
    <xf numFmtId="0" fontId="97" fillId="16" borderId="0" xfId="2" applyFont="1" applyFill="1"/>
    <xf numFmtId="164" fontId="73" fillId="19" borderId="0" xfId="2" applyNumberFormat="1" applyFont="1" applyFill="1" applyAlignment="1">
      <alignment horizontal="center"/>
    </xf>
    <xf numFmtId="0" fontId="73" fillId="18" borderId="0" xfId="2" applyFont="1" applyFill="1" applyAlignment="1">
      <alignment horizontal="center"/>
    </xf>
    <xf numFmtId="0" fontId="91" fillId="18" borderId="0" xfId="2" applyFont="1" applyFill="1"/>
    <xf numFmtId="0" fontId="98" fillId="16" borderId="0" xfId="2" applyFont="1" applyFill="1" applyAlignment="1">
      <alignment horizontal="left" indent="1"/>
    </xf>
    <xf numFmtId="0" fontId="99" fillId="15" borderId="0" xfId="2" applyFont="1" applyFill="1" applyAlignment="1">
      <alignment horizontal="center" wrapText="1"/>
    </xf>
    <xf numFmtId="0" fontId="81" fillId="16" borderId="0" xfId="2" applyFont="1" applyFill="1" applyAlignment="1">
      <alignment horizontal="right"/>
    </xf>
    <xf numFmtId="0" fontId="64" fillId="16" borderId="0" xfId="2" applyFont="1" applyFill="1" applyAlignment="1">
      <alignment horizontal="center" wrapText="1"/>
    </xf>
    <xf numFmtId="0" fontId="61" fillId="16" borderId="0" xfId="2" applyFont="1" applyFill="1"/>
    <xf numFmtId="0" fontId="103" fillId="16" borderId="0" xfId="2" applyFont="1" applyFill="1"/>
    <xf numFmtId="182" fontId="60" fillId="16" borderId="0" xfId="2" applyNumberFormat="1" applyFont="1" applyFill="1"/>
    <xf numFmtId="0" fontId="104" fillId="16" borderId="0" xfId="2" applyFont="1" applyFill="1"/>
    <xf numFmtId="0" fontId="63" fillId="19" borderId="0" xfId="2" applyFont="1" applyFill="1" applyAlignment="1">
      <alignment horizontal="center"/>
    </xf>
    <xf numFmtId="0" fontId="63" fillId="18" borderId="0" xfId="2" applyFont="1" applyFill="1" applyAlignment="1">
      <alignment horizontal="center"/>
    </xf>
    <xf numFmtId="0" fontId="63" fillId="16" borderId="0" xfId="2" applyFont="1" applyFill="1" applyAlignment="1">
      <alignment horizontal="center"/>
    </xf>
    <xf numFmtId="165" fontId="103" fillId="16" borderId="0" xfId="2" applyNumberFormat="1" applyFont="1" applyFill="1"/>
    <xf numFmtId="183" fontId="60" fillId="16" borderId="0" xfId="2" applyNumberFormat="1" applyFont="1" applyFill="1"/>
    <xf numFmtId="0" fontId="69" fillId="16" borderId="0" xfId="2" applyFont="1" applyFill="1" applyAlignment="1">
      <alignment horizontal="center"/>
    </xf>
    <xf numFmtId="0" fontId="69" fillId="16" borderId="0" xfId="2" applyFont="1" applyFill="1"/>
    <xf numFmtId="0" fontId="62" fillId="16" borderId="3" xfId="2" applyFont="1" applyFill="1" applyBorder="1" applyAlignment="1">
      <alignment horizontal="center"/>
    </xf>
    <xf numFmtId="0" fontId="69" fillId="16" borderId="3" xfId="2" applyFont="1" applyFill="1" applyBorder="1" applyAlignment="1">
      <alignment horizontal="center" wrapText="1"/>
    </xf>
    <xf numFmtId="0" fontId="69" fillId="16" borderId="0" xfId="2" applyFont="1" applyFill="1" applyAlignment="1">
      <alignment horizontal="center" wrapText="1"/>
    </xf>
    <xf numFmtId="0" fontId="111" fillId="13" borderId="48" xfId="7" applyFont="1" applyAlignment="1">
      <alignment horizontal="center" wrapText="1"/>
    </xf>
    <xf numFmtId="0" fontId="60" fillId="16" borderId="0" xfId="2" applyFont="1" applyFill="1" applyAlignment="1">
      <alignment wrapText="1"/>
    </xf>
    <xf numFmtId="184" fontId="113" fillId="26" borderId="7" xfId="2" applyNumberFormat="1" applyFont="1" applyFill="1" applyBorder="1" applyAlignment="1">
      <alignment vertical="top"/>
    </xf>
    <xf numFmtId="2" fontId="105" fillId="27" borderId="58" xfId="2" applyNumberFormat="1" applyFont="1" applyFill="1" applyBorder="1" applyAlignment="1">
      <alignment horizontal="center"/>
    </xf>
    <xf numFmtId="186" fontId="105" fillId="27" borderId="59" xfId="2" applyNumberFormat="1" applyFont="1" applyFill="1" applyBorder="1" applyAlignment="1">
      <alignment horizontal="center"/>
    </xf>
    <xf numFmtId="187" fontId="105" fillId="27" borderId="55" xfId="2" applyNumberFormat="1" applyFont="1" applyFill="1" applyBorder="1" applyAlignment="1">
      <alignment horizontal="right"/>
    </xf>
    <xf numFmtId="187" fontId="105" fillId="28" borderId="58" xfId="2" applyNumberFormat="1" applyFont="1" applyFill="1" applyBorder="1" applyAlignment="1">
      <alignment horizontal="right"/>
    </xf>
    <xf numFmtId="0" fontId="105" fillId="28" borderId="60" xfId="2" applyFont="1" applyFill="1" applyBorder="1" applyAlignment="1">
      <alignment horizontal="right"/>
    </xf>
    <xf numFmtId="188" fontId="105" fillId="28" borderId="58" xfId="2" applyNumberFormat="1" applyFont="1" applyFill="1" applyBorder="1" applyAlignment="1">
      <alignment horizontal="right"/>
    </xf>
    <xf numFmtId="2" fontId="105" fillId="28" borderId="61" xfId="2" quotePrefix="1" applyNumberFormat="1" applyFont="1" applyFill="1" applyBorder="1" applyAlignment="1">
      <alignment horizontal="left"/>
    </xf>
    <xf numFmtId="0" fontId="63" fillId="16" borderId="0" xfId="2" applyFont="1" applyFill="1"/>
    <xf numFmtId="0" fontId="116" fillId="16" borderId="62" xfId="2" applyFont="1" applyFill="1" applyBorder="1" applyAlignment="1">
      <alignment horizontal="center"/>
    </xf>
    <xf numFmtId="165" fontId="72" fillId="16" borderId="0" xfId="2" applyNumberFormat="1" applyFont="1" applyFill="1" applyAlignment="1">
      <alignment horizontal="center"/>
    </xf>
    <xf numFmtId="183" fontId="63" fillId="20" borderId="63" xfId="2" applyNumberFormat="1" applyFont="1" applyFill="1" applyBorder="1" applyAlignment="1">
      <alignment horizontal="center"/>
    </xf>
    <xf numFmtId="183" fontId="63" fillId="20" borderId="62" xfId="2" applyNumberFormat="1" applyFont="1" applyFill="1" applyBorder="1" applyAlignment="1">
      <alignment horizontal="center"/>
    </xf>
    <xf numFmtId="189" fontId="63" fillId="20" borderId="62" xfId="6" applyNumberFormat="1" applyFont="1" applyFill="1" applyBorder="1" applyAlignment="1">
      <alignment horizontal="center"/>
    </xf>
    <xf numFmtId="0" fontId="63" fillId="16" borderId="62" xfId="6" applyNumberFormat="1" applyFont="1" applyFill="1" applyBorder="1" applyAlignment="1">
      <alignment horizontal="center"/>
    </xf>
    <xf numFmtId="183" fontId="63" fillId="20" borderId="64" xfId="2" applyNumberFormat="1" applyFont="1" applyFill="1" applyBorder="1" applyAlignment="1">
      <alignment horizontal="center"/>
    </xf>
    <xf numFmtId="182" fontId="60" fillId="16" borderId="0" xfId="6" applyNumberFormat="1" applyFont="1" applyFill="1"/>
    <xf numFmtId="190" fontId="63" fillId="20" borderId="62" xfId="6" applyNumberFormat="1" applyFont="1" applyFill="1" applyBorder="1" applyAlignment="1">
      <alignment horizontal="center"/>
    </xf>
    <xf numFmtId="190" fontId="72" fillId="16" borderId="62" xfId="6" applyNumberFormat="1" applyFont="1" applyFill="1" applyBorder="1" applyAlignment="1">
      <alignment horizontal="center"/>
    </xf>
    <xf numFmtId="190" fontId="63" fillId="20" borderId="62" xfId="6" applyNumberFormat="1" applyFont="1" applyFill="1" applyBorder="1" applyAlignment="1">
      <alignment horizontal="left"/>
    </xf>
    <xf numFmtId="190" fontId="63" fillId="20" borderId="64" xfId="6" applyNumberFormat="1" applyFont="1" applyFill="1" applyBorder="1" applyAlignment="1">
      <alignment horizontal="left"/>
    </xf>
    <xf numFmtId="191" fontId="60" fillId="16" borderId="0" xfId="2" applyNumberFormat="1" applyFont="1" applyFill="1"/>
    <xf numFmtId="2" fontId="60" fillId="16" borderId="0" xfId="6" applyNumberFormat="1" applyFont="1" applyFill="1"/>
    <xf numFmtId="2" fontId="60" fillId="16" borderId="0" xfId="2" applyNumberFormat="1" applyFont="1" applyFill="1"/>
    <xf numFmtId="184" fontId="66" fillId="26" borderId="0" xfId="2" applyNumberFormat="1" applyFont="1" applyFill="1" applyAlignment="1">
      <alignment horizontal="right"/>
    </xf>
    <xf numFmtId="2" fontId="105" fillId="27" borderId="65" xfId="2" applyNumberFormat="1" applyFont="1" applyFill="1" applyBorder="1" applyAlignment="1">
      <alignment horizontal="center"/>
    </xf>
    <xf numFmtId="186" fontId="105" fillId="27" borderId="66" xfId="2" applyNumberFormat="1" applyFont="1" applyFill="1" applyBorder="1" applyAlignment="1">
      <alignment horizontal="center"/>
    </xf>
    <xf numFmtId="187" fontId="105" fillId="27" borderId="67" xfId="2" applyNumberFormat="1" applyFont="1" applyFill="1" applyBorder="1" applyAlignment="1">
      <alignment horizontal="right"/>
    </xf>
    <xf numFmtId="188" fontId="105" fillId="28" borderId="65" xfId="2" applyNumberFormat="1" applyFont="1" applyFill="1" applyBorder="1" applyAlignment="1">
      <alignment horizontal="right"/>
    </xf>
    <xf numFmtId="2" fontId="105" fillId="28" borderId="68" xfId="2" quotePrefix="1" applyNumberFormat="1" applyFont="1" applyFill="1" applyBorder="1" applyAlignment="1">
      <alignment horizontal="left"/>
    </xf>
    <xf numFmtId="0" fontId="118" fillId="15" borderId="0" xfId="2" applyFont="1" applyFill="1"/>
    <xf numFmtId="184" fontId="119" fillId="26" borderId="7" xfId="2" applyNumberFormat="1" applyFont="1" applyFill="1" applyBorder="1" applyAlignment="1">
      <alignment vertical="top"/>
    </xf>
    <xf numFmtId="184" fontId="118" fillId="26" borderId="0" xfId="2" applyNumberFormat="1" applyFont="1" applyFill="1" applyAlignment="1">
      <alignment horizontal="right"/>
    </xf>
    <xf numFmtId="2" fontId="123" fillId="27" borderId="65" xfId="2" applyNumberFormat="1" applyFont="1" applyFill="1" applyBorder="1" applyAlignment="1">
      <alignment horizontal="center"/>
    </xf>
    <xf numFmtId="186" fontId="123" fillId="27" borderId="66" xfId="2" applyNumberFormat="1" applyFont="1" applyFill="1" applyBorder="1" applyAlignment="1">
      <alignment horizontal="center"/>
    </xf>
    <xf numFmtId="187" fontId="123" fillId="27" borderId="67" xfId="2" applyNumberFormat="1" applyFont="1" applyFill="1" applyBorder="1" applyAlignment="1">
      <alignment horizontal="right"/>
    </xf>
    <xf numFmtId="187" fontId="123" fillId="28" borderId="58" xfId="2" applyNumberFormat="1" applyFont="1" applyFill="1" applyBorder="1" applyAlignment="1">
      <alignment horizontal="right"/>
    </xf>
    <xf numFmtId="0" fontId="123" fillId="28" borderId="60" xfId="2" applyFont="1" applyFill="1" applyBorder="1" applyAlignment="1">
      <alignment horizontal="right"/>
    </xf>
    <xf numFmtId="188" fontId="123" fillId="28" borderId="65" xfId="2" applyNumberFormat="1" applyFont="1" applyFill="1" applyBorder="1" applyAlignment="1">
      <alignment horizontal="right"/>
    </xf>
    <xf numFmtId="2" fontId="123" fillId="28" borderId="68" xfId="2" quotePrefix="1" applyNumberFormat="1" applyFont="1" applyFill="1" applyBorder="1" applyAlignment="1">
      <alignment horizontal="left"/>
    </xf>
    <xf numFmtId="184" fontId="124" fillId="26" borderId="7" xfId="2" applyNumberFormat="1" applyFont="1" applyFill="1" applyBorder="1" applyAlignment="1">
      <alignment vertical="top"/>
    </xf>
    <xf numFmtId="184" fontId="125" fillId="26" borderId="7" xfId="2" applyNumberFormat="1" applyFont="1" applyFill="1" applyBorder="1" applyAlignment="1">
      <alignment vertical="top"/>
    </xf>
    <xf numFmtId="0" fontId="126" fillId="16" borderId="0" xfId="2" applyFont="1" applyFill="1" applyAlignment="1">
      <alignment horizontal="center"/>
    </xf>
    <xf numFmtId="0" fontId="126" fillId="16" borderId="0" xfId="2" applyFont="1" applyFill="1"/>
    <xf numFmtId="165" fontId="127" fillId="16" borderId="0" xfId="2" applyNumberFormat="1" applyFont="1" applyFill="1" applyAlignment="1">
      <alignment horizontal="center"/>
    </xf>
    <xf numFmtId="183" fontId="126" fillId="20" borderId="62" xfId="2" applyNumberFormat="1" applyFont="1" applyFill="1" applyBorder="1" applyAlignment="1">
      <alignment horizontal="center"/>
    </xf>
    <xf numFmtId="183" fontId="126" fillId="20" borderId="64" xfId="2" applyNumberFormat="1" applyFont="1" applyFill="1" applyBorder="1" applyAlignment="1">
      <alignment horizontal="center"/>
    </xf>
    <xf numFmtId="183" fontId="15" fillId="16" borderId="0" xfId="2" applyNumberFormat="1" applyFill="1"/>
    <xf numFmtId="189" fontId="126" fillId="20" borderId="62" xfId="6" applyNumberFormat="1" applyFont="1" applyFill="1" applyBorder="1" applyAlignment="1">
      <alignment horizontal="center"/>
    </xf>
    <xf numFmtId="183" fontId="126" fillId="20" borderId="63" xfId="2" applyNumberFormat="1" applyFont="1" applyFill="1" applyBorder="1" applyAlignment="1">
      <alignment horizontal="center"/>
    </xf>
    <xf numFmtId="182" fontId="0" fillId="16" borderId="0" xfId="6" applyNumberFormat="1" applyFont="1" applyFill="1"/>
    <xf numFmtId="190" fontId="126" fillId="20" borderId="62" xfId="6" applyNumberFormat="1" applyFont="1" applyFill="1" applyBorder="1" applyAlignment="1">
      <alignment horizontal="center"/>
    </xf>
    <xf numFmtId="190" fontId="127" fillId="16" borderId="62" xfId="6" applyNumberFormat="1" applyFont="1" applyFill="1" applyBorder="1" applyAlignment="1">
      <alignment horizontal="center"/>
    </xf>
    <xf numFmtId="190" fontId="126" fillId="20" borderId="62" xfId="6" applyNumberFormat="1" applyFont="1" applyFill="1" applyBorder="1" applyAlignment="1">
      <alignment horizontal="left"/>
    </xf>
    <xf numFmtId="190" fontId="126" fillId="20" borderId="64" xfId="6" applyNumberFormat="1" applyFont="1" applyFill="1" applyBorder="1" applyAlignment="1">
      <alignment horizontal="left"/>
    </xf>
    <xf numFmtId="191" fontId="15" fillId="16" borderId="0" xfId="2" applyNumberFormat="1" applyFill="1"/>
    <xf numFmtId="2" fontId="0" fillId="16" borderId="0" xfId="6" applyNumberFormat="1" applyFont="1" applyFill="1"/>
    <xf numFmtId="2" fontId="15" fillId="16" borderId="0" xfId="2" applyNumberFormat="1" applyFill="1"/>
    <xf numFmtId="9" fontId="0" fillId="16" borderId="0" xfId="6" applyFont="1" applyFill="1"/>
    <xf numFmtId="0" fontId="127" fillId="16" borderId="0" xfId="2" applyFont="1" applyFill="1" applyAlignment="1">
      <alignment horizontal="center"/>
    </xf>
    <xf numFmtId="2" fontId="105" fillId="27" borderId="82" xfId="2" applyNumberFormat="1" applyFont="1" applyFill="1" applyBorder="1" applyAlignment="1">
      <alignment horizontal="center"/>
    </xf>
    <xf numFmtId="186" fontId="105" fillId="27" borderId="83" xfId="2" applyNumberFormat="1" applyFont="1" applyFill="1" applyBorder="1" applyAlignment="1">
      <alignment horizontal="center"/>
    </xf>
    <xf numFmtId="187" fontId="105" fillId="27" borderId="78" xfId="2" applyNumberFormat="1" applyFont="1" applyFill="1" applyBorder="1" applyAlignment="1">
      <alignment horizontal="right"/>
    </xf>
    <xf numFmtId="187" fontId="105" fillId="28" borderId="84" xfId="2" applyNumberFormat="1" applyFont="1" applyFill="1" applyBorder="1" applyAlignment="1">
      <alignment horizontal="right"/>
    </xf>
    <xf numFmtId="188" fontId="105" fillId="28" borderId="82" xfId="2" applyNumberFormat="1" applyFont="1" applyFill="1" applyBorder="1" applyAlignment="1">
      <alignment horizontal="right"/>
    </xf>
    <xf numFmtId="2" fontId="105" fillId="28" borderId="85" xfId="2" quotePrefix="1" applyNumberFormat="1" applyFont="1" applyFill="1" applyBorder="1" applyAlignment="1">
      <alignment horizontal="left"/>
    </xf>
    <xf numFmtId="0" fontId="72" fillId="16" borderId="0" xfId="2" applyFont="1" applyFill="1" applyAlignment="1">
      <alignment horizontal="center"/>
    </xf>
    <xf numFmtId="165" fontId="60" fillId="16" borderId="0" xfId="2" applyNumberFormat="1" applyFont="1" applyFill="1"/>
    <xf numFmtId="0" fontId="128" fillId="28" borderId="0" xfId="2" applyFont="1" applyFill="1" applyAlignment="1">
      <alignment horizontal="left" vertical="top"/>
    </xf>
    <xf numFmtId="0" fontId="15" fillId="28" borderId="0" xfId="2" applyFill="1"/>
    <xf numFmtId="0" fontId="129" fillId="28" borderId="0" xfId="2" applyFont="1" applyFill="1" applyAlignment="1">
      <alignment horizontal="right"/>
    </xf>
    <xf numFmtId="0" fontId="130" fillId="28" borderId="0" xfId="2" applyFont="1" applyFill="1" applyAlignment="1">
      <alignment horizontal="center" vertical="center"/>
    </xf>
    <xf numFmtId="0" fontId="70" fillId="16" borderId="0" xfId="2" applyFont="1" applyFill="1" applyAlignment="1">
      <alignment horizontal="left"/>
    </xf>
    <xf numFmtId="0" fontId="20" fillId="15" borderId="0" xfId="2" applyFont="1" applyFill="1" applyAlignment="1">
      <alignment vertical="top"/>
    </xf>
    <xf numFmtId="0" fontId="20" fillId="15" borderId="0" xfId="2" applyFont="1" applyFill="1" applyAlignment="1">
      <alignment horizontal="center"/>
    </xf>
    <xf numFmtId="0" fontId="15" fillId="15" borderId="0" xfId="2" applyFill="1" applyAlignment="1">
      <alignment horizontal="center"/>
    </xf>
    <xf numFmtId="0" fontId="60" fillId="16" borderId="0" xfId="2" applyFont="1" applyFill="1" applyAlignment="1">
      <alignment horizontal="right"/>
    </xf>
    <xf numFmtId="0" fontId="60" fillId="29" borderId="0" xfId="2" applyFont="1" applyFill="1"/>
    <xf numFmtId="0" fontId="60" fillId="16" borderId="8" xfId="2" applyFont="1" applyFill="1" applyBorder="1"/>
    <xf numFmtId="0" fontId="60" fillId="16" borderId="9" xfId="2" applyFont="1" applyFill="1" applyBorder="1"/>
    <xf numFmtId="0" fontId="60" fillId="16" borderId="7" xfId="2" applyFont="1" applyFill="1" applyBorder="1"/>
    <xf numFmtId="0" fontId="60" fillId="16" borderId="10" xfId="2" applyFont="1" applyFill="1" applyBorder="1"/>
    <xf numFmtId="9" fontId="60" fillId="16" borderId="0" xfId="2" applyNumberFormat="1" applyFont="1" applyFill="1"/>
    <xf numFmtId="0" fontId="60" fillId="0" borderId="0" xfId="2" applyFont="1"/>
    <xf numFmtId="0" fontId="60" fillId="29" borderId="0" xfId="2" applyFont="1" applyFill="1" applyAlignment="1">
      <alignment horizontal="right"/>
    </xf>
    <xf numFmtId="0" fontId="72" fillId="29" borderId="0" xfId="2" applyFont="1" applyFill="1" applyAlignment="1">
      <alignment horizontal="center"/>
    </xf>
    <xf numFmtId="0" fontId="132" fillId="29" borderId="0" xfId="2" applyFont="1" applyFill="1"/>
    <xf numFmtId="0" fontId="132" fillId="29" borderId="0" xfId="2" applyFont="1" applyFill="1" applyAlignment="1">
      <alignment horizontal="center"/>
    </xf>
    <xf numFmtId="0" fontId="61" fillId="29" borderId="0" xfId="2" applyFont="1" applyFill="1"/>
    <xf numFmtId="0" fontId="64" fillId="29" borderId="0" xfId="2" applyFont="1" applyFill="1" applyAlignment="1">
      <alignment horizontal="left"/>
    </xf>
    <xf numFmtId="0" fontId="62" fillId="29" borderId="0" xfId="2" applyFont="1" applyFill="1" applyAlignment="1">
      <alignment horizontal="center" wrapText="1"/>
    </xf>
    <xf numFmtId="0" fontId="62" fillId="29" borderId="0" xfId="2" applyFont="1" applyFill="1" applyAlignment="1">
      <alignment horizontal="left" indent="1"/>
    </xf>
    <xf numFmtId="0" fontId="64" fillId="29" borderId="0" xfId="2" applyFont="1" applyFill="1" applyAlignment="1">
      <alignment horizontal="right"/>
    </xf>
    <xf numFmtId="0" fontId="64" fillId="29" borderId="0" xfId="2" applyFont="1" applyFill="1" applyAlignment="1">
      <alignment horizontal="center"/>
    </xf>
    <xf numFmtId="0" fontId="61" fillId="29" borderId="3" xfId="2" applyFont="1" applyFill="1" applyBorder="1"/>
    <xf numFmtId="0" fontId="62" fillId="29" borderId="3" xfId="2" applyFont="1" applyFill="1" applyBorder="1" applyAlignment="1">
      <alignment horizontal="center"/>
    </xf>
    <xf numFmtId="0" fontId="60" fillId="29" borderId="3" xfId="2" applyFont="1" applyFill="1" applyBorder="1"/>
    <xf numFmtId="0" fontId="62" fillId="29" borderId="3" xfId="2" applyFont="1" applyFill="1" applyBorder="1" applyAlignment="1">
      <alignment horizontal="center" wrapText="1"/>
    </xf>
    <xf numFmtId="0" fontId="69" fillId="29" borderId="0" xfId="2" applyFont="1" applyFill="1" applyAlignment="1">
      <alignment horizontal="right"/>
    </xf>
    <xf numFmtId="0" fontId="134" fillId="29" borderId="0" xfId="2" applyFont="1" applyFill="1"/>
    <xf numFmtId="0" fontId="72" fillId="29" borderId="49" xfId="2" applyFont="1" applyFill="1" applyBorder="1" applyAlignment="1">
      <alignment horizontal="center"/>
    </xf>
    <xf numFmtId="0" fontId="60" fillId="29" borderId="49" xfId="2" applyFont="1" applyFill="1" applyBorder="1"/>
    <xf numFmtId="0" fontId="138" fillId="29" borderId="49" xfId="2" applyFont="1" applyFill="1" applyBorder="1"/>
    <xf numFmtId="0" fontId="81" fillId="29" borderId="49" xfId="2" applyFont="1" applyFill="1" applyBorder="1"/>
    <xf numFmtId="0" fontId="70" fillId="29" borderId="49" xfId="2" applyFont="1" applyFill="1" applyBorder="1"/>
    <xf numFmtId="0" fontId="139" fillId="29" borderId="3" xfId="2" applyFont="1" applyFill="1" applyBorder="1" applyAlignment="1">
      <alignment horizontal="center"/>
    </xf>
    <xf numFmtId="0" fontId="102" fillId="29" borderId="0" xfId="2" applyFont="1" applyFill="1" applyAlignment="1">
      <alignment horizontal="center"/>
    </xf>
    <xf numFmtId="0" fontId="138" fillId="29" borderId="0" xfId="2" applyFont="1" applyFill="1" applyAlignment="1">
      <alignment horizontal="left"/>
    </xf>
    <xf numFmtId="0" fontId="140" fillId="29" borderId="0" xfId="2" applyFont="1" applyFill="1" applyAlignment="1">
      <alignment horizontal="left"/>
    </xf>
    <xf numFmtId="0" fontId="64" fillId="16" borderId="0" xfId="2" applyFont="1" applyFill="1" applyAlignment="1">
      <alignment vertical="top"/>
    </xf>
    <xf numFmtId="0" fontId="141" fillId="29" borderId="0" xfId="2" applyFont="1" applyFill="1" applyAlignment="1">
      <alignment horizontal="left"/>
    </xf>
    <xf numFmtId="0" fontId="142" fillId="29" borderId="0" xfId="2" applyFont="1" applyFill="1" applyAlignment="1">
      <alignment horizontal="left"/>
    </xf>
    <xf numFmtId="0" fontId="65" fillId="29" borderId="0" xfId="2" applyFont="1" applyFill="1" applyAlignment="1">
      <alignment horizontal="right"/>
    </xf>
    <xf numFmtId="0" fontId="65" fillId="29" borderId="0" xfId="2" applyFont="1" applyFill="1" applyAlignment="1">
      <alignment horizontal="left"/>
    </xf>
    <xf numFmtId="0" fontId="81" fillId="29" borderId="49" xfId="2" applyFont="1" applyFill="1" applyBorder="1" applyAlignment="1">
      <alignment horizontal="left"/>
    </xf>
    <xf numFmtId="0" fontId="102" fillId="29" borderId="49" xfId="2" applyFont="1" applyFill="1" applyBorder="1" applyAlignment="1">
      <alignment horizontal="center"/>
    </xf>
    <xf numFmtId="0" fontId="139" fillId="29" borderId="0" xfId="2" applyFont="1" applyFill="1" applyAlignment="1">
      <alignment horizontal="center"/>
    </xf>
    <xf numFmtId="0" fontId="145" fillId="29" borderId="3" xfId="2" applyFont="1" applyFill="1" applyBorder="1" applyAlignment="1">
      <alignment horizontal="center"/>
    </xf>
    <xf numFmtId="0" fontId="69" fillId="29" borderId="0" xfId="2" applyFont="1" applyFill="1" applyAlignment="1">
      <alignment horizontal="center" vertical="top"/>
    </xf>
    <xf numFmtId="0" fontId="64" fillId="29" borderId="0" xfId="2" applyFont="1" applyFill="1" applyAlignment="1">
      <alignment horizontal="left" vertical="top"/>
    </xf>
    <xf numFmtId="0" fontId="81" fillId="29" borderId="0" xfId="2" applyFont="1" applyFill="1" applyAlignment="1">
      <alignment horizontal="right" vertical="top"/>
    </xf>
    <xf numFmtId="0" fontId="63" fillId="29" borderId="0" xfId="2" applyFont="1" applyFill="1" applyAlignment="1">
      <alignment horizontal="center"/>
    </xf>
    <xf numFmtId="0" fontId="63" fillId="29" borderId="0" xfId="2" applyFont="1" applyFill="1" applyAlignment="1">
      <alignment horizontal="right" indent="2"/>
    </xf>
    <xf numFmtId="0" fontId="64" fillId="29" borderId="0" xfId="2" applyFont="1" applyFill="1"/>
    <xf numFmtId="0" fontId="103" fillId="29" borderId="0" xfId="2" applyFont="1" applyFill="1"/>
    <xf numFmtId="0" fontId="62" fillId="29" borderId="0" xfId="2" applyFont="1" applyFill="1" applyAlignment="1">
      <alignment horizontal="center"/>
    </xf>
    <xf numFmtId="0" fontId="69" fillId="29" borderId="0" xfId="2" applyFont="1" applyFill="1"/>
    <xf numFmtId="0" fontId="60" fillId="29" borderId="0" xfId="2" applyFont="1" applyFill="1" applyAlignment="1">
      <alignment horizontal="left"/>
    </xf>
    <xf numFmtId="0" fontId="63" fillId="29" borderId="0" xfId="2" applyFont="1" applyFill="1" applyAlignment="1">
      <alignment horizontal="left"/>
    </xf>
    <xf numFmtId="0" fontId="62" fillId="29" borderId="3" xfId="2" applyFont="1" applyFill="1" applyBorder="1" applyAlignment="1">
      <alignment horizontal="left"/>
    </xf>
    <xf numFmtId="0" fontId="72" fillId="29" borderId="0" xfId="2" applyFont="1" applyFill="1" applyAlignment="1">
      <alignment horizontal="right"/>
    </xf>
    <xf numFmtId="0" fontId="62" fillId="29" borderId="0" xfId="2" applyFont="1" applyFill="1" applyAlignment="1">
      <alignment horizontal="left"/>
    </xf>
    <xf numFmtId="9" fontId="60" fillId="29" borderId="0" xfId="2" applyNumberFormat="1" applyFont="1" applyFill="1" applyAlignment="1">
      <alignment horizontal="center"/>
    </xf>
    <xf numFmtId="0" fontId="153" fillId="0" borderId="0" xfId="2" applyFont="1"/>
    <xf numFmtId="0" fontId="79" fillId="0" borderId="0" xfId="2" applyFont="1"/>
    <xf numFmtId="0" fontId="155" fillId="0" borderId="0" xfId="2" applyFont="1"/>
    <xf numFmtId="0" fontId="19" fillId="0" borderId="0" xfId="2" applyFont="1" applyAlignment="1">
      <alignment horizontal="center"/>
    </xf>
    <xf numFmtId="9" fontId="20" fillId="0" borderId="84" xfId="2" applyNumberFormat="1" applyFont="1" applyBorder="1"/>
    <xf numFmtId="0" fontId="15" fillId="0" borderId="28" xfId="2" applyBorder="1"/>
    <xf numFmtId="0" fontId="15" fillId="0" borderId="34" xfId="2" applyBorder="1"/>
    <xf numFmtId="0" fontId="15" fillId="0" borderId="8" xfId="2" applyBorder="1"/>
    <xf numFmtId="0" fontId="15" fillId="0" borderId="9" xfId="2" applyBorder="1"/>
    <xf numFmtId="0" fontId="15" fillId="0" borderId="7" xfId="2" applyBorder="1"/>
    <xf numFmtId="0" fontId="15" fillId="0" borderId="10" xfId="2" applyBorder="1"/>
    <xf numFmtId="0" fontId="155" fillId="0" borderId="8" xfId="2" applyFont="1" applyBorder="1" applyAlignment="1">
      <alignment horizontal="center"/>
    </xf>
    <xf numFmtId="0" fontId="155" fillId="0" borderId="86" xfId="2" applyFont="1" applyBorder="1" applyAlignment="1">
      <alignment horizontal="center"/>
    </xf>
    <xf numFmtId="0" fontId="155" fillId="0" borderId="87" xfId="2" applyFont="1" applyBorder="1" applyAlignment="1">
      <alignment horizontal="center"/>
    </xf>
    <xf numFmtId="0" fontId="155" fillId="0" borderId="21" xfId="2" applyFont="1" applyBorder="1" applyAlignment="1">
      <alignment horizontal="center"/>
    </xf>
    <xf numFmtId="0" fontId="155" fillId="0" borderId="43" xfId="2" applyFont="1" applyBorder="1" applyAlignment="1">
      <alignment horizontal="center"/>
    </xf>
    <xf numFmtId="0" fontId="155" fillId="0" borderId="44" xfId="2" applyFont="1" applyBorder="1" applyAlignment="1">
      <alignment horizontal="center"/>
    </xf>
    <xf numFmtId="2" fontId="15" fillId="30" borderId="22" xfId="2" applyNumberFormat="1" applyFill="1" applyBorder="1"/>
    <xf numFmtId="2" fontId="15" fillId="30" borderId="29" xfId="2" applyNumberFormat="1" applyFill="1" applyBorder="1"/>
    <xf numFmtId="0" fontId="20" fillId="0" borderId="84" xfId="2" applyFont="1" applyBorder="1"/>
    <xf numFmtId="165" fontId="20" fillId="21" borderId="88" xfId="2" applyNumberFormat="1" applyFont="1" applyFill="1" applyBorder="1" applyAlignment="1">
      <alignment horizontal="center"/>
    </xf>
    <xf numFmtId="2" fontId="15" fillId="0" borderId="22" xfId="2" applyNumberFormat="1" applyBorder="1"/>
    <xf numFmtId="2" fontId="15" fillId="0" borderId="29" xfId="2" applyNumberFormat="1" applyBorder="1"/>
    <xf numFmtId="191" fontId="15" fillId="0" borderId="0" xfId="2" applyNumberFormat="1"/>
    <xf numFmtId="0" fontId="15" fillId="0" borderId="84" xfId="2" applyBorder="1"/>
    <xf numFmtId="191" fontId="15" fillId="0" borderId="15" xfId="2" applyNumberFormat="1" applyBorder="1"/>
    <xf numFmtId="2" fontId="15" fillId="0" borderId="25" xfId="2" applyNumberFormat="1" applyBorder="1"/>
    <xf numFmtId="2" fontId="15" fillId="0" borderId="35" xfId="2" applyNumberFormat="1" applyBorder="1"/>
    <xf numFmtId="2" fontId="15" fillId="0" borderId="32" xfId="2" applyNumberFormat="1" applyBorder="1"/>
    <xf numFmtId="2" fontId="15" fillId="30" borderId="0" xfId="2" applyNumberFormat="1" applyFill="1"/>
    <xf numFmtId="2" fontId="15" fillId="30" borderId="5" xfId="2" applyNumberFormat="1" applyFill="1" applyBorder="1"/>
    <xf numFmtId="0" fontId="157" fillId="0" borderId="84" xfId="2" applyFont="1" applyBorder="1"/>
    <xf numFmtId="0" fontId="158" fillId="0" borderId="72" xfId="2" applyFont="1" applyBorder="1"/>
    <xf numFmtId="165" fontId="157" fillId="20" borderId="89" xfId="2" applyNumberFormat="1" applyFont="1" applyFill="1" applyBorder="1" applyAlignment="1">
      <alignment horizontal="center"/>
    </xf>
    <xf numFmtId="165" fontId="157" fillId="20" borderId="71" xfId="2" applyNumberFormat="1" applyFont="1" applyFill="1" applyBorder="1" applyAlignment="1">
      <alignment horizontal="center"/>
    </xf>
    <xf numFmtId="165" fontId="157" fillId="20" borderId="72" xfId="2" applyNumberFormat="1" applyFont="1" applyFill="1" applyBorder="1" applyAlignment="1">
      <alignment horizontal="center"/>
    </xf>
    <xf numFmtId="0" fontId="158" fillId="0" borderId="90" xfId="2" applyFont="1" applyBorder="1"/>
    <xf numFmtId="0" fontId="78" fillId="0" borderId="0" xfId="2" applyFont="1"/>
    <xf numFmtId="2" fontId="15" fillId="30" borderId="6" xfId="2" applyNumberFormat="1" applyFill="1" applyBorder="1"/>
    <xf numFmtId="2" fontId="15" fillId="0" borderId="6" xfId="2" applyNumberFormat="1" applyBorder="1"/>
    <xf numFmtId="2" fontId="15" fillId="0" borderId="91" xfId="2" applyNumberFormat="1" applyBorder="1"/>
    <xf numFmtId="165" fontId="20" fillId="19" borderId="88" xfId="2" applyNumberFormat="1" applyFont="1" applyFill="1" applyBorder="1" applyAlignment="1">
      <alignment horizontal="center"/>
    </xf>
    <xf numFmtId="165" fontId="157" fillId="18" borderId="89" xfId="2" applyNumberFormat="1" applyFont="1" applyFill="1" applyBorder="1" applyAlignment="1">
      <alignment horizontal="center"/>
    </xf>
    <xf numFmtId="165" fontId="157" fillId="18" borderId="71" xfId="2" applyNumberFormat="1" applyFont="1" applyFill="1" applyBorder="1" applyAlignment="1">
      <alignment horizontal="center"/>
    </xf>
    <xf numFmtId="165" fontId="157" fillId="18" borderId="72" xfId="2" applyNumberFormat="1" applyFont="1" applyFill="1" applyBorder="1" applyAlignment="1">
      <alignment horizontal="center"/>
    </xf>
    <xf numFmtId="2" fontId="15" fillId="0" borderId="0" xfId="2" applyNumberFormat="1"/>
    <xf numFmtId="0" fontId="161" fillId="0" borderId="0" xfId="2" applyFont="1"/>
    <xf numFmtId="0" fontId="79" fillId="31" borderId="0" xfId="2" applyFont="1" applyFill="1"/>
    <xf numFmtId="0" fontId="15" fillId="31" borderId="0" xfId="2" applyFill="1"/>
    <xf numFmtId="0" fontId="154" fillId="0" borderId="0" xfId="2" quotePrefix="1" applyFont="1"/>
    <xf numFmtId="0" fontId="162" fillId="0" borderId="0" xfId="2" applyFont="1"/>
    <xf numFmtId="0" fontId="164" fillId="0" borderId="0" xfId="2" applyFont="1"/>
    <xf numFmtId="178" fontId="19" fillId="0" borderId="0" xfId="2" applyNumberFormat="1" applyFont="1" applyAlignment="1">
      <alignment horizontal="right"/>
    </xf>
    <xf numFmtId="0" fontId="19" fillId="0" borderId="2" xfId="2" applyFont="1" applyBorder="1" applyAlignment="1">
      <alignment horizontal="center"/>
    </xf>
    <xf numFmtId="193" fontId="20" fillId="0" borderId="0" xfId="2" applyNumberFormat="1" applyFont="1" applyAlignment="1">
      <alignment horizontal="center"/>
    </xf>
    <xf numFmtId="178" fontId="126" fillId="0" borderId="0" xfId="2" applyNumberFormat="1" applyFont="1" applyAlignment="1">
      <alignment horizontal="right" indent="1"/>
    </xf>
    <xf numFmtId="169" fontId="165" fillId="21" borderId="92" xfId="2" applyNumberFormat="1" applyFont="1" applyFill="1" applyBorder="1"/>
    <xf numFmtId="169" fontId="155" fillId="0" borderId="93" xfId="2" applyNumberFormat="1" applyFont="1" applyBorder="1"/>
    <xf numFmtId="169" fontId="155" fillId="0" borderId="94" xfId="2" applyNumberFormat="1" applyFont="1" applyBorder="1"/>
    <xf numFmtId="169" fontId="165" fillId="0" borderId="92" xfId="2" applyNumberFormat="1" applyFont="1" applyBorder="1"/>
    <xf numFmtId="169" fontId="155" fillId="16" borderId="0" xfId="2" applyNumberFormat="1" applyFont="1" applyFill="1"/>
    <xf numFmtId="169" fontId="15" fillId="16" borderId="0" xfId="2" applyNumberFormat="1" applyFill="1"/>
    <xf numFmtId="3" fontId="155" fillId="0" borderId="0" xfId="2" applyNumberFormat="1" applyFont="1" applyAlignment="1">
      <alignment horizontal="right" indent="1"/>
    </xf>
    <xf numFmtId="0" fontId="15" fillId="32" borderId="0" xfId="2" applyFill="1"/>
    <xf numFmtId="0" fontId="166" fillId="0" borderId="0" xfId="2" applyFont="1"/>
    <xf numFmtId="169" fontId="153" fillId="0" borderId="92" xfId="2" applyNumberFormat="1" applyFont="1" applyBorder="1"/>
    <xf numFmtId="0" fontId="79" fillId="33" borderId="0" xfId="2" applyFont="1" applyFill="1"/>
    <xf numFmtId="0" fontId="15" fillId="33" borderId="0" xfId="2" applyFill="1"/>
    <xf numFmtId="0" fontId="79" fillId="34" borderId="0" xfId="2" applyFont="1" applyFill="1"/>
    <xf numFmtId="0" fontId="15" fillId="34" borderId="0" xfId="2" applyFill="1"/>
    <xf numFmtId="0" fontId="168" fillId="31" borderId="0" xfId="8" applyFont="1" applyFill="1" applyAlignment="1">
      <alignment vertical="center"/>
    </xf>
    <xf numFmtId="0" fontId="169" fillId="0" borderId="0" xfId="2" applyFont="1" applyAlignment="1">
      <alignment vertical="center"/>
    </xf>
    <xf numFmtId="0" fontId="168" fillId="0" borderId="0" xfId="2" applyFont="1" applyAlignment="1">
      <alignment vertical="center"/>
    </xf>
    <xf numFmtId="0" fontId="15" fillId="0" borderId="0" xfId="2" applyAlignment="1">
      <alignment vertical="center"/>
    </xf>
    <xf numFmtId="0" fontId="170" fillId="35" borderId="95" xfId="2" applyFont="1" applyFill="1" applyBorder="1" applyAlignment="1">
      <alignment vertical="center" wrapText="1"/>
    </xf>
    <xf numFmtId="0" fontId="170" fillId="35" borderId="96" xfId="2" applyFont="1" applyFill="1" applyBorder="1" applyAlignment="1">
      <alignment vertical="center" wrapText="1"/>
    </xf>
    <xf numFmtId="0" fontId="170" fillId="35" borderId="96" xfId="2" applyFont="1" applyFill="1" applyBorder="1" applyAlignment="1">
      <alignment horizontal="right" vertical="center"/>
    </xf>
    <xf numFmtId="0" fontId="170" fillId="35" borderId="97" xfId="2" applyFont="1" applyFill="1" applyBorder="1" applyAlignment="1">
      <alignment horizontal="right" vertical="center"/>
    </xf>
    <xf numFmtId="0" fontId="168" fillId="36" borderId="95" xfId="2" applyFont="1" applyFill="1" applyBorder="1" applyAlignment="1">
      <alignment vertical="center"/>
    </xf>
    <xf numFmtId="2" fontId="168" fillId="36" borderId="96" xfId="2" applyNumberFormat="1" applyFont="1" applyFill="1" applyBorder="1" applyAlignment="1">
      <alignment vertical="center"/>
    </xf>
    <xf numFmtId="2" fontId="168" fillId="36" borderId="97" xfId="2" applyNumberFormat="1" applyFont="1" applyFill="1" applyBorder="1" applyAlignment="1">
      <alignment vertical="center"/>
    </xf>
    <xf numFmtId="0" fontId="168" fillId="0" borderId="95" xfId="2" applyFont="1" applyBorder="1" applyAlignment="1">
      <alignment vertical="center"/>
    </xf>
    <xf numFmtId="2" fontId="168" fillId="0" borderId="96" xfId="2" applyNumberFormat="1" applyFont="1" applyBorder="1" applyAlignment="1">
      <alignment vertical="center"/>
    </xf>
    <xf numFmtId="2" fontId="168" fillId="0" borderId="97" xfId="2" applyNumberFormat="1" applyFont="1" applyBorder="1" applyAlignment="1">
      <alignment vertical="center"/>
    </xf>
    <xf numFmtId="0" fontId="170" fillId="35" borderId="95" xfId="2" applyFont="1" applyFill="1" applyBorder="1" applyAlignment="1">
      <alignment vertical="center"/>
    </xf>
    <xf numFmtId="0" fontId="15" fillId="36" borderId="95" xfId="2" applyFill="1" applyBorder="1" applyAlignment="1">
      <alignment vertical="center"/>
    </xf>
    <xf numFmtId="0" fontId="15" fillId="36" borderId="97" xfId="2" applyFill="1" applyBorder="1" applyAlignment="1">
      <alignment vertical="center"/>
    </xf>
    <xf numFmtId="191" fontId="15" fillId="36" borderId="97" xfId="2" applyNumberFormat="1" applyFill="1" applyBorder="1" applyAlignment="1">
      <alignment vertical="center"/>
    </xf>
    <xf numFmtId="0" fontId="15" fillId="0" borderId="95" xfId="2" applyBorder="1" applyAlignment="1">
      <alignment vertical="center"/>
    </xf>
    <xf numFmtId="0" fontId="15" fillId="0" borderId="97" xfId="2" applyBorder="1" applyAlignment="1">
      <alignment vertical="center"/>
    </xf>
    <xf numFmtId="191" fontId="15" fillId="0" borderId="97" xfId="2" applyNumberFormat="1" applyBorder="1" applyAlignment="1">
      <alignment vertical="center"/>
    </xf>
    <xf numFmtId="2" fontId="15" fillId="36" borderId="97" xfId="2" applyNumberFormat="1" applyFill="1" applyBorder="1" applyAlignment="1">
      <alignment vertical="center"/>
    </xf>
    <xf numFmtId="2" fontId="15" fillId="0" borderId="97" xfId="2" applyNumberFormat="1" applyBorder="1" applyAlignment="1">
      <alignment vertical="center"/>
    </xf>
    <xf numFmtId="0" fontId="15" fillId="0" borderId="98" xfId="2" applyBorder="1" applyAlignment="1">
      <alignment vertical="center"/>
    </xf>
    <xf numFmtId="191" fontId="15" fillId="0" borderId="99" xfId="2" applyNumberFormat="1" applyBorder="1" applyAlignment="1">
      <alignment vertical="center"/>
    </xf>
    <xf numFmtId="2" fontId="15" fillId="0" borderId="99" xfId="2" applyNumberFormat="1" applyBorder="1" applyAlignment="1">
      <alignment vertical="center"/>
    </xf>
    <xf numFmtId="0" fontId="168" fillId="36" borderId="98" xfId="2" applyFont="1" applyFill="1" applyBorder="1" applyAlignment="1">
      <alignment vertical="center"/>
    </xf>
    <xf numFmtId="2" fontId="168" fillId="36" borderId="100" xfId="2" applyNumberFormat="1" applyFont="1" applyFill="1" applyBorder="1" applyAlignment="1">
      <alignment vertical="center"/>
    </xf>
    <xf numFmtId="2" fontId="168" fillId="36" borderId="99" xfId="2" applyNumberFormat="1" applyFont="1" applyFill="1" applyBorder="1" applyAlignment="1">
      <alignment vertical="center"/>
    </xf>
    <xf numFmtId="0" fontId="168" fillId="0" borderId="21" xfId="2" applyFont="1" applyBorder="1" applyAlignment="1">
      <alignment vertical="center"/>
    </xf>
    <xf numFmtId="0" fontId="15" fillId="0" borderId="43" xfId="2" applyBorder="1" applyAlignment="1">
      <alignment vertical="center"/>
    </xf>
    <xf numFmtId="0" fontId="15" fillId="0" borderId="44" xfId="2" applyBorder="1" applyAlignment="1">
      <alignment vertical="center"/>
    </xf>
    <xf numFmtId="0" fontId="168" fillId="0" borderId="22" xfId="2" applyFont="1" applyBorder="1" applyAlignment="1">
      <alignment vertical="center"/>
    </xf>
    <xf numFmtId="0" fontId="15" fillId="0" borderId="29" xfId="2" applyBorder="1" applyAlignment="1">
      <alignment vertical="center"/>
    </xf>
    <xf numFmtId="0" fontId="168" fillId="0" borderId="25" xfId="2" applyFont="1" applyBorder="1" applyAlignment="1">
      <alignment vertical="center"/>
    </xf>
    <xf numFmtId="0" fontId="15" fillId="0" borderId="35" xfId="2" applyBorder="1" applyAlignment="1">
      <alignment vertical="center"/>
    </xf>
    <xf numFmtId="0" fontId="15" fillId="0" borderId="32" xfId="2" applyBorder="1" applyAlignment="1">
      <alignment vertical="center"/>
    </xf>
    <xf numFmtId="0" fontId="168" fillId="33" borderId="0" xfId="8" applyFont="1" applyFill="1" applyAlignment="1">
      <alignment vertical="center"/>
    </xf>
    <xf numFmtId="2" fontId="15" fillId="0" borderId="0" xfId="6" applyNumberFormat="1" applyFont="1"/>
    <xf numFmtId="0" fontId="170" fillId="35" borderId="96" xfId="2" applyFont="1" applyFill="1" applyBorder="1" applyAlignment="1">
      <alignment vertical="center"/>
    </xf>
    <xf numFmtId="0" fontId="170" fillId="35" borderId="97" xfId="2" applyFont="1" applyFill="1" applyBorder="1" applyAlignment="1">
      <alignment vertical="center"/>
    </xf>
    <xf numFmtId="0" fontId="168" fillId="36" borderId="96" xfId="2" applyFont="1" applyFill="1" applyBorder="1" applyAlignment="1">
      <alignment vertical="center"/>
    </xf>
    <xf numFmtId="0" fontId="168" fillId="0" borderId="96" xfId="2" applyFont="1" applyBorder="1" applyAlignment="1">
      <alignment vertical="center"/>
    </xf>
    <xf numFmtId="0" fontId="15" fillId="36" borderId="98" xfId="2" applyFill="1" applyBorder="1" applyAlignment="1">
      <alignment vertical="center"/>
    </xf>
    <xf numFmtId="2" fontId="15" fillId="36" borderId="99" xfId="2" applyNumberFormat="1" applyFill="1" applyBorder="1" applyAlignment="1">
      <alignment vertical="center"/>
    </xf>
    <xf numFmtId="2" fontId="15" fillId="0" borderId="44" xfId="2" applyNumberFormat="1" applyBorder="1" applyAlignment="1">
      <alignment vertical="center"/>
    </xf>
    <xf numFmtId="2" fontId="15" fillId="0" borderId="29" xfId="2" applyNumberFormat="1" applyBorder="1" applyAlignment="1">
      <alignment vertical="center"/>
    </xf>
    <xf numFmtId="2" fontId="15" fillId="0" borderId="32" xfId="2" applyNumberFormat="1" applyBorder="1" applyAlignment="1">
      <alignment vertical="center"/>
    </xf>
    <xf numFmtId="0" fontId="168" fillId="36" borderId="100" xfId="2" applyFont="1" applyFill="1" applyBorder="1" applyAlignment="1">
      <alignment vertical="center"/>
    </xf>
    <xf numFmtId="9" fontId="15" fillId="0" borderId="0" xfId="2" applyNumberFormat="1"/>
    <xf numFmtId="0" fontId="15" fillId="0" borderId="0" xfId="2" applyAlignment="1">
      <alignment wrapText="1"/>
    </xf>
    <xf numFmtId="165" fontId="15" fillId="0" borderId="0" xfId="2" applyNumberFormat="1"/>
    <xf numFmtId="9" fontId="15" fillId="0" borderId="0" xfId="6" applyFont="1"/>
    <xf numFmtId="0" fontId="168" fillId="32" borderId="0" xfId="8" applyFont="1" applyFill="1" applyAlignment="1">
      <alignment vertical="center"/>
    </xf>
    <xf numFmtId="2" fontId="15" fillId="0" borderId="0" xfId="2" applyNumberFormat="1" applyAlignment="1">
      <alignment vertical="center"/>
    </xf>
    <xf numFmtId="0" fontId="170" fillId="35" borderId="1" xfId="2" applyFont="1" applyFill="1" applyBorder="1" applyAlignment="1">
      <alignment horizontal="right" vertical="center"/>
    </xf>
    <xf numFmtId="2" fontId="15" fillId="36" borderId="101" xfId="2" applyNumberFormat="1" applyFill="1" applyBorder="1" applyAlignment="1">
      <alignment vertical="center"/>
    </xf>
    <xf numFmtId="0" fontId="168" fillId="34" borderId="0" xfId="8" applyFont="1" applyFill="1" applyAlignment="1">
      <alignment vertical="center"/>
    </xf>
    <xf numFmtId="2" fontId="15" fillId="36" borderId="98" xfId="2" applyNumberFormat="1" applyFill="1" applyBorder="1" applyAlignment="1">
      <alignment vertical="center"/>
    </xf>
    <xf numFmtId="2" fontId="15" fillId="36" borderId="100" xfId="2" applyNumberFormat="1" applyFill="1" applyBorder="1" applyAlignment="1">
      <alignment vertical="center"/>
    </xf>
    <xf numFmtId="0" fontId="171" fillId="37" borderId="102" xfId="2" applyFont="1" applyFill="1" applyBorder="1" applyAlignment="1">
      <alignment horizontal="right" vertical="center" wrapText="1"/>
    </xf>
    <xf numFmtId="2" fontId="172" fillId="38" borderId="103" xfId="2" applyNumberFormat="1" applyFont="1" applyFill="1" applyBorder="1" applyAlignment="1">
      <alignment vertical="center" wrapText="1"/>
    </xf>
    <xf numFmtId="0" fontId="168" fillId="36" borderId="0" xfId="2" applyFont="1" applyFill="1" applyAlignment="1">
      <alignment vertical="center"/>
    </xf>
    <xf numFmtId="2" fontId="168" fillId="36" borderId="0" xfId="2" applyNumberFormat="1" applyFont="1" applyFill="1" applyAlignment="1">
      <alignment vertical="center"/>
    </xf>
    <xf numFmtId="0" fontId="173" fillId="14" borderId="0" xfId="8" applyFont="1" applyAlignment="1">
      <alignment vertical="center"/>
    </xf>
    <xf numFmtId="0" fontId="173" fillId="39" borderId="0" xfId="8" applyFont="1" applyFill="1" applyAlignment="1">
      <alignment vertical="center"/>
    </xf>
    <xf numFmtId="9" fontId="15" fillId="0" borderId="0" xfId="2" applyNumberFormat="1" applyAlignment="1">
      <alignment vertical="center"/>
    </xf>
    <xf numFmtId="0" fontId="169" fillId="0" borderId="0" xfId="2" applyFont="1"/>
    <xf numFmtId="0" fontId="168" fillId="0" borderId="0" xfId="2" applyFont="1"/>
    <xf numFmtId="0" fontId="170" fillId="35" borderId="95" xfId="2" applyFont="1" applyFill="1" applyBorder="1" applyAlignment="1">
      <alignment wrapText="1"/>
    </xf>
    <xf numFmtId="0" fontId="170" fillId="35" borderId="96" xfId="2" applyFont="1" applyFill="1" applyBorder="1" applyAlignment="1">
      <alignment wrapText="1"/>
    </xf>
    <xf numFmtId="0" fontId="170" fillId="35" borderId="96" xfId="2" applyFont="1" applyFill="1" applyBorder="1" applyAlignment="1">
      <alignment horizontal="right"/>
    </xf>
    <xf numFmtId="0" fontId="170" fillId="35" borderId="97" xfId="2" applyFont="1" applyFill="1" applyBorder="1" applyAlignment="1">
      <alignment horizontal="right"/>
    </xf>
    <xf numFmtId="0" fontId="168" fillId="36" borderId="95" xfId="2" applyFont="1" applyFill="1" applyBorder="1"/>
    <xf numFmtId="2" fontId="168" fillId="36" borderId="96" xfId="2" applyNumberFormat="1" applyFont="1" applyFill="1" applyBorder="1"/>
    <xf numFmtId="2" fontId="168" fillId="36" borderId="97" xfId="2" applyNumberFormat="1" applyFont="1" applyFill="1" applyBorder="1"/>
    <xf numFmtId="0" fontId="168" fillId="0" borderId="95" xfId="2" applyFont="1" applyBorder="1"/>
    <xf numFmtId="2" fontId="168" fillId="0" borderId="96" xfId="2" applyNumberFormat="1" applyFont="1" applyBorder="1"/>
    <xf numFmtId="2" fontId="168" fillId="0" borderId="97" xfId="2" applyNumberFormat="1" applyFont="1" applyBorder="1"/>
    <xf numFmtId="0" fontId="170" fillId="35" borderId="95" xfId="2" applyFont="1" applyFill="1" applyBorder="1"/>
    <xf numFmtId="0" fontId="15" fillId="36" borderId="95" xfId="2" applyFill="1" applyBorder="1"/>
    <xf numFmtId="0" fontId="15" fillId="36" borderId="97" xfId="2" applyFill="1" applyBorder="1"/>
    <xf numFmtId="191" fontId="15" fillId="36" borderId="97" xfId="2" applyNumberFormat="1" applyFill="1" applyBorder="1"/>
    <xf numFmtId="0" fontId="15" fillId="0" borderId="95" xfId="2" applyBorder="1"/>
    <xf numFmtId="0" fontId="15" fillId="0" borderId="97" xfId="2" applyBorder="1"/>
    <xf numFmtId="191" fontId="15" fillId="0" borderId="97" xfId="2" applyNumberFormat="1" applyBorder="1"/>
    <xf numFmtId="2" fontId="15" fillId="0" borderId="97" xfId="2" applyNumberFormat="1" applyBorder="1"/>
    <xf numFmtId="0" fontId="15" fillId="0" borderId="98" xfId="2" applyBorder="1"/>
    <xf numFmtId="191" fontId="15" fillId="0" borderId="99" xfId="2" applyNumberFormat="1" applyBorder="1"/>
    <xf numFmtId="2" fontId="15" fillId="36" borderId="97" xfId="2" applyNumberFormat="1" applyFill="1" applyBorder="1"/>
    <xf numFmtId="2" fontId="15" fillId="0" borderId="99" xfId="2" applyNumberFormat="1" applyBorder="1"/>
    <xf numFmtId="0" fontId="168" fillId="36" borderId="98" xfId="2" applyFont="1" applyFill="1" applyBorder="1"/>
    <xf numFmtId="2" fontId="168" fillId="36" borderId="100" xfId="2" applyNumberFormat="1" applyFont="1" applyFill="1" applyBorder="1"/>
    <xf numFmtId="2" fontId="168" fillId="36" borderId="99" xfId="2" applyNumberFormat="1" applyFont="1" applyFill="1" applyBorder="1"/>
    <xf numFmtId="0" fontId="170" fillId="35" borderId="1" xfId="2" applyFont="1" applyFill="1" applyBorder="1" applyAlignment="1">
      <alignment horizontal="right"/>
    </xf>
    <xf numFmtId="2" fontId="15" fillId="36" borderId="101" xfId="2" applyNumberFormat="1" applyFill="1" applyBorder="1"/>
    <xf numFmtId="0" fontId="168" fillId="36" borderId="0" xfId="2" applyFont="1" applyFill="1"/>
    <xf numFmtId="2" fontId="168" fillId="36" borderId="0" xfId="2" applyNumberFormat="1" applyFont="1" applyFill="1"/>
    <xf numFmtId="0" fontId="170" fillId="35" borderId="96" xfId="2" applyFont="1" applyFill="1" applyBorder="1"/>
    <xf numFmtId="0" fontId="170" fillId="35" borderId="97" xfId="2" applyFont="1" applyFill="1" applyBorder="1"/>
    <xf numFmtId="0" fontId="168" fillId="36" borderId="96" xfId="2" applyFont="1" applyFill="1" applyBorder="1"/>
    <xf numFmtId="0" fontId="170" fillId="35" borderId="97" xfId="2" applyFont="1" applyFill="1" applyBorder="1" applyAlignment="1">
      <alignment horizontal="right" vertical="top"/>
    </xf>
    <xf numFmtId="0" fontId="168" fillId="0" borderId="96" xfId="2" applyFont="1" applyBorder="1"/>
    <xf numFmtId="0" fontId="15" fillId="36" borderId="98" xfId="2" applyFill="1" applyBorder="1"/>
    <xf numFmtId="2" fontId="15" fillId="36" borderId="99" xfId="2" applyNumberFormat="1" applyFill="1" applyBorder="1"/>
    <xf numFmtId="0" fontId="168" fillId="36" borderId="100" xfId="2" applyFont="1" applyFill="1" applyBorder="1"/>
    <xf numFmtId="2" fontId="15" fillId="36" borderId="98" xfId="2" applyNumberFormat="1" applyFill="1" applyBorder="1"/>
    <xf numFmtId="2" fontId="15" fillId="36" borderId="100" xfId="2" applyNumberFormat="1" applyFill="1" applyBorder="1"/>
    <xf numFmtId="0" fontId="15" fillId="36" borderId="99" xfId="2" applyFill="1" applyBorder="1"/>
    <xf numFmtId="0" fontId="17" fillId="3" borderId="0" xfId="2" applyFont="1" applyFill="1" applyAlignment="1">
      <alignment vertical="center"/>
    </xf>
    <xf numFmtId="0" fontId="131" fillId="0" borderId="0" xfId="2" applyFont="1"/>
    <xf numFmtId="0" fontId="15" fillId="0" borderId="0" xfId="2" applyAlignment="1">
      <alignment horizontal="left"/>
    </xf>
    <xf numFmtId="165" fontId="15" fillId="0" borderId="0" xfId="2" applyNumberFormat="1" applyAlignment="1">
      <alignment horizontal="center" vertical="center"/>
    </xf>
    <xf numFmtId="10" fontId="15" fillId="0" borderId="0" xfId="2" applyNumberFormat="1"/>
    <xf numFmtId="0" fontId="15" fillId="42" borderId="0" xfId="2" applyFill="1"/>
    <xf numFmtId="0" fontId="67" fillId="43" borderId="0" xfId="2" applyFont="1" applyFill="1" applyAlignment="1">
      <alignment vertical="center"/>
    </xf>
    <xf numFmtId="0" fontId="15" fillId="15" borderId="0" xfId="2" applyFill="1" applyAlignment="1">
      <alignment horizontal="left"/>
    </xf>
    <xf numFmtId="0" fontId="15" fillId="15" borderId="0" xfId="2" applyFill="1" applyAlignment="1">
      <alignment wrapText="1"/>
    </xf>
    <xf numFmtId="0" fontId="76" fillId="0" borderId="0" xfId="2" applyFont="1" applyAlignment="1">
      <alignment horizontal="center"/>
    </xf>
    <xf numFmtId="0" fontId="174" fillId="0" borderId="0" xfId="2" applyFont="1"/>
    <xf numFmtId="0" fontId="66" fillId="15" borderId="0" xfId="2" applyFont="1" applyFill="1" applyAlignment="1">
      <alignment wrapText="1"/>
    </xf>
    <xf numFmtId="0" fontId="66" fillId="0" borderId="0" xfId="2" applyFont="1"/>
    <xf numFmtId="0" fontId="175" fillId="0" borderId="0" xfId="2" applyFont="1" applyAlignment="1">
      <alignment horizontal="center"/>
    </xf>
    <xf numFmtId="0" fontId="176" fillId="0" borderId="0" xfId="2" applyFont="1" applyAlignment="1">
      <alignment horizontal="left"/>
    </xf>
    <xf numFmtId="0" fontId="75" fillId="28" borderId="0" xfId="2" applyFont="1" applyFill="1" applyAlignment="1">
      <alignment horizontal="center" wrapText="1"/>
    </xf>
    <xf numFmtId="0" fontId="176" fillId="0" borderId="0" xfId="2" applyFont="1"/>
    <xf numFmtId="0" fontId="173" fillId="44" borderId="0" xfId="2" applyFont="1" applyFill="1" applyAlignment="1">
      <alignment horizontal="left"/>
    </xf>
    <xf numFmtId="0" fontId="155" fillId="0" borderId="0" xfId="2" applyFont="1" applyAlignment="1">
      <alignment horizontal="centerContinuous"/>
    </xf>
    <xf numFmtId="0" fontId="177" fillId="0" borderId="0" xfId="2" applyFont="1" applyAlignment="1">
      <alignment horizontal="center"/>
    </xf>
    <xf numFmtId="0" fontId="176" fillId="0" borderId="0" xfId="2" applyFont="1" applyAlignment="1">
      <alignment vertical="top"/>
    </xf>
    <xf numFmtId="0" fontId="15" fillId="0" borderId="0" xfId="2" applyAlignment="1">
      <alignment horizontal="center"/>
    </xf>
    <xf numFmtId="0" fontId="179" fillId="16" borderId="0" xfId="2" applyFont="1" applyFill="1"/>
    <xf numFmtId="0" fontId="174" fillId="0" borderId="0" xfId="2" applyFont="1" applyAlignment="1">
      <alignment horizontal="center"/>
    </xf>
    <xf numFmtId="0" fontId="175" fillId="28" borderId="0" xfId="2" applyFont="1" applyFill="1" applyAlignment="1">
      <alignment horizontal="right" indent="1"/>
    </xf>
    <xf numFmtId="0" fontId="15" fillId="22" borderId="0" xfId="2" applyFill="1" applyAlignment="1">
      <alignment horizontal="center" vertical="center"/>
    </xf>
    <xf numFmtId="0" fontId="180" fillId="0" borderId="0" xfId="2" applyFont="1"/>
    <xf numFmtId="0" fontId="180" fillId="0" borderId="0" xfId="2" applyFont="1" applyAlignment="1">
      <alignment wrapText="1"/>
    </xf>
    <xf numFmtId="0" fontId="180" fillId="15" borderId="0" xfId="2" applyFont="1" applyFill="1"/>
    <xf numFmtId="0" fontId="66" fillId="15" borderId="0" xfId="2" applyFont="1" applyFill="1" applyAlignment="1">
      <alignment horizontal="left" vertical="center"/>
    </xf>
    <xf numFmtId="0" fontId="66" fillId="15" borderId="0" xfId="2" applyFont="1" applyFill="1" applyAlignment="1">
      <alignment horizontal="center" vertical="center"/>
    </xf>
    <xf numFmtId="0" fontId="66" fillId="15" borderId="3" xfId="2" applyFont="1" applyFill="1" applyBorder="1" applyAlignment="1">
      <alignment horizontal="center" vertical="center"/>
    </xf>
    <xf numFmtId="0" fontId="66" fillId="15" borderId="0" xfId="2" applyFont="1" applyFill="1" applyAlignment="1">
      <alignment horizontal="center" vertical="center" wrapText="1"/>
    </xf>
    <xf numFmtId="2" fontId="181" fillId="15" borderId="0" xfId="2" applyNumberFormat="1" applyFont="1" applyFill="1" applyAlignment="1">
      <alignment horizontal="center" vertical="center"/>
    </xf>
    <xf numFmtId="2" fontId="181" fillId="15" borderId="0" xfId="2" applyNumberFormat="1" applyFont="1" applyFill="1" applyAlignment="1">
      <alignment horizontal="center" vertical="center" wrapText="1"/>
    </xf>
    <xf numFmtId="2" fontId="66" fillId="15" borderId="0" xfId="2" applyNumberFormat="1" applyFont="1" applyFill="1" applyAlignment="1">
      <alignment horizontal="center" vertical="center"/>
    </xf>
    <xf numFmtId="0" fontId="15" fillId="0" borderId="0" xfId="2" applyAlignment="1">
      <alignment horizontal="center" vertical="center"/>
    </xf>
    <xf numFmtId="2" fontId="15" fillId="0" borderId="0" xfId="2" applyNumberFormat="1" applyAlignment="1">
      <alignment horizontal="center" vertical="center"/>
    </xf>
    <xf numFmtId="2" fontId="20" fillId="0" borderId="0" xfId="2" applyNumberFormat="1" applyFont="1" applyAlignment="1">
      <alignment horizontal="center" vertical="center" wrapText="1"/>
    </xf>
    <xf numFmtId="2" fontId="15" fillId="0" borderId="0" xfId="2" applyNumberFormat="1" applyAlignment="1">
      <alignment wrapText="1"/>
    </xf>
    <xf numFmtId="10" fontId="15" fillId="0" borderId="0" xfId="2" applyNumberFormat="1" applyAlignment="1">
      <alignment horizontal="center" vertical="center"/>
    </xf>
    <xf numFmtId="0" fontId="66" fillId="15" borderId="3" xfId="2" applyFont="1" applyFill="1" applyBorder="1"/>
    <xf numFmtId="201" fontId="66" fillId="15" borderId="0" xfId="2" applyNumberFormat="1" applyFont="1" applyFill="1" applyAlignment="1">
      <alignment horizontal="center" vertical="center"/>
    </xf>
    <xf numFmtId="198" fontId="66" fillId="15" borderId="0" xfId="2" applyNumberFormat="1" applyFont="1" applyFill="1" applyAlignment="1">
      <alignment horizontal="center" vertical="center"/>
    </xf>
    <xf numFmtId="2" fontId="15" fillId="0" borderId="33" xfId="2" applyNumberFormat="1" applyBorder="1" applyAlignment="1">
      <alignment horizontal="center" vertical="center"/>
    </xf>
    <xf numFmtId="2" fontId="174" fillId="0" borderId="0" xfId="2" applyNumberFormat="1" applyFont="1" applyAlignment="1">
      <alignment horizontal="center" vertical="center"/>
    </xf>
    <xf numFmtId="0" fontId="66" fillId="15" borderId="109" xfId="2" applyFont="1" applyFill="1" applyBorder="1"/>
    <xf numFmtId="194" fontId="66" fillId="15" borderId="0" xfId="2" applyNumberFormat="1" applyFont="1" applyFill="1" applyAlignment="1">
      <alignment horizontal="center" vertical="center"/>
    </xf>
    <xf numFmtId="195" fontId="66" fillId="15" borderId="0" xfId="2" applyNumberFormat="1" applyFont="1" applyFill="1" applyAlignment="1">
      <alignment horizontal="center" vertical="center"/>
    </xf>
    <xf numFmtId="0" fontId="181" fillId="15" borderId="0" xfId="2" applyFont="1" applyFill="1" applyAlignment="1">
      <alignment horizontal="right"/>
    </xf>
    <xf numFmtId="202" fontId="66" fillId="15" borderId="0" xfId="2" applyNumberFormat="1" applyFont="1" applyFill="1" applyAlignment="1">
      <alignment horizontal="center" vertical="center"/>
    </xf>
    <xf numFmtId="203" fontId="66" fillId="15" borderId="0" xfId="2" applyNumberFormat="1" applyFont="1" applyFill="1" applyAlignment="1">
      <alignment horizontal="center" vertical="center"/>
    </xf>
    <xf numFmtId="0" fontId="155" fillId="0" borderId="0" xfId="2" applyFont="1" applyAlignment="1">
      <alignment horizontal="center" vertical="center"/>
    </xf>
    <xf numFmtId="2" fontId="155" fillId="0" borderId="0" xfId="2" applyNumberFormat="1" applyFont="1" applyAlignment="1">
      <alignment horizontal="center" vertical="center"/>
    </xf>
    <xf numFmtId="0" fontId="94" fillId="15" borderId="0" xfId="2" applyFont="1" applyFill="1" applyAlignment="1">
      <alignment horizontal="center" vertical="center" wrapText="1"/>
    </xf>
    <xf numFmtId="0" fontId="15" fillId="15" borderId="0" xfId="2" applyFill="1" applyAlignment="1">
      <alignment horizontal="center" vertical="center"/>
    </xf>
    <xf numFmtId="165" fontId="15" fillId="15" borderId="0" xfId="2" applyNumberFormat="1" applyFill="1" applyAlignment="1">
      <alignment horizontal="center" vertical="center"/>
    </xf>
    <xf numFmtId="0" fontId="15" fillId="42" borderId="0" xfId="2" applyFill="1" applyAlignment="1">
      <alignment horizontal="left"/>
    </xf>
    <xf numFmtId="0" fontId="15" fillId="42" borderId="0" xfId="2" applyFill="1" applyAlignment="1">
      <alignment horizontal="center" vertical="center"/>
    </xf>
    <xf numFmtId="0" fontId="183" fillId="42" borderId="0" xfId="2" applyFont="1" applyFill="1" applyAlignment="1">
      <alignment horizontal="center" vertical="center"/>
    </xf>
    <xf numFmtId="165" fontId="15" fillId="42" borderId="0" xfId="2" applyNumberFormat="1" applyFill="1" applyAlignment="1">
      <alignment horizontal="center" vertical="center"/>
    </xf>
    <xf numFmtId="2" fontId="15" fillId="42" borderId="0" xfId="2" applyNumberFormat="1" applyFill="1"/>
    <xf numFmtId="2" fontId="15" fillId="42" borderId="0" xfId="2" applyNumberFormat="1" applyFill="1" applyAlignment="1">
      <alignment wrapText="1"/>
    </xf>
    <xf numFmtId="10" fontId="15" fillId="42" borderId="0" xfId="2" applyNumberFormat="1" applyFill="1"/>
    <xf numFmtId="0" fontId="15" fillId="50" borderId="0" xfId="2" applyFill="1"/>
    <xf numFmtId="0" fontId="15" fillId="50" borderId="0" xfId="2" applyFill="1" applyAlignment="1">
      <alignment horizontal="left"/>
    </xf>
    <xf numFmtId="0" fontId="15" fillId="16" borderId="0" xfId="2" applyFill="1" applyAlignment="1">
      <alignment wrapText="1"/>
    </xf>
    <xf numFmtId="165" fontId="15" fillId="16" borderId="0" xfId="2" applyNumberFormat="1" applyFill="1" applyAlignment="1">
      <alignment horizontal="center" vertical="center"/>
    </xf>
    <xf numFmtId="10" fontId="15" fillId="16" borderId="0" xfId="2" applyNumberFormat="1" applyFill="1"/>
    <xf numFmtId="0" fontId="176" fillId="50" borderId="0" xfId="2" applyFont="1" applyFill="1"/>
    <xf numFmtId="0" fontId="176" fillId="16" borderId="0" xfId="2" applyFont="1" applyFill="1"/>
    <xf numFmtId="0" fontId="15" fillId="16" borderId="0" xfId="2" applyFill="1" applyAlignment="1">
      <alignment horizontal="right" indent="1"/>
    </xf>
    <xf numFmtId="0" fontId="175" fillId="16" borderId="0" xfId="2" applyFont="1" applyFill="1" applyAlignment="1">
      <alignment horizontal="right" indent="1"/>
    </xf>
    <xf numFmtId="0" fontId="174" fillId="16" borderId="0" xfId="2" applyFont="1" applyFill="1"/>
    <xf numFmtId="0" fontId="15" fillId="16" borderId="115" xfId="2" applyFill="1" applyBorder="1" applyAlignment="1">
      <alignment horizontal="center" wrapText="1"/>
    </xf>
    <xf numFmtId="0" fontId="15" fillId="16" borderId="0" xfId="2" applyFill="1" applyAlignment="1">
      <alignment horizontal="left" vertical="center" wrapText="1"/>
    </xf>
    <xf numFmtId="0" fontId="15" fillId="10" borderId="0" xfId="2" applyFill="1" applyAlignment="1">
      <alignment horizontal="right" vertical="center"/>
    </xf>
    <xf numFmtId="165" fontId="15" fillId="10" borderId="0" xfId="2" applyNumberFormat="1" applyFill="1" applyAlignment="1">
      <alignment vertical="center" wrapText="1"/>
    </xf>
    <xf numFmtId="0" fontId="15" fillId="10" borderId="0" xfId="2" applyFill="1" applyAlignment="1">
      <alignment horizontal="center" vertical="center" wrapText="1"/>
    </xf>
    <xf numFmtId="0" fontId="15" fillId="16" borderId="0" xfId="2" applyFill="1" applyAlignment="1">
      <alignment horizontal="center"/>
    </xf>
    <xf numFmtId="0" fontId="15" fillId="16" borderId="45" xfId="2" applyFill="1" applyBorder="1" applyAlignment="1">
      <alignment wrapText="1"/>
    </xf>
    <xf numFmtId="0" fontId="15" fillId="16" borderId="0" xfId="2" applyFill="1" applyAlignment="1">
      <alignment horizontal="right"/>
    </xf>
    <xf numFmtId="165" fontId="15" fillId="16" borderId="0" xfId="2" applyNumberFormat="1" applyFill="1" applyAlignment="1">
      <alignment vertical="center"/>
    </xf>
    <xf numFmtId="0" fontId="15" fillId="10" borderId="0" xfId="2" applyFill="1" applyAlignment="1">
      <alignment horizontal="right"/>
    </xf>
    <xf numFmtId="164" fontId="15" fillId="16" borderId="0" xfId="2" applyNumberFormat="1" applyFill="1" applyAlignment="1">
      <alignment vertical="center"/>
    </xf>
    <xf numFmtId="0" fontId="15" fillId="16" borderId="45" xfId="2" applyFill="1" applyBorder="1" applyAlignment="1">
      <alignment horizontal="center" wrapText="1"/>
    </xf>
    <xf numFmtId="0" fontId="176" fillId="16" borderId="0" xfId="2" applyFont="1" applyFill="1" applyAlignment="1">
      <alignment horizontal="center"/>
    </xf>
    <xf numFmtId="165" fontId="15" fillId="16" borderId="0" xfId="2" applyNumberFormat="1" applyFill="1"/>
    <xf numFmtId="164" fontId="15" fillId="16" borderId="0" xfId="2" applyNumberFormat="1" applyFill="1"/>
    <xf numFmtId="165" fontId="15" fillId="10" borderId="0" xfId="2" applyNumberFormat="1" applyFill="1" applyAlignment="1">
      <alignment horizontal="center" vertical="center"/>
    </xf>
    <xf numFmtId="0" fontId="15" fillId="16" borderId="0" xfId="2" applyFill="1" applyAlignment="1">
      <alignment horizontal="center" wrapText="1"/>
    </xf>
    <xf numFmtId="0" fontId="184" fillId="16" borderId="0" xfId="2" applyFont="1" applyFill="1" applyAlignment="1">
      <alignment horizontal="right"/>
    </xf>
    <xf numFmtId="0" fontId="15" fillId="46" borderId="0" xfId="2" applyFill="1"/>
    <xf numFmtId="0" fontId="15" fillId="16" borderId="0" xfId="2" applyFill="1" applyAlignment="1">
      <alignment horizontal="left"/>
    </xf>
    <xf numFmtId="0" fontId="15" fillId="10" borderId="0" xfId="2" applyFill="1" applyAlignment="1">
      <alignment horizontal="right" wrapText="1"/>
    </xf>
    <xf numFmtId="165" fontId="15" fillId="10" borderId="0" xfId="2" applyNumberFormat="1" applyFill="1"/>
    <xf numFmtId="0" fontId="87" fillId="16" borderId="0" xfId="2" applyFont="1" applyFill="1"/>
    <xf numFmtId="0" fontId="185" fillId="12" borderId="0" xfId="2" applyFont="1" applyFill="1"/>
    <xf numFmtId="0" fontId="15" fillId="12" borderId="0" xfId="2" applyFill="1"/>
    <xf numFmtId="0" fontId="15" fillId="16" borderId="0" xfId="2" applyFill="1" applyAlignment="1">
      <alignment horizontal="right" wrapText="1"/>
    </xf>
    <xf numFmtId="165" fontId="15" fillId="12" borderId="0" xfId="2" applyNumberFormat="1" applyFill="1"/>
    <xf numFmtId="0" fontId="184" fillId="16" borderId="0" xfId="2" applyFont="1" applyFill="1" applyAlignment="1">
      <alignment horizontal="center"/>
    </xf>
    <xf numFmtId="0" fontId="15" fillId="12" borderId="0" xfId="2" applyFill="1" applyAlignment="1">
      <alignment horizontal="right" wrapText="1"/>
    </xf>
    <xf numFmtId="165" fontId="15" fillId="16" borderId="0" xfId="2" applyNumberFormat="1" applyFill="1" applyAlignment="1">
      <alignment horizontal="center"/>
    </xf>
    <xf numFmtId="165" fontId="15" fillId="16" borderId="0" xfId="2" applyNumberFormat="1" applyFill="1" applyAlignment="1">
      <alignment horizontal="right" indent="1"/>
    </xf>
    <xf numFmtId="204" fontId="0" fillId="0" borderId="0" xfId="6" applyNumberFormat="1" applyFont="1"/>
    <xf numFmtId="0" fontId="155" fillId="16" borderId="0" xfId="2" applyFont="1" applyFill="1" applyAlignment="1">
      <alignment horizontal="left"/>
    </xf>
    <xf numFmtId="0" fontId="174" fillId="16" borderId="0" xfId="2" applyFont="1" applyFill="1" applyAlignment="1">
      <alignment wrapText="1"/>
    </xf>
    <xf numFmtId="0" fontId="184" fillId="16" borderId="0" xfId="2" applyFont="1" applyFill="1"/>
    <xf numFmtId="0" fontId="178" fillId="16" borderId="0" xfId="2" applyFont="1" applyFill="1"/>
    <xf numFmtId="0" fontId="155" fillId="16" borderId="0" xfId="2" applyFont="1" applyFill="1" applyAlignment="1">
      <alignment wrapText="1"/>
    </xf>
    <xf numFmtId="10" fontId="15" fillId="16" borderId="0" xfId="2" applyNumberFormat="1" applyFill="1" applyAlignment="1">
      <alignment wrapText="1"/>
    </xf>
    <xf numFmtId="0" fontId="155" fillId="16" borderId="0" xfId="2" applyFont="1" applyFill="1"/>
    <xf numFmtId="1" fontId="15" fillId="16" borderId="0" xfId="2" applyNumberFormat="1" applyFill="1"/>
    <xf numFmtId="194" fontId="15" fillId="16" borderId="0" xfId="2" applyNumberFormat="1" applyFill="1"/>
    <xf numFmtId="0" fontId="187" fillId="0" borderId="109" xfId="2" applyFont="1" applyBorder="1" applyAlignment="1">
      <alignment horizontal="right"/>
    </xf>
    <xf numFmtId="0" fontId="76" fillId="0" borderId="7" xfId="2" applyFont="1" applyBorder="1" applyAlignment="1">
      <alignment horizontal="right" indent="1"/>
    </xf>
    <xf numFmtId="0" fontId="76" fillId="0" borderId="0" xfId="2" applyFont="1" applyAlignment="1">
      <alignment horizontal="right" indent="1"/>
    </xf>
    <xf numFmtId="0" fontId="15" fillId="51" borderId="0" xfId="2" applyFill="1"/>
    <xf numFmtId="0" fontId="15" fillId="51" borderId="0" xfId="2" applyFill="1" applyAlignment="1">
      <alignment horizontal="right" indent="1"/>
    </xf>
    <xf numFmtId="0" fontId="15" fillId="51" borderId="10" xfId="2" applyFill="1" applyBorder="1"/>
    <xf numFmtId="0" fontId="131" fillId="0" borderId="109" xfId="2" applyFont="1" applyBorder="1"/>
    <xf numFmtId="0" fontId="131" fillId="0" borderId="5" xfId="2" applyFont="1" applyBorder="1"/>
    <xf numFmtId="0" fontId="15" fillId="52" borderId="0" xfId="2" applyFill="1"/>
    <xf numFmtId="0" fontId="155" fillId="51" borderId="10" xfId="2" applyFont="1" applyFill="1" applyBorder="1"/>
    <xf numFmtId="0" fontId="76" fillId="0" borderId="117" xfId="2" applyFont="1" applyBorder="1" applyAlignment="1">
      <alignment horizontal="right" indent="1"/>
    </xf>
    <xf numFmtId="0" fontId="15" fillId="51" borderId="117" xfId="2" applyFill="1" applyBorder="1" applyAlignment="1">
      <alignment horizontal="left"/>
    </xf>
    <xf numFmtId="0" fontId="15" fillId="51" borderId="117" xfId="2" applyFill="1" applyBorder="1" applyAlignment="1">
      <alignment horizontal="right" indent="1"/>
    </xf>
    <xf numFmtId="0" fontId="15" fillId="51" borderId="118" xfId="2" applyFill="1" applyBorder="1"/>
    <xf numFmtId="0" fontId="188" fillId="0" borderId="0" xfId="2" applyFont="1" applyAlignment="1">
      <alignment vertical="center"/>
    </xf>
    <xf numFmtId="0" fontId="76" fillId="0" borderId="109" xfId="2" applyFont="1" applyBorder="1" applyAlignment="1">
      <alignment horizontal="right" indent="1"/>
    </xf>
    <xf numFmtId="0" fontId="15" fillId="0" borderId="5" xfId="2" applyBorder="1"/>
    <xf numFmtId="0" fontId="20" fillId="0" borderId="5" xfId="2" applyFont="1" applyBorder="1"/>
    <xf numFmtId="0" fontId="67" fillId="45" borderId="109" xfId="2" applyFont="1" applyFill="1" applyBorder="1" applyAlignment="1">
      <alignment horizontal="center"/>
    </xf>
    <xf numFmtId="0" fontId="67" fillId="0" borderId="109" xfId="2" applyFont="1" applyBorder="1"/>
    <xf numFmtId="0" fontId="66" fillId="26" borderId="0" xfId="2" applyFont="1" applyFill="1"/>
    <xf numFmtId="0" fontId="66" fillId="26" borderId="5" xfId="2" applyFont="1" applyFill="1" applyBorder="1"/>
    <xf numFmtId="49" fontId="66" fillId="0" borderId="109" xfId="2" applyNumberFormat="1" applyFont="1" applyBorder="1" applyAlignment="1">
      <alignment horizontal="center" vertical="top"/>
    </xf>
    <xf numFmtId="0" fontId="15" fillId="15" borderId="0" xfId="2" applyFill="1" applyAlignment="1">
      <alignment vertical="center"/>
    </xf>
    <xf numFmtId="0" fontId="190" fillId="2" borderId="0" xfId="0" applyFont="1" applyFill="1"/>
    <xf numFmtId="0" fontId="32" fillId="2" borderId="1" xfId="0" applyFont="1" applyFill="1" applyBorder="1"/>
    <xf numFmtId="0" fontId="32" fillId="2" borderId="0" xfId="0" applyFont="1" applyFill="1"/>
    <xf numFmtId="0" fontId="32" fillId="40" borderId="104" xfId="0" applyFont="1" applyFill="1" applyBorder="1"/>
    <xf numFmtId="0" fontId="32" fillId="2" borderId="122" xfId="0" applyFont="1" applyFill="1" applyBorder="1"/>
    <xf numFmtId="0" fontId="32" fillId="2" borderId="123" xfId="0" applyFont="1" applyFill="1" applyBorder="1"/>
    <xf numFmtId="0" fontId="32" fillId="2" borderId="119" xfId="0" applyFont="1" applyFill="1" applyBorder="1"/>
    <xf numFmtId="0" fontId="32" fillId="2" borderId="111" xfId="0" applyFont="1" applyFill="1" applyBorder="1" applyAlignment="1">
      <alignment horizontal="center"/>
    </xf>
    <xf numFmtId="0" fontId="28" fillId="0" borderId="104" xfId="0" applyFont="1" applyBorder="1"/>
    <xf numFmtId="0" fontId="28" fillId="0" borderId="97" xfId="0" applyFont="1" applyBorder="1"/>
    <xf numFmtId="0" fontId="28" fillId="0" borderId="1" xfId="0" applyFont="1" applyBorder="1"/>
    <xf numFmtId="0" fontId="28" fillId="0" borderId="95" xfId="0" applyFont="1" applyBorder="1"/>
    <xf numFmtId="0" fontId="191" fillId="0" borderId="0" xfId="0" applyFont="1"/>
    <xf numFmtId="0" fontId="192" fillId="0" borderId="0" xfId="0" applyFont="1"/>
    <xf numFmtId="0" fontId="28" fillId="0" borderId="99" xfId="0" applyFont="1" applyBorder="1"/>
    <xf numFmtId="0" fontId="28" fillId="0" borderId="101" xfId="0" applyFont="1" applyBorder="1"/>
    <xf numFmtId="0" fontId="28" fillId="0" borderId="98" xfId="0" applyFont="1" applyBorder="1"/>
    <xf numFmtId="0" fontId="28" fillId="0" borderId="0" xfId="0" applyFont="1" applyAlignment="1">
      <alignment horizontal="left"/>
    </xf>
    <xf numFmtId="0" fontId="32" fillId="40" borderId="104" xfId="0" applyFont="1" applyFill="1" applyBorder="1" applyAlignment="1">
      <alignment horizontal="left"/>
    </xf>
    <xf numFmtId="0" fontId="28" fillId="0" borderId="104" xfId="0" applyFont="1" applyBorder="1" applyAlignment="1">
      <alignment horizontal="left"/>
    </xf>
    <xf numFmtId="0" fontId="28" fillId="0" borderId="107" xfId="0" applyFont="1" applyBorder="1" applyAlignment="1">
      <alignment horizontal="left"/>
    </xf>
    <xf numFmtId="0" fontId="28" fillId="0" borderId="0" xfId="0" applyFont="1" applyAlignment="1">
      <alignment vertical="top" wrapText="1"/>
    </xf>
    <xf numFmtId="0" fontId="190" fillId="2" borderId="0" xfId="0" applyFont="1" applyFill="1" applyAlignment="1">
      <alignment horizontal="center" wrapText="1"/>
    </xf>
    <xf numFmtId="0" fontId="194" fillId="0" borderId="0" xfId="0" applyFont="1"/>
    <xf numFmtId="0" fontId="194" fillId="0" borderId="0" xfId="0" applyFont="1" applyAlignment="1">
      <alignment horizontal="left"/>
    </xf>
    <xf numFmtId="0" fontId="195" fillId="0" borderId="0" xfId="0" applyFont="1" applyAlignment="1">
      <alignment horizontal="left"/>
    </xf>
    <xf numFmtId="0" fontId="195" fillId="0" borderId="0" xfId="0" applyFont="1"/>
    <xf numFmtId="0" fontId="196" fillId="0" borderId="0" xfId="0" applyFont="1"/>
    <xf numFmtId="0" fontId="35" fillId="0" borderId="0" xfId="1" applyFont="1"/>
    <xf numFmtId="0" fontId="28" fillId="0" borderId="0" xfId="0" applyFont="1" applyAlignment="1">
      <alignment horizontal="left" vertical="center"/>
    </xf>
    <xf numFmtId="0" fontId="28" fillId="0" borderId="0" xfId="0" applyFont="1" applyAlignment="1">
      <alignment horizontal="center"/>
    </xf>
    <xf numFmtId="0" fontId="197" fillId="0" borderId="0" xfId="0" applyFont="1"/>
    <xf numFmtId="0" fontId="28" fillId="0" borderId="0" xfId="0" applyFont="1" applyAlignment="1">
      <alignment vertical="top"/>
    </xf>
    <xf numFmtId="0" fontId="32" fillId="2" borderId="0" xfId="0" applyFont="1" applyFill="1" applyAlignment="1">
      <alignment horizontal="center" wrapText="1"/>
    </xf>
    <xf numFmtId="0" fontId="28" fillId="0" borderId="0" xfId="0" applyFont="1" applyAlignment="1">
      <alignment horizontal="left" vertical="top" wrapText="1"/>
    </xf>
    <xf numFmtId="0" fontId="198" fillId="0" borderId="0" xfId="0" applyFont="1"/>
    <xf numFmtId="0" fontId="32" fillId="2" borderId="0" xfId="0" applyFont="1" applyFill="1" applyAlignment="1">
      <alignment wrapText="1"/>
    </xf>
    <xf numFmtId="0" fontId="10" fillId="0" borderId="98" xfId="0" applyFont="1" applyBorder="1" applyAlignment="1">
      <alignment horizontal="right"/>
    </xf>
    <xf numFmtId="0" fontId="28" fillId="0" borderId="0" xfId="0" applyFont="1" applyAlignment="1">
      <alignment horizontal="left" wrapText="1"/>
    </xf>
    <xf numFmtId="0" fontId="28" fillId="0" borderId="0" xfId="0" applyFont="1" applyAlignment="1">
      <alignment horizontal="right" wrapText="1"/>
    </xf>
    <xf numFmtId="0" fontId="28" fillId="0" borderId="0" xfId="0" applyFont="1" applyAlignment="1">
      <alignment horizontal="centerContinuous"/>
    </xf>
    <xf numFmtId="0" fontId="192" fillId="0" borderId="0" xfId="0" applyFont="1" applyAlignment="1">
      <alignment horizontal="center"/>
    </xf>
    <xf numFmtId="0" fontId="32" fillId="2" borderId="105" xfId="0" applyFont="1" applyFill="1" applyBorder="1" applyAlignment="1">
      <alignment wrapText="1"/>
    </xf>
    <xf numFmtId="0" fontId="32" fillId="2" borderId="125" xfId="0" applyFont="1" applyFill="1" applyBorder="1" applyAlignment="1">
      <alignment vertical="top" wrapText="1"/>
    </xf>
    <xf numFmtId="0" fontId="32" fillId="2" borderId="125" xfId="0" applyFont="1" applyFill="1" applyBorder="1" applyAlignment="1">
      <alignment wrapText="1"/>
    </xf>
    <xf numFmtId="0" fontId="28" fillId="0" borderId="125" xfId="0" applyFont="1" applyBorder="1" applyAlignment="1">
      <alignment wrapText="1"/>
    </xf>
    <xf numFmtId="0" fontId="28" fillId="0" borderId="126" xfId="0" applyFont="1" applyBorder="1" applyAlignment="1">
      <alignment horizontal="right" wrapText="1"/>
    </xf>
    <xf numFmtId="0" fontId="28" fillId="0" borderId="0" xfId="0" applyFont="1" applyAlignment="1">
      <alignment horizontal="right" vertical="center" wrapText="1"/>
    </xf>
    <xf numFmtId="0" fontId="32" fillId="2" borderId="0" xfId="0" applyFont="1" applyFill="1" applyAlignment="1">
      <alignment horizontal="left" wrapText="1"/>
    </xf>
    <xf numFmtId="0" fontId="203" fillId="2" borderId="0" xfId="0" applyFont="1" applyFill="1" applyAlignment="1">
      <alignment wrapText="1"/>
    </xf>
    <xf numFmtId="0" fontId="28" fillId="0" borderId="106" xfId="0" applyFont="1" applyBorder="1" applyAlignment="1">
      <alignment horizontal="right"/>
    </xf>
    <xf numFmtId="0" fontId="28" fillId="0" borderId="127" xfId="0" applyFont="1" applyBorder="1" applyAlignment="1">
      <alignment horizontal="right"/>
    </xf>
    <xf numFmtId="0" fontId="28" fillId="0" borderId="0" xfId="0" applyFont="1" applyAlignment="1">
      <alignment horizontal="center" wrapText="1"/>
    </xf>
    <xf numFmtId="0" fontId="197" fillId="0" borderId="0" xfId="0" applyFont="1" applyAlignment="1">
      <alignment horizontal="left" vertical="top" wrapText="1"/>
    </xf>
    <xf numFmtId="0" fontId="194" fillId="0" borderId="0" xfId="0" applyFont="1" applyAlignment="1">
      <alignment vertical="top" wrapText="1"/>
    </xf>
    <xf numFmtId="0" fontId="194" fillId="0" borderId="0" xfId="0" applyFont="1" applyAlignment="1">
      <alignment vertical="top"/>
    </xf>
    <xf numFmtId="0" fontId="67" fillId="6" borderId="0" xfId="2" applyFont="1" applyFill="1" applyAlignment="1" applyProtection="1">
      <alignment horizontal="right"/>
      <protection locked="0"/>
    </xf>
    <xf numFmtId="176" fontId="76" fillId="6" borderId="52" xfId="2" applyNumberFormat="1" applyFont="1" applyFill="1" applyBorder="1" applyAlignment="1">
      <alignment horizontal="center" vertical="center"/>
    </xf>
    <xf numFmtId="0" fontId="67" fillId="17" borderId="51" xfId="2" applyFont="1" applyFill="1" applyBorder="1" applyAlignment="1">
      <alignment horizontal="right"/>
    </xf>
    <xf numFmtId="0" fontId="3" fillId="40" borderId="0" xfId="0" applyFont="1" applyFill="1"/>
    <xf numFmtId="0" fontId="3" fillId="40" borderId="120" xfId="0" applyFont="1" applyFill="1" applyBorder="1"/>
    <xf numFmtId="0" fontId="192" fillId="0" borderId="0" xfId="0" applyFont="1" applyAlignment="1">
      <alignment horizontal="centerContinuous"/>
    </xf>
    <xf numFmtId="0" fontId="190" fillId="0" borderId="0" xfId="0" applyFont="1"/>
    <xf numFmtId="0" fontId="10" fillId="0" borderId="121" xfId="0" applyFont="1" applyBorder="1" applyAlignment="1">
      <alignment horizontal="right"/>
    </xf>
    <xf numFmtId="0" fontId="204" fillId="0" borderId="126" xfId="0" applyFont="1" applyBorder="1" applyAlignment="1">
      <alignment horizontal="right"/>
    </xf>
    <xf numFmtId="0" fontId="192" fillId="28" borderId="0" xfId="0" applyFont="1" applyFill="1"/>
    <xf numFmtId="0" fontId="21" fillId="40" borderId="125" xfId="0" applyFont="1" applyFill="1" applyBorder="1" applyAlignment="1">
      <alignment horizontal="center" vertical="center" wrapText="1"/>
    </xf>
    <xf numFmtId="0" fontId="21" fillId="55" borderId="4" xfId="2" applyFont="1" applyFill="1" applyBorder="1" applyAlignment="1">
      <alignment horizontal="centerContinuous" vertical="center"/>
    </xf>
    <xf numFmtId="0" fontId="21" fillId="55" borderId="3" xfId="2" applyFont="1" applyFill="1" applyBorder="1" applyAlignment="1">
      <alignment horizontal="centerContinuous" wrapText="1"/>
    </xf>
    <xf numFmtId="0" fontId="100" fillId="55" borderId="3" xfId="2" applyFont="1" applyFill="1" applyBorder="1" applyAlignment="1">
      <alignment horizontal="centerContinuous" wrapText="1"/>
    </xf>
    <xf numFmtId="0" fontId="21" fillId="55" borderId="0" xfId="2" applyFont="1" applyFill="1" applyAlignment="1">
      <alignment horizontal="centerContinuous" vertical="center" wrapText="1"/>
    </xf>
    <xf numFmtId="0" fontId="105" fillId="55" borderId="6" xfId="2" applyFont="1" applyFill="1" applyBorder="1" applyAlignment="1">
      <alignment horizontal="center" vertical="center" textRotation="90"/>
    </xf>
    <xf numFmtId="0" fontId="33" fillId="0" borderId="0" xfId="0" applyFont="1" applyAlignment="1" applyProtection="1">
      <alignment horizontal="center" vertical="center"/>
      <protection locked="0"/>
    </xf>
    <xf numFmtId="0" fontId="21" fillId="2" borderId="105" xfId="0" applyFont="1" applyFill="1" applyBorder="1" applyAlignment="1">
      <alignment horizontal="center" vertical="top" wrapText="1"/>
    </xf>
    <xf numFmtId="0" fontId="21" fillId="2" borderId="0" xfId="0" applyFont="1" applyFill="1" applyAlignment="1">
      <alignment horizontal="center" vertical="top"/>
    </xf>
    <xf numFmtId="0" fontId="21" fillId="2" borderId="0" xfId="0" applyFont="1" applyFill="1" applyAlignment="1">
      <alignment horizontal="center" vertical="top" wrapText="1"/>
    </xf>
    <xf numFmtId="0" fontId="105" fillId="0" borderId="0" xfId="0" applyFont="1" applyAlignment="1">
      <alignment horizontal="center" vertical="top" wrapText="1"/>
    </xf>
    <xf numFmtId="0" fontId="205" fillId="0" borderId="0" xfId="0" applyFont="1"/>
    <xf numFmtId="0" fontId="33" fillId="0" borderId="0" xfId="0" applyFont="1"/>
    <xf numFmtId="0" fontId="33" fillId="6" borderId="108" xfId="0" applyFont="1" applyFill="1" applyBorder="1" applyProtection="1">
      <protection locked="0"/>
    </xf>
    <xf numFmtId="0" fontId="206" fillId="0" borderId="0" xfId="0" applyFont="1"/>
    <xf numFmtId="0" fontId="33" fillId="6" borderId="130" xfId="0" applyFont="1" applyFill="1" applyBorder="1" applyAlignment="1" applyProtection="1">
      <alignment horizontal="center" vertical="center" wrapText="1"/>
      <protection locked="0"/>
    </xf>
    <xf numFmtId="0" fontId="33" fillId="6" borderId="130" xfId="0" applyFont="1" applyFill="1" applyBorder="1" applyAlignment="1" applyProtection="1">
      <alignment horizontal="center" vertical="center"/>
      <protection locked="0"/>
    </xf>
    <xf numFmtId="0" fontId="33" fillId="41" borderId="130" xfId="0" applyFont="1" applyFill="1" applyBorder="1" applyAlignment="1">
      <alignment horizontal="center" vertical="center"/>
    </xf>
    <xf numFmtId="0" fontId="33" fillId="0" borderId="111" xfId="0" applyFont="1" applyBorder="1" applyAlignment="1" applyProtection="1">
      <alignment horizontal="center" vertical="center"/>
      <protection locked="0"/>
    </xf>
    <xf numFmtId="0" fontId="33" fillId="0" borderId="130" xfId="0" applyFont="1" applyBorder="1" applyAlignment="1">
      <alignment horizontal="center" vertical="center"/>
    </xf>
    <xf numFmtId="0" fontId="38" fillId="0" borderId="0" xfId="0" applyFont="1" applyAlignment="1">
      <alignment horizontal="left" indent="2"/>
    </xf>
    <xf numFmtId="0" fontId="21" fillId="2" borderId="112" xfId="0" applyFont="1" applyFill="1" applyBorder="1" applyAlignment="1">
      <alignment horizontal="center" vertical="top" wrapText="1"/>
    </xf>
    <xf numFmtId="0" fontId="21" fillId="2" borderId="110" xfId="0" applyFont="1" applyFill="1" applyBorder="1" applyAlignment="1">
      <alignment horizontal="center" vertical="top" wrapText="1"/>
    </xf>
    <xf numFmtId="0" fontId="0" fillId="41" borderId="0" xfId="0" applyFill="1"/>
    <xf numFmtId="0" fontId="28" fillId="41" borderId="0" xfId="0" applyFont="1" applyFill="1"/>
    <xf numFmtId="0" fontId="192" fillId="41" borderId="0" xfId="0" applyFont="1" applyFill="1"/>
    <xf numFmtId="0" fontId="192" fillId="41" borderId="0" xfId="0" applyFont="1" applyFill="1" applyAlignment="1">
      <alignment vertical="top"/>
    </xf>
    <xf numFmtId="0" fontId="28" fillId="41" borderId="0" xfId="0" applyFont="1" applyFill="1" applyAlignment="1">
      <alignment vertical="top"/>
    </xf>
    <xf numFmtId="0" fontId="28" fillId="41" borderId="0" xfId="0" applyFont="1" applyFill="1" applyAlignment="1">
      <alignment vertical="center"/>
    </xf>
    <xf numFmtId="0" fontId="28" fillId="41" borderId="0" xfId="0" applyFont="1" applyFill="1" applyAlignment="1">
      <alignment vertical="center" wrapText="1"/>
    </xf>
    <xf numFmtId="0" fontId="192" fillId="41" borderId="0" xfId="0" applyFont="1" applyFill="1" applyAlignment="1">
      <alignment wrapText="1"/>
    </xf>
    <xf numFmtId="0" fontId="28" fillId="41" borderId="0" xfId="0" applyFont="1" applyFill="1" applyAlignment="1">
      <alignment wrapText="1"/>
    </xf>
    <xf numFmtId="0" fontId="192" fillId="41" borderId="0" xfId="0" applyFont="1" applyFill="1" applyAlignment="1">
      <alignment vertical="top" wrapText="1"/>
    </xf>
    <xf numFmtId="0" fontId="28" fillId="41" borderId="0" xfId="0" applyFont="1" applyFill="1" applyAlignment="1">
      <alignment vertical="top" wrapText="1"/>
    </xf>
    <xf numFmtId="0" fontId="208" fillId="0" borderId="0" xfId="1" applyFont="1"/>
    <xf numFmtId="0" fontId="34" fillId="0" borderId="0" xfId="0" applyFont="1"/>
    <xf numFmtId="0" fontId="21" fillId="2" borderId="120" xfId="0" applyFont="1" applyFill="1" applyBorder="1" applyAlignment="1">
      <alignment horizontal="center" vertical="top" wrapText="1"/>
    </xf>
    <xf numFmtId="0" fontId="21" fillId="2" borderId="120" xfId="0" applyFont="1" applyFill="1" applyBorder="1" applyAlignment="1">
      <alignment vertical="top" wrapText="1"/>
    </xf>
    <xf numFmtId="0" fontId="21" fillId="40" borderId="0" xfId="0" applyFont="1" applyFill="1" applyAlignment="1">
      <alignment horizontal="center" vertical="top" wrapText="1"/>
    </xf>
    <xf numFmtId="0" fontId="21" fillId="40" borderId="0" xfId="0" applyFont="1" applyFill="1" applyAlignment="1">
      <alignment horizontal="left" vertical="top" wrapText="1"/>
    </xf>
    <xf numFmtId="0" fontId="33" fillId="6" borderId="124" xfId="0" applyFont="1" applyFill="1" applyBorder="1" applyProtection="1">
      <protection locked="0"/>
    </xf>
    <xf numFmtId="0" fontId="33" fillId="6" borderId="124" xfId="0" applyFont="1" applyFill="1" applyBorder="1" applyAlignment="1" applyProtection="1">
      <alignment horizontal="center"/>
      <protection locked="0"/>
    </xf>
    <xf numFmtId="0" fontId="33" fillId="6" borderId="124" xfId="0" applyFont="1" applyFill="1" applyBorder="1"/>
    <xf numFmtId="0" fontId="33" fillId="6" borderId="129" xfId="0" applyFont="1" applyFill="1" applyBorder="1" applyAlignment="1" applyProtection="1">
      <alignment horizontal="center"/>
      <protection locked="0"/>
    </xf>
    <xf numFmtId="0" fontId="33" fillId="6" borderId="129" xfId="0" applyFont="1" applyFill="1" applyBorder="1"/>
    <xf numFmtId="0" fontId="21" fillId="2" borderId="120" xfId="0" applyFont="1" applyFill="1" applyBorder="1" applyAlignment="1">
      <alignment horizontal="center" vertical="top"/>
    </xf>
    <xf numFmtId="0" fontId="21" fillId="40" borderId="0" xfId="0" applyFont="1" applyFill="1" applyAlignment="1">
      <alignment horizontal="left" vertical="top"/>
    </xf>
    <xf numFmtId="0" fontId="21" fillId="2" borderId="0" xfId="0" applyFont="1" applyFill="1" applyAlignment="1">
      <alignment horizontal="center" vertical="center"/>
    </xf>
    <xf numFmtId="0" fontId="21" fillId="2" borderId="0" xfId="0" applyFont="1" applyFill="1" applyAlignment="1">
      <alignment horizontal="center" vertical="center" wrapText="1"/>
    </xf>
    <xf numFmtId="0" fontId="33" fillId="0" borderId="0" xfId="0" applyFont="1" applyAlignment="1">
      <alignment horizontal="left"/>
    </xf>
    <xf numFmtId="0" fontId="21" fillId="40" borderId="104" xfId="0" applyFont="1" applyFill="1" applyBorder="1" applyAlignment="1">
      <alignment horizontal="center" wrapText="1"/>
    </xf>
    <xf numFmtId="0" fontId="209" fillId="0" borderId="0" xfId="0" applyFont="1"/>
    <xf numFmtId="0" fontId="33" fillId="0" borderId="0" xfId="0" applyFont="1" applyAlignment="1">
      <alignment vertical="center"/>
    </xf>
    <xf numFmtId="0" fontId="205" fillId="0" borderId="0" xfId="0" applyFont="1" applyAlignment="1">
      <alignment horizontal="left"/>
    </xf>
    <xf numFmtId="0" fontId="33" fillId="0" borderId="0" xfId="0" applyFont="1" applyAlignment="1">
      <alignment horizontal="center"/>
    </xf>
    <xf numFmtId="0" fontId="33" fillId="0" borderId="0" xfId="0" applyFont="1" applyAlignment="1">
      <alignment horizontal="left" indent="1"/>
    </xf>
    <xf numFmtId="0" fontId="213" fillId="0" borderId="0" xfId="1" applyFont="1"/>
    <xf numFmtId="0" fontId="10" fillId="0" borderId="117" xfId="0" applyFont="1" applyBorder="1" applyAlignment="1">
      <alignment vertical="center" wrapText="1"/>
    </xf>
    <xf numFmtId="0" fontId="19" fillId="5" borderId="131" xfId="0" applyFont="1" applyFill="1" applyBorder="1" applyAlignment="1">
      <alignment vertical="center" wrapText="1"/>
    </xf>
    <xf numFmtId="49" fontId="20" fillId="5" borderId="0" xfId="0" applyNumberFormat="1" applyFont="1" applyFill="1" applyAlignment="1">
      <alignment vertical="top" wrapText="1"/>
    </xf>
    <xf numFmtId="0" fontId="39" fillId="0" borderId="0" xfId="0" applyFont="1"/>
    <xf numFmtId="0" fontId="205" fillId="0" borderId="0" xfId="0" applyFont="1" applyAlignment="1">
      <alignment horizontal="left" indent="4"/>
    </xf>
    <xf numFmtId="0" fontId="183" fillId="0" borderId="0" xfId="0" applyFont="1"/>
    <xf numFmtId="0" fontId="67" fillId="0" borderId="0" xfId="0" applyFont="1" applyAlignment="1">
      <alignment horizontal="left" indent="4"/>
    </xf>
    <xf numFmtId="0" fontId="28" fillId="28" borderId="0" xfId="0" applyFont="1" applyFill="1"/>
    <xf numFmtId="0" fontId="28" fillId="28" borderId="10" xfId="0" applyFont="1" applyFill="1" applyBorder="1"/>
    <xf numFmtId="0" fontId="28" fillId="28" borderId="7" xfId="0" applyFont="1" applyFill="1" applyBorder="1"/>
    <xf numFmtId="0" fontId="33" fillId="28" borderId="0" xfId="0" applyFont="1" applyFill="1"/>
    <xf numFmtId="0" fontId="33" fillId="28" borderId="7" xfId="0" applyFont="1" applyFill="1" applyBorder="1"/>
    <xf numFmtId="0" fontId="28" fillId="28" borderId="5" xfId="0" applyFont="1" applyFill="1" applyBorder="1"/>
    <xf numFmtId="0" fontId="33" fillId="28" borderId="5" xfId="0" applyFont="1" applyFill="1" applyBorder="1"/>
    <xf numFmtId="0" fontId="35" fillId="28" borderId="5" xfId="1" applyFont="1" applyFill="1" applyBorder="1"/>
    <xf numFmtId="0" fontId="33" fillId="28" borderId="13" xfId="0" applyFont="1" applyFill="1" applyBorder="1"/>
    <xf numFmtId="0" fontId="33" fillId="28" borderId="5" xfId="0" applyFont="1" applyFill="1" applyBorder="1" applyAlignment="1">
      <alignment horizontal="center" vertical="center" wrapText="1"/>
    </xf>
    <xf numFmtId="0" fontId="33" fillId="28" borderId="0" xfId="0" applyFont="1" applyFill="1" applyAlignment="1">
      <alignment horizontal="center" vertical="center" wrapText="1"/>
    </xf>
    <xf numFmtId="0" fontId="33" fillId="28" borderId="0" xfId="0" applyFont="1" applyFill="1" applyAlignment="1">
      <alignment horizontal="right"/>
    </xf>
    <xf numFmtId="0" fontId="33" fillId="28" borderId="5" xfId="0" applyFont="1" applyFill="1" applyBorder="1" applyAlignment="1">
      <alignment horizontal="right" vertical="center"/>
    </xf>
    <xf numFmtId="0" fontId="33" fillId="28" borderId="10" xfId="0" applyFont="1" applyFill="1" applyBorder="1"/>
    <xf numFmtId="0" fontId="39" fillId="28" borderId="0" xfId="0" applyFont="1" applyFill="1"/>
    <xf numFmtId="0" fontId="39" fillId="28" borderId="5" xfId="0" applyFont="1" applyFill="1" applyBorder="1"/>
    <xf numFmtId="0" fontId="33" fillId="28" borderId="0" xfId="0" applyFont="1" applyFill="1" applyAlignment="1">
      <alignment horizontal="left" vertical="center" wrapText="1"/>
    </xf>
    <xf numFmtId="0" fontId="33" fillId="28" borderId="5" xfId="0" applyFont="1" applyFill="1" applyBorder="1" applyAlignment="1">
      <alignment horizontal="right" vertical="center" wrapText="1"/>
    </xf>
    <xf numFmtId="0" fontId="33" fillId="28" borderId="0" xfId="0" applyFont="1" applyFill="1" applyAlignment="1">
      <alignment horizontal="right" vertical="center" wrapText="1"/>
    </xf>
    <xf numFmtId="0" fontId="33" fillId="28" borderId="4" xfId="0" applyFont="1" applyFill="1" applyBorder="1"/>
    <xf numFmtId="0" fontId="33" fillId="28" borderId="14" xfId="0" applyFont="1" applyFill="1" applyBorder="1"/>
    <xf numFmtId="0" fontId="33" fillId="28" borderId="20" xfId="0" applyFont="1" applyFill="1" applyBorder="1"/>
    <xf numFmtId="0" fontId="15" fillId="57" borderId="0" xfId="2" applyFill="1"/>
    <xf numFmtId="0" fontId="15" fillId="57" borderId="0" xfId="2" applyFill="1" applyAlignment="1">
      <alignment horizontal="left"/>
    </xf>
    <xf numFmtId="0" fontId="15" fillId="57" borderId="0" xfId="2" applyFill="1" applyAlignment="1">
      <alignment wrapText="1"/>
    </xf>
    <xf numFmtId="0" fontId="66" fillId="57" borderId="0" xfId="2" applyFont="1" applyFill="1"/>
    <xf numFmtId="0" fontId="33" fillId="0" borderId="111" xfId="0" applyFont="1" applyBorder="1"/>
    <xf numFmtId="0" fontId="33" fillId="0" borderId="111" xfId="0" applyFont="1" applyBorder="1" applyAlignment="1">
      <alignment vertical="center"/>
    </xf>
    <xf numFmtId="0" fontId="33" fillId="0" borderId="111" xfId="0" applyFont="1" applyBorder="1" applyAlignment="1">
      <alignment horizontal="center"/>
    </xf>
    <xf numFmtId="0" fontId="33" fillId="0" borderId="132" xfId="0" applyFont="1" applyBorder="1" applyAlignment="1" applyProtection="1">
      <alignment horizontal="center" vertical="center" wrapText="1"/>
      <protection locked="0"/>
    </xf>
    <xf numFmtId="0" fontId="28" fillId="0" borderId="106" xfId="0" applyFont="1" applyBorder="1" applyAlignment="1">
      <alignment horizontal="left"/>
    </xf>
    <xf numFmtId="0" fontId="28" fillId="0" borderId="127" xfId="0" applyFont="1" applyBorder="1" applyAlignment="1">
      <alignment horizontal="left"/>
    </xf>
    <xf numFmtId="0" fontId="28" fillId="0" borderId="133" xfId="0" applyFont="1" applyBorder="1" applyAlignment="1">
      <alignment horizontal="center"/>
    </xf>
    <xf numFmtId="0" fontId="57" fillId="3" borderId="133" xfId="2" applyFont="1" applyFill="1" applyBorder="1" applyAlignment="1">
      <alignment horizontal="left"/>
    </xf>
    <xf numFmtId="0" fontId="58" fillId="3" borderId="133" xfId="2" applyFont="1" applyFill="1" applyBorder="1" applyAlignment="1">
      <alignment horizontal="centerContinuous"/>
    </xf>
    <xf numFmtId="0" fontId="59" fillId="3" borderId="133" xfId="2" applyFont="1" applyFill="1" applyBorder="1" applyAlignment="1">
      <alignment horizontal="centerContinuous"/>
    </xf>
    <xf numFmtId="0" fontId="67" fillId="17" borderId="137" xfId="2" applyFont="1" applyFill="1" applyBorder="1" applyAlignment="1">
      <alignment horizontal="center" vertical="center"/>
    </xf>
    <xf numFmtId="176" fontId="66" fillId="6" borderId="137" xfId="2" applyNumberFormat="1" applyFont="1" applyFill="1" applyBorder="1" applyAlignment="1" applyProtection="1">
      <alignment horizontal="center" vertical="center"/>
      <protection locked="0"/>
    </xf>
    <xf numFmtId="178" fontId="63" fillId="18" borderId="138" xfId="2" applyNumberFormat="1" applyFont="1" applyFill="1" applyBorder="1" applyAlignment="1">
      <alignment horizontal="center"/>
    </xf>
    <xf numFmtId="0" fontId="21" fillId="55" borderId="139" xfId="2" applyFont="1" applyFill="1" applyBorder="1" applyAlignment="1">
      <alignment horizontal="centerContinuous" vertical="center"/>
    </xf>
    <xf numFmtId="0" fontId="100" fillId="55" borderId="140" xfId="2" applyFont="1" applyFill="1" applyBorder="1" applyAlignment="1">
      <alignment horizontal="centerContinuous" vertical="center" wrapText="1"/>
    </xf>
    <xf numFmtId="0" fontId="101" fillId="55" borderId="140" xfId="2" applyFont="1" applyFill="1" applyBorder="1" applyAlignment="1">
      <alignment horizontal="centerContinuous" vertical="center" wrapText="1"/>
    </xf>
    <xf numFmtId="0" fontId="101" fillId="55" borderId="141" xfId="2" applyFont="1" applyFill="1" applyBorder="1" applyAlignment="1">
      <alignment horizontal="centerContinuous" vertical="center" wrapText="1"/>
    </xf>
    <xf numFmtId="0" fontId="21" fillId="55" borderId="140" xfId="2" applyFont="1" applyFill="1" applyBorder="1" applyAlignment="1">
      <alignment horizontal="centerContinuous" vertical="center" wrapText="1"/>
    </xf>
    <xf numFmtId="0" fontId="21" fillId="55" borderId="141" xfId="2" applyFont="1" applyFill="1" applyBorder="1" applyAlignment="1">
      <alignment horizontal="centerContinuous" vertical="center" wrapText="1"/>
    </xf>
    <xf numFmtId="0" fontId="101" fillId="55" borderId="113" xfId="2" applyFont="1" applyFill="1" applyBorder="1" applyAlignment="1">
      <alignment horizontal="centerContinuous" wrapText="1"/>
    </xf>
    <xf numFmtId="0" fontId="21" fillId="55" borderId="113" xfId="2" applyFont="1" applyFill="1" applyBorder="1" applyAlignment="1">
      <alignment horizontal="center" vertical="center" wrapText="1"/>
    </xf>
    <xf numFmtId="0" fontId="69" fillId="22" borderId="144" xfId="2" applyFont="1" applyFill="1" applyBorder="1" applyAlignment="1">
      <alignment horizontal="center" wrapText="1"/>
    </xf>
    <xf numFmtId="0" fontId="107" fillId="23" borderId="144" xfId="2" applyFont="1" applyFill="1" applyBorder="1" applyAlignment="1">
      <alignment horizontal="left"/>
    </xf>
    <xf numFmtId="0" fontId="107" fillId="24" borderId="144" xfId="2" applyFont="1" applyFill="1" applyBorder="1" applyAlignment="1">
      <alignment horizontal="center" wrapText="1"/>
    </xf>
    <xf numFmtId="0" fontId="107" fillId="24" borderId="144" xfId="2" applyFont="1" applyFill="1" applyBorder="1" applyAlignment="1">
      <alignment horizontal="left"/>
    </xf>
    <xf numFmtId="0" fontId="108" fillId="21" borderId="145" xfId="2" applyFont="1" applyFill="1" applyBorder="1" applyAlignment="1">
      <alignment horizontal="center" wrapText="1"/>
    </xf>
    <xf numFmtId="0" fontId="107" fillId="23" borderId="144" xfId="2" applyFont="1" applyFill="1" applyBorder="1" applyAlignment="1">
      <alignment horizontal="center" wrapText="1"/>
    </xf>
    <xf numFmtId="0" fontId="109" fillId="20" borderId="144" xfId="2" applyFont="1" applyFill="1" applyBorder="1" applyAlignment="1">
      <alignment horizontal="center" wrapText="1"/>
    </xf>
    <xf numFmtId="0" fontId="110" fillId="20" borderId="144" xfId="2" applyFont="1" applyFill="1" applyBorder="1" applyAlignment="1">
      <alignment horizontal="center" wrapText="1"/>
    </xf>
    <xf numFmtId="0" fontId="62" fillId="16" borderId="146" xfId="2" applyFont="1" applyFill="1" applyBorder="1" applyAlignment="1">
      <alignment horizontal="center" wrapText="1"/>
    </xf>
    <xf numFmtId="0" fontId="62" fillId="16" borderId="147" xfId="2" applyFont="1" applyFill="1" applyBorder="1" applyAlignment="1">
      <alignment horizontal="center" wrapText="1"/>
    </xf>
    <xf numFmtId="0" fontId="62" fillId="16" borderId="148" xfId="2" applyFont="1" applyFill="1" applyBorder="1" applyAlignment="1">
      <alignment horizontal="center" wrapText="1"/>
    </xf>
    <xf numFmtId="0" fontId="62" fillId="25" borderId="147" xfId="2" applyFont="1" applyFill="1" applyBorder="1" applyAlignment="1">
      <alignment horizontal="center" wrapText="1"/>
    </xf>
    <xf numFmtId="0" fontId="112" fillId="23" borderId="147" xfId="2" applyFont="1" applyFill="1" applyBorder="1" applyAlignment="1">
      <alignment horizontal="center" wrapText="1"/>
    </xf>
    <xf numFmtId="0" fontId="63" fillId="16" borderId="149" xfId="2" applyFont="1" applyFill="1" applyBorder="1" applyAlignment="1">
      <alignment horizontal="center"/>
    </xf>
    <xf numFmtId="0" fontId="72" fillId="16" borderId="149" xfId="2" applyFont="1" applyFill="1" applyBorder="1" applyAlignment="1">
      <alignment horizontal="center"/>
    </xf>
    <xf numFmtId="0" fontId="116" fillId="16" borderId="149" xfId="2" applyFont="1" applyFill="1" applyBorder="1" applyAlignment="1">
      <alignment horizontal="center"/>
    </xf>
    <xf numFmtId="0" fontId="117" fillId="16" borderId="149" xfId="2" quotePrefix="1" applyFont="1" applyFill="1" applyBorder="1"/>
    <xf numFmtId="0" fontId="105" fillId="28" borderId="113" xfId="2" applyFont="1" applyFill="1" applyBorder="1" applyAlignment="1">
      <alignment horizontal="right"/>
    </xf>
    <xf numFmtId="0" fontId="15" fillId="15" borderId="131" xfId="2" applyFill="1" applyBorder="1"/>
    <xf numFmtId="0" fontId="72" fillId="16" borderId="150" xfId="2" applyFont="1" applyFill="1" applyBorder="1" applyAlignment="1">
      <alignment horizontal="center"/>
    </xf>
    <xf numFmtId="0" fontId="60" fillId="16" borderId="116" xfId="2" applyFont="1" applyFill="1" applyBorder="1"/>
    <xf numFmtId="0" fontId="60" fillId="16" borderId="118" xfId="2" applyFont="1" applyFill="1" applyBorder="1"/>
    <xf numFmtId="9" fontId="20" fillId="0" borderId="128" xfId="2" applyNumberFormat="1" applyFont="1" applyBorder="1"/>
    <xf numFmtId="182" fontId="0" fillId="0" borderId="151" xfId="6" applyNumberFormat="1" applyFont="1" applyBorder="1" applyProtection="1"/>
    <xf numFmtId="165" fontId="20" fillId="21" borderId="152" xfId="2" applyNumberFormat="1" applyFont="1" applyFill="1" applyBorder="1" applyAlignment="1">
      <alignment horizontal="center"/>
    </xf>
    <xf numFmtId="165" fontId="20" fillId="21" borderId="151" xfId="2" applyNumberFormat="1" applyFont="1" applyFill="1" applyBorder="1" applyAlignment="1">
      <alignment horizontal="center"/>
    </xf>
    <xf numFmtId="0" fontId="15" fillId="0" borderId="116" xfId="2" applyBorder="1"/>
    <xf numFmtId="0" fontId="15" fillId="0" borderId="118" xfId="2" applyBorder="1"/>
    <xf numFmtId="0" fontId="15" fillId="30" borderId="128" xfId="2" applyFill="1" applyBorder="1"/>
    <xf numFmtId="0" fontId="15" fillId="0" borderId="151" xfId="2" applyBorder="1"/>
    <xf numFmtId="165" fontId="20" fillId="19" borderId="152" xfId="2" applyNumberFormat="1" applyFont="1" applyFill="1" applyBorder="1" applyAlignment="1">
      <alignment horizontal="center"/>
    </xf>
    <xf numFmtId="165" fontId="20" fillId="19" borderId="151" xfId="2" applyNumberFormat="1" applyFont="1" applyFill="1" applyBorder="1" applyAlignment="1">
      <alignment horizontal="center"/>
    </xf>
    <xf numFmtId="0" fontId="28" fillId="8" borderId="116" xfId="0" applyFont="1" applyFill="1" applyBorder="1"/>
    <xf numFmtId="0" fontId="28" fillId="8" borderId="118" xfId="0" applyFont="1" applyFill="1" applyBorder="1"/>
    <xf numFmtId="0" fontId="10" fillId="9" borderId="117" xfId="0" applyFont="1" applyFill="1" applyBorder="1" applyAlignment="1">
      <alignment vertical="center" wrapText="1"/>
    </xf>
    <xf numFmtId="0" fontId="10" fillId="0" borderId="118" xfId="0" applyFont="1" applyBorder="1" applyAlignment="1">
      <alignment vertical="center" wrapText="1"/>
    </xf>
    <xf numFmtId="0" fontId="10" fillId="0" borderId="153" xfId="0" applyFont="1" applyBorder="1" applyAlignment="1">
      <alignment vertical="center" wrapText="1"/>
    </xf>
    <xf numFmtId="0" fontId="28" fillId="9" borderId="131" xfId="0" applyFont="1" applyFill="1" applyBorder="1"/>
    <xf numFmtId="0" fontId="28" fillId="0" borderId="116" xfId="0" applyFont="1" applyBorder="1"/>
    <xf numFmtId="0" fontId="28" fillId="0" borderId="117" xfId="0" applyFont="1" applyBorder="1"/>
    <xf numFmtId="0" fontId="28" fillId="0" borderId="118" xfId="0" applyFont="1" applyBorder="1"/>
    <xf numFmtId="0" fontId="45" fillId="0" borderId="118" xfId="0" applyFont="1" applyBorder="1" applyAlignment="1">
      <alignment horizontal="center" vertical="center"/>
    </xf>
    <xf numFmtId="2" fontId="46" fillId="0" borderId="118" xfId="0" applyNumberFormat="1" applyFont="1" applyBorder="1" applyAlignment="1">
      <alignment vertical="center" wrapText="1"/>
    </xf>
    <xf numFmtId="0" fontId="46" fillId="0" borderId="118" xfId="0" applyFont="1" applyBorder="1" applyAlignment="1">
      <alignment vertical="center" wrapText="1"/>
    </xf>
    <xf numFmtId="165" fontId="46" fillId="0" borderId="118" xfId="0" applyNumberFormat="1" applyFont="1" applyBorder="1" applyAlignment="1">
      <alignment vertical="center" wrapText="1"/>
    </xf>
    <xf numFmtId="0" fontId="101" fillId="15" borderId="18" xfId="2" applyFont="1" applyFill="1" applyBorder="1" applyAlignment="1">
      <alignment vertical="center"/>
    </xf>
    <xf numFmtId="0" fontId="66" fillId="15" borderId="18" xfId="2" applyFont="1" applyFill="1" applyBorder="1" applyAlignment="1" applyProtection="1">
      <alignment vertical="center"/>
      <protection locked="0"/>
    </xf>
    <xf numFmtId="0" fontId="15" fillId="0" borderId="14" xfId="2" applyBorder="1"/>
    <xf numFmtId="0" fontId="15" fillId="0" borderId="3" xfId="2" applyBorder="1"/>
    <xf numFmtId="0" fontId="15" fillId="0" borderId="13" xfId="2" applyBorder="1"/>
    <xf numFmtId="0" fontId="15" fillId="15" borderId="5" xfId="2" applyFill="1" applyBorder="1"/>
    <xf numFmtId="0" fontId="15" fillId="42" borderId="18" xfId="2" applyFill="1" applyBorder="1" applyAlignment="1">
      <alignment horizontal="center" vertical="center" wrapText="1"/>
    </xf>
    <xf numFmtId="0" fontId="20" fillId="0" borderId="13" xfId="2" applyFont="1" applyBorder="1" applyAlignment="1">
      <alignment horizontal="center" wrapText="1"/>
    </xf>
    <xf numFmtId="0" fontId="20" fillId="0" borderId="2" xfId="2" applyFont="1" applyBorder="1" applyAlignment="1">
      <alignment horizontal="center" wrapText="1"/>
    </xf>
    <xf numFmtId="0" fontId="173" fillId="44" borderId="14" xfId="2" applyFont="1" applyFill="1" applyBorder="1" applyAlignment="1">
      <alignment horizontal="center" vertical="top" textRotation="90"/>
    </xf>
    <xf numFmtId="0" fontId="15" fillId="42" borderId="2" xfId="2" applyFill="1" applyBorder="1" applyAlignment="1">
      <alignment wrapText="1"/>
    </xf>
    <xf numFmtId="0" fontId="174" fillId="0" borderId="5" xfId="2" applyFont="1" applyBorder="1" applyAlignment="1">
      <alignment horizontal="center"/>
    </xf>
    <xf numFmtId="0" fontId="174" fillId="0" borderId="18" xfId="2" applyFont="1" applyBorder="1" applyAlignment="1">
      <alignment horizontal="center"/>
    </xf>
    <xf numFmtId="195" fontId="66" fillId="28" borderId="2" xfId="2" applyNumberFormat="1" applyFont="1" applyFill="1" applyBorder="1" applyAlignment="1">
      <alignment horizontal="center" vertical="center"/>
    </xf>
    <xf numFmtId="2" fontId="15" fillId="0" borderId="131" xfId="2" applyNumberFormat="1" applyBorder="1" applyAlignment="1">
      <alignment horizontal="center" vertical="center"/>
    </xf>
    <xf numFmtId="197" fontId="15" fillId="16" borderId="36" xfId="2" applyNumberFormat="1" applyFill="1" applyBorder="1" applyAlignment="1">
      <alignment horizontal="center"/>
    </xf>
    <xf numFmtId="0" fontId="0" fillId="0" borderId="131" xfId="0" applyBorder="1"/>
    <xf numFmtId="0" fontId="15" fillId="0" borderId="131" xfId="2" applyBorder="1"/>
    <xf numFmtId="0" fontId="20" fillId="0" borderId="18" xfId="2" applyFont="1" applyBorder="1"/>
    <xf numFmtId="0" fontId="20" fillId="0" borderId="2" xfId="2" applyFont="1" applyBorder="1"/>
    <xf numFmtId="0" fontId="67" fillId="45" borderId="18" xfId="2" applyFont="1" applyFill="1" applyBorder="1" applyAlignment="1">
      <alignment horizontal="center"/>
    </xf>
    <xf numFmtId="0" fontId="67" fillId="45" borderId="18" xfId="2" applyFont="1" applyFill="1" applyBorder="1" applyAlignment="1">
      <alignment horizontal="center" vertical="center"/>
    </xf>
    <xf numFmtId="0" fontId="67" fillId="45" borderId="2" xfId="2" applyFont="1" applyFill="1" applyBorder="1" applyAlignment="1">
      <alignment horizontal="center"/>
    </xf>
    <xf numFmtId="185" fontId="67" fillId="58" borderId="55" xfId="2" applyNumberFormat="1" applyFont="1" applyFill="1" applyBorder="1" applyAlignment="1" applyProtection="1">
      <alignment horizontal="center"/>
      <protection locked="0"/>
    </xf>
    <xf numFmtId="169" fontId="115" fillId="58" borderId="57" xfId="2" applyNumberFormat="1" applyFont="1" applyFill="1" applyBorder="1" applyAlignment="1" applyProtection="1">
      <alignment horizontal="center"/>
      <protection locked="0"/>
    </xf>
    <xf numFmtId="186" fontId="114" fillId="58" borderId="58" xfId="2" applyNumberFormat="1" applyFont="1" applyFill="1" applyBorder="1" applyAlignment="1" applyProtection="1">
      <alignment horizontal="center" wrapText="1"/>
      <protection locked="0"/>
    </xf>
    <xf numFmtId="2" fontId="114" fillId="58" borderId="59" xfId="2" applyNumberFormat="1" applyFont="1" applyFill="1" applyBorder="1" applyAlignment="1" applyProtection="1">
      <alignment horizontal="center" wrapText="1"/>
      <protection locked="0"/>
    </xf>
    <xf numFmtId="168" fontId="114" fillId="58" borderId="56" xfId="2" applyNumberFormat="1" applyFont="1" applyFill="1" applyBorder="1" applyAlignment="1" applyProtection="1">
      <alignment wrapText="1"/>
      <protection locked="0"/>
    </xf>
    <xf numFmtId="168" fontId="114" fillId="58" borderId="59" xfId="2" applyNumberFormat="1" applyFont="1" applyFill="1" applyBorder="1" applyAlignment="1" applyProtection="1">
      <alignment horizontal="center" wrapText="1"/>
      <protection locked="0"/>
    </xf>
    <xf numFmtId="186" fontId="114" fillId="58" borderId="58" xfId="2" applyNumberFormat="1" applyFont="1" applyFill="1" applyBorder="1" applyAlignment="1" applyProtection="1">
      <alignment horizontal="center"/>
      <protection locked="0"/>
    </xf>
    <xf numFmtId="2" fontId="114" fillId="58" borderId="59" xfId="2" applyNumberFormat="1" applyFont="1" applyFill="1" applyBorder="1" applyAlignment="1" applyProtection="1">
      <alignment horizontal="center"/>
      <protection locked="0"/>
    </xf>
    <xf numFmtId="168" fontId="114" fillId="58" borderId="56" xfId="2" applyNumberFormat="1" applyFont="1" applyFill="1" applyBorder="1" applyProtection="1">
      <protection locked="0"/>
    </xf>
    <xf numFmtId="168" fontId="114" fillId="58" borderId="59" xfId="2" applyNumberFormat="1" applyFont="1" applyFill="1" applyBorder="1" applyAlignment="1" applyProtection="1">
      <alignment horizontal="center"/>
      <protection locked="0"/>
    </xf>
    <xf numFmtId="169" fontId="115" fillId="58" borderId="69" xfId="2" applyNumberFormat="1" applyFont="1" applyFill="1" applyBorder="1" applyAlignment="1" applyProtection="1">
      <alignment horizontal="center"/>
      <protection locked="0"/>
    </xf>
    <xf numFmtId="0" fontId="115" fillId="58" borderId="70" xfId="2" applyFont="1" applyFill="1" applyBorder="1" applyAlignment="1" applyProtection="1">
      <alignment horizontal="center"/>
      <protection locked="0"/>
    </xf>
    <xf numFmtId="0" fontId="115" fillId="58" borderId="71" xfId="2" applyFont="1" applyFill="1" applyBorder="1" applyAlignment="1" applyProtection="1">
      <alignment horizontal="center"/>
      <protection locked="0"/>
    </xf>
    <xf numFmtId="9" fontId="115" fillId="58" borderId="72" xfId="6" applyFont="1" applyFill="1" applyBorder="1" applyAlignment="1" applyProtection="1">
      <alignment horizontal="center"/>
      <protection locked="0"/>
    </xf>
    <xf numFmtId="169" fontId="115" fillId="58" borderId="73" xfId="2" applyNumberFormat="1" applyFont="1" applyFill="1" applyBorder="1" applyAlignment="1" applyProtection="1">
      <alignment horizontal="center"/>
      <protection locked="0"/>
    </xf>
    <xf numFmtId="168" fontId="114" fillId="58" borderId="66" xfId="2" applyNumberFormat="1" applyFont="1" applyFill="1" applyBorder="1" applyAlignment="1" applyProtection="1">
      <alignment horizontal="center"/>
      <protection locked="0"/>
    </xf>
    <xf numFmtId="185" fontId="120" fillId="58" borderId="55" xfId="2" applyNumberFormat="1" applyFont="1" applyFill="1" applyBorder="1" applyAlignment="1" applyProtection="1">
      <alignment horizontal="center"/>
      <protection locked="0"/>
    </xf>
    <xf numFmtId="169" fontId="122" fillId="58" borderId="57" xfId="2" applyNumberFormat="1" applyFont="1" applyFill="1" applyBorder="1" applyAlignment="1" applyProtection="1">
      <alignment horizontal="center"/>
      <protection locked="0"/>
    </xf>
    <xf numFmtId="169" fontId="122" fillId="58" borderId="73" xfId="2" applyNumberFormat="1" applyFont="1" applyFill="1" applyBorder="1" applyAlignment="1" applyProtection="1">
      <alignment horizontal="center"/>
      <protection locked="0"/>
    </xf>
    <xf numFmtId="186" fontId="121" fillId="58" borderId="58" xfId="2" applyNumberFormat="1" applyFont="1" applyFill="1" applyBorder="1" applyAlignment="1" applyProtection="1">
      <alignment horizontal="center"/>
      <protection locked="0"/>
    </xf>
    <xf numFmtId="2" fontId="121" fillId="58" borderId="59" xfId="2" applyNumberFormat="1" applyFont="1" applyFill="1" applyBorder="1" applyAlignment="1" applyProtection="1">
      <alignment horizontal="center"/>
      <protection locked="0"/>
    </xf>
    <xf numFmtId="168" fontId="121" fillId="58" borderId="56" xfId="2" applyNumberFormat="1" applyFont="1" applyFill="1" applyBorder="1" applyProtection="1">
      <protection locked="0"/>
    </xf>
    <xf numFmtId="168" fontId="121" fillId="58" borderId="66" xfId="2" applyNumberFormat="1" applyFont="1" applyFill="1" applyBorder="1" applyAlignment="1" applyProtection="1">
      <alignment horizontal="center"/>
      <protection locked="0"/>
    </xf>
    <xf numFmtId="186" fontId="114" fillId="58" borderId="65" xfId="2" applyNumberFormat="1" applyFont="1" applyFill="1" applyBorder="1" applyAlignment="1" applyProtection="1">
      <alignment horizontal="center"/>
      <protection locked="0"/>
    </xf>
    <xf numFmtId="2" fontId="114" fillId="58" borderId="66" xfId="2" applyNumberFormat="1" applyFont="1" applyFill="1" applyBorder="1" applyAlignment="1" applyProtection="1">
      <alignment horizontal="center"/>
      <protection locked="0"/>
    </xf>
    <xf numFmtId="168" fontId="114" fillId="58" borderId="74" xfId="2" applyNumberFormat="1" applyFont="1" applyFill="1" applyBorder="1" applyProtection="1">
      <protection locked="0"/>
    </xf>
    <xf numFmtId="185" fontId="67" fillId="58" borderId="67" xfId="2" applyNumberFormat="1" applyFont="1" applyFill="1" applyBorder="1" applyAlignment="1" applyProtection="1">
      <alignment horizontal="center"/>
      <protection locked="0"/>
    </xf>
    <xf numFmtId="169" fontId="115" fillId="58" borderId="75" xfId="2" applyNumberFormat="1" applyFont="1" applyFill="1" applyBorder="1" applyAlignment="1" applyProtection="1">
      <alignment horizontal="center"/>
      <protection locked="0"/>
    </xf>
    <xf numFmtId="185" fontId="67" fillId="58" borderId="78" xfId="2" applyNumberFormat="1" applyFont="1" applyFill="1" applyBorder="1" applyAlignment="1" applyProtection="1">
      <alignment horizontal="center"/>
      <protection locked="0"/>
    </xf>
    <xf numFmtId="169" fontId="115" fillId="58" borderId="80" xfId="2" applyNumberFormat="1" applyFont="1" applyFill="1" applyBorder="1" applyAlignment="1" applyProtection="1">
      <alignment horizontal="center"/>
      <protection locked="0"/>
    </xf>
    <xf numFmtId="169" fontId="115" fillId="58" borderId="81" xfId="2" applyNumberFormat="1" applyFont="1" applyFill="1" applyBorder="1" applyAlignment="1" applyProtection="1">
      <alignment horizontal="center"/>
      <protection locked="0"/>
    </xf>
    <xf numFmtId="186" fontId="114" fillId="58" borderId="82" xfId="2" applyNumberFormat="1" applyFont="1" applyFill="1" applyBorder="1" applyAlignment="1" applyProtection="1">
      <alignment horizontal="center"/>
      <protection locked="0"/>
    </xf>
    <xf numFmtId="2" fontId="114" fillId="58" borderId="83" xfId="2" applyNumberFormat="1" applyFont="1" applyFill="1" applyBorder="1" applyAlignment="1" applyProtection="1">
      <alignment horizontal="center"/>
      <protection locked="0"/>
    </xf>
    <xf numFmtId="168" fontId="114" fillId="58" borderId="79" xfId="2" applyNumberFormat="1" applyFont="1" applyFill="1" applyBorder="1" applyProtection="1">
      <protection locked="0"/>
    </xf>
    <xf numFmtId="168" fontId="114" fillId="58" borderId="83" xfId="2" applyNumberFormat="1" applyFont="1" applyFill="1" applyBorder="1" applyAlignment="1" applyProtection="1">
      <alignment horizontal="center"/>
      <protection locked="0"/>
    </xf>
    <xf numFmtId="0" fontId="101" fillId="2" borderId="154" xfId="0" applyFont="1" applyFill="1" applyBorder="1" applyAlignment="1">
      <alignment horizontal="center" vertical="top"/>
    </xf>
    <xf numFmtId="0" fontId="101" fillId="2" borderId="128" xfId="0" applyFont="1" applyFill="1" applyBorder="1" applyAlignment="1">
      <alignment vertical="center"/>
    </xf>
    <xf numFmtId="0" fontId="28" fillId="0" borderId="132" xfId="0" applyFont="1" applyBorder="1"/>
    <xf numFmtId="0" fontId="101" fillId="2" borderId="154" xfId="0" applyFont="1" applyFill="1" applyBorder="1" applyAlignment="1">
      <alignment horizontal="center" vertical="top" wrapText="1"/>
    </xf>
    <xf numFmtId="0" fontId="28" fillId="0" borderId="132" xfId="0" applyFont="1" applyBorder="1" applyAlignment="1">
      <alignment horizontal="left" vertical="center"/>
    </xf>
    <xf numFmtId="0" fontId="101" fillId="2" borderId="154" xfId="0" applyFont="1" applyFill="1" applyBorder="1" applyAlignment="1">
      <alignment horizontal="center" vertical="center"/>
    </xf>
    <xf numFmtId="0" fontId="101" fillId="40" borderId="0" xfId="0" applyFont="1" applyFill="1" applyAlignment="1">
      <alignment horizontal="center"/>
    </xf>
    <xf numFmtId="0" fontId="101" fillId="40" borderId="0" xfId="0" applyFont="1" applyFill="1" applyAlignment="1">
      <alignment horizontal="center" vertical="center"/>
    </xf>
    <xf numFmtId="0" fontId="101" fillId="2" borderId="112" xfId="0" applyFont="1" applyFill="1" applyBorder="1" applyAlignment="1">
      <alignment horizontal="left" vertical="top" wrapText="1"/>
    </xf>
    <xf numFmtId="0" fontId="66" fillId="3" borderId="0" xfId="2" applyFont="1" applyFill="1"/>
    <xf numFmtId="0" fontId="67" fillId="0" borderId="0" xfId="2" applyFont="1"/>
    <xf numFmtId="205" fontId="216" fillId="0" borderId="0" xfId="2" applyNumberFormat="1" applyFont="1" applyAlignment="1">
      <alignment vertical="top"/>
    </xf>
    <xf numFmtId="205" fontId="66" fillId="0" borderId="0" xfId="2" applyNumberFormat="1" applyFont="1" applyAlignment="1">
      <alignment vertical="top"/>
    </xf>
    <xf numFmtId="0" fontId="66" fillId="0" borderId="0" xfId="2" applyFont="1" applyAlignment="1">
      <alignment vertical="top" wrapText="1"/>
    </xf>
    <xf numFmtId="0" fontId="80" fillId="0" borderId="0" xfId="2" applyFont="1"/>
    <xf numFmtId="0" fontId="66" fillId="0" borderId="0" xfId="2" applyFont="1" applyAlignment="1">
      <alignment vertical="top"/>
    </xf>
    <xf numFmtId="0" fontId="67" fillId="0" borderId="0" xfId="2" applyFont="1" applyAlignment="1">
      <alignment vertical="top" wrapText="1"/>
    </xf>
    <xf numFmtId="0" fontId="66" fillId="0" borderId="111" xfId="2" applyFont="1" applyBorder="1"/>
    <xf numFmtId="0" fontId="66" fillId="0" borderId="0" xfId="2" applyFont="1" applyAlignment="1">
      <alignment horizontal="right" vertical="top"/>
    </xf>
    <xf numFmtId="0" fontId="66" fillId="0" borderId="0" xfId="2" applyFont="1" applyAlignment="1">
      <alignment wrapText="1"/>
    </xf>
    <xf numFmtId="0" fontId="67" fillId="0" borderId="0" xfId="2" applyFont="1" applyAlignment="1">
      <alignment horizontal="right" vertical="top"/>
    </xf>
    <xf numFmtId="0" fontId="66" fillId="0" borderId="0" xfId="2" applyFont="1" applyAlignment="1">
      <alignment horizontal="right"/>
    </xf>
    <xf numFmtId="0" fontId="94" fillId="0" borderId="0" xfId="2" applyFont="1"/>
    <xf numFmtId="0" fontId="183" fillId="0" borderId="0" xfId="2" applyFont="1"/>
    <xf numFmtId="205" fontId="217" fillId="0" borderId="0" xfId="2" applyNumberFormat="1" applyFont="1" applyAlignment="1">
      <alignment vertical="top"/>
    </xf>
    <xf numFmtId="0" fontId="183" fillId="0" borderId="0" xfId="2" applyFont="1" applyAlignment="1">
      <alignment horizontal="left" vertical="top" wrapText="1" indent="1"/>
    </xf>
    <xf numFmtId="0" fontId="219" fillId="0" borderId="0" xfId="2" applyFont="1" applyAlignment="1">
      <alignment horizontal="left" vertical="top" wrapText="1" indent="1"/>
    </xf>
    <xf numFmtId="0" fontId="219" fillId="0" borderId="0" xfId="2" applyFont="1"/>
    <xf numFmtId="0" fontId="220" fillId="0" borderId="0" xfId="0" applyFont="1"/>
    <xf numFmtId="0" fontId="128" fillId="28" borderId="0" xfId="2" applyFont="1" applyFill="1"/>
    <xf numFmtId="0" fontId="66" fillId="28" borderId="0" xfId="2" applyFont="1" applyFill="1" applyAlignment="1">
      <alignment vertical="top"/>
    </xf>
    <xf numFmtId="0" fontId="66" fillId="28" borderId="0" xfId="2" applyFont="1" applyFill="1"/>
    <xf numFmtId="0" fontId="67" fillId="28" borderId="0" xfId="2" applyFont="1" applyFill="1"/>
    <xf numFmtId="205" fontId="216" fillId="28" borderId="0" xfId="2" applyNumberFormat="1" applyFont="1" applyFill="1" applyAlignment="1">
      <alignment vertical="top"/>
    </xf>
    <xf numFmtId="205" fontId="66" fillId="28" borderId="0" xfId="2" applyNumberFormat="1" applyFont="1" applyFill="1" applyAlignment="1">
      <alignment vertical="top"/>
    </xf>
    <xf numFmtId="0" fontId="66" fillId="28" borderId="0" xfId="2" applyFont="1" applyFill="1" applyAlignment="1">
      <alignment vertical="top" wrapText="1"/>
    </xf>
    <xf numFmtId="205" fontId="67" fillId="28" borderId="0" xfId="2" applyNumberFormat="1" applyFont="1" applyFill="1" applyAlignment="1">
      <alignment vertical="top"/>
    </xf>
    <xf numFmtId="0" fontId="66" fillId="28" borderId="0" xfId="2" applyFont="1" applyFill="1" applyAlignment="1">
      <alignment horizontal="left" vertical="top" wrapText="1" indent="7"/>
    </xf>
    <xf numFmtId="0" fontId="66" fillId="28" borderId="0" xfId="2" applyFont="1" applyFill="1" applyAlignment="1">
      <alignment horizontal="left" vertical="top" wrapText="1"/>
    </xf>
    <xf numFmtId="0" fontId="67" fillId="28" borderId="0" xfId="2" applyFont="1" applyFill="1" applyAlignment="1">
      <alignment vertical="top" wrapText="1"/>
    </xf>
    <xf numFmtId="0" fontId="66" fillId="28" borderId="0" xfId="2" applyFont="1" applyFill="1" applyAlignment="1">
      <alignment horizontal="left" vertical="top" wrapText="1" indent="3"/>
    </xf>
    <xf numFmtId="0" fontId="67" fillId="28" borderId="0" xfId="2" quotePrefix="1" applyFont="1" applyFill="1" applyAlignment="1">
      <alignment vertical="top"/>
    </xf>
    <xf numFmtId="0" fontId="66" fillId="28" borderId="0" xfId="2" applyFont="1" applyFill="1" applyAlignment="1">
      <alignment horizontal="center" vertical="top"/>
    </xf>
    <xf numFmtId="0" fontId="67" fillId="28" borderId="0" xfId="2" applyFont="1" applyFill="1" applyAlignment="1">
      <alignment vertical="top"/>
    </xf>
    <xf numFmtId="0" fontId="66" fillId="28" borderId="0" xfId="2" quotePrefix="1" applyFont="1" applyFill="1" applyAlignment="1">
      <alignment vertical="top"/>
    </xf>
    <xf numFmtId="0" fontId="66" fillId="28" borderId="0" xfId="2" applyFont="1" applyFill="1" applyAlignment="1">
      <alignment vertical="center" wrapText="1"/>
    </xf>
    <xf numFmtId="0" fontId="66" fillId="28" borderId="0" xfId="2" applyFont="1" applyFill="1" applyAlignment="1">
      <alignment wrapText="1"/>
    </xf>
    <xf numFmtId="49" fontId="66" fillId="59" borderId="0" xfId="2" applyNumberFormat="1" applyFont="1" applyFill="1" applyAlignment="1">
      <alignment vertical="top"/>
    </xf>
    <xf numFmtId="0" fontId="66" fillId="59" borderId="0" xfId="2" applyFont="1" applyFill="1" applyAlignment="1">
      <alignment horizontal="right" vertical="top"/>
    </xf>
    <xf numFmtId="0" fontId="66" fillId="59" borderId="0" xfId="2" applyFont="1" applyFill="1" applyAlignment="1">
      <alignment vertical="top" wrapText="1"/>
    </xf>
    <xf numFmtId="0" fontId="66" fillId="59" borderId="0" xfId="2" applyFont="1" applyFill="1" applyAlignment="1">
      <alignment wrapText="1"/>
    </xf>
    <xf numFmtId="49" fontId="66" fillId="59" borderId="0" xfId="2" applyNumberFormat="1" applyFont="1" applyFill="1"/>
    <xf numFmtId="49" fontId="66" fillId="28" borderId="0" xfId="2" applyNumberFormat="1" applyFont="1" applyFill="1" applyAlignment="1">
      <alignment vertical="top"/>
    </xf>
    <xf numFmtId="0" fontId="66" fillId="28" borderId="0" xfId="2" applyFont="1" applyFill="1" applyAlignment="1">
      <alignment horizontal="right" vertical="top"/>
    </xf>
    <xf numFmtId="0" fontId="15" fillId="28" borderId="0" xfId="2" applyFill="1" applyAlignment="1">
      <alignment horizontal="left" vertical="center"/>
    </xf>
    <xf numFmtId="0" fontId="66" fillId="28" borderId="0" xfId="2" applyFont="1" applyFill="1" applyAlignment="1">
      <alignment horizontal="left" vertical="center"/>
    </xf>
    <xf numFmtId="0" fontId="15" fillId="2" borderId="0" xfId="2" applyFill="1"/>
    <xf numFmtId="0" fontId="221" fillId="3" borderId="0" xfId="0" applyFont="1" applyFill="1"/>
    <xf numFmtId="0" fontId="222" fillId="3" borderId="0" xfId="0" applyFont="1" applyFill="1"/>
    <xf numFmtId="0" fontId="221" fillId="0" borderId="0" xfId="0" applyFont="1"/>
    <xf numFmtId="0" fontId="223" fillId="3" borderId="0" xfId="0" applyFont="1" applyFill="1" applyAlignment="1">
      <alignment horizontal="right" vertical="center"/>
    </xf>
    <xf numFmtId="0" fontId="222" fillId="0" borderId="0" xfId="0" applyFont="1"/>
    <xf numFmtId="205" fontId="224" fillId="0" borderId="0" xfId="0" applyNumberFormat="1" applyFont="1" applyAlignment="1">
      <alignment vertical="top"/>
    </xf>
    <xf numFmtId="205" fontId="221" fillId="0" borderId="0" xfId="0" applyNumberFormat="1" applyFont="1" applyAlignment="1">
      <alignment vertical="top"/>
    </xf>
    <xf numFmtId="0" fontId="221" fillId="0" borderId="0" xfId="0" applyFont="1" applyAlignment="1">
      <alignment vertical="top" wrapText="1"/>
    </xf>
    <xf numFmtId="0" fontId="225" fillId="0" borderId="0" xfId="2" applyFont="1"/>
    <xf numFmtId="0" fontId="221" fillId="0" borderId="0" xfId="2" applyFont="1" applyAlignment="1">
      <alignment vertical="top" wrapText="1"/>
    </xf>
    <xf numFmtId="0" fontId="225" fillId="0" borderId="0" xfId="0" applyFont="1"/>
    <xf numFmtId="0" fontId="221" fillId="0" borderId="0" xfId="0" applyFont="1" applyAlignment="1">
      <alignment vertical="top"/>
    </xf>
    <xf numFmtId="0" fontId="222" fillId="0" borderId="0" xfId="0" applyFont="1" applyAlignment="1">
      <alignment vertical="top" wrapText="1"/>
    </xf>
    <xf numFmtId="0" fontId="221" fillId="0" borderId="111" xfId="0" applyFont="1" applyBorder="1"/>
    <xf numFmtId="0" fontId="221" fillId="0" borderId="0" xfId="0" applyFont="1" applyAlignment="1">
      <alignment horizontal="right"/>
    </xf>
    <xf numFmtId="0" fontId="221" fillId="0" borderId="0" xfId="2" applyFont="1" applyAlignment="1">
      <alignment horizontal="right" vertical="top"/>
    </xf>
    <xf numFmtId="0" fontId="222" fillId="0" borderId="0" xfId="2" applyFont="1" applyAlignment="1">
      <alignment wrapText="1"/>
    </xf>
    <xf numFmtId="0" fontId="221" fillId="0" borderId="0" xfId="2" applyFont="1" applyAlignment="1">
      <alignment wrapText="1"/>
    </xf>
    <xf numFmtId="0" fontId="222" fillId="0" borderId="0" xfId="2" applyFont="1" applyAlignment="1">
      <alignment horizontal="right" vertical="top"/>
    </xf>
    <xf numFmtId="0" fontId="221" fillId="0" borderId="0" xfId="0" applyFont="1" applyAlignment="1">
      <alignment horizontal="right" vertical="top"/>
    </xf>
    <xf numFmtId="0" fontId="221" fillId="0" borderId="0" xfId="0" applyFont="1" applyAlignment="1">
      <alignment wrapText="1"/>
    </xf>
    <xf numFmtId="0" fontId="226" fillId="0" borderId="0" xfId="0" applyFont="1"/>
    <xf numFmtId="0" fontId="87" fillId="0" borderId="0" xfId="2" applyFont="1"/>
    <xf numFmtId="0" fontId="154" fillId="0" borderId="0" xfId="2" applyFont="1"/>
    <xf numFmtId="0" fontId="15" fillId="0" borderId="0" xfId="2" applyProtection="1">
      <protection locked="0"/>
    </xf>
    <xf numFmtId="0" fontId="227" fillId="0" borderId="0" xfId="0" applyFont="1"/>
    <xf numFmtId="0" fontId="129" fillId="28" borderId="0" xfId="0" applyFont="1" applyFill="1" applyAlignment="1">
      <alignment horizontal="right"/>
    </xf>
    <xf numFmtId="0" fontId="130" fillId="28" borderId="0" xfId="0" applyFont="1" applyFill="1" applyAlignment="1">
      <alignment horizontal="center" vertical="center"/>
    </xf>
    <xf numFmtId="0" fontId="228" fillId="28" borderId="0" xfId="0" applyFont="1" applyFill="1" applyAlignment="1">
      <alignment horizontal="right"/>
    </xf>
    <xf numFmtId="0" fontId="7" fillId="2" borderId="0" xfId="0" applyFont="1" applyFill="1"/>
    <xf numFmtId="0" fontId="38" fillId="0" borderId="0" xfId="0" applyFont="1" applyAlignment="1">
      <alignment vertical="center"/>
    </xf>
    <xf numFmtId="0" fontId="66" fillId="2" borderId="0" xfId="2" applyFont="1" applyFill="1"/>
    <xf numFmtId="0" fontId="221" fillId="2" borderId="0" xfId="0" applyFont="1" applyFill="1"/>
    <xf numFmtId="0" fontId="96" fillId="0" borderId="0" xfId="2" applyFont="1" applyAlignment="1">
      <alignment vertical="top" wrapText="1"/>
    </xf>
    <xf numFmtId="0" fontId="96" fillId="0" borderId="0" xfId="2" applyFont="1"/>
    <xf numFmtId="0" fontId="230" fillId="0" borderId="0" xfId="0" applyFont="1" applyAlignment="1">
      <alignment vertical="top" wrapText="1"/>
    </xf>
    <xf numFmtId="0" fontId="230" fillId="0" borderId="0" xfId="0" applyFont="1"/>
    <xf numFmtId="0" fontId="230" fillId="0" borderId="0" xfId="2" applyFont="1" applyAlignment="1">
      <alignment vertical="top" wrapText="1"/>
    </xf>
    <xf numFmtId="0" fontId="82" fillId="28" borderId="0" xfId="2" applyFont="1" applyFill="1"/>
    <xf numFmtId="0" fontId="96" fillId="28" borderId="0" xfId="2" applyFont="1" applyFill="1" applyAlignment="1">
      <alignment vertical="top" wrapText="1"/>
    </xf>
    <xf numFmtId="0" fontId="96" fillId="28" borderId="0" xfId="2" applyFont="1" applyFill="1"/>
    <xf numFmtId="0" fontId="33" fillId="0" borderId="0" xfId="0" applyFont="1" applyAlignment="1">
      <alignment vertical="top" wrapText="1"/>
    </xf>
    <xf numFmtId="0" fontId="33" fillId="0" borderId="0" xfId="0" applyFont="1" applyAlignment="1">
      <alignment vertical="top"/>
    </xf>
    <xf numFmtId="0" fontId="101" fillId="2" borderId="0" xfId="0" applyFont="1" applyFill="1" applyAlignment="1">
      <alignment vertical="center" wrapText="1"/>
    </xf>
    <xf numFmtId="0" fontId="101" fillId="2" borderId="0" xfId="0" applyFont="1" applyFill="1" applyAlignment="1">
      <alignment vertical="center"/>
    </xf>
    <xf numFmtId="0" fontId="33" fillId="41" borderId="154" xfId="0" applyFont="1" applyFill="1" applyBorder="1" applyAlignment="1" applyProtection="1">
      <alignment horizontal="center" vertical="center" wrapText="1"/>
      <protection locked="0"/>
    </xf>
    <xf numFmtId="0" fontId="21" fillId="40" borderId="154" xfId="0" applyFont="1" applyFill="1" applyBorder="1" applyAlignment="1">
      <alignment horizontal="center" vertical="top" wrapText="1"/>
    </xf>
    <xf numFmtId="0" fontId="33" fillId="41" borderId="0" xfId="0" applyFont="1" applyFill="1" applyAlignment="1">
      <alignment vertical="center" wrapText="1"/>
    </xf>
    <xf numFmtId="0" fontId="192" fillId="0" borderId="0" xfId="0" applyFont="1" applyAlignment="1">
      <alignment horizontal="right"/>
    </xf>
    <xf numFmtId="0" fontId="197" fillId="0" borderId="0" xfId="0" applyFont="1" applyAlignment="1">
      <alignment horizontal="right"/>
    </xf>
    <xf numFmtId="0" fontId="28" fillId="0" borderId="154" xfId="0" applyFont="1" applyBorder="1"/>
    <xf numFmtId="0" fontId="32" fillId="40" borderId="0" xfId="0" applyFont="1" applyFill="1" applyAlignment="1">
      <alignment horizontal="left"/>
    </xf>
    <xf numFmtId="0" fontId="32" fillId="2" borderId="95" xfId="0" applyFont="1" applyFill="1" applyBorder="1"/>
    <xf numFmtId="0" fontId="28" fillId="0" borderId="155" xfId="0" applyFont="1" applyBorder="1" applyAlignment="1">
      <alignment horizontal="left"/>
    </xf>
    <xf numFmtId="0" fontId="5" fillId="0" borderId="0" xfId="1"/>
    <xf numFmtId="0" fontId="190" fillId="0" borderId="0" xfId="0" applyFont="1" applyProtection="1">
      <protection locked="0"/>
    </xf>
    <xf numFmtId="0" fontId="101" fillId="2" borderId="112" xfId="0" applyFont="1" applyFill="1" applyBorder="1" applyAlignment="1">
      <alignment horizontal="center" vertical="top"/>
    </xf>
    <xf numFmtId="0" fontId="214" fillId="0" borderId="132" xfId="0" applyFont="1" applyBorder="1" applyAlignment="1">
      <alignment horizontal="center" vertical="center" wrapText="1"/>
    </xf>
    <xf numFmtId="169" fontId="105" fillId="58" borderId="56" xfId="2" applyNumberFormat="1" applyFont="1" applyFill="1" applyBorder="1" applyAlignment="1" applyProtection="1">
      <alignment horizontal="center"/>
      <protection locked="0"/>
    </xf>
    <xf numFmtId="169" fontId="123" fillId="58" borderId="56" xfId="2" applyNumberFormat="1" applyFont="1" applyFill="1" applyBorder="1" applyAlignment="1" applyProtection="1">
      <alignment horizontal="center"/>
      <protection locked="0"/>
    </xf>
    <xf numFmtId="169" fontId="105" fillId="58" borderId="74" xfId="2" applyNumberFormat="1" applyFont="1" applyFill="1" applyBorder="1" applyAlignment="1" applyProtection="1">
      <alignment horizontal="center"/>
      <protection locked="0"/>
    </xf>
    <xf numFmtId="169" fontId="105" fillId="58" borderId="79" xfId="2" applyNumberFormat="1" applyFont="1" applyFill="1" applyBorder="1" applyAlignment="1" applyProtection="1">
      <alignment horizontal="center"/>
      <protection locked="0"/>
    </xf>
    <xf numFmtId="0" fontId="101" fillId="2" borderId="110" xfId="0" applyFont="1" applyFill="1" applyBorder="1" applyAlignment="1">
      <alignment horizontal="center" vertical="top"/>
    </xf>
    <xf numFmtId="0" fontId="66" fillId="0" borderId="3" xfId="2" applyFont="1" applyBorder="1"/>
    <xf numFmtId="0" fontId="28" fillId="41" borderId="0" xfId="0" applyFont="1" applyFill="1" applyAlignment="1" applyProtection="1">
      <alignment vertical="top"/>
      <protection locked="0"/>
    </xf>
    <xf numFmtId="0" fontId="28" fillId="41" borderId="0" xfId="0" applyFont="1" applyFill="1" applyProtection="1">
      <protection locked="0"/>
    </xf>
    <xf numFmtId="0" fontId="28" fillId="60" borderId="0" xfId="0" applyFont="1" applyFill="1"/>
    <xf numFmtId="0" fontId="0" fillId="60" borderId="0" xfId="0" applyFill="1"/>
    <xf numFmtId="0" fontId="28" fillId="60" borderId="0" xfId="0" applyFont="1" applyFill="1" applyProtection="1">
      <protection locked="0"/>
    </xf>
    <xf numFmtId="0" fontId="28" fillId="60" borderId="0" xfId="0" applyFont="1" applyFill="1" applyAlignment="1">
      <alignment vertical="top" wrapText="1"/>
    </xf>
    <xf numFmtId="0" fontId="28" fillId="60" borderId="0" xfId="0" applyFont="1" applyFill="1" applyAlignment="1">
      <alignment horizontal="center" vertical="top" wrapText="1"/>
    </xf>
    <xf numFmtId="0" fontId="28" fillId="60" borderId="0" xfId="0" applyFont="1" applyFill="1" applyAlignment="1">
      <alignment horizontal="center"/>
    </xf>
    <xf numFmtId="0" fontId="28" fillId="60" borderId="0" xfId="0" applyFont="1" applyFill="1" applyAlignment="1">
      <alignment vertical="center"/>
    </xf>
    <xf numFmtId="0" fontId="28" fillId="60" borderId="0" xfId="0" applyFont="1" applyFill="1" applyAlignment="1">
      <alignment vertical="top"/>
    </xf>
    <xf numFmtId="0" fontId="28" fillId="60" borderId="0" xfId="0" applyFont="1" applyFill="1" applyAlignment="1">
      <alignment horizontal="center" vertical="top"/>
    </xf>
    <xf numFmtId="0" fontId="28" fillId="60" borderId="0" xfId="0" applyFont="1" applyFill="1" applyAlignment="1" applyProtection="1">
      <alignment vertical="center"/>
      <protection locked="0"/>
    </xf>
    <xf numFmtId="0" fontId="28" fillId="60" borderId="0" xfId="0" applyFont="1" applyFill="1" applyAlignment="1">
      <alignment horizontal="center" vertical="center"/>
    </xf>
    <xf numFmtId="0" fontId="66" fillId="0" borderId="0" xfId="0" applyFont="1" applyAlignment="1">
      <alignment wrapText="1"/>
    </xf>
    <xf numFmtId="0" fontId="33" fillId="41" borderId="124" xfId="0" applyFont="1" applyFill="1" applyBorder="1" applyProtection="1">
      <protection locked="0"/>
    </xf>
    <xf numFmtId="0" fontId="33" fillId="41" borderId="109" xfId="0" applyFont="1" applyFill="1" applyBorder="1" applyProtection="1">
      <protection locked="0"/>
    </xf>
    <xf numFmtId="0" fontId="33" fillId="41" borderId="156" xfId="0" applyFont="1" applyFill="1" applyBorder="1" applyProtection="1">
      <protection locked="0"/>
    </xf>
    <xf numFmtId="0" fontId="114" fillId="0" borderId="0" xfId="2" applyFont="1"/>
    <xf numFmtId="0" fontId="232" fillId="0" borderId="0" xfId="0" applyFont="1"/>
    <xf numFmtId="0" fontId="33" fillId="6" borderId="154" xfId="0" applyFont="1" applyFill="1" applyBorder="1" applyAlignment="1" applyProtection="1">
      <alignment horizontal="center" vertical="center"/>
      <protection locked="0"/>
    </xf>
    <xf numFmtId="0" fontId="101" fillId="2" borderId="110" xfId="0" applyFont="1" applyFill="1" applyBorder="1" applyAlignment="1">
      <alignment horizontal="left" vertical="top"/>
    </xf>
    <xf numFmtId="0" fontId="214" fillId="0" borderId="132" xfId="0" applyFont="1" applyBorder="1" applyAlignment="1">
      <alignment horizontal="left" vertical="center" wrapText="1"/>
    </xf>
    <xf numFmtId="0" fontId="101" fillId="2" borderId="110" xfId="0" applyFont="1" applyFill="1" applyBorder="1" applyAlignment="1">
      <alignment horizontal="center" vertical="top" wrapText="1"/>
    </xf>
    <xf numFmtId="0" fontId="101" fillId="2" borderId="110" xfId="0" applyFont="1" applyFill="1" applyBorder="1" applyAlignment="1">
      <alignment horizontal="center" vertical="center"/>
    </xf>
    <xf numFmtId="0" fontId="33" fillId="6" borderId="154" xfId="0" applyFont="1" applyFill="1" applyBorder="1" applyAlignment="1" applyProtection="1">
      <alignment horizontal="center" vertical="center" wrapText="1"/>
      <protection locked="0"/>
    </xf>
    <xf numFmtId="0" fontId="33" fillId="41" borderId="154" xfId="0" applyFont="1" applyFill="1" applyBorder="1" applyAlignment="1">
      <alignment horizontal="center" vertical="center"/>
    </xf>
    <xf numFmtId="0" fontId="21" fillId="2" borderId="154" xfId="0" applyFont="1" applyFill="1" applyBorder="1" applyAlignment="1">
      <alignment horizontal="center" vertical="top" wrapText="1"/>
    </xf>
    <xf numFmtId="0" fontId="67" fillId="0" borderId="133" xfId="2" applyFont="1" applyBorder="1"/>
    <xf numFmtId="0" fontId="66" fillId="0" borderId="133" xfId="2" applyFont="1" applyBorder="1"/>
    <xf numFmtId="0" fontId="63" fillId="19" borderId="157" xfId="2" applyFont="1" applyFill="1" applyBorder="1" applyAlignment="1">
      <alignment horizontal="center"/>
    </xf>
    <xf numFmtId="0" fontId="63" fillId="18" borderId="157" xfId="2" applyFont="1" applyFill="1" applyBorder="1" applyAlignment="1">
      <alignment horizontal="center"/>
    </xf>
    <xf numFmtId="0" fontId="73" fillId="19" borderId="158" xfId="2" applyFont="1" applyFill="1" applyBorder="1" applyAlignment="1">
      <alignment horizontal="center"/>
    </xf>
    <xf numFmtId="0" fontId="63" fillId="19" borderId="158" xfId="2" applyFont="1" applyFill="1" applyBorder="1" applyAlignment="1">
      <alignment horizontal="center"/>
    </xf>
    <xf numFmtId="0" fontId="63" fillId="19" borderId="159" xfId="2" applyFont="1" applyFill="1" applyBorder="1" applyAlignment="1">
      <alignment horizontal="center"/>
    </xf>
    <xf numFmtId="0" fontId="63" fillId="16" borderId="160" xfId="2" applyFont="1" applyFill="1" applyBorder="1" applyAlignment="1">
      <alignment horizontal="center"/>
    </xf>
    <xf numFmtId="0" fontId="63" fillId="18" borderId="158" xfId="2" applyFont="1" applyFill="1" applyBorder="1" applyAlignment="1">
      <alignment horizontal="center"/>
    </xf>
    <xf numFmtId="0" fontId="63" fillId="18" borderId="159" xfId="2" applyFont="1" applyFill="1" applyBorder="1" applyAlignment="1">
      <alignment horizontal="center"/>
    </xf>
    <xf numFmtId="0" fontId="63" fillId="18" borderId="160" xfId="2" applyFont="1" applyFill="1" applyBorder="1" applyAlignment="1">
      <alignment horizontal="center"/>
    </xf>
    <xf numFmtId="0" fontId="63" fillId="19" borderId="160" xfId="2" applyFont="1" applyFill="1" applyBorder="1" applyAlignment="1">
      <alignment horizontal="center"/>
    </xf>
    <xf numFmtId="184" fontId="66" fillId="26" borderId="133" xfId="2" applyNumberFormat="1" applyFont="1" applyFill="1" applyBorder="1" applyAlignment="1">
      <alignment horizontal="right"/>
    </xf>
    <xf numFmtId="0" fontId="72" fillId="29" borderId="161" xfId="2" applyFont="1" applyFill="1" applyBorder="1" applyAlignment="1">
      <alignment horizontal="center"/>
    </xf>
    <xf numFmtId="0" fontId="60" fillId="29" borderId="161" xfId="2" applyFont="1" applyFill="1" applyBorder="1"/>
    <xf numFmtId="0" fontId="133" fillId="29" borderId="161" xfId="2" quotePrefix="1" applyFont="1" applyFill="1" applyBorder="1"/>
    <xf numFmtId="0" fontId="64" fillId="29" borderId="161" xfId="2" applyFont="1" applyFill="1" applyBorder="1" applyAlignment="1">
      <alignment vertical="top"/>
    </xf>
    <xf numFmtId="0" fontId="133" fillId="29" borderId="161" xfId="2" quotePrefix="1" applyFont="1" applyFill="1" applyBorder="1" applyAlignment="1">
      <alignment horizontal="left"/>
    </xf>
    <xf numFmtId="0" fontId="63" fillId="29" borderId="161" xfId="2" applyFont="1" applyFill="1" applyBorder="1" applyAlignment="1">
      <alignment horizontal="center"/>
    </xf>
    <xf numFmtId="0" fontId="64" fillId="29" borderId="161" xfId="2" applyFont="1" applyFill="1" applyBorder="1" applyAlignment="1">
      <alignment horizontal="left"/>
    </xf>
    <xf numFmtId="0" fontId="102" fillId="29" borderId="161" xfId="2" applyFont="1" applyFill="1" applyBorder="1" applyAlignment="1">
      <alignment horizontal="center"/>
    </xf>
    <xf numFmtId="0" fontId="15" fillId="0" borderId="163" xfId="2" applyBorder="1"/>
    <xf numFmtId="2" fontId="20" fillId="21" borderId="164" xfId="2" applyNumberFormat="1" applyFont="1" applyFill="1" applyBorder="1" applyAlignment="1">
      <alignment horizontal="center"/>
    </xf>
    <xf numFmtId="2" fontId="20" fillId="21" borderId="165" xfId="2" applyNumberFormat="1" applyFont="1" applyFill="1" applyBorder="1" applyAlignment="1">
      <alignment horizontal="center"/>
    </xf>
    <xf numFmtId="2" fontId="20" fillId="21" borderId="163" xfId="2" applyNumberFormat="1" applyFont="1" applyFill="1" applyBorder="1" applyAlignment="1">
      <alignment horizontal="center"/>
    </xf>
    <xf numFmtId="0" fontId="15" fillId="0" borderId="166" xfId="2" applyBorder="1"/>
    <xf numFmtId="0" fontId="15" fillId="0" borderId="167" xfId="2" applyBorder="1"/>
    <xf numFmtId="0" fontId="15" fillId="0" borderId="168" xfId="2" applyBorder="1"/>
    <xf numFmtId="191" fontId="20" fillId="21" borderId="169" xfId="2" applyNumberFormat="1" applyFont="1" applyFill="1" applyBorder="1" applyAlignment="1">
      <alignment horizontal="center"/>
    </xf>
    <xf numFmtId="191" fontId="20" fillId="21" borderId="170" xfId="2" applyNumberFormat="1" applyFont="1" applyFill="1" applyBorder="1" applyAlignment="1">
      <alignment horizontal="center"/>
    </xf>
    <xf numFmtId="191" fontId="20" fillId="21" borderId="171" xfId="2" applyNumberFormat="1" applyFont="1" applyFill="1" applyBorder="1" applyAlignment="1">
      <alignment horizontal="center"/>
    </xf>
    <xf numFmtId="0" fontId="15" fillId="30" borderId="166" xfId="2" applyFill="1" applyBorder="1"/>
    <xf numFmtId="0" fontId="15" fillId="30" borderId="167" xfId="2" applyFill="1" applyBorder="1"/>
    <xf numFmtId="0" fontId="15" fillId="30" borderId="168" xfId="2" applyFill="1" applyBorder="1"/>
    <xf numFmtId="2" fontId="15" fillId="0" borderId="167" xfId="2" applyNumberFormat="1" applyBorder="1"/>
    <xf numFmtId="2" fontId="15" fillId="0" borderId="168" xfId="2" applyNumberFormat="1" applyBorder="1"/>
    <xf numFmtId="2" fontId="15" fillId="30" borderId="167" xfId="2" applyNumberFormat="1" applyFill="1" applyBorder="1"/>
    <xf numFmtId="2" fontId="15" fillId="30" borderId="168" xfId="2" applyNumberFormat="1" applyFill="1" applyBorder="1"/>
    <xf numFmtId="2" fontId="20" fillId="19" borderId="164" xfId="2" applyNumberFormat="1" applyFont="1" applyFill="1" applyBorder="1" applyAlignment="1">
      <alignment horizontal="center"/>
    </xf>
    <xf numFmtId="2" fontId="20" fillId="19" borderId="165" xfId="2" applyNumberFormat="1" applyFont="1" applyFill="1" applyBorder="1" applyAlignment="1">
      <alignment horizontal="center"/>
    </xf>
    <xf numFmtId="2" fontId="20" fillId="19" borderId="163" xfId="2" applyNumberFormat="1" applyFont="1" applyFill="1" applyBorder="1" applyAlignment="1">
      <alignment horizontal="center"/>
    </xf>
    <xf numFmtId="191" fontId="20" fillId="19" borderId="169" xfId="2" applyNumberFormat="1" applyFont="1" applyFill="1" applyBorder="1" applyAlignment="1">
      <alignment horizontal="center"/>
    </xf>
    <xf numFmtId="191" fontId="20" fillId="19" borderId="170" xfId="2" applyNumberFormat="1" applyFont="1" applyFill="1" applyBorder="1" applyAlignment="1">
      <alignment horizontal="center"/>
    </xf>
    <xf numFmtId="191" fontId="20" fillId="19" borderId="171" xfId="2" applyNumberFormat="1" applyFont="1" applyFill="1" applyBorder="1" applyAlignment="1">
      <alignment horizontal="center"/>
    </xf>
    <xf numFmtId="0" fontId="19" fillId="19" borderId="170" xfId="2" applyFont="1" applyFill="1" applyBorder="1" applyAlignment="1">
      <alignment horizontal="center" vertical="top" wrapText="1"/>
    </xf>
    <xf numFmtId="0" fontId="19" fillId="19" borderId="171" xfId="2" applyFont="1" applyFill="1" applyBorder="1" applyAlignment="1">
      <alignment horizontal="center" vertical="top" wrapText="1"/>
    </xf>
    <xf numFmtId="192" fontId="20" fillId="0" borderId="172" xfId="2" applyNumberFormat="1" applyFont="1" applyBorder="1" applyAlignment="1">
      <alignment horizontal="center"/>
    </xf>
    <xf numFmtId="193" fontId="20" fillId="0" borderId="173" xfId="2" applyNumberFormat="1" applyFont="1" applyBorder="1" applyAlignment="1">
      <alignment horizontal="center"/>
    </xf>
    <xf numFmtId="192" fontId="20" fillId="0" borderId="173" xfId="2" applyNumberFormat="1" applyFont="1" applyBorder="1" applyAlignment="1">
      <alignment horizontal="center"/>
    </xf>
    <xf numFmtId="193" fontId="20" fillId="0" borderId="174" xfId="2" applyNumberFormat="1" applyFont="1" applyBorder="1" applyAlignment="1">
      <alignment horizontal="center"/>
    </xf>
    <xf numFmtId="169" fontId="164" fillId="21" borderId="175" xfId="2" applyNumberFormat="1" applyFont="1" applyFill="1" applyBorder="1"/>
    <xf numFmtId="169" fontId="15" fillId="0" borderId="176" xfId="2" applyNumberFormat="1" applyBorder="1"/>
    <xf numFmtId="169" fontId="15" fillId="16" borderId="177" xfId="2" applyNumberFormat="1" applyFill="1" applyBorder="1"/>
    <xf numFmtId="169" fontId="15" fillId="0" borderId="177" xfId="2" applyNumberFormat="1" applyBorder="1"/>
    <xf numFmtId="169" fontId="15" fillId="16" borderId="178" xfId="2" applyNumberFormat="1" applyFill="1" applyBorder="1"/>
    <xf numFmtId="169" fontId="164" fillId="0" borderId="175" xfId="2" applyNumberFormat="1" applyFont="1" applyBorder="1"/>
    <xf numFmtId="169" fontId="165" fillId="21" borderId="175" xfId="2" applyNumberFormat="1" applyFont="1" applyFill="1" applyBorder="1"/>
    <xf numFmtId="169" fontId="155" fillId="0" borderId="176" xfId="2" applyNumberFormat="1" applyFont="1" applyBorder="1"/>
    <xf numFmtId="169" fontId="155" fillId="16" borderId="177" xfId="2" applyNumberFormat="1" applyFont="1" applyFill="1" applyBorder="1"/>
    <xf numFmtId="169" fontId="155" fillId="0" borderId="177" xfId="2" applyNumberFormat="1" applyFont="1" applyBorder="1"/>
    <xf numFmtId="169" fontId="155" fillId="16" borderId="178" xfId="2" applyNumberFormat="1" applyFont="1" applyFill="1" applyBorder="1"/>
    <xf numFmtId="169" fontId="165" fillId="0" borderId="175" xfId="2" applyNumberFormat="1" applyFont="1" applyBorder="1"/>
    <xf numFmtId="169" fontId="165" fillId="21" borderId="179" xfId="2" applyNumberFormat="1" applyFont="1" applyFill="1" applyBorder="1"/>
    <xf numFmtId="169" fontId="155" fillId="0" borderId="172" xfId="2" applyNumberFormat="1" applyFont="1" applyBorder="1"/>
    <xf numFmtId="169" fontId="155" fillId="16" borderId="173" xfId="2" applyNumberFormat="1" applyFont="1" applyFill="1" applyBorder="1"/>
    <xf numFmtId="169" fontId="155" fillId="0" borderId="173" xfId="2" applyNumberFormat="1" applyFont="1" applyBorder="1"/>
    <xf numFmtId="169" fontId="155" fillId="16" borderId="174" xfId="2" applyNumberFormat="1" applyFont="1" applyFill="1" applyBorder="1"/>
    <xf numFmtId="169" fontId="165" fillId="0" borderId="179" xfId="2" applyNumberFormat="1" applyFont="1" applyBorder="1"/>
    <xf numFmtId="169" fontId="167" fillId="0" borderId="175" xfId="2" applyNumberFormat="1" applyFont="1" applyBorder="1"/>
    <xf numFmtId="169" fontId="153" fillId="0" borderId="175" xfId="2" applyNumberFormat="1" applyFont="1" applyBorder="1"/>
    <xf numFmtId="169" fontId="153" fillId="0" borderId="179" xfId="2" applyNumberFormat="1" applyFont="1" applyBorder="1"/>
    <xf numFmtId="0" fontId="33" fillId="6" borderId="109" xfId="0" applyFont="1" applyFill="1" applyBorder="1" applyAlignment="1" applyProtection="1">
      <alignment horizontal="center"/>
      <protection locked="0"/>
    </xf>
    <xf numFmtId="0" fontId="33" fillId="41" borderId="109" xfId="0" applyFont="1" applyFill="1" applyBorder="1" applyAlignment="1">
      <alignment horizontal="center"/>
    </xf>
    <xf numFmtId="0" fontId="33" fillId="6" borderId="109" xfId="0" applyFont="1" applyFill="1" applyBorder="1"/>
    <xf numFmtId="0" fontId="33" fillId="6" borderId="109" xfId="0" applyFont="1" applyFill="1" applyBorder="1" applyProtection="1">
      <protection locked="0"/>
    </xf>
    <xf numFmtId="0" fontId="33" fillId="28" borderId="109" xfId="0" applyFont="1" applyFill="1" applyBorder="1"/>
    <xf numFmtId="0" fontId="28" fillId="28" borderId="109" xfId="0" applyFont="1" applyFill="1" applyBorder="1"/>
    <xf numFmtId="0" fontId="33" fillId="28" borderId="109" xfId="0" applyFont="1" applyFill="1" applyBorder="1" applyAlignment="1">
      <alignment horizontal="right" vertical="center" wrapText="1"/>
    </xf>
    <xf numFmtId="0" fontId="173" fillId="44" borderId="109" xfId="2" applyFont="1" applyFill="1" applyBorder="1"/>
    <xf numFmtId="0" fontId="173" fillId="44" borderId="109" xfId="2" applyFont="1" applyFill="1" applyBorder="1" applyAlignment="1">
      <alignment horizontal="center" vertical="top" textRotation="90"/>
    </xf>
    <xf numFmtId="0" fontId="66" fillId="28" borderId="180" xfId="2" applyFont="1" applyFill="1" applyBorder="1" applyAlignment="1">
      <alignment horizontal="left" vertical="center"/>
    </xf>
    <xf numFmtId="0" fontId="66" fillId="47" borderId="180" xfId="2" applyFont="1" applyFill="1" applyBorder="1" applyAlignment="1" applyProtection="1">
      <alignment horizontal="left" vertical="center" wrapText="1"/>
      <protection locked="0"/>
    </xf>
    <xf numFmtId="0" fontId="66" fillId="47" borderId="180" xfId="2" applyFont="1" applyFill="1" applyBorder="1" applyAlignment="1" applyProtection="1">
      <alignment vertical="center" wrapText="1"/>
      <protection locked="0"/>
    </xf>
    <xf numFmtId="194" fontId="66" fillId="47" borderId="180" xfId="2" applyNumberFormat="1" applyFont="1" applyFill="1" applyBorder="1" applyAlignment="1" applyProtection="1">
      <alignment horizontal="center" vertical="center" wrapText="1"/>
      <protection locked="0"/>
    </xf>
    <xf numFmtId="195" fontId="66" fillId="47" borderId="180" xfId="2" applyNumberFormat="1" applyFont="1" applyFill="1" applyBorder="1" applyAlignment="1" applyProtection="1">
      <alignment horizontal="center" vertical="center"/>
      <protection locked="0"/>
    </xf>
    <xf numFmtId="9" fontId="66" fillId="29" borderId="180" xfId="2" applyNumberFormat="1" applyFont="1" applyFill="1" applyBorder="1" applyAlignment="1" applyProtection="1">
      <alignment horizontal="center" vertical="center" wrapText="1" readingOrder="1"/>
      <protection locked="0"/>
    </xf>
    <xf numFmtId="2" fontId="66" fillId="29" borderId="180" xfId="2" applyNumberFormat="1" applyFont="1" applyFill="1" applyBorder="1" applyAlignment="1" applyProtection="1">
      <alignment horizontal="center" vertical="center" wrapText="1" readingOrder="1"/>
      <protection locked="0"/>
    </xf>
    <xf numFmtId="196" fontId="101" fillId="28" borderId="180" xfId="2" applyNumberFormat="1" applyFont="1" applyFill="1" applyBorder="1" applyAlignment="1">
      <alignment horizontal="center" vertical="center" wrapText="1" readingOrder="1"/>
    </xf>
    <xf numFmtId="199" fontId="66" fillId="28" borderId="180" xfId="2" applyNumberFormat="1" applyFont="1" applyFill="1" applyBorder="1" applyAlignment="1">
      <alignment horizontal="left" vertical="center" wrapText="1" indent="1"/>
    </xf>
    <xf numFmtId="200" fontId="66" fillId="28" borderId="180" xfId="2" applyNumberFormat="1" applyFont="1" applyFill="1" applyBorder="1" applyAlignment="1">
      <alignment horizontal="center" vertical="center"/>
    </xf>
    <xf numFmtId="2" fontId="66" fillId="28" borderId="180" xfId="2" applyNumberFormat="1" applyFont="1" applyFill="1" applyBorder="1" applyAlignment="1">
      <alignment horizontal="center" vertical="center"/>
    </xf>
    <xf numFmtId="0" fontId="155" fillId="16" borderId="3" xfId="2" applyFont="1" applyFill="1" applyBorder="1"/>
    <xf numFmtId="0" fontId="15" fillId="16" borderId="3" xfId="2" applyFill="1" applyBorder="1"/>
    <xf numFmtId="0" fontId="155" fillId="16" borderId="3" xfId="2" applyFont="1" applyFill="1" applyBorder="1" applyAlignment="1">
      <alignment horizontal="center"/>
    </xf>
    <xf numFmtId="0" fontId="15" fillId="16" borderId="3" xfId="2" applyFill="1" applyBorder="1" applyAlignment="1">
      <alignment horizontal="right"/>
    </xf>
    <xf numFmtId="0" fontId="155" fillId="16" borderId="3" xfId="2" applyFont="1" applyFill="1" applyBorder="1" applyAlignment="1">
      <alignment horizontal="left"/>
    </xf>
    <xf numFmtId="0" fontId="15" fillId="16" borderId="3" xfId="2" applyFill="1" applyBorder="1" applyAlignment="1">
      <alignment horizontal="center" wrapText="1"/>
    </xf>
    <xf numFmtId="0" fontId="15" fillId="16" borderId="3" xfId="2" applyFill="1" applyBorder="1" applyAlignment="1">
      <alignment wrapText="1"/>
    </xf>
    <xf numFmtId="0" fontId="155" fillId="16" borderId="3" xfId="2" applyFont="1" applyFill="1" applyBorder="1" applyAlignment="1">
      <alignment wrapText="1"/>
    </xf>
    <xf numFmtId="0" fontId="0" fillId="0" borderId="116" xfId="0" applyBorder="1"/>
    <xf numFmtId="0" fontId="0" fillId="0" borderId="141" xfId="0" applyBorder="1"/>
    <xf numFmtId="0" fontId="19" fillId="0" borderId="140" xfId="2" applyFont="1" applyBorder="1" applyAlignment="1">
      <alignment horizontal="center"/>
    </xf>
    <xf numFmtId="0" fontId="19" fillId="0" borderId="143" xfId="2" applyFont="1" applyBorder="1" applyAlignment="1">
      <alignment horizontal="center"/>
    </xf>
    <xf numFmtId="0" fontId="76" fillId="0" borderId="116" xfId="2" applyFont="1" applyBorder="1" applyAlignment="1">
      <alignment horizontal="right" indent="1"/>
    </xf>
    <xf numFmtId="0" fontId="131" fillId="0" borderId="14" xfId="2" applyFont="1" applyBorder="1"/>
    <xf numFmtId="0" fontId="131" fillId="0" borderId="3" xfId="2" applyFont="1" applyBorder="1"/>
    <xf numFmtId="0" fontId="131" fillId="0" borderId="13" xfId="2" applyFont="1" applyBorder="1"/>
    <xf numFmtId="0" fontId="76" fillId="0" borderId="14" xfId="2" applyFont="1" applyBorder="1" applyAlignment="1">
      <alignment horizontal="right" indent="1"/>
    </xf>
    <xf numFmtId="0" fontId="66" fillId="0" borderId="14" xfId="2" applyFont="1" applyBorder="1"/>
    <xf numFmtId="0" fontId="66" fillId="26" borderId="3" xfId="2" applyFont="1" applyFill="1" applyBorder="1"/>
    <xf numFmtId="0" fontId="66" fillId="26" borderId="13" xfId="2" applyFont="1" applyFill="1" applyBorder="1"/>
    <xf numFmtId="0" fontId="183" fillId="0" borderId="0" xfId="0" applyFont="1" applyAlignment="1">
      <alignment vertical="top" wrapText="1"/>
    </xf>
    <xf numFmtId="0" fontId="183" fillId="0" borderId="0" xfId="0" applyFont="1" applyAlignment="1">
      <alignment vertical="top"/>
    </xf>
    <xf numFmtId="0" fontId="33" fillId="6" borderId="186" xfId="0" applyFont="1" applyFill="1" applyBorder="1" applyAlignment="1" applyProtection="1">
      <alignment horizontal="center"/>
      <protection locked="0"/>
    </xf>
    <xf numFmtId="0" fontId="101" fillId="2" borderId="183" xfId="0" applyFont="1" applyFill="1" applyBorder="1" applyAlignment="1">
      <alignment vertical="center"/>
    </xf>
    <xf numFmtId="0" fontId="101" fillId="2" borderId="5" xfId="0" applyFont="1" applyFill="1" applyBorder="1" applyAlignment="1">
      <alignment vertical="center"/>
    </xf>
    <xf numFmtId="0" fontId="214" fillId="0" borderId="187" xfId="0" applyFont="1" applyBorder="1" applyAlignment="1">
      <alignment horizontal="left" vertical="center" wrapText="1"/>
    </xf>
    <xf numFmtId="0" fontId="214" fillId="0" borderId="186" xfId="0" applyFont="1" applyBorder="1" applyAlignment="1">
      <alignment horizontal="center" vertical="center" wrapText="1"/>
    </xf>
    <xf numFmtId="0" fontId="214" fillId="0" borderId="188" xfId="0" applyFont="1" applyBorder="1" applyAlignment="1">
      <alignment horizontal="center" vertical="center" wrapText="1"/>
    </xf>
    <xf numFmtId="0" fontId="214" fillId="0" borderId="183" xfId="0" applyFont="1" applyBorder="1" applyAlignment="1">
      <alignment horizontal="center" vertical="center" wrapText="1"/>
    </xf>
    <xf numFmtId="0" fontId="214" fillId="0" borderId="184" xfId="0" applyFont="1" applyBorder="1" applyAlignment="1">
      <alignment horizontal="center" vertical="center" wrapText="1"/>
    </xf>
    <xf numFmtId="0" fontId="101" fillId="2" borderId="186" xfId="0" applyFont="1" applyFill="1" applyBorder="1" applyAlignment="1">
      <alignment horizontal="center" vertical="top"/>
    </xf>
    <xf numFmtId="0" fontId="214" fillId="0" borderId="186" xfId="0" applyFont="1" applyBorder="1" applyAlignment="1">
      <alignment horizontal="left" vertical="center" wrapText="1"/>
    </xf>
    <xf numFmtId="0" fontId="214" fillId="0" borderId="187" xfId="0" applyFont="1" applyBorder="1" applyAlignment="1">
      <alignment horizontal="center" vertical="center" wrapText="1"/>
    </xf>
    <xf numFmtId="0" fontId="28" fillId="0" borderId="187" xfId="0" applyFont="1" applyBorder="1"/>
    <xf numFmtId="0" fontId="28" fillId="0" borderId="187" xfId="0" applyFont="1" applyBorder="1" applyAlignment="1">
      <alignment horizontal="left" vertical="center"/>
    </xf>
    <xf numFmtId="0" fontId="33" fillId="0" borderId="187" xfId="0" applyFont="1" applyBorder="1"/>
    <xf numFmtId="0" fontId="33" fillId="0" borderId="186" xfId="0" applyFont="1" applyBorder="1" applyAlignment="1">
      <alignment horizontal="center" wrapText="1"/>
    </xf>
    <xf numFmtId="0" fontId="33" fillId="0" borderId="186" xfId="0" applyFont="1" applyBorder="1" applyAlignment="1">
      <alignment horizontal="center"/>
    </xf>
    <xf numFmtId="0" fontId="33" fillId="0" borderId="188" xfId="0" applyFont="1" applyBorder="1" applyAlignment="1">
      <alignment horizontal="center"/>
    </xf>
    <xf numFmtId="0" fontId="33" fillId="0" borderId="183" xfId="0" applyFont="1" applyBorder="1" applyAlignment="1">
      <alignment horizontal="center" wrapText="1"/>
    </xf>
    <xf numFmtId="0" fontId="33" fillId="0" borderId="183" xfId="0" applyFont="1" applyBorder="1" applyAlignment="1">
      <alignment horizontal="center"/>
    </xf>
    <xf numFmtId="0" fontId="33" fillId="0" borderId="184" xfId="0" applyFont="1" applyBorder="1" applyAlignment="1">
      <alignment horizontal="center"/>
    </xf>
    <xf numFmtId="3" fontId="33" fillId="0" borderId="186" xfId="0" applyNumberFormat="1" applyFont="1" applyBorder="1"/>
    <xf numFmtId="0" fontId="34" fillId="41" borderId="186" xfId="0" applyFont="1" applyFill="1" applyBorder="1" applyAlignment="1">
      <alignment horizontal="centerContinuous" vertical="center" wrapText="1"/>
    </xf>
    <xf numFmtId="0" fontId="33" fillId="0" borderId="183" xfId="0" applyFont="1" applyBorder="1" applyAlignment="1">
      <alignment horizontal="center" vertical="center"/>
    </xf>
    <xf numFmtId="0" fontId="33" fillId="6" borderId="183" xfId="0" applyFont="1" applyFill="1" applyBorder="1" applyAlignment="1" applyProtection="1">
      <alignment horizontal="left" vertical="center" wrapText="1"/>
      <protection locked="0"/>
    </xf>
    <xf numFmtId="0" fontId="33" fillId="6" borderId="184" xfId="0" applyFont="1" applyFill="1" applyBorder="1" applyAlignment="1" applyProtection="1">
      <alignment horizontal="center" vertical="center"/>
      <protection locked="0"/>
    </xf>
    <xf numFmtId="0" fontId="33" fillId="6" borderId="183" xfId="0" applyFont="1" applyFill="1" applyBorder="1" applyAlignment="1" applyProtection="1">
      <alignment horizontal="center" vertical="center"/>
      <protection locked="0"/>
    </xf>
    <xf numFmtId="0" fontId="33" fillId="6" borderId="186" xfId="9" applyNumberFormat="1" applyFont="1" applyFill="1" applyBorder="1" applyAlignment="1" applyProtection="1">
      <alignment horizontal="center" vertical="center"/>
      <protection locked="0"/>
    </xf>
    <xf numFmtId="0" fontId="34" fillId="41" borderId="183" xfId="0" applyFont="1" applyFill="1" applyBorder="1" applyAlignment="1">
      <alignment horizontal="center" vertical="center" wrapText="1"/>
    </xf>
    <xf numFmtId="0" fontId="34" fillId="41" borderId="186" xfId="0" applyFont="1" applyFill="1" applyBorder="1" applyAlignment="1" applyProtection="1">
      <alignment horizontal="left" vertical="center" wrapText="1"/>
      <protection locked="0"/>
    </xf>
    <xf numFmtId="0" fontId="33" fillId="6" borderId="183" xfId="0" applyFont="1" applyFill="1" applyBorder="1" applyAlignment="1" applyProtection="1">
      <alignment horizontal="center" vertical="center" wrapText="1"/>
      <protection locked="0"/>
    </xf>
    <xf numFmtId="0" fontId="33" fillId="41" borderId="183" xfId="0" applyFont="1" applyFill="1" applyBorder="1" applyAlignment="1">
      <alignment horizontal="center" vertical="center"/>
    </xf>
    <xf numFmtId="0" fontId="33" fillId="0" borderId="188" xfId="0" applyFont="1" applyBorder="1" applyAlignment="1">
      <alignment horizontal="center" vertical="center"/>
    </xf>
    <xf numFmtId="0" fontId="33" fillId="6" borderId="186" xfId="0" applyFont="1" applyFill="1" applyBorder="1" applyAlignment="1" applyProtection="1">
      <alignment horizontal="center" vertical="center" wrapText="1"/>
      <protection locked="0"/>
    </xf>
    <xf numFmtId="0" fontId="33" fillId="6" borderId="186" xfId="0" applyFont="1" applyFill="1" applyBorder="1" applyAlignment="1" applyProtection="1">
      <alignment horizontal="center" vertical="center"/>
      <protection locked="0"/>
    </xf>
    <xf numFmtId="0" fontId="33" fillId="41" borderId="186" xfId="0" applyFont="1" applyFill="1" applyBorder="1" applyAlignment="1">
      <alignment horizontal="center" vertical="center"/>
    </xf>
    <xf numFmtId="0" fontId="33" fillId="0" borderId="186" xfId="0" applyFont="1" applyBorder="1" applyAlignment="1">
      <alignment horizontal="center" vertical="center"/>
    </xf>
    <xf numFmtId="0" fontId="33" fillId="6" borderId="186" xfId="0" applyFont="1" applyFill="1" applyBorder="1" applyAlignment="1" applyProtection="1">
      <alignment vertical="center" wrapText="1"/>
      <protection locked="0"/>
    </xf>
    <xf numFmtId="2" fontId="33" fillId="6" borderId="186" xfId="0" applyNumberFormat="1" applyFont="1" applyFill="1" applyBorder="1" applyAlignment="1" applyProtection="1">
      <alignment horizontal="center" vertical="center"/>
      <protection locked="0"/>
    </xf>
    <xf numFmtId="0" fontId="207" fillId="54" borderId="186" xfId="0" applyFont="1" applyFill="1" applyBorder="1" applyAlignment="1" applyProtection="1">
      <alignment horizontal="center" vertical="center" wrapText="1"/>
      <protection locked="0"/>
    </xf>
    <xf numFmtId="164" fontId="33" fillId="41" borderId="183" xfId="0" applyNumberFormat="1" applyFont="1" applyFill="1" applyBorder="1" applyAlignment="1">
      <alignment horizontal="center" vertical="center" wrapText="1"/>
    </xf>
    <xf numFmtId="0" fontId="28" fillId="0" borderId="186" xfId="0" applyFont="1" applyBorder="1" applyAlignment="1">
      <alignment horizontal="left" vertical="top"/>
    </xf>
    <xf numFmtId="0" fontId="28" fillId="0" borderId="186" xfId="0" applyFont="1" applyBorder="1"/>
    <xf numFmtId="0" fontId="28" fillId="0" borderId="186" xfId="0" applyFont="1" applyBorder="1" applyAlignment="1">
      <alignment horizontal="center" vertical="top" wrapText="1"/>
    </xf>
    <xf numFmtId="0" fontId="28" fillId="0" borderId="186" xfId="0" applyFont="1" applyBorder="1" applyAlignment="1">
      <alignment horizontal="center" vertical="top"/>
    </xf>
    <xf numFmtId="0" fontId="33" fillId="0" borderId="187" xfId="0" applyFont="1" applyBorder="1" applyAlignment="1" applyProtection="1">
      <alignment horizontal="center" vertical="center" wrapText="1"/>
      <protection locked="0"/>
    </xf>
    <xf numFmtId="0" fontId="33" fillId="0" borderId="186" xfId="0" applyFont="1" applyBorder="1" applyAlignment="1">
      <alignment horizontal="center" vertical="center" wrapText="1"/>
    </xf>
    <xf numFmtId="0" fontId="33" fillId="41" borderId="186" xfId="0" applyFont="1" applyFill="1" applyBorder="1" applyAlignment="1">
      <alignment horizontal="center" vertical="center" wrapText="1"/>
    </xf>
    <xf numFmtId="164" fontId="28" fillId="0" borderId="186" xfId="0" applyNumberFormat="1" applyFont="1" applyBorder="1" applyAlignment="1">
      <alignment horizontal="center" vertical="center" wrapText="1"/>
    </xf>
    <xf numFmtId="0" fontId="28" fillId="0" borderId="186" xfId="0" applyFont="1" applyBorder="1" applyAlignment="1">
      <alignment horizontal="center" vertical="center" wrapText="1"/>
    </xf>
    <xf numFmtId="0" fontId="33" fillId="0" borderId="183" xfId="0" applyFont="1" applyBorder="1" applyAlignment="1">
      <alignment horizontal="center" vertical="center" wrapText="1"/>
    </xf>
    <xf numFmtId="0" fontId="0" fillId="0" borderId="186" xfId="0" applyBorder="1"/>
    <xf numFmtId="0" fontId="32" fillId="2" borderId="186" xfId="0" applyFont="1" applyFill="1" applyBorder="1"/>
    <xf numFmtId="0" fontId="28" fillId="0" borderId="188" xfId="0" applyFont="1" applyBorder="1"/>
    <xf numFmtId="0" fontId="28" fillId="0" borderId="189" xfId="0" applyFont="1" applyBorder="1" applyAlignment="1">
      <alignment horizontal="center"/>
    </xf>
    <xf numFmtId="0" fontId="28" fillId="0" borderId="186" xfId="0" applyFont="1" applyBorder="1" applyProtection="1">
      <protection locked="0"/>
    </xf>
    <xf numFmtId="0" fontId="190" fillId="2" borderId="186" xfId="0" applyFont="1" applyFill="1" applyBorder="1" applyAlignment="1">
      <alignment horizontal="center" wrapText="1"/>
    </xf>
    <xf numFmtId="0" fontId="193" fillId="0" borderId="186" xfId="0" applyFont="1" applyBorder="1"/>
    <xf numFmtId="0" fontId="28" fillId="0" borderId="186" xfId="0" applyFont="1" applyBorder="1" applyAlignment="1">
      <alignment horizontal="left"/>
    </xf>
    <xf numFmtId="0" fontId="28" fillId="0" borderId="186" xfId="0" applyFont="1" applyBorder="1" applyAlignment="1">
      <alignment horizontal="left" wrapText="1"/>
    </xf>
    <xf numFmtId="0" fontId="28" fillId="0" borderId="186" xfId="0" applyFont="1" applyBorder="1" applyAlignment="1">
      <alignment wrapText="1"/>
    </xf>
    <xf numFmtId="0" fontId="28" fillId="0" borderId="186" xfId="0" applyFont="1" applyBorder="1" applyAlignment="1">
      <alignment vertical="center" wrapText="1"/>
    </xf>
    <xf numFmtId="169" fontId="66" fillId="15" borderId="190" xfId="2" applyNumberFormat="1" applyFont="1" applyFill="1" applyBorder="1" applyAlignment="1">
      <alignment horizontal="center"/>
    </xf>
    <xf numFmtId="180" fontId="67" fillId="15" borderId="190" xfId="2" applyNumberFormat="1" applyFont="1" applyFill="1" applyBorder="1" applyAlignment="1">
      <alignment horizontal="right"/>
    </xf>
    <xf numFmtId="180" fontId="67" fillId="15" borderId="190" xfId="2" applyNumberFormat="1" applyFont="1" applyFill="1" applyBorder="1" applyAlignment="1">
      <alignment horizontal="center"/>
    </xf>
    <xf numFmtId="0" fontId="102" fillId="16" borderId="191" xfId="2" applyFont="1" applyFill="1" applyBorder="1" applyAlignment="1">
      <alignment horizontal="centerContinuous"/>
    </xf>
    <xf numFmtId="0" fontId="81" fillId="16" borderId="192" xfId="2" applyFont="1" applyFill="1" applyBorder="1" applyAlignment="1">
      <alignment horizontal="centerContinuous"/>
    </xf>
    <xf numFmtId="0" fontId="81" fillId="16" borderId="193" xfId="2" applyFont="1" applyFill="1" applyBorder="1" applyAlignment="1">
      <alignment horizontal="centerContinuous"/>
    </xf>
    <xf numFmtId="0" fontId="102" fillId="16" borderId="192" xfId="2" applyFont="1" applyFill="1" applyBorder="1" applyAlignment="1">
      <alignment horizontal="centerContinuous"/>
    </xf>
    <xf numFmtId="0" fontId="100" fillId="55" borderId="189" xfId="2" applyFont="1" applyFill="1" applyBorder="1" applyAlignment="1">
      <alignment horizontal="centerContinuous" wrapText="1"/>
    </xf>
    <xf numFmtId="0" fontId="21" fillId="55" borderId="186" xfId="2" applyFont="1" applyFill="1" applyBorder="1" applyAlignment="1">
      <alignment horizontal="center" vertical="center" wrapText="1"/>
    </xf>
    <xf numFmtId="0" fontId="21" fillId="55" borderId="183" xfId="2" applyFont="1" applyFill="1" applyBorder="1" applyAlignment="1">
      <alignment horizontal="centerContinuous" wrapText="1"/>
    </xf>
    <xf numFmtId="0" fontId="21" fillId="55" borderId="194" xfId="2" applyFont="1" applyFill="1" applyBorder="1" applyAlignment="1">
      <alignment horizontal="left"/>
    </xf>
    <xf numFmtId="0" fontId="21" fillId="55" borderId="162" xfId="2" applyFont="1" applyFill="1" applyBorder="1" applyAlignment="1" applyProtection="1">
      <alignment horizontal="center" vertical="center" wrapText="1"/>
      <protection locked="0"/>
    </xf>
    <xf numFmtId="169" fontId="115" fillId="58" borderId="195" xfId="2" applyNumberFormat="1" applyFont="1" applyFill="1" applyBorder="1" applyAlignment="1" applyProtection="1">
      <alignment horizontal="center"/>
      <protection locked="0"/>
    </xf>
    <xf numFmtId="0" fontId="115" fillId="58" borderId="196" xfId="2" applyFont="1" applyFill="1" applyBorder="1" applyAlignment="1" applyProtection="1">
      <alignment horizontal="center"/>
      <protection locked="0"/>
    </xf>
    <xf numFmtId="0" fontId="115" fillId="58" borderId="197" xfId="2" applyFont="1" applyFill="1" applyBorder="1" applyAlignment="1" applyProtection="1">
      <alignment horizontal="center"/>
      <protection locked="0"/>
    </xf>
    <xf numFmtId="9" fontId="115" fillId="58" borderId="198" xfId="6" applyFont="1" applyFill="1" applyBorder="1" applyAlignment="1" applyProtection="1">
      <alignment horizontal="center"/>
      <protection locked="0"/>
    </xf>
    <xf numFmtId="169" fontId="115" fillId="58" borderId="199" xfId="2" applyNumberFormat="1" applyFont="1" applyFill="1" applyBorder="1" applyAlignment="1" applyProtection="1">
      <alignment horizontal="center"/>
      <protection locked="0"/>
    </xf>
    <xf numFmtId="0" fontId="115" fillId="58" borderId="200" xfId="2" applyFont="1" applyFill="1" applyBorder="1" applyAlignment="1" applyProtection="1">
      <alignment horizontal="center"/>
      <protection locked="0"/>
    </xf>
    <xf numFmtId="0" fontId="115" fillId="58" borderId="201" xfId="2" applyFont="1" applyFill="1" applyBorder="1" applyAlignment="1" applyProtection="1">
      <alignment horizontal="center"/>
      <protection locked="0"/>
    </xf>
    <xf numFmtId="9" fontId="115" fillId="58" borderId="202" xfId="6" applyFont="1" applyFill="1" applyBorder="1" applyAlignment="1" applyProtection="1">
      <alignment horizontal="center"/>
      <protection locked="0"/>
    </xf>
    <xf numFmtId="0" fontId="63" fillId="16" borderId="203" xfId="2" applyFont="1" applyFill="1" applyBorder="1" applyAlignment="1">
      <alignment horizontal="center"/>
    </xf>
    <xf numFmtId="0" fontId="72" fillId="16" borderId="203" xfId="2" applyFont="1" applyFill="1" applyBorder="1" applyAlignment="1">
      <alignment horizontal="center"/>
    </xf>
    <xf numFmtId="0" fontId="72" fillId="16" borderId="204" xfId="2" applyFont="1" applyFill="1" applyBorder="1" applyAlignment="1">
      <alignment horizontal="center"/>
    </xf>
    <xf numFmtId="0" fontId="72" fillId="16" borderId="205" xfId="2" applyFont="1" applyFill="1" applyBorder="1" applyAlignment="1">
      <alignment horizontal="center"/>
    </xf>
    <xf numFmtId="183" fontId="63" fillId="20" borderId="206" xfId="2" applyNumberFormat="1" applyFont="1" applyFill="1" applyBorder="1" applyAlignment="1">
      <alignment horizontal="center"/>
    </xf>
    <xf numFmtId="183" fontId="63" fillId="20" borderId="203" xfId="2" applyNumberFormat="1" applyFont="1" applyFill="1" applyBorder="1" applyAlignment="1">
      <alignment horizontal="center"/>
    </xf>
    <xf numFmtId="0" fontId="63" fillId="16" borderId="203" xfId="6" applyNumberFormat="1" applyFont="1" applyFill="1" applyBorder="1" applyAlignment="1">
      <alignment horizontal="center"/>
    </xf>
    <xf numFmtId="189" fontId="63" fillId="20" borderId="203" xfId="6" applyNumberFormat="1" applyFont="1" applyFill="1" applyBorder="1" applyAlignment="1">
      <alignment horizontal="center"/>
    </xf>
    <xf numFmtId="0" fontId="122" fillId="58" borderId="200" xfId="2" applyFont="1" applyFill="1" applyBorder="1" applyAlignment="1" applyProtection="1">
      <alignment horizontal="center"/>
      <protection locked="0"/>
    </xf>
    <xf numFmtId="0" fontId="122" fillId="58" borderId="201" xfId="2" applyFont="1" applyFill="1" applyBorder="1" applyAlignment="1" applyProtection="1">
      <alignment horizontal="center"/>
      <protection locked="0"/>
    </xf>
    <xf numFmtId="9" fontId="122" fillId="58" borderId="202" xfId="6" applyFont="1" applyFill="1" applyBorder="1" applyAlignment="1" applyProtection="1">
      <alignment horizontal="center"/>
      <protection locked="0"/>
    </xf>
    <xf numFmtId="0" fontId="126" fillId="16" borderId="203" xfId="2" applyFont="1" applyFill="1" applyBorder="1" applyAlignment="1">
      <alignment horizontal="center"/>
    </xf>
    <xf numFmtId="0" fontId="127" fillId="16" borderId="203" xfId="2" applyFont="1" applyFill="1" applyBorder="1" applyAlignment="1">
      <alignment horizontal="center"/>
    </xf>
    <xf numFmtId="0" fontId="127" fillId="16" borderId="204" xfId="2" applyFont="1" applyFill="1" applyBorder="1" applyAlignment="1">
      <alignment horizontal="center"/>
    </xf>
    <xf numFmtId="0" fontId="127" fillId="16" borderId="205" xfId="2" applyFont="1" applyFill="1" applyBorder="1" applyAlignment="1">
      <alignment horizontal="center"/>
    </xf>
    <xf numFmtId="183" fontId="126" fillId="20" borderId="206" xfId="2" applyNumberFormat="1" applyFont="1" applyFill="1" applyBorder="1" applyAlignment="1">
      <alignment horizontal="center"/>
    </xf>
    <xf numFmtId="183" fontId="126" fillId="20" borderId="203" xfId="2" applyNumberFormat="1" applyFont="1" applyFill="1" applyBorder="1" applyAlignment="1">
      <alignment horizontal="center"/>
    </xf>
    <xf numFmtId="189" fontId="126" fillId="20" borderId="203" xfId="6" applyNumberFormat="1" applyFont="1" applyFill="1" applyBorder="1" applyAlignment="1">
      <alignment horizontal="center"/>
    </xf>
    <xf numFmtId="0" fontId="126" fillId="16" borderId="203" xfId="6" applyNumberFormat="1" applyFont="1" applyFill="1" applyBorder="1" applyAlignment="1">
      <alignment horizontal="center"/>
    </xf>
    <xf numFmtId="0" fontId="115" fillId="58" borderId="207" xfId="2" applyFont="1" applyFill="1" applyBorder="1" applyAlignment="1" applyProtection="1">
      <alignment horizontal="center"/>
      <protection locked="0"/>
    </xf>
    <xf numFmtId="0" fontId="115" fillId="58" borderId="208" xfId="2" applyFont="1" applyFill="1" applyBorder="1" applyAlignment="1" applyProtection="1">
      <alignment horizontal="center"/>
      <protection locked="0"/>
    </xf>
    <xf numFmtId="9" fontId="115" fillId="58" borderId="209" xfId="6" applyFont="1" applyFill="1" applyBorder="1" applyAlignment="1" applyProtection="1">
      <alignment horizontal="center"/>
      <protection locked="0"/>
    </xf>
    <xf numFmtId="0" fontId="126" fillId="16" borderId="210" xfId="2" applyFont="1" applyFill="1" applyBorder="1" applyAlignment="1">
      <alignment horizontal="center"/>
    </xf>
    <xf numFmtId="0" fontId="127" fillId="16" borderId="210" xfId="2" applyFont="1" applyFill="1" applyBorder="1" applyAlignment="1">
      <alignment horizontal="center"/>
    </xf>
    <xf numFmtId="0" fontId="127" fillId="16" borderId="211" xfId="2" applyFont="1" applyFill="1" applyBorder="1" applyAlignment="1">
      <alignment horizontal="center"/>
    </xf>
    <xf numFmtId="0" fontId="127" fillId="16" borderId="212" xfId="2" applyFont="1" applyFill="1" applyBorder="1" applyAlignment="1">
      <alignment horizontal="center"/>
    </xf>
    <xf numFmtId="0" fontId="127" fillId="16" borderId="213" xfId="2" applyFont="1" applyFill="1" applyBorder="1" applyAlignment="1">
      <alignment horizontal="center"/>
    </xf>
    <xf numFmtId="183" fontId="126" fillId="20" borderId="214" xfId="2" applyNumberFormat="1" applyFont="1" applyFill="1" applyBorder="1" applyAlignment="1">
      <alignment horizontal="center"/>
    </xf>
    <xf numFmtId="183" fontId="126" fillId="20" borderId="211" xfId="2" applyNumberFormat="1" applyFont="1" applyFill="1" applyBorder="1" applyAlignment="1">
      <alignment horizontal="center"/>
    </xf>
    <xf numFmtId="189" fontId="126" fillId="20" borderId="211" xfId="6" applyNumberFormat="1" applyFont="1" applyFill="1" applyBorder="1" applyAlignment="1">
      <alignment horizontal="center"/>
    </xf>
    <xf numFmtId="0" fontId="126" fillId="16" borderId="211" xfId="6" applyNumberFormat="1" applyFont="1" applyFill="1" applyBorder="1" applyAlignment="1">
      <alignment horizontal="center"/>
    </xf>
    <xf numFmtId="190" fontId="126" fillId="20" borderId="211" xfId="6" applyNumberFormat="1" applyFont="1" applyFill="1" applyBorder="1" applyAlignment="1">
      <alignment horizontal="center"/>
    </xf>
    <xf numFmtId="190" fontId="127" fillId="16" borderId="211" xfId="6" applyNumberFormat="1" applyFont="1" applyFill="1" applyBorder="1" applyAlignment="1">
      <alignment horizontal="center"/>
    </xf>
    <xf numFmtId="190" fontId="126" fillId="20" borderId="211" xfId="6" applyNumberFormat="1" applyFont="1" applyFill="1" applyBorder="1" applyAlignment="1">
      <alignment horizontal="left"/>
    </xf>
    <xf numFmtId="0" fontId="135" fillId="29" borderId="215" xfId="2" quotePrefix="1" applyFont="1" applyFill="1" applyBorder="1" applyAlignment="1">
      <alignment horizontal="left"/>
    </xf>
    <xf numFmtId="0" fontId="72" fillId="29" borderId="215" xfId="2" applyFont="1" applyFill="1" applyBorder="1" applyAlignment="1">
      <alignment horizontal="center"/>
    </xf>
    <xf numFmtId="0" fontId="133" fillId="29" borderId="215" xfId="2" quotePrefix="1" applyFont="1" applyFill="1" applyBorder="1" applyAlignment="1">
      <alignment horizontal="left"/>
    </xf>
    <xf numFmtId="0" fontId="63" fillId="29" borderId="215" xfId="2" applyFont="1" applyFill="1" applyBorder="1" applyAlignment="1">
      <alignment horizontal="right" indent="2"/>
    </xf>
    <xf numFmtId="0" fontId="64" fillId="29" borderId="215" xfId="2" applyFont="1" applyFill="1" applyBorder="1"/>
    <xf numFmtId="0" fontId="60" fillId="29" borderId="215" xfId="2" applyFont="1" applyFill="1" applyBorder="1"/>
    <xf numFmtId="0" fontId="136" fillId="4" borderId="216" xfId="2" applyFont="1" applyFill="1" applyBorder="1"/>
    <xf numFmtId="0" fontId="133" fillId="29" borderId="215" xfId="2" quotePrefix="1" applyFont="1" applyFill="1" applyBorder="1" applyAlignment="1">
      <alignment horizontal="left" vertical="top"/>
    </xf>
    <xf numFmtId="0" fontId="60" fillId="16" borderId="217" xfId="2" applyFont="1" applyFill="1" applyBorder="1"/>
    <xf numFmtId="0" fontId="137" fillId="16" borderId="217" xfId="2" applyFont="1" applyFill="1" applyBorder="1"/>
    <xf numFmtId="0" fontId="135" fillId="29" borderId="215" xfId="2" quotePrefix="1" applyFont="1" applyFill="1" applyBorder="1" applyAlignment="1">
      <alignment horizontal="left" vertical="top"/>
    </xf>
    <xf numFmtId="0" fontId="60" fillId="16" borderId="216" xfId="2" applyFont="1" applyFill="1" applyBorder="1" applyAlignment="1">
      <alignment wrapText="1"/>
    </xf>
    <xf numFmtId="0" fontId="135" fillId="29" borderId="215" xfId="2" quotePrefix="1" applyFont="1" applyFill="1" applyBorder="1"/>
    <xf numFmtId="0" fontId="133" fillId="29" borderId="215" xfId="2" quotePrefix="1" applyFont="1" applyFill="1" applyBorder="1"/>
    <xf numFmtId="0" fontId="64" fillId="29" borderId="215" xfId="2" applyFont="1" applyFill="1" applyBorder="1" applyAlignment="1">
      <alignment horizontal="left" vertical="top"/>
    </xf>
    <xf numFmtId="0" fontId="64" fillId="29" borderId="215" xfId="2" applyFont="1" applyFill="1" applyBorder="1" applyAlignment="1">
      <alignment vertical="top"/>
    </xf>
    <xf numFmtId="0" fontId="102" fillId="29" borderId="215" xfId="2" applyFont="1" applyFill="1" applyBorder="1" applyAlignment="1">
      <alignment horizontal="center"/>
    </xf>
    <xf numFmtId="0" fontId="143" fillId="29" borderId="215" xfId="2" quotePrefix="1" applyFont="1" applyFill="1" applyBorder="1" applyAlignment="1">
      <alignment horizontal="left"/>
    </xf>
    <xf numFmtId="0" fontId="144" fillId="29" borderId="215" xfId="2" quotePrefix="1" applyFont="1" applyFill="1" applyBorder="1" applyAlignment="1">
      <alignment horizontal="left"/>
    </xf>
    <xf numFmtId="0" fontId="63" fillId="29" borderId="215" xfId="2" applyFont="1" applyFill="1" applyBorder="1" applyAlignment="1">
      <alignment horizontal="center"/>
    </xf>
    <xf numFmtId="0" fontId="64" fillId="29" borderId="215" xfId="2" applyFont="1" applyFill="1" applyBorder="1" applyAlignment="1">
      <alignment horizontal="left"/>
    </xf>
    <xf numFmtId="0" fontId="73" fillId="29" borderId="215" xfId="2" applyFont="1" applyFill="1" applyBorder="1" applyAlignment="1">
      <alignment horizontal="center"/>
    </xf>
    <xf numFmtId="0" fontId="146" fillId="29" borderId="215" xfId="2" quotePrefix="1" applyFont="1" applyFill="1" applyBorder="1"/>
    <xf numFmtId="0" fontId="72" fillId="29" borderId="218" xfId="2" applyFont="1" applyFill="1" applyBorder="1" applyAlignment="1">
      <alignment horizontal="center"/>
    </xf>
    <xf numFmtId="0" fontId="154" fillId="0" borderId="219" xfId="2" applyFont="1" applyBorder="1"/>
    <xf numFmtId="0" fontId="15" fillId="0" borderId="219" xfId="2" applyBorder="1"/>
    <xf numFmtId="0" fontId="20" fillId="0" borderId="220" xfId="2" applyFont="1" applyBorder="1"/>
    <xf numFmtId="0" fontId="15" fillId="0" borderId="221" xfId="2" applyBorder="1"/>
    <xf numFmtId="191" fontId="20" fillId="21" borderId="222" xfId="2" applyNumberFormat="1" applyFont="1" applyFill="1" applyBorder="1" applyAlignment="1">
      <alignment horizontal="center"/>
    </xf>
    <xf numFmtId="191" fontId="20" fillId="21" borderId="223" xfId="2" applyNumberFormat="1" applyFont="1" applyFill="1" applyBorder="1" applyAlignment="1">
      <alignment horizontal="center"/>
    </xf>
    <xf numFmtId="191" fontId="20" fillId="21" borderId="221" xfId="2" applyNumberFormat="1" applyFont="1" applyFill="1" applyBorder="1" applyAlignment="1">
      <alignment horizontal="center"/>
    </xf>
    <xf numFmtId="0" fontId="15" fillId="0" borderId="217" xfId="2" applyBorder="1"/>
    <xf numFmtId="2" fontId="15" fillId="30" borderId="217" xfId="2" applyNumberFormat="1" applyFill="1" applyBorder="1"/>
    <xf numFmtId="2" fontId="15" fillId="0" borderId="217" xfId="2" applyNumberFormat="1" applyBorder="1"/>
    <xf numFmtId="0" fontId="158" fillId="0" borderId="221" xfId="2" applyFont="1" applyBorder="1"/>
    <xf numFmtId="165" fontId="157" fillId="20" borderId="222" xfId="2" applyNumberFormat="1" applyFont="1" applyFill="1" applyBorder="1" applyAlignment="1">
      <alignment horizontal="center"/>
    </xf>
    <xf numFmtId="165" fontId="157" fillId="20" borderId="223" xfId="2" applyNumberFormat="1" applyFont="1" applyFill="1" applyBorder="1" applyAlignment="1">
      <alignment horizontal="center"/>
    </xf>
    <xf numFmtId="165" fontId="157" fillId="20" borderId="221" xfId="2" applyNumberFormat="1" applyFont="1" applyFill="1" applyBorder="1" applyAlignment="1">
      <alignment horizontal="center"/>
    </xf>
    <xf numFmtId="191" fontId="20" fillId="19" borderId="222" xfId="2" applyNumberFormat="1" applyFont="1" applyFill="1" applyBorder="1" applyAlignment="1">
      <alignment horizontal="center"/>
    </xf>
    <xf numFmtId="191" fontId="20" fillId="19" borderId="223" xfId="2" applyNumberFormat="1" applyFont="1" applyFill="1" applyBorder="1" applyAlignment="1">
      <alignment horizontal="center"/>
    </xf>
    <xf numFmtId="191" fontId="20" fillId="19" borderId="221" xfId="2" applyNumberFormat="1" applyFont="1" applyFill="1" applyBorder="1" applyAlignment="1">
      <alignment horizontal="center"/>
    </xf>
    <xf numFmtId="165" fontId="157" fillId="18" borderId="222" xfId="2" applyNumberFormat="1" applyFont="1" applyFill="1" applyBorder="1" applyAlignment="1">
      <alignment horizontal="center"/>
    </xf>
    <xf numFmtId="165" fontId="157" fillId="18" borderId="223" xfId="2" applyNumberFormat="1" applyFont="1" applyFill="1" applyBorder="1" applyAlignment="1">
      <alignment horizontal="center"/>
    </xf>
    <xf numFmtId="165" fontId="157" fillId="18" borderId="221" xfId="2" applyNumberFormat="1" applyFont="1" applyFill="1" applyBorder="1" applyAlignment="1">
      <alignment horizontal="center"/>
    </xf>
    <xf numFmtId="0" fontId="19" fillId="19" borderId="224" xfId="2" applyFont="1" applyFill="1" applyBorder="1" applyAlignment="1">
      <alignment horizontal="center" vertical="top" wrapText="1"/>
    </xf>
    <xf numFmtId="0" fontId="20" fillId="0" borderId="225" xfId="2" applyFont="1" applyBorder="1" applyAlignment="1">
      <alignment horizontal="center"/>
    </xf>
    <xf numFmtId="0" fontId="19" fillId="0" borderId="226" xfId="2" applyFont="1" applyBorder="1" applyAlignment="1">
      <alignment horizontal="center"/>
    </xf>
    <xf numFmtId="0" fontId="19" fillId="0" borderId="227" xfId="2" applyFont="1" applyBorder="1" applyAlignment="1">
      <alignment horizontal="center"/>
    </xf>
    <xf numFmtId="0" fontId="19" fillId="0" borderId="228" xfId="2" applyFont="1" applyBorder="1" applyAlignment="1">
      <alignment horizontal="center"/>
    </xf>
    <xf numFmtId="169" fontId="155" fillId="16" borderId="227" xfId="2" applyNumberFormat="1" applyFont="1" applyFill="1" applyBorder="1"/>
    <xf numFmtId="169" fontId="155" fillId="16" borderId="228" xfId="2" applyNumberFormat="1" applyFont="1" applyFill="1" applyBorder="1"/>
    <xf numFmtId="0" fontId="15" fillId="0" borderId="217" xfId="2" applyBorder="1" applyAlignment="1">
      <alignment vertical="center"/>
    </xf>
    <xf numFmtId="0" fontId="170" fillId="35" borderId="217" xfId="2" applyFont="1" applyFill="1" applyBorder="1" applyAlignment="1">
      <alignment vertical="center"/>
    </xf>
    <xf numFmtId="2" fontId="15" fillId="36" borderId="217" xfId="2" applyNumberFormat="1" applyFill="1" applyBorder="1" applyAlignment="1">
      <alignment vertical="center"/>
    </xf>
    <xf numFmtId="0" fontId="170" fillId="35" borderId="217" xfId="2" applyFont="1" applyFill="1" applyBorder="1"/>
    <xf numFmtId="2" fontId="15" fillId="36" borderId="217" xfId="2" applyNumberFormat="1" applyFill="1" applyBorder="1"/>
    <xf numFmtId="0" fontId="20" fillId="0" borderId="229" xfId="2" applyFont="1" applyBorder="1" applyAlignment="1">
      <alignment horizontal="center"/>
    </xf>
    <xf numFmtId="0" fontId="33" fillId="0" borderId="217" xfId="0" applyFont="1" applyBorder="1" applyAlignment="1">
      <alignment horizontal="center"/>
    </xf>
    <xf numFmtId="0" fontId="33" fillId="6" borderId="230" xfId="0" applyFont="1" applyFill="1" applyBorder="1" applyAlignment="1" applyProtection="1">
      <alignment horizontal="center"/>
      <protection locked="0"/>
    </xf>
    <xf numFmtId="0" fontId="33" fillId="41" borderId="230" xfId="0" applyFont="1" applyFill="1" applyBorder="1" applyAlignment="1">
      <alignment horizontal="center"/>
    </xf>
    <xf numFmtId="0" fontId="33" fillId="6" borderId="166" xfId="0" applyFont="1" applyFill="1" applyBorder="1" applyAlignment="1" applyProtection="1">
      <alignment horizontal="center"/>
      <protection locked="0"/>
    </xf>
    <xf numFmtId="0" fontId="33" fillId="41" borderId="166" xfId="0" applyFont="1" applyFill="1" applyBorder="1" applyAlignment="1">
      <alignment horizontal="center"/>
    </xf>
    <xf numFmtId="0" fontId="33" fillId="0" borderId="229" xfId="0" applyFont="1" applyBorder="1" applyAlignment="1">
      <alignment horizontal="center"/>
    </xf>
    <xf numFmtId="0" fontId="33" fillId="6" borderId="230" xfId="0" applyFont="1" applyFill="1" applyBorder="1" applyProtection="1">
      <protection locked="0"/>
    </xf>
    <xf numFmtId="0" fontId="33" fillId="6" borderId="166" xfId="0" applyFont="1" applyFill="1" applyBorder="1" applyProtection="1">
      <protection locked="0"/>
    </xf>
    <xf numFmtId="0" fontId="28" fillId="0" borderId="217" xfId="0" applyFont="1" applyBorder="1" applyAlignment="1">
      <alignment horizontal="center" vertical="center"/>
    </xf>
    <xf numFmtId="0" fontId="33" fillId="6" borderId="217" xfId="0" applyFont="1" applyFill="1" applyBorder="1" applyAlignment="1" applyProtection="1">
      <alignment horizontal="center"/>
      <protection locked="0"/>
    </xf>
    <xf numFmtId="0" fontId="33" fillId="41" borderId="217" xfId="0" applyFont="1" applyFill="1" applyBorder="1" applyAlignment="1">
      <alignment horizontal="center"/>
    </xf>
    <xf numFmtId="0" fontId="28" fillId="0" borderId="217" xfId="0" applyFont="1" applyBorder="1" applyAlignment="1">
      <alignment horizontal="center"/>
    </xf>
    <xf numFmtId="0" fontId="33" fillId="6" borderId="229" xfId="0" applyFont="1" applyFill="1" applyBorder="1" applyAlignment="1" applyProtection="1">
      <alignment horizontal="center"/>
      <protection locked="0"/>
    </xf>
    <xf numFmtId="0" fontId="33" fillId="41" borderId="229" xfId="0" applyFont="1" applyFill="1" applyBorder="1" applyAlignment="1">
      <alignment horizontal="center"/>
    </xf>
    <xf numFmtId="3" fontId="33" fillId="6" borderId="217" xfId="0" applyNumberFormat="1" applyFont="1" applyFill="1" applyBorder="1" applyAlignment="1" applyProtection="1">
      <alignment horizontal="center"/>
      <protection locked="0"/>
    </xf>
    <xf numFmtId="0" fontId="33" fillId="28" borderId="111" xfId="0" applyFont="1" applyFill="1" applyBorder="1"/>
    <xf numFmtId="0" fontId="28" fillId="0" borderId="217" xfId="0" applyFont="1" applyBorder="1" applyAlignment="1">
      <alignment wrapText="1"/>
    </xf>
    <xf numFmtId="0" fontId="28" fillId="0" borderId="217" xfId="0" applyFont="1" applyBorder="1"/>
    <xf numFmtId="0" fontId="33" fillId="6" borderId="217" xfId="0" applyFont="1" applyFill="1" applyBorder="1" applyAlignment="1">
      <alignment horizontal="center"/>
    </xf>
    <xf numFmtId="164" fontId="33" fillId="0" borderId="217" xfId="0" applyNumberFormat="1" applyFont="1" applyBorder="1" applyAlignment="1">
      <alignment horizontal="center"/>
    </xf>
    <xf numFmtId="0" fontId="33" fillId="6" borderId="217" xfId="0" applyFont="1" applyFill="1" applyBorder="1" applyAlignment="1">
      <alignment horizontal="center" vertical="center"/>
    </xf>
    <xf numFmtId="0" fontId="66" fillId="28" borderId="111" xfId="2" applyFont="1" applyFill="1" applyBorder="1"/>
    <xf numFmtId="0" fontId="67" fillId="28" borderId="185" xfId="2" applyFont="1" applyFill="1" applyBorder="1"/>
    <xf numFmtId="0" fontId="66" fillId="28" borderId="185" xfId="2" applyFont="1" applyFill="1" applyBorder="1"/>
    <xf numFmtId="0" fontId="15" fillId="0" borderId="230" xfId="2" applyBorder="1"/>
    <xf numFmtId="0" fontId="15" fillId="0" borderId="185" xfId="2" applyBorder="1"/>
    <xf numFmtId="0" fontId="15" fillId="0" borderId="231" xfId="2" applyBorder="1"/>
    <xf numFmtId="0" fontId="15" fillId="0" borderId="111" xfId="2" applyBorder="1"/>
    <xf numFmtId="0" fontId="66" fillId="17" borderId="217" xfId="2" applyFont="1" applyFill="1" applyBorder="1" applyAlignment="1" applyProtection="1">
      <alignment horizontal="center" vertical="center"/>
      <protection locked="0"/>
    </xf>
    <xf numFmtId="0" fontId="15" fillId="0" borderId="111" xfId="2" applyBorder="1" applyAlignment="1">
      <alignment horizontal="center"/>
    </xf>
    <xf numFmtId="0" fontId="173" fillId="44" borderId="230" xfId="2" applyFont="1" applyFill="1" applyBorder="1"/>
    <xf numFmtId="0" fontId="173" fillId="44" borderId="185" xfId="2" applyFont="1" applyFill="1" applyBorder="1" applyAlignment="1">
      <alignment horizontal="left"/>
    </xf>
    <xf numFmtId="0" fontId="15" fillId="42" borderId="217" xfId="2" applyFill="1" applyBorder="1" applyAlignment="1">
      <alignment horizontal="center" vertical="center" wrapText="1"/>
    </xf>
    <xf numFmtId="0" fontId="20" fillId="0" borderId="111" xfId="2" applyFont="1" applyBorder="1" applyAlignment="1">
      <alignment horizontal="center" wrapText="1"/>
    </xf>
    <xf numFmtId="0" fontId="19" fillId="0" borderId="111" xfId="2" applyFont="1" applyBorder="1" applyAlignment="1">
      <alignment horizontal="center" wrapText="1"/>
    </xf>
    <xf numFmtId="0" fontId="170" fillId="2" borderId="111" xfId="2" applyFont="1" applyFill="1" applyBorder="1" applyAlignment="1">
      <alignment horizontal="center"/>
    </xf>
    <xf numFmtId="0" fontId="101" fillId="28" borderId="111" xfId="2" applyFont="1" applyFill="1" applyBorder="1"/>
    <xf numFmtId="0" fontId="101" fillId="2" borderId="111" xfId="2" applyFont="1" applyFill="1" applyBorder="1" applyAlignment="1">
      <alignment horizontal="center" vertical="center" wrapText="1"/>
    </xf>
    <xf numFmtId="0" fontId="101" fillId="2" borderId="111" xfId="2" applyFont="1" applyFill="1" applyBorder="1" applyAlignment="1">
      <alignment wrapText="1"/>
    </xf>
    <xf numFmtId="0" fontId="15" fillId="0" borderId="235" xfId="2" applyBorder="1"/>
    <xf numFmtId="184" fontId="21" fillId="28" borderId="166" xfId="2" applyNumberFormat="1" applyFont="1" applyFill="1" applyBorder="1"/>
    <xf numFmtId="0" fontId="66" fillId="47" borderId="166" xfId="2" quotePrefix="1" applyFont="1" applyFill="1" applyBorder="1" applyAlignment="1" applyProtection="1">
      <alignment vertical="center" wrapText="1" readingOrder="1"/>
      <protection locked="0"/>
    </xf>
    <xf numFmtId="197" fontId="101" fillId="28" borderId="168" xfId="2" applyNumberFormat="1" applyFont="1" applyFill="1" applyBorder="1" applyAlignment="1">
      <alignment horizontal="center" vertical="center" wrapText="1" readingOrder="1"/>
    </xf>
    <xf numFmtId="2" fontId="15" fillId="22" borderId="238" xfId="2" applyNumberFormat="1" applyFill="1" applyBorder="1" applyAlignment="1">
      <alignment horizontal="center" vertical="center"/>
    </xf>
    <xf numFmtId="0" fontId="15" fillId="22" borderId="239" xfId="2" applyFill="1" applyBorder="1" applyAlignment="1">
      <alignment horizontal="center" vertical="center"/>
    </xf>
    <xf numFmtId="2" fontId="15" fillId="22" borderId="239" xfId="2" applyNumberFormat="1" applyFill="1" applyBorder="1" applyAlignment="1">
      <alignment horizontal="center" vertical="center"/>
    </xf>
    <xf numFmtId="186" fontId="15" fillId="22" borderId="240" xfId="2" applyNumberFormat="1" applyFill="1" applyBorder="1" applyAlignment="1">
      <alignment horizontal="center" vertical="center"/>
    </xf>
    <xf numFmtId="186" fontId="15" fillId="22" borderId="241" xfId="2" applyNumberFormat="1" applyFill="1" applyBorder="1" applyAlignment="1">
      <alignment horizontal="center" vertical="center"/>
    </xf>
    <xf numFmtId="186" fontId="15" fillId="22" borderId="242" xfId="2" applyNumberFormat="1" applyFill="1" applyBorder="1" applyAlignment="1">
      <alignment horizontal="center" vertical="center"/>
    </xf>
    <xf numFmtId="0" fontId="15" fillId="0" borderId="238" xfId="2" applyBorder="1" applyAlignment="1">
      <alignment horizontal="center"/>
    </xf>
    <xf numFmtId="0" fontId="15" fillId="0" borderId="239" xfId="2" applyBorder="1"/>
    <xf numFmtId="0" fontId="178" fillId="0" borderId="239" xfId="2" applyFont="1" applyBorder="1"/>
    <xf numFmtId="2" fontId="15" fillId="0" borderId="239" xfId="2" applyNumberFormat="1" applyBorder="1"/>
    <xf numFmtId="197" fontId="15" fillId="48" borderId="238" xfId="2" applyNumberFormat="1" applyFill="1" applyBorder="1" applyAlignment="1">
      <alignment horizontal="center" vertical="center"/>
    </xf>
    <xf numFmtId="197" fontId="15" fillId="48" borderId="239" xfId="2" applyNumberFormat="1" applyFill="1" applyBorder="1" applyAlignment="1">
      <alignment horizontal="center" vertical="center"/>
    </xf>
    <xf numFmtId="198" fontId="15" fillId="49" borderId="239" xfId="2" applyNumberFormat="1" applyFill="1" applyBorder="1" applyAlignment="1">
      <alignment horizontal="center" vertical="center" wrapText="1"/>
    </xf>
    <xf numFmtId="198" fontId="15" fillId="12" borderId="239" xfId="2" applyNumberFormat="1" applyFill="1" applyBorder="1" applyAlignment="1">
      <alignment horizontal="center" vertical="center" wrapText="1"/>
    </xf>
    <xf numFmtId="198" fontId="15" fillId="18" borderId="239" xfId="2" applyNumberFormat="1" applyFill="1" applyBorder="1" applyAlignment="1">
      <alignment horizontal="center" vertical="center" wrapText="1"/>
    </xf>
    <xf numFmtId="198" fontId="15" fillId="18" borderId="242" xfId="2" applyNumberFormat="1" applyFill="1" applyBorder="1" applyAlignment="1">
      <alignment horizontal="center" vertical="center" wrapText="1"/>
    </xf>
    <xf numFmtId="198" fontId="15" fillId="18" borderId="238" xfId="2" applyNumberFormat="1" applyFill="1" applyBorder="1" applyAlignment="1">
      <alignment horizontal="center" vertical="center" wrapText="1"/>
    </xf>
    <xf numFmtId="10" fontId="15" fillId="18" borderId="238" xfId="2" applyNumberFormat="1" applyFill="1" applyBorder="1" applyAlignment="1">
      <alignment horizontal="center" vertical="center"/>
    </xf>
    <xf numFmtId="10" fontId="15" fillId="18" borderId="242" xfId="2" applyNumberFormat="1" applyFill="1" applyBorder="1" applyAlignment="1">
      <alignment horizontal="center" vertical="center"/>
    </xf>
    <xf numFmtId="1" fontId="15" fillId="0" borderId="238" xfId="2" quotePrefix="1" applyNumberFormat="1" applyBorder="1" applyAlignment="1">
      <alignment horizontal="center" vertical="center"/>
    </xf>
    <xf numFmtId="0" fontId="15" fillId="22" borderId="244" xfId="2" applyFill="1" applyBorder="1" applyAlignment="1">
      <alignment horizontal="center" vertical="center"/>
    </xf>
    <xf numFmtId="0" fontId="66" fillId="28" borderId="166" xfId="2" applyFont="1" applyFill="1" applyBorder="1" applyAlignment="1">
      <alignment vertical="center"/>
    </xf>
    <xf numFmtId="201" fontId="66" fillId="28" borderId="168" xfId="2" applyNumberFormat="1" applyFont="1" applyFill="1" applyBorder="1" applyAlignment="1">
      <alignment horizontal="center" vertical="center"/>
    </xf>
    <xf numFmtId="0" fontId="21" fillId="28" borderId="166" xfId="2" applyFont="1" applyFill="1" applyBorder="1"/>
    <xf numFmtId="2" fontId="15" fillId="0" borderId="245" xfId="2" applyNumberFormat="1" applyBorder="1" applyAlignment="1">
      <alignment horizontal="center" vertical="center"/>
    </xf>
    <xf numFmtId="2" fontId="20" fillId="0" borderId="245" xfId="2" applyNumberFormat="1" applyFont="1" applyBorder="1" applyAlignment="1">
      <alignment horizontal="center" vertical="center" wrapText="1"/>
    </xf>
    <xf numFmtId="194" fontId="66" fillId="28" borderId="246" xfId="2" applyNumberFormat="1" applyFont="1" applyFill="1" applyBorder="1" applyAlignment="1">
      <alignment horizontal="center" vertical="center"/>
    </xf>
    <xf numFmtId="0" fontId="181" fillId="56" borderId="246" xfId="2" applyFont="1" applyFill="1" applyBorder="1" applyAlignment="1">
      <alignment horizontal="center" vertical="center"/>
    </xf>
    <xf numFmtId="201" fontId="66" fillId="28" borderId="246" xfId="2" applyNumberFormat="1" applyFont="1" applyFill="1" applyBorder="1" applyAlignment="1">
      <alignment horizontal="center" vertical="center"/>
    </xf>
    <xf numFmtId="0" fontId="15" fillId="16" borderId="246" xfId="2" applyFill="1" applyBorder="1" applyAlignment="1">
      <alignment horizontal="center"/>
    </xf>
    <xf numFmtId="0" fontId="15" fillId="16" borderId="246" xfId="2" applyFill="1" applyBorder="1"/>
    <xf numFmtId="0" fontId="175" fillId="16" borderId="185" xfId="2" applyFont="1" applyFill="1" applyBorder="1" applyAlignment="1">
      <alignment horizontal="right" wrapText="1" indent="1"/>
    </xf>
    <xf numFmtId="0" fontId="15" fillId="16" borderId="185" xfId="2" applyFill="1" applyBorder="1"/>
    <xf numFmtId="0" fontId="67" fillId="0" borderId="185" xfId="2" applyFont="1" applyBorder="1"/>
    <xf numFmtId="0" fontId="66" fillId="0" borderId="185" xfId="2" applyFont="1" applyBorder="1"/>
    <xf numFmtId="0" fontId="3" fillId="40" borderId="246" xfId="0" applyFont="1" applyFill="1" applyBorder="1" applyAlignment="1">
      <alignment horizontal="center"/>
    </xf>
    <xf numFmtId="0" fontId="0" fillId="0" borderId="246" xfId="0" applyBorder="1" applyAlignment="1">
      <alignment horizontal="center"/>
    </xf>
    <xf numFmtId="165" fontId="0" fillId="0" borderId="246" xfId="0" applyNumberFormat="1" applyBorder="1" applyAlignment="1">
      <alignment horizontal="center"/>
    </xf>
    <xf numFmtId="0" fontId="0" fillId="0" borderId="247" xfId="0" applyBorder="1"/>
    <xf numFmtId="165" fontId="0" fillId="0" borderId="235" xfId="0" applyNumberFormat="1" applyBorder="1" applyAlignment="1">
      <alignment horizontal="center"/>
    </xf>
    <xf numFmtId="165" fontId="0" fillId="0" borderId="248" xfId="0" applyNumberFormat="1" applyBorder="1" applyAlignment="1">
      <alignment horizontal="center"/>
    </xf>
    <xf numFmtId="165" fontId="0" fillId="0" borderId="247" xfId="0" applyNumberFormat="1" applyBorder="1" applyAlignment="1">
      <alignment horizontal="center"/>
    </xf>
    <xf numFmtId="0" fontId="1" fillId="0" borderId="246" xfId="0" applyFont="1" applyBorder="1"/>
    <xf numFmtId="166" fontId="0" fillId="0" borderId="246" xfId="4" applyNumberFormat="1" applyFont="1" applyBorder="1"/>
    <xf numFmtId="167" fontId="0" fillId="0" borderId="246" xfId="4" applyNumberFormat="1" applyFont="1" applyBorder="1"/>
    <xf numFmtId="43" fontId="0" fillId="0" borderId="246" xfId="4" applyFont="1" applyBorder="1"/>
    <xf numFmtId="0" fontId="1" fillId="0" borderId="246" xfId="0" applyFont="1" applyBorder="1" applyAlignment="1">
      <alignment horizontal="center"/>
    </xf>
    <xf numFmtId="166" fontId="0" fillId="0" borderId="246" xfId="4" applyNumberFormat="1" applyFont="1" applyBorder="1" applyAlignment="1">
      <alignment horizontal="center"/>
    </xf>
    <xf numFmtId="167" fontId="0" fillId="0" borderId="246" xfId="4" applyNumberFormat="1" applyFont="1" applyBorder="1" applyAlignment="1">
      <alignment horizontal="center"/>
    </xf>
    <xf numFmtId="43" fontId="0" fillId="0" borderId="246" xfId="4" applyFont="1" applyBorder="1" applyAlignment="1">
      <alignment horizontal="center"/>
    </xf>
    <xf numFmtId="165" fontId="0" fillId="10" borderId="246" xfId="0" applyNumberFormat="1" applyFill="1" applyBorder="1" applyAlignment="1">
      <alignment horizontal="center"/>
    </xf>
    <xf numFmtId="165" fontId="25" fillId="10" borderId="246" xfId="0" applyNumberFormat="1" applyFont="1" applyFill="1" applyBorder="1" applyAlignment="1">
      <alignment horizontal="center"/>
    </xf>
    <xf numFmtId="0" fontId="131" fillId="0" borderId="236" xfId="2" applyFont="1" applyBorder="1"/>
    <xf numFmtId="0" fontId="131" fillId="0" borderId="185" xfId="2" applyFont="1" applyBorder="1"/>
    <xf numFmtId="0" fontId="131" fillId="0" borderId="231" xfId="2" applyFont="1" applyBorder="1"/>
    <xf numFmtId="0" fontId="67" fillId="45" borderId="248" xfId="2" applyFont="1" applyFill="1" applyBorder="1" applyAlignment="1">
      <alignment horizontal="center" vertical="center" wrapText="1"/>
    </xf>
    <xf numFmtId="0" fontId="67" fillId="0" borderId="249" xfId="2" applyFont="1" applyBorder="1" applyAlignment="1">
      <alignment horizontal="center" vertical="center"/>
    </xf>
    <xf numFmtId="0" fontId="67" fillId="26" borderId="249" xfId="2" applyFont="1" applyFill="1" applyBorder="1" applyAlignment="1">
      <alignment horizontal="center" vertical="center"/>
    </xf>
    <xf numFmtId="0" fontId="66" fillId="26" borderId="247" xfId="2" applyFont="1" applyFill="1" applyBorder="1" applyAlignment="1">
      <alignment horizontal="center" vertical="center"/>
    </xf>
    <xf numFmtId="0" fontId="67" fillId="45" borderId="248" xfId="2" applyFont="1" applyFill="1" applyBorder="1" applyAlignment="1">
      <alignment horizontal="center" wrapText="1"/>
    </xf>
    <xf numFmtId="0" fontId="66" fillId="26" borderId="247" xfId="2" applyFont="1" applyFill="1" applyBorder="1" applyAlignment="1">
      <alignment horizontal="center" vertical="center" wrapText="1"/>
    </xf>
    <xf numFmtId="0" fontId="15" fillId="0" borderId="248" xfId="2" applyBorder="1"/>
    <xf numFmtId="0" fontId="15" fillId="0" borderId="249" xfId="2" applyBorder="1"/>
    <xf numFmtId="0" fontId="15" fillId="0" borderId="247" xfId="2" applyBorder="1"/>
    <xf numFmtId="0" fontId="20" fillId="0" borderId="246" xfId="2" applyFont="1" applyBorder="1"/>
    <xf numFmtId="0" fontId="20" fillId="0" borderId="249" xfId="2" applyFont="1" applyBorder="1"/>
    <xf numFmtId="0" fontId="20" fillId="0" borderId="247" xfId="2" applyFont="1" applyBorder="1"/>
    <xf numFmtId="0" fontId="67" fillId="26" borderId="249" xfId="2" applyFont="1" applyFill="1" applyBorder="1" applyAlignment="1">
      <alignment horizontal="center" vertical="center" wrapText="1"/>
    </xf>
    <xf numFmtId="0" fontId="67" fillId="45" borderId="235" xfId="2" applyFont="1" applyFill="1" applyBorder="1" applyAlignment="1">
      <alignment horizontal="center"/>
    </xf>
    <xf numFmtId="0" fontId="66" fillId="0" borderId="236" xfId="2" applyFont="1" applyBorder="1"/>
    <xf numFmtId="0" fontId="66" fillId="26" borderId="185" xfId="2" applyFont="1" applyFill="1" applyBorder="1"/>
    <xf numFmtId="0" fontId="66" fillId="26" borderId="231" xfId="2" applyFont="1" applyFill="1" applyBorder="1"/>
    <xf numFmtId="0" fontId="80" fillId="0" borderId="0" xfId="0" applyFont="1" applyAlignment="1">
      <alignment horizontal="center" wrapText="1"/>
    </xf>
    <xf numFmtId="0" fontId="20" fillId="28" borderId="0" xfId="2" applyFont="1" applyFill="1" applyAlignment="1">
      <alignment horizontal="left" vertical="top" wrapText="1"/>
    </xf>
    <xf numFmtId="0" fontId="131" fillId="28" borderId="0" xfId="2" applyFont="1" applyFill="1" applyAlignment="1">
      <alignment horizontal="left" vertical="top" wrapText="1"/>
    </xf>
    <xf numFmtId="0" fontId="131" fillId="0" borderId="0" xfId="2" applyFont="1"/>
    <xf numFmtId="0" fontId="33" fillId="6" borderId="186" xfId="0" applyFont="1" applyFill="1" applyBorder="1" applyAlignment="1" applyProtection="1">
      <alignment horizontal="center"/>
      <protection locked="0"/>
    </xf>
    <xf numFmtId="0" fontId="33" fillId="6" borderId="188" xfId="0" applyFont="1" applyFill="1" applyBorder="1" applyAlignment="1" applyProtection="1">
      <alignment horizontal="center"/>
      <protection locked="0"/>
    </xf>
    <xf numFmtId="0" fontId="33" fillId="6" borderId="189" xfId="0" applyFont="1" applyFill="1" applyBorder="1" applyAlignment="1" applyProtection="1">
      <alignment horizontal="center"/>
      <protection locked="0"/>
    </xf>
    <xf numFmtId="0" fontId="33" fillId="6" borderId="187" xfId="0" applyFont="1" applyFill="1" applyBorder="1" applyAlignment="1" applyProtection="1">
      <alignment horizontal="center"/>
      <protection locked="0"/>
    </xf>
    <xf numFmtId="0" fontId="210" fillId="0" borderId="0" xfId="1" applyFont="1" applyAlignment="1">
      <alignment horizontal="left"/>
    </xf>
    <xf numFmtId="0" fontId="129" fillId="0" borderId="0" xfId="1" applyFont="1" applyAlignment="1">
      <alignment horizontal="left" wrapText="1"/>
    </xf>
    <xf numFmtId="0" fontId="101" fillId="2" borderId="128" xfId="0" applyFont="1" applyFill="1" applyBorder="1" applyAlignment="1">
      <alignment horizontal="left" vertical="center"/>
    </xf>
    <xf numFmtId="0" fontId="101" fillId="2" borderId="0" xfId="0" applyFont="1" applyFill="1" applyAlignment="1">
      <alignment horizontal="left" vertical="center"/>
    </xf>
    <xf numFmtId="0" fontId="33" fillId="0" borderId="0" xfId="0" applyFont="1" applyAlignment="1">
      <alignment horizontal="left"/>
    </xf>
    <xf numFmtId="0" fontId="33" fillId="0" borderId="111" xfId="0" applyFont="1" applyBorder="1" applyAlignment="1">
      <alignment horizontal="left"/>
    </xf>
    <xf numFmtId="0" fontId="21" fillId="2" borderId="0" xfId="0" applyFont="1" applyFill="1" applyAlignment="1">
      <alignment horizontal="left" vertical="center"/>
    </xf>
    <xf numFmtId="0" fontId="21" fillId="2" borderId="5" xfId="0" applyFont="1" applyFill="1" applyBorder="1" applyAlignment="1">
      <alignment horizontal="left" vertical="center"/>
    </xf>
    <xf numFmtId="0" fontId="21" fillId="2" borderId="0" xfId="0" applyFont="1" applyFill="1" applyAlignment="1">
      <alignment horizontal="center" vertical="center"/>
    </xf>
    <xf numFmtId="0" fontId="33" fillId="0" borderId="111" xfId="0" applyFont="1" applyBorder="1" applyAlignment="1">
      <alignment horizontal="center"/>
    </xf>
    <xf numFmtId="0" fontId="34" fillId="41" borderId="186" xfId="0" applyFont="1" applyFill="1" applyBorder="1" applyAlignment="1">
      <alignment horizontal="center"/>
    </xf>
    <xf numFmtId="0" fontId="28" fillId="0" borderId="186" xfId="0" applyFont="1" applyBorder="1" applyAlignment="1">
      <alignment horizontal="center" vertical="top" wrapText="1"/>
    </xf>
    <xf numFmtId="0" fontId="183" fillId="0" borderId="0" xfId="0" applyFont="1" applyAlignment="1">
      <alignment horizontal="left" vertical="top" wrapText="1"/>
    </xf>
    <xf numFmtId="0" fontId="28" fillId="41" borderId="0" xfId="0" applyFont="1" applyFill="1" applyAlignment="1">
      <alignment horizontal="left" vertical="top" wrapText="1"/>
    </xf>
    <xf numFmtId="0" fontId="21" fillId="3" borderId="0" xfId="2" applyFont="1" applyFill="1" applyAlignment="1">
      <alignment horizontal="right" vertical="center"/>
    </xf>
    <xf numFmtId="0" fontId="66" fillId="58" borderId="53" xfId="2" applyFont="1" applyFill="1" applyBorder="1" applyAlignment="1" applyProtection="1">
      <alignment horizontal="left" vertical="top"/>
      <protection locked="0"/>
    </xf>
    <xf numFmtId="0" fontId="66" fillId="58" borderId="54" xfId="2" applyFont="1" applyFill="1" applyBorder="1" applyProtection="1">
      <protection locked="0"/>
    </xf>
    <xf numFmtId="0" fontId="66" fillId="58" borderId="76" xfId="2" applyFont="1" applyFill="1" applyBorder="1" applyAlignment="1" applyProtection="1">
      <alignment horizontal="left" vertical="top"/>
      <protection locked="0"/>
    </xf>
    <xf numFmtId="0" fontId="66" fillId="58" borderId="77" xfId="2" applyFont="1" applyFill="1" applyBorder="1" applyProtection="1">
      <protection locked="0"/>
    </xf>
    <xf numFmtId="0" fontId="20" fillId="15" borderId="0" xfId="2" applyFont="1" applyFill="1" applyAlignment="1">
      <alignment horizontal="left" vertical="top" wrapText="1"/>
    </xf>
    <xf numFmtId="0" fontId="66" fillId="58" borderId="54" xfId="2" applyFont="1" applyFill="1" applyBorder="1" applyAlignment="1" applyProtection="1">
      <alignment horizontal="left" vertical="top"/>
      <protection locked="0"/>
    </xf>
    <xf numFmtId="0" fontId="21" fillId="55" borderId="189" xfId="2" applyFont="1" applyFill="1" applyBorder="1" applyAlignment="1">
      <alignment horizontal="center" vertical="center" wrapText="1"/>
    </xf>
    <xf numFmtId="0" fontId="101" fillId="2" borderId="194" xfId="2" applyFont="1" applyFill="1" applyBorder="1" applyAlignment="1">
      <alignment horizontal="center" vertical="center"/>
    </xf>
    <xf numFmtId="0" fontId="67" fillId="15" borderId="0" xfId="2" applyFont="1" applyFill="1" applyAlignment="1">
      <alignment horizontal="center" vertical="center" wrapText="1"/>
    </xf>
    <xf numFmtId="0" fontId="67" fillId="53" borderId="134" xfId="2" applyFont="1" applyFill="1" applyBorder="1" applyAlignment="1">
      <alignment horizontal="left" vertical="center"/>
    </xf>
    <xf numFmtId="0" fontId="67" fillId="53" borderId="135" xfId="2" applyFont="1" applyFill="1" applyBorder="1" applyAlignment="1">
      <alignment horizontal="left" vertical="center"/>
    </xf>
    <xf numFmtId="0" fontId="67" fillId="53" borderId="136" xfId="2" applyFont="1" applyFill="1" applyBorder="1" applyAlignment="1">
      <alignment horizontal="left" vertical="center"/>
    </xf>
    <xf numFmtId="0" fontId="66" fillId="15" borderId="0" xfId="2" applyFont="1" applyFill="1"/>
    <xf numFmtId="0" fontId="67" fillId="15" borderId="0" xfId="2" applyFont="1" applyFill="1" applyAlignment="1" applyProtection="1">
      <alignment horizontal="left"/>
      <protection locked="0"/>
    </xf>
    <xf numFmtId="0" fontId="82" fillId="15" borderId="0" xfId="2" applyFont="1" applyFill="1" applyAlignment="1">
      <alignment horizontal="left" wrapText="1"/>
    </xf>
    <xf numFmtId="0" fontId="70" fillId="16" borderId="0" xfId="2" applyFont="1" applyFill="1" applyAlignment="1">
      <alignment horizontal="right" wrapText="1"/>
    </xf>
    <xf numFmtId="0" fontId="21" fillId="55" borderId="142" xfId="2" applyFont="1" applyFill="1" applyBorder="1" applyAlignment="1">
      <alignment horizontal="center" vertical="center" wrapText="1"/>
    </xf>
    <xf numFmtId="0" fontId="21" fillId="55" borderId="140" xfId="2" applyFont="1" applyFill="1" applyBorder="1" applyAlignment="1">
      <alignment horizontal="center" vertical="center" wrapText="1"/>
    </xf>
    <xf numFmtId="0" fontId="21" fillId="55" borderId="143" xfId="2" applyFont="1" applyFill="1" applyBorder="1" applyAlignment="1">
      <alignment horizontal="center" vertical="center" wrapText="1"/>
    </xf>
    <xf numFmtId="0" fontId="21" fillId="55" borderId="188" xfId="2" applyFont="1" applyFill="1" applyBorder="1" applyAlignment="1">
      <alignment horizontal="center" vertical="center" wrapText="1"/>
    </xf>
    <xf numFmtId="0" fontId="21" fillId="55" borderId="187" xfId="2" applyFont="1" applyFill="1" applyBorder="1" applyAlignment="1">
      <alignment horizontal="center" vertical="center" wrapText="1"/>
    </xf>
    <xf numFmtId="0" fontId="21" fillId="55" borderId="184" xfId="2" applyFont="1" applyFill="1" applyBorder="1" applyAlignment="1">
      <alignment horizontal="center" vertical="center" wrapText="1"/>
    </xf>
    <xf numFmtId="0" fontId="101" fillId="2" borderId="132" xfId="2" applyFont="1" applyFill="1" applyBorder="1" applyAlignment="1">
      <alignment horizontal="center" vertical="center" wrapText="1"/>
    </xf>
    <xf numFmtId="0" fontId="101" fillId="2" borderId="182" xfId="2" applyFont="1" applyFill="1" applyBorder="1" applyAlignment="1">
      <alignment horizontal="center" vertical="center" wrapText="1"/>
    </xf>
    <xf numFmtId="177" fontId="85" fillId="15" borderId="0" xfId="2" applyNumberFormat="1" applyFont="1" applyFill="1" applyAlignment="1">
      <alignment horizontal="left" vertical="top" wrapText="1"/>
    </xf>
    <xf numFmtId="177" fontId="85" fillId="15" borderId="0" xfId="2" applyNumberFormat="1" applyFont="1" applyFill="1" applyAlignment="1">
      <alignment horizontal="center" vertical="top" wrapText="1"/>
    </xf>
    <xf numFmtId="0" fontId="67" fillId="15" borderId="0" xfId="2" applyFont="1" applyFill="1" applyAlignment="1">
      <alignment horizontal="center" vertical="center"/>
    </xf>
    <xf numFmtId="0" fontId="15" fillId="0" borderId="0" xfId="2"/>
    <xf numFmtId="0" fontId="169" fillId="0" borderId="0" xfId="2" applyFont="1" applyAlignment="1">
      <alignment vertical="center" wrapText="1"/>
    </xf>
    <xf numFmtId="0" fontId="169" fillId="0" borderId="0" xfId="2" applyFont="1" applyAlignment="1">
      <alignment vertical="center"/>
    </xf>
    <xf numFmtId="0" fontId="169" fillId="0" borderId="0" xfId="2" applyFont="1" applyAlignment="1">
      <alignment wrapText="1"/>
    </xf>
    <xf numFmtId="0" fontId="169" fillId="0" borderId="0" xfId="2" applyFont="1"/>
    <xf numFmtId="0" fontId="33" fillId="0" borderId="0" xfId="0" applyFont="1" applyAlignment="1">
      <alignment horizontal="left" vertical="top" wrapText="1"/>
    </xf>
    <xf numFmtId="0" fontId="33" fillId="0" borderId="0" xfId="0" applyFont="1" applyAlignment="1">
      <alignment horizontal="left" vertical="top"/>
    </xf>
    <xf numFmtId="49" fontId="20" fillId="5" borderId="0" xfId="0" applyNumberFormat="1" applyFont="1" applyFill="1" applyAlignment="1">
      <alignment horizontal="center" vertical="top" wrapText="1"/>
    </xf>
    <xf numFmtId="0" fontId="18" fillId="2" borderId="139" xfId="0" applyFont="1" applyFill="1" applyBorder="1" applyAlignment="1">
      <alignment horizontal="center" vertical="center"/>
    </xf>
    <xf numFmtId="0" fontId="18" fillId="2" borderId="140" xfId="0" applyFont="1" applyFill="1" applyBorder="1" applyAlignment="1">
      <alignment horizontal="center" vertical="center"/>
    </xf>
    <xf numFmtId="0" fontId="18" fillId="2" borderId="141" xfId="0" applyFont="1" applyFill="1" applyBorder="1" applyAlignment="1">
      <alignment horizontal="center" vertical="center"/>
    </xf>
    <xf numFmtId="0" fontId="18" fillId="2" borderId="142" xfId="0" applyFont="1" applyFill="1" applyBorder="1" applyAlignment="1">
      <alignment horizontal="center" vertical="center"/>
    </xf>
    <xf numFmtId="0" fontId="18" fillId="2" borderId="143" xfId="0" applyFont="1" applyFill="1" applyBorder="1" applyAlignment="1">
      <alignment horizontal="center" vertical="center"/>
    </xf>
    <xf numFmtId="0" fontId="33" fillId="28" borderId="0" xfId="0" applyFont="1" applyFill="1" applyAlignment="1">
      <alignment horizontal="center"/>
    </xf>
    <xf numFmtId="0" fontId="33" fillId="41" borderId="217" xfId="0" applyFont="1" applyFill="1" applyBorder="1" applyAlignment="1">
      <alignment horizontal="center" vertical="center" wrapText="1"/>
    </xf>
    <xf numFmtId="0" fontId="33" fillId="6" borderId="217" xfId="0" applyFont="1" applyFill="1" applyBorder="1" applyAlignment="1" applyProtection="1">
      <alignment horizontal="center" vertical="center"/>
      <protection locked="0"/>
    </xf>
    <xf numFmtId="164" fontId="34" fillId="7" borderId="217" xfId="0" applyNumberFormat="1" applyFont="1" applyFill="1" applyBorder="1" applyAlignment="1">
      <alignment horizontal="center" vertical="center"/>
    </xf>
    <xf numFmtId="0" fontId="33" fillId="41" borderId="217" xfId="0" applyFont="1" applyFill="1" applyBorder="1" applyAlignment="1">
      <alignment horizontal="center" vertical="center"/>
    </xf>
    <xf numFmtId="164" fontId="33" fillId="8" borderId="229" xfId="0" applyNumberFormat="1" applyFont="1" applyFill="1" applyBorder="1" applyAlignment="1">
      <alignment horizontal="center" vertical="center"/>
    </xf>
    <xf numFmtId="164" fontId="33" fillId="8" borderId="2" xfId="0" applyNumberFormat="1" applyFont="1" applyFill="1" applyBorder="1" applyAlignment="1">
      <alignment horizontal="center" vertical="center"/>
    </xf>
    <xf numFmtId="0" fontId="37" fillId="5" borderId="11" xfId="0" applyFont="1" applyFill="1" applyBorder="1" applyAlignment="1">
      <alignment horizontal="center" vertical="center"/>
    </xf>
    <xf numFmtId="0" fontId="37" fillId="5" borderId="12" xfId="0" applyFont="1" applyFill="1" applyBorder="1" applyAlignment="1">
      <alignment horizontal="center" vertical="center"/>
    </xf>
    <xf numFmtId="0" fontId="33" fillId="28" borderId="5" xfId="0" applyFont="1" applyFill="1" applyBorder="1" applyAlignment="1">
      <alignment horizontal="center"/>
    </xf>
    <xf numFmtId="0" fontId="33" fillId="6" borderId="166" xfId="0" applyFont="1" applyFill="1" applyBorder="1" applyAlignment="1" applyProtection="1">
      <alignment horizontal="center"/>
      <protection locked="0"/>
    </xf>
    <xf numFmtId="0" fontId="33" fillId="6" borderId="168" xfId="0" applyFont="1" applyFill="1" applyBorder="1" applyAlignment="1" applyProtection="1">
      <alignment horizontal="center"/>
      <protection locked="0"/>
    </xf>
    <xf numFmtId="0" fontId="33" fillId="28" borderId="0" xfId="0" applyFont="1" applyFill="1" applyAlignment="1">
      <alignment horizontal="center" vertical="center" wrapText="1"/>
    </xf>
    <xf numFmtId="0" fontId="33" fillId="6" borderId="230" xfId="0" applyFont="1" applyFill="1" applyBorder="1" applyAlignment="1" applyProtection="1">
      <alignment horizontal="center" vertical="center"/>
      <protection locked="0"/>
    </xf>
    <xf numFmtId="0" fontId="33" fillId="6" borderId="231" xfId="0" applyFont="1" applyFill="1" applyBorder="1" applyAlignment="1" applyProtection="1">
      <alignment horizontal="center" vertical="center"/>
      <protection locked="0"/>
    </xf>
    <xf numFmtId="0" fontId="33" fillId="6" borderId="14" xfId="0" applyFont="1" applyFill="1" applyBorder="1" applyAlignment="1" applyProtection="1">
      <alignment horizontal="center" vertical="center"/>
      <protection locked="0"/>
    </xf>
    <xf numFmtId="0" fontId="33" fillId="6" borderId="13" xfId="0" applyFont="1" applyFill="1" applyBorder="1" applyAlignment="1" applyProtection="1">
      <alignment horizontal="center" vertical="center"/>
      <protection locked="0"/>
    </xf>
    <xf numFmtId="0" fontId="33" fillId="6" borderId="229" xfId="0" applyFont="1" applyFill="1" applyBorder="1" applyAlignment="1" applyProtection="1">
      <alignment horizontal="center" vertical="center"/>
      <protection locked="0"/>
    </xf>
    <xf numFmtId="0" fontId="33" fillId="6" borderId="2" xfId="0" applyFont="1" applyFill="1" applyBorder="1" applyAlignment="1" applyProtection="1">
      <alignment horizontal="center" vertical="center"/>
      <protection locked="0"/>
    </xf>
    <xf numFmtId="0" fontId="33" fillId="28" borderId="109" xfId="0" applyFont="1" applyFill="1" applyBorder="1" applyAlignment="1">
      <alignment horizontal="right" vertical="center" wrapText="1"/>
    </xf>
    <xf numFmtId="0" fontId="33" fillId="28" borderId="5" xfId="0" applyFont="1" applyFill="1" applyBorder="1" applyAlignment="1">
      <alignment horizontal="right" vertical="center" wrapText="1"/>
    </xf>
    <xf numFmtId="0" fontId="18" fillId="2" borderId="230" xfId="0" applyFont="1" applyFill="1" applyBorder="1" applyAlignment="1">
      <alignment horizontal="center" vertical="center"/>
    </xf>
    <xf numFmtId="0" fontId="18" fillId="2" borderId="185" xfId="0" applyFont="1" applyFill="1" applyBorder="1" applyAlignment="1">
      <alignment horizontal="center" vertical="center"/>
    </xf>
    <xf numFmtId="0" fontId="18" fillId="2" borderId="231" xfId="0" applyFont="1" applyFill="1" applyBorder="1" applyAlignment="1">
      <alignment horizontal="center" vertical="center"/>
    </xf>
    <xf numFmtId="0" fontId="21" fillId="2" borderId="14" xfId="0" applyFont="1" applyFill="1" applyBorder="1" applyAlignment="1">
      <alignment horizontal="center" vertical="center"/>
    </xf>
    <xf numFmtId="0" fontId="21" fillId="2" borderId="111" xfId="0" applyFont="1" applyFill="1" applyBorder="1" applyAlignment="1">
      <alignment horizontal="center" vertical="center"/>
    </xf>
    <xf numFmtId="0" fontId="21" fillId="2" borderId="13" xfId="0" applyFont="1" applyFill="1" applyBorder="1" applyAlignment="1">
      <alignment horizontal="center" vertical="center"/>
    </xf>
    <xf numFmtId="3" fontId="33" fillId="6" borderId="166" xfId="0" applyNumberFormat="1" applyFont="1" applyFill="1" applyBorder="1" applyAlignment="1" applyProtection="1">
      <alignment horizontal="center"/>
      <protection locked="0"/>
    </xf>
    <xf numFmtId="3" fontId="33" fillId="6" borderId="180" xfId="0" applyNumberFormat="1" applyFont="1" applyFill="1" applyBorder="1" applyAlignment="1" applyProtection="1">
      <alignment horizontal="center"/>
      <protection locked="0"/>
    </xf>
    <xf numFmtId="0" fontId="33" fillId="28" borderId="111" xfId="0" applyFont="1" applyFill="1" applyBorder="1" applyAlignment="1">
      <alignment horizontal="center" vertical="center"/>
    </xf>
    <xf numFmtId="0" fontId="10" fillId="28" borderId="7" xfId="0" applyFont="1" applyFill="1" applyBorder="1" applyAlignment="1">
      <alignment horizontal="left" vertical="top" wrapText="1"/>
    </xf>
    <xf numFmtId="0" fontId="10" fillId="28" borderId="0" xfId="0" applyFont="1" applyFill="1" applyAlignment="1">
      <alignment horizontal="left" vertical="top" wrapText="1"/>
    </xf>
    <xf numFmtId="0" fontId="10" fillId="28" borderId="10" xfId="0" applyFont="1" applyFill="1" applyBorder="1" applyAlignment="1">
      <alignment horizontal="left" vertical="top" wrapText="1"/>
    </xf>
    <xf numFmtId="0" fontId="41" fillId="28" borderId="7" xfId="0" applyFont="1" applyFill="1" applyBorder="1" applyAlignment="1">
      <alignment horizontal="left" vertical="top" wrapText="1"/>
    </xf>
    <xf numFmtId="0" fontId="41" fillId="28" borderId="0" xfId="0" applyFont="1" applyFill="1" applyAlignment="1">
      <alignment horizontal="left" vertical="top" wrapText="1"/>
    </xf>
    <xf numFmtId="0" fontId="41" fillId="28" borderId="10" xfId="0" applyFont="1" applyFill="1" applyBorder="1" applyAlignment="1">
      <alignment horizontal="left" vertical="top" wrapText="1"/>
    </xf>
    <xf numFmtId="0" fontId="33" fillId="28" borderId="5" xfId="0" applyFont="1" applyFill="1" applyBorder="1" applyAlignment="1">
      <alignment horizontal="center" vertical="center" wrapText="1"/>
    </xf>
    <xf numFmtId="0" fontId="21" fillId="2" borderId="6" xfId="0" applyFont="1" applyFill="1" applyBorder="1" applyAlignment="1">
      <alignment horizontal="center" vertical="center"/>
    </xf>
    <xf numFmtId="0" fontId="21" fillId="2" borderId="180" xfId="0" applyFont="1" applyFill="1" applyBorder="1" applyAlignment="1">
      <alignment horizontal="center" vertical="center"/>
    </xf>
    <xf numFmtId="0" fontId="21" fillId="2" borderId="168" xfId="0" applyFont="1" applyFill="1" applyBorder="1" applyAlignment="1">
      <alignment horizontal="center" vertical="center"/>
    </xf>
    <xf numFmtId="0" fontId="21" fillId="2" borderId="166" xfId="0" applyFont="1" applyFill="1" applyBorder="1" applyAlignment="1">
      <alignment horizontal="center" vertical="center"/>
    </xf>
    <xf numFmtId="0" fontId="21" fillId="2" borderId="232" xfId="0" applyFont="1" applyFill="1" applyBorder="1" applyAlignment="1">
      <alignment horizontal="center" vertical="center"/>
    </xf>
    <xf numFmtId="0" fontId="33" fillId="6" borderId="230" xfId="0" applyFont="1" applyFill="1" applyBorder="1" applyAlignment="1" applyProtection="1">
      <alignment horizontal="center" vertical="center" wrapText="1"/>
      <protection locked="0"/>
    </xf>
    <xf numFmtId="0" fontId="33" fillId="6" borderId="231" xfId="0" applyFont="1" applyFill="1" applyBorder="1" applyAlignment="1" applyProtection="1">
      <alignment horizontal="center" vertical="center" wrapText="1"/>
      <protection locked="0"/>
    </xf>
    <xf numFmtId="0" fontId="33" fillId="6" borderId="109" xfId="0" applyFont="1" applyFill="1" applyBorder="1" applyAlignment="1" applyProtection="1">
      <alignment horizontal="center" vertical="center" wrapText="1"/>
      <protection locked="0"/>
    </xf>
    <xf numFmtId="0" fontId="33" fillId="6" borderId="5" xfId="0" applyFont="1" applyFill="1" applyBorder="1" applyAlignment="1" applyProtection="1">
      <alignment horizontal="center" vertical="center" wrapText="1"/>
      <protection locked="0"/>
    </xf>
    <xf numFmtId="0" fontId="33" fillId="6" borderId="14" xfId="0" applyFont="1" applyFill="1" applyBorder="1" applyAlignment="1" applyProtection="1">
      <alignment horizontal="center" vertical="center" wrapText="1"/>
      <protection locked="0"/>
    </xf>
    <xf numFmtId="0" fontId="33" fillId="6" borderId="13" xfId="0" applyFont="1" applyFill="1" applyBorder="1" applyAlignment="1" applyProtection="1">
      <alignment horizontal="center" vertical="center" wrapText="1"/>
      <protection locked="0"/>
    </xf>
    <xf numFmtId="0" fontId="33" fillId="6" borderId="18" xfId="0" applyFont="1" applyFill="1" applyBorder="1" applyAlignment="1" applyProtection="1">
      <alignment horizontal="center" vertical="center"/>
      <protection locked="0"/>
    </xf>
    <xf numFmtId="0" fontId="33" fillId="28" borderId="109" xfId="0" applyFont="1" applyFill="1" applyBorder="1" applyAlignment="1">
      <alignment horizontal="center" vertical="center" wrapText="1"/>
    </xf>
    <xf numFmtId="0" fontId="34" fillId="28" borderId="181" xfId="0" applyFont="1" applyFill="1" applyBorder="1" applyAlignment="1">
      <alignment horizontal="left" wrapText="1"/>
    </xf>
    <xf numFmtId="0" fontId="34" fillId="28" borderId="185" xfId="0" applyFont="1" applyFill="1" applyBorder="1" applyAlignment="1">
      <alignment horizontal="left" wrapText="1"/>
    </xf>
    <xf numFmtId="0" fontId="34" fillId="28" borderId="233" xfId="0" applyFont="1" applyFill="1" applyBorder="1" applyAlignment="1">
      <alignment horizontal="left" wrapText="1"/>
    </xf>
    <xf numFmtId="0" fontId="21" fillId="40" borderId="120" xfId="0" applyFont="1" applyFill="1" applyBorder="1" applyAlignment="1">
      <alignment horizontal="left" wrapText="1"/>
    </xf>
    <xf numFmtId="0" fontId="21" fillId="40" borderId="0" xfId="0" applyFont="1" applyFill="1" applyAlignment="1">
      <alignment horizontal="left" wrapText="1"/>
    </xf>
    <xf numFmtId="0" fontId="21" fillId="40" borderId="121" xfId="0" applyFont="1" applyFill="1" applyBorder="1" applyAlignment="1">
      <alignment horizontal="left" wrapText="1"/>
    </xf>
    <xf numFmtId="0" fontId="208" fillId="0" borderId="217" xfId="1" applyFont="1" applyBorder="1" applyAlignment="1">
      <alignment horizontal="left"/>
    </xf>
    <xf numFmtId="0" fontId="197" fillId="0" borderId="0" xfId="0" applyFont="1" applyAlignment="1">
      <alignment horizontal="left" vertical="top" wrapText="1"/>
    </xf>
    <xf numFmtId="0" fontId="33" fillId="0" borderId="0" xfId="0" applyFont="1" applyAlignment="1">
      <alignment horizontal="left" wrapText="1"/>
    </xf>
    <xf numFmtId="0" fontId="66" fillId="28" borderId="0" xfId="2" applyFont="1" applyFill="1" applyAlignment="1">
      <alignment horizontal="left" vertical="center" wrapText="1"/>
    </xf>
    <xf numFmtId="0" fontId="67" fillId="57" borderId="0" xfId="2" applyFont="1" applyFill="1" applyAlignment="1">
      <alignment horizontal="right" vertical="center" wrapText="1"/>
    </xf>
    <xf numFmtId="0" fontId="155" fillId="57" borderId="0" xfId="2" applyFont="1" applyFill="1" applyAlignment="1">
      <alignment horizontal="right" vertical="center" wrapText="1"/>
    </xf>
    <xf numFmtId="0" fontId="21" fillId="2" borderId="166" xfId="2" applyFont="1" applyFill="1" applyBorder="1" applyAlignment="1">
      <alignment horizontal="center" vertical="center"/>
    </xf>
    <xf numFmtId="0" fontId="21" fillId="2" borderId="180" xfId="2" applyFont="1" applyFill="1" applyBorder="1" applyAlignment="1">
      <alignment horizontal="center" vertical="center"/>
    </xf>
    <xf numFmtId="0" fontId="21" fillId="2" borderId="166" xfId="2" applyFont="1" applyFill="1" applyBorder="1" applyAlignment="1">
      <alignment horizontal="center"/>
    </xf>
    <xf numFmtId="0" fontId="21" fillId="2" borderId="168" xfId="2" applyFont="1" applyFill="1" applyBorder="1" applyAlignment="1">
      <alignment horizontal="center"/>
    </xf>
    <xf numFmtId="0" fontId="100" fillId="15" borderId="109" xfId="2" applyFont="1" applyFill="1" applyBorder="1" applyAlignment="1">
      <alignment horizontal="center" vertical="center" wrapText="1"/>
    </xf>
    <xf numFmtId="0" fontId="100" fillId="15" borderId="0" xfId="2" applyFont="1" applyFill="1" applyAlignment="1">
      <alignment horizontal="center" vertical="center" wrapText="1"/>
    </xf>
    <xf numFmtId="0" fontId="66" fillId="0" borderId="166" xfId="2" applyFont="1" applyBorder="1" applyAlignment="1">
      <alignment horizontal="center" vertical="center"/>
    </xf>
    <xf numFmtId="0" fontId="66" fillId="0" borderId="180" xfId="2" applyFont="1" applyBorder="1" applyAlignment="1">
      <alignment horizontal="center" vertical="center"/>
    </xf>
    <xf numFmtId="0" fontId="66" fillId="0" borderId="168" xfId="2" applyFont="1" applyBorder="1" applyAlignment="1">
      <alignment horizontal="center" vertical="center"/>
    </xf>
    <xf numFmtId="0" fontId="67" fillId="56" borderId="166" xfId="2" applyFont="1" applyFill="1" applyBorder="1" applyAlignment="1">
      <alignment horizontal="center" vertical="center"/>
    </xf>
    <xf numFmtId="0" fontId="67" fillId="56" borderId="180" xfId="2" applyFont="1" applyFill="1" applyBorder="1" applyAlignment="1">
      <alignment horizontal="center" vertical="center"/>
    </xf>
    <xf numFmtId="0" fontId="67" fillId="56" borderId="168" xfId="2" applyFont="1" applyFill="1" applyBorder="1" applyAlignment="1">
      <alignment horizontal="center" vertical="center"/>
    </xf>
    <xf numFmtId="0" fontId="66" fillId="15" borderId="0" xfId="2" applyFont="1" applyFill="1" applyAlignment="1">
      <alignment horizontal="left" wrapText="1"/>
    </xf>
    <xf numFmtId="0" fontId="100" fillId="15" borderId="0" xfId="2" applyFont="1" applyFill="1" applyAlignment="1">
      <alignment horizontal="left" vertical="center" wrapText="1" indent="1"/>
    </xf>
    <xf numFmtId="0" fontId="21" fillId="2" borderId="185" xfId="2" applyFont="1" applyFill="1" applyBorder="1" applyAlignment="1">
      <alignment horizontal="center" vertical="center"/>
    </xf>
    <xf numFmtId="0" fontId="21" fillId="2" borderId="0" xfId="2" applyFont="1" applyFill="1"/>
    <xf numFmtId="0" fontId="21" fillId="2" borderId="185" xfId="2" applyFont="1" applyFill="1" applyBorder="1" applyAlignment="1">
      <alignment horizontal="center" vertical="center" wrapText="1"/>
    </xf>
    <xf numFmtId="0" fontId="21" fillId="2" borderId="0" xfId="2" applyFont="1" applyFill="1" applyAlignment="1">
      <alignment wrapText="1"/>
    </xf>
    <xf numFmtId="0" fontId="21" fillId="2" borderId="0" xfId="2" applyFont="1" applyFill="1" applyAlignment="1">
      <alignment horizontal="center" vertical="center" wrapText="1"/>
    </xf>
    <xf numFmtId="0" fontId="21" fillId="2" borderId="185" xfId="2" applyFont="1" applyFill="1" applyBorder="1"/>
    <xf numFmtId="0" fontId="21" fillId="2" borderId="111" xfId="2" applyFont="1" applyFill="1" applyBorder="1"/>
    <xf numFmtId="0" fontId="21" fillId="2" borderId="230" xfId="2" applyFont="1" applyFill="1" applyBorder="1" applyAlignment="1">
      <alignment horizontal="center" vertical="center" wrapText="1"/>
    </xf>
    <xf numFmtId="0" fontId="21" fillId="44" borderId="185" xfId="2" applyFont="1" applyFill="1" applyBorder="1" applyAlignment="1">
      <alignment horizontal="center" vertical="center"/>
    </xf>
    <xf numFmtId="0" fontId="21" fillId="44" borderId="231" xfId="2" applyFont="1" applyFill="1" applyBorder="1" applyAlignment="1">
      <alignment horizontal="center" vertical="center"/>
    </xf>
    <xf numFmtId="0" fontId="15" fillId="42" borderId="229" xfId="2" applyFill="1" applyBorder="1" applyAlignment="1">
      <alignment horizontal="center" vertical="center" wrapText="1"/>
    </xf>
    <xf numFmtId="0" fontId="15" fillId="0" borderId="18" xfId="2" applyBorder="1" applyAlignment="1">
      <alignment horizontal="center" vertical="center" wrapText="1"/>
    </xf>
    <xf numFmtId="0" fontId="15" fillId="0" borderId="2" xfId="2" applyBorder="1" applyAlignment="1">
      <alignment horizontal="center" vertical="center" wrapText="1"/>
    </xf>
    <xf numFmtId="2" fontId="15" fillId="42" borderId="229" xfId="2" applyNumberFormat="1" applyFill="1" applyBorder="1" applyAlignment="1">
      <alignment horizontal="center" vertical="center" wrapText="1"/>
    </xf>
    <xf numFmtId="2" fontId="15" fillId="42" borderId="18" xfId="2" applyNumberFormat="1" applyFill="1" applyBorder="1" applyAlignment="1">
      <alignment horizontal="center" vertical="center" wrapText="1"/>
    </xf>
    <xf numFmtId="2" fontId="15" fillId="42" borderId="2" xfId="2" applyNumberFormat="1" applyFill="1" applyBorder="1" applyAlignment="1">
      <alignment horizontal="center" vertical="center" wrapText="1"/>
    </xf>
    <xf numFmtId="0" fontId="15" fillId="0" borderId="18" xfId="2" applyBorder="1" applyAlignment="1">
      <alignment wrapText="1"/>
    </xf>
    <xf numFmtId="0" fontId="15" fillId="0" borderId="2" xfId="2" applyBorder="1" applyAlignment="1">
      <alignment wrapText="1"/>
    </xf>
    <xf numFmtId="0" fontId="15" fillId="42" borderId="217" xfId="2" applyFill="1" applyBorder="1" applyAlignment="1">
      <alignment horizontal="center" vertical="center" wrapText="1"/>
    </xf>
    <xf numFmtId="0" fontId="15" fillId="0" borderId="217" xfId="2" applyBorder="1" applyAlignment="1">
      <alignment wrapText="1"/>
    </xf>
    <xf numFmtId="0" fontId="15" fillId="42" borderId="18" xfId="2" applyFill="1" applyBorder="1" applyAlignment="1">
      <alignment horizontal="center" vertical="center" wrapText="1"/>
    </xf>
    <xf numFmtId="0" fontId="15" fillId="42" borderId="2" xfId="2" applyFill="1" applyBorder="1" applyAlignment="1">
      <alignment wrapText="1"/>
    </xf>
    <xf numFmtId="165" fontId="15" fillId="42" borderId="229" xfId="2" applyNumberFormat="1" applyFill="1" applyBorder="1" applyAlignment="1">
      <alignment horizontal="center" vertical="center" wrapText="1"/>
    </xf>
    <xf numFmtId="165" fontId="15" fillId="42" borderId="18" xfId="2" applyNumberFormat="1" applyFill="1" applyBorder="1" applyAlignment="1">
      <alignment horizontal="center" vertical="center" wrapText="1"/>
    </xf>
    <xf numFmtId="0" fontId="155" fillId="42" borderId="230" xfId="2" applyFont="1" applyFill="1" applyBorder="1" applyAlignment="1">
      <alignment horizontal="center" vertical="center"/>
    </xf>
    <xf numFmtId="0" fontId="155" fillId="42" borderId="185" xfId="2" applyFont="1" applyFill="1" applyBorder="1" applyAlignment="1">
      <alignment horizontal="center" vertical="center"/>
    </xf>
    <xf numFmtId="0" fontId="155" fillId="0" borderId="185" xfId="2" applyFont="1" applyBorder="1"/>
    <xf numFmtId="0" fontId="155" fillId="0" borderId="231" xfId="2" applyFont="1" applyBorder="1"/>
    <xf numFmtId="0" fontId="155" fillId="0" borderId="14" xfId="2" applyFont="1" applyBorder="1"/>
    <xf numFmtId="0" fontId="155" fillId="0" borderId="111" xfId="2" applyFont="1" applyBorder="1"/>
    <xf numFmtId="0" fontId="155" fillId="0" borderId="13" xfId="2" applyFont="1" applyBorder="1"/>
    <xf numFmtId="0" fontId="155" fillId="42" borderId="230" xfId="2" applyFont="1" applyFill="1" applyBorder="1" applyAlignment="1">
      <alignment horizontal="center" vertical="center" wrapText="1"/>
    </xf>
    <xf numFmtId="0" fontId="155" fillId="42" borderId="185" xfId="2" applyFont="1" applyFill="1" applyBorder="1" applyAlignment="1">
      <alignment horizontal="center" vertical="center" wrapText="1"/>
    </xf>
    <xf numFmtId="0" fontId="21" fillId="2" borderId="111" xfId="2" applyFont="1" applyFill="1" applyBorder="1" applyAlignment="1">
      <alignment wrapText="1"/>
    </xf>
    <xf numFmtId="0" fontId="21" fillId="2" borderId="231" xfId="2" applyFont="1" applyFill="1" applyBorder="1" applyAlignment="1">
      <alignment horizontal="center" vertical="center" wrapText="1"/>
    </xf>
    <xf numFmtId="0" fontId="21" fillId="2" borderId="5" xfId="2" applyFont="1" applyFill="1" applyBorder="1" applyAlignment="1">
      <alignment horizontal="center" vertical="center" wrapText="1"/>
    </xf>
    <xf numFmtId="0" fontId="21" fillId="2" borderId="13" xfId="2" applyFont="1" applyFill="1" applyBorder="1" applyAlignment="1">
      <alignment wrapText="1"/>
    </xf>
    <xf numFmtId="0" fontId="101" fillId="2" borderId="109" xfId="2" applyFont="1" applyFill="1" applyBorder="1" applyAlignment="1">
      <alignment horizontal="center" vertical="top" wrapText="1"/>
    </xf>
    <xf numFmtId="0" fontId="101" fillId="2" borderId="14" xfId="2" applyFont="1" applyFill="1" applyBorder="1" applyAlignment="1">
      <alignment horizontal="center" vertical="top" wrapText="1"/>
    </xf>
    <xf numFmtId="0" fontId="101" fillId="2" borderId="0" xfId="2" applyFont="1" applyFill="1" applyAlignment="1">
      <alignment horizontal="center" vertical="center" wrapText="1"/>
    </xf>
    <xf numFmtId="0" fontId="101" fillId="2" borderId="111" xfId="2" applyFont="1" applyFill="1" applyBorder="1" applyAlignment="1">
      <alignment horizontal="center" vertical="center" wrapText="1"/>
    </xf>
    <xf numFmtId="0" fontId="101" fillId="44" borderId="0" xfId="2" applyFont="1" applyFill="1" applyAlignment="1">
      <alignment horizontal="center" vertical="center" wrapText="1"/>
    </xf>
    <xf numFmtId="0" fontId="101" fillId="44" borderId="5" xfId="2" applyFont="1" applyFill="1" applyBorder="1" applyAlignment="1">
      <alignment horizontal="center" vertical="center" wrapText="1"/>
    </xf>
    <xf numFmtId="0" fontId="101" fillId="44" borderId="13" xfId="2" applyFont="1" applyFill="1" applyBorder="1" applyAlignment="1">
      <alignment horizontal="center" vertical="center" wrapText="1"/>
    </xf>
    <xf numFmtId="0" fontId="15" fillId="42" borderId="236" xfId="2" applyFill="1" applyBorder="1" applyAlignment="1">
      <alignment horizontal="center" vertical="center" wrapText="1"/>
    </xf>
    <xf numFmtId="0" fontId="15" fillId="0" borderId="231" xfId="2" applyBorder="1" applyAlignment="1">
      <alignment horizontal="center" vertical="center" wrapText="1"/>
    </xf>
    <xf numFmtId="0" fontId="15" fillId="42" borderId="166" xfId="2" applyFill="1" applyBorder="1" applyAlignment="1">
      <alignment horizontal="center" vertical="center" wrapText="1"/>
    </xf>
    <xf numFmtId="0" fontId="15" fillId="42" borderId="180" xfId="2" applyFill="1" applyBorder="1" applyAlignment="1">
      <alignment horizontal="center" vertical="center" wrapText="1"/>
    </xf>
    <xf numFmtId="0" fontId="15" fillId="0" borderId="168" xfId="2" applyBorder="1" applyAlignment="1">
      <alignment horizontal="center" vertical="center" wrapText="1"/>
    </xf>
    <xf numFmtId="0" fontId="15" fillId="42" borderId="231" xfId="2" applyFill="1" applyBorder="1" applyAlignment="1">
      <alignment horizontal="center" vertical="center"/>
    </xf>
    <xf numFmtId="0" fontId="15" fillId="42" borderId="5" xfId="2" applyFill="1" applyBorder="1" applyAlignment="1">
      <alignment horizontal="center" vertical="center"/>
    </xf>
    <xf numFmtId="0" fontId="15" fillId="42" borderId="13" xfId="2" applyFill="1" applyBorder="1"/>
    <xf numFmtId="0" fontId="21" fillId="2" borderId="236" xfId="2" applyFont="1" applyFill="1" applyBorder="1" applyAlignment="1" applyProtection="1">
      <alignment horizontal="center" vertical="center"/>
      <protection locked="0"/>
    </xf>
    <xf numFmtId="0" fontId="21" fillId="2" borderId="109" xfId="2" applyFont="1" applyFill="1" applyBorder="1" applyAlignment="1" applyProtection="1">
      <alignment horizontal="center" vertical="center"/>
      <protection locked="0"/>
    </xf>
    <xf numFmtId="0" fontId="21" fillId="2" borderId="14" xfId="2" applyFont="1" applyFill="1" applyBorder="1" applyAlignment="1" applyProtection="1">
      <alignment horizontal="center" vertical="center"/>
      <protection locked="0"/>
    </xf>
    <xf numFmtId="0" fontId="21" fillId="2" borderId="180" xfId="2" applyFont="1" applyFill="1" applyBorder="1"/>
    <xf numFmtId="0" fontId="21" fillId="2" borderId="180" xfId="2" applyFont="1" applyFill="1" applyBorder="1" applyAlignment="1">
      <alignment horizontal="center" vertical="center" wrapText="1"/>
    </xf>
    <xf numFmtId="0" fontId="15" fillId="46" borderId="235" xfId="2" applyFill="1" applyBorder="1" applyAlignment="1">
      <alignment horizontal="center" vertical="center" wrapText="1"/>
    </xf>
    <xf numFmtId="0" fontId="15" fillId="46" borderId="18" xfId="2" applyFill="1" applyBorder="1" applyAlignment="1">
      <alignment horizontal="center" vertical="center"/>
    </xf>
    <xf numFmtId="0" fontId="15" fillId="46" borderId="2" xfId="2" applyFill="1" applyBorder="1" applyAlignment="1">
      <alignment horizontal="center" vertical="center"/>
    </xf>
    <xf numFmtId="0" fontId="15" fillId="46" borderId="18" xfId="2" applyFill="1" applyBorder="1" applyAlignment="1">
      <alignment horizontal="center" vertical="center" wrapText="1"/>
    </xf>
    <xf numFmtId="0" fontId="15" fillId="46" borderId="2" xfId="2" applyFill="1" applyBorder="1" applyAlignment="1">
      <alignment horizontal="center" vertical="center" wrapText="1"/>
    </xf>
    <xf numFmtId="0" fontId="15" fillId="0" borderId="185" xfId="2" applyBorder="1" applyAlignment="1">
      <alignment horizontal="center" vertical="center" wrapText="1"/>
    </xf>
    <xf numFmtId="10" fontId="15" fillId="42" borderId="235" xfId="2" applyNumberFormat="1" applyFill="1" applyBorder="1" applyAlignment="1">
      <alignment horizontal="center" vertical="center" wrapText="1"/>
    </xf>
    <xf numFmtId="10" fontId="15" fillId="42" borderId="18" xfId="2" applyNumberFormat="1" applyFill="1" applyBorder="1" applyAlignment="1">
      <alignment horizontal="center" vertical="center" wrapText="1"/>
    </xf>
    <xf numFmtId="10" fontId="15" fillId="42" borderId="2" xfId="2" applyNumberFormat="1" applyFill="1" applyBorder="1" applyAlignment="1">
      <alignment wrapText="1"/>
    </xf>
    <xf numFmtId="0" fontId="15" fillId="42" borderId="168" xfId="2" applyFill="1" applyBorder="1" applyAlignment="1">
      <alignment horizontal="center" vertical="center" wrapText="1"/>
    </xf>
    <xf numFmtId="0" fontId="178" fillId="42" borderId="235" xfId="2" applyFont="1" applyFill="1" applyBorder="1" applyAlignment="1">
      <alignment horizontal="center" vertical="center" wrapText="1"/>
    </xf>
    <xf numFmtId="0" fontId="178" fillId="42" borderId="2" xfId="2" applyFont="1" applyFill="1" applyBorder="1" applyAlignment="1">
      <alignment horizontal="center" vertical="center" wrapText="1"/>
    </xf>
    <xf numFmtId="0" fontId="15" fillId="42" borderId="2" xfId="2" applyFill="1" applyBorder="1" applyAlignment="1">
      <alignment horizontal="center" vertical="center" wrapText="1"/>
    </xf>
    <xf numFmtId="0" fontId="101" fillId="44" borderId="111" xfId="2" applyFont="1" applyFill="1" applyBorder="1" applyAlignment="1">
      <alignment horizontal="center" vertical="center" wrapText="1"/>
    </xf>
    <xf numFmtId="0" fontId="155" fillId="0" borderId="231" xfId="2" applyFont="1" applyBorder="1" applyAlignment="1">
      <alignment horizontal="center" vertical="center" wrapText="1"/>
    </xf>
    <xf numFmtId="0" fontId="15" fillId="42" borderId="235" xfId="2" applyFill="1" applyBorder="1" applyAlignment="1">
      <alignment horizontal="center" vertical="center"/>
    </xf>
    <xf numFmtId="0" fontId="15" fillId="0" borderId="2" xfId="2" applyBorder="1" applyAlignment="1">
      <alignment horizontal="center" vertical="center"/>
    </xf>
    <xf numFmtId="0" fontId="155" fillId="0" borderId="14" xfId="2" applyFont="1" applyBorder="1" applyAlignment="1">
      <alignment horizontal="center" vertical="center" wrapText="1"/>
    </xf>
    <xf numFmtId="0" fontId="155" fillId="0" borderId="13" xfId="2" applyFont="1" applyBorder="1" applyAlignment="1">
      <alignment horizontal="center" vertical="center" wrapText="1"/>
    </xf>
    <xf numFmtId="0" fontId="155" fillId="46" borderId="234" xfId="2" applyFont="1" applyFill="1" applyBorder="1" applyAlignment="1">
      <alignment horizontal="center" vertical="center" wrapText="1"/>
    </xf>
    <xf numFmtId="0" fontId="155" fillId="46" borderId="231" xfId="2" applyFont="1" applyFill="1" applyBorder="1" applyAlignment="1">
      <alignment horizontal="center" vertical="center" wrapText="1"/>
    </xf>
    <xf numFmtId="0" fontId="155" fillId="46" borderId="237" xfId="2" applyFont="1" applyFill="1" applyBorder="1" applyAlignment="1">
      <alignment horizontal="center" vertical="center" wrapText="1"/>
    </xf>
    <xf numFmtId="0" fontId="155" fillId="46" borderId="13" xfId="2" applyFont="1" applyFill="1" applyBorder="1" applyAlignment="1">
      <alignment horizontal="center" vertical="center" wrapText="1"/>
    </xf>
    <xf numFmtId="0" fontId="15" fillId="0" borderId="13" xfId="2" applyBorder="1" applyAlignment="1">
      <alignment horizontal="center" vertical="center"/>
    </xf>
    <xf numFmtId="0" fontId="15" fillId="46" borderId="231" xfId="2" applyFill="1" applyBorder="1" applyAlignment="1">
      <alignment horizontal="center" vertical="center" wrapText="1"/>
    </xf>
    <xf numFmtId="0" fontId="15" fillId="0" borderId="13" xfId="2" applyBorder="1" applyAlignment="1">
      <alignment horizontal="center" vertical="center" wrapText="1"/>
    </xf>
    <xf numFmtId="0" fontId="155" fillId="42" borderId="231" xfId="2" applyFont="1" applyFill="1" applyBorder="1" applyAlignment="1">
      <alignment horizontal="center" vertical="center"/>
    </xf>
    <xf numFmtId="0" fontId="155" fillId="42" borderId="14" xfId="2" applyFont="1" applyFill="1" applyBorder="1" applyAlignment="1">
      <alignment horizontal="center" vertical="center"/>
    </xf>
    <xf numFmtId="0" fontId="155" fillId="42" borderId="111" xfId="2" applyFont="1" applyFill="1" applyBorder="1" applyAlignment="1">
      <alignment horizontal="center" vertical="center"/>
    </xf>
    <xf numFmtId="0" fontId="155" fillId="42" borderId="13" xfId="2" applyFont="1" applyFill="1" applyBorder="1" applyAlignment="1">
      <alignment horizontal="center" vertical="center"/>
    </xf>
    <xf numFmtId="0" fontId="66" fillId="47" borderId="180" xfId="2" applyFont="1" applyFill="1" applyBorder="1" applyAlignment="1" applyProtection="1">
      <alignment vertical="center" wrapText="1"/>
      <protection locked="0"/>
    </xf>
    <xf numFmtId="198" fontId="15" fillId="49" borderId="243" xfId="2" applyNumberFormat="1" applyFill="1" applyBorder="1" applyAlignment="1">
      <alignment horizontal="center" vertical="center" wrapText="1"/>
    </xf>
    <xf numFmtId="198" fontId="15" fillId="49" borderId="114" xfId="2" applyNumberFormat="1" applyFill="1" applyBorder="1" applyAlignment="1">
      <alignment horizontal="center" vertical="center" wrapText="1"/>
    </xf>
    <xf numFmtId="198" fontId="15" fillId="49" borderId="94" xfId="2" applyNumberFormat="1" applyFill="1" applyBorder="1" applyAlignment="1">
      <alignment horizontal="center" vertical="center" wrapText="1"/>
    </xf>
    <xf numFmtId="0" fontId="184" fillId="16" borderId="0" xfId="2" applyFont="1" applyFill="1" applyAlignment="1">
      <alignment horizontal="center" wrapText="1"/>
    </xf>
    <xf numFmtId="10" fontId="67" fillId="15" borderId="0" xfId="2" applyNumberFormat="1" applyFont="1" applyFill="1" applyAlignment="1">
      <alignment horizontal="center" vertical="center" wrapText="1"/>
    </xf>
    <xf numFmtId="0" fontId="66" fillId="15" borderId="0" xfId="2" applyFont="1" applyFill="1" applyAlignment="1">
      <alignment horizontal="center" vertical="center" wrapText="1"/>
    </xf>
    <xf numFmtId="0" fontId="182" fillId="0" borderId="109" xfId="2" applyFont="1" applyBorder="1" applyAlignment="1">
      <alignment horizontal="center" vertical="center"/>
    </xf>
    <xf numFmtId="0" fontId="182" fillId="0" borderId="0" xfId="2" applyFont="1" applyAlignment="1">
      <alignment horizontal="center" vertical="center"/>
    </xf>
    <xf numFmtId="0" fontId="183" fillId="15" borderId="0" xfId="2" applyFont="1" applyFill="1" applyAlignment="1">
      <alignment horizontal="center" vertical="center"/>
    </xf>
    <xf numFmtId="0" fontId="15" fillId="15" borderId="0" xfId="2" applyFill="1" applyAlignment="1">
      <alignment horizontal="center" vertical="center"/>
    </xf>
    <xf numFmtId="0" fontId="67" fillId="45" borderId="248" xfId="2" applyFont="1" applyFill="1" applyBorder="1" applyAlignment="1">
      <alignment horizontal="center" vertical="center" wrapText="1"/>
    </xf>
    <xf numFmtId="0" fontId="67" fillId="45" borderId="248" xfId="2" applyFont="1" applyFill="1" applyBorder="1" applyAlignment="1">
      <alignment horizontal="center" vertical="center"/>
    </xf>
    <xf numFmtId="0" fontId="67" fillId="0" borderId="249" xfId="2" applyFont="1" applyBorder="1" applyAlignment="1">
      <alignment horizontal="center" vertical="center" wrapText="1"/>
    </xf>
    <xf numFmtId="0" fontId="66" fillId="0" borderId="249" xfId="2" applyFont="1" applyBorder="1" applyAlignment="1">
      <alignment horizontal="center" wrapText="1"/>
    </xf>
    <xf numFmtId="0" fontId="66" fillId="0" borderId="249" xfId="2" applyFont="1" applyBorder="1" applyAlignment="1">
      <alignment horizontal="center" vertical="center" wrapText="1"/>
    </xf>
    <xf numFmtId="0" fontId="66" fillId="0" borderId="247" xfId="2" applyFont="1" applyBorder="1" applyAlignment="1">
      <alignment horizontal="center" vertical="center" wrapText="1"/>
    </xf>
    <xf numFmtId="0" fontId="186" fillId="15" borderId="0" xfId="2" applyFont="1" applyFill="1" applyAlignment="1">
      <alignment horizontal="center" vertical="center"/>
    </xf>
    <xf numFmtId="0" fontId="67" fillId="43" borderId="0" xfId="2" applyFont="1" applyFill="1" applyAlignment="1">
      <alignment horizontal="right" vertical="center"/>
    </xf>
    <xf numFmtId="0" fontId="21" fillId="44" borderId="248" xfId="2" applyFont="1" applyFill="1" applyBorder="1" applyAlignment="1">
      <alignment horizontal="center" vertical="center"/>
    </xf>
    <xf numFmtId="0" fontId="21" fillId="44" borderId="249" xfId="2" applyFont="1" applyFill="1" applyBorder="1" applyAlignment="1">
      <alignment horizontal="center" vertical="center" wrapText="1"/>
    </xf>
    <xf numFmtId="0" fontId="21" fillId="44" borderId="249" xfId="2" applyFont="1" applyFill="1" applyBorder="1" applyAlignment="1">
      <alignment vertical="center" wrapText="1"/>
    </xf>
    <xf numFmtId="0" fontId="21" fillId="44" borderId="247" xfId="2" applyFont="1" applyFill="1" applyBorder="1" applyAlignment="1">
      <alignment horizontal="center" vertical="center" wrapText="1"/>
    </xf>
    <xf numFmtId="0" fontId="66" fillId="26" borderId="249" xfId="2" applyFont="1" applyFill="1" applyBorder="1" applyAlignment="1">
      <alignment horizontal="center" vertical="center" wrapText="1"/>
    </xf>
    <xf numFmtId="0" fontId="66" fillId="0" borderId="247" xfId="2" applyFont="1" applyBorder="1" applyAlignment="1">
      <alignment horizontal="center" vertical="center"/>
    </xf>
    <xf numFmtId="0" fontId="67" fillId="26" borderId="249" xfId="2" applyFont="1" applyFill="1" applyBorder="1" applyAlignment="1">
      <alignment horizontal="center" vertical="center"/>
    </xf>
    <xf numFmtId="0" fontId="66" fillId="0" borderId="249" xfId="2" applyFont="1" applyBorder="1" applyAlignment="1">
      <alignment horizontal="center" vertical="center"/>
    </xf>
    <xf numFmtId="0" fontId="66" fillId="26" borderId="247" xfId="2" applyFont="1" applyFill="1" applyBorder="1" applyAlignment="1">
      <alignment horizontal="center" vertical="center"/>
    </xf>
    <xf numFmtId="0" fontId="67" fillId="26" borderId="185" xfId="2" applyFont="1" applyFill="1" applyBorder="1" applyAlignment="1">
      <alignment horizontal="center" vertical="center"/>
    </xf>
    <xf numFmtId="0" fontId="67" fillId="26" borderId="0" xfId="2" applyFont="1" applyFill="1" applyAlignment="1">
      <alignment horizontal="center" vertical="center"/>
    </xf>
    <xf numFmtId="0" fontId="67" fillId="26" borderId="3" xfId="2" applyFont="1" applyFill="1" applyBorder="1" applyAlignment="1">
      <alignment horizontal="center" vertical="center"/>
    </xf>
    <xf numFmtId="0" fontId="66" fillId="26" borderId="185" xfId="2" applyFont="1" applyFill="1" applyBorder="1" applyAlignment="1">
      <alignment horizontal="center" vertical="center" wrapText="1"/>
    </xf>
    <xf numFmtId="0" fontId="66" fillId="26" borderId="0" xfId="2" applyFont="1" applyFill="1" applyAlignment="1">
      <alignment horizontal="left" vertical="center" wrapText="1"/>
    </xf>
    <xf numFmtId="0" fontId="66" fillId="26" borderId="3" xfId="2" applyFont="1" applyFill="1" applyBorder="1" applyAlignment="1">
      <alignment horizontal="left" vertical="center" wrapText="1"/>
    </xf>
    <xf numFmtId="0" fontId="67" fillId="0" borderId="249" xfId="2" applyFont="1" applyBorder="1" applyAlignment="1">
      <alignment horizontal="center" vertical="center"/>
    </xf>
    <xf numFmtId="0" fontId="66" fillId="26" borderId="0" xfId="2" applyFont="1" applyFill="1" applyAlignment="1">
      <alignment vertical="top" wrapText="1"/>
    </xf>
    <xf numFmtId="0" fontId="66" fillId="26" borderId="5" xfId="2" applyFont="1" applyFill="1" applyBorder="1" applyAlignment="1">
      <alignment vertical="top" wrapText="1"/>
    </xf>
    <xf numFmtId="0" fontId="66" fillId="26" borderId="185" xfId="2" applyFont="1" applyFill="1" applyBorder="1" applyAlignment="1">
      <alignment horizontal="center" vertical="center"/>
    </xf>
    <xf numFmtId="0" fontId="66" fillId="26" borderId="0" xfId="2" applyFont="1" applyFill="1" applyAlignment="1">
      <alignment horizontal="center" vertical="center"/>
    </xf>
    <xf numFmtId="0" fontId="66" fillId="26" borderId="3" xfId="2" applyFont="1" applyFill="1" applyBorder="1" applyAlignment="1">
      <alignment horizontal="center" vertical="center"/>
    </xf>
    <xf numFmtId="0" fontId="66" fillId="26" borderId="247" xfId="2" applyFont="1" applyFill="1" applyBorder="1" applyAlignment="1">
      <alignment horizontal="center" vertical="center" wrapText="1"/>
    </xf>
    <xf numFmtId="0" fontId="66" fillId="26" borderId="0" xfId="2" applyFont="1" applyFill="1" applyAlignment="1">
      <alignment horizontal="center" vertical="center" wrapText="1"/>
    </xf>
    <xf numFmtId="0" fontId="66" fillId="26" borderId="3" xfId="2" applyFont="1" applyFill="1" applyBorder="1" applyAlignment="1">
      <alignment horizontal="center" vertical="center" wrapText="1"/>
    </xf>
    <xf numFmtId="0" fontId="66" fillId="26" borderId="249" xfId="2" applyFont="1" applyFill="1" applyBorder="1" applyAlignment="1">
      <alignment horizontal="center" vertical="center"/>
    </xf>
    <xf numFmtId="0" fontId="189" fillId="15" borderId="0" xfId="2" applyFont="1" applyFill="1" applyAlignment="1">
      <alignment horizontal="center" vertical="center"/>
    </xf>
  </cellXfs>
  <cellStyles count="13">
    <cellStyle name="Accent2" xfId="8" builtinId="33"/>
    <cellStyle name="Check Cell" xfId="7" builtinId="23"/>
    <cellStyle name="Comma 2" xfId="4" xr:uid="{00000000-0005-0000-0000-000002000000}"/>
    <cellStyle name="Comma 2 2" xfId="11" xr:uid="{B9C54A8E-1BC9-4573-9F06-D728ABAD380C}"/>
    <cellStyle name="Hyperlink" xfId="1" builtinId="8"/>
    <cellStyle name="Normal" xfId="0" builtinId="0"/>
    <cellStyle name="Normal 2" xfId="2" xr:uid="{00000000-0005-0000-0000-000005000000}"/>
    <cellStyle name="Normal 3" xfId="5" xr:uid="{00000000-0005-0000-0000-000006000000}"/>
    <cellStyle name="Normal 3 2" xfId="12" xr:uid="{FBEDECB1-BFFB-4E05-9ED9-9D4B5EF2BFFF}"/>
    <cellStyle name="Percent" xfId="9" builtinId="5"/>
    <cellStyle name="Percent 2" xfId="3" xr:uid="{00000000-0005-0000-0000-000008000000}"/>
    <cellStyle name="Percent 2 2" xfId="10" xr:uid="{85C5A8E3-444E-4FED-A7A6-B3D464E08F94}"/>
    <cellStyle name="Percent 3" xfId="6" xr:uid="{00000000-0005-0000-0000-000009000000}"/>
  </cellStyles>
  <dxfs count="1700">
    <dxf>
      <font>
        <b val="0"/>
        <i val="0"/>
        <strike val="0"/>
        <condense val="0"/>
        <extend val="0"/>
        <outline val="0"/>
        <shadow val="0"/>
        <u val="none"/>
        <vertAlign val="baseline"/>
        <sz val="9"/>
        <color auto="1"/>
        <name val="Arial"/>
        <scheme val="none"/>
      </font>
      <alignment horizontal="center" vertical="bottom" textRotation="0" wrapText="0"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auto="1"/>
        <name val="Arial"/>
        <scheme val="none"/>
      </font>
      <alignment horizontal="left" vertical="bottom" textRotation="0" wrapText="0"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top style="thin">
          <color theme="1"/>
        </top>
        <bottom style="thin">
          <color theme="1"/>
        </bottom>
      </border>
    </dxf>
    <dxf>
      <font>
        <strike val="0"/>
        <outline val="0"/>
        <shadow val="0"/>
        <u val="none"/>
        <vertAlign val="baseline"/>
        <name val="Arial"/>
        <scheme val="none"/>
      </font>
    </dxf>
    <dxf>
      <border outline="0">
        <bottom style="thin">
          <color theme="1"/>
        </bottom>
      </border>
    </dxf>
    <dxf>
      <font>
        <b/>
        <i val="0"/>
        <strike val="0"/>
        <condense val="0"/>
        <extend val="0"/>
        <outline val="0"/>
        <shadow val="0"/>
        <u val="none"/>
        <vertAlign val="baseline"/>
        <sz val="11"/>
        <color theme="0"/>
        <name val="Arial"/>
        <scheme val="none"/>
      </font>
      <fill>
        <patternFill patternType="solid">
          <fgColor indexed="64"/>
          <bgColor theme="4"/>
        </patternFill>
      </fill>
    </dxf>
    <dxf>
      <font>
        <b val="0"/>
        <i val="0"/>
        <strike val="0"/>
        <condense val="0"/>
        <extend val="0"/>
        <outline val="0"/>
        <shadow val="0"/>
        <u val="none"/>
        <vertAlign val="baseline"/>
        <sz val="9"/>
        <color auto="1"/>
        <name val="Arial"/>
        <scheme val="none"/>
      </font>
      <alignment horizontal="center" vertical="bottom" textRotation="0" wrapText="0"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auto="1"/>
        <name val="Arial"/>
        <scheme val="none"/>
      </font>
      <alignment horizontal="left" vertical="bottom" textRotation="0" wrapText="0"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top style="thin">
          <color theme="1"/>
        </top>
        <bottom style="thin">
          <color theme="1"/>
        </bottom>
      </border>
    </dxf>
    <dxf>
      <font>
        <strike val="0"/>
        <outline val="0"/>
        <shadow val="0"/>
        <u val="none"/>
        <vertAlign val="baseline"/>
        <name val="Arial"/>
        <scheme val="none"/>
      </font>
    </dxf>
    <dxf>
      <border outline="0">
        <bottom style="thin">
          <color theme="1"/>
        </bottom>
      </border>
    </dxf>
    <dxf>
      <font>
        <b/>
        <i val="0"/>
        <strike val="0"/>
        <condense val="0"/>
        <extend val="0"/>
        <outline val="0"/>
        <shadow val="0"/>
        <u val="none"/>
        <vertAlign val="baseline"/>
        <sz val="11"/>
        <color theme="0"/>
        <name val="Arial"/>
        <scheme val="none"/>
      </font>
      <fill>
        <patternFill patternType="solid">
          <fgColor indexed="64"/>
          <bgColor theme="4"/>
        </patternFill>
      </fill>
    </dxf>
    <dxf>
      <font>
        <b val="0"/>
        <i val="0"/>
        <strike val="0"/>
        <condense val="0"/>
        <extend val="0"/>
        <outline val="0"/>
        <shadow val="0"/>
        <u val="none"/>
        <vertAlign val="baseline"/>
        <sz val="9"/>
        <color auto="1"/>
        <name val="Arial"/>
        <scheme val="none"/>
      </font>
      <alignment horizontal="center" vertical="bottom" textRotation="0" wrapText="0"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auto="1"/>
        <name val="Arial"/>
        <scheme val="none"/>
      </font>
      <alignment horizontal="left" vertical="bottom" textRotation="0" wrapText="0"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top style="thin">
          <color theme="1"/>
        </top>
        <bottom style="thin">
          <color theme="1"/>
        </bottom>
      </border>
    </dxf>
    <dxf>
      <font>
        <strike val="0"/>
        <outline val="0"/>
        <shadow val="0"/>
        <u val="none"/>
        <vertAlign val="baseline"/>
        <name val="Arial"/>
        <scheme val="none"/>
      </font>
    </dxf>
    <dxf>
      <border outline="0">
        <bottom style="thin">
          <color theme="1"/>
        </bottom>
      </border>
    </dxf>
    <dxf>
      <font>
        <b/>
        <i val="0"/>
        <strike val="0"/>
        <condense val="0"/>
        <extend val="0"/>
        <outline val="0"/>
        <shadow val="0"/>
        <u val="none"/>
        <vertAlign val="baseline"/>
        <sz val="11"/>
        <color theme="0"/>
        <name val="Arial"/>
        <scheme val="none"/>
      </font>
      <fill>
        <patternFill patternType="solid">
          <fgColor indexed="64"/>
          <bgColor theme="4"/>
        </patternFill>
      </fill>
    </dxf>
    <dxf>
      <font>
        <b val="0"/>
        <i val="0"/>
        <strike val="0"/>
        <condense val="0"/>
        <extend val="0"/>
        <outline val="0"/>
        <shadow val="0"/>
        <u val="none"/>
        <vertAlign val="baseline"/>
        <sz val="9"/>
        <color auto="1"/>
        <name val="Arial"/>
        <scheme val="none"/>
      </font>
      <alignment horizontal="center" vertical="bottom" textRotation="0" wrapText="0"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auto="1"/>
        <name val="Arial"/>
        <scheme val="none"/>
      </font>
      <alignment horizontal="left" vertical="bottom" textRotation="0" wrapText="0"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top style="thin">
          <color theme="1"/>
        </top>
        <bottom style="thin">
          <color theme="1"/>
        </bottom>
      </border>
    </dxf>
    <dxf>
      <font>
        <strike val="0"/>
        <outline val="0"/>
        <shadow val="0"/>
        <u val="none"/>
        <vertAlign val="baseline"/>
        <name val="Arial"/>
        <scheme val="none"/>
      </font>
    </dxf>
    <dxf>
      <border outline="0">
        <bottom style="thin">
          <color theme="1"/>
        </bottom>
      </border>
    </dxf>
    <dxf>
      <font>
        <b/>
        <i val="0"/>
        <strike val="0"/>
        <condense val="0"/>
        <extend val="0"/>
        <outline val="0"/>
        <shadow val="0"/>
        <u val="none"/>
        <vertAlign val="baseline"/>
        <sz val="11"/>
        <color theme="0"/>
        <name val="Arial"/>
        <scheme val="none"/>
      </font>
      <fill>
        <patternFill patternType="solid">
          <fgColor indexed="64"/>
          <bgColor theme="4"/>
        </patternFill>
      </fill>
    </dxf>
    <dxf>
      <font>
        <b val="0"/>
        <i val="0"/>
        <strike val="0"/>
        <condense val="0"/>
        <extend val="0"/>
        <outline val="0"/>
        <shadow val="0"/>
        <u val="none"/>
        <vertAlign val="baseline"/>
        <sz val="9"/>
        <color auto="1"/>
        <name val="Segoe UI Light"/>
        <scheme val="none"/>
      </font>
      <alignment horizontal="left" vertical="bottom" textRotation="0" wrapText="0" indent="0" justifyLastLine="0" shrinkToFit="0" readingOrder="0"/>
      <border diagonalUp="0" diagonalDown="0" outline="0">
        <left style="thin">
          <color theme="1"/>
        </left>
        <right/>
        <top style="thin">
          <color theme="1"/>
        </top>
        <bottom/>
      </border>
    </dxf>
    <dxf>
      <font>
        <b val="0"/>
        <i val="0"/>
        <strike val="0"/>
        <condense val="0"/>
        <extend val="0"/>
        <outline val="0"/>
        <shadow val="0"/>
        <u val="none"/>
        <vertAlign val="baseline"/>
        <sz val="9"/>
        <color auto="1"/>
        <name val="Segoe UI Light"/>
        <scheme val="none"/>
      </font>
      <alignment horizontal="center" vertical="bottom" textRotation="0" wrapText="0" indent="0" justifyLastLine="0" shrinkToFit="0" readingOrder="0"/>
      <border diagonalUp="0" diagonalDown="0" outline="0">
        <left style="thin">
          <color theme="1"/>
        </left>
        <right/>
        <top style="thin">
          <color theme="1"/>
        </top>
        <bottom/>
      </border>
    </dxf>
    <dxf>
      <font>
        <b val="0"/>
        <i val="0"/>
        <strike val="0"/>
        <condense val="0"/>
        <extend val="0"/>
        <outline val="0"/>
        <shadow val="0"/>
        <u val="none"/>
        <vertAlign val="baseline"/>
        <sz val="9"/>
        <color auto="1"/>
        <name val="Segoe UI Light"/>
        <scheme val="none"/>
      </font>
      <alignment horizontal="left" vertical="bottom" textRotation="0" wrapText="0" indent="0" justifyLastLine="0" shrinkToFit="0" readingOrder="0"/>
      <border diagonalUp="0" diagonalDown="0" outline="0">
        <left style="thin">
          <color theme="1"/>
        </left>
        <right/>
        <top style="thin">
          <color theme="1"/>
        </top>
        <bottom/>
      </border>
    </dxf>
    <dxf>
      <font>
        <b val="0"/>
        <i val="0"/>
        <strike val="0"/>
        <condense val="0"/>
        <extend val="0"/>
        <outline val="0"/>
        <shadow val="0"/>
        <u val="none"/>
        <vertAlign val="baseline"/>
        <sz val="9"/>
        <color auto="1"/>
        <name val="Segoe UI Light"/>
        <scheme val="none"/>
      </font>
      <alignment horizontal="center" vertical="bottom" textRotation="0" wrapText="0" indent="0" justifyLastLine="0" shrinkToFit="0" readingOrder="0"/>
      <border diagonalUp="0" diagonalDown="0" outline="0">
        <left style="thin">
          <color theme="1"/>
        </left>
        <right/>
        <top style="thin">
          <color theme="1"/>
        </top>
        <bottom/>
      </border>
    </dxf>
    <dxf>
      <font>
        <b val="0"/>
        <i val="0"/>
        <strike val="0"/>
        <condense val="0"/>
        <extend val="0"/>
        <outline val="0"/>
        <shadow val="0"/>
        <u val="none"/>
        <vertAlign val="baseline"/>
        <sz val="9"/>
        <color auto="1"/>
        <name val="Segoe UI Light"/>
        <scheme val="none"/>
      </font>
      <alignment horizontal="left" vertical="bottom" textRotation="0" wrapText="0" indent="0" justifyLastLine="0" shrinkToFit="0" readingOrder="0"/>
      <border diagonalUp="0" diagonalDown="0" outline="0">
        <left style="thin">
          <color theme="1"/>
        </left>
        <right/>
        <top style="thin">
          <color theme="1"/>
        </top>
        <bottom/>
      </border>
    </dxf>
    <dxf>
      <font>
        <b val="0"/>
        <i val="0"/>
        <strike val="0"/>
        <condense val="0"/>
        <extend val="0"/>
        <outline val="0"/>
        <shadow val="0"/>
        <u val="none"/>
        <vertAlign val="baseline"/>
        <sz val="9"/>
        <color auto="1"/>
        <name val="Segoe UI Light"/>
        <scheme val="none"/>
      </font>
      <alignment horizontal="center" vertical="bottom" textRotation="0" wrapText="0" indent="0" justifyLastLine="0" shrinkToFit="0" readingOrder="0"/>
      <border diagonalUp="0" diagonalDown="0" outline="0">
        <left/>
        <right/>
        <top style="thin">
          <color theme="1"/>
        </top>
        <bottom/>
      </border>
    </dxf>
    <dxf>
      <font>
        <b val="0"/>
        <i val="0"/>
        <strike val="0"/>
        <condense val="0"/>
        <extend val="0"/>
        <outline val="0"/>
        <shadow val="0"/>
        <u val="none"/>
        <vertAlign val="baseline"/>
        <sz val="9"/>
        <color auto="1"/>
        <name val="Segoe UI Light"/>
        <scheme val="none"/>
      </font>
      <alignment horizontal="center" vertical="bottom" textRotation="0" wrapText="0" indent="0" justifyLastLine="0" shrinkToFit="0" readingOrder="0"/>
      <border diagonalUp="0" diagonalDown="0" outline="0">
        <left style="thin">
          <color theme="1"/>
        </left>
        <right/>
        <top style="thin">
          <color theme="1"/>
        </top>
        <bottom/>
      </border>
    </dxf>
    <dxf>
      <font>
        <b val="0"/>
        <i val="0"/>
        <strike val="0"/>
        <condense val="0"/>
        <extend val="0"/>
        <outline val="0"/>
        <shadow val="0"/>
        <u val="none"/>
        <vertAlign val="baseline"/>
        <sz val="9"/>
        <color auto="1"/>
        <name val="Segoe UI Light"/>
        <scheme val="none"/>
      </font>
      <alignment horizontal="center" vertical="bottom" textRotation="0" wrapText="0" indent="0" justifyLastLine="0" shrinkToFit="0" readingOrder="0"/>
      <border diagonalUp="0" diagonalDown="0" outline="0">
        <left style="thin">
          <color theme="1"/>
        </left>
        <right/>
        <top style="thin">
          <color theme="1"/>
        </top>
        <bottom/>
      </border>
    </dxf>
    <dxf>
      <font>
        <b val="0"/>
        <i val="0"/>
        <strike val="0"/>
        <condense val="0"/>
        <extend val="0"/>
        <outline val="0"/>
        <shadow val="0"/>
        <u val="none"/>
        <vertAlign val="baseline"/>
        <sz val="9"/>
        <color auto="1"/>
        <name val="Segoe UI Light"/>
        <scheme val="none"/>
      </font>
      <alignment horizontal="left" vertical="bottom" textRotation="0" wrapText="0" indent="0" justifyLastLine="0" shrinkToFit="0" readingOrder="0"/>
      <border diagonalUp="0" diagonalDown="0" outline="0">
        <left/>
        <right/>
        <top style="thin">
          <color theme="1"/>
        </top>
        <bottom/>
      </border>
    </dxf>
    <dxf>
      <border outline="0">
        <top style="thin">
          <color theme="1"/>
        </top>
      </border>
    </dxf>
    <dxf>
      <border outline="0">
        <left style="thin">
          <color theme="1"/>
        </left>
        <top style="thin">
          <color theme="1"/>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dxf>
    <dxf>
      <border outline="0">
        <bottom style="thin">
          <color theme="1"/>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left/>
        <right/>
        <top style="thin">
          <color theme="1"/>
        </top>
        <bottom style="thin">
          <color theme="1"/>
        </bottom>
        <vertical/>
        <horizontal/>
      </border>
    </dxf>
    <dxf>
      <border outline="0">
        <top style="thin">
          <color theme="1"/>
        </top>
      </border>
    </dxf>
    <dxf>
      <border outline="0">
        <left style="thin">
          <color theme="1"/>
        </left>
        <top style="thin">
          <color theme="1"/>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dxf>
    <dxf>
      <border outline="0">
        <bottom style="thin">
          <color theme="1"/>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auto="1"/>
        <name val="Segoe UI Light"/>
        <scheme val="none"/>
      </font>
      <alignment horizontal="left" vertical="bottom" textRotation="0" wrapText="0"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0"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0"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0"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0"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0"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0"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0"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auto="1"/>
        <name val="Segoe UI Light"/>
        <scheme val="none"/>
      </font>
      <alignment horizontal="left" vertical="bottom" textRotation="0" wrapText="0"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top style="thin">
          <color theme="1"/>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0"/>
        <name val="Arial"/>
        <scheme val="minor"/>
      </font>
      <fill>
        <patternFill patternType="solid">
          <fgColor indexed="64"/>
          <bgColor theme="4"/>
        </patternFill>
      </fill>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style="thin">
          <color theme="1"/>
        </bottom>
      </border>
    </dxf>
    <dxf>
      <border outline="0">
        <top style="thin">
          <color theme="1"/>
        </top>
      </border>
    </dxf>
    <dxf>
      <border outline="0">
        <left style="thin">
          <color theme="1"/>
        </left>
        <top style="thin">
          <color theme="1"/>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dxf>
    <dxf>
      <border outline="0">
        <bottom style="thin">
          <color theme="1"/>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outline="0">
        <left/>
        <right/>
        <top style="thin">
          <color theme="1"/>
        </top>
        <bottom style="thin">
          <color theme="1"/>
        </bottom>
      </border>
    </dxf>
    <dxf>
      <font>
        <b val="0"/>
        <i val="0"/>
        <strike val="0"/>
        <condense val="0"/>
        <extend val="0"/>
        <outline val="0"/>
        <shadow val="0"/>
        <u val="none"/>
        <vertAlign val="baseline"/>
        <sz val="9"/>
        <color auto="1"/>
        <name val="Arial"/>
        <scheme val="major"/>
      </font>
      <alignment horizontal="left"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top style="thin">
          <color theme="1"/>
        </top>
        <bottom style="thin">
          <color theme="1"/>
        </bottom>
      </border>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outline="0">
        <left/>
        <right/>
        <top style="thin">
          <color theme="1"/>
        </top>
        <bottom style="thin">
          <color theme="1"/>
        </bottom>
      </border>
    </dxf>
    <dxf>
      <font>
        <b val="0"/>
        <i val="0"/>
        <strike val="0"/>
        <condense val="0"/>
        <extend val="0"/>
        <outline val="0"/>
        <shadow val="0"/>
        <u val="none"/>
        <vertAlign val="baseline"/>
        <sz val="9"/>
        <color auto="1"/>
        <name val="Arial"/>
        <scheme val="major"/>
      </font>
      <alignment horizontal="left"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top style="thin">
          <color theme="1"/>
        </top>
        <bottom style="thin">
          <color theme="1"/>
        </bottom>
      </border>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outline="0">
        <left/>
        <right/>
        <top style="thin">
          <color theme="1"/>
        </top>
        <bottom style="thin">
          <color theme="1"/>
        </bottom>
      </border>
    </dxf>
    <dxf>
      <font>
        <b val="0"/>
        <i val="0"/>
        <strike val="0"/>
        <condense val="0"/>
        <extend val="0"/>
        <outline val="0"/>
        <shadow val="0"/>
        <u val="none"/>
        <vertAlign val="baseline"/>
        <sz val="9"/>
        <color auto="1"/>
        <name val="Arial"/>
        <scheme val="major"/>
      </font>
      <alignment horizontal="left"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top style="thin">
          <color theme="1"/>
        </top>
        <bottom style="thin">
          <color theme="1"/>
        </bottom>
      </border>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outline="0">
        <left/>
        <right/>
        <top style="thin">
          <color theme="1"/>
        </top>
        <bottom style="thin">
          <color theme="1"/>
        </bottom>
      </border>
    </dxf>
    <dxf>
      <font>
        <b val="0"/>
        <i val="0"/>
        <strike val="0"/>
        <condense val="0"/>
        <extend val="0"/>
        <outline val="0"/>
        <shadow val="0"/>
        <u val="none"/>
        <vertAlign val="baseline"/>
        <sz val="9"/>
        <color auto="1"/>
        <name val="Arial"/>
        <scheme val="major"/>
      </font>
      <alignment horizontal="left"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top style="thin">
          <color theme="1"/>
        </top>
        <bottom style="thin">
          <color theme="1"/>
        </bottom>
      </border>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outline="0">
        <left/>
        <right/>
        <top style="thin">
          <color theme="1"/>
        </top>
        <bottom style="thin">
          <color theme="1"/>
        </bottom>
      </border>
    </dxf>
    <dxf>
      <font>
        <b val="0"/>
        <i val="0"/>
        <strike val="0"/>
        <condense val="0"/>
        <extend val="0"/>
        <outline val="0"/>
        <shadow val="0"/>
        <u val="none"/>
        <vertAlign val="baseline"/>
        <sz val="9"/>
        <color auto="1"/>
        <name val="Arial"/>
        <scheme val="major"/>
      </font>
      <alignment horizontal="left"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top style="thin">
          <color theme="1"/>
        </top>
        <bottom style="thin">
          <color theme="1"/>
        </bottom>
      </border>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outline="0">
        <left/>
        <right/>
        <top style="thin">
          <color theme="1"/>
        </top>
        <bottom style="thin">
          <color theme="1"/>
        </bottom>
      </border>
    </dxf>
    <dxf>
      <font>
        <b val="0"/>
        <i val="0"/>
        <strike val="0"/>
        <condense val="0"/>
        <extend val="0"/>
        <outline val="0"/>
        <shadow val="0"/>
        <u val="none"/>
        <vertAlign val="baseline"/>
        <sz val="9"/>
        <color auto="1"/>
        <name val="Arial"/>
        <scheme val="major"/>
      </font>
      <alignment horizontal="left"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top style="thin">
          <color theme="1"/>
        </top>
        <bottom style="thin">
          <color theme="1"/>
        </bottom>
      </border>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outline="0">
        <left/>
        <right/>
        <top style="thin">
          <color theme="1"/>
        </top>
        <bottom style="thin">
          <color theme="1"/>
        </bottom>
      </border>
    </dxf>
    <dxf>
      <font>
        <b val="0"/>
        <i val="0"/>
        <strike val="0"/>
        <condense val="0"/>
        <extend val="0"/>
        <outline val="0"/>
        <shadow val="0"/>
        <u val="none"/>
        <vertAlign val="baseline"/>
        <sz val="11"/>
        <color auto="1"/>
        <name val="Arial"/>
        <scheme val="major"/>
      </font>
      <alignment horizontal="left"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top style="thin">
          <color theme="1"/>
        </top>
        <bottom style="thin">
          <color theme="1"/>
        </bottom>
      </border>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outline="0">
        <left/>
        <right/>
        <top style="thin">
          <color theme="1"/>
        </top>
        <bottom style="thin">
          <color theme="1"/>
        </bottom>
      </border>
    </dxf>
    <dxf>
      <font>
        <b val="0"/>
        <i val="0"/>
        <strike val="0"/>
        <condense val="0"/>
        <extend val="0"/>
        <outline val="0"/>
        <shadow val="0"/>
        <u val="none"/>
        <vertAlign val="baseline"/>
        <sz val="11"/>
        <color auto="1"/>
        <name val="Arial"/>
        <scheme val="major"/>
      </font>
      <alignment horizontal="left"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top style="thin">
          <color theme="1"/>
        </top>
        <bottom style="thin">
          <color theme="1"/>
        </bottom>
      </border>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1" indent="0" justifyLastLine="0" shrinkToFit="0" readingOrder="0"/>
    </dxf>
    <dxf>
      <border outline="0">
        <bottom style="thin">
          <color theme="1"/>
        </bottom>
      </border>
    </dxf>
    <dxf>
      <alignment horizontal="general" vertical="bottom"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top style="thin">
          <color theme="1"/>
        </top>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dxf>
    <dxf>
      <border outline="0">
        <bottom style="thin">
          <color theme="1"/>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style="thin">
          <color theme="1"/>
        </right>
        <top/>
        <bottom/>
      </border>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top/>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top/>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top/>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top/>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top/>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top/>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top/>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border diagonalUp="0" diagonalDown="0" outline="0">
        <left/>
        <right/>
        <top style="thin">
          <color theme="1"/>
        </top>
        <bottom style="thin">
          <color theme="1"/>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top/>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border diagonalUp="0" diagonalDown="0" outline="0">
        <left style="thin">
          <color theme="1"/>
        </left>
        <right/>
        <top style="thin">
          <color theme="1"/>
        </top>
        <bottom style="thin">
          <color theme="1"/>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top/>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border diagonalUp="0" diagonalDown="0" outline="0">
        <left/>
        <right/>
        <top style="thin">
          <color theme="1"/>
        </top>
        <bottom style="thin">
          <color theme="1"/>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style="thin">
          <color theme="1"/>
        </bottom>
      </border>
    </dxf>
    <dxf>
      <border outline="0">
        <top style="thin">
          <color theme="1"/>
        </top>
      </border>
    </dxf>
    <dxf>
      <border outline="0">
        <left style="thin">
          <color theme="1"/>
        </left>
        <top style="thin">
          <color theme="1"/>
        </top>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dxf>
    <dxf>
      <border outline="0">
        <bottom style="thin">
          <color theme="1"/>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style="thin">
          <color theme="1"/>
        </right>
        <top/>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left"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0" indent="0" justifyLastLine="0" shrinkToFit="0" readingOrder="0"/>
      <border diagonalUp="0" diagonalDown="0" outline="0">
        <left/>
        <right/>
        <top style="thin">
          <color theme="1"/>
        </top>
        <bottom style="thin">
          <color theme="1"/>
        </bottom>
      </border>
    </dxf>
    <dxf>
      <font>
        <b val="0"/>
        <i val="0"/>
        <strike val="0"/>
        <condense val="0"/>
        <extend val="0"/>
        <outline val="0"/>
        <shadow val="0"/>
        <u val="none"/>
        <vertAlign val="baseline"/>
        <sz val="11"/>
        <color theme="1"/>
        <name val="Arial"/>
        <scheme val="major"/>
      </font>
      <fill>
        <patternFill patternType="solid">
          <fgColor theme="0" tint="-0.14999847407452621"/>
          <bgColor theme="0" tint="-0.14999847407452621"/>
        </patternFill>
      </fill>
      <alignment horizontal="left"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border outline="0">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left" vertical="bottom" textRotation="0" wrapText="1" indent="0" justifyLastLine="0" shrinkToFit="0" readingOrder="0"/>
      <border diagonalUp="0" diagonalDown="0" outline="0">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0" indent="0" justifyLastLine="0" shrinkToFit="0" readingOrder="0"/>
      <border diagonalUp="0" diagonalDown="0" outline="0">
        <left/>
        <right/>
        <top style="thin">
          <color theme="1"/>
        </top>
        <bottom style="thin">
          <color theme="1"/>
        </bottom>
      </border>
    </dxf>
    <dxf>
      <font>
        <b val="0"/>
        <i val="0"/>
        <strike val="0"/>
        <condense val="0"/>
        <extend val="0"/>
        <outline val="0"/>
        <shadow val="0"/>
        <u val="none"/>
        <vertAlign val="baseline"/>
        <sz val="11"/>
        <color theme="1"/>
        <name val="Arial"/>
        <scheme val="major"/>
      </font>
      <fill>
        <patternFill patternType="solid">
          <fgColor theme="0" tint="-0.14999847407452621"/>
          <bgColor theme="0" tint="-0.14999847407452621"/>
        </patternFill>
      </fill>
      <alignment horizontal="left"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border outline="0">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left" vertical="bottom" textRotation="0" wrapText="1" indent="0" justifyLastLine="0" shrinkToFit="0" readingOrder="0"/>
      <border diagonalUp="0" diagonalDown="0" outline="0">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0" indent="0" justifyLastLine="0" shrinkToFit="0" readingOrder="0"/>
      <border diagonalUp="0" diagonalDown="0" outline="0">
        <left/>
        <right/>
        <top style="thin">
          <color theme="1"/>
        </top>
        <bottom style="thin">
          <color theme="1"/>
        </bottom>
      </border>
    </dxf>
    <dxf>
      <font>
        <b val="0"/>
        <i val="0"/>
        <strike val="0"/>
        <condense val="0"/>
        <extend val="0"/>
        <outline val="0"/>
        <shadow val="0"/>
        <u val="none"/>
        <vertAlign val="baseline"/>
        <sz val="11"/>
        <color theme="1"/>
        <name val="Arial"/>
        <scheme val="major"/>
      </font>
      <fill>
        <patternFill patternType="solid">
          <fgColor theme="0" tint="-0.14999847407452621"/>
          <bgColor theme="0" tint="-0.14999847407452621"/>
        </patternFill>
      </fill>
      <alignment horizontal="left"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border outline="0">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left"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0" indent="0" justifyLastLine="0" shrinkToFit="0" readingOrder="0"/>
      <border diagonalUp="0" diagonalDown="0" outline="0">
        <left/>
        <right/>
        <top style="thin">
          <color theme="1"/>
        </top>
        <bottom style="thin">
          <color theme="1"/>
        </bottom>
      </border>
    </dxf>
    <dxf>
      <font>
        <b val="0"/>
        <i val="0"/>
        <strike val="0"/>
        <condense val="0"/>
        <extend val="0"/>
        <outline val="0"/>
        <shadow val="0"/>
        <u val="none"/>
        <vertAlign val="baseline"/>
        <sz val="11"/>
        <color theme="1"/>
        <name val="Arial"/>
        <scheme val="major"/>
      </font>
      <fill>
        <patternFill patternType="solid">
          <fgColor theme="0" tint="-0.14999847407452621"/>
          <bgColor theme="0" tint="-0.14999847407452621"/>
        </patternFill>
      </fill>
      <alignment horizontal="left"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border outline="0">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left"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0" indent="0" justifyLastLine="0" shrinkToFit="0" readingOrder="0"/>
      <border diagonalUp="0" diagonalDown="0" outline="0">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left"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border outline="0">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left" vertical="bottom"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0" indent="0" justifyLastLine="0" shrinkToFit="0" readingOrder="0"/>
      <border diagonalUp="0" diagonalDown="0" outline="0">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left"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border outline="0">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left" vertical="bottom" textRotation="0" wrapText="1" indent="0" justifyLastLine="0" shrinkToFit="0" readingOrder="0"/>
      <border diagonalUp="0" diagonalDown="0" outline="0">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center" vertical="bottom" textRotation="0" wrapText="0" indent="0" justifyLastLine="0" shrinkToFit="0" readingOrder="0"/>
      <border diagonalUp="0" diagonalDown="0" outline="0">
        <left/>
        <right/>
        <top style="thin">
          <color theme="1"/>
        </top>
        <bottom style="thin">
          <color theme="1"/>
        </bottom>
      </border>
    </dxf>
    <dxf>
      <font>
        <b val="0"/>
        <i val="0"/>
        <strike val="0"/>
        <condense val="0"/>
        <extend val="0"/>
        <outline val="0"/>
        <shadow val="0"/>
        <u val="none"/>
        <vertAlign val="baseline"/>
        <sz val="9"/>
        <color theme="1"/>
        <name val="Segoe UI Light"/>
        <scheme val="none"/>
      </font>
      <fill>
        <patternFill patternType="solid">
          <fgColor theme="0" tint="-0.14999847407452621"/>
          <bgColor theme="0" tint="-0.14999847407452621"/>
        </patternFill>
      </fill>
      <alignment horizontal="left" vertical="bottom" textRotation="0" wrapText="1" indent="0" justifyLastLine="0" shrinkToFit="0" readingOrder="0"/>
      <border diagonalUp="0" diagonalDown="0" outline="0">
        <left/>
        <right style="thin">
          <color theme="1"/>
        </right>
        <top style="thin">
          <color theme="1"/>
        </top>
        <bottom style="thin">
          <color theme="1"/>
        </bottom>
      </border>
    </dxf>
    <dxf>
      <border outline="0">
        <top style="thin">
          <color theme="1"/>
        </top>
      </border>
    </dxf>
    <dxf>
      <border outline="0">
        <left style="thin">
          <color theme="1"/>
        </left>
        <right style="thin">
          <color theme="1"/>
        </right>
        <top style="thin">
          <color theme="1"/>
        </top>
        <bottom style="thin">
          <color theme="1"/>
        </bottom>
      </border>
    </dxf>
    <dxf>
      <border outline="0">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border diagonalUp="0" diagonalDown="0" outline="0">
        <left/>
        <right/>
        <top style="thin">
          <color theme="1"/>
        </top>
        <bottom style="thin">
          <color theme="1"/>
        </bottom>
      </border>
    </dxf>
    <dxf>
      <font>
        <b val="0"/>
        <i val="0"/>
        <strike val="0"/>
        <condense val="0"/>
        <extend val="0"/>
        <outline val="0"/>
        <shadow val="0"/>
        <u val="none"/>
        <vertAlign val="baseline"/>
        <sz val="9"/>
        <color theme="1"/>
        <name val="Segoe UI Light"/>
        <scheme val="none"/>
      </font>
      <alignment horizontal="center" vertical="bottom" textRotation="0" wrapText="1"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top style="thin">
          <color theme="1"/>
        </top>
        <bottom style="thin">
          <color theme="1"/>
        </bottom>
      </border>
    </dxf>
    <dxf>
      <font>
        <strike val="0"/>
        <outline val="0"/>
        <shadow val="0"/>
        <u val="none"/>
        <vertAlign val="baseline"/>
        <color theme="1"/>
      </font>
    </dxf>
    <dxf>
      <border outline="0">
        <bottom style="thin">
          <color theme="1"/>
        </bottom>
      </border>
    </dxf>
    <dxf>
      <font>
        <b/>
        <i val="0"/>
        <strike val="0"/>
        <condense val="0"/>
        <extend val="0"/>
        <outline val="0"/>
        <shadow val="0"/>
        <u val="none"/>
        <vertAlign val="baseline"/>
        <sz val="10"/>
        <color theme="1"/>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style="thin">
          <color theme="1"/>
        </right>
        <top/>
        <bottom/>
      </border>
    </dxf>
    <dxf>
      <alignment horizontal="left" vertical="bottom" textRotation="0" wrapText="1" indent="0" justifyLastLine="0" shrinkToFit="0" readingOrder="0"/>
    </dxf>
    <dxf>
      <alignment horizontal="center" vertical="bottom" textRotation="0" wrapText="0" indent="0" justifyLastLine="0" shrinkToFit="0" readingOrder="0"/>
    </dxf>
    <dxf>
      <alignment horizontal="left" vertical="bottom" textRotation="0" wrapText="1" indent="0" justifyLastLine="0" shrinkToFit="0" readingOrder="0"/>
    </dxf>
    <dxf>
      <alignment horizontal="center" vertical="bottom" textRotation="0" wrapText="0" indent="0" justifyLastLine="0" shrinkToFit="0" readingOrder="0"/>
    </dxf>
    <dxf>
      <alignment horizontal="left" vertical="bottom" textRotation="0" wrapText="1" indent="0" justifyLastLine="0" shrinkToFit="0" readingOrder="0"/>
    </dxf>
    <dxf>
      <alignment horizontal="center" vertical="bottom" textRotation="0" wrapText="0" indent="0" justifyLastLine="0" shrinkToFit="0" readingOrder="0"/>
    </dxf>
    <dxf>
      <alignment horizontal="left" vertical="bottom" textRotation="0" wrapText="1" indent="0" justifyLastLine="0" shrinkToFit="0" readingOrder="0"/>
    </dxf>
    <dxf>
      <alignment horizontal="center" vertical="bottom" textRotation="0" wrapText="0" indent="0" justifyLastLine="0" shrinkToFit="0" readingOrder="0"/>
    </dxf>
    <dxf>
      <alignment horizontal="left" vertical="bottom" textRotation="0" wrapText="1" indent="0" justifyLastLine="0" shrinkToFit="0" readingOrder="0"/>
    </dxf>
    <dxf>
      <border outline="0">
        <top style="thin">
          <color theme="1"/>
        </top>
      </border>
    </dxf>
    <dxf>
      <border outline="0">
        <left style="thin">
          <color theme="1"/>
        </left>
        <top style="thin">
          <color theme="1"/>
        </top>
        <bottom style="thin">
          <color theme="1"/>
        </bottom>
      </border>
    </dxf>
    <dxf>
      <alignment horizontal="left" vertical="bottom" textRotation="0" wrapText="1" indent="0" justifyLastLine="0" shrinkToFit="0" readingOrder="0"/>
    </dxf>
    <dxf>
      <border outline="0">
        <bottom style="thin">
          <color theme="1"/>
        </bottom>
      </border>
    </dxf>
    <dxf>
      <alignment horizontal="left" vertical="bottom" textRotation="0" wrapText="1" indent="0" justifyLastLine="0" shrinkToFit="0" readingOrder="0"/>
    </dxf>
    <dxf>
      <alignment horizontal="left" vertical="bottom" textRotation="0" wrapText="1" indent="0" justifyLastLine="0" shrinkToFit="0" readingOrder="0"/>
    </dxf>
    <dxf>
      <alignment horizontal="center" vertical="bottom" textRotation="0" wrapText="0" indent="0" justifyLastLine="0" shrinkToFit="0" readingOrder="0"/>
    </dxf>
    <dxf>
      <alignment horizontal="left" vertical="bottom" textRotation="0" wrapText="1" indent="0" justifyLastLine="0" shrinkToFit="0" readingOrder="0"/>
    </dxf>
    <dxf>
      <alignment horizontal="center" vertical="bottom" textRotation="0" wrapText="0" indent="0" justifyLastLine="0" shrinkToFit="0" readingOrder="0"/>
    </dxf>
    <dxf>
      <alignment horizontal="left" vertical="bottom" textRotation="0" wrapText="1" indent="0" justifyLastLine="0" shrinkToFit="0" readingOrder="0"/>
    </dxf>
    <dxf>
      <alignment horizontal="center" vertical="bottom" textRotation="0" wrapText="0" indent="0" justifyLastLine="0" shrinkToFit="0" readingOrder="0"/>
    </dxf>
    <dxf>
      <alignment horizontal="left" vertical="bottom" textRotation="0" wrapText="1" indent="0" justifyLastLine="0" shrinkToFit="0" readingOrder="0"/>
    </dxf>
    <dxf>
      <alignment horizontal="center" vertical="bottom" textRotation="0" wrapText="0" indent="0" justifyLastLine="0" shrinkToFit="0" readingOrder="0"/>
    </dxf>
    <dxf>
      <alignment horizontal="left" vertical="bottom" textRotation="0" wrapText="1" indent="0" justifyLastLine="0" shrinkToFit="0" readingOrder="0"/>
    </dxf>
    <dxf>
      <border outline="0">
        <top style="thin">
          <color theme="1"/>
        </top>
      </border>
    </dxf>
    <dxf>
      <border outline="0">
        <left style="thin">
          <color theme="1"/>
        </left>
        <right style="thin">
          <color theme="1"/>
        </right>
        <top style="thin">
          <color theme="1"/>
        </top>
        <bottom style="thin">
          <color theme="1"/>
        </bottom>
      </border>
    </dxf>
    <dxf>
      <alignment horizontal="left" vertical="bottom" textRotation="0" wrapText="1" indent="0" justifyLastLine="0" shrinkToFit="0" readingOrder="0"/>
    </dxf>
    <dxf>
      <border outline="0">
        <bottom style="thin">
          <color theme="1"/>
        </bottom>
      </border>
    </dxf>
    <dxf>
      <alignment horizontal="left" vertical="bottom" textRotation="0" wrapText="1" indent="0" justifyLastLine="0" shrinkToFit="0" readingOrder="0"/>
    </dxf>
    <dxf>
      <alignment horizontal="left" vertical="bottom" textRotation="0" wrapText="1" indent="0" justifyLastLine="0" shrinkToFit="0" readingOrder="0"/>
    </dxf>
    <dxf>
      <alignment horizontal="center" vertical="bottom" textRotation="0" wrapText="0" indent="0" justifyLastLine="0" shrinkToFit="0" readingOrder="0"/>
    </dxf>
    <dxf>
      <alignment horizontal="left" vertical="bottom" textRotation="0" wrapText="1" indent="0" justifyLastLine="0" shrinkToFit="0" readingOrder="0"/>
    </dxf>
    <dxf>
      <alignment horizontal="center" vertical="bottom" textRotation="0" wrapText="0" indent="0" justifyLastLine="0" shrinkToFit="0" readingOrder="0"/>
    </dxf>
    <dxf>
      <alignment horizontal="left" vertical="bottom" textRotation="0" wrapText="1" indent="0" justifyLastLine="0" shrinkToFit="0" readingOrder="0"/>
    </dxf>
    <dxf>
      <alignment horizontal="center" vertical="bottom" textRotation="0" wrapText="0" indent="0" justifyLastLine="0" shrinkToFit="0" readingOrder="0"/>
    </dxf>
    <dxf>
      <alignment horizontal="left" vertical="bottom" textRotation="0" wrapText="1" indent="0" justifyLastLine="0" shrinkToFit="0" readingOrder="0"/>
    </dxf>
    <dxf>
      <alignment horizontal="center" vertical="bottom" textRotation="0" wrapText="0" indent="0" justifyLastLine="0" shrinkToFit="0" readingOrder="0"/>
    </dxf>
    <dxf>
      <alignment horizontal="left" vertical="bottom" textRotation="0" wrapText="1" indent="0" justifyLastLine="0" shrinkToFit="0" readingOrder="0"/>
    </dxf>
    <dxf>
      <border outline="0">
        <top style="thin">
          <color theme="1"/>
        </top>
      </border>
    </dxf>
    <dxf>
      <border outline="0">
        <left style="thin">
          <color theme="1"/>
        </left>
        <top style="thin">
          <color theme="1"/>
        </top>
        <bottom style="thin">
          <color theme="1"/>
        </bottom>
      </border>
    </dxf>
    <dxf>
      <alignment horizontal="left" vertical="bottom" textRotation="0" wrapText="1" indent="0" justifyLastLine="0" shrinkToFit="0" readingOrder="0"/>
    </dxf>
    <dxf>
      <border outline="0">
        <bottom style="thin">
          <color theme="1"/>
        </bottom>
      </border>
    </dxf>
    <dxf>
      <alignment horizontal="left" vertical="bottom"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left" vertical="bottom"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left" vertical="bottom"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left" vertical="bottom"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left" vertical="bottom"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left" vertical="bottom"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left" vertical="bottom" textRotation="0" wrapText="1" indent="0" justifyLastLine="0" shrinkToFit="0" readingOrder="0"/>
    </dxf>
    <dxf>
      <alignment horizontal="left" vertical="bottom"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left" vertical="bottom"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left" vertical="bottom"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left" vertical="bottom"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left" vertical="bottom"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left" vertical="bottom"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left" vertical="bottom" textRotation="0" wrapText="1" indent="0" justifyLastLine="0" shrinkToFit="0" readingOrder="0"/>
    </dxf>
    <dxf>
      <alignment horizontal="left" vertical="bottom"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left" vertical="bottom"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left" vertical="bottom"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left" vertical="bottom"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left" vertical="bottom"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left" vertical="bottom"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left" vertical="bottom" textRotation="0" wrapText="1" indent="0" justifyLastLine="0" shrinkToFit="0" readingOrder="0"/>
    </dxf>
    <dxf>
      <alignment horizontal="left" vertical="bottom"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left" vertical="bottom" textRotation="0" wrapText="1"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Segoe UI Light"/>
        <scheme val="none"/>
      </font>
      <alignment horizontal="center" vertical="bottom" textRotation="0" wrapText="0" indent="0" justifyLastLine="0" shrinkToFit="0" readingOrder="0"/>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val="0"/>
        <i val="0"/>
        <strike val="0"/>
        <condense val="0"/>
        <extend val="0"/>
        <outline val="0"/>
        <shadow val="0"/>
        <u val="none"/>
        <vertAlign val="baseline"/>
        <sz val="9"/>
        <color auto="1"/>
        <name val="Segoe UI Light"/>
        <scheme val="none"/>
      </font>
      <alignment horizontal="center" vertical="bottom" textRotation="0" wrapText="1" indent="0" justifyLastLine="0" shrinkToFit="0" readingOrder="0"/>
      <border diagonalUp="0" diagonalDown="0">
        <left style="thin">
          <color theme="1"/>
        </left>
        <right/>
        <top style="thin">
          <color theme="1"/>
        </top>
        <bottom style="thin">
          <color theme="1"/>
        </bottom>
        <vertical/>
        <horizontal/>
      </border>
    </dxf>
    <dxf>
      <font>
        <b val="0"/>
        <i val="0"/>
        <strike val="0"/>
        <condense val="0"/>
        <extend val="0"/>
        <outline val="0"/>
        <shadow val="0"/>
        <u val="none"/>
        <vertAlign val="baseline"/>
        <sz val="9"/>
        <color auto="1"/>
        <name val="Segoe UI Light"/>
        <scheme val="none"/>
      </font>
      <alignment horizontal="left" vertical="bottom" textRotation="0" wrapText="0" indent="0" justifyLastLine="0" shrinkToFit="0" readingOrder="0"/>
      <border diagonalUp="0" diagonalDown="0" outline="0">
        <left/>
        <right/>
        <top style="thin">
          <color theme="1"/>
        </top>
        <bottom style="thin">
          <color theme="1"/>
        </bottom>
      </border>
    </dxf>
    <dxf>
      <border outline="0">
        <top style="thin">
          <color theme="1"/>
        </top>
      </border>
    </dxf>
    <dxf>
      <border outline="0">
        <left style="thin">
          <color theme="1"/>
        </left>
        <top style="thin">
          <color theme="1"/>
        </top>
        <bottom style="thin">
          <color theme="1"/>
        </bottom>
      </border>
    </dxf>
    <dxf>
      <border outline="0">
        <bottom style="thin">
          <color theme="1"/>
        </bottom>
      </border>
    </dxf>
    <dxf>
      <font>
        <b/>
        <i/>
        <color auto="1"/>
      </font>
      <fill>
        <patternFill>
          <bgColor rgb="FFD8BABB"/>
        </patternFill>
      </fill>
    </dxf>
    <dxf>
      <font>
        <b/>
        <i val="0"/>
        <color auto="1"/>
      </font>
      <fill>
        <patternFill>
          <bgColor rgb="FFB8CDCB"/>
        </patternFill>
      </fill>
    </dxf>
    <dxf>
      <font>
        <color rgb="FFDBD2C2"/>
      </font>
      <fill>
        <patternFill>
          <bgColor rgb="FFDBD2C2"/>
        </patternFill>
      </fill>
      <border>
        <left/>
      </border>
    </dxf>
    <dxf>
      <font>
        <color theme="0"/>
      </font>
      <fill>
        <patternFill>
          <bgColor indexed="9"/>
        </patternFill>
      </fill>
    </dxf>
    <dxf>
      <font>
        <strike val="0"/>
        <color auto="1"/>
      </font>
      <fill>
        <patternFill>
          <bgColor rgb="FFB8CDCB"/>
        </patternFill>
      </fill>
      <border>
        <left style="thin">
          <color rgb="FFB8CDCB"/>
        </left>
        <right style="thin">
          <color rgb="FFB8CDCB"/>
        </right>
        <top style="thin">
          <color rgb="FFB8CDCB"/>
        </top>
        <bottom style="thin">
          <color rgb="FFB8CDCB"/>
        </bottom>
      </border>
    </dxf>
    <dxf>
      <font>
        <strike val="0"/>
        <color auto="1"/>
      </font>
      <fill>
        <patternFill>
          <bgColor rgb="FFD8BABB"/>
        </patternFill>
      </fill>
      <border>
        <left style="thin">
          <color rgb="FFD8BABB"/>
        </left>
        <right style="thin">
          <color rgb="FFD8BABB"/>
        </right>
        <top style="thin">
          <color rgb="FFD8BABB"/>
        </top>
        <bottom style="thin">
          <color rgb="FFD8BABB"/>
        </bottom>
      </border>
    </dxf>
    <dxf>
      <font>
        <color auto="1"/>
      </font>
      <fill>
        <patternFill>
          <bgColor rgb="FFD8BABB"/>
        </patternFill>
      </fill>
      <border>
        <left style="thin">
          <color indexed="64"/>
        </left>
        <right style="thin">
          <color indexed="64"/>
        </right>
        <top style="thin">
          <color indexed="64"/>
        </top>
        <bottom style="thin">
          <color indexed="64"/>
        </bottom>
      </border>
    </dxf>
    <dxf>
      <font>
        <color auto="1"/>
      </font>
      <fill>
        <patternFill>
          <bgColor rgb="FFB8CDCB"/>
        </patternFill>
      </fill>
      <border>
        <left style="thin">
          <color indexed="64"/>
        </left>
        <right style="thin">
          <color indexed="64"/>
        </right>
        <top style="thin">
          <color indexed="64"/>
        </top>
        <bottom style="thin">
          <color indexed="64"/>
        </bottom>
      </border>
    </dxf>
    <dxf>
      <font>
        <color auto="1"/>
      </font>
      <fill>
        <patternFill>
          <bgColor rgb="FFB8CDCB"/>
        </patternFill>
      </fill>
      <border>
        <left style="thin">
          <color indexed="64"/>
        </left>
        <right style="thin">
          <color indexed="64"/>
        </right>
        <top style="thin">
          <color indexed="64"/>
        </top>
        <bottom style="thin">
          <color indexed="64"/>
        </bottom>
      </border>
    </dxf>
    <dxf>
      <font>
        <color auto="1"/>
      </font>
      <fill>
        <patternFill>
          <bgColor rgb="FFD8BABB"/>
        </patternFill>
      </fill>
      <border>
        <left style="thin">
          <color indexed="64"/>
        </left>
        <right style="thin">
          <color indexed="64"/>
        </right>
        <top style="thin">
          <color indexed="64"/>
        </top>
        <bottom style="thin">
          <color indexed="64"/>
        </bottom>
      </border>
    </dxf>
    <dxf>
      <font>
        <color auto="1"/>
      </font>
      <fill>
        <patternFill>
          <bgColor rgb="FFD8BABB"/>
        </patternFill>
      </fill>
      <border>
        <left style="thin">
          <color indexed="64"/>
        </left>
        <right style="thin">
          <color indexed="64"/>
        </right>
        <top style="thin">
          <color indexed="64"/>
        </top>
        <bottom style="thin">
          <color indexed="64"/>
        </bottom>
      </border>
    </dxf>
    <dxf>
      <font>
        <color auto="1"/>
      </font>
      <fill>
        <patternFill>
          <bgColor rgb="FFB8CDCB"/>
        </patternFill>
      </fill>
      <border>
        <left style="thin">
          <color indexed="64"/>
        </left>
        <right style="thin">
          <color indexed="64"/>
        </right>
        <top style="thin">
          <color indexed="64"/>
        </top>
        <bottom style="thin">
          <color indexed="64"/>
        </bottom>
      </border>
    </dxf>
    <dxf>
      <font>
        <b/>
        <i/>
        <color rgb="FFFF0000"/>
      </font>
    </dxf>
    <dxf>
      <font>
        <b/>
        <i val="0"/>
        <color rgb="FF008000"/>
      </font>
      <fill>
        <patternFill>
          <bgColor theme="0"/>
        </patternFill>
      </fill>
    </dxf>
    <dxf>
      <font>
        <b val="0"/>
        <i/>
        <color auto="1"/>
      </font>
      <fill>
        <patternFill>
          <bgColor rgb="FFD8BABB"/>
        </patternFill>
      </fill>
    </dxf>
    <dxf>
      <font>
        <color auto="1"/>
      </font>
      <fill>
        <patternFill>
          <bgColor rgb="FFB8CDCB"/>
        </patternFill>
      </fill>
    </dxf>
    <dxf>
      <font>
        <color rgb="FFDBD2C2"/>
      </font>
      <fill>
        <patternFill>
          <bgColor rgb="FFDBD2C2"/>
        </patternFill>
      </fill>
      <border>
        <left/>
        <right/>
      </border>
    </dxf>
    <dxf>
      <font>
        <color auto="1"/>
      </font>
      <fill>
        <patternFill>
          <bgColor rgb="FFD8BABB"/>
        </patternFill>
      </fill>
    </dxf>
    <dxf>
      <font>
        <color auto="1"/>
      </font>
      <fill>
        <patternFill>
          <bgColor rgb="FFB8CDCB"/>
        </patternFill>
      </fill>
    </dxf>
    <dxf>
      <font>
        <color theme="1"/>
      </font>
      <fill>
        <patternFill>
          <bgColor theme="0"/>
        </patternFill>
      </fill>
      <border>
        <left/>
        <right/>
        <top/>
        <bottom/>
        <vertical/>
        <horizontal/>
      </border>
    </dxf>
    <dxf>
      <fill>
        <patternFill>
          <bgColor theme="0"/>
        </patternFill>
      </fill>
      <border>
        <left style="thin">
          <color indexed="64"/>
        </left>
        <right style="thin">
          <color indexed="64"/>
        </right>
        <top style="thin">
          <color indexed="64"/>
        </top>
        <bottom style="thin">
          <color indexed="64"/>
        </bottom>
      </border>
    </dxf>
    <dxf>
      <fill>
        <patternFill>
          <bgColor theme="0"/>
        </patternFill>
      </fill>
      <border>
        <left style="thin">
          <color indexed="64"/>
        </left>
        <right style="thin">
          <color indexed="64"/>
        </right>
        <top style="thin">
          <color indexed="64"/>
        </top>
        <bottom style="thin">
          <color indexed="64"/>
        </bottom>
      </border>
    </dxf>
    <dxf>
      <fill>
        <patternFill>
          <bgColor theme="0"/>
        </patternFill>
      </fill>
      <border>
        <left style="thin">
          <color indexed="64"/>
        </left>
        <right style="thin">
          <color indexed="64"/>
        </right>
        <top style="thin">
          <color indexed="64"/>
        </top>
        <bottom style="thin">
          <color indexed="64"/>
        </bottom>
      </border>
    </dxf>
    <dxf>
      <font>
        <color auto="1"/>
      </font>
      <fill>
        <patternFill>
          <bgColor rgb="FFB8CDCB"/>
        </patternFill>
      </fill>
    </dxf>
    <dxf>
      <font>
        <color rgb="FFDBD2C2"/>
      </font>
      <fill>
        <patternFill>
          <bgColor rgb="FFDBD2C2"/>
        </patternFill>
      </fill>
      <border>
        <right/>
      </border>
    </dxf>
    <dxf>
      <font>
        <b val="0"/>
        <i/>
        <color auto="1"/>
      </font>
      <fill>
        <patternFill>
          <bgColor rgb="FFD8BABB"/>
        </patternFill>
      </fill>
    </dxf>
    <dxf>
      <font>
        <color theme="1"/>
      </font>
      <fill>
        <patternFill>
          <bgColor theme="0"/>
        </patternFill>
      </fill>
    </dxf>
    <dxf>
      <font>
        <b val="0"/>
        <i val="0"/>
        <color theme="1"/>
      </font>
      <fill>
        <patternFill patternType="solid">
          <bgColor theme="0"/>
        </patternFill>
      </fill>
    </dxf>
    <dxf>
      <font>
        <b/>
        <i val="0"/>
        <color rgb="FFFF0000"/>
      </font>
      <fill>
        <patternFill>
          <bgColor rgb="FFDBD2C2"/>
        </patternFill>
      </fill>
    </dxf>
    <dxf>
      <font>
        <b val="0"/>
        <i val="0"/>
        <color rgb="FFFF0000"/>
      </font>
      <fill>
        <patternFill>
          <bgColor rgb="FF999FA7"/>
        </patternFill>
      </fill>
    </dxf>
    <dxf>
      <font>
        <color theme="0" tint="-0.24994659260841701"/>
      </font>
    </dxf>
    <dxf>
      <font>
        <b/>
        <i val="0"/>
        <color rgb="FFFF0000"/>
      </font>
      <fill>
        <patternFill>
          <bgColor rgb="FFDBD2C2"/>
        </patternFill>
      </fill>
    </dxf>
    <dxf>
      <font>
        <b val="0"/>
        <i val="0"/>
        <color theme="1"/>
      </font>
      <fill>
        <patternFill patternType="solid">
          <bgColor theme="0"/>
        </patternFill>
      </fill>
    </dxf>
    <dxf>
      <font>
        <b/>
        <i/>
        <color rgb="FFFF0000"/>
      </font>
      <fill>
        <patternFill patternType="solid">
          <bgColor rgb="FFDBD2C2"/>
        </patternFill>
      </fill>
    </dxf>
    <dxf>
      <fill>
        <patternFill patternType="solid">
          <bgColor theme="0"/>
        </patternFill>
      </fill>
    </dxf>
    <dxf>
      <fill>
        <patternFill>
          <bgColor theme="4" tint="0.749961851863155"/>
        </patternFill>
      </fill>
      <border>
        <left style="thin">
          <color auto="1"/>
        </left>
        <right style="thin">
          <color auto="1"/>
        </right>
        <top style="thin">
          <color auto="1"/>
        </top>
        <bottom style="thin">
          <color auto="1"/>
        </bottom>
        <vertical/>
        <horizontal/>
      </border>
    </dxf>
    <dxf>
      <font>
        <color theme="1"/>
      </font>
      <fill>
        <patternFill>
          <bgColor rgb="FFDBD2C2"/>
        </patternFill>
      </fill>
    </dxf>
    <dxf>
      <font>
        <condense val="0"/>
        <extend val="0"/>
        <color indexed="9"/>
      </font>
    </dxf>
    <dxf>
      <font>
        <b/>
        <i/>
        <color rgb="FFFF0000"/>
      </font>
      <fill>
        <patternFill>
          <bgColor rgb="FFDBD2C2"/>
        </patternFill>
      </fill>
    </dxf>
    <dxf>
      <font>
        <b/>
        <i/>
        <condense val="0"/>
        <extend val="0"/>
        <color indexed="10"/>
      </font>
      <fill>
        <patternFill>
          <bgColor rgb="FFC7CBCE"/>
        </patternFill>
      </fill>
    </dxf>
    <dxf>
      <font>
        <b val="0"/>
        <i/>
        <color auto="1"/>
      </font>
      <fill>
        <patternFill patternType="solid">
          <bgColor rgb="FFC7CBCE"/>
        </patternFill>
      </fill>
    </dxf>
    <dxf>
      <font>
        <b/>
        <i/>
        <strike val="0"/>
        <condense val="0"/>
        <extend val="0"/>
        <color indexed="10"/>
      </font>
      <fill>
        <patternFill>
          <bgColor rgb="FFC7CBCE"/>
        </patternFill>
      </fill>
    </dxf>
    <dxf>
      <font>
        <b/>
        <i/>
        <color rgb="FFFF0000"/>
      </font>
    </dxf>
    <dxf>
      <fill>
        <patternFill patternType="solid">
          <bgColor rgb="FFDBD2C2"/>
        </patternFill>
      </fill>
    </dxf>
    <dxf>
      <font>
        <color theme="0"/>
      </font>
      <fill>
        <patternFill>
          <bgColor theme="4"/>
        </patternFill>
      </fill>
      <border>
        <left/>
        <right/>
        <top/>
        <bottom style="thin">
          <color indexed="64"/>
        </bottom>
      </border>
    </dxf>
    <dxf>
      <fill>
        <patternFill>
          <bgColor theme="0"/>
        </patternFill>
      </fill>
      <border>
        <left/>
        <right/>
        <top/>
        <bottom style="thin">
          <color indexed="64"/>
        </bottom>
      </border>
    </dxf>
    <dxf>
      <font>
        <color theme="0" tint="-0.34998626667073579"/>
      </font>
    </dxf>
    <dxf>
      <fill>
        <patternFill>
          <bgColor rgb="FFD8BABB"/>
        </patternFill>
      </fill>
      <border>
        <left style="thin">
          <color auto="1"/>
        </left>
        <right style="thin">
          <color auto="1"/>
        </right>
        <top style="thin">
          <color auto="1"/>
        </top>
        <bottom style="thin">
          <color auto="1"/>
        </bottom>
        <vertical/>
        <horizontal/>
      </border>
    </dxf>
    <dxf>
      <font>
        <color theme="1"/>
      </font>
      <fill>
        <patternFill>
          <bgColor rgb="FFD8BABB"/>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0"/>
      </font>
      <fill>
        <patternFill>
          <bgColor rgb="FF008000"/>
        </patternFill>
      </fill>
      <border>
        <right style="thin">
          <color auto="1"/>
        </right>
        <top style="thin">
          <color auto="1"/>
        </top>
        <bottom style="thin">
          <color auto="1"/>
        </bottom>
      </border>
    </dxf>
    <dxf>
      <font>
        <color theme="0"/>
      </font>
      <fill>
        <patternFill>
          <bgColor rgb="FF9E2A2B"/>
        </patternFill>
      </fill>
      <border>
        <right style="thin">
          <color auto="1"/>
        </right>
        <top style="thin">
          <color auto="1"/>
        </top>
        <bottom style="thin">
          <color auto="1"/>
        </bottom>
      </border>
    </dxf>
    <dxf>
      <font>
        <b/>
        <i val="0"/>
        <color theme="0"/>
      </font>
      <fill>
        <patternFill>
          <bgColor rgb="FF9E2A2B"/>
        </patternFill>
      </fill>
    </dxf>
    <dxf>
      <font>
        <b/>
        <i val="0"/>
        <color theme="0"/>
      </font>
      <fill>
        <patternFill>
          <bgColor rgb="FF008000"/>
        </patternFill>
      </fill>
    </dxf>
    <dxf>
      <font>
        <color theme="0"/>
      </font>
      <fill>
        <patternFill>
          <bgColor rgb="FF9E2A2B"/>
        </patternFill>
      </fill>
    </dxf>
    <dxf>
      <font>
        <color rgb="FFC8CBCF"/>
      </font>
      <fill>
        <patternFill>
          <bgColor rgb="FFC8CBCF"/>
        </patternFill>
      </fill>
      <border>
        <right/>
        <top/>
        <bottom/>
        <vertical/>
        <horizontal/>
      </border>
    </dxf>
    <dxf>
      <font>
        <color rgb="FFC8CBCF"/>
      </font>
      <fill>
        <patternFill>
          <bgColor rgb="FFC8CBCF"/>
        </patternFill>
      </fill>
      <border>
        <right style="thin">
          <color rgb="FFC8CBCF"/>
        </right>
        <top style="thin">
          <color auto="1"/>
        </top>
        <bottom style="thin">
          <color rgb="FFC8CBCF"/>
        </bottom>
        <vertical/>
        <horizontal/>
      </border>
    </dxf>
    <dxf>
      <font>
        <color rgb="FFC8CBCF"/>
      </font>
      <fill>
        <patternFill>
          <bgColor rgb="FFC8CBCF"/>
        </patternFill>
      </fill>
      <border>
        <left style="thin">
          <color auto="1"/>
        </left>
        <right style="thin">
          <color rgb="FFC8CBCF"/>
        </right>
        <top style="thin">
          <color rgb="FFC8CBCF"/>
        </top>
        <bottom style="thin">
          <color rgb="FFC8CBCF"/>
        </bottom>
        <vertical/>
        <horizontal/>
      </border>
    </dxf>
    <dxf>
      <font>
        <color rgb="FFC8CBCF"/>
      </font>
      <fill>
        <patternFill>
          <bgColor rgb="FFC8CBCF"/>
        </patternFill>
      </fill>
      <border>
        <right style="thin">
          <color rgb="FFC8CBCF"/>
        </right>
        <top style="thin">
          <color rgb="FFC8CBCF"/>
        </top>
        <bottom style="thin">
          <color auto="1"/>
        </bottom>
        <vertical/>
        <horizontal/>
      </border>
    </dxf>
    <dxf>
      <font>
        <color rgb="FFC8CBCF"/>
      </font>
      <fill>
        <patternFill>
          <bgColor rgb="FFC8CBCF"/>
        </patternFill>
      </fill>
      <border>
        <left style="thin">
          <color rgb="FFC8CBCF"/>
        </left>
        <right style="thin">
          <color rgb="FFC8CBCF"/>
        </right>
        <top style="thin">
          <color rgb="FFC8CBCF"/>
        </top>
      </border>
    </dxf>
    <dxf>
      <font>
        <strike val="0"/>
        <outline val="0"/>
        <shadow val="0"/>
        <u val="none"/>
        <vertAlign val="baseline"/>
        <sz val="12"/>
        <color theme="1"/>
        <name val="Arial"/>
        <scheme val="none"/>
      </font>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auto="1"/>
        </left>
        <right style="thin">
          <color indexed="64"/>
        </right>
        <top style="thin">
          <color indexed="64"/>
        </top>
        <bottom style="thin">
          <color indexed="64"/>
        </bottom>
      </border>
    </dxf>
    <dxf>
      <font>
        <strike val="0"/>
        <outline val="0"/>
        <shadow val="0"/>
        <u val="none"/>
        <vertAlign val="baseline"/>
        <sz val="12"/>
        <color theme="1"/>
        <name val="Arial"/>
        <scheme val="none"/>
      </font>
      <numFmt numFmtId="0" formatCode="General"/>
      <fill>
        <patternFill>
          <fgColor indexed="64"/>
          <bgColor theme="0" tint="-0.14999847407452621"/>
        </patternFill>
      </fill>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2"/>
        <color theme="1"/>
        <name val="Arial"/>
        <scheme val="none"/>
      </font>
      <fill>
        <patternFill patternType="solid">
          <fgColor indexed="64"/>
          <bgColor rgb="FFFFFFCC"/>
        </patternFill>
      </fill>
      <alignment horizontal="center" vertical="bottom" textRotation="0" wrapText="0"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strike val="0"/>
        <outline val="0"/>
        <shadow val="0"/>
        <u val="none"/>
        <vertAlign val="baseline"/>
        <sz val="12"/>
        <color theme="1"/>
        <name val="Arial"/>
        <scheme val="none"/>
      </font>
      <fill>
        <patternFill patternType="solid">
          <fgColor indexed="64"/>
          <bgColor rgb="FFFFFFCC"/>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scheme val="none"/>
      </font>
      <fill>
        <patternFill patternType="solid">
          <fgColor indexed="64"/>
          <bgColor rgb="FFFFFFCC"/>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scheme val="none"/>
      </font>
      <fill>
        <patternFill patternType="solid">
          <fgColor indexed="64"/>
          <bgColor rgb="FFFFFFCC"/>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scheme val="none"/>
      </font>
      <fill>
        <patternFill patternType="solid">
          <fgColor indexed="64"/>
          <bgColor rgb="FFFFFFCC"/>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Arial"/>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2"/>
        <color theme="1"/>
        <name val="Arial"/>
        <scheme val="none"/>
      </font>
      <fill>
        <patternFill patternType="solid">
          <fgColor indexed="64"/>
          <bgColor rgb="FFFFFFCC"/>
        </patternFill>
      </fill>
      <alignment horizontal="center" vertical="bottom" textRotation="0" wrapText="0" indent="0" justifyLastLine="0" shrinkToFit="0" readingOrder="0"/>
    </dxf>
    <dxf>
      <font>
        <b/>
        <i val="0"/>
        <strike val="0"/>
        <condense val="0"/>
        <extend val="0"/>
        <outline val="0"/>
        <shadow val="0"/>
        <u val="none"/>
        <vertAlign val="baseline"/>
        <sz val="14"/>
        <color theme="0"/>
        <name val="Arial"/>
        <scheme val="none"/>
      </font>
      <fill>
        <patternFill patternType="solid">
          <fgColor indexed="64"/>
          <bgColor theme="4"/>
        </patternFill>
      </fill>
      <alignment horizontal="center" vertical="center" textRotation="0" wrapText="0" indent="0" justifyLastLine="0" shrinkToFit="0" readingOrder="0"/>
    </dxf>
    <dxf>
      <font>
        <b/>
        <i val="0"/>
        <color rgb="FFFF0000"/>
      </font>
    </dxf>
    <dxf>
      <font>
        <b val="0"/>
        <i val="0"/>
        <strike val="0"/>
        <condense val="0"/>
        <extend val="0"/>
        <outline val="0"/>
        <shadow val="0"/>
        <u val="none"/>
        <vertAlign val="baseline"/>
        <sz val="12"/>
        <color theme="1"/>
        <name val="Arial"/>
        <scheme val="none"/>
      </font>
      <fill>
        <patternFill patternType="solid">
          <fgColor indexed="64"/>
          <bgColor rgb="FFFFFFCC"/>
        </patternFill>
      </fill>
      <border diagonalUp="0" diagonalDown="0" outline="0">
        <left/>
        <right/>
        <top style="thin">
          <color theme="4"/>
        </top>
        <bottom/>
      </border>
    </dxf>
    <dxf>
      <font>
        <b val="0"/>
        <i val="0"/>
        <strike val="0"/>
        <condense val="0"/>
        <extend val="0"/>
        <outline val="0"/>
        <shadow val="0"/>
        <u val="none"/>
        <vertAlign val="baseline"/>
        <sz val="12"/>
        <color theme="1"/>
        <name val="Arial"/>
        <scheme val="none"/>
      </font>
      <numFmt numFmtId="0" formatCode="General"/>
      <fill>
        <patternFill patternType="solid">
          <fgColor indexed="64"/>
          <bgColor theme="0" tint="-0.14999847407452621"/>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1"/>
        <name val="Arial"/>
        <scheme val="none"/>
      </font>
      <fill>
        <patternFill patternType="solid">
          <fgColor indexed="64"/>
          <bgColor rgb="FFFFFFCC"/>
        </patternFill>
      </fill>
      <alignment horizontal="center" vertical="bottom" textRotation="0" wrapText="0" indent="0" justifyLastLine="0" shrinkToFit="0" readingOrder="0"/>
      <border diagonalUp="0" diagonalDown="0" outline="0">
        <left style="thin">
          <color auto="1"/>
        </left>
        <right style="thin">
          <color indexed="64"/>
        </right>
        <top style="thin">
          <color theme="4"/>
        </top>
        <bottom/>
      </border>
      <protection locked="0" hidden="0"/>
    </dxf>
    <dxf>
      <font>
        <b val="0"/>
        <i val="0"/>
        <strike val="0"/>
        <condense val="0"/>
        <extend val="0"/>
        <outline val="0"/>
        <shadow val="0"/>
        <u val="none"/>
        <vertAlign val="baseline"/>
        <sz val="12"/>
        <color theme="1"/>
        <name val="Arial"/>
        <scheme val="none"/>
      </font>
      <fill>
        <patternFill patternType="solid">
          <fgColor indexed="64"/>
          <bgColor rgb="FFFFFFCC"/>
        </patternFill>
      </fill>
      <alignment horizontal="center" vertical="bottom" textRotation="0" wrapText="0"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2"/>
        <color theme="1"/>
        <name val="Arial"/>
        <scheme val="none"/>
      </font>
      <fill>
        <patternFill patternType="solid">
          <fgColor indexed="64"/>
          <bgColor rgb="FFFFFFCC"/>
        </patternFill>
      </fill>
      <alignment horizontal="general" vertical="bottom" textRotation="0" wrapText="0"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2"/>
        <color theme="1"/>
        <name val="Arial"/>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numFmt numFmtId="0" formatCode="Genera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right style="thin">
          <color theme="4"/>
        </right>
        <top style="thin">
          <color theme="4"/>
        </top>
        <bottom style="thin">
          <color auto="1"/>
        </bottom>
      </border>
    </dxf>
    <dxf>
      <font>
        <strike val="0"/>
        <outline val="0"/>
        <shadow val="0"/>
        <u val="none"/>
        <vertAlign val="baseline"/>
        <sz val="12"/>
        <color theme="1"/>
        <name val="Arial"/>
        <scheme val="none"/>
      </font>
    </dxf>
    <dxf>
      <font>
        <strike val="0"/>
        <outline val="0"/>
        <shadow val="0"/>
        <u val="none"/>
        <vertAlign val="baseline"/>
        <sz val="14"/>
        <color theme="0"/>
        <name val="Arial"/>
        <scheme val="none"/>
      </font>
      <alignment vertical="top" textRotation="0" indent="0" justifyLastLine="0" shrinkToFit="0" readingOrder="0"/>
    </dxf>
    <dxf>
      <font>
        <b val="0"/>
        <i val="0"/>
        <strike val="0"/>
        <condense val="0"/>
        <extend val="0"/>
        <outline val="0"/>
        <shadow val="0"/>
        <u val="none"/>
        <vertAlign val="baseline"/>
        <sz val="12"/>
        <color theme="1"/>
        <name val="Arial"/>
        <scheme val="none"/>
      </font>
      <fill>
        <patternFill patternType="solid">
          <fgColor indexed="64"/>
          <bgColor rgb="FFFFFFCC"/>
        </patternFill>
      </fill>
      <alignment horizontal="center" vertical="bottom" textRotation="0" wrapText="0" indent="0" justifyLastLine="0" shrinkToFit="0" readingOrder="0"/>
      <border diagonalUp="0" diagonalDown="0" outline="0">
        <left style="thin">
          <color auto="1"/>
        </left>
        <right/>
        <top style="thin">
          <color theme="4"/>
        </top>
        <bottom/>
      </border>
      <protection locked="0" hidden="0"/>
    </dxf>
    <dxf>
      <font>
        <b val="0"/>
        <i val="0"/>
        <strike val="0"/>
        <condense val="0"/>
        <extend val="0"/>
        <outline val="0"/>
        <shadow val="0"/>
        <u val="none"/>
        <vertAlign val="baseline"/>
        <sz val="12"/>
        <color theme="1"/>
        <name val="Arial"/>
        <scheme val="none"/>
      </font>
      <numFmt numFmtId="0" formatCode="General"/>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2"/>
        <color theme="1"/>
        <name val="Arial"/>
        <scheme val="none"/>
      </font>
      <fill>
        <patternFill patternType="solid">
          <fgColor indexed="64"/>
          <bgColor rgb="FFFFFFCC"/>
        </patternFill>
      </fill>
      <alignment horizontal="center" vertical="bottom" textRotation="0" wrapText="0"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2"/>
        <color theme="1"/>
        <name val="Arial"/>
        <scheme val="none"/>
      </font>
      <fill>
        <patternFill patternType="solid">
          <fgColor indexed="64"/>
          <bgColor rgb="FFFFFFCC"/>
        </patternFill>
      </fill>
      <alignment horizontal="general" vertical="bottom" textRotation="0" wrapText="0"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2"/>
        <color theme="1"/>
        <name val="Arial"/>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numFmt numFmtId="0" formatCode="Genera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right style="thin">
          <color theme="4"/>
        </right>
        <top style="thin">
          <color theme="4"/>
        </top>
        <bottom style="thin">
          <color auto="1"/>
        </bottom>
      </border>
    </dxf>
    <dxf>
      <font>
        <strike val="0"/>
        <outline val="0"/>
        <shadow val="0"/>
        <u val="none"/>
        <vertAlign val="baseline"/>
        <sz val="12"/>
        <color theme="1"/>
        <name val="Arial"/>
        <scheme val="none"/>
      </font>
    </dxf>
    <dxf>
      <font>
        <strike val="0"/>
        <outline val="0"/>
        <shadow val="0"/>
        <u val="none"/>
        <vertAlign val="baseline"/>
        <sz val="14"/>
        <color theme="0"/>
        <name val="Arial"/>
        <scheme val="none"/>
      </font>
      <alignment vertical="top" textRotation="0" indent="0" justifyLastLine="0" shrinkToFit="0" readingOrder="0"/>
    </dxf>
    <dxf>
      <font>
        <b val="0"/>
        <i val="0"/>
        <strike val="0"/>
        <condense val="0"/>
        <extend val="0"/>
        <outline val="0"/>
        <shadow val="0"/>
        <u val="none"/>
        <vertAlign val="baseline"/>
        <sz val="12"/>
        <color theme="1"/>
        <name val="Arial"/>
        <scheme val="none"/>
      </font>
      <fill>
        <patternFill patternType="solid">
          <fgColor indexed="64"/>
          <bgColor rgb="FFFFFFCC"/>
        </patternFill>
      </fill>
      <border diagonalUp="0" diagonalDown="0" outline="0">
        <left/>
        <right/>
        <top style="thin">
          <color theme="4"/>
        </top>
        <bottom/>
      </border>
    </dxf>
    <dxf>
      <font>
        <b val="0"/>
        <i val="0"/>
        <strike val="0"/>
        <condense val="0"/>
        <extend val="0"/>
        <outline val="0"/>
        <shadow val="0"/>
        <u val="none"/>
        <vertAlign val="baseline"/>
        <sz val="12"/>
        <color theme="1"/>
        <name val="Arial"/>
        <scheme val="none"/>
      </font>
      <numFmt numFmtId="0" formatCode="General"/>
      <fill>
        <patternFill patternType="solid">
          <fgColor indexed="64"/>
          <bgColor theme="0" tint="-0.14999847407452621"/>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1"/>
        <name val="Arial"/>
        <scheme val="none"/>
      </font>
      <fill>
        <patternFill patternType="solid">
          <fgColor indexed="64"/>
          <bgColor rgb="FFFFFFCC"/>
        </patternFill>
      </fill>
      <alignment horizontal="center" vertical="bottom" textRotation="0" wrapText="0" indent="0" justifyLastLine="0" shrinkToFit="0" readingOrder="0"/>
      <border diagonalUp="0" diagonalDown="0" outline="0">
        <left style="thin">
          <color auto="1"/>
        </left>
        <right style="thin">
          <color indexed="64"/>
        </right>
        <top style="thin">
          <color theme="4"/>
        </top>
        <bottom/>
      </border>
      <protection locked="0" hidden="0"/>
    </dxf>
    <dxf>
      <font>
        <b val="0"/>
        <i val="0"/>
        <strike val="0"/>
        <condense val="0"/>
        <extend val="0"/>
        <outline val="0"/>
        <shadow val="0"/>
        <u val="none"/>
        <vertAlign val="baseline"/>
        <sz val="12"/>
        <color theme="1"/>
        <name val="Arial"/>
        <scheme val="none"/>
      </font>
      <fill>
        <patternFill patternType="solid">
          <fgColor indexed="64"/>
          <bgColor rgb="FFFFFFCC"/>
        </patternFill>
      </fill>
      <alignment horizontal="center" vertical="bottom" textRotation="0" wrapText="0" indent="0" justifyLastLine="0" shrinkToFit="0" readingOrder="0"/>
      <border diagonalUp="0" diagonalDown="0" outline="0">
        <left/>
        <right/>
        <top style="thin">
          <color indexed="64"/>
        </top>
        <bottom/>
      </border>
      <protection locked="0" hidden="0"/>
    </dxf>
    <dxf>
      <font>
        <b val="0"/>
        <i val="0"/>
        <strike val="0"/>
        <condense val="0"/>
        <extend val="0"/>
        <outline val="0"/>
        <shadow val="0"/>
        <u val="none"/>
        <vertAlign val="baseline"/>
        <sz val="12"/>
        <color theme="1"/>
        <name val="Arial"/>
        <scheme val="none"/>
      </font>
      <numFmt numFmtId="0" formatCode="General"/>
      <fill>
        <patternFill patternType="solid">
          <fgColor indexed="64"/>
          <bgColor theme="0" tint="-0.14999847407452621"/>
        </patternFill>
      </fill>
      <alignment horizontal="general" vertical="bottom" textRotation="0" wrapText="0"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2"/>
        <color theme="1"/>
        <name val="Arial"/>
        <scheme val="none"/>
      </font>
      <alignment horizontal="center" vertical="bottom"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2"/>
        <color theme="1"/>
        <name val="Arial"/>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right style="thin">
          <color theme="4"/>
        </right>
        <top style="thin">
          <color theme="4"/>
        </top>
        <bottom style="thin">
          <color auto="1"/>
        </bottom>
      </border>
    </dxf>
    <dxf>
      <font>
        <strike val="0"/>
        <outline val="0"/>
        <shadow val="0"/>
        <u val="none"/>
        <vertAlign val="baseline"/>
        <sz val="12"/>
        <color theme="1"/>
        <name val="Arial"/>
        <scheme val="none"/>
      </font>
    </dxf>
    <dxf>
      <font>
        <strike val="0"/>
        <outline val="0"/>
        <shadow val="0"/>
        <u val="none"/>
        <vertAlign val="baseline"/>
        <sz val="14"/>
        <color theme="0"/>
        <name val="Arial"/>
        <scheme val="none"/>
      </font>
      <alignment vertical="top" textRotation="0" wrapText="1" indent="0" justifyLastLine="0" shrinkToFit="0" readingOrder="0"/>
    </dxf>
    <dxf>
      <font>
        <b/>
        <i/>
        <color auto="1"/>
      </font>
      <fill>
        <patternFill>
          <bgColor rgb="FFD8BABB"/>
        </patternFill>
      </fill>
    </dxf>
    <dxf>
      <fill>
        <patternFill patternType="solid">
          <bgColor indexed="22"/>
        </patternFill>
      </fill>
    </dxf>
    <dxf>
      <font>
        <b/>
        <i val="0"/>
        <color auto="1"/>
      </font>
      <fill>
        <patternFill patternType="solid">
          <bgColor rgb="FFD8BABB"/>
        </patternFill>
      </fill>
    </dxf>
    <dxf>
      <font>
        <b/>
        <i val="0"/>
        <condense val="0"/>
        <extend val="0"/>
        <color indexed="10"/>
      </font>
    </dxf>
    <dxf>
      <fill>
        <patternFill patternType="solid">
          <bgColor indexed="22"/>
        </patternFill>
      </fill>
    </dxf>
    <dxf>
      <font>
        <b/>
        <i/>
        <color auto="1"/>
      </font>
      <fill>
        <patternFill>
          <bgColor rgb="FFD8BABB"/>
        </patternFill>
      </fill>
    </dxf>
    <dxf>
      <fill>
        <patternFill>
          <bgColor rgb="FFDBD2C2"/>
        </patternFill>
      </fill>
    </dxf>
    <dxf>
      <font>
        <b/>
        <i val="0"/>
        <color auto="1"/>
      </font>
      <fill>
        <patternFill>
          <bgColor rgb="FFD8BABB"/>
        </patternFill>
      </fill>
    </dxf>
    <dxf>
      <fill>
        <patternFill patternType="solid">
          <bgColor indexed="22"/>
        </patternFill>
      </fill>
    </dxf>
    <dxf>
      <font>
        <color auto="1"/>
      </font>
      <fill>
        <patternFill>
          <bgColor rgb="FFD8BABB"/>
        </patternFill>
      </fill>
    </dxf>
    <dxf>
      <font>
        <b/>
        <i val="0"/>
        <condense val="0"/>
        <extend val="0"/>
        <color indexed="10"/>
      </font>
      <fill>
        <patternFill>
          <bgColor rgb="FFDBD2C2"/>
        </patternFill>
      </fill>
    </dxf>
    <dxf>
      <font>
        <b val="0"/>
        <i/>
        <condense val="0"/>
        <extend val="0"/>
        <color indexed="10"/>
      </font>
      <fill>
        <patternFill>
          <bgColor rgb="FFDBD2C2"/>
        </patternFill>
      </fill>
    </dxf>
    <dxf>
      <font>
        <b val="0"/>
        <i/>
        <color rgb="FFFF0000"/>
      </font>
      <fill>
        <patternFill>
          <bgColor theme="0"/>
        </patternFill>
      </fill>
    </dxf>
    <dxf>
      <font>
        <b/>
        <i/>
        <color indexed="10"/>
      </font>
      <fill>
        <patternFill>
          <bgColor theme="0"/>
        </patternFill>
      </fill>
    </dxf>
    <dxf>
      <font>
        <b/>
        <i val="0"/>
        <condense val="0"/>
        <extend val="0"/>
        <color indexed="10"/>
      </font>
      <fill>
        <patternFill>
          <bgColor theme="0"/>
        </patternFill>
      </fill>
    </dxf>
    <dxf>
      <font>
        <b/>
        <i val="0"/>
        <color auto="1"/>
      </font>
      <fill>
        <patternFill>
          <bgColor rgb="FFD8BABB"/>
        </patternFill>
      </fill>
    </dxf>
    <dxf>
      <font>
        <b/>
        <i val="0"/>
        <color auto="1"/>
      </font>
      <fill>
        <patternFill>
          <bgColor rgb="FFD8BABB"/>
        </patternFill>
      </fill>
    </dxf>
    <dxf>
      <font>
        <b/>
        <i val="0"/>
        <condense val="0"/>
        <extend val="0"/>
      </font>
      <fill>
        <patternFill>
          <bgColor theme="0"/>
        </patternFill>
      </fill>
    </dxf>
    <dxf>
      <font>
        <b/>
        <i val="0"/>
        <color auto="1"/>
      </font>
      <fill>
        <patternFill>
          <bgColor rgb="FFDBD2C2"/>
        </patternFill>
      </fill>
    </dxf>
    <dxf>
      <font>
        <b/>
        <i val="0"/>
        <color auto="1"/>
      </font>
      <fill>
        <patternFill>
          <bgColor rgb="FFD8BABB"/>
        </patternFill>
      </fill>
    </dxf>
    <dxf>
      <font>
        <b/>
        <i val="0"/>
        <condense val="0"/>
        <extend val="0"/>
      </font>
    </dxf>
    <dxf>
      <font>
        <b/>
        <i val="0"/>
        <condense val="0"/>
        <extend val="0"/>
        <color indexed="10"/>
      </font>
      <fill>
        <patternFill>
          <bgColor theme="0"/>
        </patternFill>
      </fill>
    </dxf>
    <dxf>
      <font>
        <b/>
        <i val="0"/>
        <condense val="0"/>
        <extend val="0"/>
      </font>
    </dxf>
    <dxf>
      <font>
        <b/>
        <i val="0"/>
        <condense val="0"/>
        <extend val="0"/>
      </font>
      <fill>
        <patternFill>
          <bgColor theme="0"/>
        </patternFill>
      </fill>
    </dxf>
    <dxf>
      <font>
        <b/>
        <i val="0"/>
        <condense val="0"/>
        <extend val="0"/>
      </font>
    </dxf>
    <dxf>
      <font>
        <condense val="0"/>
        <extend val="0"/>
      </font>
      <fill>
        <patternFill>
          <bgColor rgb="FFB8CDCB"/>
        </patternFill>
      </fill>
      <border>
        <left style="thin">
          <color rgb="FFB8CDCB"/>
        </left>
        <right style="thin">
          <color rgb="FFB8CDCB"/>
        </right>
        <top style="thin">
          <color rgb="FFB8CDCB"/>
        </top>
        <bottom style="thin">
          <color rgb="FFB8CDCB"/>
        </bottom>
      </border>
    </dxf>
    <dxf>
      <font>
        <condense val="0"/>
        <extend val="0"/>
      </font>
      <fill>
        <patternFill>
          <bgColor rgb="FFD8BABB"/>
        </patternFill>
      </fill>
      <border>
        <left style="thin">
          <color rgb="FFD8BABB"/>
        </left>
        <right style="thin">
          <color rgb="FFD8BABB"/>
        </right>
        <top style="thin">
          <color rgb="FFD8BABB"/>
        </top>
        <bottom style="thin">
          <color rgb="FFD8BABB"/>
        </bottom>
      </border>
    </dxf>
    <dxf>
      <font>
        <b/>
        <i/>
        <color auto="1"/>
      </font>
      <fill>
        <patternFill>
          <bgColor rgb="FFD8BABB"/>
        </patternFill>
      </fill>
      <border>
        <left style="thin">
          <color theme="0"/>
        </left>
        <top style="thin">
          <color theme="0"/>
        </top>
      </border>
    </dxf>
    <dxf>
      <fill>
        <patternFill patternType="solid">
          <bgColor theme="0"/>
        </patternFill>
      </fill>
      <border>
        <left/>
      </border>
    </dxf>
    <dxf>
      <font>
        <color auto="1"/>
      </font>
      <fill>
        <patternFill>
          <bgColor rgb="FFB8CDCB"/>
        </patternFill>
      </fill>
      <border>
        <left style="thin">
          <color theme="0"/>
        </left>
        <top style="thin">
          <color theme="0"/>
        </top>
      </border>
    </dxf>
    <dxf>
      <font>
        <b val="0"/>
        <i val="0"/>
        <color auto="1"/>
      </font>
      <fill>
        <patternFill patternType="solid">
          <bgColor rgb="FFB8CDCB"/>
        </patternFill>
      </fill>
      <border>
        <left style="thin">
          <color indexed="9"/>
        </left>
        <top style="thin">
          <color indexed="9"/>
        </top>
        <bottom style="thin">
          <color indexed="9"/>
        </bottom>
      </border>
    </dxf>
    <dxf>
      <font>
        <color auto="1"/>
      </font>
      <fill>
        <patternFill patternType="solid">
          <fgColor rgb="FFFF0000"/>
          <bgColor rgb="FFD8BABB"/>
        </patternFill>
      </fill>
      <border>
        <left style="thin">
          <color indexed="9"/>
        </left>
        <top style="thin">
          <color indexed="9"/>
        </top>
        <bottom style="thin">
          <color indexed="9"/>
        </bottom>
      </border>
    </dxf>
    <dxf>
      <border>
        <bottom style="thin">
          <color rgb="FF969696"/>
        </bottom>
      </border>
    </dxf>
    <dxf>
      <font>
        <b/>
        <i val="0"/>
        <color auto="1"/>
      </font>
      <fill>
        <patternFill patternType="solid">
          <bgColor rgb="FFB8CDCB"/>
        </patternFill>
      </fill>
      <border>
        <left style="thin">
          <color theme="0"/>
        </left>
        <bottom style="thin">
          <color theme="0"/>
        </bottom>
      </border>
    </dxf>
    <dxf>
      <font>
        <b/>
        <i/>
        <color auto="1"/>
      </font>
      <fill>
        <patternFill patternType="solid">
          <fgColor rgb="FFFF0000"/>
          <bgColor rgb="FFD8BABB"/>
        </patternFill>
      </fill>
      <border>
        <left style="thin">
          <color theme="0"/>
        </left>
        <bottom style="thin">
          <color theme="0"/>
        </bottom>
      </border>
    </dxf>
    <dxf>
      <font>
        <color auto="1"/>
      </font>
      <fill>
        <patternFill>
          <bgColor rgb="FFB8CDCB"/>
        </patternFill>
      </fill>
      <border>
        <left style="thin">
          <color theme="0"/>
        </left>
        <right style="thin">
          <color theme="0"/>
        </right>
        <top style="thin">
          <color theme="0"/>
        </top>
      </border>
    </dxf>
    <dxf>
      <fill>
        <patternFill patternType="solid">
          <bgColor indexed="9"/>
        </patternFill>
      </fill>
      <border>
        <left/>
        <right/>
      </border>
    </dxf>
    <dxf>
      <font>
        <b val="0"/>
        <i/>
        <color auto="1"/>
      </font>
      <fill>
        <patternFill>
          <bgColor rgb="FFD8BABB"/>
        </patternFill>
      </fill>
      <border>
        <left style="thin">
          <color theme="0"/>
        </left>
        <right style="thin">
          <color theme="0"/>
        </right>
        <top style="thin">
          <color theme="0"/>
        </top>
      </border>
    </dxf>
    <dxf>
      <font>
        <color auto="1"/>
      </font>
      <fill>
        <patternFill patternType="solid">
          <fgColor rgb="FFFF0000"/>
          <bgColor rgb="FFD8BABB"/>
        </patternFill>
      </fill>
      <border>
        <left style="thin">
          <color indexed="9"/>
        </left>
        <right style="thin">
          <color indexed="9"/>
        </right>
        <top style="thin">
          <color indexed="9"/>
        </top>
        <bottom style="thin">
          <color indexed="9"/>
        </bottom>
      </border>
    </dxf>
    <dxf>
      <font>
        <b val="0"/>
        <i val="0"/>
        <color auto="1"/>
      </font>
      <fill>
        <patternFill patternType="solid">
          <bgColor rgb="FFB8CDCB"/>
        </patternFill>
      </fill>
      <border>
        <left style="thin">
          <color indexed="9"/>
        </left>
        <right style="thin">
          <color indexed="9"/>
        </right>
        <top style="thin">
          <color indexed="9"/>
        </top>
        <bottom style="thin">
          <color indexed="9"/>
        </bottom>
      </border>
    </dxf>
    <dxf>
      <font>
        <color auto="1"/>
      </font>
      <fill>
        <patternFill>
          <bgColor rgb="FFB8CDCB"/>
        </patternFill>
      </fill>
      <border>
        <left style="thin">
          <color theme="0"/>
        </left>
        <right style="thin">
          <color theme="0"/>
        </right>
        <top style="thin">
          <color theme="0"/>
        </top>
      </border>
    </dxf>
    <dxf>
      <fill>
        <patternFill patternType="solid">
          <bgColor indexed="9"/>
        </patternFill>
      </fill>
      <border>
        <left/>
        <right/>
      </border>
    </dxf>
    <dxf>
      <font>
        <b/>
        <i/>
        <color auto="1"/>
      </font>
      <fill>
        <patternFill>
          <bgColor rgb="FFD8BABB"/>
        </patternFill>
      </fill>
      <border>
        <left style="thin">
          <color theme="0"/>
        </left>
        <right style="thin">
          <color theme="0"/>
        </right>
        <top style="thin">
          <color theme="0"/>
        </top>
      </border>
    </dxf>
    <dxf>
      <font>
        <b/>
        <i val="0"/>
        <color auto="1"/>
      </font>
      <fill>
        <patternFill patternType="solid">
          <fgColor indexed="10"/>
          <bgColor rgb="FFD8BABB"/>
        </patternFill>
      </fill>
      <border>
        <left style="thin">
          <color indexed="9"/>
        </left>
        <right style="thin">
          <color indexed="9"/>
        </right>
        <top style="thin">
          <color indexed="9"/>
        </top>
        <bottom style="thin">
          <color indexed="9"/>
        </bottom>
      </border>
    </dxf>
    <dxf>
      <font>
        <b val="0"/>
        <i val="0"/>
        <color auto="1"/>
      </font>
      <fill>
        <patternFill patternType="solid">
          <bgColor rgb="FFB8CDCB"/>
        </patternFill>
      </fill>
      <border>
        <left style="thin">
          <color indexed="9"/>
        </left>
        <right style="thin">
          <color indexed="9"/>
        </right>
        <top style="thin">
          <color indexed="9"/>
        </top>
        <bottom style="thin">
          <color indexed="9"/>
        </bottom>
      </border>
    </dxf>
    <dxf>
      <font>
        <b/>
        <i val="0"/>
        <color auto="1"/>
      </font>
      <fill>
        <patternFill patternType="solid">
          <bgColor rgb="FFB8CDCB"/>
        </patternFill>
      </fill>
      <border>
        <right style="thin">
          <color theme="0"/>
        </right>
        <bottom style="thin">
          <color theme="0"/>
        </bottom>
      </border>
    </dxf>
    <dxf>
      <font>
        <b/>
        <i/>
        <color auto="1"/>
      </font>
      <fill>
        <patternFill patternType="solid">
          <fgColor rgb="FFFF0000"/>
          <bgColor rgb="FFD8BABB"/>
        </patternFill>
      </fill>
      <border>
        <right style="thin">
          <color theme="0"/>
        </right>
        <bottom style="thin">
          <color theme="0"/>
        </bottom>
      </border>
    </dxf>
    <dxf>
      <font>
        <color auto="1"/>
      </font>
      <fill>
        <patternFill>
          <bgColor rgb="FFB8CDCB"/>
        </patternFill>
      </fill>
      <border>
        <right style="thin">
          <color theme="0"/>
        </right>
        <top style="thin">
          <color theme="0"/>
        </top>
      </border>
    </dxf>
    <dxf>
      <font>
        <b val="0"/>
        <i/>
        <color auto="1"/>
      </font>
      <fill>
        <patternFill patternType="solid">
          <fgColor rgb="FFFF0000"/>
          <bgColor rgb="FFD8BABB"/>
        </patternFill>
      </fill>
      <border>
        <right style="thin">
          <color theme="0"/>
        </right>
        <top style="thin">
          <color theme="0"/>
        </top>
      </border>
    </dxf>
    <dxf>
      <fill>
        <patternFill patternType="solid">
          <bgColor theme="0"/>
        </patternFill>
      </fill>
      <border>
        <left/>
        <right/>
      </border>
    </dxf>
    <dxf>
      <font>
        <color auto="1"/>
      </font>
      <fill>
        <patternFill patternType="solid">
          <fgColor rgb="FFFF0000"/>
          <bgColor rgb="FFD8BABB"/>
        </patternFill>
      </fill>
      <border>
        <right style="thin">
          <color indexed="9"/>
        </right>
        <top style="thin">
          <color indexed="9"/>
        </top>
        <bottom style="thin">
          <color indexed="9"/>
        </bottom>
      </border>
    </dxf>
    <dxf>
      <font>
        <b val="0"/>
        <i val="0"/>
        <color auto="1"/>
      </font>
      <fill>
        <patternFill patternType="solid">
          <bgColor rgb="FFB8CDCB"/>
        </patternFill>
      </fill>
      <border>
        <left/>
        <right/>
        <top/>
        <bottom/>
      </border>
    </dxf>
    <dxf>
      <font>
        <b/>
        <i val="0"/>
        <color auto="1"/>
      </font>
      <fill>
        <patternFill>
          <bgColor rgb="FFE2AF83"/>
        </patternFill>
      </fill>
    </dxf>
    <dxf>
      <font>
        <condense val="0"/>
        <extend val="0"/>
        <color indexed="9"/>
      </font>
      <fill>
        <patternFill patternType="solid">
          <bgColor theme="0"/>
        </patternFill>
      </fill>
      <border>
        <left/>
        <right/>
      </border>
    </dxf>
    <dxf>
      <fill>
        <patternFill>
          <bgColor rgb="FFDBD2C2"/>
        </patternFill>
      </fill>
      <border>
        <left style="thin">
          <color rgb="FF969696"/>
        </left>
        <right style="thin">
          <color rgb="FF969696"/>
        </right>
        <top style="thin">
          <color rgb="FF969696"/>
        </top>
        <bottom style="thin">
          <color rgb="FF969696"/>
        </bottom>
        <vertical/>
        <horizontal/>
      </border>
    </dxf>
    <dxf>
      <fill>
        <patternFill patternType="solid">
          <bgColor indexed="9"/>
        </patternFill>
      </fill>
      <border>
        <left/>
        <right/>
      </border>
    </dxf>
    <dxf>
      <font>
        <condense val="0"/>
        <extend val="0"/>
      </font>
      <fill>
        <patternFill>
          <bgColor theme="0"/>
        </patternFill>
      </fill>
    </dxf>
    <dxf>
      <font>
        <b/>
        <i/>
        <color rgb="FF008000"/>
      </font>
    </dxf>
    <dxf>
      <font>
        <b/>
        <i/>
        <color rgb="FFFF0000"/>
      </font>
    </dxf>
    <dxf>
      <font>
        <b val="0"/>
        <i/>
        <color auto="1"/>
      </font>
      <fill>
        <patternFill>
          <bgColor rgb="FFD8BABB"/>
        </patternFill>
      </fill>
    </dxf>
    <dxf>
      <font>
        <b/>
        <i val="0"/>
        <color auto="1"/>
      </font>
      <fill>
        <patternFill>
          <bgColor rgb="FFE2AF83"/>
        </patternFill>
      </fill>
    </dxf>
    <dxf>
      <fill>
        <patternFill patternType="solid">
          <bgColor theme="0"/>
        </patternFill>
      </fill>
      <border>
        <right/>
      </border>
    </dxf>
    <dxf>
      <fill>
        <patternFill>
          <bgColor rgb="FF999FA7"/>
        </patternFill>
      </fill>
    </dxf>
    <dxf>
      <font>
        <color auto="1"/>
      </font>
      <fill>
        <patternFill patternType="solid">
          <bgColor rgb="FFD8BABB"/>
        </patternFill>
      </fill>
    </dxf>
    <dxf>
      <fill>
        <patternFill>
          <bgColor theme="0"/>
        </patternFill>
      </fill>
    </dxf>
    <dxf>
      <font>
        <b/>
        <i/>
        <color rgb="FF008000"/>
      </font>
    </dxf>
    <dxf>
      <font>
        <b/>
        <i/>
        <color rgb="FFFF0000"/>
      </font>
    </dxf>
    <dxf>
      <fill>
        <patternFill>
          <bgColor rgb="FF999FA7"/>
        </patternFill>
      </fill>
    </dxf>
    <dxf>
      <fill>
        <patternFill>
          <bgColor rgb="FF999FA7"/>
        </patternFill>
      </fill>
    </dxf>
    <dxf>
      <font>
        <b/>
        <i val="0"/>
        <condense val="0"/>
        <extend val="0"/>
      </font>
    </dxf>
    <dxf>
      <font>
        <b/>
        <i val="0"/>
        <condense val="0"/>
        <extend val="0"/>
      </font>
    </dxf>
    <dxf>
      <font>
        <b/>
        <i val="0"/>
        <condense val="0"/>
        <extend val="0"/>
        <color indexed="10"/>
      </font>
    </dxf>
    <dxf>
      <font>
        <b/>
        <i/>
        <condense val="0"/>
        <extend val="0"/>
        <color indexed="10"/>
      </font>
    </dxf>
    <dxf>
      <fill>
        <patternFill>
          <bgColor rgb="FFDBD2C2"/>
        </patternFill>
      </fill>
    </dxf>
    <dxf>
      <font>
        <condense val="0"/>
        <extend val="0"/>
        <color indexed="10"/>
      </font>
    </dxf>
    <dxf>
      <font>
        <b/>
        <i val="0"/>
        <condense val="0"/>
        <extend val="0"/>
        <color auto="1"/>
      </font>
    </dxf>
    <dxf>
      <font>
        <b/>
        <i/>
        <color auto="1"/>
      </font>
      <fill>
        <patternFill>
          <bgColor rgb="FFD8BABB"/>
        </patternFill>
      </fill>
    </dxf>
    <dxf>
      <font>
        <b/>
        <i/>
        <color rgb="FFFF0000"/>
      </font>
    </dxf>
    <dxf>
      <font>
        <b/>
        <i/>
        <color rgb="FF008000"/>
      </font>
    </dxf>
    <dxf>
      <font>
        <b/>
        <i val="0"/>
        <condense val="0"/>
        <extend val="0"/>
      </font>
    </dxf>
    <dxf>
      <fill>
        <patternFill>
          <bgColor rgb="FFDBD2C2"/>
        </patternFill>
      </fill>
    </dxf>
    <dxf>
      <fill>
        <patternFill>
          <bgColor rgb="FFDBD2C2"/>
        </patternFill>
      </fill>
    </dxf>
    <dxf>
      <fill>
        <patternFill>
          <bgColor rgb="FFDBD2C2"/>
        </patternFill>
      </fill>
    </dxf>
    <dxf>
      <font>
        <color auto="1"/>
      </font>
      <border>
        <bottom style="thin">
          <color indexed="55"/>
        </bottom>
      </border>
    </dxf>
    <dxf>
      <font>
        <color auto="1"/>
      </font>
      <border>
        <bottom style="thin">
          <color indexed="55"/>
        </bottom>
      </border>
    </dxf>
    <dxf>
      <font>
        <b/>
        <i val="0"/>
        <color auto="1"/>
      </font>
      <fill>
        <patternFill>
          <bgColor theme="0"/>
        </patternFill>
      </fill>
      <border>
        <bottom style="thin">
          <color rgb="FF969696"/>
        </bottom>
      </border>
    </dxf>
    <dxf>
      <font>
        <color auto="1"/>
      </font>
      <border>
        <bottom style="thin">
          <color indexed="55"/>
        </bottom>
      </border>
    </dxf>
    <dxf>
      <font>
        <condense val="0"/>
        <extend val="0"/>
      </font>
      <fill>
        <patternFill>
          <bgColor rgb="FFDBD2C2"/>
        </patternFill>
      </fill>
    </dxf>
    <dxf>
      <font>
        <color theme="0"/>
      </font>
      <fill>
        <patternFill>
          <bgColor theme="0"/>
        </patternFill>
      </fill>
    </dxf>
    <dxf>
      <fill>
        <patternFill patternType="solid">
          <bgColor rgb="FFD8BABB"/>
        </patternFill>
      </fill>
    </dxf>
    <dxf>
      <font>
        <b/>
        <i/>
        <color theme="0"/>
      </font>
    </dxf>
    <dxf>
      <border>
        <top/>
      </border>
    </dxf>
    <dxf>
      <font>
        <b/>
        <i/>
        <color rgb="FFFF0000"/>
      </font>
    </dxf>
    <dxf>
      <font>
        <b/>
        <i/>
        <color rgb="FF008000"/>
      </font>
    </dxf>
    <dxf>
      <font>
        <condense val="0"/>
        <extend val="0"/>
      </font>
      <fill>
        <patternFill>
          <bgColor theme="0"/>
        </patternFill>
      </fill>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1"/>
        <color theme="1"/>
        <name val="Arial"/>
        <scheme val="none"/>
      </font>
      <alignment horizontal="left" vertical="bottom" textRotation="0" wrapText="0" indent="0" justifyLastLine="0" shrinkToFit="0" readingOrder="0"/>
      <border diagonalUp="0" diagonalDown="0">
        <left/>
        <right/>
        <top style="thin">
          <color theme="4"/>
        </top>
        <bottom/>
        <vertical/>
        <horizontal/>
      </border>
    </dxf>
    <dxf>
      <border outline="0">
        <left style="thin">
          <color theme="4"/>
        </left>
        <top style="thin">
          <color theme="4"/>
        </top>
      </border>
    </dxf>
    <dxf>
      <font>
        <b/>
        <i val="0"/>
        <strike val="0"/>
        <condense val="0"/>
        <extend val="0"/>
        <outline val="0"/>
        <shadow val="0"/>
        <u val="none"/>
        <vertAlign val="baseline"/>
        <sz val="11"/>
        <color theme="0"/>
        <name val="Arial"/>
        <scheme val="minor"/>
      </font>
      <fill>
        <patternFill patternType="solid">
          <fgColor theme="4"/>
          <bgColor theme="4"/>
        </patternFill>
      </fill>
    </dxf>
    <dxf>
      <font>
        <b val="0"/>
        <i val="0"/>
        <strike val="0"/>
        <condense val="0"/>
        <extend val="0"/>
        <outline val="0"/>
        <shadow val="0"/>
        <u val="none"/>
        <vertAlign val="baseline"/>
        <sz val="9"/>
        <color theme="1"/>
        <name val="Arial"/>
        <scheme val="none"/>
      </font>
      <alignment horizontal="right"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left" vertical="bottom" textRotation="0" wrapText="0" indent="0" justifyLastLine="0" shrinkToFit="0" readingOrder="0"/>
    </dxf>
    <dxf>
      <font>
        <strike val="0"/>
        <outline val="0"/>
        <shadow val="0"/>
        <u val="none"/>
        <vertAlign val="baseline"/>
        <name val="Arial"/>
        <scheme val="none"/>
      </font>
    </dxf>
    <dxf>
      <font>
        <b/>
        <i val="0"/>
        <strike val="0"/>
        <condense val="0"/>
        <extend val="0"/>
        <outline val="0"/>
        <shadow val="0"/>
        <u val="none"/>
        <vertAlign val="baseline"/>
        <sz val="11"/>
        <color theme="0"/>
        <name val="Arial"/>
        <scheme val="none"/>
      </font>
      <fill>
        <patternFill patternType="solid">
          <fgColor indexed="64"/>
          <bgColor theme="4"/>
        </patternFill>
      </fill>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left" vertical="bottom" textRotation="0" wrapText="0" indent="0" justifyLastLine="0" shrinkToFit="0" readingOrder="0"/>
    </dxf>
    <dxf>
      <font>
        <strike val="0"/>
        <outline val="0"/>
        <shadow val="0"/>
        <u val="none"/>
        <vertAlign val="baseline"/>
        <name val="Arial"/>
        <scheme val="none"/>
      </font>
    </dxf>
    <dxf>
      <font>
        <b/>
        <i val="0"/>
        <strike val="0"/>
        <condense val="0"/>
        <extend val="0"/>
        <outline val="0"/>
        <shadow val="0"/>
        <u val="none"/>
        <vertAlign val="baseline"/>
        <sz val="11"/>
        <color theme="0"/>
        <name val="Arial"/>
        <scheme val="none"/>
      </font>
      <fill>
        <patternFill patternType="solid">
          <fgColor indexed="64"/>
          <bgColor theme="4"/>
        </patternFill>
      </fill>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left" vertical="bottom" textRotation="0" wrapText="0" indent="0" justifyLastLine="0" shrinkToFit="0" readingOrder="0"/>
    </dxf>
    <dxf>
      <font>
        <b val="0"/>
        <i val="0"/>
        <strike val="0"/>
        <condense val="0"/>
        <extend val="0"/>
        <outline val="0"/>
        <shadow val="0"/>
        <u val="none"/>
        <vertAlign val="baseline"/>
        <sz val="9"/>
        <color rgb="FF000000"/>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left" vertical="bottom" textRotation="0" wrapText="0" indent="0" justifyLastLine="0" shrinkToFit="0" readingOrder="0"/>
    </dxf>
    <dxf>
      <font>
        <strike val="0"/>
        <outline val="0"/>
        <shadow val="0"/>
        <u val="none"/>
        <vertAlign val="baseline"/>
        <name val="Arial"/>
        <scheme val="none"/>
      </font>
    </dxf>
    <dxf>
      <font>
        <b/>
        <i val="0"/>
        <strike val="0"/>
        <condense val="0"/>
        <extend val="0"/>
        <outline val="0"/>
        <shadow val="0"/>
        <u val="none"/>
        <vertAlign val="baseline"/>
        <sz val="11"/>
        <color theme="0"/>
        <name val="Arial"/>
        <scheme val="none"/>
      </font>
      <fill>
        <patternFill patternType="solid">
          <fgColor indexed="64"/>
          <bgColor theme="4"/>
        </patternFill>
      </fill>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left" vertical="bottom" textRotation="0" wrapText="0" indent="0" justifyLastLine="0" shrinkToFit="0" readingOrder="0"/>
    </dxf>
    <dxf>
      <font>
        <strike val="0"/>
        <outline val="0"/>
        <shadow val="0"/>
        <u val="none"/>
        <vertAlign val="baseline"/>
        <name val="Arial"/>
        <scheme val="none"/>
      </font>
    </dxf>
    <dxf>
      <font>
        <b/>
        <i val="0"/>
        <strike val="0"/>
        <condense val="0"/>
        <extend val="0"/>
        <outline val="0"/>
        <shadow val="0"/>
        <u val="none"/>
        <vertAlign val="baseline"/>
        <sz val="11"/>
        <color theme="0"/>
        <name val="Arial"/>
        <scheme val="none"/>
      </font>
      <fill>
        <patternFill patternType="solid">
          <fgColor indexed="64"/>
          <bgColor theme="4"/>
        </patternFill>
      </fill>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left" vertical="bottom" textRotation="0" wrapText="0" indent="0" justifyLastLine="0" shrinkToFit="0" readingOrder="0"/>
    </dxf>
    <dxf>
      <font>
        <strike val="0"/>
        <outline val="0"/>
        <shadow val="0"/>
        <u val="none"/>
        <vertAlign val="baseline"/>
        <name val="Arial"/>
        <scheme val="none"/>
      </font>
    </dxf>
    <dxf>
      <font>
        <b/>
        <i val="0"/>
        <strike val="0"/>
        <condense val="0"/>
        <extend val="0"/>
        <outline val="0"/>
        <shadow val="0"/>
        <u val="none"/>
        <vertAlign val="baseline"/>
        <sz val="11"/>
        <color theme="0"/>
        <name val="Arial"/>
        <scheme val="none"/>
      </font>
      <fill>
        <patternFill patternType="solid">
          <fgColor indexed="64"/>
          <bgColor theme="4"/>
        </patternFill>
      </fill>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left" vertical="bottom" textRotation="0" wrapText="0" indent="0" justifyLastLine="0" shrinkToFit="0" readingOrder="0"/>
    </dxf>
    <dxf>
      <font>
        <strike val="0"/>
        <outline val="0"/>
        <shadow val="0"/>
        <u val="none"/>
        <vertAlign val="baseline"/>
        <name val="Arial"/>
        <scheme val="none"/>
      </font>
    </dxf>
    <dxf>
      <font>
        <b/>
        <i val="0"/>
        <strike val="0"/>
        <condense val="0"/>
        <extend val="0"/>
        <outline val="0"/>
        <shadow val="0"/>
        <u val="none"/>
        <vertAlign val="baseline"/>
        <sz val="11"/>
        <color theme="0"/>
        <name val="Arial"/>
        <scheme val="none"/>
      </font>
      <fill>
        <patternFill patternType="solid">
          <fgColor indexed="64"/>
          <bgColor theme="4"/>
        </patternFill>
      </fill>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left" vertical="bottom" textRotation="0" wrapText="0" indent="0" justifyLastLine="0" shrinkToFit="0" readingOrder="0"/>
    </dxf>
    <dxf>
      <font>
        <b val="0"/>
        <i val="0"/>
        <strike val="0"/>
        <condense val="0"/>
        <extend val="0"/>
        <outline val="0"/>
        <shadow val="0"/>
        <u val="none"/>
        <vertAlign val="baseline"/>
        <sz val="9"/>
        <color rgb="FF000000"/>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strike val="0"/>
        <outline val="0"/>
        <shadow val="0"/>
        <u val="none"/>
        <vertAlign val="baseline"/>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left" vertical="bottom" textRotation="0" wrapText="0" indent="0" justifyLastLine="0" shrinkToFit="0" readingOrder="0"/>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b/>
        <i val="0"/>
        <strike val="0"/>
        <condense val="0"/>
        <extend val="0"/>
        <outline val="0"/>
        <shadow val="0"/>
        <u val="none"/>
        <vertAlign val="baseline"/>
        <sz val="11"/>
        <color theme="0"/>
        <name val="Arial"/>
        <scheme val="none"/>
      </font>
      <fill>
        <patternFill patternType="solid">
          <fgColor indexed="64"/>
          <bgColor theme="4"/>
        </patternFill>
      </fill>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strike val="0"/>
        <outline val="0"/>
        <shadow val="0"/>
        <u val="none"/>
        <vertAlign val="baseline"/>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left" vertical="bottom" textRotation="0" wrapText="0" indent="0" justifyLastLine="0" shrinkToFit="0" readingOrder="0"/>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b/>
        <i val="0"/>
        <strike val="0"/>
        <condense val="0"/>
        <extend val="0"/>
        <outline val="0"/>
        <shadow val="0"/>
        <u val="none"/>
        <vertAlign val="baseline"/>
        <sz val="11"/>
        <color theme="0"/>
        <name val="Arial"/>
        <scheme val="none"/>
      </font>
      <fill>
        <patternFill patternType="solid">
          <fgColor indexed="64"/>
          <bgColor theme="4"/>
        </patternFill>
      </fill>
      <alignment horizontal="general" vertical="bottom" textRotation="0" wrapText="1" indent="0" justifyLastLine="0" shrinkToFit="0" readingOrder="0"/>
    </dxf>
    <dxf>
      <font>
        <strike val="0"/>
        <outline val="0"/>
        <shadow val="0"/>
        <u val="none"/>
        <vertAlign val="baseline"/>
        <name val="Arial"/>
        <scheme val="none"/>
      </font>
      <numFmt numFmtId="0" formatCode="General"/>
      <alignment vertical="center"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name val="Arial"/>
        <scheme val="none"/>
      </font>
      <alignment vertical="center"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b/>
        <i val="0"/>
        <strike val="0"/>
        <condense val="0"/>
        <extend val="0"/>
        <outline val="0"/>
        <shadow val="0"/>
        <u val="none"/>
        <vertAlign val="baseline"/>
        <sz val="11"/>
        <color theme="0"/>
        <name val="Arial"/>
        <scheme val="none"/>
      </font>
      <fill>
        <patternFill patternType="solid">
          <fgColor indexed="64"/>
          <bgColor theme="4"/>
        </patternFill>
      </fill>
      <alignment horizontal="general" vertical="bottom" textRotation="0" wrapText="1" indent="0" justifyLastLine="0" shrinkToFit="0" readingOrder="0"/>
    </dxf>
    <dxf>
      <font>
        <strike val="0"/>
        <outline val="0"/>
        <shadow val="0"/>
        <u val="none"/>
        <vertAlign val="baseline"/>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strike val="0"/>
        <outline val="0"/>
        <shadow val="0"/>
        <u val="none"/>
        <vertAlign val="baseline"/>
        <name val="Arial"/>
        <scheme val="none"/>
      </font>
    </dxf>
    <dxf>
      <font>
        <b/>
        <i val="0"/>
        <strike val="0"/>
        <condense val="0"/>
        <extend val="0"/>
        <outline val="0"/>
        <shadow val="0"/>
        <u val="none"/>
        <vertAlign val="baseline"/>
        <sz val="11"/>
        <color theme="0"/>
        <name val="Arial"/>
        <scheme val="none"/>
      </font>
      <fill>
        <patternFill patternType="solid">
          <fgColor indexed="64"/>
          <bgColor theme="4"/>
        </patternFill>
      </fill>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b/>
        <i val="0"/>
        <strike val="0"/>
        <condense val="0"/>
        <extend val="0"/>
        <outline val="0"/>
        <shadow val="0"/>
        <u val="none"/>
        <vertAlign val="baseline"/>
        <sz val="11"/>
        <color theme="0"/>
        <name val="Arial"/>
        <scheme val="none"/>
      </font>
      <fill>
        <patternFill patternType="solid">
          <fgColor indexed="64"/>
          <bgColor theme="4"/>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strike val="0"/>
        <outline val="0"/>
        <shadow val="0"/>
        <u val="none"/>
        <vertAlign val="baseline"/>
        <name val="Arial"/>
        <scheme val="none"/>
      </font>
    </dxf>
    <dxf>
      <font>
        <b val="0"/>
        <i val="0"/>
        <strike val="0"/>
        <condense val="0"/>
        <extend val="0"/>
        <outline val="0"/>
        <shadow val="0"/>
        <u val="none"/>
        <vertAlign val="baseline"/>
        <sz val="11"/>
        <color theme="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b/>
        <i val="0"/>
        <strike val="0"/>
        <condense val="0"/>
        <extend val="0"/>
        <outline val="0"/>
        <shadow val="0"/>
        <u val="none"/>
        <vertAlign val="baseline"/>
        <sz val="11"/>
        <color theme="0"/>
        <name val="Arial"/>
        <scheme val="none"/>
      </font>
      <fill>
        <patternFill patternType="solid">
          <fgColor indexed="64"/>
          <bgColor theme="4"/>
        </patternFill>
      </fill>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rgb="FF000000"/>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rgb="FF000000"/>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Arial"/>
        <scheme val="none"/>
      </font>
      <alignment horizontal="center" vertical="bottom" textRotation="0" wrapText="0" indent="0" justifyLastLine="0" shrinkToFit="0" readingOrder="0"/>
    </dxf>
    <dxf>
      <font>
        <b/>
        <i val="0"/>
        <strike val="0"/>
        <condense val="0"/>
        <extend val="0"/>
        <outline val="0"/>
        <shadow val="0"/>
        <u val="none"/>
        <vertAlign val="baseline"/>
        <sz val="10"/>
        <color theme="0"/>
        <name val="Arial"/>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border diagonalUp="0" diagonalDown="0" outline="0">
        <left/>
        <right style="thin">
          <color theme="4"/>
        </right>
        <top style="thin">
          <color theme="4"/>
        </top>
        <bottom style="thin">
          <color theme="4"/>
        </bottom>
      </border>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b/>
        <i val="0"/>
        <strike val="0"/>
        <condense val="0"/>
        <extend val="0"/>
        <outline val="0"/>
        <shadow val="0"/>
        <u val="none"/>
        <vertAlign val="baseline"/>
        <sz val="11"/>
        <color theme="0"/>
        <name val="Arial"/>
        <scheme val="none"/>
      </font>
      <fill>
        <patternFill patternType="solid">
          <fgColor indexed="64"/>
          <bgColor theme="4"/>
        </patternFill>
      </fill>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0" tint="-0.14999847407452621"/>
          <bgColor theme="0" tint="-0.14999847407452621"/>
        </patternFill>
      </fill>
      <alignment horizontal="right"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0" tint="-0.14999847407452621"/>
          <bgColor theme="0" tint="-0.14999847407452621"/>
        </patternFill>
      </fill>
      <alignment horizontal="right"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0" tint="-0.14999847407452621"/>
          <bgColor theme="0" tint="-0.14999847407452621"/>
        </patternFill>
      </fill>
      <alignment horizontal="right"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0" tint="-0.14999847407452621"/>
          <bgColor theme="0" tint="-0.14999847407452621"/>
        </patternFill>
      </fill>
      <alignment horizontal="right"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0" tint="-0.14999847407452621"/>
          <bgColor theme="0" tint="-0.14999847407452621"/>
        </patternFill>
      </fill>
      <alignment horizontal="right"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0" tint="-0.14999847407452621"/>
          <bgColor theme="0" tint="-0.14999847407452621"/>
        </patternFill>
      </fill>
      <alignment horizontal="right"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Arial"/>
        <scheme val="none"/>
      </font>
      <fill>
        <patternFill patternType="solid">
          <fgColor rgb="FFD9D9D9"/>
          <bgColor rgb="FFD9D9D9"/>
        </patternFill>
      </fill>
      <alignment horizontal="right" vertical="bottom" textRotation="0" wrapText="0" indent="0" justifyLastLine="0" shrinkToFit="0" readingOrder="0"/>
    </dxf>
    <dxf>
      <font>
        <b/>
        <i val="0"/>
        <strike val="0"/>
        <condense val="0"/>
        <extend val="0"/>
        <outline val="0"/>
        <shadow val="0"/>
        <u val="none"/>
        <vertAlign val="baseline"/>
        <sz val="10"/>
        <color theme="0"/>
        <name val="Arial"/>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border outline="0">
        <top style="thin">
          <color rgb="FF000000"/>
        </top>
      </border>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b/>
        <i val="0"/>
        <strike val="0"/>
        <condense val="0"/>
        <extend val="0"/>
        <outline val="0"/>
        <shadow val="0"/>
        <u val="none"/>
        <vertAlign val="baseline"/>
        <sz val="10"/>
        <color theme="0"/>
        <name val="Arial"/>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border diagonalUp="0" diagonalDown="0" outline="0">
        <left/>
        <right/>
        <top style="thin">
          <color theme="1"/>
        </top>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Arial"/>
        <scheme val="none"/>
      </font>
      <alignment horizontal="center" vertical="bottom" textRotation="0" wrapText="0" indent="0" justifyLastLine="0" shrinkToFit="0" readingOrder="0"/>
    </dxf>
    <dxf>
      <font>
        <b/>
        <i val="0"/>
        <strike val="0"/>
        <condense val="0"/>
        <extend val="0"/>
        <outline val="0"/>
        <shadow val="0"/>
        <u val="none"/>
        <vertAlign val="baseline"/>
        <sz val="10"/>
        <color theme="0"/>
        <name val="Arial"/>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border diagonalUp="0" diagonalDown="0" outline="0">
        <left/>
        <right/>
        <top style="thin">
          <color theme="1"/>
        </top>
        <bottom style="thin">
          <color theme="1"/>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style="thin">
          <color theme="1"/>
        </right>
        <top/>
        <bottom/>
      </border>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border diagonalUp="0" diagonalDown="0" outline="0">
        <left/>
        <right/>
        <top style="thin">
          <color theme="1"/>
        </top>
        <bottom style="thin">
          <color theme="1"/>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style="thin">
          <color theme="1"/>
        </right>
        <top/>
        <bottom/>
      </border>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border diagonalUp="0" diagonalDown="0" outline="0">
        <left/>
        <right/>
        <top style="thin">
          <color theme="1"/>
        </top>
        <bottom style="thin">
          <color theme="1"/>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style="thin">
          <color theme="1"/>
        </right>
        <top/>
        <bottom/>
      </border>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border diagonalUp="0" diagonalDown="0" outline="0">
        <left/>
        <right/>
        <top style="thin">
          <color theme="1"/>
        </top>
        <bottom style="thin">
          <color theme="1"/>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style="thin">
          <color theme="1"/>
        </right>
        <top/>
        <bottom/>
      </border>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border diagonalUp="0" diagonalDown="0" outline="0">
        <left/>
        <right/>
        <top style="thin">
          <color theme="1"/>
        </top>
        <bottom style="thin">
          <color theme="1"/>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top/>
        <bottom style="thin">
          <color theme="1"/>
        </bottom>
      </border>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border diagonalUp="0" diagonalDown="0" outline="0">
        <left/>
        <right/>
        <top style="thin">
          <color theme="1"/>
        </top>
        <bottom style="thin">
          <color theme="1"/>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top/>
        <bottom style="thin">
          <color theme="1"/>
        </bottom>
      </border>
    </dxf>
    <dxf>
      <border outline="0">
        <top style="thin">
          <color rgb="FF000000"/>
        </top>
      </border>
    </dxf>
    <dxf>
      <border outline="0">
        <top style="thin">
          <color rgb="FF000000"/>
        </top>
        <bottom style="thin">
          <color rgb="FF000000"/>
        </bottom>
      </border>
    </dxf>
    <dxf>
      <font>
        <b val="0"/>
        <i val="0"/>
        <strike val="0"/>
        <condense val="0"/>
        <extend val="0"/>
        <outline val="0"/>
        <shadow val="0"/>
        <u val="none"/>
        <vertAlign val="baseline"/>
        <sz val="9"/>
        <color rgb="FF000000"/>
        <name val="Arial"/>
        <scheme val="none"/>
      </font>
      <alignment horizontal="center"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0"/>
        <color theme="0"/>
        <name val="Arial"/>
        <scheme val="none"/>
      </font>
      <fill>
        <patternFill patternType="solid">
          <fgColor indexed="64"/>
          <bgColor theme="1"/>
        </patternFill>
      </fill>
      <alignment horizontal="left" vertical="top" textRotation="0" wrapText="1" indent="0" justifyLastLine="0" shrinkToFit="0" readingOrder="0"/>
      <border diagonalUp="0" diagonalDown="0" outline="0">
        <left style="thin">
          <color theme="1"/>
        </left>
        <right style="thin">
          <color theme="1"/>
        </right>
        <top/>
        <bottom/>
      </border>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strike val="0"/>
        <outline val="0"/>
        <shadow val="0"/>
        <u val="none"/>
        <vertAlign val="baseline"/>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left" vertical="bottom" textRotation="0" wrapText="0" indent="0" justifyLastLine="0" shrinkToFit="0" readingOrder="0"/>
    </dxf>
    <dxf>
      <font>
        <b val="0"/>
        <i val="0"/>
        <strike val="0"/>
        <condense val="0"/>
        <extend val="0"/>
        <outline val="0"/>
        <shadow val="0"/>
        <u val="none"/>
        <vertAlign val="baseline"/>
        <sz val="9"/>
        <color rgb="FF000000"/>
        <name val="Arial"/>
        <scheme val="none"/>
      </font>
      <alignment horizontal="center" vertical="bottom" textRotation="0" wrapText="0" indent="0" justifyLastLine="0" shrinkToFit="0" readingOrder="0"/>
    </dxf>
    <dxf>
      <font>
        <strike val="0"/>
        <outline val="0"/>
        <shadow val="0"/>
        <u val="none"/>
        <vertAlign val="baseline"/>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style="thin">
          <color theme="1"/>
        </bottom>
      </border>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style="thin">
          <color theme="1"/>
        </bottom>
      </border>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style="thin">
          <color theme="1"/>
        </bottom>
      </border>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style="thin">
          <color theme="1"/>
        </bottom>
      </border>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style="thin">
          <color theme="1"/>
        </bottom>
      </border>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style="thin">
          <color theme="1"/>
        </bottom>
      </border>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style="thin">
          <color theme="1"/>
        </bottom>
      </border>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style="thin">
          <color theme="1"/>
        </bottom>
      </border>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style="thin">
          <color theme="1"/>
        </bottom>
      </border>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style="thin">
          <color theme="1"/>
        </bottom>
      </border>
    </dxf>
    <dxf>
      <font>
        <b val="0"/>
        <i val="0"/>
        <strike val="0"/>
        <condense val="0"/>
        <extend val="0"/>
        <outline val="0"/>
        <shadow val="0"/>
        <u val="none"/>
        <vertAlign val="baseline"/>
        <sz val="9"/>
        <color theme="1"/>
        <name val="Arial"/>
        <scheme val="none"/>
      </font>
      <alignment horizontal="left" vertical="bottom" textRotation="0" wrapText="0" indent="0" justifyLastLine="0" shrinkToFit="0" readingOrder="0"/>
      <border diagonalUp="0" diagonalDown="0" outline="0">
        <left/>
        <right/>
        <top style="thin">
          <color theme="1"/>
        </top>
        <bottom style="thin">
          <color theme="1"/>
        </bottom>
      </border>
    </dxf>
    <dxf>
      <font>
        <b/>
        <i val="0"/>
        <strike val="0"/>
        <condense val="0"/>
        <extend val="0"/>
        <outline val="0"/>
        <shadow val="0"/>
        <u val="none"/>
        <vertAlign val="baseline"/>
        <sz val="10"/>
        <color theme="0"/>
        <name val="Segoe UI Light"/>
        <scheme val="none"/>
      </font>
      <fill>
        <patternFill patternType="solid">
          <fgColor indexed="64"/>
          <bgColor theme="1"/>
        </patternFill>
      </fill>
      <alignment horizontal="left" vertical="top" textRotation="0" wrapText="1" indent="0" justifyLastLine="0" shrinkToFit="0" readingOrder="0"/>
      <border diagonalUp="0" diagonalDown="0" outline="0">
        <left/>
        <right/>
        <top/>
        <bottom style="thin">
          <color theme="1"/>
        </bottom>
      </border>
    </dxf>
    <dxf>
      <border outline="0">
        <top style="thin">
          <color rgb="FF000000"/>
        </top>
      </border>
    </dxf>
    <dxf>
      <border outline="0">
        <left style="thin">
          <color rgb="FF000000"/>
        </left>
        <top style="thin">
          <color rgb="FF000000"/>
        </top>
        <bottom style="thin">
          <color rgb="FF000000"/>
        </bottom>
      </border>
    </dxf>
    <dxf>
      <font>
        <b val="0"/>
        <i val="0"/>
        <strike val="0"/>
        <condense val="0"/>
        <extend val="0"/>
        <outline val="0"/>
        <shadow val="0"/>
        <u val="none"/>
        <vertAlign val="baseline"/>
        <sz val="9"/>
        <color rgb="FF000000"/>
        <name val="Arial"/>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0"/>
        <color theme="0"/>
        <name val="Arial"/>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left" vertical="bottom" textRotation="0" wrapText="0" indent="0" justifyLastLine="0" shrinkToFit="0" readingOrder="0"/>
    </dxf>
    <dxf>
      <font>
        <strike val="0"/>
        <outline val="0"/>
        <shadow val="0"/>
        <u val="none"/>
        <vertAlign val="baseline"/>
        <name val="Arial"/>
        <scheme val="none"/>
      </font>
    </dxf>
    <dxf>
      <font>
        <strike val="0"/>
        <outline val="0"/>
        <shadow val="0"/>
        <u val="none"/>
        <vertAlign val="baseline"/>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strike val="0"/>
        <outline val="0"/>
        <shadow val="0"/>
        <u val="none"/>
        <vertAlign val="baseline"/>
        <name val="Arial"/>
        <scheme val="none"/>
      </font>
    </dxf>
    <dxf>
      <font>
        <strike val="0"/>
        <outline val="0"/>
        <shadow val="0"/>
        <u val="none"/>
        <vertAlign val="baseline"/>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rgb="FF000000"/>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solid">
          <fgColor indexed="64"/>
          <bgColor theme="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rgb="FF000000"/>
        <name val="Arial"/>
        <scheme val="none"/>
      </font>
      <alignment horizontal="center" vertical="bottom" textRotation="0" wrapText="0" indent="0" justifyLastLine="0" shrinkToFit="0" readingOrder="0"/>
    </dxf>
    <dxf>
      <font>
        <strike val="0"/>
        <outline val="0"/>
        <shadow val="0"/>
        <u val="none"/>
        <vertAlign val="baseline"/>
        <name val="Arial"/>
        <scheme val="none"/>
      </font>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strike val="0"/>
        <outline val="0"/>
        <shadow val="0"/>
        <u val="none"/>
        <vertAlign val="baseline"/>
        <sz val="9"/>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rgb="FF000000"/>
        <name val="Arial"/>
        <scheme val="none"/>
      </font>
      <alignment horizontal="center" vertical="bottom" textRotation="0" wrapText="0" indent="0" justifyLastLine="0" shrinkToFit="0" readingOrder="0"/>
    </dxf>
    <dxf>
      <font>
        <strike val="0"/>
        <outline val="0"/>
        <shadow val="0"/>
        <u val="none"/>
        <vertAlign val="baseline"/>
        <name val="Arial"/>
        <scheme val="none"/>
      </font>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strike val="0"/>
        <outline val="0"/>
        <shadow val="0"/>
        <u val="none"/>
        <vertAlign val="baseline"/>
        <sz val="9"/>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rgb="FF000000"/>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solid">
          <fgColor indexed="64"/>
          <bgColor theme="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strike val="0"/>
        <outline val="0"/>
        <shadow val="0"/>
        <u val="none"/>
        <vertAlign val="baseline"/>
        <sz val="9"/>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rgb="FF000000"/>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solid">
          <fgColor indexed="64"/>
          <bgColor theme="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strike val="0"/>
        <outline val="0"/>
        <shadow val="0"/>
        <u val="none"/>
        <vertAlign val="baseline"/>
        <sz val="9"/>
        <name val="Arial"/>
        <scheme val="none"/>
      </font>
      <alignment horizontal="center" vertical="bottom" textRotation="0" wrapText="0" indent="0" justifyLastLine="0" shrinkToFit="0" readingOrder="0"/>
    </dxf>
    <dxf>
      <font>
        <strike val="0"/>
        <outline val="0"/>
        <shadow val="0"/>
        <u val="none"/>
        <vertAlign val="baseline"/>
        <name val="Arial"/>
        <scheme val="none"/>
      </font>
    </dxf>
    <dxf>
      <font>
        <strike val="0"/>
        <outline val="0"/>
        <shadow val="0"/>
        <u val="none"/>
        <vertAlign val="baseline"/>
        <name val="Arial"/>
        <scheme val="none"/>
      </font>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strike val="0"/>
        <outline val="0"/>
        <shadow val="0"/>
        <u val="none"/>
        <vertAlign val="baseline"/>
        <sz val="9"/>
        <name val="Arial"/>
        <scheme val="none"/>
      </font>
      <alignment horizontal="center" vertical="bottom" textRotation="0" wrapText="0" indent="0" justifyLastLine="0" shrinkToFit="0" readingOrder="0"/>
    </dxf>
    <dxf>
      <font>
        <strike val="0"/>
        <outline val="0"/>
        <shadow val="0"/>
        <u val="none"/>
        <vertAlign val="baseline"/>
        <name val="Arial"/>
        <scheme val="none"/>
      </font>
    </dxf>
    <dxf>
      <font>
        <strike val="0"/>
        <outline val="0"/>
        <shadow val="0"/>
        <u val="none"/>
        <vertAlign val="baseline"/>
        <name val="Arial"/>
        <scheme val="none"/>
      </font>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strike val="0"/>
        <outline val="0"/>
        <shadow val="0"/>
        <u val="none"/>
        <vertAlign val="baseline"/>
        <sz val="9"/>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strike val="0"/>
        <outline val="0"/>
        <shadow val="0"/>
        <u val="none"/>
        <vertAlign val="baseline"/>
        <name val="Arial"/>
        <scheme val="none"/>
      </font>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strike val="0"/>
        <outline val="0"/>
        <shadow val="0"/>
        <u val="none"/>
        <vertAlign val="baseline"/>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strike val="0"/>
        <outline val="0"/>
        <shadow val="0"/>
        <u val="none"/>
        <vertAlign val="baseline"/>
        <sz val="9"/>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strike val="0"/>
        <outline val="0"/>
        <shadow val="0"/>
        <u val="none"/>
        <vertAlign val="baseline"/>
        <name val="Arial"/>
        <scheme val="none"/>
      </font>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strike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strike val="0"/>
        <outline val="0"/>
        <shadow val="0"/>
        <u val="none"/>
        <vertAlign val="baseline"/>
        <sz val="9"/>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strike val="0"/>
        <outline val="0"/>
        <shadow val="0"/>
        <u val="none"/>
        <vertAlign val="baseline"/>
        <name val="Arial"/>
        <scheme val="none"/>
      </font>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strike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strike val="0"/>
        <outline val="0"/>
        <shadow val="0"/>
        <u val="none"/>
        <vertAlign val="baseline"/>
        <sz val="9"/>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9"/>
        <color rgb="FF000000"/>
        <name val="Arial"/>
        <scheme val="none"/>
      </font>
      <alignment horizontal="center" vertical="bottom" textRotation="0" wrapText="0" indent="0" justifyLastLine="0" shrinkToFit="0" readingOrder="0"/>
    </dxf>
    <dxf>
      <font>
        <strike val="0"/>
        <outline val="0"/>
        <shadow val="0"/>
        <u val="none"/>
        <vertAlign val="baseline"/>
        <name val="Arial"/>
        <scheme val="none"/>
      </font>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dxf>
    <dxf>
      <font>
        <strike val="0"/>
        <outline val="0"/>
        <shadow val="0"/>
        <u val="none"/>
        <vertAlign val="baseline"/>
        <sz val="9"/>
        <color theme="1"/>
        <name val="Arial"/>
        <scheme val="none"/>
      </font>
      <alignment horizontal="center" vertical="center" textRotation="0" wrapText="0" indent="0" justifyLastLine="0" shrinkToFit="0" readingOrder="0"/>
    </dxf>
    <dxf>
      <font>
        <strike val="0"/>
        <outline val="0"/>
        <shadow val="0"/>
        <u val="none"/>
        <vertAlign val="baseline"/>
        <sz val="9"/>
        <color theme="1"/>
        <name val="Arial"/>
        <scheme val="none"/>
      </font>
    </dxf>
    <dxf>
      <font>
        <b val="0"/>
        <i val="0"/>
        <strike val="0"/>
        <condense val="0"/>
        <extend val="0"/>
        <outline val="0"/>
        <shadow val="0"/>
        <u val="none"/>
        <vertAlign val="baseline"/>
        <sz val="9"/>
        <color rgb="FF000000"/>
        <name val="Arial"/>
        <scheme val="none"/>
      </font>
      <alignment horizontal="center" vertical="bottom" textRotation="0" wrapText="0" indent="0" justifyLastLine="0" shrinkToFit="0" readingOrder="0"/>
    </dxf>
    <dxf>
      <font>
        <strike val="0"/>
        <outline val="0"/>
        <shadow val="0"/>
        <u val="none"/>
        <vertAlign val="baseline"/>
        <name val="Arial"/>
        <scheme val="none"/>
      </font>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dxf>
    <dxf>
      <font>
        <strike val="0"/>
        <outline val="0"/>
        <shadow val="0"/>
        <u val="none"/>
        <vertAlign val="baseline"/>
        <sz val="9"/>
        <color theme="1"/>
        <name val="Arial"/>
        <scheme val="none"/>
      </font>
      <alignment horizontal="center" vertical="center" textRotation="0" wrapText="0" indent="0" justifyLastLine="0" shrinkToFit="0" readingOrder="0"/>
    </dxf>
    <dxf>
      <font>
        <strike val="0"/>
        <outline val="0"/>
        <shadow val="0"/>
        <u val="none"/>
        <vertAlign val="baseline"/>
        <sz val="9"/>
        <color theme="1"/>
        <name val="Arial"/>
        <scheme val="none"/>
      </font>
    </dxf>
    <dxf>
      <font>
        <b val="0"/>
        <i val="0"/>
        <strike val="0"/>
        <condense val="0"/>
        <extend val="0"/>
        <outline val="0"/>
        <shadow val="0"/>
        <u val="none"/>
        <vertAlign val="baseline"/>
        <sz val="9"/>
        <color rgb="FF000000"/>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solid">
          <fgColor indexed="64"/>
          <bgColor theme="1"/>
        </patternFill>
      </fill>
      <alignment horizontal="center" vertical="center" textRotation="0" wrapText="1" indent="0" justifyLastLine="0" shrinkToFit="0" readingOrder="0"/>
    </dxf>
    <dxf>
      <font>
        <strike val="0"/>
        <outline val="0"/>
        <shadow val="0"/>
        <u val="none"/>
        <vertAlign val="baseline"/>
        <name val="Arial"/>
        <scheme val="none"/>
      </font>
      <alignment horizontal="right" vertical="bottom" textRotation="0" wrapText="0" indent="0" justifyLastLine="0" shrinkToFit="0" readingOrder="0"/>
    </dxf>
    <dxf>
      <font>
        <strike val="0"/>
        <outline val="0"/>
        <shadow val="0"/>
        <u val="none"/>
        <vertAlign val="baseline"/>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alignment horizontal="right" vertical="bottom" textRotation="0" wrapText="0" indent="0" justifyLastLine="0" shrinkToFit="0" readingOrder="0"/>
    </dxf>
    <dxf>
      <font>
        <strike val="0"/>
        <outline val="0"/>
        <shadow val="0"/>
        <u val="none"/>
        <vertAlign val="baseline"/>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alignment horizontal="right" vertical="bottom" textRotation="0" wrapText="0" indent="0" justifyLastLine="0" shrinkToFit="0" readingOrder="0"/>
    </dxf>
    <dxf>
      <font>
        <strike val="0"/>
        <outline val="0"/>
        <shadow val="0"/>
        <u val="none"/>
        <vertAlign val="baseline"/>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dxf>
    <dxf>
      <font>
        <strike val="0"/>
        <outline val="0"/>
        <shadow val="0"/>
        <u val="none"/>
        <vertAlign val="baseline"/>
        <sz val="9"/>
        <color theme="1"/>
        <name val="Arial"/>
        <scheme val="none"/>
      </font>
      <alignment horizontal="center" vertical="center" textRotation="0" wrapText="0" indent="0" justifyLastLine="0" shrinkToFit="0" readingOrder="0"/>
    </dxf>
    <dxf>
      <font>
        <strike val="0"/>
        <outline val="0"/>
        <shadow val="0"/>
        <u val="none"/>
        <vertAlign val="baseline"/>
        <sz val="9"/>
        <color theme="1"/>
        <name val="Arial"/>
        <scheme val="none"/>
      </font>
    </dxf>
    <dxf>
      <font>
        <b val="0"/>
        <i val="0"/>
        <strike val="0"/>
        <condense val="0"/>
        <extend val="0"/>
        <outline val="0"/>
        <shadow val="0"/>
        <u val="none"/>
        <vertAlign val="baseline"/>
        <sz val="9"/>
        <color rgb="FF000000"/>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solid">
          <fgColor indexed="64"/>
          <bgColor theme="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strike val="0"/>
        <outline val="0"/>
        <shadow val="0"/>
        <u val="none"/>
        <vertAlign val="baseline"/>
        <name val="Arial"/>
        <scheme val="none"/>
      </font>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dxf>
    <dxf>
      <font>
        <strike val="0"/>
        <outline val="0"/>
        <shadow val="0"/>
        <u val="none"/>
        <vertAlign val="baseline"/>
        <sz val="9"/>
        <color theme="1"/>
        <name val="Arial"/>
        <scheme val="none"/>
      </font>
      <alignment horizontal="center" vertical="center" textRotation="0" wrapText="0" indent="0" justifyLastLine="0" shrinkToFit="0" readingOrder="0"/>
    </dxf>
    <dxf>
      <font>
        <strike val="0"/>
        <outline val="0"/>
        <shadow val="0"/>
        <u val="none"/>
        <vertAlign val="baseline"/>
        <sz val="9"/>
        <color theme="1"/>
        <name val="Arial"/>
        <scheme val="none"/>
      </font>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strike val="0"/>
        <outline val="0"/>
        <shadow val="0"/>
        <u val="none"/>
        <vertAlign val="baseline"/>
        <name val="Arial"/>
        <scheme val="none"/>
      </font>
    </dxf>
    <dxf>
      <font>
        <strike val="0"/>
        <outline val="0"/>
        <shadow val="0"/>
        <u val="none"/>
        <vertAlign val="baseline"/>
        <name val="Arial"/>
        <scheme val="none"/>
      </font>
      <alignment horizontal="right" vertical="bottom" textRotation="0" wrapText="0" indent="0" justifyLastLine="0" shrinkToFit="0" readingOrder="0"/>
    </dxf>
    <dxf>
      <font>
        <strike val="0"/>
        <outline val="0"/>
        <shadow val="0"/>
        <u val="none"/>
        <vertAlign val="baseline"/>
        <name val="Arial"/>
        <scheme val="none"/>
      </font>
      <alignment horizontal="right" vertical="bottom" textRotation="0" wrapText="0" indent="0" justifyLastLine="0" shrinkToFit="0" readingOrder="0"/>
    </dxf>
    <dxf>
      <font>
        <strike val="0"/>
        <outline val="0"/>
        <shadow val="0"/>
        <u val="none"/>
        <vertAlign val="baseline"/>
        <name val="Arial"/>
        <scheme val="none"/>
      </font>
      <alignment horizontal="right" vertical="bottom" textRotation="0" wrapText="0" indent="0" justifyLastLine="0" shrinkToFit="0" readingOrder="0"/>
    </dxf>
    <dxf>
      <font>
        <strike val="0"/>
        <outline val="0"/>
        <shadow val="0"/>
        <u val="none"/>
        <vertAlign val="baseline"/>
        <name val="Arial"/>
        <scheme val="none"/>
      </font>
      <alignment horizontal="right" vertical="bottom" textRotation="0" wrapText="0" indent="0" justifyLastLine="0" shrinkToFit="0" readingOrder="0"/>
    </dxf>
    <dxf>
      <font>
        <strike val="0"/>
        <outline val="0"/>
        <shadow val="0"/>
        <u val="none"/>
        <vertAlign val="baseline"/>
        <name val="Arial"/>
        <scheme val="none"/>
      </font>
      <alignment horizontal="right" vertical="bottom" textRotation="0" wrapText="0" indent="0" justifyLastLine="0" shrinkToFit="0" readingOrder="0"/>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b val="0"/>
        <i val="0"/>
        <strike val="0"/>
        <condense val="0"/>
        <extend val="0"/>
        <outline val="0"/>
        <shadow val="0"/>
        <u val="none"/>
        <vertAlign val="baseline"/>
        <sz val="11"/>
        <color theme="1"/>
        <name val="Arial"/>
        <family val="2"/>
        <scheme val="none"/>
      </font>
      <alignment horizontal="left" vertical="bottom" textRotation="0" wrapText="0" indent="0" justifyLastLine="0" shrinkToFit="0" readingOrder="0"/>
      <border diagonalUp="0" diagonalDown="0">
        <left/>
        <right/>
        <top style="thin">
          <color theme="4"/>
        </top>
        <bottom style="thin">
          <color auto="1"/>
        </bottom>
        <vertical/>
        <horizontal/>
      </border>
    </dxf>
    <dxf>
      <border outline="0">
        <left style="thin">
          <color theme="4"/>
        </left>
        <right style="thin">
          <color theme="4"/>
        </right>
        <top style="thin">
          <color theme="4"/>
        </top>
        <bottom style="thin">
          <color auto="1"/>
        </bottom>
      </border>
    </dxf>
    <dxf>
      <font>
        <b val="0"/>
        <i val="0"/>
        <strike val="0"/>
        <condense val="0"/>
        <extend val="0"/>
        <outline val="0"/>
        <shadow val="0"/>
        <u val="none"/>
        <vertAlign val="baseline"/>
        <sz val="11"/>
        <color theme="1"/>
        <name val="Arial"/>
        <family val="2"/>
        <scheme val="none"/>
      </font>
      <alignment horizontal="left" vertical="bottom"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theme="4"/>
          <bgColor theme="4"/>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left" vertical="bottom" textRotation="0" wrapText="0" indent="0" justifyLastLine="0" shrinkToFit="0" readingOrder="0"/>
      <border diagonalUp="0" diagonalDown="0">
        <left/>
        <right/>
        <top style="thin">
          <color theme="4"/>
        </top>
        <bottom style="thin">
          <color auto="1"/>
        </bottom>
        <vertical/>
        <horizontal/>
      </border>
    </dxf>
    <dxf>
      <border outline="0">
        <left style="thin">
          <color theme="4"/>
        </left>
        <right style="thin">
          <color theme="4"/>
        </right>
        <top style="thin">
          <color theme="4"/>
        </top>
        <bottom style="thin">
          <color auto="1"/>
        </bottom>
      </border>
    </dxf>
    <dxf>
      <font>
        <b val="0"/>
        <i val="0"/>
        <strike val="0"/>
        <condense val="0"/>
        <extend val="0"/>
        <outline val="0"/>
        <shadow val="0"/>
        <u val="none"/>
        <vertAlign val="baseline"/>
        <sz val="11"/>
        <color theme="1"/>
        <name val="Arial"/>
        <family val="2"/>
        <scheme val="none"/>
      </font>
      <alignment horizontal="left" vertical="bottom"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theme="4"/>
          <bgColor theme="4"/>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left" vertical="bottom" textRotation="0" wrapText="0" indent="0" justifyLastLine="0" shrinkToFit="0" readingOrder="0"/>
      <border diagonalUp="0" diagonalDown="0">
        <left/>
        <right/>
        <top style="thin">
          <color theme="4"/>
        </top>
        <bottom style="thin">
          <color auto="1"/>
        </bottom>
        <vertical/>
        <horizontal/>
      </border>
    </dxf>
    <dxf>
      <border outline="0">
        <left style="thin">
          <color theme="4"/>
        </left>
        <right style="thin">
          <color theme="4"/>
        </right>
        <top style="thin">
          <color theme="4"/>
        </top>
        <bottom style="thin">
          <color auto="1"/>
        </bottom>
      </border>
    </dxf>
    <dxf>
      <font>
        <b val="0"/>
        <i val="0"/>
        <strike val="0"/>
        <condense val="0"/>
        <extend val="0"/>
        <outline val="0"/>
        <shadow val="0"/>
        <u val="none"/>
        <vertAlign val="baseline"/>
        <sz val="11"/>
        <color theme="1"/>
        <name val="Arial"/>
        <family val="2"/>
        <scheme val="none"/>
      </font>
      <alignment horizontal="left" vertical="bottom"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theme="4"/>
          <bgColor theme="4"/>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left" vertical="bottom" textRotation="0" wrapText="0" indent="0" justifyLastLine="0" shrinkToFit="0" readingOrder="0"/>
      <border diagonalUp="0" diagonalDown="0">
        <left style="thin">
          <color theme="4"/>
        </left>
        <right style="thin">
          <color theme="4"/>
        </right>
        <top style="thin">
          <color theme="4"/>
        </top>
        <bottom style="thin">
          <color indexed="64"/>
        </bottom>
        <vertical/>
        <horizontal/>
      </border>
    </dxf>
    <dxf>
      <border outline="0">
        <top style="thin">
          <color theme="4"/>
        </top>
      </border>
    </dxf>
    <dxf>
      <border outline="0">
        <top style="thin">
          <color auto="1"/>
        </top>
        <bottom style="thin">
          <color indexed="64"/>
        </bottom>
      </border>
    </dxf>
    <dxf>
      <font>
        <b val="0"/>
        <i val="0"/>
        <strike val="0"/>
        <condense val="0"/>
        <extend val="0"/>
        <outline val="0"/>
        <shadow val="0"/>
        <u val="none"/>
        <vertAlign val="baseline"/>
        <sz val="11"/>
        <color theme="1"/>
        <name val="Arial"/>
        <family val="2"/>
        <scheme val="none"/>
      </font>
      <alignment horizontal="left" vertical="bottom" textRotation="0" wrapText="0" indent="0" justifyLastLine="0" shrinkToFit="0" readingOrder="0"/>
    </dxf>
    <dxf>
      <border outline="0">
        <bottom style="thin">
          <color auto="1"/>
        </bottom>
      </border>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alignment horizontal="left" vertical="bottom" textRotation="0" wrapText="0" indent="0" justifyLastLine="0" shrinkToFit="0" readingOrder="0"/>
      <border diagonalUp="0" diagonalDown="0">
        <left style="thin">
          <color theme="4"/>
        </left>
        <right style="thin">
          <color theme="4"/>
        </right>
        <top style="thin">
          <color theme="4"/>
        </top>
        <bottom/>
        <vertical/>
        <horizontal/>
      </border>
    </dxf>
    <dxf>
      <border outline="0">
        <top style="thin">
          <color theme="4"/>
        </top>
      </border>
    </dxf>
    <dxf>
      <border outline="0">
        <top style="thin">
          <color auto="1"/>
        </top>
        <bottom style="thin">
          <color indexed="64"/>
        </bottom>
      </border>
    </dxf>
    <dxf>
      <font>
        <b val="0"/>
        <i val="0"/>
        <strike val="0"/>
        <condense val="0"/>
        <extend val="0"/>
        <outline val="0"/>
        <shadow val="0"/>
        <u val="none"/>
        <vertAlign val="baseline"/>
        <sz val="11"/>
        <color theme="1"/>
        <name val="Arial"/>
        <family val="2"/>
        <scheme val="none"/>
      </font>
      <alignment horizontal="left" vertical="bottom" textRotation="0" wrapText="0" indent="0" justifyLastLine="0" shrinkToFit="0" readingOrder="0"/>
    </dxf>
    <dxf>
      <border outline="0">
        <bottom style="thin">
          <color auto="1"/>
        </bottom>
      </border>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scheme val="none"/>
      </font>
      <alignment horizontal="right" vertical="bottom"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11"/>
        <color theme="1"/>
        <name val="Arial"/>
        <scheme val="none"/>
      </font>
      <alignment horizontal="right"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theme="0"/>
        <name val="Arial"/>
        <scheme val="none"/>
      </font>
      <fill>
        <patternFill patternType="solid">
          <fgColor indexed="64"/>
          <bgColor theme="4"/>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Arial"/>
        <scheme val="none"/>
      </font>
      <alignment horizontal="right" vertical="bottom"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11"/>
        <color theme="1"/>
        <name val="Arial"/>
        <scheme val="none"/>
      </font>
      <alignment horizontal="right"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theme="0"/>
        <name val="Arial"/>
        <scheme val="none"/>
      </font>
      <fill>
        <patternFill patternType="solid">
          <fgColor indexed="64"/>
          <bgColor theme="4"/>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Arial"/>
        <scheme val="none"/>
      </font>
      <alignment horizontal="right" vertical="bottom"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11"/>
        <color theme="1"/>
        <name val="Arial"/>
        <scheme val="none"/>
      </font>
      <alignment horizontal="right"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theme="0"/>
        <name val="Arial"/>
        <scheme val="none"/>
      </font>
      <fill>
        <patternFill patternType="solid">
          <fgColor indexed="64"/>
          <bgColor theme="4"/>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Arial"/>
        <scheme val="none"/>
      </font>
      <alignment horizontal="right" vertical="bottom"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11"/>
        <color theme="1"/>
        <name val="Arial"/>
        <scheme val="none"/>
      </font>
      <alignment horizontal="right"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theme="0"/>
        <name val="Arial"/>
        <scheme val="none"/>
      </font>
      <fill>
        <patternFill patternType="solid">
          <fgColor indexed="64"/>
          <bgColor theme="4"/>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1"/>
        <color theme="1"/>
        <name val="Arial"/>
        <scheme val="none"/>
      </font>
    </dxf>
    <dxf>
      <border outline="0">
        <bottom style="thin">
          <color auto="1"/>
        </bottom>
      </border>
    </dxf>
    <dxf>
      <font>
        <b/>
        <i val="0"/>
        <strike val="0"/>
        <condense val="0"/>
        <extend val="0"/>
        <outline val="0"/>
        <shadow val="0"/>
        <u val="none"/>
        <vertAlign val="baseline"/>
        <sz val="11"/>
        <color theme="0"/>
        <name val="Arial"/>
        <scheme val="none"/>
      </font>
      <fill>
        <patternFill patternType="solid">
          <fgColor indexed="64"/>
          <bgColor theme="4"/>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1"/>
        <color theme="1"/>
        <name val="Arial"/>
        <scheme val="none"/>
      </font>
    </dxf>
    <dxf>
      <border outline="0">
        <top style="thin">
          <color theme="1"/>
        </top>
      </border>
    </dxf>
    <dxf>
      <font>
        <b val="0"/>
        <i val="0"/>
        <strike val="0"/>
        <condense val="0"/>
        <extend val="0"/>
        <outline val="0"/>
        <shadow val="0"/>
        <u val="none"/>
        <vertAlign val="baseline"/>
        <sz val="11"/>
        <color theme="1"/>
        <name val="Arial"/>
        <scheme val="none"/>
      </font>
    </dxf>
    <dxf>
      <font>
        <b/>
        <i val="0"/>
        <strike val="0"/>
        <condense val="0"/>
        <extend val="0"/>
        <outline val="0"/>
        <shadow val="0"/>
        <u val="none"/>
        <vertAlign val="baseline"/>
        <sz val="11"/>
        <color theme="0"/>
        <name val="Arial"/>
        <scheme val="none"/>
      </font>
      <fill>
        <patternFill patternType="solid">
          <fgColor indexed="64"/>
          <bgColor theme="4"/>
        </patternFill>
      </fill>
    </dxf>
    <dxf>
      <font>
        <b val="0"/>
        <i val="0"/>
        <strike val="0"/>
        <condense val="0"/>
        <extend val="0"/>
        <outline val="0"/>
        <shadow val="0"/>
        <u val="none"/>
        <vertAlign val="baseline"/>
        <sz val="11"/>
        <color theme="1"/>
        <name val="Arial"/>
        <scheme val="none"/>
      </font>
    </dxf>
    <dxf>
      <border outline="0">
        <top style="thin">
          <color theme="1"/>
        </top>
      </border>
    </dxf>
    <dxf>
      <font>
        <b val="0"/>
        <i val="0"/>
        <strike val="0"/>
        <condense val="0"/>
        <extend val="0"/>
        <outline val="0"/>
        <shadow val="0"/>
        <u val="none"/>
        <vertAlign val="baseline"/>
        <sz val="11"/>
        <color theme="1"/>
        <name val="Arial"/>
        <scheme val="none"/>
      </font>
    </dxf>
    <dxf>
      <font>
        <b/>
        <i val="0"/>
        <strike val="0"/>
        <condense val="0"/>
        <extend val="0"/>
        <outline val="0"/>
        <shadow val="0"/>
        <u val="none"/>
        <vertAlign val="baseline"/>
        <sz val="11"/>
        <color theme="0"/>
        <name val="Arial"/>
        <scheme val="none"/>
      </font>
      <fill>
        <patternFill patternType="solid">
          <fgColor indexed="64"/>
          <bgColor theme="4"/>
        </patternFill>
      </fill>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1"/>
        <color theme="1"/>
        <name val="Arial"/>
        <scheme val="none"/>
      </font>
    </dxf>
    <dxf>
      <border outline="0">
        <top style="thin">
          <color theme="1"/>
        </top>
        <bottom style="thin">
          <color indexed="64"/>
        </bottom>
      </border>
    </dxf>
    <dxf>
      <font>
        <b val="0"/>
        <i val="0"/>
        <strike val="0"/>
        <condense val="0"/>
        <extend val="0"/>
        <outline val="0"/>
        <shadow val="0"/>
        <u val="none"/>
        <vertAlign val="baseline"/>
        <sz val="11"/>
        <color theme="1"/>
        <name val="Arial"/>
        <scheme val="none"/>
      </font>
    </dxf>
    <dxf>
      <font>
        <b/>
        <i val="0"/>
        <strike val="0"/>
        <condense val="0"/>
        <extend val="0"/>
        <outline val="0"/>
        <shadow val="0"/>
        <u val="none"/>
        <vertAlign val="baseline"/>
        <sz val="11"/>
        <color theme="0"/>
        <name val="Arial"/>
        <scheme val="none"/>
      </font>
      <fill>
        <patternFill patternType="solid">
          <fgColor indexed="64"/>
          <bgColor theme="4"/>
        </patternFill>
      </fill>
    </dxf>
    <dxf>
      <font>
        <strike val="0"/>
        <outline val="0"/>
        <shadow val="0"/>
        <u val="none"/>
        <vertAlign val="baseline"/>
        <sz val="11"/>
        <name val="Arial"/>
        <scheme val="none"/>
      </font>
      <alignment horizontal="center" vertical="bottom" textRotation="0" wrapText="0" indent="0" justifyLastLine="0" shrinkToFit="0" readingOrder="0"/>
      <border diagonalUp="0" diagonalDown="0" outline="0">
        <left/>
        <right/>
        <top style="thin">
          <color auto="1"/>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font>
        <strike val="0"/>
        <outline val="0"/>
        <shadow val="0"/>
        <u val="none"/>
        <vertAlign val="baseline"/>
        <sz val="11"/>
        <name val="Arial"/>
        <scheme val="none"/>
      </font>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theme="0"/>
        <name val="Arial"/>
        <scheme val="none"/>
      </font>
      <fill>
        <patternFill patternType="solid">
          <fgColor indexed="64"/>
          <bgColor theme="4"/>
        </patternFill>
      </fill>
      <alignment horizontal="center" vertical="bottom" textRotation="0" wrapText="0" indent="0" justifyLastLine="0" shrinkToFit="0" readingOrder="0"/>
    </dxf>
    <dxf>
      <font>
        <strike val="0"/>
        <outline val="0"/>
        <shadow val="0"/>
        <u val="none"/>
        <vertAlign val="baseline"/>
        <sz val="11"/>
        <name val="Arial"/>
        <scheme val="none"/>
      </font>
      <alignment horizontal="center" vertical="bottom" textRotation="0" wrapText="0" indent="0" justifyLastLine="0" shrinkToFit="0" readingOrder="0"/>
      <border diagonalUp="0" diagonalDown="0" outline="0">
        <left/>
        <right/>
        <top style="thin">
          <color auto="1"/>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font>
        <strike val="0"/>
        <outline val="0"/>
        <shadow val="0"/>
        <u val="none"/>
        <vertAlign val="baseline"/>
        <sz val="11"/>
        <name val="Arial"/>
        <scheme val="none"/>
      </font>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theme="0"/>
        <name val="Arial"/>
        <scheme val="none"/>
      </font>
      <fill>
        <patternFill patternType="solid">
          <fgColor indexed="64"/>
          <bgColor theme="4"/>
        </patternFill>
      </fill>
      <alignment horizontal="center" vertical="bottom" textRotation="0" wrapText="0" indent="0" justifyLastLine="0" shrinkToFit="0" readingOrder="0"/>
    </dxf>
    <dxf>
      <font>
        <strike val="0"/>
        <outline val="0"/>
        <shadow val="0"/>
        <u val="none"/>
        <vertAlign val="baseline"/>
        <sz val="11"/>
        <name val="Arial"/>
        <scheme val="none"/>
      </font>
      <alignment horizontal="center" vertical="bottom" textRotation="0" wrapText="0" indent="0" justifyLastLine="0" shrinkToFit="0" readingOrder="0"/>
      <border diagonalUp="0" diagonalDown="0" outline="0">
        <left/>
        <right/>
        <top style="thin">
          <color auto="1"/>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font>
        <strike val="0"/>
        <outline val="0"/>
        <shadow val="0"/>
        <u val="none"/>
        <vertAlign val="baseline"/>
        <sz val="11"/>
        <name val="Arial"/>
        <scheme val="none"/>
      </font>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theme="0"/>
        <name val="Arial"/>
        <scheme val="none"/>
      </font>
      <fill>
        <patternFill patternType="solid">
          <fgColor indexed="64"/>
          <bgColor theme="4"/>
        </patternFill>
      </fill>
      <alignment horizontal="center" vertical="bottom" textRotation="0" wrapText="0" indent="0" justifyLastLine="0" shrinkToFit="0" readingOrder="0"/>
    </dxf>
    <dxf>
      <font>
        <strike val="0"/>
        <outline val="0"/>
        <shadow val="0"/>
        <u val="none"/>
        <vertAlign val="baseline"/>
        <sz val="11"/>
        <name val="Arial"/>
        <scheme val="none"/>
      </font>
      <alignment horizontal="center" vertical="bottom" textRotation="0" wrapText="0" indent="0" justifyLastLine="0" shrinkToFit="0" readingOrder="0"/>
      <border diagonalUp="0" diagonalDown="0" outline="0">
        <left/>
        <right/>
        <top style="thin">
          <color auto="1"/>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font>
        <strike val="0"/>
        <outline val="0"/>
        <shadow val="0"/>
        <u val="none"/>
        <vertAlign val="baseline"/>
        <sz val="11"/>
        <name val="Arial"/>
        <scheme val="none"/>
      </font>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theme="0"/>
        <name val="Arial"/>
        <scheme val="none"/>
      </font>
      <fill>
        <patternFill patternType="solid">
          <fgColor indexed="64"/>
          <bgColor theme="4"/>
        </patternFill>
      </fill>
      <alignment horizontal="center" vertical="bottom" textRotation="0" wrapText="0" indent="0" justifyLastLine="0" shrinkToFit="0" readingOrder="0"/>
    </dxf>
    <dxf>
      <font>
        <strike val="0"/>
        <outline val="0"/>
        <shadow val="0"/>
        <u val="none"/>
        <vertAlign val="baseline"/>
        <sz val="11"/>
        <name val="Arial"/>
        <scheme val="none"/>
      </font>
      <alignment horizontal="center" vertical="bottom" textRotation="0" wrapText="0" indent="0" justifyLastLine="0" shrinkToFit="0" readingOrder="0"/>
      <border diagonalUp="0" diagonalDown="0" outline="0">
        <left/>
        <right/>
        <top style="thin">
          <color auto="1"/>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font>
        <strike val="0"/>
        <outline val="0"/>
        <shadow val="0"/>
        <u val="none"/>
        <vertAlign val="baseline"/>
        <sz val="11"/>
        <name val="Arial"/>
        <scheme val="none"/>
      </font>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theme="0"/>
        <name val="Arial"/>
        <scheme val="none"/>
      </font>
      <fill>
        <patternFill patternType="solid">
          <fgColor indexed="64"/>
          <bgColor theme="4"/>
        </patternFill>
      </fill>
      <alignment horizontal="center" vertical="bottom" textRotation="0" wrapText="0" indent="0" justifyLastLine="0" shrinkToFit="0" readingOrder="0"/>
    </dxf>
    <dxf>
      <font>
        <strike val="0"/>
        <outline val="0"/>
        <shadow val="0"/>
        <u val="none"/>
        <vertAlign val="baseline"/>
        <sz val="11"/>
        <name val="Arial"/>
        <scheme val="none"/>
      </font>
      <alignment horizontal="center" vertical="bottom" textRotation="0" wrapText="0" indent="0" justifyLastLine="0" shrinkToFit="0" readingOrder="0"/>
      <border diagonalUp="0" diagonalDown="0" outline="0">
        <left/>
        <right/>
        <top style="thin">
          <color auto="1"/>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font>
        <strike val="0"/>
        <outline val="0"/>
        <shadow val="0"/>
        <u val="none"/>
        <vertAlign val="baseline"/>
        <sz val="11"/>
        <name val="Arial"/>
        <scheme val="none"/>
      </font>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theme="0"/>
        <name val="Arial"/>
        <scheme val="none"/>
      </font>
      <fill>
        <patternFill patternType="solid">
          <fgColor indexed="64"/>
          <bgColor theme="4"/>
        </patternFill>
      </fill>
      <alignment horizontal="center" vertical="bottom" textRotation="0" wrapText="0" indent="0" justifyLastLine="0" shrinkToFit="0" readingOrder="0"/>
    </dxf>
    <dxf>
      <font>
        <strike val="0"/>
        <outline val="0"/>
        <shadow val="0"/>
        <u val="none"/>
        <vertAlign val="baseline"/>
        <sz val="11"/>
        <name val="Arial"/>
        <scheme val="none"/>
      </font>
      <alignment horizontal="center" vertical="bottom" textRotation="0" wrapText="0" indent="0" justifyLastLine="0" shrinkToFit="0" readingOrder="0"/>
      <border diagonalUp="0" diagonalDown="0" outline="0">
        <left/>
        <right/>
        <top style="thin">
          <color auto="1"/>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font>
        <strike val="0"/>
        <outline val="0"/>
        <shadow val="0"/>
        <u val="none"/>
        <vertAlign val="baseline"/>
        <sz val="11"/>
        <name val="Arial"/>
        <scheme val="none"/>
      </font>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theme="0"/>
        <name val="Arial"/>
        <scheme val="none"/>
      </font>
      <fill>
        <patternFill patternType="solid">
          <fgColor indexed="64"/>
          <bgColor theme="4"/>
        </patternFill>
      </fill>
      <alignment horizontal="center" vertical="bottom" textRotation="0" wrapText="0" indent="0" justifyLastLine="0" shrinkToFit="0" readingOrder="0"/>
    </dxf>
    <dxf>
      <font>
        <strike val="0"/>
        <outline val="0"/>
        <shadow val="0"/>
        <u val="none"/>
        <vertAlign val="baseline"/>
        <sz val="11"/>
        <name val="Arial"/>
        <scheme val="none"/>
      </font>
      <alignment horizontal="center" vertical="bottom" textRotation="0" wrapText="0" indent="0" justifyLastLine="0" shrinkToFit="0" readingOrder="0"/>
      <border diagonalUp="0" diagonalDown="0" outline="0">
        <left/>
        <right/>
        <top style="thin">
          <color auto="1"/>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font>
        <strike val="0"/>
        <outline val="0"/>
        <shadow val="0"/>
        <u val="none"/>
        <vertAlign val="baseline"/>
        <sz val="11"/>
        <name val="Arial"/>
        <scheme val="none"/>
      </font>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theme="0"/>
        <name val="Arial"/>
        <scheme val="none"/>
      </font>
      <fill>
        <patternFill patternType="solid">
          <fgColor indexed="64"/>
          <bgColor theme="4"/>
        </patternFill>
      </fill>
      <alignment horizontal="center" vertical="bottom" textRotation="0" wrapText="0" indent="0" justifyLastLine="0" shrinkToFit="0" readingOrder="0"/>
    </dxf>
    <dxf>
      <font>
        <strike val="0"/>
        <outline val="0"/>
        <shadow val="0"/>
        <u val="none"/>
        <vertAlign val="baseline"/>
        <sz val="11"/>
        <name val="Arial"/>
        <scheme val="none"/>
      </font>
      <alignment horizontal="center" vertical="bottom" textRotation="0" wrapText="0" indent="0" justifyLastLine="0" shrinkToFit="0" readingOrder="0"/>
      <border diagonalUp="0" diagonalDown="0" outline="0">
        <left/>
        <right/>
        <top style="thin">
          <color auto="1"/>
        </top>
        <bottom style="thin">
          <color auto="1"/>
        </bottom>
      </border>
    </dxf>
    <dxf>
      <border outline="0">
        <top style="thin">
          <color auto="1"/>
        </top>
      </border>
    </dxf>
    <dxf>
      <border outline="0">
        <left style="thin">
          <color auto="1"/>
        </left>
        <right style="thin">
          <color indexed="64"/>
        </right>
        <top style="thin">
          <color auto="1"/>
        </top>
        <bottom style="thin">
          <color auto="1"/>
        </bottom>
      </border>
    </dxf>
    <dxf>
      <font>
        <strike val="0"/>
        <outline val="0"/>
        <shadow val="0"/>
        <u val="none"/>
        <vertAlign val="baseline"/>
        <sz val="11"/>
        <name val="Arial"/>
        <scheme val="none"/>
      </font>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theme="0"/>
        <name val="Arial"/>
        <scheme val="none"/>
      </font>
      <fill>
        <patternFill patternType="solid">
          <fgColor indexed="64"/>
          <bgColor theme="4"/>
        </patternFill>
      </fill>
      <alignment horizontal="center" vertical="bottom" textRotation="0" wrapText="0"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11"/>
        <color theme="1"/>
        <name val="Arial"/>
        <scheme val="none"/>
      </font>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scheme val="none"/>
      </font>
      <border diagonalUp="0" diagonalDown="0" outline="0">
        <left/>
        <right style="thin">
          <color theme="1"/>
        </right>
        <top style="thin">
          <color theme="1"/>
        </top>
        <bottom style="thin">
          <color theme="1"/>
        </bottom>
      </border>
    </dxf>
    <dxf>
      <border outline="0">
        <left style="thin">
          <color theme="1"/>
        </left>
        <right style="thin">
          <color theme="1"/>
        </right>
        <top style="thin">
          <color theme="1"/>
        </top>
        <bottom style="thin">
          <color theme="1"/>
        </bottom>
      </border>
    </dxf>
    <dxf>
      <font>
        <strike val="0"/>
        <outline val="0"/>
        <shadow val="0"/>
        <u val="none"/>
        <vertAlign val="baseline"/>
        <sz val="11"/>
        <name val="Arial"/>
        <scheme val="none"/>
      </font>
    </dxf>
    <dxf>
      <font>
        <b/>
        <i val="0"/>
        <strike val="0"/>
        <condense val="0"/>
        <extend val="0"/>
        <outline val="0"/>
        <shadow val="0"/>
        <u val="none"/>
        <vertAlign val="baseline"/>
        <sz val="11"/>
        <color theme="0"/>
        <name val="Arial"/>
        <scheme val="none"/>
      </font>
      <fill>
        <patternFill patternType="solid">
          <fgColor indexed="64"/>
          <bgColor theme="4"/>
        </patternFill>
      </fill>
      <border diagonalUp="0" diagonalDown="0" outline="0">
        <left style="thin">
          <color theme="1"/>
        </left>
        <right style="thin">
          <color theme="1"/>
        </right>
        <top/>
        <bottom/>
      </border>
    </dxf>
    <dxf>
      <font>
        <strike val="0"/>
        <outline val="0"/>
        <shadow val="0"/>
        <u val="none"/>
        <vertAlign val="baseline"/>
        <sz val="11"/>
        <name val="Arial"/>
        <scheme val="none"/>
      </font>
      <alignment horizontal="left" vertical="bottom" textRotation="0" wrapText="0" indent="0" justifyLastLine="0" shrinkToFit="0" readingOrder="0"/>
    </dxf>
    <dxf>
      <font>
        <strike val="0"/>
        <outline val="0"/>
        <shadow val="0"/>
        <u val="none"/>
        <vertAlign val="baseline"/>
        <sz val="11"/>
        <name val="Arial"/>
        <scheme val="none"/>
      </font>
      <alignment horizontal="left" vertical="bottom" textRotation="0" wrapText="0" indent="0" justifyLastLine="0" shrinkToFit="0" readingOrder="0"/>
    </dxf>
    <dxf>
      <font>
        <strike val="0"/>
        <outline val="0"/>
        <shadow val="0"/>
        <u val="none"/>
        <vertAlign val="baseline"/>
        <sz val="11"/>
        <name val="Arial"/>
        <scheme val="none"/>
      </font>
      <alignment horizontal="left" vertical="bottom" textRotation="0" wrapText="0"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b val="0"/>
        <i val="0"/>
        <strike val="0"/>
        <condense val="0"/>
        <extend val="0"/>
        <outline val="0"/>
        <shadow val="0"/>
        <u val="none"/>
        <vertAlign val="baseline"/>
        <sz val="11"/>
        <color theme="0"/>
        <name val="Arial"/>
        <scheme val="none"/>
      </font>
      <fill>
        <patternFill patternType="solid">
          <fgColor indexed="64"/>
          <bgColor theme="4"/>
        </patternFill>
      </fill>
    </dxf>
    <dxf>
      <font>
        <b val="0"/>
        <i val="0"/>
        <strike val="0"/>
        <condense val="0"/>
        <extend val="0"/>
        <outline val="0"/>
        <shadow val="0"/>
        <u val="none"/>
        <vertAlign val="baseline"/>
        <sz val="12"/>
        <color theme="1"/>
        <name val="Arial"/>
        <scheme val="none"/>
      </font>
      <numFmt numFmtId="0" formatCode="General"/>
      <fill>
        <patternFill patternType="solid">
          <fgColor indexed="64"/>
          <bgColor theme="0" tint="-0.14999847407452621"/>
        </patternFill>
      </fill>
      <alignment horizontal="center" vertical="center" textRotation="0" wrapText="1" indent="0" justifyLastLine="0" shrinkToFit="0" readingOrder="0"/>
      <border diagonalUp="0" diagonalDown="0">
        <left style="thin">
          <color indexed="64"/>
        </left>
        <right style="thin">
          <color auto="1"/>
        </right>
        <top/>
        <bottom style="thin">
          <color auto="1"/>
        </bottom>
        <vertical/>
        <horizontal/>
      </border>
      <protection locked="0" hidden="0"/>
    </dxf>
    <dxf>
      <font>
        <strike val="0"/>
        <outline val="0"/>
        <shadow val="0"/>
        <u val="none"/>
        <vertAlign val="baseline"/>
        <sz val="12"/>
        <color theme="1"/>
        <name val="Arial"/>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fill>
        <patternFill patternType="solid">
          <fgColor indexed="64"/>
          <bgColor rgb="FFFFFFCC"/>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protection locked="0" hidden="0"/>
    </dxf>
    <dxf>
      <font>
        <b val="0"/>
        <i val="0"/>
        <strike val="0"/>
        <condense val="0"/>
        <extend val="0"/>
        <outline val="0"/>
        <shadow val="0"/>
        <u val="none"/>
        <vertAlign val="baseline"/>
        <sz val="12"/>
        <color theme="1"/>
        <name val="Arial"/>
        <scheme val="none"/>
      </font>
      <fill>
        <patternFill patternType="solid">
          <fgColor indexed="64"/>
          <bgColor rgb="FFFFFFCC"/>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protection locked="0" hidden="0"/>
    </dxf>
    <dxf>
      <font>
        <b val="0"/>
        <i val="0"/>
        <strike val="0"/>
        <condense val="0"/>
        <extend val="0"/>
        <outline val="0"/>
        <shadow val="0"/>
        <u val="none"/>
        <vertAlign val="baseline"/>
        <sz val="12"/>
        <color theme="1"/>
        <name val="Arial"/>
        <scheme val="none"/>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2"/>
        <color theme="1"/>
        <name val="Arial"/>
        <scheme val="none"/>
      </font>
      <fill>
        <patternFill patternType="solid">
          <fgColor indexed="64"/>
          <bgColor rgb="FFFFFFCC"/>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protection locked="0" hidden="0"/>
    </dxf>
    <dxf>
      <font>
        <b val="0"/>
        <i val="0"/>
        <strike val="0"/>
        <condense val="0"/>
        <extend val="0"/>
        <outline val="0"/>
        <shadow val="0"/>
        <u val="none"/>
        <vertAlign val="baseline"/>
        <sz val="12"/>
        <color theme="1"/>
        <name val="Arial"/>
        <scheme val="none"/>
      </font>
      <fill>
        <patternFill patternType="solid">
          <fgColor indexed="64"/>
          <bgColor rgb="FFFFFFCC"/>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protection locked="0" hidden="0"/>
    </dxf>
    <dxf>
      <font>
        <b val="0"/>
        <i val="0"/>
        <strike val="0"/>
        <condense val="0"/>
        <extend val="0"/>
        <outline val="0"/>
        <shadow val="0"/>
        <u val="none"/>
        <vertAlign val="baseline"/>
        <sz val="12"/>
        <color theme="1"/>
        <name val="Arial"/>
        <scheme val="none"/>
      </font>
      <fill>
        <patternFill patternType="solid">
          <fgColor indexed="64"/>
          <bgColor rgb="FFFFFFCC"/>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protection locked="0" hidden="0"/>
    </dxf>
    <dxf>
      <font>
        <b val="0"/>
        <i val="0"/>
        <strike val="0"/>
        <condense val="0"/>
        <extend val="0"/>
        <outline val="0"/>
        <shadow val="0"/>
        <u val="none"/>
        <vertAlign val="baseline"/>
        <sz val="12"/>
        <color theme="1"/>
        <name val="Arial"/>
        <scheme val="none"/>
      </font>
      <fill>
        <patternFill patternType="solid">
          <fgColor indexed="64"/>
          <bgColor rgb="FFFFFFCC"/>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protection locked="0" hidden="0"/>
    </dxf>
    <dxf>
      <font>
        <b val="0"/>
        <i val="0"/>
        <strike val="0"/>
        <condense val="0"/>
        <extend val="0"/>
        <outline val="0"/>
        <shadow val="0"/>
        <u val="none"/>
        <vertAlign val="baseline"/>
        <sz val="12"/>
        <color theme="1"/>
        <name val="Arial"/>
        <scheme val="none"/>
      </font>
      <fill>
        <patternFill patternType="solid">
          <fgColor indexed="64"/>
          <bgColor rgb="FFFFFFCC"/>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protection locked="0" hidden="0"/>
    </dxf>
    <dxf>
      <font>
        <b val="0"/>
        <i val="0"/>
        <strike val="0"/>
        <condense val="0"/>
        <extend val="0"/>
        <outline val="0"/>
        <shadow val="0"/>
        <u val="none"/>
        <vertAlign val="baseline"/>
        <sz val="12"/>
        <color theme="1"/>
        <name val="Arial"/>
        <scheme val="none"/>
      </font>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2"/>
        <color theme="1"/>
        <name val="Arial"/>
        <scheme val="none"/>
      </font>
      <alignment horizontal="center" vertical="center" textRotation="0" wrapText="1" indent="0" justifyLastLine="0" shrinkToFit="0" readingOrder="0"/>
      <border diagonalUp="0" diagonalDown="0" outline="0">
        <left/>
        <right style="thin">
          <color auto="1"/>
        </right>
        <top style="thin">
          <color auto="1"/>
        </top>
        <bottom style="thin">
          <color auto="1"/>
        </bottom>
      </border>
      <protection locked="0" hidden="0"/>
    </dxf>
    <dxf>
      <border outline="0">
        <top style="thin">
          <color indexed="64"/>
        </top>
      </border>
    </dxf>
    <dxf>
      <border outline="0">
        <left style="thin">
          <color indexed="64"/>
        </left>
        <right style="thin">
          <color auto="1"/>
        </right>
        <top style="thin">
          <color indexed="64"/>
        </top>
        <bottom style="thin">
          <color auto="1"/>
        </bottom>
      </border>
    </dxf>
    <dxf>
      <font>
        <strike val="0"/>
        <outline val="0"/>
        <shadow val="0"/>
        <u val="none"/>
        <vertAlign val="baseline"/>
        <sz val="12"/>
        <color theme="1"/>
        <name val="Arial"/>
        <scheme val="none"/>
      </font>
    </dxf>
    <dxf>
      <border outline="0">
        <bottom style="thin">
          <color auto="1"/>
        </bottom>
      </border>
    </dxf>
    <dxf>
      <font>
        <b/>
        <i val="0"/>
        <strike val="0"/>
        <condense val="0"/>
        <extend val="0"/>
        <outline val="0"/>
        <shadow val="0"/>
        <u val="none"/>
        <vertAlign val="baseline"/>
        <sz val="14"/>
        <color theme="0"/>
        <name val="Arial"/>
        <scheme val="none"/>
      </font>
      <fill>
        <patternFill patternType="solid">
          <fgColor theme="4"/>
          <bgColor theme="4"/>
        </patternFill>
      </fill>
      <alignment horizontal="general" vertical="top"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color theme="1"/>
        <name val="Arial"/>
        <scheme val="none"/>
      </font>
      <alignment horizontal="center" vertical="center" textRotation="0" wrapText="0" indent="0" justifyLastLine="0" shrinkToFit="0" readingOrder="0"/>
    </dxf>
    <dxf>
      <font>
        <strike val="0"/>
        <outline val="0"/>
        <shadow val="0"/>
        <u val="none"/>
        <vertAlign val="baseline"/>
        <sz val="12"/>
        <color theme="1"/>
        <name val="Arial"/>
        <scheme val="none"/>
      </font>
      <numFmt numFmtId="0" formatCode="General"/>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auto="1"/>
        </right>
        <top style="thin">
          <color auto="1"/>
        </top>
        <bottom/>
      </border>
    </dxf>
    <dxf>
      <font>
        <strike val="0"/>
        <outline val="0"/>
        <shadow val="0"/>
        <u val="none"/>
        <vertAlign val="baseline"/>
        <sz val="12"/>
        <color theme="1"/>
        <name val="Arial"/>
        <family val="2"/>
        <scheme val="none"/>
      </font>
      <numFmt numFmtId="0" formatCode="General"/>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auto="1"/>
        </right>
        <top/>
        <bottom/>
        <vertical/>
        <horizontal/>
      </border>
      <protection locked="0" hidden="0"/>
    </dxf>
    <dxf>
      <font>
        <strike val="0"/>
        <outline val="0"/>
        <shadow val="0"/>
        <u val="none"/>
        <vertAlign val="baseline"/>
        <sz val="12"/>
        <color theme="1"/>
        <name val="Arial"/>
        <scheme val="none"/>
      </font>
      <fill>
        <patternFill patternType="solid">
          <fgColor indexed="64"/>
          <bgColor rgb="FFFFFFCC"/>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border>
      <protection locked="0" hidden="0"/>
    </dxf>
    <dxf>
      <font>
        <strike val="0"/>
        <outline val="0"/>
        <shadow val="0"/>
        <u val="none"/>
        <vertAlign val="baseline"/>
        <sz val="12"/>
        <color theme="1"/>
        <name val="Arial"/>
        <scheme val="none"/>
      </font>
      <fill>
        <patternFill patternType="solid">
          <fgColor indexed="64"/>
          <bgColor rgb="FFFFFFCC"/>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border>
      <protection locked="0" hidden="0"/>
    </dxf>
    <dxf>
      <font>
        <strike val="0"/>
        <outline val="0"/>
        <shadow val="0"/>
        <u val="none"/>
        <vertAlign val="baseline"/>
        <sz val="12"/>
        <color theme="1"/>
        <name val="Arial"/>
        <scheme val="none"/>
      </font>
      <fill>
        <patternFill patternType="solid">
          <fgColor indexed="64"/>
          <bgColor rgb="FFFFFFCC"/>
        </patternFill>
      </fill>
      <alignment horizontal="center" vertical="center" textRotation="0" wrapText="0" indent="0" justifyLastLine="0" shrinkToFit="0" readingOrder="0"/>
      <border diagonalUp="0" diagonalDown="0" outline="0">
        <left style="thin">
          <color auto="1"/>
        </left>
        <right style="thin">
          <color indexed="64"/>
        </right>
        <top style="thin">
          <color auto="1"/>
        </top>
        <bottom/>
      </border>
      <protection locked="0" hidden="0"/>
    </dxf>
    <dxf>
      <font>
        <strike val="0"/>
        <outline val="0"/>
        <shadow val="0"/>
        <u val="none"/>
        <vertAlign val="baseline"/>
        <sz val="12"/>
        <color theme="1"/>
        <name val="Arial"/>
        <scheme val="none"/>
      </font>
      <fill>
        <patternFill patternType="solid">
          <fgColor indexed="64"/>
          <bgColor rgb="FFFFFFCC"/>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border>
      <protection locked="0" hidden="0"/>
    </dxf>
    <dxf>
      <font>
        <strike val="0"/>
        <outline val="0"/>
        <shadow val="0"/>
        <u val="none"/>
        <vertAlign val="baseline"/>
        <sz val="12"/>
        <color theme="1"/>
        <name val="Arial"/>
        <scheme val="none"/>
      </font>
      <alignment horizontal="center" vertical="center" textRotation="0" wrapText="0" indent="0" justifyLastLine="0" shrinkToFit="0" readingOrder="0"/>
      <border diagonalUp="0" diagonalDown="0" outline="0">
        <left style="thin">
          <color indexed="64"/>
        </left>
        <right style="thin">
          <color indexed="64"/>
        </right>
        <top style="thin">
          <color auto="1"/>
        </top>
        <bottom/>
      </border>
    </dxf>
    <dxf>
      <font>
        <strike val="0"/>
        <outline val="0"/>
        <shadow val="0"/>
        <u val="none"/>
        <vertAlign val="baseline"/>
        <sz val="12"/>
        <color theme="1"/>
        <name val="Arial"/>
        <scheme val="none"/>
      </font>
      <alignment horizontal="center" vertical="center" textRotation="0" wrapText="0" indent="0" justifyLastLine="0" shrinkToFit="0" readingOrder="0"/>
      <protection locked="0" hidden="0"/>
    </dxf>
    <dxf>
      <border outline="0">
        <bottom style="thin">
          <color auto="1"/>
        </bottom>
      </border>
    </dxf>
    <dxf>
      <font>
        <strike val="0"/>
        <outline val="0"/>
        <shadow val="0"/>
        <u val="none"/>
        <vertAlign val="baseline"/>
        <sz val="12"/>
        <color theme="1"/>
        <name val="Arial"/>
        <scheme val="none"/>
      </font>
      <alignment horizontal="center" vertical="center" textRotation="0" wrapText="0" indent="0" justifyLastLine="0" shrinkToFit="0" readingOrder="0"/>
    </dxf>
    <dxf>
      <font>
        <b/>
        <i val="0"/>
        <strike val="0"/>
        <condense val="0"/>
        <extend val="0"/>
        <outline val="0"/>
        <shadow val="0"/>
        <u val="none"/>
        <vertAlign val="baseline"/>
        <sz val="14"/>
        <color theme="0"/>
        <name val="Arial"/>
        <scheme val="none"/>
      </font>
      <fill>
        <patternFill patternType="solid">
          <fgColor indexed="64"/>
          <bgColor theme="4"/>
        </patternFill>
      </fill>
      <alignment horizontal="center" vertical="top" textRotation="0" wrapText="1" indent="0" justifyLastLine="0" shrinkToFit="0" readingOrder="0"/>
    </dxf>
    <dxf>
      <font>
        <strike val="0"/>
        <outline val="0"/>
        <shadow val="0"/>
        <u val="none"/>
        <vertAlign val="baseline"/>
        <sz val="12"/>
        <name val="Arial"/>
        <scheme val="none"/>
      </font>
      <fill>
        <patternFill patternType="solid">
          <fgColor indexed="64"/>
          <bgColor theme="0" tint="-0.14999847407452621"/>
        </patternFill>
      </fill>
    </dxf>
    <dxf>
      <font>
        <strike val="0"/>
        <outline val="0"/>
        <shadow val="0"/>
        <u val="none"/>
        <vertAlign val="baseline"/>
        <sz val="12"/>
        <name val="Arial"/>
        <scheme val="none"/>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top style="thin">
          <color auto="1"/>
        </top>
        <bottom/>
      </border>
    </dxf>
    <dxf>
      <font>
        <strike val="0"/>
        <outline val="0"/>
        <shadow val="0"/>
        <u val="none"/>
        <vertAlign val="baseline"/>
        <sz val="12"/>
        <name val="Arial"/>
        <scheme val="none"/>
      </font>
      <fill>
        <patternFill patternType="lightUp">
          <fgColor theme="1"/>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border>
      <protection locked="0" hidden="0"/>
    </dxf>
    <dxf>
      <font>
        <strike val="0"/>
        <outline val="0"/>
        <shadow val="0"/>
        <u val="none"/>
        <vertAlign val="baseline"/>
        <sz val="12"/>
        <name val="Arial"/>
        <scheme val="none"/>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auto="1"/>
        </right>
        <top style="thin">
          <color auto="1"/>
        </top>
        <bottom style="thin">
          <color auto="1"/>
        </bottom>
        <vertical/>
        <horizontal/>
      </border>
      <protection locked="0" hidden="0"/>
    </dxf>
    <dxf>
      <font>
        <strike val="0"/>
        <outline val="0"/>
        <shadow val="0"/>
        <u val="none"/>
        <vertAlign val="baseline"/>
        <sz val="12"/>
        <name val="Arial"/>
        <scheme val="none"/>
      </font>
      <fill>
        <patternFill patternType="solid">
          <fgColor indexed="64"/>
          <bgColor rgb="FFFFFFCC"/>
        </patternFill>
      </fill>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2"/>
        <name val="Arial"/>
        <scheme val="none"/>
      </font>
      <fill>
        <patternFill patternType="solid">
          <fgColor indexed="64"/>
          <bgColor rgb="FFFFFFCC"/>
        </patternFill>
      </fill>
      <border diagonalUp="0" diagonalDown="0" outline="0">
        <left style="thin">
          <color auto="1"/>
        </left>
        <right style="thin">
          <color indexed="64"/>
        </right>
        <top style="thin">
          <color auto="1"/>
        </top>
        <bottom style="thin">
          <color auto="1"/>
        </bottom>
      </border>
      <protection locked="0" hidden="0"/>
    </dxf>
    <dxf>
      <font>
        <strike val="0"/>
        <outline val="0"/>
        <shadow val="0"/>
        <u val="none"/>
        <vertAlign val="baseline"/>
        <sz val="12"/>
        <name val="Arial"/>
        <scheme val="none"/>
      </font>
      <fill>
        <patternFill patternType="solid">
          <fgColor indexed="64"/>
          <bgColor rgb="FFFFFFCC"/>
        </patternFill>
      </fill>
      <border diagonalUp="0" diagonalDown="0" outline="0">
        <left style="thin">
          <color auto="1"/>
        </left>
        <right style="thin">
          <color indexed="64"/>
        </right>
        <top style="thin">
          <color auto="1"/>
        </top>
        <bottom style="thin">
          <color auto="1"/>
        </bottom>
      </border>
      <protection locked="0" hidden="0"/>
    </dxf>
    <dxf>
      <font>
        <strike val="0"/>
        <outline val="0"/>
        <shadow val="0"/>
        <u val="none"/>
        <vertAlign val="baseline"/>
        <sz val="12"/>
        <name val="Arial"/>
        <scheme val="none"/>
      </font>
      <fill>
        <patternFill patternType="solid">
          <fgColor indexed="64"/>
          <bgColor rgb="FFFFFFCC"/>
        </patternFill>
      </fill>
      <alignment horizontal="general"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protection locked="0" hidden="0"/>
    </dxf>
    <dxf>
      <font>
        <strike val="0"/>
        <outline val="0"/>
        <shadow val="0"/>
        <u val="none"/>
        <vertAlign val="baseline"/>
        <sz val="12"/>
        <name val="Arial"/>
        <scheme val="none"/>
      </font>
      <alignment horizontal="center" vertical="bottom" textRotation="0" wrapText="0" indent="0" justifyLastLine="0" shrinkToFit="0" readingOrder="0"/>
      <border diagonalUp="0" diagonalDown="0" outline="0">
        <left style="thin">
          <color auto="1"/>
        </left>
        <right style="thin">
          <color indexed="64"/>
        </right>
        <top style="thin">
          <color auto="1"/>
        </top>
        <bottom style="thin">
          <color auto="1"/>
        </bottom>
      </border>
    </dxf>
    <dxf>
      <font>
        <strike val="0"/>
        <outline val="0"/>
        <shadow val="0"/>
        <u val="none"/>
        <vertAlign val="baseline"/>
        <sz val="12"/>
        <name val="Arial"/>
        <scheme val="none"/>
      </font>
      <alignment horizontal="center" vertical="bottom" textRotation="0" wrapText="0" indent="0" justifyLastLine="0" shrinkToFit="0" readingOrder="0"/>
      <border diagonalUp="0" diagonalDown="0" outline="0">
        <left style="thin">
          <color indexed="64"/>
        </left>
        <right style="thin">
          <color auto="1"/>
        </right>
        <top style="thin">
          <color auto="1"/>
        </top>
        <bottom style="thin">
          <color auto="1"/>
        </bottom>
      </border>
      <protection locked="0" hidden="0"/>
    </dxf>
    <dxf>
      <border outline="0">
        <bottom style="thin">
          <color auto="1"/>
        </bottom>
      </border>
    </dxf>
    <dxf>
      <font>
        <strike val="0"/>
        <outline val="0"/>
        <shadow val="0"/>
        <u val="none"/>
        <vertAlign val="baseline"/>
        <sz val="12"/>
        <name val="Arial"/>
        <scheme val="none"/>
      </font>
    </dxf>
    <dxf>
      <font>
        <b/>
        <i val="0"/>
        <strike val="0"/>
        <condense val="0"/>
        <extend val="0"/>
        <outline val="0"/>
        <shadow val="0"/>
        <u val="none"/>
        <vertAlign val="baseline"/>
        <sz val="14"/>
        <color theme="0"/>
        <name val="Arial"/>
        <scheme val="none"/>
      </font>
      <fill>
        <patternFill patternType="solid">
          <fgColor indexed="64"/>
          <bgColor theme="4"/>
        </patternFill>
      </fill>
      <alignment horizontal="center" vertical="top" textRotation="0" wrapText="1" indent="0" justifyLastLine="0" shrinkToFit="0" readingOrder="0"/>
    </dxf>
    <dxf>
      <font>
        <strike val="0"/>
        <outline val="0"/>
        <shadow val="0"/>
        <u val="none"/>
        <vertAlign val="baseline"/>
        <sz val="12"/>
        <color theme="1"/>
        <name val="Arial"/>
        <scheme val="none"/>
      </font>
      <fill>
        <patternFill patternType="solid">
          <fgColor indexed="64"/>
          <bgColor theme="0" tint="-0.14999847407452621"/>
        </patternFill>
      </fill>
      <alignment horizontal="center" vertical="center" textRotation="0" wrapText="0" indent="0" justifyLastLine="0" shrinkToFit="0" readingOrder="0"/>
    </dxf>
    <dxf>
      <font>
        <strike val="0"/>
        <outline val="0"/>
        <shadow val="0"/>
        <u val="none"/>
        <vertAlign val="baseline"/>
        <sz val="12"/>
        <color theme="1"/>
        <name val="Arial"/>
        <scheme val="none"/>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border>
      <protection locked="0" hidden="0"/>
    </dxf>
    <dxf>
      <font>
        <strike val="0"/>
        <outline val="0"/>
        <shadow val="0"/>
        <u val="none"/>
        <vertAlign val="baseline"/>
        <sz val="12"/>
        <color theme="1"/>
        <name val="Arial"/>
        <scheme val="none"/>
      </font>
      <numFmt numFmtId="0" formatCode="General"/>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auto="1"/>
        </right>
        <top style="thin">
          <color auto="1"/>
        </top>
        <bottom style="thin">
          <color auto="1"/>
        </bottom>
        <vertical/>
        <horizontal/>
      </border>
      <protection locked="0" hidden="0"/>
    </dxf>
    <dxf>
      <font>
        <b/>
        <strike val="0"/>
        <outline val="0"/>
        <shadow val="0"/>
        <u val="none"/>
        <vertAlign val="baseline"/>
        <sz val="12"/>
        <color theme="1"/>
        <name val="Arial"/>
        <scheme val="none"/>
      </font>
      <numFmt numFmtId="0" formatCode="General"/>
      <fill>
        <patternFill patternType="solid">
          <fgColor indexed="64"/>
          <bgColor rgb="FFFFFFCC"/>
        </patternFill>
      </fill>
      <alignment horizontal="center" vertical="center" textRotation="0" wrapText="1" indent="0" justifyLastLine="0" shrinkToFit="0" readingOrder="0"/>
      <border diagonalUp="0" diagonalDown="0" outline="0">
        <left style="thin">
          <color indexed="64"/>
        </left>
        <right style="thin">
          <color auto="1"/>
        </right>
        <top/>
        <bottom/>
      </border>
      <protection locked="0" hidden="0"/>
    </dxf>
    <dxf>
      <font>
        <strike val="0"/>
        <outline val="0"/>
        <shadow val="0"/>
        <u val="none"/>
        <vertAlign val="baseline"/>
        <sz val="12"/>
        <color theme="1"/>
        <name val="Arial"/>
        <scheme val="none"/>
      </font>
      <fill>
        <patternFill patternType="solid">
          <fgColor indexed="64"/>
          <bgColor rgb="FFFFFFCC"/>
        </patternFill>
      </fill>
      <alignment horizontal="center" vertical="center" textRotation="0" wrapText="0" indent="0" justifyLastLine="0" shrinkToFit="0" readingOrder="0"/>
      <border diagonalUp="0" diagonalDown="0" outline="0">
        <left style="thin">
          <color indexed="64"/>
        </left>
        <right style="thin">
          <color auto="1"/>
        </right>
        <top style="thin">
          <color auto="1"/>
        </top>
        <bottom/>
      </border>
      <protection locked="0" hidden="0"/>
    </dxf>
    <dxf>
      <font>
        <strike val="0"/>
        <outline val="0"/>
        <shadow val="0"/>
        <u val="none"/>
        <vertAlign val="baseline"/>
        <sz val="12"/>
        <color theme="1"/>
        <name val="Arial"/>
        <scheme val="none"/>
      </font>
      <alignment horizontal="center" vertical="center" textRotation="0" wrapText="0" indent="0" justifyLastLine="0" shrinkToFit="0" readingOrder="0"/>
      <border diagonalUp="0" diagonalDown="0" outline="0">
        <left style="thin">
          <color indexed="64"/>
        </left>
        <right style="thin">
          <color indexed="64"/>
        </right>
        <top style="thin">
          <color auto="1"/>
        </top>
        <bottom/>
      </border>
      <protection locked="0" hidden="0"/>
    </dxf>
    <dxf>
      <font>
        <strike val="0"/>
        <outline val="0"/>
        <shadow val="0"/>
        <u val="none"/>
        <vertAlign val="baseline"/>
        <sz val="12"/>
        <color theme="1"/>
        <name val="Arial"/>
        <scheme val="none"/>
      </font>
      <alignment horizontal="center" vertical="center" textRotation="0" wrapText="0" indent="0" justifyLastLine="0" shrinkToFit="0" readingOrder="0"/>
      <border diagonalUp="0" diagonalDown="0" outline="0">
        <left/>
        <right style="thin">
          <color auto="1"/>
        </right>
        <top style="thin">
          <color auto="1"/>
        </top>
        <bottom/>
      </border>
      <protection locked="0" hidden="0"/>
    </dxf>
    <dxf>
      <font>
        <strike val="0"/>
        <outline val="0"/>
        <shadow val="0"/>
        <u val="none"/>
        <vertAlign val="baseline"/>
        <sz val="12"/>
        <color theme="1"/>
        <name val="Arial"/>
        <scheme val="none"/>
      </font>
      <fill>
        <patternFill patternType="solid">
          <fgColor indexed="64"/>
          <bgColor rgb="FFFFFFCC"/>
        </patternFill>
      </fill>
      <alignment horizontal="center" vertical="center" textRotation="0" indent="0" justifyLastLine="0" shrinkToFit="0" readingOrder="0"/>
      <border diagonalUp="0" diagonalDown="0" outline="0">
        <left/>
        <right/>
        <top style="thin">
          <color indexed="64"/>
        </top>
        <bottom/>
      </border>
      <protection locked="0" hidden="0"/>
    </dxf>
    <dxf>
      <font>
        <strike val="0"/>
        <outline val="0"/>
        <shadow val="0"/>
        <u val="none"/>
        <vertAlign val="baseline"/>
        <sz val="12"/>
        <color theme="1"/>
        <name val="Arial"/>
        <scheme val="none"/>
      </font>
      <fill>
        <patternFill patternType="solid">
          <fgColor indexed="64"/>
          <bgColor rgb="FFFFFFCC"/>
        </patternFill>
      </fill>
      <alignment vertical="center" textRotation="0" indent="0" justifyLastLine="0" shrinkToFit="0" readingOrder="0"/>
      <border diagonalUp="0" diagonalDown="0" outline="0">
        <left style="thin">
          <color auto="1"/>
        </left>
        <right style="thin">
          <color indexed="64"/>
        </right>
        <top style="thin">
          <color indexed="64"/>
        </top>
        <bottom/>
      </border>
    </dxf>
    <dxf>
      <font>
        <strike val="0"/>
        <outline val="0"/>
        <shadow val="0"/>
        <u val="none"/>
        <vertAlign val="baseline"/>
        <sz val="12"/>
        <color theme="1"/>
        <name val="Arial"/>
        <scheme val="none"/>
      </font>
      <fill>
        <patternFill patternType="solid">
          <fgColor indexed="64"/>
          <bgColor rgb="FFFFFFCC"/>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border>
      <protection locked="0" hidden="0"/>
    </dxf>
    <dxf>
      <font>
        <strike val="0"/>
        <outline val="0"/>
        <shadow val="0"/>
        <u val="none"/>
        <vertAlign val="baseline"/>
        <sz val="12"/>
        <color theme="1"/>
        <name val="Arial"/>
        <scheme val="none"/>
      </font>
      <alignment horizontal="center" vertical="center" textRotation="0" wrapText="0" indent="0" justifyLastLine="0" shrinkToFit="0" readingOrder="0"/>
      <border diagonalUp="0" diagonalDown="0" outline="0">
        <left style="thin">
          <color indexed="64"/>
        </left>
        <right style="thin">
          <color indexed="64"/>
        </right>
        <top style="thin">
          <color auto="1"/>
        </top>
        <bottom/>
      </border>
    </dxf>
    <dxf>
      <font>
        <strike val="0"/>
        <outline val="0"/>
        <shadow val="0"/>
        <u val="none"/>
        <vertAlign val="baseline"/>
        <sz val="12"/>
        <color theme="1"/>
        <name val="Arial"/>
        <scheme val="none"/>
      </font>
      <alignment horizontal="center" vertical="center" textRotation="0" wrapText="0" indent="0" justifyLastLine="0" shrinkToFit="0" readingOrder="0"/>
      <protection locked="0" hidden="0"/>
    </dxf>
    <dxf>
      <border outline="0">
        <bottom style="thin">
          <color auto="1"/>
        </bottom>
      </border>
    </dxf>
    <dxf>
      <font>
        <strike val="0"/>
        <outline val="0"/>
        <shadow val="0"/>
        <u val="none"/>
        <vertAlign val="baseline"/>
        <sz val="12"/>
        <color theme="1"/>
        <name val="Arial"/>
        <scheme val="none"/>
      </font>
      <alignment horizontal="center" vertical="center" textRotation="0" wrapText="0" indent="0" justifyLastLine="0" shrinkToFit="0" readingOrder="0"/>
    </dxf>
    <dxf>
      <font>
        <b/>
        <i val="0"/>
        <strike val="0"/>
        <condense val="0"/>
        <extend val="0"/>
        <outline val="0"/>
        <shadow val="0"/>
        <u val="none"/>
        <vertAlign val="baseline"/>
        <sz val="14"/>
        <color theme="0"/>
        <name val="Arial"/>
        <scheme val="none"/>
      </font>
      <fill>
        <patternFill patternType="solid">
          <fgColor indexed="64"/>
          <bgColor theme="4"/>
        </patternFill>
      </fill>
      <alignment horizontal="center" vertical="top" textRotation="0" wrapText="1" indent="0" justifyLastLine="0" shrinkToFit="0" readingOrder="0"/>
    </dxf>
    <dxf>
      <font>
        <color rgb="FFFF0000"/>
      </font>
      <fill>
        <patternFill patternType="lightUp">
          <fgColor theme="1"/>
          <bgColor auto="1"/>
        </patternFill>
      </fill>
    </dxf>
    <dxf>
      <font>
        <color theme="1" tint="0.34998626667073579"/>
      </font>
      <fill>
        <patternFill patternType="lightUp">
          <fgColor theme="1"/>
          <bgColor auto="1"/>
        </patternFill>
      </fill>
    </dxf>
    <dxf>
      <font>
        <color theme="2"/>
      </font>
      <fill>
        <patternFill patternType="lightUp">
          <fgColor theme="1"/>
          <bgColor auto="1"/>
        </patternFill>
      </fill>
    </dxf>
    <dxf>
      <font>
        <color theme="0" tint="-0.499984740745262"/>
      </font>
      <fill>
        <patternFill patternType="lightUp">
          <fgColor theme="1"/>
          <bgColor auto="1"/>
        </patternFill>
      </fill>
    </dxf>
    <dxf>
      <font>
        <color theme="0" tint="-0.499984740745262"/>
      </font>
      <fill>
        <patternFill patternType="lightUp">
          <fgColor theme="1"/>
          <bgColor auto="1"/>
        </patternFill>
      </fill>
    </dxf>
    <dxf>
      <font>
        <color theme="0" tint="-0.499984740745262"/>
      </font>
      <fill>
        <patternFill patternType="lightUp">
          <fgColor theme="1"/>
          <bgColor auto="1"/>
        </patternFill>
      </fill>
    </dxf>
    <dxf>
      <font>
        <color theme="0" tint="-0.499984740745262"/>
      </font>
      <fill>
        <patternFill patternType="lightUp">
          <fgColor theme="1"/>
          <bgColor auto="1"/>
        </patternFill>
      </fill>
    </dxf>
    <dxf>
      <font>
        <color theme="0" tint="-0.499984740745262"/>
      </font>
      <fill>
        <patternFill patternType="lightUp">
          <fgColor theme="1"/>
          <bgColor auto="1"/>
        </patternFill>
      </fill>
    </dxf>
    <dxf>
      <font>
        <color theme="0" tint="-0.499984740745262"/>
      </font>
      <fill>
        <patternFill patternType="lightUp">
          <fgColor theme="1"/>
          <bgColor auto="1"/>
        </patternFill>
      </fill>
    </dxf>
    <dxf>
      <font>
        <color theme="0" tint="-0.499984740745262"/>
      </font>
      <fill>
        <patternFill patternType="lightUp">
          <fgColor theme="1"/>
          <bgColor auto="1"/>
        </patternFill>
      </fill>
    </dxf>
    <dxf>
      <font>
        <color theme="1" tint="0.34998626667073579"/>
      </font>
      <fill>
        <patternFill patternType="lightUp">
          <fgColor theme="1"/>
          <bgColor auto="1"/>
        </patternFill>
      </fill>
    </dxf>
    <dxf>
      <font>
        <color theme="1" tint="0.34998626667073579"/>
      </font>
      <fill>
        <patternFill patternType="lightUp">
          <fgColor theme="1"/>
          <bgColor auto="1"/>
        </patternFill>
      </fill>
    </dxf>
    <dxf>
      <font>
        <color theme="1" tint="0.34998626667073579"/>
      </font>
      <fill>
        <patternFill patternType="lightUp">
          <fgColor theme="1"/>
          <bgColor auto="1"/>
        </patternFill>
      </fill>
    </dxf>
    <dxf>
      <font>
        <color theme="2" tint="-9.9948118533890809E-2"/>
      </font>
      <fill>
        <patternFill patternType="lightUp">
          <fgColor theme="1"/>
          <bgColor auto="1"/>
        </patternFill>
      </fill>
    </dxf>
    <dxf>
      <font>
        <color theme="1" tint="0.34998626667073579"/>
      </font>
      <fill>
        <patternFill patternType="lightUp">
          <fgColor theme="1"/>
          <bgColor auto="1"/>
        </patternFill>
      </fill>
    </dxf>
    <dxf>
      <font>
        <color rgb="FFFF0000"/>
      </font>
      <fill>
        <patternFill patternType="lightUp">
          <fgColor auto="1"/>
          <bgColor auto="1"/>
        </patternFill>
      </fill>
    </dxf>
    <dxf>
      <font>
        <color theme="1" tint="0.34998626667073579"/>
      </font>
      <fill>
        <patternFill patternType="lightUp">
          <fgColor theme="1"/>
          <bgColor auto="1"/>
        </patternFill>
      </fill>
    </dxf>
    <dxf>
      <font>
        <color theme="1" tint="0.34998626667073579"/>
      </font>
      <fill>
        <patternFill patternType="lightUp">
          <fgColor theme="1"/>
          <bgColor auto="1"/>
        </patternFill>
      </fill>
    </dxf>
    <dxf>
      <font>
        <strike val="0"/>
        <color rgb="FFFF0000"/>
      </font>
      <fill>
        <patternFill patternType="lightUp">
          <fgColor theme="1"/>
          <bgColor auto="1"/>
        </patternFill>
      </fill>
    </dxf>
    <dxf>
      <font>
        <color theme="1" tint="0.34998626667073579"/>
      </font>
      <fill>
        <patternFill patternType="lightUp">
          <fgColor theme="1"/>
          <bgColor auto="1"/>
        </patternFill>
      </fill>
    </dxf>
    <dxf>
      <font>
        <color theme="1" tint="0.34998626667073579"/>
      </font>
      <fill>
        <patternFill patternType="lightUp">
          <fgColor theme="1"/>
          <bgColor auto="1"/>
        </patternFill>
      </fill>
    </dxf>
    <dxf>
      <font>
        <color auto="1"/>
      </font>
      <fill>
        <patternFill>
          <bgColor rgb="FFFFFFCC"/>
        </patternFill>
      </fill>
    </dxf>
    <dxf>
      <font>
        <color theme="0" tint="-0.499984740745262"/>
      </font>
      <fill>
        <patternFill patternType="lightUp">
          <fgColor theme="1"/>
          <bgColor auto="1"/>
        </patternFill>
      </fill>
    </dxf>
    <dxf>
      <font>
        <color theme="1" tint="0.34998626667073579"/>
      </font>
      <fill>
        <patternFill patternType="lightUp">
          <fgColor theme="1"/>
          <bgColor auto="1"/>
        </patternFill>
      </fill>
    </dxf>
    <dxf>
      <font>
        <color rgb="FFFF0000"/>
      </font>
      <fill>
        <patternFill patternType="lightUp">
          <fgColor theme="1"/>
          <bgColor auto="1"/>
        </patternFill>
      </fill>
    </dxf>
    <dxf>
      <font>
        <b/>
        <i val="0"/>
        <color rgb="FFFF0000"/>
      </font>
    </dxf>
    <dxf>
      <font>
        <b/>
        <i val="0"/>
        <color rgb="FFFF0000"/>
      </font>
    </dxf>
    <dxf>
      <font>
        <color rgb="FFFF0000"/>
      </font>
    </dxf>
    <dxf>
      <font>
        <b val="0"/>
        <i val="0"/>
        <strike val="0"/>
        <condense val="0"/>
        <extend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numFmt numFmtId="0" formatCode="Genera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alignment horizontal="center"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0"/>
        <name val="Arial"/>
        <family val="2"/>
        <scheme val="none"/>
      </font>
      <fill>
        <patternFill patternType="solid">
          <fgColor indexed="64"/>
          <bgColor theme="4"/>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numFmt numFmtId="0" formatCode="General"/>
      <alignment horizontal="center" textRotation="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0" formatCode="General"/>
      <alignment horizont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alignment horizont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0" formatCode="Genera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dxf>
    <dxf>
      <border>
        <bottom style="thin">
          <color indexed="64"/>
        </bottom>
      </border>
    </dxf>
    <dxf>
      <alignment vertical="top"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minor"/>
      </font>
      <numFmt numFmtId="0" formatCode="Genera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theme="1"/>
        <name val="Arial"/>
        <family val="2"/>
        <scheme val="minor"/>
      </font>
      <numFmt numFmtId="0" formatCode="Genera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0" formatCode="General"/>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val="0"/>
        <i val="0"/>
        <strike val="0"/>
        <condense val="0"/>
        <extend val="0"/>
        <outline val="0"/>
        <shadow val="0"/>
        <u val="none"/>
        <vertAlign val="baseline"/>
        <sz val="14"/>
        <color theme="0"/>
        <name val="Arial"/>
        <family val="2"/>
        <scheme val="none"/>
      </font>
      <fill>
        <patternFill patternType="solid">
          <fgColor indexed="64"/>
          <bgColor theme="4"/>
        </patternFill>
      </fill>
      <alignment horizontal="general" vertical="top"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minor"/>
      </font>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theme="1"/>
        <name val="Arial"/>
        <family val="2"/>
        <scheme val="minor"/>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0" formatCode="Genera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val="0"/>
        <i val="0"/>
        <strike val="0"/>
        <condense val="0"/>
        <extend val="0"/>
        <outline val="0"/>
        <shadow val="0"/>
        <u val="none"/>
        <vertAlign val="baseline"/>
        <sz val="14"/>
        <color theme="0"/>
        <name val="Arial"/>
        <family val="2"/>
        <scheme val="none"/>
      </font>
      <fill>
        <patternFill patternType="solid">
          <fgColor indexed="64"/>
          <bgColor theme="4"/>
        </patternFill>
      </fill>
      <alignment horizontal="general" vertical="top"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2"/>
        <color theme="1"/>
        <name val="Arial"/>
        <family val="2"/>
        <scheme val="minor"/>
      </font>
      <alignment horizontal="center" vertical="center" textRotation="0" wrapText="1" indent="0" justifyLastLine="0" shrinkToFit="0" readingOrder="0"/>
      <border diagonalUp="0" diagonalDown="0" outline="0">
        <left style="thin">
          <color indexed="64"/>
        </left>
        <right/>
        <top style="thin">
          <color indexed="64"/>
        </top>
        <bottom style="thin">
          <color auto="1"/>
        </bottom>
      </border>
    </dxf>
    <dxf>
      <font>
        <strike val="0"/>
        <outline val="0"/>
        <shadow val="0"/>
        <u val="none"/>
        <vertAlign val="baseline"/>
        <sz val="12"/>
        <color theme="1"/>
        <name val="Arial"/>
        <family val="2"/>
        <scheme val="minor"/>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auto="1"/>
        </bottom>
      </border>
    </dxf>
    <dxf>
      <font>
        <strike val="0"/>
        <outline val="0"/>
        <shadow val="0"/>
        <u val="none"/>
        <vertAlign val="baseline"/>
        <sz val="12"/>
        <color theme="1"/>
        <name val="Arial"/>
        <family val="2"/>
        <scheme val="minor"/>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auto="1"/>
        </bottom>
      </border>
    </dxf>
    <dxf>
      <font>
        <strike val="0"/>
        <outline val="0"/>
        <shadow val="0"/>
        <u val="none"/>
        <vertAlign val="baseline"/>
        <sz val="12"/>
        <color theme="1"/>
        <name val="Arial"/>
        <family val="2"/>
        <scheme val="minor"/>
      </font>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dxf>
    <dxf>
      <font>
        <strike val="0"/>
        <outline val="0"/>
        <shadow val="0"/>
        <u val="none"/>
        <vertAlign val="baseline"/>
        <sz val="12"/>
        <color theme="1"/>
        <name val="Arial"/>
        <family val="2"/>
        <scheme val="minor"/>
      </font>
      <numFmt numFmtId="0" formatCode="Genera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border outline="0">
        <top style="thin">
          <color indexed="64"/>
        </top>
      </border>
    </dxf>
    <dxf>
      <border outline="0">
        <left style="thin">
          <color indexed="64"/>
        </left>
        <right style="thin">
          <color auto="1"/>
        </right>
        <top style="thin">
          <color indexed="64"/>
        </top>
        <bottom style="thin">
          <color auto="1"/>
        </bottom>
      </border>
    </dxf>
    <dxf>
      <font>
        <strike val="0"/>
        <outline val="0"/>
        <shadow val="0"/>
        <u val="none"/>
        <vertAlign val="baseline"/>
        <sz val="12"/>
        <color theme="1"/>
        <name val="Arial"/>
        <family val="2"/>
        <scheme val="minor"/>
      </font>
      <alignment horizontal="general" vertical="center" textRotation="0" wrapText="1" indent="0" justifyLastLine="0" shrinkToFit="0" readingOrder="0"/>
    </dxf>
    <dxf>
      <border outline="0">
        <bottom style="thin">
          <color auto="1"/>
        </bottom>
      </border>
    </dxf>
    <dxf>
      <font>
        <b val="0"/>
        <i val="0"/>
        <strike val="0"/>
        <condense val="0"/>
        <extend val="0"/>
        <outline val="0"/>
        <shadow val="0"/>
        <u val="none"/>
        <vertAlign val="baseline"/>
        <sz val="14"/>
        <color theme="0"/>
        <name val="Arial"/>
        <family val="2"/>
        <scheme val="none"/>
      </font>
      <fill>
        <patternFill patternType="solid">
          <fgColor indexed="64"/>
          <bgColor theme="4"/>
        </patternFill>
      </fill>
      <alignment horizontal="general" vertical="top" textRotation="0" wrapText="0" indent="0" justifyLastLine="0" shrinkToFit="0" readingOrder="0"/>
      <border diagonalUp="0" diagonalDown="0" outline="0">
        <left style="thin">
          <color indexed="64"/>
        </left>
        <right style="thin">
          <color indexed="64"/>
        </right>
        <top/>
        <bottom/>
      </border>
    </dxf>
    <dxf>
      <font>
        <b val="0"/>
        <strike val="0"/>
        <outline val="0"/>
        <shadow val="0"/>
        <u val="none"/>
        <vertAlign val="baseline"/>
        <sz val="12"/>
        <color theme="1"/>
        <name val="Arial"/>
        <family val="2"/>
        <scheme val="minor"/>
      </font>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strike val="0"/>
        <outline val="0"/>
        <shadow val="0"/>
        <u val="none"/>
        <vertAlign val="baseline"/>
        <sz val="12"/>
        <color theme="1"/>
        <name val="Arial"/>
        <family val="2"/>
        <scheme val="minor"/>
      </font>
      <numFmt numFmtId="0" formatCode="Genera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theme="1"/>
        <name val="Arial"/>
        <family val="2"/>
        <scheme val="minor"/>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theme="1"/>
        <name val="Arial"/>
        <family val="2"/>
        <scheme val="minor"/>
      </font>
      <numFmt numFmtId="0" formatCode="Genera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strike val="0"/>
        <outline val="0"/>
        <shadow val="0"/>
        <u val="none"/>
        <vertAlign val="baseline"/>
        <sz val="12"/>
        <color theme="1"/>
        <name val="Arial"/>
        <family val="2"/>
        <scheme val="minor"/>
      </font>
      <alignment horizontal="left" vertical="center" textRotation="0" wrapText="1" indent="0" justifyLastLine="0" shrinkToFit="0" readingOrder="0"/>
    </dxf>
    <dxf>
      <border>
        <bottom style="thin">
          <color indexed="64"/>
        </bottom>
      </border>
    </dxf>
    <dxf>
      <font>
        <b val="0"/>
        <i val="0"/>
        <strike val="0"/>
        <condense val="0"/>
        <extend val="0"/>
        <outline val="0"/>
        <shadow val="0"/>
        <u val="none"/>
        <vertAlign val="baseline"/>
        <sz val="14"/>
        <color theme="0"/>
        <name val="Arial"/>
        <family val="2"/>
        <scheme val="none"/>
      </font>
      <fill>
        <patternFill patternType="solid">
          <fgColor indexed="64"/>
          <bgColor theme="4"/>
        </patternFill>
      </fill>
      <alignment horizontal="left" vertical="top"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ndense val="0"/>
        <extend val="0"/>
      </font>
      <fill>
        <patternFill>
          <bgColor rgb="FFB8CDCB"/>
        </patternFill>
      </fill>
      <border>
        <left style="thin">
          <color rgb="FFB8CDCB"/>
        </left>
        <right style="thin">
          <color rgb="FFB8CDCB"/>
        </right>
        <top style="thin">
          <color rgb="FFB8CDCB"/>
        </top>
        <bottom style="thin">
          <color rgb="FFB8CDCB"/>
        </bottom>
      </border>
    </dxf>
    <dxf>
      <font>
        <condense val="0"/>
        <extend val="0"/>
      </font>
      <fill>
        <patternFill>
          <bgColor rgb="FFD8BABB"/>
        </patternFill>
      </fill>
      <border>
        <left style="thin">
          <color rgb="FFD8BABB"/>
        </left>
        <right style="thin">
          <color rgb="FFD8BABB"/>
        </right>
        <top style="thin">
          <color rgb="FFD8BABB"/>
        </top>
        <bottom style="thin">
          <color rgb="FFD8BABB"/>
        </bottom>
      </border>
    </dxf>
    <dxf>
      <font>
        <condense val="0"/>
        <extend val="0"/>
      </font>
      <fill>
        <patternFill>
          <bgColor rgb="FFB8CDCB"/>
        </patternFill>
      </fill>
      <border>
        <left style="thin">
          <color rgb="FFB8CDCB"/>
        </left>
        <right style="thin">
          <color rgb="FFB8CDCB"/>
        </right>
        <top style="thin">
          <color rgb="FFB8CDCB"/>
        </top>
        <bottom style="thin">
          <color rgb="FFB8CDCB"/>
        </bottom>
      </border>
    </dxf>
    <dxf>
      <font>
        <condense val="0"/>
        <extend val="0"/>
      </font>
      <fill>
        <patternFill>
          <bgColor rgb="FFD8BABB"/>
        </patternFill>
      </fill>
      <border>
        <left style="thin">
          <color rgb="FFD8BABB"/>
        </left>
        <right style="thin">
          <color rgb="FFD8BABB"/>
        </right>
        <top style="thin">
          <color rgb="FFD8BABB"/>
        </top>
        <bottom style="thin">
          <color rgb="FFD8BABB"/>
        </bottom>
      </border>
    </dxf>
    <dxf>
      <font>
        <b/>
        <i val="0"/>
        <color rgb="FFFF0000"/>
      </font>
    </dxf>
  </dxfs>
  <tableStyles count="0" defaultTableStyle="TableStyleLight9" defaultPivotStyle="PivotStyleLight16"/>
  <colors>
    <mruColors>
      <color rgb="FFD9D9D9"/>
      <color rgb="FFFFFFCC"/>
      <color rgb="FFFFFF99"/>
      <color rgb="FFC8CBC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eetMetadata" Target="metadata.xml"/><Relationship Id="rId77"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microsoft.com/office/2017/06/relationships/rdRichValueTypes" Target="richData/rdRichValueTyp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microsoft.com/office/2017/06/relationships/rdRichValue" Target="richData/rdrichvalue.xml"/><Relationship Id="rId75"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microsoft.com/office/2017/10/relationships/person" Target="persons/person.xml"/><Relationship Id="rId78" Type="http://schemas.microsoft.com/office/2022/10/relationships/richValueRel" Target="richData/richValueRel.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ustomXml" Target="../customXml/item2.xml"/><Relationship Id="rId7" Type="http://schemas.openxmlformats.org/officeDocument/2006/relationships/worksheet" Target="worksheets/sheet7.xml"/><Relationship Id="rId71" Type="http://schemas.microsoft.com/office/2017/06/relationships/rdRichValueStructure" Target="richData/rdrichvaluestructure.xml"/><Relationship Id="rId2" Type="http://schemas.openxmlformats.org/officeDocument/2006/relationships/worksheet" Target="worksheets/sheet2.xml"/><Relationship Id="rId29" Type="http://schemas.openxmlformats.org/officeDocument/2006/relationships/worksheet" Target="worksheets/sheet29.xml"/></Relationships>
</file>

<file path=xl/ctrlProps/ctrlProp1.xml><?xml version="1.0" encoding="utf-8"?>
<formControlPr xmlns="http://schemas.microsoft.com/office/spreadsheetml/2009/9/main" objectType="Radio" checked="Checked" firstButton="1" fmlaLink="$B$31" noThreeD="1"/>
</file>

<file path=xl/ctrlProps/ctrlProp10.xml><?xml version="1.0" encoding="utf-8"?>
<formControlPr xmlns="http://schemas.microsoft.com/office/spreadsheetml/2009/9/main" objectType="CheckBox" fmlaLink="$C$31" lockText="1" noThreeD="1"/>
</file>

<file path=xl/ctrlProps/ctrlProp11.xml><?xml version="1.0" encoding="utf-8"?>
<formControlPr xmlns="http://schemas.microsoft.com/office/spreadsheetml/2009/9/main" objectType="CheckBox" fmlaLink="$C$32" lockText="1" noThreeD="1"/>
</file>

<file path=xl/ctrlProps/ctrlProp12.xml><?xml version="1.0" encoding="utf-8"?>
<formControlPr xmlns="http://schemas.microsoft.com/office/spreadsheetml/2009/9/main" objectType="CheckBox" fmlaLink="$B$16" lockText="1" noThreeD="1"/>
</file>

<file path=xl/ctrlProps/ctrlProp13.xml><?xml version="1.0" encoding="utf-8"?>
<formControlPr xmlns="http://schemas.microsoft.com/office/spreadsheetml/2009/9/main" objectType="CheckBox" fmlaLink="$C$33" lockText="1" noThreeD="1"/>
</file>

<file path=xl/ctrlProps/ctrlProp14.xml><?xml version="1.0" encoding="utf-8"?>
<formControlPr xmlns="http://schemas.microsoft.com/office/spreadsheetml/2009/9/main" objectType="CheckBox" fmlaLink="$C$34" lockText="1" noThreeD="1"/>
</file>

<file path=xl/ctrlProps/ctrlProp15.xml><?xml version="1.0" encoding="utf-8"?>
<formControlPr xmlns="http://schemas.microsoft.com/office/spreadsheetml/2009/9/main" objectType="CheckBox" fmlaLink="$C$35" lockText="1" noThreeD="1"/>
</file>

<file path=xl/ctrlProps/ctrlProp16.xml><?xml version="1.0" encoding="utf-8"?>
<formControlPr xmlns="http://schemas.microsoft.com/office/spreadsheetml/2009/9/main" objectType="CheckBox" fmlaLink="$C$36" lockText="1" noThreeD="1"/>
</file>

<file path=xl/ctrlProps/ctrlProp17.xml><?xml version="1.0" encoding="utf-8"?>
<formControlPr xmlns="http://schemas.microsoft.com/office/spreadsheetml/2009/9/main" objectType="CheckBox" fmlaLink="$C$37" lockText="1" noThreeD="1"/>
</file>

<file path=xl/ctrlProps/ctrlProp18.xml><?xml version="1.0" encoding="utf-8"?>
<formControlPr xmlns="http://schemas.microsoft.com/office/spreadsheetml/2009/9/main" objectType="CheckBox" fmlaLink="$C$38" lockText="1" noThreeD="1"/>
</file>

<file path=xl/ctrlProps/ctrlProp19.xml><?xml version="1.0" encoding="utf-8"?>
<formControlPr xmlns="http://schemas.microsoft.com/office/spreadsheetml/2009/9/main" objectType="CheckBox" fmlaLink="$C$39" lockText="1" noThreeD="1"/>
</file>

<file path=xl/ctrlProps/ctrlProp2.xml><?xml version="1.0" encoding="utf-8"?>
<formControlPr xmlns="http://schemas.microsoft.com/office/spreadsheetml/2009/9/main" objectType="Radio" noThreeD="1"/>
</file>

<file path=xl/ctrlProps/ctrlProp20.xml><?xml version="1.0" encoding="utf-8"?>
<formControlPr xmlns="http://schemas.microsoft.com/office/spreadsheetml/2009/9/main" objectType="CheckBox" fmlaLink="$C$54" lockText="1" noThreeD="1"/>
</file>

<file path=xl/ctrlProps/ctrlProp21.xml><?xml version="1.0" encoding="utf-8"?>
<formControlPr xmlns="http://schemas.microsoft.com/office/spreadsheetml/2009/9/main" objectType="CheckBox" fmlaLink="$C$55" lockText="1" noThreeD="1"/>
</file>

<file path=xl/ctrlProps/ctrlProp22.xml><?xml version="1.0" encoding="utf-8"?>
<formControlPr xmlns="http://schemas.microsoft.com/office/spreadsheetml/2009/9/main" objectType="CheckBox" fmlaLink="$C$56" lockText="1" noThreeD="1"/>
</file>

<file path=xl/ctrlProps/ctrlProp23.xml><?xml version="1.0" encoding="utf-8"?>
<formControlPr xmlns="http://schemas.microsoft.com/office/spreadsheetml/2009/9/main" objectType="CheckBox" fmlaLink="$C$57" lockText="1" noThreeD="1"/>
</file>

<file path=xl/ctrlProps/ctrlProp24.xml><?xml version="1.0" encoding="utf-8"?>
<formControlPr xmlns="http://schemas.microsoft.com/office/spreadsheetml/2009/9/main" objectType="CheckBox" fmlaLink="$C$67" lockText="1" noThreeD="1"/>
</file>

<file path=xl/ctrlProps/ctrlProp25.xml><?xml version="1.0" encoding="utf-8"?>
<formControlPr xmlns="http://schemas.microsoft.com/office/spreadsheetml/2009/9/main" objectType="CheckBox" fmlaLink="$C$68" lockText="1" noThreeD="1"/>
</file>

<file path=xl/ctrlProps/ctrlProp26.xml><?xml version="1.0" encoding="utf-8"?>
<formControlPr xmlns="http://schemas.microsoft.com/office/spreadsheetml/2009/9/main" objectType="CheckBox" fmlaLink="$C$69" lockText="1" noThreeD="1"/>
</file>

<file path=xl/ctrlProps/ctrlProp27.xml><?xml version="1.0" encoding="utf-8"?>
<formControlPr xmlns="http://schemas.microsoft.com/office/spreadsheetml/2009/9/main" objectType="CheckBox" fmlaLink="$C$70" lockText="1" noThreeD="1"/>
</file>

<file path=xl/ctrlProps/ctrlProp28.xml><?xml version="1.0" encoding="utf-8"?>
<formControlPr xmlns="http://schemas.microsoft.com/office/spreadsheetml/2009/9/main" objectType="CheckBox" fmlaLink="$C$71" lockText="1" noThreeD="1"/>
</file>

<file path=xl/ctrlProps/ctrlProp29.xml><?xml version="1.0" encoding="utf-8"?>
<formControlPr xmlns="http://schemas.microsoft.com/office/spreadsheetml/2009/9/main" objectType="CheckBox" fmlaLink="$C$72" lockText="1" noThreeD="1"/>
</file>

<file path=xl/ctrlProps/ctrlProp3.xml><?xml version="1.0" encoding="utf-8"?>
<formControlPr xmlns="http://schemas.microsoft.com/office/spreadsheetml/2009/9/main" objectType="Radio" noThreeD="1"/>
</file>

<file path=xl/ctrlProps/ctrlProp30.xml><?xml version="1.0" encoding="utf-8"?>
<formControlPr xmlns="http://schemas.microsoft.com/office/spreadsheetml/2009/9/main" objectType="CheckBox" fmlaLink="$C$73" lockText="1" noThreeD="1"/>
</file>

<file path=xl/ctrlProps/ctrlProp31.xml><?xml version="1.0" encoding="utf-8"?>
<formControlPr xmlns="http://schemas.microsoft.com/office/spreadsheetml/2009/9/main" objectType="CheckBox" fmlaLink="$C$74" lockText="1" noThreeD="1"/>
</file>

<file path=xl/ctrlProps/ctrlProp32.xml><?xml version="1.0" encoding="utf-8"?>
<formControlPr xmlns="http://schemas.microsoft.com/office/spreadsheetml/2009/9/main" objectType="CheckBox" fmlaLink="$C$75" lockText="1" noThreeD="1"/>
</file>

<file path=xl/ctrlProps/ctrlProp33.xml><?xml version="1.0" encoding="utf-8"?>
<formControlPr xmlns="http://schemas.microsoft.com/office/spreadsheetml/2009/9/main" objectType="CheckBox" fmlaLink="$C$76" lockText="1" noThreeD="1"/>
</file>

<file path=xl/ctrlProps/ctrlProp34.xml><?xml version="1.0" encoding="utf-8"?>
<formControlPr xmlns="http://schemas.microsoft.com/office/spreadsheetml/2009/9/main" objectType="CheckBox" fmlaLink="$C$81" lockText="1" noThreeD="1"/>
</file>

<file path=xl/ctrlProps/ctrlProp35.xml><?xml version="1.0" encoding="utf-8"?>
<formControlPr xmlns="http://schemas.microsoft.com/office/spreadsheetml/2009/9/main" objectType="CheckBox" fmlaLink="$C$85" lockText="1" noThreeD="1"/>
</file>

<file path=xl/ctrlProps/ctrlProp36.xml><?xml version="1.0" encoding="utf-8"?>
<formControlPr xmlns="http://schemas.microsoft.com/office/spreadsheetml/2009/9/main" objectType="CheckBox" fmlaLink="$B$16" lockText="1" noThreeD="1"/>
</file>

<file path=xl/ctrlProps/ctrlProp37.xml><?xml version="1.0" encoding="utf-8"?>
<formControlPr xmlns="http://schemas.microsoft.com/office/spreadsheetml/2009/9/main" objectType="CheckBox" fmlaLink="$C$40" lockText="1" noThreeD="1"/>
</file>

<file path=xl/ctrlProps/ctrlProp38.xml><?xml version="1.0" encoding="utf-8"?>
<formControlPr xmlns="http://schemas.microsoft.com/office/spreadsheetml/2009/9/main" objectType="CheckBox" checked="Checked" fmlaLink="$B$15" lockText="1" noThreeD="1"/>
</file>

<file path=xl/ctrlProps/ctrlProp39.xml><?xml version="1.0" encoding="utf-8"?>
<formControlPr xmlns="http://schemas.microsoft.com/office/spreadsheetml/2009/9/main" objectType="CheckBox" checked="Checked" fmlaLink="$B$61" lockText="1" noThreeD="1"/>
</file>

<file path=xl/ctrlProps/ctrlProp4.xml><?xml version="1.0" encoding="utf-8"?>
<formControlPr xmlns="http://schemas.microsoft.com/office/spreadsheetml/2009/9/main" objectType="CheckBox" fmlaLink="D_List!$B$29"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fmlaLink="$E$98" lockText="1" noThreeD="1"/>
</file>

<file path=xl/ctrlProps/ctrlProp7.xml><?xml version="1.0" encoding="utf-8"?>
<formControlPr xmlns="http://schemas.microsoft.com/office/spreadsheetml/2009/9/main" objectType="CheckBox" fmlaLink="$E$34" lockText="1" noThreeD="1"/>
</file>

<file path=xl/ctrlProps/ctrlProp8.xml><?xml version="1.0" encoding="utf-8"?>
<formControlPr xmlns="http://schemas.microsoft.com/office/spreadsheetml/2009/9/main" objectType="CheckBox" fmlaLink="$E$72" lockText="1" noThreeD="1"/>
</file>

<file path=xl/ctrlProps/ctrlProp9.xml><?xml version="1.0" encoding="utf-8"?>
<formControlPr xmlns="http://schemas.microsoft.com/office/spreadsheetml/2009/9/main" objectType="CheckBox" fmlaLink="$E$99" lockText="1" noThreeD="1"/>
</file>

<file path=xl/drawings/_rels/drawing1.xml.rels><?xml version="1.0" encoding="UTF-8" standalone="yes"?>
<Relationships xmlns="http://schemas.openxmlformats.org/package/2006/relationships"><Relationship Id="rId8" Type="http://schemas.openxmlformats.org/officeDocument/2006/relationships/hyperlink" Target="#D_Ceiling_Fans!A1"/><Relationship Id="rId13" Type="http://schemas.openxmlformats.org/officeDocument/2006/relationships/hyperlink" Target="https://www.abcb.gov.au/" TargetMode="External"/><Relationship Id="rId3" Type="http://schemas.openxmlformats.org/officeDocument/2006/relationships/image" Target="../media/image2.png"/><Relationship Id="rId7" Type="http://schemas.openxmlformats.org/officeDocument/2006/relationships/hyperlink" Target="#'13.4 Building Sealing'!A1"/><Relationship Id="rId12"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hyperlink" Target="#'13.3 External Glazing'!A1"/><Relationship Id="rId11" Type="http://schemas.openxmlformats.org/officeDocument/2006/relationships/hyperlink" Target="#'13.5 Ceiling Fans'!A1"/><Relationship Id="rId5" Type="http://schemas.openxmlformats.org/officeDocument/2006/relationships/hyperlink" Target="#'13.2 Building Fabric'!A1"/><Relationship Id="rId15" Type="http://schemas.openxmlformats.org/officeDocument/2006/relationships/hyperlink" Target="#Worksheet!A1"/><Relationship Id="rId10" Type="http://schemas.openxmlformats.org/officeDocument/2006/relationships/hyperlink" Target="#'13.7 Services'!A1"/><Relationship Id="rId4" Type="http://schemas.openxmlformats.org/officeDocument/2006/relationships/image" Target="../media/image3.png"/><Relationship Id="rId9" Type="http://schemas.openxmlformats.org/officeDocument/2006/relationships/hyperlink" Target="#'13.6 Whole-of-Home Energy Usage'!A1"/><Relationship Id="rId14" Type="http://schemas.openxmlformats.org/officeDocument/2006/relationships/hyperlink" Target="#Help!A1"/></Relationships>
</file>

<file path=xl/drawings/_rels/drawing10.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Home!A1"/></Relationships>
</file>

<file path=xl/drawings/_rels/drawing1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Home!A1"/><Relationship Id="rId4" Type="http://schemas.openxmlformats.org/officeDocument/2006/relationships/image" Target="../media/image20.jpeg"/></Relationships>
</file>

<file path=xl/drawings/_rels/drawing1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Home!A1"/></Relationships>
</file>

<file path=xl/drawings/_rels/drawing1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Home!A1"/><Relationship Id="rId4" Type="http://schemas.openxmlformats.org/officeDocument/2006/relationships/image" Target="../media/image2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ome!A1"/><Relationship Id="rId1" Type="http://schemas.openxmlformats.org/officeDocument/2006/relationships/hyperlink" Target="https://ncc.abcb.gov.au/editions/ncc-2022/adopted/housing-provisions/13-energy-efficiency/part-136-whole-home-energy-usage" TargetMode="External"/><Relationship Id="rId4" Type="http://schemas.microsoft.com/office/2007/relationships/hdphoto" Target="../media/hdphoto1.wdp"/></Relationships>
</file>

<file path=xl/drawings/_rels/drawing1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Home!A1"/><Relationship Id="rId4" Type="http://schemas.openxmlformats.org/officeDocument/2006/relationships/image" Target="../media/image22.png"/></Relationships>
</file>

<file path=xl/drawings/_rels/drawing1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Home!A1"/><Relationship Id="rId4" Type="http://schemas.openxmlformats.org/officeDocument/2006/relationships/hyperlink" Target="#'13.7.6 Artificial Lighting'!A1"/></Relationships>
</file>

<file path=xl/drawings/_rels/drawing17.xml.rels><?xml version="1.0" encoding="UTF-8" standalone="yes"?>
<Relationships xmlns="http://schemas.openxmlformats.org/package/2006/relationships"><Relationship Id="rId3" Type="http://schemas.microsoft.com/office/2007/relationships/hdphoto" Target="../media/hdphoto1.wdp"/><Relationship Id="rId7" Type="http://schemas.openxmlformats.org/officeDocument/2006/relationships/image" Target="../media/image26.png"/><Relationship Id="rId2" Type="http://schemas.openxmlformats.org/officeDocument/2006/relationships/image" Target="../media/image1.png"/><Relationship Id="rId1" Type="http://schemas.openxmlformats.org/officeDocument/2006/relationships/hyperlink" Target="#Home!A1"/><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_rels/drawing1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ome!A1"/><Relationship Id="rId1" Type="http://schemas.openxmlformats.org/officeDocument/2006/relationships/hyperlink" Target="#'Adjustment factors'!A1"/><Relationship Id="rId5" Type="http://schemas.openxmlformats.org/officeDocument/2006/relationships/hyperlink" Target="https://ncc.abcb.gov.au/editions/ncc-2022/adopted/housing-provisions/13-energy-efficiency/part-137-services" TargetMode="External"/><Relationship Id="rId4" Type="http://schemas.microsoft.com/office/2007/relationships/hdphoto" Target="../media/hdphoto1.wdp"/></Relationships>
</file>

<file path=xl/drawings/_rels/drawing19.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Home!A1"/></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Home!A1"/><Relationship Id="rId5" Type="http://schemas.openxmlformats.org/officeDocument/2006/relationships/hyperlink" Target="https://www.abcb.gov.au/" TargetMode="External"/><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8" Type="http://schemas.openxmlformats.org/officeDocument/2006/relationships/hyperlink" Target="#'13.7 Services'!A1"/><Relationship Id="rId3" Type="http://schemas.openxmlformats.org/officeDocument/2006/relationships/hyperlink" Target="#'13.2 Building Fabric'!A1"/><Relationship Id="rId7" Type="http://schemas.openxmlformats.org/officeDocument/2006/relationships/hyperlink" Target="#'13.6 Whole-of-Home Energy Usage'!A1"/><Relationship Id="rId2" Type="http://schemas.openxmlformats.org/officeDocument/2006/relationships/hyperlink" Target="#'Project Summary'!A1"/><Relationship Id="rId1" Type="http://schemas.openxmlformats.org/officeDocument/2006/relationships/hyperlink" Target="#Home!A1"/><Relationship Id="rId6" Type="http://schemas.openxmlformats.org/officeDocument/2006/relationships/hyperlink" Target="#'13.5 Ceiling Fans'!A1"/><Relationship Id="rId5" Type="http://schemas.openxmlformats.org/officeDocument/2006/relationships/hyperlink" Target="#'13.4 Building Sealing'!A1"/><Relationship Id="rId4" Type="http://schemas.openxmlformats.org/officeDocument/2006/relationships/hyperlink" Target="#'13.3 External Glazing'!A1"/><Relationship Id="rId9" Type="http://schemas.openxmlformats.org/officeDocument/2006/relationships/hyperlink" Target="#'13.7.6 Artificial Lighting'!A1"/></Relationships>
</file>

<file path=xl/drawings/_rels/drawing2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Home!A1"/></Relationships>
</file>

<file path=xl/drawings/_rels/drawing2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Home!A1"/></Relationships>
</file>

<file path=xl/drawings/_rels/drawing2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Home!A1"/></Relationships>
</file>

<file path=xl/drawings/_rels/drawing2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Home!A1"/></Relationships>
</file>

<file path=xl/drawings/_rels/drawing26.xml.rels><?xml version="1.0" encoding="UTF-8" standalone="yes"?>
<Relationships xmlns="http://schemas.openxmlformats.org/package/2006/relationships"><Relationship Id="rId3" Type="http://schemas.openxmlformats.org/officeDocument/2006/relationships/image" Target="../media/image27.jpg"/><Relationship Id="rId2" Type="http://schemas.openxmlformats.org/officeDocument/2006/relationships/hyperlink" Target="#'Class 1'!A1"/><Relationship Id="rId1" Type="http://schemas.openxmlformats.org/officeDocument/2006/relationships/hyperlink" Target="#'Main Menu'!A1"/><Relationship Id="rId6" Type="http://schemas.openxmlformats.org/officeDocument/2006/relationships/image" Target="../media/image30.png"/><Relationship Id="rId5" Type="http://schemas.openxmlformats.org/officeDocument/2006/relationships/image" Target="../media/image29.png"/><Relationship Id="rId4" Type="http://schemas.openxmlformats.org/officeDocument/2006/relationships/image" Target="../media/image28.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1.png"/><Relationship Id="rId7" Type="http://schemas.openxmlformats.org/officeDocument/2006/relationships/image" Target="../media/image8.png"/><Relationship Id="rId2" Type="http://schemas.openxmlformats.org/officeDocument/2006/relationships/hyperlink" Target="#Home!A1"/><Relationship Id="rId1" Type="http://schemas.openxmlformats.org/officeDocument/2006/relationships/image" Target="../media/image5.png"/><Relationship Id="rId6" Type="http://schemas.openxmlformats.org/officeDocument/2006/relationships/image" Target="../media/image7.png"/><Relationship Id="rId5" Type="http://schemas.openxmlformats.org/officeDocument/2006/relationships/image" Target="../media/image6.png"/><Relationship Id="rId4" Type="http://schemas.microsoft.com/office/2007/relationships/hdphoto" Target="../media/hdphoto1.wdp"/></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8" Type="http://schemas.openxmlformats.org/officeDocument/2006/relationships/image" Target="../media/image14.jpeg"/><Relationship Id="rId3" Type="http://schemas.microsoft.com/office/2007/relationships/hdphoto" Target="../media/hdphoto1.wdp"/><Relationship Id="rId7" Type="http://schemas.openxmlformats.org/officeDocument/2006/relationships/image" Target="../media/image13.jpeg"/><Relationship Id="rId2" Type="http://schemas.openxmlformats.org/officeDocument/2006/relationships/image" Target="../media/image1.png"/><Relationship Id="rId1" Type="http://schemas.openxmlformats.org/officeDocument/2006/relationships/hyperlink" Target="#Home!A1"/><Relationship Id="rId6" Type="http://schemas.openxmlformats.org/officeDocument/2006/relationships/image" Target="../media/image12.jpeg"/><Relationship Id="rId5" Type="http://schemas.openxmlformats.org/officeDocument/2006/relationships/image" Target="../media/image11.png"/><Relationship Id="rId4" Type="http://schemas.openxmlformats.org/officeDocument/2006/relationships/image" Target="../media/image10.png"/></Relationships>
</file>

<file path=xl/drawings/_rels/drawing8.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Home!A1"/><Relationship Id="rId4" Type="http://schemas.openxmlformats.org/officeDocument/2006/relationships/hyperlink" Target="https://ncc.abcb.gov.au/editions/ncc-2022/adopted/housing-provisions/13-energy-efficiency/part-133-external-glazing" TargetMode="External"/></Relationships>
</file>

<file path=xl/drawings/_rels/drawing9.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png"/><Relationship Id="rId7" Type="http://schemas.openxmlformats.org/officeDocument/2006/relationships/image" Target="../media/image18.png"/><Relationship Id="rId2" Type="http://schemas.openxmlformats.org/officeDocument/2006/relationships/hyperlink" Target="#Home!A1"/><Relationship Id="rId1" Type="http://schemas.openxmlformats.org/officeDocument/2006/relationships/image" Target="../media/image15.png"/><Relationship Id="rId6" Type="http://schemas.openxmlformats.org/officeDocument/2006/relationships/image" Target="../media/image17.png"/><Relationship Id="rId5" Type="http://schemas.openxmlformats.org/officeDocument/2006/relationships/image" Target="../media/image16.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17</xdr:col>
      <xdr:colOff>348431</xdr:colOff>
      <xdr:row>26</xdr:row>
      <xdr:rowOff>57557</xdr:rowOff>
    </xdr:from>
    <xdr:to>
      <xdr:col>18</xdr:col>
      <xdr:colOff>126775</xdr:colOff>
      <xdr:row>28</xdr:row>
      <xdr:rowOff>126282</xdr:rowOff>
    </xdr:to>
    <xdr:pic>
      <xdr:nvPicPr>
        <xdr:cNvPr id="1555" name="Picture 43" descr="A white arrow in a circle&#10;&#10;Description automatically generated">
          <a:extLst>
            <a:ext uri="{FF2B5EF4-FFF2-40B4-BE49-F238E27FC236}">
              <a16:creationId xmlns:a16="http://schemas.microsoft.com/office/drawing/2014/main" id="{00000000-0008-0000-0000-000013060000}"/>
            </a:ext>
          </a:extLst>
        </xdr:cNvPr>
        <xdr:cNvPicPr>
          <a:picLocks noChangeAspect="1"/>
        </xdr:cNvPicPr>
      </xdr:nvPicPr>
      <xdr:blipFill>
        <a:blip xmlns:r="http://schemas.openxmlformats.org/officeDocument/2006/relationships" r:embed="rId1">
          <a:biLevel thresh="75000"/>
          <a:extLst>
            <a:ext uri="{BEBA8EAE-BF5A-486C-A8C5-ECC9F3942E4B}">
              <a14:imgProps xmlns:a14="http://schemas.microsoft.com/office/drawing/2010/main">
                <a14:imgLayer r:embed="rId2">
                  <a14:imgEffect>
                    <a14:brightnessContrast bright="-40000" contrast="-40000"/>
                  </a14:imgEffect>
                </a14:imgLayer>
              </a14:imgProps>
            </a:ext>
          </a:extLst>
        </a:blip>
        <a:stretch>
          <a:fillRect/>
        </a:stretch>
      </xdr:blipFill>
      <xdr:spPr>
        <a:xfrm>
          <a:off x="12839788" y="5037771"/>
          <a:ext cx="455526" cy="439293"/>
        </a:xfrm>
        <a:prstGeom prst="rect">
          <a:avLst/>
        </a:prstGeom>
      </xdr:spPr>
    </xdr:pic>
    <xdr:clientData/>
  </xdr:twoCellAnchor>
  <xdr:twoCellAnchor editAs="oneCell">
    <xdr:from>
      <xdr:col>18</xdr:col>
      <xdr:colOff>369092</xdr:colOff>
      <xdr:row>15</xdr:row>
      <xdr:rowOff>59529</xdr:rowOff>
    </xdr:from>
    <xdr:to>
      <xdr:col>24</xdr:col>
      <xdr:colOff>436561</xdr:colOff>
      <xdr:row>19</xdr:row>
      <xdr:rowOff>107902</xdr:rowOff>
    </xdr:to>
    <xdr:sp macro="" textlink="">
      <xdr:nvSpPr>
        <xdr:cNvPr id="40" name="TextBox 39">
          <a:extLst>
            <a:ext uri="{FF2B5EF4-FFF2-40B4-BE49-F238E27FC236}">
              <a16:creationId xmlns:a16="http://schemas.microsoft.com/office/drawing/2014/main" id="{00000000-0008-0000-0000-000028000000}"/>
            </a:ext>
          </a:extLst>
        </xdr:cNvPr>
        <xdr:cNvSpPr txBox="1"/>
      </xdr:nvSpPr>
      <xdr:spPr>
        <a:xfrm>
          <a:off x="15263811" y="3321842"/>
          <a:ext cx="4179094" cy="8096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AU" sz="1200"/>
            <a:t>Yellow cells</a:t>
          </a:r>
          <a:r>
            <a:rPr lang="en-AU" sz="1200" baseline="0"/>
            <a:t> in the calculator are user input cells. They are either free text user input cells or a drop down box</a:t>
          </a:r>
          <a:r>
            <a:rPr lang="en-AU" sz="1200" b="1" baseline="0"/>
            <a:t>. All other cells are protected and should not be altered.</a:t>
          </a:r>
          <a:endParaRPr lang="en-AU" sz="1200" b="1"/>
        </a:p>
      </xdr:txBody>
    </xdr:sp>
    <xdr:clientData/>
  </xdr:twoCellAnchor>
  <xdr:twoCellAnchor editAs="oneCell">
    <xdr:from>
      <xdr:col>18</xdr:col>
      <xdr:colOff>402430</xdr:colOff>
      <xdr:row>25</xdr:row>
      <xdr:rowOff>7822</xdr:rowOff>
    </xdr:from>
    <xdr:to>
      <xdr:col>24</xdr:col>
      <xdr:colOff>401410</xdr:colOff>
      <xdr:row>29</xdr:row>
      <xdr:rowOff>10838</xdr:rowOff>
    </xdr:to>
    <xdr:sp macro="" textlink="">
      <xdr:nvSpPr>
        <xdr:cNvPr id="45" name="TextBox 40">
          <a:extLst>
            <a:ext uri="{FF2B5EF4-FFF2-40B4-BE49-F238E27FC236}">
              <a16:creationId xmlns:a16="http://schemas.microsoft.com/office/drawing/2014/main" id="{00000000-0008-0000-0000-00002D000000}"/>
            </a:ext>
          </a:extLst>
        </xdr:cNvPr>
        <xdr:cNvSpPr txBox="1"/>
      </xdr:nvSpPr>
      <xdr:spPr>
        <a:xfrm>
          <a:off x="13574144" y="4797536"/>
          <a:ext cx="4081123" cy="7890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AU" sz="1200">
              <a:latin typeface="Arial" panose="020B0604020202020204" pitchFamily="34" charset="0"/>
              <a:cs typeface="Arial" panose="020B0604020202020204" pitchFamily="34" charset="0"/>
            </a:rPr>
            <a:t>The back button takes the user back to the homepage</a:t>
          </a:r>
          <a:r>
            <a:rPr lang="en-AU" sz="1200" baseline="0">
              <a:latin typeface="Arial" panose="020B0604020202020204" pitchFamily="34" charset="0"/>
              <a:cs typeface="Arial" panose="020B0604020202020204" pitchFamily="34" charset="0"/>
            </a:rPr>
            <a:t> worksheets. This is located at the top of each worksheet. </a:t>
          </a:r>
        </a:p>
      </xdr:txBody>
    </xdr:sp>
    <xdr:clientData/>
  </xdr:twoCellAnchor>
  <xdr:twoCellAnchor editAs="oneCell">
    <xdr:from>
      <xdr:col>18</xdr:col>
      <xdr:colOff>402430</xdr:colOff>
      <xdr:row>29</xdr:row>
      <xdr:rowOff>148511</xdr:rowOff>
    </xdr:from>
    <xdr:to>
      <xdr:col>24</xdr:col>
      <xdr:colOff>430892</xdr:colOff>
      <xdr:row>32</xdr:row>
      <xdr:rowOff>86212</xdr:rowOff>
    </xdr:to>
    <xdr:sp macro="" textlink="">
      <xdr:nvSpPr>
        <xdr:cNvPr id="1557" name="TextBox 1046">
          <a:extLst>
            <a:ext uri="{FF2B5EF4-FFF2-40B4-BE49-F238E27FC236}">
              <a16:creationId xmlns:a16="http://schemas.microsoft.com/office/drawing/2014/main" id="{00000000-0008-0000-0000-000015060000}"/>
            </a:ext>
          </a:extLst>
        </xdr:cNvPr>
        <xdr:cNvSpPr txBox="1"/>
      </xdr:nvSpPr>
      <xdr:spPr>
        <a:xfrm>
          <a:off x="13574144" y="5727440"/>
          <a:ext cx="4107430" cy="8189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AU" sz="1200">
              <a:solidFill>
                <a:sysClr val="windowText" lastClr="000000"/>
              </a:solidFill>
              <a:latin typeface="Arial" panose="020B0604020202020204" pitchFamily="34" charset="0"/>
              <a:cs typeface="Arial" panose="020B0604020202020204" pitchFamily="34" charset="0"/>
            </a:rPr>
            <a:t>The check box is</a:t>
          </a:r>
          <a:r>
            <a:rPr lang="en-AU" sz="1200" baseline="0">
              <a:solidFill>
                <a:sysClr val="windowText" lastClr="000000"/>
              </a:solidFill>
              <a:latin typeface="Arial" panose="020B0604020202020204" pitchFamily="34" charset="0"/>
              <a:cs typeface="Arial" panose="020B0604020202020204" pitchFamily="34" charset="0"/>
            </a:rPr>
            <a:t> used to acknowledge a requirement for your project. Click on the appropriate tick box that is applicable to your project.</a:t>
          </a:r>
        </a:p>
      </xdr:txBody>
    </xdr:sp>
    <xdr:clientData/>
  </xdr:twoCellAnchor>
  <xdr:twoCellAnchor>
    <xdr:from>
      <xdr:col>2</xdr:col>
      <xdr:colOff>239059</xdr:colOff>
      <xdr:row>1</xdr:row>
      <xdr:rowOff>141940</xdr:rowOff>
    </xdr:from>
    <xdr:to>
      <xdr:col>23</xdr:col>
      <xdr:colOff>555812</xdr:colOff>
      <xdr:row>8</xdr:row>
      <xdr:rowOff>195167</xdr:rowOff>
    </xdr:to>
    <xdr:grpSp>
      <xdr:nvGrpSpPr>
        <xdr:cNvPr id="11" name="Group 10">
          <a:extLst>
            <a:ext uri="{FF2B5EF4-FFF2-40B4-BE49-F238E27FC236}">
              <a16:creationId xmlns:a16="http://schemas.microsoft.com/office/drawing/2014/main" id="{00000000-0008-0000-0000-00000B000000}"/>
            </a:ext>
          </a:extLst>
        </xdr:cNvPr>
        <xdr:cNvGrpSpPr/>
      </xdr:nvGrpSpPr>
      <xdr:grpSpPr>
        <a:xfrm>
          <a:off x="1474134" y="322008"/>
          <a:ext cx="15658353" cy="1272427"/>
          <a:chOff x="1553883" y="261464"/>
          <a:chExt cx="16094635" cy="1517463"/>
        </a:xfrm>
      </xdr:grpSpPr>
      <xdr:grpSp>
        <xdr:nvGrpSpPr>
          <xdr:cNvPr id="6" name="Group 5">
            <a:extLst>
              <a:ext uri="{FF2B5EF4-FFF2-40B4-BE49-F238E27FC236}">
                <a16:creationId xmlns:a16="http://schemas.microsoft.com/office/drawing/2014/main" id="{00000000-0008-0000-0000-000006000000}"/>
              </a:ext>
            </a:extLst>
          </xdr:cNvPr>
          <xdr:cNvGrpSpPr/>
        </xdr:nvGrpSpPr>
        <xdr:grpSpPr>
          <a:xfrm>
            <a:off x="1553884" y="261464"/>
            <a:ext cx="16094634" cy="1122061"/>
            <a:chOff x="14111" y="138288"/>
            <a:chExt cx="14644510" cy="1262945"/>
          </a:xfrm>
        </xdr:grpSpPr>
        <xdr:sp macro="" textlink="">
          <xdr:nvSpPr>
            <xdr:cNvPr id="7" name="Rectangle 6">
              <a:extLst>
                <a:ext uri="{FF2B5EF4-FFF2-40B4-BE49-F238E27FC236}">
                  <a16:creationId xmlns:a16="http://schemas.microsoft.com/office/drawing/2014/main" id="{00000000-0008-0000-0000-000007000000}"/>
                </a:ext>
              </a:extLst>
            </xdr:cNvPr>
            <xdr:cNvSpPr/>
          </xdr:nvSpPr>
          <xdr:spPr>
            <a:xfrm>
              <a:off x="14111" y="138288"/>
              <a:ext cx="14644510" cy="644174"/>
            </a:xfrm>
            <a:prstGeom prst="rect">
              <a:avLst/>
            </a:prstGeom>
            <a:noFill/>
            <a:ln w="6350" cap="flat" cmpd="sng" algn="ctr">
              <a:noFill/>
              <a:prstDash val="solid"/>
              <a:miter lim="800000"/>
            </a:ln>
            <a:effectLst/>
          </xdr:spPr>
          <xdr:txBody>
            <a:bodyPr wrap="square" lIns="0" tIns="0" rIns="0" bIns="0" rtlCol="0" anchor="ctr"/>
            <a:lstStyle>
              <a:defPPr>
                <a:defRPr lang="en-AU"/>
              </a:defPPr>
              <a:lvl1pPr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3600" b="0" i="0" u="none" strike="noStrike" kern="0" cap="all" spc="300" normalizeH="0" baseline="0">
                  <a:ln>
                    <a:noFill/>
                  </a:ln>
                  <a:solidFill>
                    <a:schemeClr val="bg1"/>
                  </a:solidFill>
                  <a:effectLst/>
                  <a:uLnTx/>
                  <a:uFillTx/>
                  <a:latin typeface="Arial" panose="020B0604020202020204" pitchFamily="34" charset="0"/>
                  <a:ea typeface="Verdana" panose="020B0604030504040204" pitchFamily="34" charset="0"/>
                  <a:cs typeface="Arial" panose="020B0604020202020204" pitchFamily="34" charset="0"/>
                </a:rPr>
                <a:t>HOUSING ENERGY EFFICIENCY</a:t>
              </a:r>
            </a:p>
          </xdr:txBody>
        </xdr:sp>
        <xdr:sp macro="" textlink="">
          <xdr:nvSpPr>
            <xdr:cNvPr id="8" name="Rectangle 7">
              <a:extLst>
                <a:ext uri="{FF2B5EF4-FFF2-40B4-BE49-F238E27FC236}">
                  <a16:creationId xmlns:a16="http://schemas.microsoft.com/office/drawing/2014/main" id="{00000000-0008-0000-0000-000008000000}"/>
                </a:ext>
              </a:extLst>
            </xdr:cNvPr>
            <xdr:cNvSpPr/>
          </xdr:nvSpPr>
          <xdr:spPr>
            <a:xfrm>
              <a:off x="14111" y="757060"/>
              <a:ext cx="14644510" cy="644173"/>
            </a:xfrm>
            <a:prstGeom prst="rect">
              <a:avLst/>
            </a:prstGeom>
            <a:noFill/>
            <a:ln w="6350" cap="flat" cmpd="sng" algn="ctr">
              <a:noFill/>
              <a:prstDash val="solid"/>
              <a:miter lim="800000"/>
            </a:ln>
            <a:effectLst/>
          </xdr:spPr>
          <xdr:txBody>
            <a:bodyPr wrap="square" lIns="0" tIns="0" rIns="0" bIns="0" rtlCol="0" anchor="ctr"/>
            <a:lstStyle>
              <a:defPPr>
                <a:defRPr lang="en-AU"/>
              </a:defPPr>
              <a:lvl1pPr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800" b="0" i="0" u="none" strike="noStrike" kern="0" cap="all" spc="300" normalizeH="0" baseline="0">
                  <a:ln>
                    <a:noFill/>
                  </a:ln>
                  <a:solidFill>
                    <a:schemeClr val="bg1"/>
                  </a:solidFill>
                  <a:effectLst/>
                  <a:uLnTx/>
                  <a:uFillTx/>
                  <a:latin typeface="Arial" panose="020B0604020202020204" pitchFamily="34" charset="0"/>
                  <a:ea typeface="Verdana" panose="020B0604030504040204" pitchFamily="34" charset="0"/>
                  <a:cs typeface="Arial" panose="020B0604020202020204" pitchFamily="34" charset="0"/>
                </a:rPr>
                <a:t>Calculator </a:t>
              </a:r>
              <a:r>
                <a:rPr kumimoji="0" lang="en-US" sz="2800" b="0" i="1" u="none" strike="noStrike" kern="0" cap="all" spc="300" normalizeH="0" baseline="0">
                  <a:ln>
                    <a:noFill/>
                  </a:ln>
                  <a:solidFill>
                    <a:schemeClr val="bg1"/>
                  </a:solidFill>
                  <a:effectLst/>
                  <a:uLnTx/>
                  <a:uFillTx/>
                  <a:latin typeface="Arial" panose="020B0604020202020204" pitchFamily="34" charset="0"/>
                  <a:ea typeface="Verdana" panose="020B0604030504040204" pitchFamily="34" charset="0"/>
                  <a:cs typeface="Arial" panose="020B0604020202020204" pitchFamily="34" charset="0"/>
                </a:rPr>
                <a:t>Beta</a:t>
              </a:r>
            </a:p>
          </xdr:txBody>
        </xdr:sp>
      </xdr:grpSp>
      <xdr:sp macro="" textlink="">
        <xdr:nvSpPr>
          <xdr:cNvPr id="9" name="TextBox 31">
            <a:extLst>
              <a:ext uri="{FF2B5EF4-FFF2-40B4-BE49-F238E27FC236}">
                <a16:creationId xmlns:a16="http://schemas.microsoft.com/office/drawing/2014/main" id="{00000000-0008-0000-0000-000009000000}"/>
              </a:ext>
            </a:extLst>
          </xdr:cNvPr>
          <xdr:cNvSpPr txBox="1"/>
        </xdr:nvSpPr>
        <xdr:spPr>
          <a:xfrm>
            <a:off x="1553883" y="1470025"/>
            <a:ext cx="16081573" cy="308902"/>
          </a:xfrm>
          <a:prstGeom prst="rect">
            <a:avLst/>
          </a:prstGeom>
          <a:noFill/>
        </xdr:spPr>
        <xdr:txBody>
          <a:bodyPr wrap="square" rtlCol="0" anchor="ctr">
            <a:noAutofit/>
          </a:bodyPr>
          <a:lstStyle/>
          <a:p>
            <a:pPr marL="0" indent="0" algn="ctr" defTabSz="914400" rtl="0" eaLnBrk="1" latinLnBrk="0" hangingPunct="1"/>
            <a:r>
              <a:rPr lang="en-US" sz="1600" b="0" i="0" u="none" strike="noStrike" kern="1200" spc="0" baseline="0">
                <a:solidFill>
                  <a:schemeClr val="bg1">
                    <a:lumMod val="75000"/>
                  </a:schemeClr>
                </a:solidFill>
                <a:latin typeface="Arial" panose="020B0604020202020204" pitchFamily="34" charset="0"/>
                <a:ea typeface="Verdana" panose="020B0604030504040204" pitchFamily="34" charset="0"/>
                <a:cs typeface="Arial" panose="020B0604020202020204" pitchFamily="34" charset="0"/>
              </a:rPr>
              <a:t>ABCB Housing Provisions Standard 2022 (1 April 2024) </a:t>
            </a:r>
          </a:p>
        </xdr:txBody>
      </xdr:sp>
    </xdr:grpSp>
    <xdr:clientData/>
  </xdr:twoCellAnchor>
  <xdr:twoCellAnchor>
    <xdr:from>
      <xdr:col>23</xdr:col>
      <xdr:colOff>44824</xdr:colOff>
      <xdr:row>9</xdr:row>
      <xdr:rowOff>44824</xdr:rowOff>
    </xdr:from>
    <xdr:to>
      <xdr:col>25</xdr:col>
      <xdr:colOff>644153</xdr:colOff>
      <xdr:row>10</xdr:row>
      <xdr:rowOff>171823</xdr:rowOff>
    </xdr:to>
    <xdr:sp macro="" textlink="">
      <xdr:nvSpPr>
        <xdr:cNvPr id="46" name="TextBox 31">
          <a:extLst>
            <a:ext uri="{FF2B5EF4-FFF2-40B4-BE49-F238E27FC236}">
              <a16:creationId xmlns:a16="http://schemas.microsoft.com/office/drawing/2014/main" id="{00000000-0008-0000-0000-00002E000000}"/>
            </a:ext>
          </a:extLst>
        </xdr:cNvPr>
        <xdr:cNvSpPr txBox="1"/>
      </xdr:nvSpPr>
      <xdr:spPr>
        <a:xfrm>
          <a:off x="17137530" y="1927412"/>
          <a:ext cx="1914152" cy="336176"/>
        </a:xfrm>
        <a:prstGeom prst="rect">
          <a:avLst/>
        </a:prstGeom>
        <a:noFill/>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r" defTabSz="914400" rtl="0" eaLnBrk="1" latinLnBrk="0" hangingPunct="1"/>
          <a:r>
            <a:rPr lang="en-AU" sz="1200" b="0" kern="1200" spc="0" baseline="0">
              <a:solidFill>
                <a:schemeClr val="bg1"/>
              </a:solidFill>
              <a:latin typeface="Arial" panose="020B0604020202020204" pitchFamily="34" charset="0"/>
              <a:ea typeface="Verdana" panose="020B0604030504040204" pitchFamily="34" charset="0"/>
              <a:cs typeface="Arial" panose="020B0604020202020204" pitchFamily="34" charset="0"/>
            </a:rPr>
            <a:t>V1.0  March 2024</a:t>
          </a:r>
        </a:p>
      </xdr:txBody>
    </xdr:sp>
    <xdr:clientData/>
  </xdr:twoCellAnchor>
  <xdr:twoCellAnchor editAs="oneCell">
    <xdr:from>
      <xdr:col>0</xdr:col>
      <xdr:colOff>362949</xdr:colOff>
      <xdr:row>0</xdr:row>
      <xdr:rowOff>209365</xdr:rowOff>
    </xdr:from>
    <xdr:to>
      <xdr:col>3</xdr:col>
      <xdr:colOff>236978</xdr:colOff>
      <xdr:row>5</xdr:row>
      <xdr:rowOff>142604</xdr:rowOff>
    </xdr:to>
    <xdr:pic>
      <xdr:nvPicPr>
        <xdr:cNvPr id="3" name="Picture 2" descr="A black background with white text&#10;&#10;Description automatically generated">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2949" y="209365"/>
          <a:ext cx="2496952" cy="858285"/>
        </a:xfrm>
        <a:prstGeom prst="rect">
          <a:avLst/>
        </a:prstGeom>
      </xdr:spPr>
    </xdr:pic>
    <xdr:clientData/>
  </xdr:twoCellAnchor>
  <xdr:twoCellAnchor editAs="oneCell">
    <xdr:from>
      <xdr:col>22</xdr:col>
      <xdr:colOff>112499</xdr:colOff>
      <xdr:row>1</xdr:row>
      <xdr:rowOff>19215</xdr:rowOff>
    </xdr:from>
    <xdr:to>
      <xdr:col>25</xdr:col>
      <xdr:colOff>511872</xdr:colOff>
      <xdr:row>5</xdr:row>
      <xdr:rowOff>143288</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4853" b="12577"/>
        <a:stretch/>
      </xdr:blipFill>
      <xdr:spPr>
        <a:xfrm>
          <a:off x="16473087" y="232127"/>
          <a:ext cx="2410080" cy="826095"/>
        </a:xfrm>
        <a:prstGeom prst="rect">
          <a:avLst/>
        </a:prstGeom>
      </xdr:spPr>
    </xdr:pic>
    <xdr:clientData/>
  </xdr:twoCellAnchor>
  <xdr:twoCellAnchor>
    <xdr:from>
      <xdr:col>2</xdr:col>
      <xdr:colOff>440536</xdr:colOff>
      <xdr:row>56</xdr:row>
      <xdr:rowOff>178593</xdr:rowOff>
    </xdr:from>
    <xdr:to>
      <xdr:col>2</xdr:col>
      <xdr:colOff>768324</xdr:colOff>
      <xdr:row>58</xdr:row>
      <xdr:rowOff>181968</xdr:rowOff>
    </xdr:to>
    <xdr:grpSp>
      <xdr:nvGrpSpPr>
        <xdr:cNvPr id="2" name="Group 1">
          <a:hlinkClick xmlns:r="http://schemas.openxmlformats.org/officeDocument/2006/relationships" r:id="rId5"/>
          <a:extLst>
            <a:ext uri="{FF2B5EF4-FFF2-40B4-BE49-F238E27FC236}">
              <a16:creationId xmlns:a16="http://schemas.microsoft.com/office/drawing/2014/main" id="{00000000-0008-0000-0000-000002000000}"/>
            </a:ext>
          </a:extLst>
        </xdr:cNvPr>
        <xdr:cNvGrpSpPr>
          <a:grpSpLocks noChangeAspect="1"/>
        </xdr:cNvGrpSpPr>
      </xdr:nvGrpSpPr>
      <xdr:grpSpPr>
        <a:xfrm>
          <a:off x="1678786" y="11489304"/>
          <a:ext cx="330963" cy="378025"/>
          <a:chOff x="11460163" y="6399213"/>
          <a:chExt cx="420687" cy="558800"/>
        </a:xfrm>
        <a:solidFill>
          <a:schemeClr val="accent6"/>
        </a:solidFill>
      </xdr:grpSpPr>
      <xdr:sp macro="" textlink="">
        <xdr:nvSpPr>
          <xdr:cNvPr id="5" name="Freeform 574">
            <a:extLst>
              <a:ext uri="{FF2B5EF4-FFF2-40B4-BE49-F238E27FC236}">
                <a16:creationId xmlns:a16="http://schemas.microsoft.com/office/drawing/2014/main" id="{00000000-0008-0000-0000-000005000000}"/>
              </a:ext>
            </a:extLst>
          </xdr:cNvPr>
          <xdr:cNvSpPr>
            <a:spLocks noEditPoints="1"/>
          </xdr:cNvSpPr>
        </xdr:nvSpPr>
        <xdr:spPr bwMode="auto">
          <a:xfrm>
            <a:off x="11460163" y="6399213"/>
            <a:ext cx="420687" cy="558800"/>
          </a:xfrm>
          <a:custGeom>
            <a:avLst/>
            <a:gdLst>
              <a:gd name="T0" fmla="*/ 158 w 177"/>
              <a:gd name="T1" fmla="*/ 0 h 235"/>
              <a:gd name="T2" fmla="*/ 19 w 177"/>
              <a:gd name="T3" fmla="*/ 0 h 235"/>
              <a:gd name="T4" fmla="*/ 0 w 177"/>
              <a:gd name="T5" fmla="*/ 19 h 235"/>
              <a:gd name="T6" fmla="*/ 0 w 177"/>
              <a:gd name="T7" fmla="*/ 216 h 235"/>
              <a:gd name="T8" fmla="*/ 19 w 177"/>
              <a:gd name="T9" fmla="*/ 235 h 235"/>
              <a:gd name="T10" fmla="*/ 158 w 177"/>
              <a:gd name="T11" fmla="*/ 235 h 235"/>
              <a:gd name="T12" fmla="*/ 177 w 177"/>
              <a:gd name="T13" fmla="*/ 216 h 235"/>
              <a:gd name="T14" fmla="*/ 177 w 177"/>
              <a:gd name="T15" fmla="*/ 19 h 235"/>
              <a:gd name="T16" fmla="*/ 158 w 177"/>
              <a:gd name="T17" fmla="*/ 0 h 235"/>
              <a:gd name="T18" fmla="*/ 168 w 177"/>
              <a:gd name="T19" fmla="*/ 216 h 235"/>
              <a:gd name="T20" fmla="*/ 158 w 177"/>
              <a:gd name="T21" fmla="*/ 225 h 235"/>
              <a:gd name="T22" fmla="*/ 19 w 177"/>
              <a:gd name="T23" fmla="*/ 225 h 235"/>
              <a:gd name="T24" fmla="*/ 9 w 177"/>
              <a:gd name="T25" fmla="*/ 216 h 235"/>
              <a:gd name="T26" fmla="*/ 9 w 177"/>
              <a:gd name="T27" fmla="*/ 19 h 235"/>
              <a:gd name="T28" fmla="*/ 19 w 177"/>
              <a:gd name="T29" fmla="*/ 9 h 235"/>
              <a:gd name="T30" fmla="*/ 158 w 177"/>
              <a:gd name="T31" fmla="*/ 9 h 235"/>
              <a:gd name="T32" fmla="*/ 168 w 177"/>
              <a:gd name="T33" fmla="*/ 19 h 235"/>
              <a:gd name="T34" fmla="*/ 168 w 177"/>
              <a:gd name="T35" fmla="*/ 216 h 2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177" h="235">
                <a:moveTo>
                  <a:pt x="158" y="0"/>
                </a:moveTo>
                <a:cubicBezTo>
                  <a:pt x="19" y="0"/>
                  <a:pt x="19" y="0"/>
                  <a:pt x="19" y="0"/>
                </a:cubicBezTo>
                <a:cubicBezTo>
                  <a:pt x="8" y="0"/>
                  <a:pt x="0" y="8"/>
                  <a:pt x="0" y="19"/>
                </a:cubicBezTo>
                <a:cubicBezTo>
                  <a:pt x="0" y="216"/>
                  <a:pt x="0" y="216"/>
                  <a:pt x="0" y="216"/>
                </a:cubicBezTo>
                <a:cubicBezTo>
                  <a:pt x="0" y="226"/>
                  <a:pt x="8" y="235"/>
                  <a:pt x="19" y="235"/>
                </a:cubicBezTo>
                <a:cubicBezTo>
                  <a:pt x="158" y="235"/>
                  <a:pt x="158" y="235"/>
                  <a:pt x="158" y="235"/>
                </a:cubicBezTo>
                <a:cubicBezTo>
                  <a:pt x="169" y="235"/>
                  <a:pt x="177" y="226"/>
                  <a:pt x="177" y="216"/>
                </a:cubicBezTo>
                <a:cubicBezTo>
                  <a:pt x="177" y="19"/>
                  <a:pt x="177" y="19"/>
                  <a:pt x="177" y="19"/>
                </a:cubicBezTo>
                <a:cubicBezTo>
                  <a:pt x="177" y="8"/>
                  <a:pt x="169" y="0"/>
                  <a:pt x="158" y="0"/>
                </a:cubicBezTo>
                <a:close/>
                <a:moveTo>
                  <a:pt x="168" y="216"/>
                </a:moveTo>
                <a:cubicBezTo>
                  <a:pt x="168" y="221"/>
                  <a:pt x="163" y="225"/>
                  <a:pt x="158" y="225"/>
                </a:cubicBezTo>
                <a:cubicBezTo>
                  <a:pt x="19" y="225"/>
                  <a:pt x="19" y="225"/>
                  <a:pt x="19" y="225"/>
                </a:cubicBezTo>
                <a:cubicBezTo>
                  <a:pt x="13" y="225"/>
                  <a:pt x="9" y="221"/>
                  <a:pt x="9" y="216"/>
                </a:cubicBezTo>
                <a:cubicBezTo>
                  <a:pt x="9" y="19"/>
                  <a:pt x="9" y="19"/>
                  <a:pt x="9" y="19"/>
                </a:cubicBezTo>
                <a:cubicBezTo>
                  <a:pt x="9" y="13"/>
                  <a:pt x="13" y="9"/>
                  <a:pt x="19" y="9"/>
                </a:cubicBezTo>
                <a:cubicBezTo>
                  <a:pt x="158" y="9"/>
                  <a:pt x="158" y="9"/>
                  <a:pt x="158" y="9"/>
                </a:cubicBezTo>
                <a:cubicBezTo>
                  <a:pt x="163" y="9"/>
                  <a:pt x="168" y="13"/>
                  <a:pt x="168" y="19"/>
                </a:cubicBezTo>
                <a:lnTo>
                  <a:pt x="168" y="216"/>
                </a:lnTo>
                <a:close/>
              </a:path>
            </a:pathLst>
          </a:custGeom>
          <a:grpFill/>
          <a:ln>
            <a:solidFill>
              <a:schemeClr val="accent6"/>
            </a:solidFill>
          </a:ln>
          <a:extLst>
            <a:ext uri="{91240B29-F687-4f45-9708-019B960494DF}">
              <a14:hiddenLine xmlns:r="http://schemas.openxmlformats.org/officeDocument/2006/relationships" xmlns:p="http://schemas.openxmlformats.org/presentationml/2006/main" xmlns:a14="http://schemas.microsoft.com/office/drawing/2010/main" xmlns="" xmlns:lc="http://schemas.openxmlformats.org/drawingml/2006/lockedCanva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2" name="Freeform 575">
            <a:extLst>
              <a:ext uri="{FF2B5EF4-FFF2-40B4-BE49-F238E27FC236}">
                <a16:creationId xmlns:a16="http://schemas.microsoft.com/office/drawing/2014/main" id="{00000000-0008-0000-0000-00000C000000}"/>
              </a:ext>
            </a:extLst>
          </xdr:cNvPr>
          <xdr:cNvSpPr>
            <a:spLocks noEditPoints="1"/>
          </xdr:cNvSpPr>
        </xdr:nvSpPr>
        <xdr:spPr bwMode="auto">
          <a:xfrm>
            <a:off x="11539538" y="6486525"/>
            <a:ext cx="265112" cy="80963"/>
          </a:xfrm>
          <a:custGeom>
            <a:avLst/>
            <a:gdLst>
              <a:gd name="T0" fmla="*/ 104 w 112"/>
              <a:gd name="T1" fmla="*/ 0 h 34"/>
              <a:gd name="T2" fmla="*/ 7 w 112"/>
              <a:gd name="T3" fmla="*/ 0 h 34"/>
              <a:gd name="T4" fmla="*/ 0 w 112"/>
              <a:gd name="T5" fmla="*/ 7 h 34"/>
              <a:gd name="T6" fmla="*/ 0 w 112"/>
              <a:gd name="T7" fmla="*/ 27 h 34"/>
              <a:gd name="T8" fmla="*/ 7 w 112"/>
              <a:gd name="T9" fmla="*/ 34 h 34"/>
              <a:gd name="T10" fmla="*/ 104 w 112"/>
              <a:gd name="T11" fmla="*/ 34 h 34"/>
              <a:gd name="T12" fmla="*/ 112 w 112"/>
              <a:gd name="T13" fmla="*/ 27 h 34"/>
              <a:gd name="T14" fmla="*/ 112 w 112"/>
              <a:gd name="T15" fmla="*/ 7 h 34"/>
              <a:gd name="T16" fmla="*/ 104 w 112"/>
              <a:gd name="T17" fmla="*/ 0 h 34"/>
              <a:gd name="T18" fmla="*/ 102 w 112"/>
              <a:gd name="T19" fmla="*/ 25 h 34"/>
              <a:gd name="T20" fmla="*/ 9 w 112"/>
              <a:gd name="T21" fmla="*/ 25 h 34"/>
              <a:gd name="T22" fmla="*/ 9 w 112"/>
              <a:gd name="T23" fmla="*/ 9 h 34"/>
              <a:gd name="T24" fmla="*/ 102 w 112"/>
              <a:gd name="T25" fmla="*/ 9 h 34"/>
              <a:gd name="T26" fmla="*/ 102 w 112"/>
              <a:gd name="T27" fmla="*/ 25 h 3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112" h="34">
                <a:moveTo>
                  <a:pt x="104" y="0"/>
                </a:moveTo>
                <a:cubicBezTo>
                  <a:pt x="7" y="0"/>
                  <a:pt x="7" y="0"/>
                  <a:pt x="7" y="0"/>
                </a:cubicBezTo>
                <a:cubicBezTo>
                  <a:pt x="3" y="0"/>
                  <a:pt x="0" y="3"/>
                  <a:pt x="0" y="7"/>
                </a:cubicBezTo>
                <a:cubicBezTo>
                  <a:pt x="0" y="27"/>
                  <a:pt x="0" y="27"/>
                  <a:pt x="0" y="27"/>
                </a:cubicBezTo>
                <a:cubicBezTo>
                  <a:pt x="0" y="31"/>
                  <a:pt x="3" y="34"/>
                  <a:pt x="7" y="34"/>
                </a:cubicBezTo>
                <a:cubicBezTo>
                  <a:pt x="104" y="34"/>
                  <a:pt x="104" y="34"/>
                  <a:pt x="104" y="34"/>
                </a:cubicBezTo>
                <a:cubicBezTo>
                  <a:pt x="108" y="34"/>
                  <a:pt x="112" y="31"/>
                  <a:pt x="112" y="27"/>
                </a:cubicBezTo>
                <a:cubicBezTo>
                  <a:pt x="112" y="7"/>
                  <a:pt x="112" y="7"/>
                  <a:pt x="112" y="7"/>
                </a:cubicBezTo>
                <a:cubicBezTo>
                  <a:pt x="112" y="3"/>
                  <a:pt x="108" y="0"/>
                  <a:pt x="104" y="0"/>
                </a:cubicBezTo>
                <a:close/>
                <a:moveTo>
                  <a:pt x="102" y="25"/>
                </a:moveTo>
                <a:cubicBezTo>
                  <a:pt x="9" y="25"/>
                  <a:pt x="9" y="25"/>
                  <a:pt x="9" y="25"/>
                </a:cubicBezTo>
                <a:cubicBezTo>
                  <a:pt x="9" y="9"/>
                  <a:pt x="9" y="9"/>
                  <a:pt x="9" y="9"/>
                </a:cubicBezTo>
                <a:cubicBezTo>
                  <a:pt x="102" y="9"/>
                  <a:pt x="102" y="9"/>
                  <a:pt x="102" y="9"/>
                </a:cubicBezTo>
                <a:lnTo>
                  <a:pt x="102" y="25"/>
                </a:lnTo>
                <a:close/>
              </a:path>
            </a:pathLst>
          </a:custGeom>
          <a:grpFill/>
          <a:ln>
            <a:solidFill>
              <a:schemeClr val="accent6"/>
            </a:solidFill>
          </a:ln>
          <a:extLst>
            <a:ext uri="{91240B29-F687-4f45-9708-019B960494DF}">
              <a14:hiddenLine xmlns:r="http://schemas.openxmlformats.org/officeDocument/2006/relationships" xmlns:p="http://schemas.openxmlformats.org/presentationml/2006/main" xmlns:a14="http://schemas.microsoft.com/office/drawing/2010/main" xmlns="" xmlns:lc="http://schemas.openxmlformats.org/drawingml/2006/lockedCanva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3" name="Freeform 576">
            <a:extLst>
              <a:ext uri="{FF2B5EF4-FFF2-40B4-BE49-F238E27FC236}">
                <a16:creationId xmlns:a16="http://schemas.microsoft.com/office/drawing/2014/main" id="{00000000-0008-0000-0000-00000D000000}"/>
              </a:ext>
            </a:extLst>
          </xdr:cNvPr>
          <xdr:cNvSpPr>
            <a:spLocks/>
          </xdr:cNvSpPr>
        </xdr:nvSpPr>
        <xdr:spPr bwMode="auto">
          <a:xfrm>
            <a:off x="11550650" y="6624638"/>
            <a:ext cx="107950" cy="104775"/>
          </a:xfrm>
          <a:custGeom>
            <a:avLst/>
            <a:gdLst>
              <a:gd name="T0" fmla="*/ 40 w 45"/>
              <a:gd name="T1" fmla="*/ 17 h 44"/>
              <a:gd name="T2" fmla="*/ 28 w 45"/>
              <a:gd name="T3" fmla="*/ 17 h 44"/>
              <a:gd name="T4" fmla="*/ 28 w 45"/>
              <a:gd name="T5" fmla="*/ 4 h 44"/>
              <a:gd name="T6" fmla="*/ 26 w 45"/>
              <a:gd name="T7" fmla="*/ 2 h 44"/>
              <a:gd name="T8" fmla="*/ 22 w 45"/>
              <a:gd name="T9" fmla="*/ 0 h 44"/>
              <a:gd name="T10" fmla="*/ 19 w 45"/>
              <a:gd name="T11" fmla="*/ 2 h 44"/>
              <a:gd name="T12" fmla="*/ 18 w 45"/>
              <a:gd name="T13" fmla="*/ 4 h 44"/>
              <a:gd name="T14" fmla="*/ 18 w 45"/>
              <a:gd name="T15" fmla="*/ 17 h 44"/>
              <a:gd name="T16" fmla="*/ 4 w 45"/>
              <a:gd name="T17" fmla="*/ 17 h 44"/>
              <a:gd name="T18" fmla="*/ 1 w 45"/>
              <a:gd name="T19" fmla="*/ 19 h 44"/>
              <a:gd name="T20" fmla="*/ 0 w 45"/>
              <a:gd name="T21" fmla="*/ 22 h 44"/>
              <a:gd name="T22" fmla="*/ 1 w 45"/>
              <a:gd name="T23" fmla="*/ 26 h 44"/>
              <a:gd name="T24" fmla="*/ 4 w 45"/>
              <a:gd name="T25" fmla="*/ 27 h 44"/>
              <a:gd name="T26" fmla="*/ 18 w 45"/>
              <a:gd name="T27" fmla="*/ 27 h 44"/>
              <a:gd name="T28" fmla="*/ 18 w 45"/>
              <a:gd name="T29" fmla="*/ 39 h 44"/>
              <a:gd name="T30" fmla="*/ 19 w 45"/>
              <a:gd name="T31" fmla="*/ 43 h 44"/>
              <a:gd name="T32" fmla="*/ 22 w 45"/>
              <a:gd name="T33" fmla="*/ 44 h 44"/>
              <a:gd name="T34" fmla="*/ 26 w 45"/>
              <a:gd name="T35" fmla="*/ 43 h 44"/>
              <a:gd name="T36" fmla="*/ 28 w 45"/>
              <a:gd name="T37" fmla="*/ 39 h 44"/>
              <a:gd name="T38" fmla="*/ 28 w 45"/>
              <a:gd name="T39" fmla="*/ 27 h 44"/>
              <a:gd name="T40" fmla="*/ 40 w 45"/>
              <a:gd name="T41" fmla="*/ 27 h 44"/>
              <a:gd name="T42" fmla="*/ 44 w 45"/>
              <a:gd name="T43" fmla="*/ 26 h 44"/>
              <a:gd name="T44" fmla="*/ 45 w 45"/>
              <a:gd name="T45" fmla="*/ 22 h 44"/>
              <a:gd name="T46" fmla="*/ 44 w 45"/>
              <a:gd name="T47" fmla="*/ 19 h 44"/>
              <a:gd name="T48" fmla="*/ 40 w 45"/>
              <a:gd name="T49" fmla="*/ 17 h 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45" h="44">
                <a:moveTo>
                  <a:pt x="40" y="17"/>
                </a:moveTo>
                <a:cubicBezTo>
                  <a:pt x="28" y="17"/>
                  <a:pt x="28" y="17"/>
                  <a:pt x="28" y="17"/>
                </a:cubicBezTo>
                <a:cubicBezTo>
                  <a:pt x="28" y="4"/>
                  <a:pt x="28" y="4"/>
                  <a:pt x="28" y="4"/>
                </a:cubicBezTo>
                <a:cubicBezTo>
                  <a:pt x="28" y="3"/>
                  <a:pt x="27" y="2"/>
                  <a:pt x="26" y="2"/>
                </a:cubicBezTo>
                <a:cubicBezTo>
                  <a:pt x="25" y="1"/>
                  <a:pt x="24" y="0"/>
                  <a:pt x="22" y="0"/>
                </a:cubicBezTo>
                <a:cubicBezTo>
                  <a:pt x="21" y="0"/>
                  <a:pt x="20" y="1"/>
                  <a:pt x="19" y="2"/>
                </a:cubicBezTo>
                <a:cubicBezTo>
                  <a:pt x="18" y="2"/>
                  <a:pt x="18" y="3"/>
                  <a:pt x="18" y="4"/>
                </a:cubicBezTo>
                <a:cubicBezTo>
                  <a:pt x="18" y="17"/>
                  <a:pt x="18" y="17"/>
                  <a:pt x="18" y="17"/>
                </a:cubicBezTo>
                <a:cubicBezTo>
                  <a:pt x="4" y="17"/>
                  <a:pt x="4" y="17"/>
                  <a:pt x="4" y="17"/>
                </a:cubicBezTo>
                <a:cubicBezTo>
                  <a:pt x="3" y="17"/>
                  <a:pt x="2" y="18"/>
                  <a:pt x="1" y="19"/>
                </a:cubicBezTo>
                <a:cubicBezTo>
                  <a:pt x="0" y="19"/>
                  <a:pt x="0" y="21"/>
                  <a:pt x="0" y="22"/>
                </a:cubicBezTo>
                <a:cubicBezTo>
                  <a:pt x="0" y="24"/>
                  <a:pt x="0" y="25"/>
                  <a:pt x="1" y="26"/>
                </a:cubicBezTo>
                <a:cubicBezTo>
                  <a:pt x="2" y="26"/>
                  <a:pt x="3" y="27"/>
                  <a:pt x="4" y="27"/>
                </a:cubicBezTo>
                <a:cubicBezTo>
                  <a:pt x="18" y="27"/>
                  <a:pt x="18" y="27"/>
                  <a:pt x="18" y="27"/>
                </a:cubicBezTo>
                <a:cubicBezTo>
                  <a:pt x="18" y="39"/>
                  <a:pt x="18" y="39"/>
                  <a:pt x="18" y="39"/>
                </a:cubicBezTo>
                <a:cubicBezTo>
                  <a:pt x="18" y="40"/>
                  <a:pt x="18" y="42"/>
                  <a:pt x="19" y="43"/>
                </a:cubicBezTo>
                <a:cubicBezTo>
                  <a:pt x="20" y="43"/>
                  <a:pt x="21" y="44"/>
                  <a:pt x="22" y="44"/>
                </a:cubicBezTo>
                <a:cubicBezTo>
                  <a:pt x="24" y="44"/>
                  <a:pt x="25" y="43"/>
                  <a:pt x="26" y="43"/>
                </a:cubicBezTo>
                <a:cubicBezTo>
                  <a:pt x="27" y="42"/>
                  <a:pt x="28" y="40"/>
                  <a:pt x="28" y="39"/>
                </a:cubicBezTo>
                <a:cubicBezTo>
                  <a:pt x="28" y="27"/>
                  <a:pt x="28" y="27"/>
                  <a:pt x="28" y="27"/>
                </a:cubicBezTo>
                <a:cubicBezTo>
                  <a:pt x="40" y="27"/>
                  <a:pt x="40" y="27"/>
                  <a:pt x="40" y="27"/>
                </a:cubicBezTo>
                <a:cubicBezTo>
                  <a:pt x="42" y="27"/>
                  <a:pt x="43" y="26"/>
                  <a:pt x="44" y="26"/>
                </a:cubicBezTo>
                <a:cubicBezTo>
                  <a:pt x="45" y="25"/>
                  <a:pt x="45" y="24"/>
                  <a:pt x="45" y="22"/>
                </a:cubicBezTo>
                <a:cubicBezTo>
                  <a:pt x="45" y="21"/>
                  <a:pt x="45" y="19"/>
                  <a:pt x="44" y="19"/>
                </a:cubicBezTo>
                <a:cubicBezTo>
                  <a:pt x="43" y="18"/>
                  <a:pt x="42" y="17"/>
                  <a:pt x="40" y="17"/>
                </a:cubicBezTo>
                <a:close/>
              </a:path>
            </a:pathLst>
          </a:custGeom>
          <a:grpFill/>
          <a:ln>
            <a:solidFill>
              <a:schemeClr val="accent6"/>
            </a:solidFill>
          </a:ln>
          <a:extLst>
            <a:ext uri="{91240B29-F687-4f45-9708-019B960494DF}">
              <a14:hiddenLine xmlns:r="http://schemas.openxmlformats.org/officeDocument/2006/relationships" xmlns:p="http://schemas.openxmlformats.org/presentationml/2006/main" xmlns:a14="http://schemas.microsoft.com/office/drawing/2010/main" xmlns="" xmlns:lc="http://schemas.openxmlformats.org/drawingml/2006/lockedCanva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4" name="Freeform 577">
            <a:extLst>
              <a:ext uri="{FF2B5EF4-FFF2-40B4-BE49-F238E27FC236}">
                <a16:creationId xmlns:a16="http://schemas.microsoft.com/office/drawing/2014/main" id="{00000000-0008-0000-0000-00000E000000}"/>
              </a:ext>
            </a:extLst>
          </xdr:cNvPr>
          <xdr:cNvSpPr>
            <a:spLocks/>
          </xdr:cNvSpPr>
        </xdr:nvSpPr>
        <xdr:spPr bwMode="auto">
          <a:xfrm>
            <a:off x="11684000" y="6665913"/>
            <a:ext cx="109537" cy="23813"/>
          </a:xfrm>
          <a:custGeom>
            <a:avLst/>
            <a:gdLst>
              <a:gd name="T0" fmla="*/ 41 w 46"/>
              <a:gd name="T1" fmla="*/ 0 h 10"/>
              <a:gd name="T2" fmla="*/ 5 w 46"/>
              <a:gd name="T3" fmla="*/ 0 h 10"/>
              <a:gd name="T4" fmla="*/ 2 w 46"/>
              <a:gd name="T5" fmla="*/ 2 h 10"/>
              <a:gd name="T6" fmla="*/ 0 w 46"/>
              <a:gd name="T7" fmla="*/ 5 h 10"/>
              <a:gd name="T8" fmla="*/ 2 w 46"/>
              <a:gd name="T9" fmla="*/ 9 h 10"/>
              <a:gd name="T10" fmla="*/ 5 w 46"/>
              <a:gd name="T11" fmla="*/ 10 h 10"/>
              <a:gd name="T12" fmla="*/ 41 w 46"/>
              <a:gd name="T13" fmla="*/ 10 h 10"/>
              <a:gd name="T14" fmla="*/ 45 w 46"/>
              <a:gd name="T15" fmla="*/ 9 h 10"/>
              <a:gd name="T16" fmla="*/ 46 w 46"/>
              <a:gd name="T17" fmla="*/ 5 h 10"/>
              <a:gd name="T18" fmla="*/ 45 w 46"/>
              <a:gd name="T19" fmla="*/ 2 h 10"/>
              <a:gd name="T20" fmla="*/ 41 w 46"/>
              <a:gd name="T21" fmla="*/ 0 h 1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46" h="10">
                <a:moveTo>
                  <a:pt x="41" y="0"/>
                </a:moveTo>
                <a:cubicBezTo>
                  <a:pt x="5" y="0"/>
                  <a:pt x="5" y="0"/>
                  <a:pt x="5" y="0"/>
                </a:cubicBezTo>
                <a:cubicBezTo>
                  <a:pt x="3" y="0"/>
                  <a:pt x="2" y="1"/>
                  <a:pt x="2" y="2"/>
                </a:cubicBezTo>
                <a:cubicBezTo>
                  <a:pt x="1" y="2"/>
                  <a:pt x="0" y="4"/>
                  <a:pt x="0" y="5"/>
                </a:cubicBezTo>
                <a:cubicBezTo>
                  <a:pt x="0" y="7"/>
                  <a:pt x="1" y="8"/>
                  <a:pt x="2" y="9"/>
                </a:cubicBezTo>
                <a:cubicBezTo>
                  <a:pt x="2" y="9"/>
                  <a:pt x="3" y="10"/>
                  <a:pt x="5" y="10"/>
                </a:cubicBezTo>
                <a:cubicBezTo>
                  <a:pt x="41" y="10"/>
                  <a:pt x="41" y="10"/>
                  <a:pt x="41" y="10"/>
                </a:cubicBezTo>
                <a:cubicBezTo>
                  <a:pt x="42" y="10"/>
                  <a:pt x="44" y="9"/>
                  <a:pt x="45" y="9"/>
                </a:cubicBezTo>
                <a:cubicBezTo>
                  <a:pt x="46" y="8"/>
                  <a:pt x="46" y="7"/>
                  <a:pt x="46" y="5"/>
                </a:cubicBezTo>
                <a:cubicBezTo>
                  <a:pt x="46" y="4"/>
                  <a:pt x="46" y="2"/>
                  <a:pt x="45" y="2"/>
                </a:cubicBezTo>
                <a:cubicBezTo>
                  <a:pt x="44" y="1"/>
                  <a:pt x="42" y="0"/>
                  <a:pt x="41" y="0"/>
                </a:cubicBezTo>
                <a:close/>
              </a:path>
            </a:pathLst>
          </a:custGeom>
          <a:grpFill/>
          <a:ln>
            <a:solidFill>
              <a:schemeClr val="accent6"/>
            </a:solidFill>
          </a:ln>
          <a:extLst>
            <a:ext uri="{91240B29-F687-4f45-9708-019B960494DF}">
              <a14:hiddenLine xmlns:r="http://schemas.openxmlformats.org/officeDocument/2006/relationships" xmlns:p="http://schemas.openxmlformats.org/presentationml/2006/main" xmlns:a14="http://schemas.microsoft.com/office/drawing/2010/main" xmlns="" xmlns:lc="http://schemas.openxmlformats.org/drawingml/2006/lockedCanva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5" name="Freeform 578">
            <a:extLst>
              <a:ext uri="{FF2B5EF4-FFF2-40B4-BE49-F238E27FC236}">
                <a16:creationId xmlns:a16="http://schemas.microsoft.com/office/drawing/2014/main" id="{00000000-0008-0000-0000-00000F000000}"/>
              </a:ext>
            </a:extLst>
          </xdr:cNvPr>
          <xdr:cNvSpPr>
            <a:spLocks/>
          </xdr:cNvSpPr>
        </xdr:nvSpPr>
        <xdr:spPr bwMode="auto">
          <a:xfrm>
            <a:off x="11563350" y="6777038"/>
            <a:ext cx="85725" cy="84138"/>
          </a:xfrm>
          <a:custGeom>
            <a:avLst/>
            <a:gdLst>
              <a:gd name="T0" fmla="*/ 36 w 36"/>
              <a:gd name="T1" fmla="*/ 5 h 35"/>
              <a:gd name="T2" fmla="*/ 34 w 36"/>
              <a:gd name="T3" fmla="*/ 1 h 35"/>
              <a:gd name="T4" fmla="*/ 31 w 36"/>
              <a:gd name="T5" fmla="*/ 0 h 35"/>
              <a:gd name="T6" fmla="*/ 27 w 36"/>
              <a:gd name="T7" fmla="*/ 2 h 35"/>
              <a:gd name="T8" fmla="*/ 18 w 36"/>
              <a:gd name="T9" fmla="*/ 11 h 35"/>
              <a:gd name="T10" fmla="*/ 9 w 36"/>
              <a:gd name="T11" fmla="*/ 2 h 35"/>
              <a:gd name="T12" fmla="*/ 6 w 36"/>
              <a:gd name="T13" fmla="*/ 1 h 35"/>
              <a:gd name="T14" fmla="*/ 3 w 36"/>
              <a:gd name="T15" fmla="*/ 2 h 35"/>
              <a:gd name="T16" fmla="*/ 1 w 36"/>
              <a:gd name="T17" fmla="*/ 6 h 35"/>
              <a:gd name="T18" fmla="*/ 2 w 36"/>
              <a:gd name="T19" fmla="*/ 9 h 35"/>
              <a:gd name="T20" fmla="*/ 11 w 36"/>
              <a:gd name="T21" fmla="*/ 18 h 35"/>
              <a:gd name="T22" fmla="*/ 2 w 36"/>
              <a:gd name="T23" fmla="*/ 27 h 35"/>
              <a:gd name="T24" fmla="*/ 0 w 36"/>
              <a:gd name="T25" fmla="*/ 30 h 35"/>
              <a:gd name="T26" fmla="*/ 2 w 36"/>
              <a:gd name="T27" fmla="*/ 34 h 35"/>
              <a:gd name="T28" fmla="*/ 5 w 36"/>
              <a:gd name="T29" fmla="*/ 35 h 35"/>
              <a:gd name="T30" fmla="*/ 8 w 36"/>
              <a:gd name="T31" fmla="*/ 34 h 35"/>
              <a:gd name="T32" fmla="*/ 18 w 36"/>
              <a:gd name="T33" fmla="*/ 24 h 35"/>
              <a:gd name="T34" fmla="*/ 26 w 36"/>
              <a:gd name="T35" fmla="*/ 33 h 35"/>
              <a:gd name="T36" fmla="*/ 30 w 36"/>
              <a:gd name="T37" fmla="*/ 35 h 35"/>
              <a:gd name="T38" fmla="*/ 33 w 36"/>
              <a:gd name="T39" fmla="*/ 33 h 35"/>
              <a:gd name="T40" fmla="*/ 35 w 36"/>
              <a:gd name="T41" fmla="*/ 29 h 35"/>
              <a:gd name="T42" fmla="*/ 34 w 36"/>
              <a:gd name="T43" fmla="*/ 26 h 35"/>
              <a:gd name="T44" fmla="*/ 25 w 36"/>
              <a:gd name="T45" fmla="*/ 17 h 35"/>
              <a:gd name="T46" fmla="*/ 34 w 36"/>
              <a:gd name="T47" fmla="*/ 8 h 35"/>
              <a:gd name="T48" fmla="*/ 36 w 36"/>
              <a:gd name="T49" fmla="*/ 5 h 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36" h="35">
                <a:moveTo>
                  <a:pt x="36" y="5"/>
                </a:moveTo>
                <a:cubicBezTo>
                  <a:pt x="36" y="4"/>
                  <a:pt x="35" y="2"/>
                  <a:pt x="34" y="1"/>
                </a:cubicBezTo>
                <a:cubicBezTo>
                  <a:pt x="33" y="0"/>
                  <a:pt x="32" y="0"/>
                  <a:pt x="31" y="0"/>
                </a:cubicBezTo>
                <a:cubicBezTo>
                  <a:pt x="30" y="0"/>
                  <a:pt x="28" y="1"/>
                  <a:pt x="27" y="2"/>
                </a:cubicBezTo>
                <a:cubicBezTo>
                  <a:pt x="18" y="11"/>
                  <a:pt x="18" y="11"/>
                  <a:pt x="18" y="11"/>
                </a:cubicBezTo>
                <a:cubicBezTo>
                  <a:pt x="9" y="2"/>
                  <a:pt x="9" y="2"/>
                  <a:pt x="9" y="2"/>
                </a:cubicBezTo>
                <a:cubicBezTo>
                  <a:pt x="8" y="1"/>
                  <a:pt x="7" y="0"/>
                  <a:pt x="6" y="1"/>
                </a:cubicBezTo>
                <a:cubicBezTo>
                  <a:pt x="5" y="1"/>
                  <a:pt x="4" y="1"/>
                  <a:pt x="3" y="2"/>
                </a:cubicBezTo>
                <a:cubicBezTo>
                  <a:pt x="2" y="3"/>
                  <a:pt x="1" y="5"/>
                  <a:pt x="1" y="6"/>
                </a:cubicBezTo>
                <a:cubicBezTo>
                  <a:pt x="1" y="7"/>
                  <a:pt x="1" y="8"/>
                  <a:pt x="2" y="9"/>
                </a:cubicBezTo>
                <a:cubicBezTo>
                  <a:pt x="11" y="18"/>
                  <a:pt x="11" y="18"/>
                  <a:pt x="11" y="18"/>
                </a:cubicBezTo>
                <a:cubicBezTo>
                  <a:pt x="2" y="27"/>
                  <a:pt x="2" y="27"/>
                  <a:pt x="2" y="27"/>
                </a:cubicBezTo>
                <a:cubicBezTo>
                  <a:pt x="1" y="28"/>
                  <a:pt x="0" y="29"/>
                  <a:pt x="0" y="30"/>
                </a:cubicBezTo>
                <a:cubicBezTo>
                  <a:pt x="0" y="32"/>
                  <a:pt x="1" y="33"/>
                  <a:pt x="2" y="34"/>
                </a:cubicBezTo>
                <a:cubicBezTo>
                  <a:pt x="3" y="35"/>
                  <a:pt x="4" y="35"/>
                  <a:pt x="5" y="35"/>
                </a:cubicBezTo>
                <a:cubicBezTo>
                  <a:pt x="7" y="35"/>
                  <a:pt x="8" y="35"/>
                  <a:pt x="8" y="34"/>
                </a:cubicBezTo>
                <a:cubicBezTo>
                  <a:pt x="18" y="24"/>
                  <a:pt x="18" y="24"/>
                  <a:pt x="18" y="24"/>
                </a:cubicBezTo>
                <a:cubicBezTo>
                  <a:pt x="26" y="33"/>
                  <a:pt x="26" y="33"/>
                  <a:pt x="26" y="33"/>
                </a:cubicBezTo>
                <a:cubicBezTo>
                  <a:pt x="28" y="34"/>
                  <a:pt x="29" y="35"/>
                  <a:pt x="30" y="35"/>
                </a:cubicBezTo>
                <a:cubicBezTo>
                  <a:pt x="31" y="35"/>
                  <a:pt x="32" y="34"/>
                  <a:pt x="33" y="33"/>
                </a:cubicBezTo>
                <a:cubicBezTo>
                  <a:pt x="35" y="32"/>
                  <a:pt x="35" y="31"/>
                  <a:pt x="35" y="29"/>
                </a:cubicBezTo>
                <a:cubicBezTo>
                  <a:pt x="35" y="28"/>
                  <a:pt x="35" y="27"/>
                  <a:pt x="34" y="26"/>
                </a:cubicBezTo>
                <a:cubicBezTo>
                  <a:pt x="25" y="17"/>
                  <a:pt x="25" y="17"/>
                  <a:pt x="25" y="17"/>
                </a:cubicBezTo>
                <a:cubicBezTo>
                  <a:pt x="34" y="8"/>
                  <a:pt x="34" y="8"/>
                  <a:pt x="34" y="8"/>
                </a:cubicBezTo>
                <a:cubicBezTo>
                  <a:pt x="35" y="7"/>
                  <a:pt x="36" y="6"/>
                  <a:pt x="36" y="5"/>
                </a:cubicBezTo>
                <a:close/>
              </a:path>
            </a:pathLst>
          </a:custGeom>
          <a:grpFill/>
          <a:ln>
            <a:solidFill>
              <a:schemeClr val="accent6"/>
            </a:solidFill>
          </a:ln>
          <a:extLst>
            <a:ext uri="{91240B29-F687-4f45-9708-019B960494DF}">
              <a14:hiddenLine xmlns:r="http://schemas.openxmlformats.org/officeDocument/2006/relationships" xmlns:p="http://schemas.openxmlformats.org/presentationml/2006/main" xmlns:a14="http://schemas.microsoft.com/office/drawing/2010/main" xmlns="" xmlns:lc="http://schemas.openxmlformats.org/drawingml/2006/lockedCanva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6" name="Freeform 579">
            <a:extLst>
              <a:ext uri="{FF2B5EF4-FFF2-40B4-BE49-F238E27FC236}">
                <a16:creationId xmlns:a16="http://schemas.microsoft.com/office/drawing/2014/main" id="{00000000-0008-0000-0000-000010000000}"/>
              </a:ext>
            </a:extLst>
          </xdr:cNvPr>
          <xdr:cNvSpPr>
            <a:spLocks/>
          </xdr:cNvSpPr>
        </xdr:nvSpPr>
        <xdr:spPr bwMode="auto">
          <a:xfrm>
            <a:off x="11693525" y="6804025"/>
            <a:ext cx="90487" cy="23813"/>
          </a:xfrm>
          <a:custGeom>
            <a:avLst/>
            <a:gdLst>
              <a:gd name="T0" fmla="*/ 33 w 38"/>
              <a:gd name="T1" fmla="*/ 0 h 10"/>
              <a:gd name="T2" fmla="*/ 4 w 38"/>
              <a:gd name="T3" fmla="*/ 0 h 10"/>
              <a:gd name="T4" fmla="*/ 1 w 38"/>
              <a:gd name="T5" fmla="*/ 2 h 10"/>
              <a:gd name="T6" fmla="*/ 0 w 38"/>
              <a:gd name="T7" fmla="*/ 5 h 10"/>
              <a:gd name="T8" fmla="*/ 1 w 38"/>
              <a:gd name="T9" fmla="*/ 9 h 10"/>
              <a:gd name="T10" fmla="*/ 4 w 38"/>
              <a:gd name="T11" fmla="*/ 10 h 10"/>
              <a:gd name="T12" fmla="*/ 33 w 38"/>
              <a:gd name="T13" fmla="*/ 10 h 10"/>
              <a:gd name="T14" fmla="*/ 37 w 38"/>
              <a:gd name="T15" fmla="*/ 9 h 10"/>
              <a:gd name="T16" fmla="*/ 38 w 38"/>
              <a:gd name="T17" fmla="*/ 5 h 10"/>
              <a:gd name="T18" fmla="*/ 37 w 38"/>
              <a:gd name="T19" fmla="*/ 2 h 10"/>
              <a:gd name="T20" fmla="*/ 33 w 38"/>
              <a:gd name="T21" fmla="*/ 0 h 1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8" h="10">
                <a:moveTo>
                  <a:pt x="33" y="0"/>
                </a:moveTo>
                <a:cubicBezTo>
                  <a:pt x="4" y="0"/>
                  <a:pt x="4" y="0"/>
                  <a:pt x="4" y="0"/>
                </a:cubicBezTo>
                <a:cubicBezTo>
                  <a:pt x="3" y="0"/>
                  <a:pt x="2" y="1"/>
                  <a:pt x="1" y="2"/>
                </a:cubicBezTo>
                <a:cubicBezTo>
                  <a:pt x="0" y="3"/>
                  <a:pt x="0" y="4"/>
                  <a:pt x="0" y="5"/>
                </a:cubicBezTo>
                <a:cubicBezTo>
                  <a:pt x="0" y="7"/>
                  <a:pt x="0" y="8"/>
                  <a:pt x="1" y="9"/>
                </a:cubicBezTo>
                <a:cubicBezTo>
                  <a:pt x="2" y="10"/>
                  <a:pt x="3" y="10"/>
                  <a:pt x="4" y="10"/>
                </a:cubicBezTo>
                <a:cubicBezTo>
                  <a:pt x="33" y="10"/>
                  <a:pt x="33" y="10"/>
                  <a:pt x="33" y="10"/>
                </a:cubicBezTo>
                <a:cubicBezTo>
                  <a:pt x="35" y="10"/>
                  <a:pt x="36" y="10"/>
                  <a:pt x="37" y="9"/>
                </a:cubicBezTo>
                <a:cubicBezTo>
                  <a:pt x="38" y="8"/>
                  <a:pt x="38" y="7"/>
                  <a:pt x="38" y="5"/>
                </a:cubicBezTo>
                <a:cubicBezTo>
                  <a:pt x="38" y="4"/>
                  <a:pt x="38" y="3"/>
                  <a:pt x="37" y="2"/>
                </a:cubicBezTo>
                <a:cubicBezTo>
                  <a:pt x="36" y="1"/>
                  <a:pt x="35" y="0"/>
                  <a:pt x="33" y="0"/>
                </a:cubicBezTo>
                <a:close/>
              </a:path>
            </a:pathLst>
          </a:custGeom>
          <a:grpFill/>
          <a:ln>
            <a:solidFill>
              <a:schemeClr val="accent6"/>
            </a:solidFill>
          </a:ln>
          <a:extLst>
            <a:ext uri="{91240B29-F687-4f45-9708-019B960494DF}">
              <a14:hiddenLine xmlns:r="http://schemas.openxmlformats.org/officeDocument/2006/relationships" xmlns:p="http://schemas.openxmlformats.org/presentationml/2006/main" xmlns:a14="http://schemas.microsoft.com/office/drawing/2010/main" xmlns="" xmlns:lc="http://schemas.openxmlformats.org/drawingml/2006/lockedCanva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7" name="Oval 16">
            <a:extLst>
              <a:ext uri="{FF2B5EF4-FFF2-40B4-BE49-F238E27FC236}">
                <a16:creationId xmlns:a16="http://schemas.microsoft.com/office/drawing/2014/main" id="{00000000-0008-0000-0000-000011000000}"/>
              </a:ext>
            </a:extLst>
          </xdr:cNvPr>
          <xdr:cNvSpPr>
            <a:spLocks noChangeArrowheads="1"/>
          </xdr:cNvSpPr>
        </xdr:nvSpPr>
        <xdr:spPr bwMode="auto">
          <a:xfrm>
            <a:off x="11725275" y="6767513"/>
            <a:ext cx="28575" cy="28575"/>
          </a:xfrm>
          <a:prstGeom prst="ellipse">
            <a:avLst/>
          </a:prstGeom>
          <a:grpFill/>
          <a:ln>
            <a:solidFill>
              <a:schemeClr val="accent6"/>
            </a:solidFill>
          </a:ln>
          <a:extLst>
            <a:ext uri="{91240B29-F687-4f45-9708-019B960494DF}">
              <a14:hiddenLine xmlns:r="http://schemas.openxmlformats.org/officeDocument/2006/relationships" xmlns:p="http://schemas.openxmlformats.org/presentationml/2006/main" xmlns:a14="http://schemas.microsoft.com/office/drawing/2010/main" xmlns="" xmlns:lc="http://schemas.openxmlformats.org/drawingml/2006/lockedCanva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8" name="Oval 17">
            <a:extLst>
              <a:ext uri="{FF2B5EF4-FFF2-40B4-BE49-F238E27FC236}">
                <a16:creationId xmlns:a16="http://schemas.microsoft.com/office/drawing/2014/main" id="{00000000-0008-0000-0000-000012000000}"/>
              </a:ext>
            </a:extLst>
          </xdr:cNvPr>
          <xdr:cNvSpPr>
            <a:spLocks noChangeArrowheads="1"/>
          </xdr:cNvSpPr>
        </xdr:nvSpPr>
        <xdr:spPr bwMode="auto">
          <a:xfrm>
            <a:off x="11725275" y="6834188"/>
            <a:ext cx="28575" cy="28575"/>
          </a:xfrm>
          <a:prstGeom prst="ellipse">
            <a:avLst/>
          </a:prstGeom>
          <a:grpFill/>
          <a:ln>
            <a:solidFill>
              <a:schemeClr val="accent6"/>
            </a:solidFill>
          </a:ln>
          <a:extLst>
            <a:ext uri="{91240B29-F687-4f45-9708-019B960494DF}">
              <a14:hiddenLine xmlns:r="http://schemas.openxmlformats.org/officeDocument/2006/relationships" xmlns:p="http://schemas.openxmlformats.org/presentationml/2006/main" xmlns:a14="http://schemas.microsoft.com/office/drawing/2010/main" xmlns="" xmlns:lc="http://schemas.openxmlformats.org/drawingml/2006/lockedCanva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grpSp>
    <xdr:clientData/>
  </xdr:twoCellAnchor>
  <xdr:twoCellAnchor editAs="oneCell">
    <xdr:from>
      <xdr:col>2</xdr:col>
      <xdr:colOff>265457</xdr:colOff>
      <xdr:row>30</xdr:row>
      <xdr:rowOff>19059</xdr:rowOff>
    </xdr:from>
    <xdr:to>
      <xdr:col>5</xdr:col>
      <xdr:colOff>418302</xdr:colOff>
      <xdr:row>30</xdr:row>
      <xdr:rowOff>207700</xdr:rowOff>
    </xdr:to>
    <xdr:sp macro="" textlink="">
      <xdr:nvSpPr>
        <xdr:cNvPr id="19" name="TextBox 18">
          <a:extLst>
            <a:ext uri="{FF2B5EF4-FFF2-40B4-BE49-F238E27FC236}">
              <a16:creationId xmlns:a16="http://schemas.microsoft.com/office/drawing/2014/main" id="{00000000-0008-0000-0000-000013000000}"/>
            </a:ext>
          </a:extLst>
        </xdr:cNvPr>
        <xdr:cNvSpPr txBox="1"/>
      </xdr:nvSpPr>
      <xdr:spPr>
        <a:xfrm>
          <a:off x="1318810" y="5883471"/>
          <a:ext cx="3245668" cy="1886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AU" sz="1200">
              <a:latin typeface="Arial" panose="020B0604020202020204" pitchFamily="34" charset="0"/>
              <a:cs typeface="Arial" panose="020B0604020202020204" pitchFamily="34" charset="0"/>
            </a:rPr>
            <a:t>a Class 1 building</a:t>
          </a:r>
        </a:p>
      </xdr:txBody>
    </xdr:sp>
    <xdr:clientData/>
  </xdr:twoCellAnchor>
  <xdr:twoCellAnchor editAs="oneCell">
    <xdr:from>
      <xdr:col>2</xdr:col>
      <xdr:colOff>265456</xdr:colOff>
      <xdr:row>31</xdr:row>
      <xdr:rowOff>19427</xdr:rowOff>
    </xdr:from>
    <xdr:to>
      <xdr:col>5</xdr:col>
      <xdr:colOff>597488</xdr:colOff>
      <xdr:row>31</xdr:row>
      <xdr:rowOff>201718</xdr:rowOff>
    </xdr:to>
    <xdr:sp macro="" textlink="">
      <xdr:nvSpPr>
        <xdr:cNvPr id="20" name="TextBox 19">
          <a:extLst>
            <a:ext uri="{FF2B5EF4-FFF2-40B4-BE49-F238E27FC236}">
              <a16:creationId xmlns:a16="http://schemas.microsoft.com/office/drawing/2014/main" id="{00000000-0008-0000-0000-000014000000}"/>
            </a:ext>
          </a:extLst>
        </xdr:cNvPr>
        <xdr:cNvSpPr txBox="1"/>
      </xdr:nvSpPr>
      <xdr:spPr>
        <a:xfrm>
          <a:off x="1509309" y="6474015"/>
          <a:ext cx="3420000" cy="18229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AU" sz="1200">
              <a:latin typeface="Arial" panose="020B0604020202020204" pitchFamily="34" charset="0"/>
              <a:cs typeface="Arial" panose="020B0604020202020204" pitchFamily="34" charset="0"/>
            </a:rPr>
            <a:t>a Class 10a building with a conditioned space</a:t>
          </a:r>
        </a:p>
      </xdr:txBody>
    </xdr:sp>
    <xdr:clientData/>
  </xdr:twoCellAnchor>
  <mc:AlternateContent xmlns:mc="http://schemas.openxmlformats.org/markup-compatibility/2006">
    <mc:Choice xmlns:a14="http://schemas.microsoft.com/office/drawing/2010/main" Requires="a14">
      <xdr:twoCellAnchor editAs="oneCell">
        <xdr:from>
          <xdr:col>2</xdr:col>
          <xdr:colOff>19050</xdr:colOff>
          <xdr:row>29</xdr:row>
          <xdr:rowOff>171450</xdr:rowOff>
        </xdr:from>
        <xdr:to>
          <xdr:col>2</xdr:col>
          <xdr:colOff>638175</xdr:colOff>
          <xdr:row>30</xdr:row>
          <xdr:rowOff>257175</xdr:rowOff>
        </xdr:to>
        <xdr:sp macro="" textlink="">
          <xdr:nvSpPr>
            <xdr:cNvPr id="1025" name="Option Button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30</xdr:row>
          <xdr:rowOff>336550</xdr:rowOff>
        </xdr:from>
        <xdr:to>
          <xdr:col>2</xdr:col>
          <xdr:colOff>638175</xdr:colOff>
          <xdr:row>31</xdr:row>
          <xdr:rowOff>228600</xdr:rowOff>
        </xdr:to>
        <xdr:sp macro="" textlink="">
          <xdr:nvSpPr>
            <xdr:cNvPr id="1026" name="Option Button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31</xdr:row>
          <xdr:rowOff>336550</xdr:rowOff>
        </xdr:from>
        <xdr:to>
          <xdr:col>2</xdr:col>
          <xdr:colOff>628650</xdr:colOff>
          <xdr:row>33</xdr:row>
          <xdr:rowOff>66675</xdr:rowOff>
        </xdr:to>
        <xdr:sp macro="" textlink="">
          <xdr:nvSpPr>
            <xdr:cNvPr id="1027" name="Option Button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2</xdr:col>
      <xdr:colOff>261033</xdr:colOff>
      <xdr:row>32</xdr:row>
      <xdr:rowOff>29064</xdr:rowOff>
    </xdr:from>
    <xdr:to>
      <xdr:col>6</xdr:col>
      <xdr:colOff>599857</xdr:colOff>
      <xdr:row>33</xdr:row>
      <xdr:rowOff>27485</xdr:rowOff>
    </xdr:to>
    <xdr:sp macro="" textlink="">
      <xdr:nvSpPr>
        <xdr:cNvPr id="21" name="TextBox 20">
          <a:extLst>
            <a:ext uri="{FF2B5EF4-FFF2-40B4-BE49-F238E27FC236}">
              <a16:creationId xmlns:a16="http://schemas.microsoft.com/office/drawing/2014/main" id="{00000000-0008-0000-0000-000015000000}"/>
            </a:ext>
          </a:extLst>
        </xdr:cNvPr>
        <xdr:cNvSpPr txBox="1"/>
      </xdr:nvSpPr>
      <xdr:spPr>
        <a:xfrm>
          <a:off x="1504886" y="6831035"/>
          <a:ext cx="4104000" cy="1777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AU" sz="1200">
              <a:latin typeface="Arial" panose="020B0604020202020204" pitchFamily="34" charset="0"/>
              <a:cs typeface="Arial" panose="020B0604020202020204" pitchFamily="34" charset="0"/>
            </a:rPr>
            <a:t>a Class 1 building with an attached Class 10a building</a:t>
          </a:r>
        </a:p>
      </xdr:txBody>
    </xdr:sp>
    <xdr:clientData/>
  </xdr:twoCellAnchor>
  <mc:AlternateContent xmlns:mc="http://schemas.openxmlformats.org/markup-compatibility/2006">
    <mc:Choice xmlns:a14="http://schemas.microsoft.com/office/drawing/2010/main" Requires="a14">
      <xdr:twoCellAnchor editAs="oneCell">
        <xdr:from>
          <xdr:col>2</xdr:col>
          <xdr:colOff>19050</xdr:colOff>
          <xdr:row>36</xdr:row>
          <xdr:rowOff>0</xdr:rowOff>
        </xdr:from>
        <xdr:to>
          <xdr:col>2</xdr:col>
          <xdr:colOff>257175</xdr:colOff>
          <xdr:row>37</xdr:row>
          <xdr:rowOff>104775</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2</xdr:col>
      <xdr:colOff>264371</xdr:colOff>
      <xdr:row>36</xdr:row>
      <xdr:rowOff>53762</xdr:rowOff>
    </xdr:from>
    <xdr:to>
      <xdr:col>14</xdr:col>
      <xdr:colOff>28762</xdr:colOff>
      <xdr:row>37</xdr:row>
      <xdr:rowOff>44826</xdr:rowOff>
    </xdr:to>
    <xdr:sp macro="" textlink="">
      <xdr:nvSpPr>
        <xdr:cNvPr id="25" name="TextBox 24">
          <a:extLst>
            <a:ext uri="{FF2B5EF4-FFF2-40B4-BE49-F238E27FC236}">
              <a16:creationId xmlns:a16="http://schemas.microsoft.com/office/drawing/2014/main" id="{00000000-0008-0000-0000-000019000000}"/>
            </a:ext>
          </a:extLst>
        </xdr:cNvPr>
        <xdr:cNvSpPr txBox="1"/>
      </xdr:nvSpPr>
      <xdr:spPr>
        <a:xfrm>
          <a:off x="1511959" y="7636409"/>
          <a:ext cx="9036512" cy="1703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AU" sz="1200">
              <a:latin typeface="Arial" panose="020B0604020202020204" pitchFamily="34" charset="0"/>
              <a:cs typeface="Arial" panose="020B0604020202020204" pitchFamily="34" charset="0"/>
            </a:rPr>
            <a:t>Tick the box</a:t>
          </a:r>
          <a:r>
            <a:rPr lang="en-AU" sz="1200" baseline="0">
              <a:latin typeface="Arial" panose="020B0604020202020204" pitchFamily="34" charset="0"/>
              <a:cs typeface="Arial" panose="020B0604020202020204" pitchFamily="34" charset="0"/>
            </a:rPr>
            <a:t> if your development has </a:t>
          </a:r>
          <a:r>
            <a:rPr lang="en-AU" sz="1200">
              <a:latin typeface="Arial" panose="020B0604020202020204" pitchFamily="34" charset="0"/>
              <a:cs typeface="Arial" panose="020B0604020202020204" pitchFamily="34" charset="0"/>
            </a:rPr>
            <a:t>a Class 10b swimming pool associated with a Class 1 or 10a building.</a:t>
          </a:r>
        </a:p>
      </xdr:txBody>
    </xdr:sp>
    <xdr:clientData/>
  </xdr:twoCellAnchor>
  <xdr:twoCellAnchor>
    <xdr:from>
      <xdr:col>2</xdr:col>
      <xdr:colOff>440536</xdr:colOff>
      <xdr:row>68</xdr:row>
      <xdr:rowOff>95669</xdr:rowOff>
    </xdr:from>
    <xdr:to>
      <xdr:col>2</xdr:col>
      <xdr:colOff>768324</xdr:colOff>
      <xdr:row>70</xdr:row>
      <xdr:rowOff>110251</xdr:rowOff>
    </xdr:to>
    <xdr:grpSp>
      <xdr:nvGrpSpPr>
        <xdr:cNvPr id="24" name="Group 23">
          <a:hlinkClick xmlns:r="http://schemas.openxmlformats.org/officeDocument/2006/relationships" r:id="rId6"/>
          <a:extLst>
            <a:ext uri="{FF2B5EF4-FFF2-40B4-BE49-F238E27FC236}">
              <a16:creationId xmlns:a16="http://schemas.microsoft.com/office/drawing/2014/main" id="{00000000-0008-0000-0000-000018000000}"/>
            </a:ext>
          </a:extLst>
        </xdr:cNvPr>
        <xdr:cNvGrpSpPr>
          <a:grpSpLocks noChangeAspect="1"/>
        </xdr:cNvGrpSpPr>
      </xdr:nvGrpSpPr>
      <xdr:grpSpPr>
        <a:xfrm>
          <a:off x="1678786" y="13770848"/>
          <a:ext cx="330963" cy="365192"/>
          <a:chOff x="11460163" y="6399213"/>
          <a:chExt cx="420687" cy="558800"/>
        </a:xfrm>
        <a:solidFill>
          <a:schemeClr val="accent6"/>
        </a:solidFill>
      </xdr:grpSpPr>
      <xdr:sp macro="" textlink="">
        <xdr:nvSpPr>
          <xdr:cNvPr id="28" name="Freeform 574">
            <a:extLst>
              <a:ext uri="{FF2B5EF4-FFF2-40B4-BE49-F238E27FC236}">
                <a16:creationId xmlns:a16="http://schemas.microsoft.com/office/drawing/2014/main" id="{00000000-0008-0000-0000-00001C000000}"/>
              </a:ext>
            </a:extLst>
          </xdr:cNvPr>
          <xdr:cNvSpPr>
            <a:spLocks noEditPoints="1"/>
          </xdr:cNvSpPr>
        </xdr:nvSpPr>
        <xdr:spPr bwMode="auto">
          <a:xfrm>
            <a:off x="11460163" y="6399213"/>
            <a:ext cx="420687" cy="558800"/>
          </a:xfrm>
          <a:custGeom>
            <a:avLst/>
            <a:gdLst>
              <a:gd name="T0" fmla="*/ 158 w 177"/>
              <a:gd name="T1" fmla="*/ 0 h 235"/>
              <a:gd name="T2" fmla="*/ 19 w 177"/>
              <a:gd name="T3" fmla="*/ 0 h 235"/>
              <a:gd name="T4" fmla="*/ 0 w 177"/>
              <a:gd name="T5" fmla="*/ 19 h 235"/>
              <a:gd name="T6" fmla="*/ 0 w 177"/>
              <a:gd name="T7" fmla="*/ 216 h 235"/>
              <a:gd name="T8" fmla="*/ 19 w 177"/>
              <a:gd name="T9" fmla="*/ 235 h 235"/>
              <a:gd name="T10" fmla="*/ 158 w 177"/>
              <a:gd name="T11" fmla="*/ 235 h 235"/>
              <a:gd name="T12" fmla="*/ 177 w 177"/>
              <a:gd name="T13" fmla="*/ 216 h 235"/>
              <a:gd name="T14" fmla="*/ 177 w 177"/>
              <a:gd name="T15" fmla="*/ 19 h 235"/>
              <a:gd name="T16" fmla="*/ 158 w 177"/>
              <a:gd name="T17" fmla="*/ 0 h 235"/>
              <a:gd name="T18" fmla="*/ 168 w 177"/>
              <a:gd name="T19" fmla="*/ 216 h 235"/>
              <a:gd name="T20" fmla="*/ 158 w 177"/>
              <a:gd name="T21" fmla="*/ 225 h 235"/>
              <a:gd name="T22" fmla="*/ 19 w 177"/>
              <a:gd name="T23" fmla="*/ 225 h 235"/>
              <a:gd name="T24" fmla="*/ 9 w 177"/>
              <a:gd name="T25" fmla="*/ 216 h 235"/>
              <a:gd name="T26" fmla="*/ 9 w 177"/>
              <a:gd name="T27" fmla="*/ 19 h 235"/>
              <a:gd name="T28" fmla="*/ 19 w 177"/>
              <a:gd name="T29" fmla="*/ 9 h 235"/>
              <a:gd name="T30" fmla="*/ 158 w 177"/>
              <a:gd name="T31" fmla="*/ 9 h 235"/>
              <a:gd name="T32" fmla="*/ 168 w 177"/>
              <a:gd name="T33" fmla="*/ 19 h 235"/>
              <a:gd name="T34" fmla="*/ 168 w 177"/>
              <a:gd name="T35" fmla="*/ 216 h 2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177" h="235">
                <a:moveTo>
                  <a:pt x="158" y="0"/>
                </a:moveTo>
                <a:cubicBezTo>
                  <a:pt x="19" y="0"/>
                  <a:pt x="19" y="0"/>
                  <a:pt x="19" y="0"/>
                </a:cubicBezTo>
                <a:cubicBezTo>
                  <a:pt x="8" y="0"/>
                  <a:pt x="0" y="8"/>
                  <a:pt x="0" y="19"/>
                </a:cubicBezTo>
                <a:cubicBezTo>
                  <a:pt x="0" y="216"/>
                  <a:pt x="0" y="216"/>
                  <a:pt x="0" y="216"/>
                </a:cubicBezTo>
                <a:cubicBezTo>
                  <a:pt x="0" y="226"/>
                  <a:pt x="8" y="235"/>
                  <a:pt x="19" y="235"/>
                </a:cubicBezTo>
                <a:cubicBezTo>
                  <a:pt x="158" y="235"/>
                  <a:pt x="158" y="235"/>
                  <a:pt x="158" y="235"/>
                </a:cubicBezTo>
                <a:cubicBezTo>
                  <a:pt x="169" y="235"/>
                  <a:pt x="177" y="226"/>
                  <a:pt x="177" y="216"/>
                </a:cubicBezTo>
                <a:cubicBezTo>
                  <a:pt x="177" y="19"/>
                  <a:pt x="177" y="19"/>
                  <a:pt x="177" y="19"/>
                </a:cubicBezTo>
                <a:cubicBezTo>
                  <a:pt x="177" y="8"/>
                  <a:pt x="169" y="0"/>
                  <a:pt x="158" y="0"/>
                </a:cubicBezTo>
                <a:close/>
                <a:moveTo>
                  <a:pt x="168" y="216"/>
                </a:moveTo>
                <a:cubicBezTo>
                  <a:pt x="168" y="221"/>
                  <a:pt x="163" y="225"/>
                  <a:pt x="158" y="225"/>
                </a:cubicBezTo>
                <a:cubicBezTo>
                  <a:pt x="19" y="225"/>
                  <a:pt x="19" y="225"/>
                  <a:pt x="19" y="225"/>
                </a:cubicBezTo>
                <a:cubicBezTo>
                  <a:pt x="13" y="225"/>
                  <a:pt x="9" y="221"/>
                  <a:pt x="9" y="216"/>
                </a:cubicBezTo>
                <a:cubicBezTo>
                  <a:pt x="9" y="19"/>
                  <a:pt x="9" y="19"/>
                  <a:pt x="9" y="19"/>
                </a:cubicBezTo>
                <a:cubicBezTo>
                  <a:pt x="9" y="13"/>
                  <a:pt x="13" y="9"/>
                  <a:pt x="19" y="9"/>
                </a:cubicBezTo>
                <a:cubicBezTo>
                  <a:pt x="158" y="9"/>
                  <a:pt x="158" y="9"/>
                  <a:pt x="158" y="9"/>
                </a:cubicBezTo>
                <a:cubicBezTo>
                  <a:pt x="163" y="9"/>
                  <a:pt x="168" y="13"/>
                  <a:pt x="168" y="19"/>
                </a:cubicBezTo>
                <a:lnTo>
                  <a:pt x="168" y="216"/>
                </a:lnTo>
                <a:close/>
              </a:path>
            </a:pathLst>
          </a:custGeom>
          <a:grpFill/>
          <a:ln>
            <a:solidFill>
              <a:schemeClr val="accent6"/>
            </a:solidFill>
          </a:ln>
          <a:extLst>
            <a:ext uri="{91240B29-F687-4f45-9708-019B960494DF}">
              <a14:hiddenLine xmlns:r="http://schemas.openxmlformats.org/officeDocument/2006/relationships" xmlns:p="http://schemas.openxmlformats.org/presentationml/2006/main" xmlns:a14="http://schemas.microsoft.com/office/drawing/2010/main" xmlns="" xmlns:lc="http://schemas.openxmlformats.org/drawingml/2006/lockedCanva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29" name="Freeform 575">
            <a:extLst>
              <a:ext uri="{FF2B5EF4-FFF2-40B4-BE49-F238E27FC236}">
                <a16:creationId xmlns:a16="http://schemas.microsoft.com/office/drawing/2014/main" id="{00000000-0008-0000-0000-00001D000000}"/>
              </a:ext>
            </a:extLst>
          </xdr:cNvPr>
          <xdr:cNvSpPr>
            <a:spLocks noEditPoints="1"/>
          </xdr:cNvSpPr>
        </xdr:nvSpPr>
        <xdr:spPr bwMode="auto">
          <a:xfrm>
            <a:off x="11539538" y="6486525"/>
            <a:ext cx="265112" cy="80963"/>
          </a:xfrm>
          <a:custGeom>
            <a:avLst/>
            <a:gdLst>
              <a:gd name="T0" fmla="*/ 104 w 112"/>
              <a:gd name="T1" fmla="*/ 0 h 34"/>
              <a:gd name="T2" fmla="*/ 7 w 112"/>
              <a:gd name="T3" fmla="*/ 0 h 34"/>
              <a:gd name="T4" fmla="*/ 0 w 112"/>
              <a:gd name="T5" fmla="*/ 7 h 34"/>
              <a:gd name="T6" fmla="*/ 0 w 112"/>
              <a:gd name="T7" fmla="*/ 27 h 34"/>
              <a:gd name="T8" fmla="*/ 7 w 112"/>
              <a:gd name="T9" fmla="*/ 34 h 34"/>
              <a:gd name="T10" fmla="*/ 104 w 112"/>
              <a:gd name="T11" fmla="*/ 34 h 34"/>
              <a:gd name="T12" fmla="*/ 112 w 112"/>
              <a:gd name="T13" fmla="*/ 27 h 34"/>
              <a:gd name="T14" fmla="*/ 112 w 112"/>
              <a:gd name="T15" fmla="*/ 7 h 34"/>
              <a:gd name="T16" fmla="*/ 104 w 112"/>
              <a:gd name="T17" fmla="*/ 0 h 34"/>
              <a:gd name="T18" fmla="*/ 102 w 112"/>
              <a:gd name="T19" fmla="*/ 25 h 34"/>
              <a:gd name="T20" fmla="*/ 9 w 112"/>
              <a:gd name="T21" fmla="*/ 25 h 34"/>
              <a:gd name="T22" fmla="*/ 9 w 112"/>
              <a:gd name="T23" fmla="*/ 9 h 34"/>
              <a:gd name="T24" fmla="*/ 102 w 112"/>
              <a:gd name="T25" fmla="*/ 9 h 34"/>
              <a:gd name="T26" fmla="*/ 102 w 112"/>
              <a:gd name="T27" fmla="*/ 25 h 3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112" h="34">
                <a:moveTo>
                  <a:pt x="104" y="0"/>
                </a:moveTo>
                <a:cubicBezTo>
                  <a:pt x="7" y="0"/>
                  <a:pt x="7" y="0"/>
                  <a:pt x="7" y="0"/>
                </a:cubicBezTo>
                <a:cubicBezTo>
                  <a:pt x="3" y="0"/>
                  <a:pt x="0" y="3"/>
                  <a:pt x="0" y="7"/>
                </a:cubicBezTo>
                <a:cubicBezTo>
                  <a:pt x="0" y="27"/>
                  <a:pt x="0" y="27"/>
                  <a:pt x="0" y="27"/>
                </a:cubicBezTo>
                <a:cubicBezTo>
                  <a:pt x="0" y="31"/>
                  <a:pt x="3" y="34"/>
                  <a:pt x="7" y="34"/>
                </a:cubicBezTo>
                <a:cubicBezTo>
                  <a:pt x="104" y="34"/>
                  <a:pt x="104" y="34"/>
                  <a:pt x="104" y="34"/>
                </a:cubicBezTo>
                <a:cubicBezTo>
                  <a:pt x="108" y="34"/>
                  <a:pt x="112" y="31"/>
                  <a:pt x="112" y="27"/>
                </a:cubicBezTo>
                <a:cubicBezTo>
                  <a:pt x="112" y="7"/>
                  <a:pt x="112" y="7"/>
                  <a:pt x="112" y="7"/>
                </a:cubicBezTo>
                <a:cubicBezTo>
                  <a:pt x="112" y="3"/>
                  <a:pt x="108" y="0"/>
                  <a:pt x="104" y="0"/>
                </a:cubicBezTo>
                <a:close/>
                <a:moveTo>
                  <a:pt x="102" y="25"/>
                </a:moveTo>
                <a:cubicBezTo>
                  <a:pt x="9" y="25"/>
                  <a:pt x="9" y="25"/>
                  <a:pt x="9" y="25"/>
                </a:cubicBezTo>
                <a:cubicBezTo>
                  <a:pt x="9" y="9"/>
                  <a:pt x="9" y="9"/>
                  <a:pt x="9" y="9"/>
                </a:cubicBezTo>
                <a:cubicBezTo>
                  <a:pt x="102" y="9"/>
                  <a:pt x="102" y="9"/>
                  <a:pt x="102" y="9"/>
                </a:cubicBezTo>
                <a:lnTo>
                  <a:pt x="102" y="25"/>
                </a:lnTo>
                <a:close/>
              </a:path>
            </a:pathLst>
          </a:custGeom>
          <a:grpFill/>
          <a:ln>
            <a:solidFill>
              <a:schemeClr val="accent6"/>
            </a:solidFill>
          </a:ln>
          <a:extLst>
            <a:ext uri="{91240B29-F687-4f45-9708-019B960494DF}">
              <a14:hiddenLine xmlns:r="http://schemas.openxmlformats.org/officeDocument/2006/relationships" xmlns:p="http://schemas.openxmlformats.org/presentationml/2006/main" xmlns:a14="http://schemas.microsoft.com/office/drawing/2010/main" xmlns="" xmlns:lc="http://schemas.openxmlformats.org/drawingml/2006/lockedCanva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30" name="Freeform 576">
            <a:extLst>
              <a:ext uri="{FF2B5EF4-FFF2-40B4-BE49-F238E27FC236}">
                <a16:creationId xmlns:a16="http://schemas.microsoft.com/office/drawing/2014/main" id="{00000000-0008-0000-0000-00001E000000}"/>
              </a:ext>
            </a:extLst>
          </xdr:cNvPr>
          <xdr:cNvSpPr>
            <a:spLocks/>
          </xdr:cNvSpPr>
        </xdr:nvSpPr>
        <xdr:spPr bwMode="auto">
          <a:xfrm>
            <a:off x="11550650" y="6624638"/>
            <a:ext cx="107950" cy="104775"/>
          </a:xfrm>
          <a:custGeom>
            <a:avLst/>
            <a:gdLst>
              <a:gd name="T0" fmla="*/ 40 w 45"/>
              <a:gd name="T1" fmla="*/ 17 h 44"/>
              <a:gd name="T2" fmla="*/ 28 w 45"/>
              <a:gd name="T3" fmla="*/ 17 h 44"/>
              <a:gd name="T4" fmla="*/ 28 w 45"/>
              <a:gd name="T5" fmla="*/ 4 h 44"/>
              <a:gd name="T6" fmla="*/ 26 w 45"/>
              <a:gd name="T7" fmla="*/ 2 h 44"/>
              <a:gd name="T8" fmla="*/ 22 w 45"/>
              <a:gd name="T9" fmla="*/ 0 h 44"/>
              <a:gd name="T10" fmla="*/ 19 w 45"/>
              <a:gd name="T11" fmla="*/ 2 h 44"/>
              <a:gd name="T12" fmla="*/ 18 w 45"/>
              <a:gd name="T13" fmla="*/ 4 h 44"/>
              <a:gd name="T14" fmla="*/ 18 w 45"/>
              <a:gd name="T15" fmla="*/ 17 h 44"/>
              <a:gd name="T16" fmla="*/ 4 w 45"/>
              <a:gd name="T17" fmla="*/ 17 h 44"/>
              <a:gd name="T18" fmla="*/ 1 w 45"/>
              <a:gd name="T19" fmla="*/ 19 h 44"/>
              <a:gd name="T20" fmla="*/ 0 w 45"/>
              <a:gd name="T21" fmla="*/ 22 h 44"/>
              <a:gd name="T22" fmla="*/ 1 w 45"/>
              <a:gd name="T23" fmla="*/ 26 h 44"/>
              <a:gd name="T24" fmla="*/ 4 w 45"/>
              <a:gd name="T25" fmla="*/ 27 h 44"/>
              <a:gd name="T26" fmla="*/ 18 w 45"/>
              <a:gd name="T27" fmla="*/ 27 h 44"/>
              <a:gd name="T28" fmla="*/ 18 w 45"/>
              <a:gd name="T29" fmla="*/ 39 h 44"/>
              <a:gd name="T30" fmla="*/ 19 w 45"/>
              <a:gd name="T31" fmla="*/ 43 h 44"/>
              <a:gd name="T32" fmla="*/ 22 w 45"/>
              <a:gd name="T33" fmla="*/ 44 h 44"/>
              <a:gd name="T34" fmla="*/ 26 w 45"/>
              <a:gd name="T35" fmla="*/ 43 h 44"/>
              <a:gd name="T36" fmla="*/ 28 w 45"/>
              <a:gd name="T37" fmla="*/ 39 h 44"/>
              <a:gd name="T38" fmla="*/ 28 w 45"/>
              <a:gd name="T39" fmla="*/ 27 h 44"/>
              <a:gd name="T40" fmla="*/ 40 w 45"/>
              <a:gd name="T41" fmla="*/ 27 h 44"/>
              <a:gd name="T42" fmla="*/ 44 w 45"/>
              <a:gd name="T43" fmla="*/ 26 h 44"/>
              <a:gd name="T44" fmla="*/ 45 w 45"/>
              <a:gd name="T45" fmla="*/ 22 h 44"/>
              <a:gd name="T46" fmla="*/ 44 w 45"/>
              <a:gd name="T47" fmla="*/ 19 h 44"/>
              <a:gd name="T48" fmla="*/ 40 w 45"/>
              <a:gd name="T49" fmla="*/ 17 h 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45" h="44">
                <a:moveTo>
                  <a:pt x="40" y="17"/>
                </a:moveTo>
                <a:cubicBezTo>
                  <a:pt x="28" y="17"/>
                  <a:pt x="28" y="17"/>
                  <a:pt x="28" y="17"/>
                </a:cubicBezTo>
                <a:cubicBezTo>
                  <a:pt x="28" y="4"/>
                  <a:pt x="28" y="4"/>
                  <a:pt x="28" y="4"/>
                </a:cubicBezTo>
                <a:cubicBezTo>
                  <a:pt x="28" y="3"/>
                  <a:pt x="27" y="2"/>
                  <a:pt x="26" y="2"/>
                </a:cubicBezTo>
                <a:cubicBezTo>
                  <a:pt x="25" y="1"/>
                  <a:pt x="24" y="0"/>
                  <a:pt x="22" y="0"/>
                </a:cubicBezTo>
                <a:cubicBezTo>
                  <a:pt x="21" y="0"/>
                  <a:pt x="20" y="1"/>
                  <a:pt x="19" y="2"/>
                </a:cubicBezTo>
                <a:cubicBezTo>
                  <a:pt x="18" y="2"/>
                  <a:pt x="18" y="3"/>
                  <a:pt x="18" y="4"/>
                </a:cubicBezTo>
                <a:cubicBezTo>
                  <a:pt x="18" y="17"/>
                  <a:pt x="18" y="17"/>
                  <a:pt x="18" y="17"/>
                </a:cubicBezTo>
                <a:cubicBezTo>
                  <a:pt x="4" y="17"/>
                  <a:pt x="4" y="17"/>
                  <a:pt x="4" y="17"/>
                </a:cubicBezTo>
                <a:cubicBezTo>
                  <a:pt x="3" y="17"/>
                  <a:pt x="2" y="18"/>
                  <a:pt x="1" y="19"/>
                </a:cubicBezTo>
                <a:cubicBezTo>
                  <a:pt x="0" y="19"/>
                  <a:pt x="0" y="21"/>
                  <a:pt x="0" y="22"/>
                </a:cubicBezTo>
                <a:cubicBezTo>
                  <a:pt x="0" y="24"/>
                  <a:pt x="0" y="25"/>
                  <a:pt x="1" y="26"/>
                </a:cubicBezTo>
                <a:cubicBezTo>
                  <a:pt x="2" y="26"/>
                  <a:pt x="3" y="27"/>
                  <a:pt x="4" y="27"/>
                </a:cubicBezTo>
                <a:cubicBezTo>
                  <a:pt x="18" y="27"/>
                  <a:pt x="18" y="27"/>
                  <a:pt x="18" y="27"/>
                </a:cubicBezTo>
                <a:cubicBezTo>
                  <a:pt x="18" y="39"/>
                  <a:pt x="18" y="39"/>
                  <a:pt x="18" y="39"/>
                </a:cubicBezTo>
                <a:cubicBezTo>
                  <a:pt x="18" y="40"/>
                  <a:pt x="18" y="42"/>
                  <a:pt x="19" y="43"/>
                </a:cubicBezTo>
                <a:cubicBezTo>
                  <a:pt x="20" y="43"/>
                  <a:pt x="21" y="44"/>
                  <a:pt x="22" y="44"/>
                </a:cubicBezTo>
                <a:cubicBezTo>
                  <a:pt x="24" y="44"/>
                  <a:pt x="25" y="43"/>
                  <a:pt x="26" y="43"/>
                </a:cubicBezTo>
                <a:cubicBezTo>
                  <a:pt x="27" y="42"/>
                  <a:pt x="28" y="40"/>
                  <a:pt x="28" y="39"/>
                </a:cubicBezTo>
                <a:cubicBezTo>
                  <a:pt x="28" y="27"/>
                  <a:pt x="28" y="27"/>
                  <a:pt x="28" y="27"/>
                </a:cubicBezTo>
                <a:cubicBezTo>
                  <a:pt x="40" y="27"/>
                  <a:pt x="40" y="27"/>
                  <a:pt x="40" y="27"/>
                </a:cubicBezTo>
                <a:cubicBezTo>
                  <a:pt x="42" y="27"/>
                  <a:pt x="43" y="26"/>
                  <a:pt x="44" y="26"/>
                </a:cubicBezTo>
                <a:cubicBezTo>
                  <a:pt x="45" y="25"/>
                  <a:pt x="45" y="24"/>
                  <a:pt x="45" y="22"/>
                </a:cubicBezTo>
                <a:cubicBezTo>
                  <a:pt x="45" y="21"/>
                  <a:pt x="45" y="19"/>
                  <a:pt x="44" y="19"/>
                </a:cubicBezTo>
                <a:cubicBezTo>
                  <a:pt x="43" y="18"/>
                  <a:pt x="42" y="17"/>
                  <a:pt x="40" y="17"/>
                </a:cubicBezTo>
                <a:close/>
              </a:path>
            </a:pathLst>
          </a:custGeom>
          <a:grpFill/>
          <a:ln>
            <a:solidFill>
              <a:schemeClr val="accent6"/>
            </a:solidFill>
          </a:ln>
          <a:extLst>
            <a:ext uri="{91240B29-F687-4f45-9708-019B960494DF}">
              <a14:hiddenLine xmlns:r="http://schemas.openxmlformats.org/officeDocument/2006/relationships" xmlns:p="http://schemas.openxmlformats.org/presentationml/2006/main" xmlns:a14="http://schemas.microsoft.com/office/drawing/2010/main" xmlns="" xmlns:lc="http://schemas.openxmlformats.org/drawingml/2006/lockedCanva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31" name="Freeform 577">
            <a:extLst>
              <a:ext uri="{FF2B5EF4-FFF2-40B4-BE49-F238E27FC236}">
                <a16:creationId xmlns:a16="http://schemas.microsoft.com/office/drawing/2014/main" id="{00000000-0008-0000-0000-00001F000000}"/>
              </a:ext>
            </a:extLst>
          </xdr:cNvPr>
          <xdr:cNvSpPr>
            <a:spLocks/>
          </xdr:cNvSpPr>
        </xdr:nvSpPr>
        <xdr:spPr bwMode="auto">
          <a:xfrm>
            <a:off x="11684000" y="6665913"/>
            <a:ext cx="109537" cy="23813"/>
          </a:xfrm>
          <a:custGeom>
            <a:avLst/>
            <a:gdLst>
              <a:gd name="T0" fmla="*/ 41 w 46"/>
              <a:gd name="T1" fmla="*/ 0 h 10"/>
              <a:gd name="T2" fmla="*/ 5 w 46"/>
              <a:gd name="T3" fmla="*/ 0 h 10"/>
              <a:gd name="T4" fmla="*/ 2 w 46"/>
              <a:gd name="T5" fmla="*/ 2 h 10"/>
              <a:gd name="T6" fmla="*/ 0 w 46"/>
              <a:gd name="T7" fmla="*/ 5 h 10"/>
              <a:gd name="T8" fmla="*/ 2 w 46"/>
              <a:gd name="T9" fmla="*/ 9 h 10"/>
              <a:gd name="T10" fmla="*/ 5 w 46"/>
              <a:gd name="T11" fmla="*/ 10 h 10"/>
              <a:gd name="T12" fmla="*/ 41 w 46"/>
              <a:gd name="T13" fmla="*/ 10 h 10"/>
              <a:gd name="T14" fmla="*/ 45 w 46"/>
              <a:gd name="T15" fmla="*/ 9 h 10"/>
              <a:gd name="T16" fmla="*/ 46 w 46"/>
              <a:gd name="T17" fmla="*/ 5 h 10"/>
              <a:gd name="T18" fmla="*/ 45 w 46"/>
              <a:gd name="T19" fmla="*/ 2 h 10"/>
              <a:gd name="T20" fmla="*/ 41 w 46"/>
              <a:gd name="T21" fmla="*/ 0 h 1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46" h="10">
                <a:moveTo>
                  <a:pt x="41" y="0"/>
                </a:moveTo>
                <a:cubicBezTo>
                  <a:pt x="5" y="0"/>
                  <a:pt x="5" y="0"/>
                  <a:pt x="5" y="0"/>
                </a:cubicBezTo>
                <a:cubicBezTo>
                  <a:pt x="3" y="0"/>
                  <a:pt x="2" y="1"/>
                  <a:pt x="2" y="2"/>
                </a:cubicBezTo>
                <a:cubicBezTo>
                  <a:pt x="1" y="2"/>
                  <a:pt x="0" y="4"/>
                  <a:pt x="0" y="5"/>
                </a:cubicBezTo>
                <a:cubicBezTo>
                  <a:pt x="0" y="7"/>
                  <a:pt x="1" y="8"/>
                  <a:pt x="2" y="9"/>
                </a:cubicBezTo>
                <a:cubicBezTo>
                  <a:pt x="2" y="9"/>
                  <a:pt x="3" y="10"/>
                  <a:pt x="5" y="10"/>
                </a:cubicBezTo>
                <a:cubicBezTo>
                  <a:pt x="41" y="10"/>
                  <a:pt x="41" y="10"/>
                  <a:pt x="41" y="10"/>
                </a:cubicBezTo>
                <a:cubicBezTo>
                  <a:pt x="42" y="10"/>
                  <a:pt x="44" y="9"/>
                  <a:pt x="45" y="9"/>
                </a:cubicBezTo>
                <a:cubicBezTo>
                  <a:pt x="46" y="8"/>
                  <a:pt x="46" y="7"/>
                  <a:pt x="46" y="5"/>
                </a:cubicBezTo>
                <a:cubicBezTo>
                  <a:pt x="46" y="4"/>
                  <a:pt x="46" y="2"/>
                  <a:pt x="45" y="2"/>
                </a:cubicBezTo>
                <a:cubicBezTo>
                  <a:pt x="44" y="1"/>
                  <a:pt x="42" y="0"/>
                  <a:pt x="41" y="0"/>
                </a:cubicBezTo>
                <a:close/>
              </a:path>
            </a:pathLst>
          </a:custGeom>
          <a:grpFill/>
          <a:ln>
            <a:solidFill>
              <a:schemeClr val="accent6"/>
            </a:solidFill>
          </a:ln>
          <a:extLst>
            <a:ext uri="{91240B29-F687-4f45-9708-019B960494DF}">
              <a14:hiddenLine xmlns:r="http://schemas.openxmlformats.org/officeDocument/2006/relationships" xmlns:p="http://schemas.openxmlformats.org/presentationml/2006/main" xmlns:a14="http://schemas.microsoft.com/office/drawing/2010/main" xmlns="" xmlns:lc="http://schemas.openxmlformats.org/drawingml/2006/lockedCanva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32" name="Freeform 578">
            <a:extLst>
              <a:ext uri="{FF2B5EF4-FFF2-40B4-BE49-F238E27FC236}">
                <a16:creationId xmlns:a16="http://schemas.microsoft.com/office/drawing/2014/main" id="{00000000-0008-0000-0000-000020000000}"/>
              </a:ext>
            </a:extLst>
          </xdr:cNvPr>
          <xdr:cNvSpPr>
            <a:spLocks/>
          </xdr:cNvSpPr>
        </xdr:nvSpPr>
        <xdr:spPr bwMode="auto">
          <a:xfrm>
            <a:off x="11563350" y="6777038"/>
            <a:ext cx="85725" cy="84138"/>
          </a:xfrm>
          <a:custGeom>
            <a:avLst/>
            <a:gdLst>
              <a:gd name="T0" fmla="*/ 36 w 36"/>
              <a:gd name="T1" fmla="*/ 5 h 35"/>
              <a:gd name="T2" fmla="*/ 34 w 36"/>
              <a:gd name="T3" fmla="*/ 1 h 35"/>
              <a:gd name="T4" fmla="*/ 31 w 36"/>
              <a:gd name="T5" fmla="*/ 0 h 35"/>
              <a:gd name="T6" fmla="*/ 27 w 36"/>
              <a:gd name="T7" fmla="*/ 2 h 35"/>
              <a:gd name="T8" fmla="*/ 18 w 36"/>
              <a:gd name="T9" fmla="*/ 11 h 35"/>
              <a:gd name="T10" fmla="*/ 9 w 36"/>
              <a:gd name="T11" fmla="*/ 2 h 35"/>
              <a:gd name="T12" fmla="*/ 6 w 36"/>
              <a:gd name="T13" fmla="*/ 1 h 35"/>
              <a:gd name="T14" fmla="*/ 3 w 36"/>
              <a:gd name="T15" fmla="*/ 2 h 35"/>
              <a:gd name="T16" fmla="*/ 1 w 36"/>
              <a:gd name="T17" fmla="*/ 6 h 35"/>
              <a:gd name="T18" fmla="*/ 2 w 36"/>
              <a:gd name="T19" fmla="*/ 9 h 35"/>
              <a:gd name="T20" fmla="*/ 11 w 36"/>
              <a:gd name="T21" fmla="*/ 18 h 35"/>
              <a:gd name="T22" fmla="*/ 2 w 36"/>
              <a:gd name="T23" fmla="*/ 27 h 35"/>
              <a:gd name="T24" fmla="*/ 0 w 36"/>
              <a:gd name="T25" fmla="*/ 30 h 35"/>
              <a:gd name="T26" fmla="*/ 2 w 36"/>
              <a:gd name="T27" fmla="*/ 34 h 35"/>
              <a:gd name="T28" fmla="*/ 5 w 36"/>
              <a:gd name="T29" fmla="*/ 35 h 35"/>
              <a:gd name="T30" fmla="*/ 8 w 36"/>
              <a:gd name="T31" fmla="*/ 34 h 35"/>
              <a:gd name="T32" fmla="*/ 18 w 36"/>
              <a:gd name="T33" fmla="*/ 24 h 35"/>
              <a:gd name="T34" fmla="*/ 26 w 36"/>
              <a:gd name="T35" fmla="*/ 33 h 35"/>
              <a:gd name="T36" fmla="*/ 30 w 36"/>
              <a:gd name="T37" fmla="*/ 35 h 35"/>
              <a:gd name="T38" fmla="*/ 33 w 36"/>
              <a:gd name="T39" fmla="*/ 33 h 35"/>
              <a:gd name="T40" fmla="*/ 35 w 36"/>
              <a:gd name="T41" fmla="*/ 29 h 35"/>
              <a:gd name="T42" fmla="*/ 34 w 36"/>
              <a:gd name="T43" fmla="*/ 26 h 35"/>
              <a:gd name="T44" fmla="*/ 25 w 36"/>
              <a:gd name="T45" fmla="*/ 17 h 35"/>
              <a:gd name="T46" fmla="*/ 34 w 36"/>
              <a:gd name="T47" fmla="*/ 8 h 35"/>
              <a:gd name="T48" fmla="*/ 36 w 36"/>
              <a:gd name="T49" fmla="*/ 5 h 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36" h="35">
                <a:moveTo>
                  <a:pt x="36" y="5"/>
                </a:moveTo>
                <a:cubicBezTo>
                  <a:pt x="36" y="4"/>
                  <a:pt x="35" y="2"/>
                  <a:pt x="34" y="1"/>
                </a:cubicBezTo>
                <a:cubicBezTo>
                  <a:pt x="33" y="0"/>
                  <a:pt x="32" y="0"/>
                  <a:pt x="31" y="0"/>
                </a:cubicBezTo>
                <a:cubicBezTo>
                  <a:pt x="30" y="0"/>
                  <a:pt x="28" y="1"/>
                  <a:pt x="27" y="2"/>
                </a:cubicBezTo>
                <a:cubicBezTo>
                  <a:pt x="18" y="11"/>
                  <a:pt x="18" y="11"/>
                  <a:pt x="18" y="11"/>
                </a:cubicBezTo>
                <a:cubicBezTo>
                  <a:pt x="9" y="2"/>
                  <a:pt x="9" y="2"/>
                  <a:pt x="9" y="2"/>
                </a:cubicBezTo>
                <a:cubicBezTo>
                  <a:pt x="8" y="1"/>
                  <a:pt x="7" y="0"/>
                  <a:pt x="6" y="1"/>
                </a:cubicBezTo>
                <a:cubicBezTo>
                  <a:pt x="5" y="1"/>
                  <a:pt x="4" y="1"/>
                  <a:pt x="3" y="2"/>
                </a:cubicBezTo>
                <a:cubicBezTo>
                  <a:pt x="2" y="3"/>
                  <a:pt x="1" y="5"/>
                  <a:pt x="1" y="6"/>
                </a:cubicBezTo>
                <a:cubicBezTo>
                  <a:pt x="1" y="7"/>
                  <a:pt x="1" y="8"/>
                  <a:pt x="2" y="9"/>
                </a:cubicBezTo>
                <a:cubicBezTo>
                  <a:pt x="11" y="18"/>
                  <a:pt x="11" y="18"/>
                  <a:pt x="11" y="18"/>
                </a:cubicBezTo>
                <a:cubicBezTo>
                  <a:pt x="2" y="27"/>
                  <a:pt x="2" y="27"/>
                  <a:pt x="2" y="27"/>
                </a:cubicBezTo>
                <a:cubicBezTo>
                  <a:pt x="1" y="28"/>
                  <a:pt x="0" y="29"/>
                  <a:pt x="0" y="30"/>
                </a:cubicBezTo>
                <a:cubicBezTo>
                  <a:pt x="0" y="32"/>
                  <a:pt x="1" y="33"/>
                  <a:pt x="2" y="34"/>
                </a:cubicBezTo>
                <a:cubicBezTo>
                  <a:pt x="3" y="35"/>
                  <a:pt x="4" y="35"/>
                  <a:pt x="5" y="35"/>
                </a:cubicBezTo>
                <a:cubicBezTo>
                  <a:pt x="7" y="35"/>
                  <a:pt x="8" y="35"/>
                  <a:pt x="8" y="34"/>
                </a:cubicBezTo>
                <a:cubicBezTo>
                  <a:pt x="18" y="24"/>
                  <a:pt x="18" y="24"/>
                  <a:pt x="18" y="24"/>
                </a:cubicBezTo>
                <a:cubicBezTo>
                  <a:pt x="26" y="33"/>
                  <a:pt x="26" y="33"/>
                  <a:pt x="26" y="33"/>
                </a:cubicBezTo>
                <a:cubicBezTo>
                  <a:pt x="28" y="34"/>
                  <a:pt x="29" y="35"/>
                  <a:pt x="30" y="35"/>
                </a:cubicBezTo>
                <a:cubicBezTo>
                  <a:pt x="31" y="35"/>
                  <a:pt x="32" y="34"/>
                  <a:pt x="33" y="33"/>
                </a:cubicBezTo>
                <a:cubicBezTo>
                  <a:pt x="35" y="32"/>
                  <a:pt x="35" y="31"/>
                  <a:pt x="35" y="29"/>
                </a:cubicBezTo>
                <a:cubicBezTo>
                  <a:pt x="35" y="28"/>
                  <a:pt x="35" y="27"/>
                  <a:pt x="34" y="26"/>
                </a:cubicBezTo>
                <a:cubicBezTo>
                  <a:pt x="25" y="17"/>
                  <a:pt x="25" y="17"/>
                  <a:pt x="25" y="17"/>
                </a:cubicBezTo>
                <a:cubicBezTo>
                  <a:pt x="34" y="8"/>
                  <a:pt x="34" y="8"/>
                  <a:pt x="34" y="8"/>
                </a:cubicBezTo>
                <a:cubicBezTo>
                  <a:pt x="35" y="7"/>
                  <a:pt x="36" y="6"/>
                  <a:pt x="36" y="5"/>
                </a:cubicBezTo>
                <a:close/>
              </a:path>
            </a:pathLst>
          </a:custGeom>
          <a:grpFill/>
          <a:ln>
            <a:solidFill>
              <a:schemeClr val="accent6"/>
            </a:solidFill>
          </a:ln>
          <a:extLst>
            <a:ext uri="{91240B29-F687-4f45-9708-019B960494DF}">
              <a14:hiddenLine xmlns:r="http://schemas.openxmlformats.org/officeDocument/2006/relationships" xmlns:p="http://schemas.openxmlformats.org/presentationml/2006/main" xmlns:a14="http://schemas.microsoft.com/office/drawing/2010/main" xmlns="" xmlns:lc="http://schemas.openxmlformats.org/drawingml/2006/lockedCanva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33" name="Freeform 579">
            <a:extLst>
              <a:ext uri="{FF2B5EF4-FFF2-40B4-BE49-F238E27FC236}">
                <a16:creationId xmlns:a16="http://schemas.microsoft.com/office/drawing/2014/main" id="{00000000-0008-0000-0000-000021000000}"/>
              </a:ext>
            </a:extLst>
          </xdr:cNvPr>
          <xdr:cNvSpPr>
            <a:spLocks/>
          </xdr:cNvSpPr>
        </xdr:nvSpPr>
        <xdr:spPr bwMode="auto">
          <a:xfrm>
            <a:off x="11693525" y="6804025"/>
            <a:ext cx="90487" cy="23813"/>
          </a:xfrm>
          <a:custGeom>
            <a:avLst/>
            <a:gdLst>
              <a:gd name="T0" fmla="*/ 33 w 38"/>
              <a:gd name="T1" fmla="*/ 0 h 10"/>
              <a:gd name="T2" fmla="*/ 4 w 38"/>
              <a:gd name="T3" fmla="*/ 0 h 10"/>
              <a:gd name="T4" fmla="*/ 1 w 38"/>
              <a:gd name="T5" fmla="*/ 2 h 10"/>
              <a:gd name="T6" fmla="*/ 0 w 38"/>
              <a:gd name="T7" fmla="*/ 5 h 10"/>
              <a:gd name="T8" fmla="*/ 1 w 38"/>
              <a:gd name="T9" fmla="*/ 9 h 10"/>
              <a:gd name="T10" fmla="*/ 4 w 38"/>
              <a:gd name="T11" fmla="*/ 10 h 10"/>
              <a:gd name="T12" fmla="*/ 33 w 38"/>
              <a:gd name="T13" fmla="*/ 10 h 10"/>
              <a:gd name="T14" fmla="*/ 37 w 38"/>
              <a:gd name="T15" fmla="*/ 9 h 10"/>
              <a:gd name="T16" fmla="*/ 38 w 38"/>
              <a:gd name="T17" fmla="*/ 5 h 10"/>
              <a:gd name="T18" fmla="*/ 37 w 38"/>
              <a:gd name="T19" fmla="*/ 2 h 10"/>
              <a:gd name="T20" fmla="*/ 33 w 38"/>
              <a:gd name="T21" fmla="*/ 0 h 1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8" h="10">
                <a:moveTo>
                  <a:pt x="33" y="0"/>
                </a:moveTo>
                <a:cubicBezTo>
                  <a:pt x="4" y="0"/>
                  <a:pt x="4" y="0"/>
                  <a:pt x="4" y="0"/>
                </a:cubicBezTo>
                <a:cubicBezTo>
                  <a:pt x="3" y="0"/>
                  <a:pt x="2" y="1"/>
                  <a:pt x="1" y="2"/>
                </a:cubicBezTo>
                <a:cubicBezTo>
                  <a:pt x="0" y="3"/>
                  <a:pt x="0" y="4"/>
                  <a:pt x="0" y="5"/>
                </a:cubicBezTo>
                <a:cubicBezTo>
                  <a:pt x="0" y="7"/>
                  <a:pt x="0" y="8"/>
                  <a:pt x="1" y="9"/>
                </a:cubicBezTo>
                <a:cubicBezTo>
                  <a:pt x="2" y="10"/>
                  <a:pt x="3" y="10"/>
                  <a:pt x="4" y="10"/>
                </a:cubicBezTo>
                <a:cubicBezTo>
                  <a:pt x="33" y="10"/>
                  <a:pt x="33" y="10"/>
                  <a:pt x="33" y="10"/>
                </a:cubicBezTo>
                <a:cubicBezTo>
                  <a:pt x="35" y="10"/>
                  <a:pt x="36" y="10"/>
                  <a:pt x="37" y="9"/>
                </a:cubicBezTo>
                <a:cubicBezTo>
                  <a:pt x="38" y="8"/>
                  <a:pt x="38" y="7"/>
                  <a:pt x="38" y="5"/>
                </a:cubicBezTo>
                <a:cubicBezTo>
                  <a:pt x="38" y="4"/>
                  <a:pt x="38" y="3"/>
                  <a:pt x="37" y="2"/>
                </a:cubicBezTo>
                <a:cubicBezTo>
                  <a:pt x="36" y="1"/>
                  <a:pt x="35" y="0"/>
                  <a:pt x="33" y="0"/>
                </a:cubicBezTo>
                <a:close/>
              </a:path>
            </a:pathLst>
          </a:custGeom>
          <a:grpFill/>
          <a:ln>
            <a:solidFill>
              <a:schemeClr val="accent6"/>
            </a:solidFill>
          </a:ln>
          <a:extLst>
            <a:ext uri="{91240B29-F687-4f45-9708-019B960494DF}">
              <a14:hiddenLine xmlns:r="http://schemas.openxmlformats.org/officeDocument/2006/relationships" xmlns:p="http://schemas.openxmlformats.org/presentationml/2006/main" xmlns:a14="http://schemas.microsoft.com/office/drawing/2010/main" xmlns="" xmlns:lc="http://schemas.openxmlformats.org/drawingml/2006/lockedCanva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34" name="Oval 33">
            <a:extLst>
              <a:ext uri="{FF2B5EF4-FFF2-40B4-BE49-F238E27FC236}">
                <a16:creationId xmlns:a16="http://schemas.microsoft.com/office/drawing/2014/main" id="{00000000-0008-0000-0000-000022000000}"/>
              </a:ext>
            </a:extLst>
          </xdr:cNvPr>
          <xdr:cNvSpPr>
            <a:spLocks noChangeArrowheads="1"/>
          </xdr:cNvSpPr>
        </xdr:nvSpPr>
        <xdr:spPr bwMode="auto">
          <a:xfrm>
            <a:off x="11725275" y="6767513"/>
            <a:ext cx="28575" cy="28575"/>
          </a:xfrm>
          <a:prstGeom prst="ellipse">
            <a:avLst/>
          </a:prstGeom>
          <a:grpFill/>
          <a:ln>
            <a:solidFill>
              <a:schemeClr val="accent6"/>
            </a:solidFill>
          </a:ln>
          <a:extLst>
            <a:ext uri="{91240B29-F687-4f45-9708-019B960494DF}">
              <a14:hiddenLine xmlns:r="http://schemas.openxmlformats.org/officeDocument/2006/relationships" xmlns:p="http://schemas.openxmlformats.org/presentationml/2006/main" xmlns:a14="http://schemas.microsoft.com/office/drawing/2010/main" xmlns="" xmlns:lc="http://schemas.openxmlformats.org/drawingml/2006/lockedCanva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35" name="Oval 34">
            <a:extLst>
              <a:ext uri="{FF2B5EF4-FFF2-40B4-BE49-F238E27FC236}">
                <a16:creationId xmlns:a16="http://schemas.microsoft.com/office/drawing/2014/main" id="{00000000-0008-0000-0000-000023000000}"/>
              </a:ext>
            </a:extLst>
          </xdr:cNvPr>
          <xdr:cNvSpPr>
            <a:spLocks noChangeArrowheads="1"/>
          </xdr:cNvSpPr>
        </xdr:nvSpPr>
        <xdr:spPr bwMode="auto">
          <a:xfrm>
            <a:off x="11725275" y="6834188"/>
            <a:ext cx="28575" cy="28575"/>
          </a:xfrm>
          <a:prstGeom prst="ellipse">
            <a:avLst/>
          </a:prstGeom>
          <a:grpFill/>
          <a:ln>
            <a:solidFill>
              <a:schemeClr val="accent6"/>
            </a:solidFill>
          </a:ln>
          <a:extLst>
            <a:ext uri="{91240B29-F687-4f45-9708-019B960494DF}">
              <a14:hiddenLine xmlns:r="http://schemas.openxmlformats.org/officeDocument/2006/relationships" xmlns:p="http://schemas.openxmlformats.org/presentationml/2006/main" xmlns:a14="http://schemas.microsoft.com/office/drawing/2010/main" xmlns="" xmlns:lc="http://schemas.openxmlformats.org/drawingml/2006/lockedCanva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grpSp>
    <xdr:clientData/>
  </xdr:twoCellAnchor>
  <xdr:twoCellAnchor>
    <xdr:from>
      <xdr:col>2</xdr:col>
      <xdr:colOff>440536</xdr:colOff>
      <xdr:row>82</xdr:row>
      <xdr:rowOff>95669</xdr:rowOff>
    </xdr:from>
    <xdr:to>
      <xdr:col>2</xdr:col>
      <xdr:colOff>768324</xdr:colOff>
      <xdr:row>84</xdr:row>
      <xdr:rowOff>110251</xdr:rowOff>
    </xdr:to>
    <xdr:grpSp>
      <xdr:nvGrpSpPr>
        <xdr:cNvPr id="47" name="Group 46">
          <a:hlinkClick xmlns:r="http://schemas.openxmlformats.org/officeDocument/2006/relationships" r:id="rId7"/>
          <a:extLst>
            <a:ext uri="{FF2B5EF4-FFF2-40B4-BE49-F238E27FC236}">
              <a16:creationId xmlns:a16="http://schemas.microsoft.com/office/drawing/2014/main" id="{00000000-0008-0000-0000-00002F000000}"/>
            </a:ext>
          </a:extLst>
        </xdr:cNvPr>
        <xdr:cNvGrpSpPr>
          <a:grpSpLocks noChangeAspect="1"/>
        </xdr:cNvGrpSpPr>
      </xdr:nvGrpSpPr>
      <xdr:grpSpPr>
        <a:xfrm>
          <a:off x="1678786" y="16505883"/>
          <a:ext cx="330963" cy="365193"/>
          <a:chOff x="11460163" y="6399213"/>
          <a:chExt cx="420687" cy="558800"/>
        </a:xfrm>
        <a:solidFill>
          <a:schemeClr val="accent6"/>
        </a:solidFill>
      </xdr:grpSpPr>
      <xdr:sp macro="" textlink="">
        <xdr:nvSpPr>
          <xdr:cNvPr id="48" name="Freeform 574">
            <a:extLst>
              <a:ext uri="{FF2B5EF4-FFF2-40B4-BE49-F238E27FC236}">
                <a16:creationId xmlns:a16="http://schemas.microsoft.com/office/drawing/2014/main" id="{00000000-0008-0000-0000-000030000000}"/>
              </a:ext>
            </a:extLst>
          </xdr:cNvPr>
          <xdr:cNvSpPr>
            <a:spLocks noEditPoints="1"/>
          </xdr:cNvSpPr>
        </xdr:nvSpPr>
        <xdr:spPr bwMode="auto">
          <a:xfrm>
            <a:off x="11460163" y="6399213"/>
            <a:ext cx="420687" cy="558800"/>
          </a:xfrm>
          <a:custGeom>
            <a:avLst/>
            <a:gdLst>
              <a:gd name="T0" fmla="*/ 158 w 177"/>
              <a:gd name="T1" fmla="*/ 0 h 235"/>
              <a:gd name="T2" fmla="*/ 19 w 177"/>
              <a:gd name="T3" fmla="*/ 0 h 235"/>
              <a:gd name="T4" fmla="*/ 0 w 177"/>
              <a:gd name="T5" fmla="*/ 19 h 235"/>
              <a:gd name="T6" fmla="*/ 0 w 177"/>
              <a:gd name="T7" fmla="*/ 216 h 235"/>
              <a:gd name="T8" fmla="*/ 19 w 177"/>
              <a:gd name="T9" fmla="*/ 235 h 235"/>
              <a:gd name="T10" fmla="*/ 158 w 177"/>
              <a:gd name="T11" fmla="*/ 235 h 235"/>
              <a:gd name="T12" fmla="*/ 177 w 177"/>
              <a:gd name="T13" fmla="*/ 216 h 235"/>
              <a:gd name="T14" fmla="*/ 177 w 177"/>
              <a:gd name="T15" fmla="*/ 19 h 235"/>
              <a:gd name="T16" fmla="*/ 158 w 177"/>
              <a:gd name="T17" fmla="*/ 0 h 235"/>
              <a:gd name="T18" fmla="*/ 168 w 177"/>
              <a:gd name="T19" fmla="*/ 216 h 235"/>
              <a:gd name="T20" fmla="*/ 158 w 177"/>
              <a:gd name="T21" fmla="*/ 225 h 235"/>
              <a:gd name="T22" fmla="*/ 19 w 177"/>
              <a:gd name="T23" fmla="*/ 225 h 235"/>
              <a:gd name="T24" fmla="*/ 9 w 177"/>
              <a:gd name="T25" fmla="*/ 216 h 235"/>
              <a:gd name="T26" fmla="*/ 9 w 177"/>
              <a:gd name="T27" fmla="*/ 19 h 235"/>
              <a:gd name="T28" fmla="*/ 19 w 177"/>
              <a:gd name="T29" fmla="*/ 9 h 235"/>
              <a:gd name="T30" fmla="*/ 158 w 177"/>
              <a:gd name="T31" fmla="*/ 9 h 235"/>
              <a:gd name="T32" fmla="*/ 168 w 177"/>
              <a:gd name="T33" fmla="*/ 19 h 235"/>
              <a:gd name="T34" fmla="*/ 168 w 177"/>
              <a:gd name="T35" fmla="*/ 216 h 2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177" h="235">
                <a:moveTo>
                  <a:pt x="158" y="0"/>
                </a:moveTo>
                <a:cubicBezTo>
                  <a:pt x="19" y="0"/>
                  <a:pt x="19" y="0"/>
                  <a:pt x="19" y="0"/>
                </a:cubicBezTo>
                <a:cubicBezTo>
                  <a:pt x="8" y="0"/>
                  <a:pt x="0" y="8"/>
                  <a:pt x="0" y="19"/>
                </a:cubicBezTo>
                <a:cubicBezTo>
                  <a:pt x="0" y="216"/>
                  <a:pt x="0" y="216"/>
                  <a:pt x="0" y="216"/>
                </a:cubicBezTo>
                <a:cubicBezTo>
                  <a:pt x="0" y="226"/>
                  <a:pt x="8" y="235"/>
                  <a:pt x="19" y="235"/>
                </a:cubicBezTo>
                <a:cubicBezTo>
                  <a:pt x="158" y="235"/>
                  <a:pt x="158" y="235"/>
                  <a:pt x="158" y="235"/>
                </a:cubicBezTo>
                <a:cubicBezTo>
                  <a:pt x="169" y="235"/>
                  <a:pt x="177" y="226"/>
                  <a:pt x="177" y="216"/>
                </a:cubicBezTo>
                <a:cubicBezTo>
                  <a:pt x="177" y="19"/>
                  <a:pt x="177" y="19"/>
                  <a:pt x="177" y="19"/>
                </a:cubicBezTo>
                <a:cubicBezTo>
                  <a:pt x="177" y="8"/>
                  <a:pt x="169" y="0"/>
                  <a:pt x="158" y="0"/>
                </a:cubicBezTo>
                <a:close/>
                <a:moveTo>
                  <a:pt x="168" y="216"/>
                </a:moveTo>
                <a:cubicBezTo>
                  <a:pt x="168" y="221"/>
                  <a:pt x="163" y="225"/>
                  <a:pt x="158" y="225"/>
                </a:cubicBezTo>
                <a:cubicBezTo>
                  <a:pt x="19" y="225"/>
                  <a:pt x="19" y="225"/>
                  <a:pt x="19" y="225"/>
                </a:cubicBezTo>
                <a:cubicBezTo>
                  <a:pt x="13" y="225"/>
                  <a:pt x="9" y="221"/>
                  <a:pt x="9" y="216"/>
                </a:cubicBezTo>
                <a:cubicBezTo>
                  <a:pt x="9" y="19"/>
                  <a:pt x="9" y="19"/>
                  <a:pt x="9" y="19"/>
                </a:cubicBezTo>
                <a:cubicBezTo>
                  <a:pt x="9" y="13"/>
                  <a:pt x="13" y="9"/>
                  <a:pt x="19" y="9"/>
                </a:cubicBezTo>
                <a:cubicBezTo>
                  <a:pt x="158" y="9"/>
                  <a:pt x="158" y="9"/>
                  <a:pt x="158" y="9"/>
                </a:cubicBezTo>
                <a:cubicBezTo>
                  <a:pt x="163" y="9"/>
                  <a:pt x="168" y="13"/>
                  <a:pt x="168" y="19"/>
                </a:cubicBezTo>
                <a:lnTo>
                  <a:pt x="168" y="216"/>
                </a:lnTo>
                <a:close/>
              </a:path>
            </a:pathLst>
          </a:custGeom>
          <a:grpFill/>
          <a:ln>
            <a:solidFill>
              <a:schemeClr val="accent6"/>
            </a:solidFill>
          </a:ln>
          <a:extLst>
            <a:ext uri="{91240B29-F687-4f45-9708-019B960494DF}">
              <a14:hiddenLine xmlns:r="http://schemas.openxmlformats.org/officeDocument/2006/relationships" xmlns:p="http://schemas.openxmlformats.org/presentationml/2006/main" xmlns:a14="http://schemas.microsoft.com/office/drawing/2010/main" xmlns="" xmlns:lc="http://schemas.openxmlformats.org/drawingml/2006/lockedCanva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49" name="Freeform 575">
            <a:extLst>
              <a:ext uri="{FF2B5EF4-FFF2-40B4-BE49-F238E27FC236}">
                <a16:creationId xmlns:a16="http://schemas.microsoft.com/office/drawing/2014/main" id="{00000000-0008-0000-0000-000031000000}"/>
              </a:ext>
            </a:extLst>
          </xdr:cNvPr>
          <xdr:cNvSpPr>
            <a:spLocks noEditPoints="1"/>
          </xdr:cNvSpPr>
        </xdr:nvSpPr>
        <xdr:spPr bwMode="auto">
          <a:xfrm>
            <a:off x="11539538" y="6486525"/>
            <a:ext cx="265112" cy="80963"/>
          </a:xfrm>
          <a:custGeom>
            <a:avLst/>
            <a:gdLst>
              <a:gd name="T0" fmla="*/ 104 w 112"/>
              <a:gd name="T1" fmla="*/ 0 h 34"/>
              <a:gd name="T2" fmla="*/ 7 w 112"/>
              <a:gd name="T3" fmla="*/ 0 h 34"/>
              <a:gd name="T4" fmla="*/ 0 w 112"/>
              <a:gd name="T5" fmla="*/ 7 h 34"/>
              <a:gd name="T6" fmla="*/ 0 w 112"/>
              <a:gd name="T7" fmla="*/ 27 h 34"/>
              <a:gd name="T8" fmla="*/ 7 w 112"/>
              <a:gd name="T9" fmla="*/ 34 h 34"/>
              <a:gd name="T10" fmla="*/ 104 w 112"/>
              <a:gd name="T11" fmla="*/ 34 h 34"/>
              <a:gd name="T12" fmla="*/ 112 w 112"/>
              <a:gd name="T13" fmla="*/ 27 h 34"/>
              <a:gd name="T14" fmla="*/ 112 w 112"/>
              <a:gd name="T15" fmla="*/ 7 h 34"/>
              <a:gd name="T16" fmla="*/ 104 w 112"/>
              <a:gd name="T17" fmla="*/ 0 h 34"/>
              <a:gd name="T18" fmla="*/ 102 w 112"/>
              <a:gd name="T19" fmla="*/ 25 h 34"/>
              <a:gd name="T20" fmla="*/ 9 w 112"/>
              <a:gd name="T21" fmla="*/ 25 h 34"/>
              <a:gd name="T22" fmla="*/ 9 w 112"/>
              <a:gd name="T23" fmla="*/ 9 h 34"/>
              <a:gd name="T24" fmla="*/ 102 w 112"/>
              <a:gd name="T25" fmla="*/ 9 h 34"/>
              <a:gd name="T26" fmla="*/ 102 w 112"/>
              <a:gd name="T27" fmla="*/ 25 h 3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112" h="34">
                <a:moveTo>
                  <a:pt x="104" y="0"/>
                </a:moveTo>
                <a:cubicBezTo>
                  <a:pt x="7" y="0"/>
                  <a:pt x="7" y="0"/>
                  <a:pt x="7" y="0"/>
                </a:cubicBezTo>
                <a:cubicBezTo>
                  <a:pt x="3" y="0"/>
                  <a:pt x="0" y="3"/>
                  <a:pt x="0" y="7"/>
                </a:cubicBezTo>
                <a:cubicBezTo>
                  <a:pt x="0" y="27"/>
                  <a:pt x="0" y="27"/>
                  <a:pt x="0" y="27"/>
                </a:cubicBezTo>
                <a:cubicBezTo>
                  <a:pt x="0" y="31"/>
                  <a:pt x="3" y="34"/>
                  <a:pt x="7" y="34"/>
                </a:cubicBezTo>
                <a:cubicBezTo>
                  <a:pt x="104" y="34"/>
                  <a:pt x="104" y="34"/>
                  <a:pt x="104" y="34"/>
                </a:cubicBezTo>
                <a:cubicBezTo>
                  <a:pt x="108" y="34"/>
                  <a:pt x="112" y="31"/>
                  <a:pt x="112" y="27"/>
                </a:cubicBezTo>
                <a:cubicBezTo>
                  <a:pt x="112" y="7"/>
                  <a:pt x="112" y="7"/>
                  <a:pt x="112" y="7"/>
                </a:cubicBezTo>
                <a:cubicBezTo>
                  <a:pt x="112" y="3"/>
                  <a:pt x="108" y="0"/>
                  <a:pt x="104" y="0"/>
                </a:cubicBezTo>
                <a:close/>
                <a:moveTo>
                  <a:pt x="102" y="25"/>
                </a:moveTo>
                <a:cubicBezTo>
                  <a:pt x="9" y="25"/>
                  <a:pt x="9" y="25"/>
                  <a:pt x="9" y="25"/>
                </a:cubicBezTo>
                <a:cubicBezTo>
                  <a:pt x="9" y="9"/>
                  <a:pt x="9" y="9"/>
                  <a:pt x="9" y="9"/>
                </a:cubicBezTo>
                <a:cubicBezTo>
                  <a:pt x="102" y="9"/>
                  <a:pt x="102" y="9"/>
                  <a:pt x="102" y="9"/>
                </a:cubicBezTo>
                <a:lnTo>
                  <a:pt x="102" y="25"/>
                </a:lnTo>
                <a:close/>
              </a:path>
            </a:pathLst>
          </a:custGeom>
          <a:grpFill/>
          <a:ln>
            <a:solidFill>
              <a:schemeClr val="accent6"/>
            </a:solidFill>
          </a:ln>
          <a:extLst>
            <a:ext uri="{91240B29-F687-4f45-9708-019B960494DF}">
              <a14:hiddenLine xmlns:r="http://schemas.openxmlformats.org/officeDocument/2006/relationships" xmlns:p="http://schemas.openxmlformats.org/presentationml/2006/main" xmlns:a14="http://schemas.microsoft.com/office/drawing/2010/main" xmlns="" xmlns:lc="http://schemas.openxmlformats.org/drawingml/2006/lockedCanva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50" name="Freeform 576">
            <a:extLst>
              <a:ext uri="{FF2B5EF4-FFF2-40B4-BE49-F238E27FC236}">
                <a16:creationId xmlns:a16="http://schemas.microsoft.com/office/drawing/2014/main" id="{00000000-0008-0000-0000-000032000000}"/>
              </a:ext>
            </a:extLst>
          </xdr:cNvPr>
          <xdr:cNvSpPr>
            <a:spLocks/>
          </xdr:cNvSpPr>
        </xdr:nvSpPr>
        <xdr:spPr bwMode="auto">
          <a:xfrm>
            <a:off x="11550650" y="6624638"/>
            <a:ext cx="107950" cy="104775"/>
          </a:xfrm>
          <a:custGeom>
            <a:avLst/>
            <a:gdLst>
              <a:gd name="T0" fmla="*/ 40 w 45"/>
              <a:gd name="T1" fmla="*/ 17 h 44"/>
              <a:gd name="T2" fmla="*/ 28 w 45"/>
              <a:gd name="T3" fmla="*/ 17 h 44"/>
              <a:gd name="T4" fmla="*/ 28 w 45"/>
              <a:gd name="T5" fmla="*/ 4 h 44"/>
              <a:gd name="T6" fmla="*/ 26 w 45"/>
              <a:gd name="T7" fmla="*/ 2 h 44"/>
              <a:gd name="T8" fmla="*/ 22 w 45"/>
              <a:gd name="T9" fmla="*/ 0 h 44"/>
              <a:gd name="T10" fmla="*/ 19 w 45"/>
              <a:gd name="T11" fmla="*/ 2 h 44"/>
              <a:gd name="T12" fmla="*/ 18 w 45"/>
              <a:gd name="T13" fmla="*/ 4 h 44"/>
              <a:gd name="T14" fmla="*/ 18 w 45"/>
              <a:gd name="T15" fmla="*/ 17 h 44"/>
              <a:gd name="T16" fmla="*/ 4 w 45"/>
              <a:gd name="T17" fmla="*/ 17 h 44"/>
              <a:gd name="T18" fmla="*/ 1 w 45"/>
              <a:gd name="T19" fmla="*/ 19 h 44"/>
              <a:gd name="T20" fmla="*/ 0 w 45"/>
              <a:gd name="T21" fmla="*/ 22 h 44"/>
              <a:gd name="T22" fmla="*/ 1 w 45"/>
              <a:gd name="T23" fmla="*/ 26 h 44"/>
              <a:gd name="T24" fmla="*/ 4 w 45"/>
              <a:gd name="T25" fmla="*/ 27 h 44"/>
              <a:gd name="T26" fmla="*/ 18 w 45"/>
              <a:gd name="T27" fmla="*/ 27 h 44"/>
              <a:gd name="T28" fmla="*/ 18 w 45"/>
              <a:gd name="T29" fmla="*/ 39 h 44"/>
              <a:gd name="T30" fmla="*/ 19 w 45"/>
              <a:gd name="T31" fmla="*/ 43 h 44"/>
              <a:gd name="T32" fmla="*/ 22 w 45"/>
              <a:gd name="T33" fmla="*/ 44 h 44"/>
              <a:gd name="T34" fmla="*/ 26 w 45"/>
              <a:gd name="T35" fmla="*/ 43 h 44"/>
              <a:gd name="T36" fmla="*/ 28 w 45"/>
              <a:gd name="T37" fmla="*/ 39 h 44"/>
              <a:gd name="T38" fmla="*/ 28 w 45"/>
              <a:gd name="T39" fmla="*/ 27 h 44"/>
              <a:gd name="T40" fmla="*/ 40 w 45"/>
              <a:gd name="T41" fmla="*/ 27 h 44"/>
              <a:gd name="T42" fmla="*/ 44 w 45"/>
              <a:gd name="T43" fmla="*/ 26 h 44"/>
              <a:gd name="T44" fmla="*/ 45 w 45"/>
              <a:gd name="T45" fmla="*/ 22 h 44"/>
              <a:gd name="T46" fmla="*/ 44 w 45"/>
              <a:gd name="T47" fmla="*/ 19 h 44"/>
              <a:gd name="T48" fmla="*/ 40 w 45"/>
              <a:gd name="T49" fmla="*/ 17 h 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45" h="44">
                <a:moveTo>
                  <a:pt x="40" y="17"/>
                </a:moveTo>
                <a:cubicBezTo>
                  <a:pt x="28" y="17"/>
                  <a:pt x="28" y="17"/>
                  <a:pt x="28" y="17"/>
                </a:cubicBezTo>
                <a:cubicBezTo>
                  <a:pt x="28" y="4"/>
                  <a:pt x="28" y="4"/>
                  <a:pt x="28" y="4"/>
                </a:cubicBezTo>
                <a:cubicBezTo>
                  <a:pt x="28" y="3"/>
                  <a:pt x="27" y="2"/>
                  <a:pt x="26" y="2"/>
                </a:cubicBezTo>
                <a:cubicBezTo>
                  <a:pt x="25" y="1"/>
                  <a:pt x="24" y="0"/>
                  <a:pt x="22" y="0"/>
                </a:cubicBezTo>
                <a:cubicBezTo>
                  <a:pt x="21" y="0"/>
                  <a:pt x="20" y="1"/>
                  <a:pt x="19" y="2"/>
                </a:cubicBezTo>
                <a:cubicBezTo>
                  <a:pt x="18" y="2"/>
                  <a:pt x="18" y="3"/>
                  <a:pt x="18" y="4"/>
                </a:cubicBezTo>
                <a:cubicBezTo>
                  <a:pt x="18" y="17"/>
                  <a:pt x="18" y="17"/>
                  <a:pt x="18" y="17"/>
                </a:cubicBezTo>
                <a:cubicBezTo>
                  <a:pt x="4" y="17"/>
                  <a:pt x="4" y="17"/>
                  <a:pt x="4" y="17"/>
                </a:cubicBezTo>
                <a:cubicBezTo>
                  <a:pt x="3" y="17"/>
                  <a:pt x="2" y="18"/>
                  <a:pt x="1" y="19"/>
                </a:cubicBezTo>
                <a:cubicBezTo>
                  <a:pt x="0" y="19"/>
                  <a:pt x="0" y="21"/>
                  <a:pt x="0" y="22"/>
                </a:cubicBezTo>
                <a:cubicBezTo>
                  <a:pt x="0" y="24"/>
                  <a:pt x="0" y="25"/>
                  <a:pt x="1" y="26"/>
                </a:cubicBezTo>
                <a:cubicBezTo>
                  <a:pt x="2" y="26"/>
                  <a:pt x="3" y="27"/>
                  <a:pt x="4" y="27"/>
                </a:cubicBezTo>
                <a:cubicBezTo>
                  <a:pt x="18" y="27"/>
                  <a:pt x="18" y="27"/>
                  <a:pt x="18" y="27"/>
                </a:cubicBezTo>
                <a:cubicBezTo>
                  <a:pt x="18" y="39"/>
                  <a:pt x="18" y="39"/>
                  <a:pt x="18" y="39"/>
                </a:cubicBezTo>
                <a:cubicBezTo>
                  <a:pt x="18" y="40"/>
                  <a:pt x="18" y="42"/>
                  <a:pt x="19" y="43"/>
                </a:cubicBezTo>
                <a:cubicBezTo>
                  <a:pt x="20" y="43"/>
                  <a:pt x="21" y="44"/>
                  <a:pt x="22" y="44"/>
                </a:cubicBezTo>
                <a:cubicBezTo>
                  <a:pt x="24" y="44"/>
                  <a:pt x="25" y="43"/>
                  <a:pt x="26" y="43"/>
                </a:cubicBezTo>
                <a:cubicBezTo>
                  <a:pt x="27" y="42"/>
                  <a:pt x="28" y="40"/>
                  <a:pt x="28" y="39"/>
                </a:cubicBezTo>
                <a:cubicBezTo>
                  <a:pt x="28" y="27"/>
                  <a:pt x="28" y="27"/>
                  <a:pt x="28" y="27"/>
                </a:cubicBezTo>
                <a:cubicBezTo>
                  <a:pt x="40" y="27"/>
                  <a:pt x="40" y="27"/>
                  <a:pt x="40" y="27"/>
                </a:cubicBezTo>
                <a:cubicBezTo>
                  <a:pt x="42" y="27"/>
                  <a:pt x="43" y="26"/>
                  <a:pt x="44" y="26"/>
                </a:cubicBezTo>
                <a:cubicBezTo>
                  <a:pt x="45" y="25"/>
                  <a:pt x="45" y="24"/>
                  <a:pt x="45" y="22"/>
                </a:cubicBezTo>
                <a:cubicBezTo>
                  <a:pt x="45" y="21"/>
                  <a:pt x="45" y="19"/>
                  <a:pt x="44" y="19"/>
                </a:cubicBezTo>
                <a:cubicBezTo>
                  <a:pt x="43" y="18"/>
                  <a:pt x="42" y="17"/>
                  <a:pt x="40" y="17"/>
                </a:cubicBezTo>
                <a:close/>
              </a:path>
            </a:pathLst>
          </a:custGeom>
          <a:grpFill/>
          <a:ln>
            <a:solidFill>
              <a:schemeClr val="accent6"/>
            </a:solidFill>
          </a:ln>
          <a:extLst>
            <a:ext uri="{91240B29-F687-4f45-9708-019B960494DF}">
              <a14:hiddenLine xmlns:r="http://schemas.openxmlformats.org/officeDocument/2006/relationships" xmlns:p="http://schemas.openxmlformats.org/presentationml/2006/main" xmlns:a14="http://schemas.microsoft.com/office/drawing/2010/main" xmlns="" xmlns:lc="http://schemas.openxmlformats.org/drawingml/2006/lockedCanva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51" name="Freeform 577">
            <a:extLst>
              <a:ext uri="{FF2B5EF4-FFF2-40B4-BE49-F238E27FC236}">
                <a16:creationId xmlns:a16="http://schemas.microsoft.com/office/drawing/2014/main" id="{00000000-0008-0000-0000-000033000000}"/>
              </a:ext>
            </a:extLst>
          </xdr:cNvPr>
          <xdr:cNvSpPr>
            <a:spLocks/>
          </xdr:cNvSpPr>
        </xdr:nvSpPr>
        <xdr:spPr bwMode="auto">
          <a:xfrm>
            <a:off x="11684000" y="6665913"/>
            <a:ext cx="109537" cy="23813"/>
          </a:xfrm>
          <a:custGeom>
            <a:avLst/>
            <a:gdLst>
              <a:gd name="T0" fmla="*/ 41 w 46"/>
              <a:gd name="T1" fmla="*/ 0 h 10"/>
              <a:gd name="T2" fmla="*/ 5 w 46"/>
              <a:gd name="T3" fmla="*/ 0 h 10"/>
              <a:gd name="T4" fmla="*/ 2 w 46"/>
              <a:gd name="T5" fmla="*/ 2 h 10"/>
              <a:gd name="T6" fmla="*/ 0 w 46"/>
              <a:gd name="T7" fmla="*/ 5 h 10"/>
              <a:gd name="T8" fmla="*/ 2 w 46"/>
              <a:gd name="T9" fmla="*/ 9 h 10"/>
              <a:gd name="T10" fmla="*/ 5 w 46"/>
              <a:gd name="T11" fmla="*/ 10 h 10"/>
              <a:gd name="T12" fmla="*/ 41 w 46"/>
              <a:gd name="T13" fmla="*/ 10 h 10"/>
              <a:gd name="T14" fmla="*/ 45 w 46"/>
              <a:gd name="T15" fmla="*/ 9 h 10"/>
              <a:gd name="T16" fmla="*/ 46 w 46"/>
              <a:gd name="T17" fmla="*/ 5 h 10"/>
              <a:gd name="T18" fmla="*/ 45 w 46"/>
              <a:gd name="T19" fmla="*/ 2 h 10"/>
              <a:gd name="T20" fmla="*/ 41 w 46"/>
              <a:gd name="T21" fmla="*/ 0 h 1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46" h="10">
                <a:moveTo>
                  <a:pt x="41" y="0"/>
                </a:moveTo>
                <a:cubicBezTo>
                  <a:pt x="5" y="0"/>
                  <a:pt x="5" y="0"/>
                  <a:pt x="5" y="0"/>
                </a:cubicBezTo>
                <a:cubicBezTo>
                  <a:pt x="3" y="0"/>
                  <a:pt x="2" y="1"/>
                  <a:pt x="2" y="2"/>
                </a:cubicBezTo>
                <a:cubicBezTo>
                  <a:pt x="1" y="2"/>
                  <a:pt x="0" y="4"/>
                  <a:pt x="0" y="5"/>
                </a:cubicBezTo>
                <a:cubicBezTo>
                  <a:pt x="0" y="7"/>
                  <a:pt x="1" y="8"/>
                  <a:pt x="2" y="9"/>
                </a:cubicBezTo>
                <a:cubicBezTo>
                  <a:pt x="2" y="9"/>
                  <a:pt x="3" y="10"/>
                  <a:pt x="5" y="10"/>
                </a:cubicBezTo>
                <a:cubicBezTo>
                  <a:pt x="41" y="10"/>
                  <a:pt x="41" y="10"/>
                  <a:pt x="41" y="10"/>
                </a:cubicBezTo>
                <a:cubicBezTo>
                  <a:pt x="42" y="10"/>
                  <a:pt x="44" y="9"/>
                  <a:pt x="45" y="9"/>
                </a:cubicBezTo>
                <a:cubicBezTo>
                  <a:pt x="46" y="8"/>
                  <a:pt x="46" y="7"/>
                  <a:pt x="46" y="5"/>
                </a:cubicBezTo>
                <a:cubicBezTo>
                  <a:pt x="46" y="4"/>
                  <a:pt x="46" y="2"/>
                  <a:pt x="45" y="2"/>
                </a:cubicBezTo>
                <a:cubicBezTo>
                  <a:pt x="44" y="1"/>
                  <a:pt x="42" y="0"/>
                  <a:pt x="41" y="0"/>
                </a:cubicBezTo>
                <a:close/>
              </a:path>
            </a:pathLst>
          </a:custGeom>
          <a:grpFill/>
          <a:ln>
            <a:solidFill>
              <a:schemeClr val="accent6"/>
            </a:solidFill>
          </a:ln>
          <a:extLst>
            <a:ext uri="{91240B29-F687-4f45-9708-019B960494DF}">
              <a14:hiddenLine xmlns:r="http://schemas.openxmlformats.org/officeDocument/2006/relationships" xmlns:p="http://schemas.openxmlformats.org/presentationml/2006/main" xmlns:a14="http://schemas.microsoft.com/office/drawing/2010/main" xmlns="" xmlns:lc="http://schemas.openxmlformats.org/drawingml/2006/lockedCanva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52" name="Freeform 578">
            <a:extLst>
              <a:ext uri="{FF2B5EF4-FFF2-40B4-BE49-F238E27FC236}">
                <a16:creationId xmlns:a16="http://schemas.microsoft.com/office/drawing/2014/main" id="{00000000-0008-0000-0000-000034000000}"/>
              </a:ext>
            </a:extLst>
          </xdr:cNvPr>
          <xdr:cNvSpPr>
            <a:spLocks/>
          </xdr:cNvSpPr>
        </xdr:nvSpPr>
        <xdr:spPr bwMode="auto">
          <a:xfrm>
            <a:off x="11563350" y="6777038"/>
            <a:ext cx="85725" cy="84138"/>
          </a:xfrm>
          <a:custGeom>
            <a:avLst/>
            <a:gdLst>
              <a:gd name="T0" fmla="*/ 36 w 36"/>
              <a:gd name="T1" fmla="*/ 5 h 35"/>
              <a:gd name="T2" fmla="*/ 34 w 36"/>
              <a:gd name="T3" fmla="*/ 1 h 35"/>
              <a:gd name="T4" fmla="*/ 31 w 36"/>
              <a:gd name="T5" fmla="*/ 0 h 35"/>
              <a:gd name="T6" fmla="*/ 27 w 36"/>
              <a:gd name="T7" fmla="*/ 2 h 35"/>
              <a:gd name="T8" fmla="*/ 18 w 36"/>
              <a:gd name="T9" fmla="*/ 11 h 35"/>
              <a:gd name="T10" fmla="*/ 9 w 36"/>
              <a:gd name="T11" fmla="*/ 2 h 35"/>
              <a:gd name="T12" fmla="*/ 6 w 36"/>
              <a:gd name="T13" fmla="*/ 1 h 35"/>
              <a:gd name="T14" fmla="*/ 3 w 36"/>
              <a:gd name="T15" fmla="*/ 2 h 35"/>
              <a:gd name="T16" fmla="*/ 1 w 36"/>
              <a:gd name="T17" fmla="*/ 6 h 35"/>
              <a:gd name="T18" fmla="*/ 2 w 36"/>
              <a:gd name="T19" fmla="*/ 9 h 35"/>
              <a:gd name="T20" fmla="*/ 11 w 36"/>
              <a:gd name="T21" fmla="*/ 18 h 35"/>
              <a:gd name="T22" fmla="*/ 2 w 36"/>
              <a:gd name="T23" fmla="*/ 27 h 35"/>
              <a:gd name="T24" fmla="*/ 0 w 36"/>
              <a:gd name="T25" fmla="*/ 30 h 35"/>
              <a:gd name="T26" fmla="*/ 2 w 36"/>
              <a:gd name="T27" fmla="*/ 34 h 35"/>
              <a:gd name="T28" fmla="*/ 5 w 36"/>
              <a:gd name="T29" fmla="*/ 35 h 35"/>
              <a:gd name="T30" fmla="*/ 8 w 36"/>
              <a:gd name="T31" fmla="*/ 34 h 35"/>
              <a:gd name="T32" fmla="*/ 18 w 36"/>
              <a:gd name="T33" fmla="*/ 24 h 35"/>
              <a:gd name="T34" fmla="*/ 26 w 36"/>
              <a:gd name="T35" fmla="*/ 33 h 35"/>
              <a:gd name="T36" fmla="*/ 30 w 36"/>
              <a:gd name="T37" fmla="*/ 35 h 35"/>
              <a:gd name="T38" fmla="*/ 33 w 36"/>
              <a:gd name="T39" fmla="*/ 33 h 35"/>
              <a:gd name="T40" fmla="*/ 35 w 36"/>
              <a:gd name="T41" fmla="*/ 29 h 35"/>
              <a:gd name="T42" fmla="*/ 34 w 36"/>
              <a:gd name="T43" fmla="*/ 26 h 35"/>
              <a:gd name="T44" fmla="*/ 25 w 36"/>
              <a:gd name="T45" fmla="*/ 17 h 35"/>
              <a:gd name="T46" fmla="*/ 34 w 36"/>
              <a:gd name="T47" fmla="*/ 8 h 35"/>
              <a:gd name="T48" fmla="*/ 36 w 36"/>
              <a:gd name="T49" fmla="*/ 5 h 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36" h="35">
                <a:moveTo>
                  <a:pt x="36" y="5"/>
                </a:moveTo>
                <a:cubicBezTo>
                  <a:pt x="36" y="4"/>
                  <a:pt x="35" y="2"/>
                  <a:pt x="34" y="1"/>
                </a:cubicBezTo>
                <a:cubicBezTo>
                  <a:pt x="33" y="0"/>
                  <a:pt x="32" y="0"/>
                  <a:pt x="31" y="0"/>
                </a:cubicBezTo>
                <a:cubicBezTo>
                  <a:pt x="30" y="0"/>
                  <a:pt x="28" y="1"/>
                  <a:pt x="27" y="2"/>
                </a:cubicBezTo>
                <a:cubicBezTo>
                  <a:pt x="18" y="11"/>
                  <a:pt x="18" y="11"/>
                  <a:pt x="18" y="11"/>
                </a:cubicBezTo>
                <a:cubicBezTo>
                  <a:pt x="9" y="2"/>
                  <a:pt x="9" y="2"/>
                  <a:pt x="9" y="2"/>
                </a:cubicBezTo>
                <a:cubicBezTo>
                  <a:pt x="8" y="1"/>
                  <a:pt x="7" y="0"/>
                  <a:pt x="6" y="1"/>
                </a:cubicBezTo>
                <a:cubicBezTo>
                  <a:pt x="5" y="1"/>
                  <a:pt x="4" y="1"/>
                  <a:pt x="3" y="2"/>
                </a:cubicBezTo>
                <a:cubicBezTo>
                  <a:pt x="2" y="3"/>
                  <a:pt x="1" y="5"/>
                  <a:pt x="1" y="6"/>
                </a:cubicBezTo>
                <a:cubicBezTo>
                  <a:pt x="1" y="7"/>
                  <a:pt x="1" y="8"/>
                  <a:pt x="2" y="9"/>
                </a:cubicBezTo>
                <a:cubicBezTo>
                  <a:pt x="11" y="18"/>
                  <a:pt x="11" y="18"/>
                  <a:pt x="11" y="18"/>
                </a:cubicBezTo>
                <a:cubicBezTo>
                  <a:pt x="2" y="27"/>
                  <a:pt x="2" y="27"/>
                  <a:pt x="2" y="27"/>
                </a:cubicBezTo>
                <a:cubicBezTo>
                  <a:pt x="1" y="28"/>
                  <a:pt x="0" y="29"/>
                  <a:pt x="0" y="30"/>
                </a:cubicBezTo>
                <a:cubicBezTo>
                  <a:pt x="0" y="32"/>
                  <a:pt x="1" y="33"/>
                  <a:pt x="2" y="34"/>
                </a:cubicBezTo>
                <a:cubicBezTo>
                  <a:pt x="3" y="35"/>
                  <a:pt x="4" y="35"/>
                  <a:pt x="5" y="35"/>
                </a:cubicBezTo>
                <a:cubicBezTo>
                  <a:pt x="7" y="35"/>
                  <a:pt x="8" y="35"/>
                  <a:pt x="8" y="34"/>
                </a:cubicBezTo>
                <a:cubicBezTo>
                  <a:pt x="18" y="24"/>
                  <a:pt x="18" y="24"/>
                  <a:pt x="18" y="24"/>
                </a:cubicBezTo>
                <a:cubicBezTo>
                  <a:pt x="26" y="33"/>
                  <a:pt x="26" y="33"/>
                  <a:pt x="26" y="33"/>
                </a:cubicBezTo>
                <a:cubicBezTo>
                  <a:pt x="28" y="34"/>
                  <a:pt x="29" y="35"/>
                  <a:pt x="30" y="35"/>
                </a:cubicBezTo>
                <a:cubicBezTo>
                  <a:pt x="31" y="35"/>
                  <a:pt x="32" y="34"/>
                  <a:pt x="33" y="33"/>
                </a:cubicBezTo>
                <a:cubicBezTo>
                  <a:pt x="35" y="32"/>
                  <a:pt x="35" y="31"/>
                  <a:pt x="35" y="29"/>
                </a:cubicBezTo>
                <a:cubicBezTo>
                  <a:pt x="35" y="28"/>
                  <a:pt x="35" y="27"/>
                  <a:pt x="34" y="26"/>
                </a:cubicBezTo>
                <a:cubicBezTo>
                  <a:pt x="25" y="17"/>
                  <a:pt x="25" y="17"/>
                  <a:pt x="25" y="17"/>
                </a:cubicBezTo>
                <a:cubicBezTo>
                  <a:pt x="34" y="8"/>
                  <a:pt x="34" y="8"/>
                  <a:pt x="34" y="8"/>
                </a:cubicBezTo>
                <a:cubicBezTo>
                  <a:pt x="35" y="7"/>
                  <a:pt x="36" y="6"/>
                  <a:pt x="36" y="5"/>
                </a:cubicBezTo>
                <a:close/>
              </a:path>
            </a:pathLst>
          </a:custGeom>
          <a:grpFill/>
          <a:ln>
            <a:solidFill>
              <a:schemeClr val="accent6"/>
            </a:solidFill>
          </a:ln>
          <a:extLst>
            <a:ext uri="{91240B29-F687-4f45-9708-019B960494DF}">
              <a14:hiddenLine xmlns:r="http://schemas.openxmlformats.org/officeDocument/2006/relationships" xmlns:p="http://schemas.openxmlformats.org/presentationml/2006/main" xmlns:a14="http://schemas.microsoft.com/office/drawing/2010/main" xmlns="" xmlns:lc="http://schemas.openxmlformats.org/drawingml/2006/lockedCanva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53" name="Freeform 579">
            <a:extLst>
              <a:ext uri="{FF2B5EF4-FFF2-40B4-BE49-F238E27FC236}">
                <a16:creationId xmlns:a16="http://schemas.microsoft.com/office/drawing/2014/main" id="{00000000-0008-0000-0000-000035000000}"/>
              </a:ext>
            </a:extLst>
          </xdr:cNvPr>
          <xdr:cNvSpPr>
            <a:spLocks/>
          </xdr:cNvSpPr>
        </xdr:nvSpPr>
        <xdr:spPr bwMode="auto">
          <a:xfrm>
            <a:off x="11693525" y="6804025"/>
            <a:ext cx="90487" cy="23813"/>
          </a:xfrm>
          <a:custGeom>
            <a:avLst/>
            <a:gdLst>
              <a:gd name="T0" fmla="*/ 33 w 38"/>
              <a:gd name="T1" fmla="*/ 0 h 10"/>
              <a:gd name="T2" fmla="*/ 4 w 38"/>
              <a:gd name="T3" fmla="*/ 0 h 10"/>
              <a:gd name="T4" fmla="*/ 1 w 38"/>
              <a:gd name="T5" fmla="*/ 2 h 10"/>
              <a:gd name="T6" fmla="*/ 0 w 38"/>
              <a:gd name="T7" fmla="*/ 5 h 10"/>
              <a:gd name="T8" fmla="*/ 1 w 38"/>
              <a:gd name="T9" fmla="*/ 9 h 10"/>
              <a:gd name="T10" fmla="*/ 4 w 38"/>
              <a:gd name="T11" fmla="*/ 10 h 10"/>
              <a:gd name="T12" fmla="*/ 33 w 38"/>
              <a:gd name="T13" fmla="*/ 10 h 10"/>
              <a:gd name="T14" fmla="*/ 37 w 38"/>
              <a:gd name="T15" fmla="*/ 9 h 10"/>
              <a:gd name="T16" fmla="*/ 38 w 38"/>
              <a:gd name="T17" fmla="*/ 5 h 10"/>
              <a:gd name="T18" fmla="*/ 37 w 38"/>
              <a:gd name="T19" fmla="*/ 2 h 10"/>
              <a:gd name="T20" fmla="*/ 33 w 38"/>
              <a:gd name="T21" fmla="*/ 0 h 1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8" h="10">
                <a:moveTo>
                  <a:pt x="33" y="0"/>
                </a:moveTo>
                <a:cubicBezTo>
                  <a:pt x="4" y="0"/>
                  <a:pt x="4" y="0"/>
                  <a:pt x="4" y="0"/>
                </a:cubicBezTo>
                <a:cubicBezTo>
                  <a:pt x="3" y="0"/>
                  <a:pt x="2" y="1"/>
                  <a:pt x="1" y="2"/>
                </a:cubicBezTo>
                <a:cubicBezTo>
                  <a:pt x="0" y="3"/>
                  <a:pt x="0" y="4"/>
                  <a:pt x="0" y="5"/>
                </a:cubicBezTo>
                <a:cubicBezTo>
                  <a:pt x="0" y="7"/>
                  <a:pt x="0" y="8"/>
                  <a:pt x="1" y="9"/>
                </a:cubicBezTo>
                <a:cubicBezTo>
                  <a:pt x="2" y="10"/>
                  <a:pt x="3" y="10"/>
                  <a:pt x="4" y="10"/>
                </a:cubicBezTo>
                <a:cubicBezTo>
                  <a:pt x="33" y="10"/>
                  <a:pt x="33" y="10"/>
                  <a:pt x="33" y="10"/>
                </a:cubicBezTo>
                <a:cubicBezTo>
                  <a:pt x="35" y="10"/>
                  <a:pt x="36" y="10"/>
                  <a:pt x="37" y="9"/>
                </a:cubicBezTo>
                <a:cubicBezTo>
                  <a:pt x="38" y="8"/>
                  <a:pt x="38" y="7"/>
                  <a:pt x="38" y="5"/>
                </a:cubicBezTo>
                <a:cubicBezTo>
                  <a:pt x="38" y="4"/>
                  <a:pt x="38" y="3"/>
                  <a:pt x="37" y="2"/>
                </a:cubicBezTo>
                <a:cubicBezTo>
                  <a:pt x="36" y="1"/>
                  <a:pt x="35" y="0"/>
                  <a:pt x="33" y="0"/>
                </a:cubicBezTo>
                <a:close/>
              </a:path>
            </a:pathLst>
          </a:custGeom>
          <a:grpFill/>
          <a:ln>
            <a:solidFill>
              <a:schemeClr val="accent6"/>
            </a:solidFill>
          </a:ln>
          <a:extLst>
            <a:ext uri="{91240B29-F687-4f45-9708-019B960494DF}">
              <a14:hiddenLine xmlns:r="http://schemas.openxmlformats.org/officeDocument/2006/relationships" xmlns:p="http://schemas.openxmlformats.org/presentationml/2006/main" xmlns:a14="http://schemas.microsoft.com/office/drawing/2010/main" xmlns="" xmlns:lc="http://schemas.openxmlformats.org/drawingml/2006/lockedCanva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54" name="Oval 53">
            <a:extLst>
              <a:ext uri="{FF2B5EF4-FFF2-40B4-BE49-F238E27FC236}">
                <a16:creationId xmlns:a16="http://schemas.microsoft.com/office/drawing/2014/main" id="{00000000-0008-0000-0000-000036000000}"/>
              </a:ext>
            </a:extLst>
          </xdr:cNvPr>
          <xdr:cNvSpPr>
            <a:spLocks noChangeArrowheads="1"/>
          </xdr:cNvSpPr>
        </xdr:nvSpPr>
        <xdr:spPr bwMode="auto">
          <a:xfrm>
            <a:off x="11725275" y="6767513"/>
            <a:ext cx="28575" cy="28575"/>
          </a:xfrm>
          <a:prstGeom prst="ellipse">
            <a:avLst/>
          </a:prstGeom>
          <a:grpFill/>
          <a:ln>
            <a:solidFill>
              <a:schemeClr val="accent6"/>
            </a:solidFill>
          </a:ln>
          <a:extLst>
            <a:ext uri="{91240B29-F687-4f45-9708-019B960494DF}">
              <a14:hiddenLine xmlns:r="http://schemas.openxmlformats.org/officeDocument/2006/relationships" xmlns:p="http://schemas.openxmlformats.org/presentationml/2006/main" xmlns:a14="http://schemas.microsoft.com/office/drawing/2010/main" xmlns="" xmlns:lc="http://schemas.openxmlformats.org/drawingml/2006/lockedCanva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55" name="Oval 54">
            <a:extLst>
              <a:ext uri="{FF2B5EF4-FFF2-40B4-BE49-F238E27FC236}">
                <a16:creationId xmlns:a16="http://schemas.microsoft.com/office/drawing/2014/main" id="{00000000-0008-0000-0000-000037000000}"/>
              </a:ext>
            </a:extLst>
          </xdr:cNvPr>
          <xdr:cNvSpPr>
            <a:spLocks noChangeArrowheads="1"/>
          </xdr:cNvSpPr>
        </xdr:nvSpPr>
        <xdr:spPr bwMode="auto">
          <a:xfrm>
            <a:off x="11725275" y="6834188"/>
            <a:ext cx="28575" cy="28575"/>
          </a:xfrm>
          <a:prstGeom prst="ellipse">
            <a:avLst/>
          </a:prstGeom>
          <a:grpFill/>
          <a:ln>
            <a:solidFill>
              <a:schemeClr val="accent6"/>
            </a:solidFill>
          </a:ln>
          <a:extLst>
            <a:ext uri="{91240B29-F687-4f45-9708-019B960494DF}">
              <a14:hiddenLine xmlns:r="http://schemas.openxmlformats.org/officeDocument/2006/relationships" xmlns:p="http://schemas.openxmlformats.org/presentationml/2006/main" xmlns:a14="http://schemas.microsoft.com/office/drawing/2010/main" xmlns="" xmlns:lc="http://schemas.openxmlformats.org/drawingml/2006/lockedCanva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grpSp>
    <xdr:clientData/>
  </xdr:twoCellAnchor>
  <xdr:twoCellAnchor>
    <xdr:from>
      <xdr:col>2</xdr:col>
      <xdr:colOff>440536</xdr:colOff>
      <xdr:row>94</xdr:row>
      <xdr:rowOff>95669</xdr:rowOff>
    </xdr:from>
    <xdr:to>
      <xdr:col>2</xdr:col>
      <xdr:colOff>768324</xdr:colOff>
      <xdr:row>96</xdr:row>
      <xdr:rowOff>110251</xdr:rowOff>
    </xdr:to>
    <xdr:grpSp>
      <xdr:nvGrpSpPr>
        <xdr:cNvPr id="56" name="Group 55">
          <a:hlinkClick xmlns:r="http://schemas.openxmlformats.org/officeDocument/2006/relationships" r:id="rId8"/>
          <a:extLst>
            <a:ext uri="{FF2B5EF4-FFF2-40B4-BE49-F238E27FC236}">
              <a16:creationId xmlns:a16="http://schemas.microsoft.com/office/drawing/2014/main" id="{00000000-0008-0000-0000-000038000000}"/>
            </a:ext>
          </a:extLst>
        </xdr:cNvPr>
        <xdr:cNvGrpSpPr>
          <a:grpSpLocks noChangeAspect="1"/>
        </xdr:cNvGrpSpPr>
      </xdr:nvGrpSpPr>
      <xdr:grpSpPr>
        <a:xfrm>
          <a:off x="1678786" y="18846312"/>
          <a:ext cx="330963" cy="365193"/>
          <a:chOff x="11460163" y="6399213"/>
          <a:chExt cx="420687" cy="558800"/>
        </a:xfrm>
        <a:solidFill>
          <a:schemeClr val="accent6"/>
        </a:solidFill>
      </xdr:grpSpPr>
      <xdr:sp macro="" textlink="">
        <xdr:nvSpPr>
          <xdr:cNvPr id="57" name="Freeform 574">
            <a:extLst>
              <a:ext uri="{FF2B5EF4-FFF2-40B4-BE49-F238E27FC236}">
                <a16:creationId xmlns:a16="http://schemas.microsoft.com/office/drawing/2014/main" id="{00000000-0008-0000-0000-000039000000}"/>
              </a:ext>
            </a:extLst>
          </xdr:cNvPr>
          <xdr:cNvSpPr>
            <a:spLocks noEditPoints="1"/>
          </xdr:cNvSpPr>
        </xdr:nvSpPr>
        <xdr:spPr bwMode="auto">
          <a:xfrm>
            <a:off x="11460163" y="6399213"/>
            <a:ext cx="420687" cy="558800"/>
          </a:xfrm>
          <a:custGeom>
            <a:avLst/>
            <a:gdLst>
              <a:gd name="T0" fmla="*/ 158 w 177"/>
              <a:gd name="T1" fmla="*/ 0 h 235"/>
              <a:gd name="T2" fmla="*/ 19 w 177"/>
              <a:gd name="T3" fmla="*/ 0 h 235"/>
              <a:gd name="T4" fmla="*/ 0 w 177"/>
              <a:gd name="T5" fmla="*/ 19 h 235"/>
              <a:gd name="T6" fmla="*/ 0 w 177"/>
              <a:gd name="T7" fmla="*/ 216 h 235"/>
              <a:gd name="T8" fmla="*/ 19 w 177"/>
              <a:gd name="T9" fmla="*/ 235 h 235"/>
              <a:gd name="T10" fmla="*/ 158 w 177"/>
              <a:gd name="T11" fmla="*/ 235 h 235"/>
              <a:gd name="T12" fmla="*/ 177 w 177"/>
              <a:gd name="T13" fmla="*/ 216 h 235"/>
              <a:gd name="T14" fmla="*/ 177 w 177"/>
              <a:gd name="T15" fmla="*/ 19 h 235"/>
              <a:gd name="T16" fmla="*/ 158 w 177"/>
              <a:gd name="T17" fmla="*/ 0 h 235"/>
              <a:gd name="T18" fmla="*/ 168 w 177"/>
              <a:gd name="T19" fmla="*/ 216 h 235"/>
              <a:gd name="T20" fmla="*/ 158 w 177"/>
              <a:gd name="T21" fmla="*/ 225 h 235"/>
              <a:gd name="T22" fmla="*/ 19 w 177"/>
              <a:gd name="T23" fmla="*/ 225 h 235"/>
              <a:gd name="T24" fmla="*/ 9 w 177"/>
              <a:gd name="T25" fmla="*/ 216 h 235"/>
              <a:gd name="T26" fmla="*/ 9 w 177"/>
              <a:gd name="T27" fmla="*/ 19 h 235"/>
              <a:gd name="T28" fmla="*/ 19 w 177"/>
              <a:gd name="T29" fmla="*/ 9 h 235"/>
              <a:gd name="T30" fmla="*/ 158 w 177"/>
              <a:gd name="T31" fmla="*/ 9 h 235"/>
              <a:gd name="T32" fmla="*/ 168 w 177"/>
              <a:gd name="T33" fmla="*/ 19 h 235"/>
              <a:gd name="T34" fmla="*/ 168 w 177"/>
              <a:gd name="T35" fmla="*/ 216 h 2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177" h="235">
                <a:moveTo>
                  <a:pt x="158" y="0"/>
                </a:moveTo>
                <a:cubicBezTo>
                  <a:pt x="19" y="0"/>
                  <a:pt x="19" y="0"/>
                  <a:pt x="19" y="0"/>
                </a:cubicBezTo>
                <a:cubicBezTo>
                  <a:pt x="8" y="0"/>
                  <a:pt x="0" y="8"/>
                  <a:pt x="0" y="19"/>
                </a:cubicBezTo>
                <a:cubicBezTo>
                  <a:pt x="0" y="216"/>
                  <a:pt x="0" y="216"/>
                  <a:pt x="0" y="216"/>
                </a:cubicBezTo>
                <a:cubicBezTo>
                  <a:pt x="0" y="226"/>
                  <a:pt x="8" y="235"/>
                  <a:pt x="19" y="235"/>
                </a:cubicBezTo>
                <a:cubicBezTo>
                  <a:pt x="158" y="235"/>
                  <a:pt x="158" y="235"/>
                  <a:pt x="158" y="235"/>
                </a:cubicBezTo>
                <a:cubicBezTo>
                  <a:pt x="169" y="235"/>
                  <a:pt x="177" y="226"/>
                  <a:pt x="177" y="216"/>
                </a:cubicBezTo>
                <a:cubicBezTo>
                  <a:pt x="177" y="19"/>
                  <a:pt x="177" y="19"/>
                  <a:pt x="177" y="19"/>
                </a:cubicBezTo>
                <a:cubicBezTo>
                  <a:pt x="177" y="8"/>
                  <a:pt x="169" y="0"/>
                  <a:pt x="158" y="0"/>
                </a:cubicBezTo>
                <a:close/>
                <a:moveTo>
                  <a:pt x="168" y="216"/>
                </a:moveTo>
                <a:cubicBezTo>
                  <a:pt x="168" y="221"/>
                  <a:pt x="163" y="225"/>
                  <a:pt x="158" y="225"/>
                </a:cubicBezTo>
                <a:cubicBezTo>
                  <a:pt x="19" y="225"/>
                  <a:pt x="19" y="225"/>
                  <a:pt x="19" y="225"/>
                </a:cubicBezTo>
                <a:cubicBezTo>
                  <a:pt x="13" y="225"/>
                  <a:pt x="9" y="221"/>
                  <a:pt x="9" y="216"/>
                </a:cubicBezTo>
                <a:cubicBezTo>
                  <a:pt x="9" y="19"/>
                  <a:pt x="9" y="19"/>
                  <a:pt x="9" y="19"/>
                </a:cubicBezTo>
                <a:cubicBezTo>
                  <a:pt x="9" y="13"/>
                  <a:pt x="13" y="9"/>
                  <a:pt x="19" y="9"/>
                </a:cubicBezTo>
                <a:cubicBezTo>
                  <a:pt x="158" y="9"/>
                  <a:pt x="158" y="9"/>
                  <a:pt x="158" y="9"/>
                </a:cubicBezTo>
                <a:cubicBezTo>
                  <a:pt x="163" y="9"/>
                  <a:pt x="168" y="13"/>
                  <a:pt x="168" y="19"/>
                </a:cubicBezTo>
                <a:lnTo>
                  <a:pt x="168" y="216"/>
                </a:lnTo>
                <a:close/>
              </a:path>
            </a:pathLst>
          </a:custGeom>
          <a:grpFill/>
          <a:ln>
            <a:solidFill>
              <a:schemeClr val="accent6"/>
            </a:solidFill>
          </a:ln>
          <a:extLst>
            <a:ext uri="{91240B29-F687-4f45-9708-019B960494DF}">
              <a14:hiddenLine xmlns:r="http://schemas.openxmlformats.org/officeDocument/2006/relationships" xmlns:p="http://schemas.openxmlformats.org/presentationml/2006/main" xmlns:a14="http://schemas.microsoft.com/office/drawing/2010/main" xmlns="" xmlns:lc="http://schemas.openxmlformats.org/drawingml/2006/lockedCanva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58" name="Freeform 575">
            <a:extLst>
              <a:ext uri="{FF2B5EF4-FFF2-40B4-BE49-F238E27FC236}">
                <a16:creationId xmlns:a16="http://schemas.microsoft.com/office/drawing/2014/main" id="{00000000-0008-0000-0000-00003A000000}"/>
              </a:ext>
            </a:extLst>
          </xdr:cNvPr>
          <xdr:cNvSpPr>
            <a:spLocks noEditPoints="1"/>
          </xdr:cNvSpPr>
        </xdr:nvSpPr>
        <xdr:spPr bwMode="auto">
          <a:xfrm>
            <a:off x="11539538" y="6486525"/>
            <a:ext cx="265112" cy="80963"/>
          </a:xfrm>
          <a:custGeom>
            <a:avLst/>
            <a:gdLst>
              <a:gd name="T0" fmla="*/ 104 w 112"/>
              <a:gd name="T1" fmla="*/ 0 h 34"/>
              <a:gd name="T2" fmla="*/ 7 w 112"/>
              <a:gd name="T3" fmla="*/ 0 h 34"/>
              <a:gd name="T4" fmla="*/ 0 w 112"/>
              <a:gd name="T5" fmla="*/ 7 h 34"/>
              <a:gd name="T6" fmla="*/ 0 w 112"/>
              <a:gd name="T7" fmla="*/ 27 h 34"/>
              <a:gd name="T8" fmla="*/ 7 w 112"/>
              <a:gd name="T9" fmla="*/ 34 h 34"/>
              <a:gd name="T10" fmla="*/ 104 w 112"/>
              <a:gd name="T11" fmla="*/ 34 h 34"/>
              <a:gd name="T12" fmla="*/ 112 w 112"/>
              <a:gd name="T13" fmla="*/ 27 h 34"/>
              <a:gd name="T14" fmla="*/ 112 w 112"/>
              <a:gd name="T15" fmla="*/ 7 h 34"/>
              <a:gd name="T16" fmla="*/ 104 w 112"/>
              <a:gd name="T17" fmla="*/ 0 h 34"/>
              <a:gd name="T18" fmla="*/ 102 w 112"/>
              <a:gd name="T19" fmla="*/ 25 h 34"/>
              <a:gd name="T20" fmla="*/ 9 w 112"/>
              <a:gd name="T21" fmla="*/ 25 h 34"/>
              <a:gd name="T22" fmla="*/ 9 w 112"/>
              <a:gd name="T23" fmla="*/ 9 h 34"/>
              <a:gd name="T24" fmla="*/ 102 w 112"/>
              <a:gd name="T25" fmla="*/ 9 h 34"/>
              <a:gd name="T26" fmla="*/ 102 w 112"/>
              <a:gd name="T27" fmla="*/ 25 h 3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112" h="34">
                <a:moveTo>
                  <a:pt x="104" y="0"/>
                </a:moveTo>
                <a:cubicBezTo>
                  <a:pt x="7" y="0"/>
                  <a:pt x="7" y="0"/>
                  <a:pt x="7" y="0"/>
                </a:cubicBezTo>
                <a:cubicBezTo>
                  <a:pt x="3" y="0"/>
                  <a:pt x="0" y="3"/>
                  <a:pt x="0" y="7"/>
                </a:cubicBezTo>
                <a:cubicBezTo>
                  <a:pt x="0" y="27"/>
                  <a:pt x="0" y="27"/>
                  <a:pt x="0" y="27"/>
                </a:cubicBezTo>
                <a:cubicBezTo>
                  <a:pt x="0" y="31"/>
                  <a:pt x="3" y="34"/>
                  <a:pt x="7" y="34"/>
                </a:cubicBezTo>
                <a:cubicBezTo>
                  <a:pt x="104" y="34"/>
                  <a:pt x="104" y="34"/>
                  <a:pt x="104" y="34"/>
                </a:cubicBezTo>
                <a:cubicBezTo>
                  <a:pt x="108" y="34"/>
                  <a:pt x="112" y="31"/>
                  <a:pt x="112" y="27"/>
                </a:cubicBezTo>
                <a:cubicBezTo>
                  <a:pt x="112" y="7"/>
                  <a:pt x="112" y="7"/>
                  <a:pt x="112" y="7"/>
                </a:cubicBezTo>
                <a:cubicBezTo>
                  <a:pt x="112" y="3"/>
                  <a:pt x="108" y="0"/>
                  <a:pt x="104" y="0"/>
                </a:cubicBezTo>
                <a:close/>
                <a:moveTo>
                  <a:pt x="102" y="25"/>
                </a:moveTo>
                <a:cubicBezTo>
                  <a:pt x="9" y="25"/>
                  <a:pt x="9" y="25"/>
                  <a:pt x="9" y="25"/>
                </a:cubicBezTo>
                <a:cubicBezTo>
                  <a:pt x="9" y="9"/>
                  <a:pt x="9" y="9"/>
                  <a:pt x="9" y="9"/>
                </a:cubicBezTo>
                <a:cubicBezTo>
                  <a:pt x="102" y="9"/>
                  <a:pt x="102" y="9"/>
                  <a:pt x="102" y="9"/>
                </a:cubicBezTo>
                <a:lnTo>
                  <a:pt x="102" y="25"/>
                </a:lnTo>
                <a:close/>
              </a:path>
            </a:pathLst>
          </a:custGeom>
          <a:grpFill/>
          <a:ln>
            <a:solidFill>
              <a:schemeClr val="accent6"/>
            </a:solidFill>
          </a:ln>
          <a:extLst>
            <a:ext uri="{91240B29-F687-4f45-9708-019B960494DF}">
              <a14:hiddenLine xmlns:r="http://schemas.openxmlformats.org/officeDocument/2006/relationships" xmlns:p="http://schemas.openxmlformats.org/presentationml/2006/main" xmlns:a14="http://schemas.microsoft.com/office/drawing/2010/main" xmlns="" xmlns:lc="http://schemas.openxmlformats.org/drawingml/2006/lockedCanva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59" name="Freeform 576">
            <a:extLst>
              <a:ext uri="{FF2B5EF4-FFF2-40B4-BE49-F238E27FC236}">
                <a16:creationId xmlns:a16="http://schemas.microsoft.com/office/drawing/2014/main" id="{00000000-0008-0000-0000-00003B000000}"/>
              </a:ext>
            </a:extLst>
          </xdr:cNvPr>
          <xdr:cNvSpPr>
            <a:spLocks/>
          </xdr:cNvSpPr>
        </xdr:nvSpPr>
        <xdr:spPr bwMode="auto">
          <a:xfrm>
            <a:off x="11550650" y="6624638"/>
            <a:ext cx="107950" cy="104775"/>
          </a:xfrm>
          <a:custGeom>
            <a:avLst/>
            <a:gdLst>
              <a:gd name="T0" fmla="*/ 40 w 45"/>
              <a:gd name="T1" fmla="*/ 17 h 44"/>
              <a:gd name="T2" fmla="*/ 28 w 45"/>
              <a:gd name="T3" fmla="*/ 17 h 44"/>
              <a:gd name="T4" fmla="*/ 28 w 45"/>
              <a:gd name="T5" fmla="*/ 4 h 44"/>
              <a:gd name="T6" fmla="*/ 26 w 45"/>
              <a:gd name="T7" fmla="*/ 2 h 44"/>
              <a:gd name="T8" fmla="*/ 22 w 45"/>
              <a:gd name="T9" fmla="*/ 0 h 44"/>
              <a:gd name="T10" fmla="*/ 19 w 45"/>
              <a:gd name="T11" fmla="*/ 2 h 44"/>
              <a:gd name="T12" fmla="*/ 18 w 45"/>
              <a:gd name="T13" fmla="*/ 4 h 44"/>
              <a:gd name="T14" fmla="*/ 18 w 45"/>
              <a:gd name="T15" fmla="*/ 17 h 44"/>
              <a:gd name="T16" fmla="*/ 4 w 45"/>
              <a:gd name="T17" fmla="*/ 17 h 44"/>
              <a:gd name="T18" fmla="*/ 1 w 45"/>
              <a:gd name="T19" fmla="*/ 19 h 44"/>
              <a:gd name="T20" fmla="*/ 0 w 45"/>
              <a:gd name="T21" fmla="*/ 22 h 44"/>
              <a:gd name="T22" fmla="*/ 1 w 45"/>
              <a:gd name="T23" fmla="*/ 26 h 44"/>
              <a:gd name="T24" fmla="*/ 4 w 45"/>
              <a:gd name="T25" fmla="*/ 27 h 44"/>
              <a:gd name="T26" fmla="*/ 18 w 45"/>
              <a:gd name="T27" fmla="*/ 27 h 44"/>
              <a:gd name="T28" fmla="*/ 18 w 45"/>
              <a:gd name="T29" fmla="*/ 39 h 44"/>
              <a:gd name="T30" fmla="*/ 19 w 45"/>
              <a:gd name="T31" fmla="*/ 43 h 44"/>
              <a:gd name="T32" fmla="*/ 22 w 45"/>
              <a:gd name="T33" fmla="*/ 44 h 44"/>
              <a:gd name="T34" fmla="*/ 26 w 45"/>
              <a:gd name="T35" fmla="*/ 43 h 44"/>
              <a:gd name="T36" fmla="*/ 28 w 45"/>
              <a:gd name="T37" fmla="*/ 39 h 44"/>
              <a:gd name="T38" fmla="*/ 28 w 45"/>
              <a:gd name="T39" fmla="*/ 27 h 44"/>
              <a:gd name="T40" fmla="*/ 40 w 45"/>
              <a:gd name="T41" fmla="*/ 27 h 44"/>
              <a:gd name="T42" fmla="*/ 44 w 45"/>
              <a:gd name="T43" fmla="*/ 26 h 44"/>
              <a:gd name="T44" fmla="*/ 45 w 45"/>
              <a:gd name="T45" fmla="*/ 22 h 44"/>
              <a:gd name="T46" fmla="*/ 44 w 45"/>
              <a:gd name="T47" fmla="*/ 19 h 44"/>
              <a:gd name="T48" fmla="*/ 40 w 45"/>
              <a:gd name="T49" fmla="*/ 17 h 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45" h="44">
                <a:moveTo>
                  <a:pt x="40" y="17"/>
                </a:moveTo>
                <a:cubicBezTo>
                  <a:pt x="28" y="17"/>
                  <a:pt x="28" y="17"/>
                  <a:pt x="28" y="17"/>
                </a:cubicBezTo>
                <a:cubicBezTo>
                  <a:pt x="28" y="4"/>
                  <a:pt x="28" y="4"/>
                  <a:pt x="28" y="4"/>
                </a:cubicBezTo>
                <a:cubicBezTo>
                  <a:pt x="28" y="3"/>
                  <a:pt x="27" y="2"/>
                  <a:pt x="26" y="2"/>
                </a:cubicBezTo>
                <a:cubicBezTo>
                  <a:pt x="25" y="1"/>
                  <a:pt x="24" y="0"/>
                  <a:pt x="22" y="0"/>
                </a:cubicBezTo>
                <a:cubicBezTo>
                  <a:pt x="21" y="0"/>
                  <a:pt x="20" y="1"/>
                  <a:pt x="19" y="2"/>
                </a:cubicBezTo>
                <a:cubicBezTo>
                  <a:pt x="18" y="2"/>
                  <a:pt x="18" y="3"/>
                  <a:pt x="18" y="4"/>
                </a:cubicBezTo>
                <a:cubicBezTo>
                  <a:pt x="18" y="17"/>
                  <a:pt x="18" y="17"/>
                  <a:pt x="18" y="17"/>
                </a:cubicBezTo>
                <a:cubicBezTo>
                  <a:pt x="4" y="17"/>
                  <a:pt x="4" y="17"/>
                  <a:pt x="4" y="17"/>
                </a:cubicBezTo>
                <a:cubicBezTo>
                  <a:pt x="3" y="17"/>
                  <a:pt x="2" y="18"/>
                  <a:pt x="1" y="19"/>
                </a:cubicBezTo>
                <a:cubicBezTo>
                  <a:pt x="0" y="19"/>
                  <a:pt x="0" y="21"/>
                  <a:pt x="0" y="22"/>
                </a:cubicBezTo>
                <a:cubicBezTo>
                  <a:pt x="0" y="24"/>
                  <a:pt x="0" y="25"/>
                  <a:pt x="1" y="26"/>
                </a:cubicBezTo>
                <a:cubicBezTo>
                  <a:pt x="2" y="26"/>
                  <a:pt x="3" y="27"/>
                  <a:pt x="4" y="27"/>
                </a:cubicBezTo>
                <a:cubicBezTo>
                  <a:pt x="18" y="27"/>
                  <a:pt x="18" y="27"/>
                  <a:pt x="18" y="27"/>
                </a:cubicBezTo>
                <a:cubicBezTo>
                  <a:pt x="18" y="39"/>
                  <a:pt x="18" y="39"/>
                  <a:pt x="18" y="39"/>
                </a:cubicBezTo>
                <a:cubicBezTo>
                  <a:pt x="18" y="40"/>
                  <a:pt x="18" y="42"/>
                  <a:pt x="19" y="43"/>
                </a:cubicBezTo>
                <a:cubicBezTo>
                  <a:pt x="20" y="43"/>
                  <a:pt x="21" y="44"/>
                  <a:pt x="22" y="44"/>
                </a:cubicBezTo>
                <a:cubicBezTo>
                  <a:pt x="24" y="44"/>
                  <a:pt x="25" y="43"/>
                  <a:pt x="26" y="43"/>
                </a:cubicBezTo>
                <a:cubicBezTo>
                  <a:pt x="27" y="42"/>
                  <a:pt x="28" y="40"/>
                  <a:pt x="28" y="39"/>
                </a:cubicBezTo>
                <a:cubicBezTo>
                  <a:pt x="28" y="27"/>
                  <a:pt x="28" y="27"/>
                  <a:pt x="28" y="27"/>
                </a:cubicBezTo>
                <a:cubicBezTo>
                  <a:pt x="40" y="27"/>
                  <a:pt x="40" y="27"/>
                  <a:pt x="40" y="27"/>
                </a:cubicBezTo>
                <a:cubicBezTo>
                  <a:pt x="42" y="27"/>
                  <a:pt x="43" y="26"/>
                  <a:pt x="44" y="26"/>
                </a:cubicBezTo>
                <a:cubicBezTo>
                  <a:pt x="45" y="25"/>
                  <a:pt x="45" y="24"/>
                  <a:pt x="45" y="22"/>
                </a:cubicBezTo>
                <a:cubicBezTo>
                  <a:pt x="45" y="21"/>
                  <a:pt x="45" y="19"/>
                  <a:pt x="44" y="19"/>
                </a:cubicBezTo>
                <a:cubicBezTo>
                  <a:pt x="43" y="18"/>
                  <a:pt x="42" y="17"/>
                  <a:pt x="40" y="17"/>
                </a:cubicBezTo>
                <a:close/>
              </a:path>
            </a:pathLst>
          </a:custGeom>
          <a:grpFill/>
          <a:ln>
            <a:solidFill>
              <a:schemeClr val="accent6"/>
            </a:solidFill>
          </a:ln>
          <a:extLst>
            <a:ext uri="{91240B29-F687-4f45-9708-019B960494DF}">
              <a14:hiddenLine xmlns:r="http://schemas.openxmlformats.org/officeDocument/2006/relationships" xmlns:p="http://schemas.openxmlformats.org/presentationml/2006/main" xmlns:a14="http://schemas.microsoft.com/office/drawing/2010/main" xmlns="" xmlns:lc="http://schemas.openxmlformats.org/drawingml/2006/lockedCanva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60" name="Freeform 577">
            <a:extLst>
              <a:ext uri="{FF2B5EF4-FFF2-40B4-BE49-F238E27FC236}">
                <a16:creationId xmlns:a16="http://schemas.microsoft.com/office/drawing/2014/main" id="{00000000-0008-0000-0000-00003C000000}"/>
              </a:ext>
            </a:extLst>
          </xdr:cNvPr>
          <xdr:cNvSpPr>
            <a:spLocks/>
          </xdr:cNvSpPr>
        </xdr:nvSpPr>
        <xdr:spPr bwMode="auto">
          <a:xfrm>
            <a:off x="11684000" y="6665913"/>
            <a:ext cx="109537" cy="23813"/>
          </a:xfrm>
          <a:custGeom>
            <a:avLst/>
            <a:gdLst>
              <a:gd name="T0" fmla="*/ 41 w 46"/>
              <a:gd name="T1" fmla="*/ 0 h 10"/>
              <a:gd name="T2" fmla="*/ 5 w 46"/>
              <a:gd name="T3" fmla="*/ 0 h 10"/>
              <a:gd name="T4" fmla="*/ 2 w 46"/>
              <a:gd name="T5" fmla="*/ 2 h 10"/>
              <a:gd name="T6" fmla="*/ 0 w 46"/>
              <a:gd name="T7" fmla="*/ 5 h 10"/>
              <a:gd name="T8" fmla="*/ 2 w 46"/>
              <a:gd name="T9" fmla="*/ 9 h 10"/>
              <a:gd name="T10" fmla="*/ 5 w 46"/>
              <a:gd name="T11" fmla="*/ 10 h 10"/>
              <a:gd name="T12" fmla="*/ 41 w 46"/>
              <a:gd name="T13" fmla="*/ 10 h 10"/>
              <a:gd name="T14" fmla="*/ 45 w 46"/>
              <a:gd name="T15" fmla="*/ 9 h 10"/>
              <a:gd name="T16" fmla="*/ 46 w 46"/>
              <a:gd name="T17" fmla="*/ 5 h 10"/>
              <a:gd name="T18" fmla="*/ 45 w 46"/>
              <a:gd name="T19" fmla="*/ 2 h 10"/>
              <a:gd name="T20" fmla="*/ 41 w 46"/>
              <a:gd name="T21" fmla="*/ 0 h 1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46" h="10">
                <a:moveTo>
                  <a:pt x="41" y="0"/>
                </a:moveTo>
                <a:cubicBezTo>
                  <a:pt x="5" y="0"/>
                  <a:pt x="5" y="0"/>
                  <a:pt x="5" y="0"/>
                </a:cubicBezTo>
                <a:cubicBezTo>
                  <a:pt x="3" y="0"/>
                  <a:pt x="2" y="1"/>
                  <a:pt x="2" y="2"/>
                </a:cubicBezTo>
                <a:cubicBezTo>
                  <a:pt x="1" y="2"/>
                  <a:pt x="0" y="4"/>
                  <a:pt x="0" y="5"/>
                </a:cubicBezTo>
                <a:cubicBezTo>
                  <a:pt x="0" y="7"/>
                  <a:pt x="1" y="8"/>
                  <a:pt x="2" y="9"/>
                </a:cubicBezTo>
                <a:cubicBezTo>
                  <a:pt x="2" y="9"/>
                  <a:pt x="3" y="10"/>
                  <a:pt x="5" y="10"/>
                </a:cubicBezTo>
                <a:cubicBezTo>
                  <a:pt x="41" y="10"/>
                  <a:pt x="41" y="10"/>
                  <a:pt x="41" y="10"/>
                </a:cubicBezTo>
                <a:cubicBezTo>
                  <a:pt x="42" y="10"/>
                  <a:pt x="44" y="9"/>
                  <a:pt x="45" y="9"/>
                </a:cubicBezTo>
                <a:cubicBezTo>
                  <a:pt x="46" y="8"/>
                  <a:pt x="46" y="7"/>
                  <a:pt x="46" y="5"/>
                </a:cubicBezTo>
                <a:cubicBezTo>
                  <a:pt x="46" y="4"/>
                  <a:pt x="46" y="2"/>
                  <a:pt x="45" y="2"/>
                </a:cubicBezTo>
                <a:cubicBezTo>
                  <a:pt x="44" y="1"/>
                  <a:pt x="42" y="0"/>
                  <a:pt x="41" y="0"/>
                </a:cubicBezTo>
                <a:close/>
              </a:path>
            </a:pathLst>
          </a:custGeom>
          <a:grpFill/>
          <a:ln>
            <a:solidFill>
              <a:schemeClr val="accent6"/>
            </a:solidFill>
          </a:ln>
          <a:extLst>
            <a:ext uri="{91240B29-F687-4f45-9708-019B960494DF}">
              <a14:hiddenLine xmlns:r="http://schemas.openxmlformats.org/officeDocument/2006/relationships" xmlns:p="http://schemas.openxmlformats.org/presentationml/2006/main" xmlns:a14="http://schemas.microsoft.com/office/drawing/2010/main" xmlns="" xmlns:lc="http://schemas.openxmlformats.org/drawingml/2006/lockedCanva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61" name="Freeform 578">
            <a:extLst>
              <a:ext uri="{FF2B5EF4-FFF2-40B4-BE49-F238E27FC236}">
                <a16:creationId xmlns:a16="http://schemas.microsoft.com/office/drawing/2014/main" id="{00000000-0008-0000-0000-00003D000000}"/>
              </a:ext>
            </a:extLst>
          </xdr:cNvPr>
          <xdr:cNvSpPr>
            <a:spLocks/>
          </xdr:cNvSpPr>
        </xdr:nvSpPr>
        <xdr:spPr bwMode="auto">
          <a:xfrm>
            <a:off x="11563350" y="6777038"/>
            <a:ext cx="85725" cy="84138"/>
          </a:xfrm>
          <a:custGeom>
            <a:avLst/>
            <a:gdLst>
              <a:gd name="T0" fmla="*/ 36 w 36"/>
              <a:gd name="T1" fmla="*/ 5 h 35"/>
              <a:gd name="T2" fmla="*/ 34 w 36"/>
              <a:gd name="T3" fmla="*/ 1 h 35"/>
              <a:gd name="T4" fmla="*/ 31 w 36"/>
              <a:gd name="T5" fmla="*/ 0 h 35"/>
              <a:gd name="T6" fmla="*/ 27 w 36"/>
              <a:gd name="T7" fmla="*/ 2 h 35"/>
              <a:gd name="T8" fmla="*/ 18 w 36"/>
              <a:gd name="T9" fmla="*/ 11 h 35"/>
              <a:gd name="T10" fmla="*/ 9 w 36"/>
              <a:gd name="T11" fmla="*/ 2 h 35"/>
              <a:gd name="T12" fmla="*/ 6 w 36"/>
              <a:gd name="T13" fmla="*/ 1 h 35"/>
              <a:gd name="T14" fmla="*/ 3 w 36"/>
              <a:gd name="T15" fmla="*/ 2 h 35"/>
              <a:gd name="T16" fmla="*/ 1 w 36"/>
              <a:gd name="T17" fmla="*/ 6 h 35"/>
              <a:gd name="T18" fmla="*/ 2 w 36"/>
              <a:gd name="T19" fmla="*/ 9 h 35"/>
              <a:gd name="T20" fmla="*/ 11 w 36"/>
              <a:gd name="T21" fmla="*/ 18 h 35"/>
              <a:gd name="T22" fmla="*/ 2 w 36"/>
              <a:gd name="T23" fmla="*/ 27 h 35"/>
              <a:gd name="T24" fmla="*/ 0 w 36"/>
              <a:gd name="T25" fmla="*/ 30 h 35"/>
              <a:gd name="T26" fmla="*/ 2 w 36"/>
              <a:gd name="T27" fmla="*/ 34 h 35"/>
              <a:gd name="T28" fmla="*/ 5 w 36"/>
              <a:gd name="T29" fmla="*/ 35 h 35"/>
              <a:gd name="T30" fmla="*/ 8 w 36"/>
              <a:gd name="T31" fmla="*/ 34 h 35"/>
              <a:gd name="T32" fmla="*/ 18 w 36"/>
              <a:gd name="T33" fmla="*/ 24 h 35"/>
              <a:gd name="T34" fmla="*/ 26 w 36"/>
              <a:gd name="T35" fmla="*/ 33 h 35"/>
              <a:gd name="T36" fmla="*/ 30 w 36"/>
              <a:gd name="T37" fmla="*/ 35 h 35"/>
              <a:gd name="T38" fmla="*/ 33 w 36"/>
              <a:gd name="T39" fmla="*/ 33 h 35"/>
              <a:gd name="T40" fmla="*/ 35 w 36"/>
              <a:gd name="T41" fmla="*/ 29 h 35"/>
              <a:gd name="T42" fmla="*/ 34 w 36"/>
              <a:gd name="T43" fmla="*/ 26 h 35"/>
              <a:gd name="T44" fmla="*/ 25 w 36"/>
              <a:gd name="T45" fmla="*/ 17 h 35"/>
              <a:gd name="T46" fmla="*/ 34 w 36"/>
              <a:gd name="T47" fmla="*/ 8 h 35"/>
              <a:gd name="T48" fmla="*/ 36 w 36"/>
              <a:gd name="T49" fmla="*/ 5 h 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36" h="35">
                <a:moveTo>
                  <a:pt x="36" y="5"/>
                </a:moveTo>
                <a:cubicBezTo>
                  <a:pt x="36" y="4"/>
                  <a:pt x="35" y="2"/>
                  <a:pt x="34" y="1"/>
                </a:cubicBezTo>
                <a:cubicBezTo>
                  <a:pt x="33" y="0"/>
                  <a:pt x="32" y="0"/>
                  <a:pt x="31" y="0"/>
                </a:cubicBezTo>
                <a:cubicBezTo>
                  <a:pt x="30" y="0"/>
                  <a:pt x="28" y="1"/>
                  <a:pt x="27" y="2"/>
                </a:cubicBezTo>
                <a:cubicBezTo>
                  <a:pt x="18" y="11"/>
                  <a:pt x="18" y="11"/>
                  <a:pt x="18" y="11"/>
                </a:cubicBezTo>
                <a:cubicBezTo>
                  <a:pt x="9" y="2"/>
                  <a:pt x="9" y="2"/>
                  <a:pt x="9" y="2"/>
                </a:cubicBezTo>
                <a:cubicBezTo>
                  <a:pt x="8" y="1"/>
                  <a:pt x="7" y="0"/>
                  <a:pt x="6" y="1"/>
                </a:cubicBezTo>
                <a:cubicBezTo>
                  <a:pt x="5" y="1"/>
                  <a:pt x="4" y="1"/>
                  <a:pt x="3" y="2"/>
                </a:cubicBezTo>
                <a:cubicBezTo>
                  <a:pt x="2" y="3"/>
                  <a:pt x="1" y="5"/>
                  <a:pt x="1" y="6"/>
                </a:cubicBezTo>
                <a:cubicBezTo>
                  <a:pt x="1" y="7"/>
                  <a:pt x="1" y="8"/>
                  <a:pt x="2" y="9"/>
                </a:cubicBezTo>
                <a:cubicBezTo>
                  <a:pt x="11" y="18"/>
                  <a:pt x="11" y="18"/>
                  <a:pt x="11" y="18"/>
                </a:cubicBezTo>
                <a:cubicBezTo>
                  <a:pt x="2" y="27"/>
                  <a:pt x="2" y="27"/>
                  <a:pt x="2" y="27"/>
                </a:cubicBezTo>
                <a:cubicBezTo>
                  <a:pt x="1" y="28"/>
                  <a:pt x="0" y="29"/>
                  <a:pt x="0" y="30"/>
                </a:cubicBezTo>
                <a:cubicBezTo>
                  <a:pt x="0" y="32"/>
                  <a:pt x="1" y="33"/>
                  <a:pt x="2" y="34"/>
                </a:cubicBezTo>
                <a:cubicBezTo>
                  <a:pt x="3" y="35"/>
                  <a:pt x="4" y="35"/>
                  <a:pt x="5" y="35"/>
                </a:cubicBezTo>
                <a:cubicBezTo>
                  <a:pt x="7" y="35"/>
                  <a:pt x="8" y="35"/>
                  <a:pt x="8" y="34"/>
                </a:cubicBezTo>
                <a:cubicBezTo>
                  <a:pt x="18" y="24"/>
                  <a:pt x="18" y="24"/>
                  <a:pt x="18" y="24"/>
                </a:cubicBezTo>
                <a:cubicBezTo>
                  <a:pt x="26" y="33"/>
                  <a:pt x="26" y="33"/>
                  <a:pt x="26" y="33"/>
                </a:cubicBezTo>
                <a:cubicBezTo>
                  <a:pt x="28" y="34"/>
                  <a:pt x="29" y="35"/>
                  <a:pt x="30" y="35"/>
                </a:cubicBezTo>
                <a:cubicBezTo>
                  <a:pt x="31" y="35"/>
                  <a:pt x="32" y="34"/>
                  <a:pt x="33" y="33"/>
                </a:cubicBezTo>
                <a:cubicBezTo>
                  <a:pt x="35" y="32"/>
                  <a:pt x="35" y="31"/>
                  <a:pt x="35" y="29"/>
                </a:cubicBezTo>
                <a:cubicBezTo>
                  <a:pt x="35" y="28"/>
                  <a:pt x="35" y="27"/>
                  <a:pt x="34" y="26"/>
                </a:cubicBezTo>
                <a:cubicBezTo>
                  <a:pt x="25" y="17"/>
                  <a:pt x="25" y="17"/>
                  <a:pt x="25" y="17"/>
                </a:cubicBezTo>
                <a:cubicBezTo>
                  <a:pt x="34" y="8"/>
                  <a:pt x="34" y="8"/>
                  <a:pt x="34" y="8"/>
                </a:cubicBezTo>
                <a:cubicBezTo>
                  <a:pt x="35" y="7"/>
                  <a:pt x="36" y="6"/>
                  <a:pt x="36" y="5"/>
                </a:cubicBezTo>
                <a:close/>
              </a:path>
            </a:pathLst>
          </a:custGeom>
          <a:grpFill/>
          <a:ln>
            <a:solidFill>
              <a:schemeClr val="accent6"/>
            </a:solidFill>
          </a:ln>
          <a:extLst>
            <a:ext uri="{91240B29-F687-4f45-9708-019B960494DF}">
              <a14:hiddenLine xmlns:r="http://schemas.openxmlformats.org/officeDocument/2006/relationships" xmlns:p="http://schemas.openxmlformats.org/presentationml/2006/main" xmlns:a14="http://schemas.microsoft.com/office/drawing/2010/main" xmlns="" xmlns:lc="http://schemas.openxmlformats.org/drawingml/2006/lockedCanva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62" name="Freeform 579">
            <a:extLst>
              <a:ext uri="{FF2B5EF4-FFF2-40B4-BE49-F238E27FC236}">
                <a16:creationId xmlns:a16="http://schemas.microsoft.com/office/drawing/2014/main" id="{00000000-0008-0000-0000-00003E000000}"/>
              </a:ext>
            </a:extLst>
          </xdr:cNvPr>
          <xdr:cNvSpPr>
            <a:spLocks/>
          </xdr:cNvSpPr>
        </xdr:nvSpPr>
        <xdr:spPr bwMode="auto">
          <a:xfrm>
            <a:off x="11693525" y="6804025"/>
            <a:ext cx="90487" cy="23813"/>
          </a:xfrm>
          <a:custGeom>
            <a:avLst/>
            <a:gdLst>
              <a:gd name="T0" fmla="*/ 33 w 38"/>
              <a:gd name="T1" fmla="*/ 0 h 10"/>
              <a:gd name="T2" fmla="*/ 4 w 38"/>
              <a:gd name="T3" fmla="*/ 0 h 10"/>
              <a:gd name="T4" fmla="*/ 1 w 38"/>
              <a:gd name="T5" fmla="*/ 2 h 10"/>
              <a:gd name="T6" fmla="*/ 0 w 38"/>
              <a:gd name="T7" fmla="*/ 5 h 10"/>
              <a:gd name="T8" fmla="*/ 1 w 38"/>
              <a:gd name="T9" fmla="*/ 9 h 10"/>
              <a:gd name="T10" fmla="*/ 4 w 38"/>
              <a:gd name="T11" fmla="*/ 10 h 10"/>
              <a:gd name="T12" fmla="*/ 33 w 38"/>
              <a:gd name="T13" fmla="*/ 10 h 10"/>
              <a:gd name="T14" fmla="*/ 37 w 38"/>
              <a:gd name="T15" fmla="*/ 9 h 10"/>
              <a:gd name="T16" fmla="*/ 38 w 38"/>
              <a:gd name="T17" fmla="*/ 5 h 10"/>
              <a:gd name="T18" fmla="*/ 37 w 38"/>
              <a:gd name="T19" fmla="*/ 2 h 10"/>
              <a:gd name="T20" fmla="*/ 33 w 38"/>
              <a:gd name="T21" fmla="*/ 0 h 1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8" h="10">
                <a:moveTo>
                  <a:pt x="33" y="0"/>
                </a:moveTo>
                <a:cubicBezTo>
                  <a:pt x="4" y="0"/>
                  <a:pt x="4" y="0"/>
                  <a:pt x="4" y="0"/>
                </a:cubicBezTo>
                <a:cubicBezTo>
                  <a:pt x="3" y="0"/>
                  <a:pt x="2" y="1"/>
                  <a:pt x="1" y="2"/>
                </a:cubicBezTo>
                <a:cubicBezTo>
                  <a:pt x="0" y="3"/>
                  <a:pt x="0" y="4"/>
                  <a:pt x="0" y="5"/>
                </a:cubicBezTo>
                <a:cubicBezTo>
                  <a:pt x="0" y="7"/>
                  <a:pt x="0" y="8"/>
                  <a:pt x="1" y="9"/>
                </a:cubicBezTo>
                <a:cubicBezTo>
                  <a:pt x="2" y="10"/>
                  <a:pt x="3" y="10"/>
                  <a:pt x="4" y="10"/>
                </a:cubicBezTo>
                <a:cubicBezTo>
                  <a:pt x="33" y="10"/>
                  <a:pt x="33" y="10"/>
                  <a:pt x="33" y="10"/>
                </a:cubicBezTo>
                <a:cubicBezTo>
                  <a:pt x="35" y="10"/>
                  <a:pt x="36" y="10"/>
                  <a:pt x="37" y="9"/>
                </a:cubicBezTo>
                <a:cubicBezTo>
                  <a:pt x="38" y="8"/>
                  <a:pt x="38" y="7"/>
                  <a:pt x="38" y="5"/>
                </a:cubicBezTo>
                <a:cubicBezTo>
                  <a:pt x="38" y="4"/>
                  <a:pt x="38" y="3"/>
                  <a:pt x="37" y="2"/>
                </a:cubicBezTo>
                <a:cubicBezTo>
                  <a:pt x="36" y="1"/>
                  <a:pt x="35" y="0"/>
                  <a:pt x="33" y="0"/>
                </a:cubicBezTo>
                <a:close/>
              </a:path>
            </a:pathLst>
          </a:custGeom>
          <a:grpFill/>
          <a:ln>
            <a:solidFill>
              <a:schemeClr val="accent6"/>
            </a:solidFill>
          </a:ln>
          <a:extLst>
            <a:ext uri="{91240B29-F687-4f45-9708-019B960494DF}">
              <a14:hiddenLine xmlns:r="http://schemas.openxmlformats.org/officeDocument/2006/relationships" xmlns:p="http://schemas.openxmlformats.org/presentationml/2006/main" xmlns:a14="http://schemas.microsoft.com/office/drawing/2010/main" xmlns="" xmlns:lc="http://schemas.openxmlformats.org/drawingml/2006/lockedCanva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63" name="Oval 62">
            <a:extLst>
              <a:ext uri="{FF2B5EF4-FFF2-40B4-BE49-F238E27FC236}">
                <a16:creationId xmlns:a16="http://schemas.microsoft.com/office/drawing/2014/main" id="{00000000-0008-0000-0000-00003F000000}"/>
              </a:ext>
            </a:extLst>
          </xdr:cNvPr>
          <xdr:cNvSpPr>
            <a:spLocks noChangeArrowheads="1"/>
          </xdr:cNvSpPr>
        </xdr:nvSpPr>
        <xdr:spPr bwMode="auto">
          <a:xfrm>
            <a:off x="11725275" y="6767513"/>
            <a:ext cx="28575" cy="28575"/>
          </a:xfrm>
          <a:prstGeom prst="ellipse">
            <a:avLst/>
          </a:prstGeom>
          <a:grpFill/>
          <a:ln>
            <a:solidFill>
              <a:schemeClr val="accent6"/>
            </a:solidFill>
          </a:ln>
          <a:extLst>
            <a:ext uri="{91240B29-F687-4f45-9708-019B960494DF}">
              <a14:hiddenLine xmlns:r="http://schemas.openxmlformats.org/officeDocument/2006/relationships" xmlns:p="http://schemas.openxmlformats.org/presentationml/2006/main" xmlns:a14="http://schemas.microsoft.com/office/drawing/2010/main" xmlns="" xmlns:lc="http://schemas.openxmlformats.org/drawingml/2006/lockedCanva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024" name="Oval 1023">
            <a:extLst>
              <a:ext uri="{FF2B5EF4-FFF2-40B4-BE49-F238E27FC236}">
                <a16:creationId xmlns:a16="http://schemas.microsoft.com/office/drawing/2014/main" id="{00000000-0008-0000-0000-000000040000}"/>
              </a:ext>
            </a:extLst>
          </xdr:cNvPr>
          <xdr:cNvSpPr>
            <a:spLocks noChangeArrowheads="1"/>
          </xdr:cNvSpPr>
        </xdr:nvSpPr>
        <xdr:spPr bwMode="auto">
          <a:xfrm>
            <a:off x="11725275" y="6834188"/>
            <a:ext cx="28575" cy="28575"/>
          </a:xfrm>
          <a:prstGeom prst="ellipse">
            <a:avLst/>
          </a:prstGeom>
          <a:grpFill/>
          <a:ln>
            <a:solidFill>
              <a:schemeClr val="accent6"/>
            </a:solidFill>
          </a:ln>
          <a:extLst>
            <a:ext uri="{91240B29-F687-4f45-9708-019B960494DF}">
              <a14:hiddenLine xmlns:r="http://schemas.openxmlformats.org/officeDocument/2006/relationships" xmlns:p="http://schemas.openxmlformats.org/presentationml/2006/main" xmlns:a14="http://schemas.microsoft.com/office/drawing/2010/main" xmlns="" xmlns:lc="http://schemas.openxmlformats.org/drawingml/2006/lockedCanva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grpSp>
    <xdr:clientData/>
  </xdr:twoCellAnchor>
  <xdr:twoCellAnchor>
    <xdr:from>
      <xdr:col>2</xdr:col>
      <xdr:colOff>440536</xdr:colOff>
      <xdr:row>106</xdr:row>
      <xdr:rowOff>95669</xdr:rowOff>
    </xdr:from>
    <xdr:to>
      <xdr:col>2</xdr:col>
      <xdr:colOff>768324</xdr:colOff>
      <xdr:row>108</xdr:row>
      <xdr:rowOff>110251</xdr:rowOff>
    </xdr:to>
    <xdr:grpSp>
      <xdr:nvGrpSpPr>
        <xdr:cNvPr id="1029" name="Group 1028">
          <a:hlinkClick xmlns:r="http://schemas.openxmlformats.org/officeDocument/2006/relationships" r:id="rId9"/>
          <a:extLst>
            <a:ext uri="{FF2B5EF4-FFF2-40B4-BE49-F238E27FC236}">
              <a16:creationId xmlns:a16="http://schemas.microsoft.com/office/drawing/2014/main" id="{00000000-0008-0000-0000-000005040000}"/>
            </a:ext>
          </a:extLst>
        </xdr:cNvPr>
        <xdr:cNvGrpSpPr>
          <a:grpSpLocks noChangeAspect="1"/>
        </xdr:cNvGrpSpPr>
      </xdr:nvGrpSpPr>
      <xdr:grpSpPr>
        <a:xfrm>
          <a:off x="1678786" y="21186740"/>
          <a:ext cx="330963" cy="365193"/>
          <a:chOff x="11460163" y="6399213"/>
          <a:chExt cx="420687" cy="558800"/>
        </a:xfrm>
        <a:solidFill>
          <a:schemeClr val="accent6"/>
        </a:solidFill>
      </xdr:grpSpPr>
      <xdr:sp macro="" textlink="">
        <xdr:nvSpPr>
          <xdr:cNvPr id="1030" name="Freeform 574">
            <a:extLst>
              <a:ext uri="{FF2B5EF4-FFF2-40B4-BE49-F238E27FC236}">
                <a16:creationId xmlns:a16="http://schemas.microsoft.com/office/drawing/2014/main" id="{00000000-0008-0000-0000-000006040000}"/>
              </a:ext>
            </a:extLst>
          </xdr:cNvPr>
          <xdr:cNvSpPr>
            <a:spLocks noEditPoints="1"/>
          </xdr:cNvSpPr>
        </xdr:nvSpPr>
        <xdr:spPr bwMode="auto">
          <a:xfrm>
            <a:off x="11460163" y="6399213"/>
            <a:ext cx="420687" cy="558800"/>
          </a:xfrm>
          <a:custGeom>
            <a:avLst/>
            <a:gdLst>
              <a:gd name="T0" fmla="*/ 158 w 177"/>
              <a:gd name="T1" fmla="*/ 0 h 235"/>
              <a:gd name="T2" fmla="*/ 19 w 177"/>
              <a:gd name="T3" fmla="*/ 0 h 235"/>
              <a:gd name="T4" fmla="*/ 0 w 177"/>
              <a:gd name="T5" fmla="*/ 19 h 235"/>
              <a:gd name="T6" fmla="*/ 0 w 177"/>
              <a:gd name="T7" fmla="*/ 216 h 235"/>
              <a:gd name="T8" fmla="*/ 19 w 177"/>
              <a:gd name="T9" fmla="*/ 235 h 235"/>
              <a:gd name="T10" fmla="*/ 158 w 177"/>
              <a:gd name="T11" fmla="*/ 235 h 235"/>
              <a:gd name="T12" fmla="*/ 177 w 177"/>
              <a:gd name="T13" fmla="*/ 216 h 235"/>
              <a:gd name="T14" fmla="*/ 177 w 177"/>
              <a:gd name="T15" fmla="*/ 19 h 235"/>
              <a:gd name="T16" fmla="*/ 158 w 177"/>
              <a:gd name="T17" fmla="*/ 0 h 235"/>
              <a:gd name="T18" fmla="*/ 168 w 177"/>
              <a:gd name="T19" fmla="*/ 216 h 235"/>
              <a:gd name="T20" fmla="*/ 158 w 177"/>
              <a:gd name="T21" fmla="*/ 225 h 235"/>
              <a:gd name="T22" fmla="*/ 19 w 177"/>
              <a:gd name="T23" fmla="*/ 225 h 235"/>
              <a:gd name="T24" fmla="*/ 9 w 177"/>
              <a:gd name="T25" fmla="*/ 216 h 235"/>
              <a:gd name="T26" fmla="*/ 9 w 177"/>
              <a:gd name="T27" fmla="*/ 19 h 235"/>
              <a:gd name="T28" fmla="*/ 19 w 177"/>
              <a:gd name="T29" fmla="*/ 9 h 235"/>
              <a:gd name="T30" fmla="*/ 158 w 177"/>
              <a:gd name="T31" fmla="*/ 9 h 235"/>
              <a:gd name="T32" fmla="*/ 168 w 177"/>
              <a:gd name="T33" fmla="*/ 19 h 235"/>
              <a:gd name="T34" fmla="*/ 168 w 177"/>
              <a:gd name="T35" fmla="*/ 216 h 2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177" h="235">
                <a:moveTo>
                  <a:pt x="158" y="0"/>
                </a:moveTo>
                <a:cubicBezTo>
                  <a:pt x="19" y="0"/>
                  <a:pt x="19" y="0"/>
                  <a:pt x="19" y="0"/>
                </a:cubicBezTo>
                <a:cubicBezTo>
                  <a:pt x="8" y="0"/>
                  <a:pt x="0" y="8"/>
                  <a:pt x="0" y="19"/>
                </a:cubicBezTo>
                <a:cubicBezTo>
                  <a:pt x="0" y="216"/>
                  <a:pt x="0" y="216"/>
                  <a:pt x="0" y="216"/>
                </a:cubicBezTo>
                <a:cubicBezTo>
                  <a:pt x="0" y="226"/>
                  <a:pt x="8" y="235"/>
                  <a:pt x="19" y="235"/>
                </a:cubicBezTo>
                <a:cubicBezTo>
                  <a:pt x="158" y="235"/>
                  <a:pt x="158" y="235"/>
                  <a:pt x="158" y="235"/>
                </a:cubicBezTo>
                <a:cubicBezTo>
                  <a:pt x="169" y="235"/>
                  <a:pt x="177" y="226"/>
                  <a:pt x="177" y="216"/>
                </a:cubicBezTo>
                <a:cubicBezTo>
                  <a:pt x="177" y="19"/>
                  <a:pt x="177" y="19"/>
                  <a:pt x="177" y="19"/>
                </a:cubicBezTo>
                <a:cubicBezTo>
                  <a:pt x="177" y="8"/>
                  <a:pt x="169" y="0"/>
                  <a:pt x="158" y="0"/>
                </a:cubicBezTo>
                <a:close/>
                <a:moveTo>
                  <a:pt x="168" y="216"/>
                </a:moveTo>
                <a:cubicBezTo>
                  <a:pt x="168" y="221"/>
                  <a:pt x="163" y="225"/>
                  <a:pt x="158" y="225"/>
                </a:cubicBezTo>
                <a:cubicBezTo>
                  <a:pt x="19" y="225"/>
                  <a:pt x="19" y="225"/>
                  <a:pt x="19" y="225"/>
                </a:cubicBezTo>
                <a:cubicBezTo>
                  <a:pt x="13" y="225"/>
                  <a:pt x="9" y="221"/>
                  <a:pt x="9" y="216"/>
                </a:cubicBezTo>
                <a:cubicBezTo>
                  <a:pt x="9" y="19"/>
                  <a:pt x="9" y="19"/>
                  <a:pt x="9" y="19"/>
                </a:cubicBezTo>
                <a:cubicBezTo>
                  <a:pt x="9" y="13"/>
                  <a:pt x="13" y="9"/>
                  <a:pt x="19" y="9"/>
                </a:cubicBezTo>
                <a:cubicBezTo>
                  <a:pt x="158" y="9"/>
                  <a:pt x="158" y="9"/>
                  <a:pt x="158" y="9"/>
                </a:cubicBezTo>
                <a:cubicBezTo>
                  <a:pt x="163" y="9"/>
                  <a:pt x="168" y="13"/>
                  <a:pt x="168" y="19"/>
                </a:cubicBezTo>
                <a:lnTo>
                  <a:pt x="168" y="216"/>
                </a:lnTo>
                <a:close/>
              </a:path>
            </a:pathLst>
          </a:custGeom>
          <a:grpFill/>
          <a:ln>
            <a:solidFill>
              <a:schemeClr val="accent6"/>
            </a:solidFill>
          </a:ln>
          <a:extLst>
            <a:ext uri="{91240B29-F687-4f45-9708-019B960494DF}">
              <a14:hiddenLine xmlns:r="http://schemas.openxmlformats.org/officeDocument/2006/relationships" xmlns:p="http://schemas.openxmlformats.org/presentationml/2006/main" xmlns:a14="http://schemas.microsoft.com/office/drawing/2010/main" xmlns="" xmlns:lc="http://schemas.openxmlformats.org/drawingml/2006/lockedCanva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031" name="Freeform 575">
            <a:extLst>
              <a:ext uri="{FF2B5EF4-FFF2-40B4-BE49-F238E27FC236}">
                <a16:creationId xmlns:a16="http://schemas.microsoft.com/office/drawing/2014/main" id="{00000000-0008-0000-0000-000007040000}"/>
              </a:ext>
            </a:extLst>
          </xdr:cNvPr>
          <xdr:cNvSpPr>
            <a:spLocks noEditPoints="1"/>
          </xdr:cNvSpPr>
        </xdr:nvSpPr>
        <xdr:spPr bwMode="auto">
          <a:xfrm>
            <a:off x="11539538" y="6486525"/>
            <a:ext cx="265112" cy="80963"/>
          </a:xfrm>
          <a:custGeom>
            <a:avLst/>
            <a:gdLst>
              <a:gd name="T0" fmla="*/ 104 w 112"/>
              <a:gd name="T1" fmla="*/ 0 h 34"/>
              <a:gd name="T2" fmla="*/ 7 w 112"/>
              <a:gd name="T3" fmla="*/ 0 h 34"/>
              <a:gd name="T4" fmla="*/ 0 w 112"/>
              <a:gd name="T5" fmla="*/ 7 h 34"/>
              <a:gd name="T6" fmla="*/ 0 w 112"/>
              <a:gd name="T7" fmla="*/ 27 h 34"/>
              <a:gd name="T8" fmla="*/ 7 w 112"/>
              <a:gd name="T9" fmla="*/ 34 h 34"/>
              <a:gd name="T10" fmla="*/ 104 w 112"/>
              <a:gd name="T11" fmla="*/ 34 h 34"/>
              <a:gd name="T12" fmla="*/ 112 w 112"/>
              <a:gd name="T13" fmla="*/ 27 h 34"/>
              <a:gd name="T14" fmla="*/ 112 w 112"/>
              <a:gd name="T15" fmla="*/ 7 h 34"/>
              <a:gd name="T16" fmla="*/ 104 w 112"/>
              <a:gd name="T17" fmla="*/ 0 h 34"/>
              <a:gd name="T18" fmla="*/ 102 w 112"/>
              <a:gd name="T19" fmla="*/ 25 h 34"/>
              <a:gd name="T20" fmla="*/ 9 w 112"/>
              <a:gd name="T21" fmla="*/ 25 h 34"/>
              <a:gd name="T22" fmla="*/ 9 w 112"/>
              <a:gd name="T23" fmla="*/ 9 h 34"/>
              <a:gd name="T24" fmla="*/ 102 w 112"/>
              <a:gd name="T25" fmla="*/ 9 h 34"/>
              <a:gd name="T26" fmla="*/ 102 w 112"/>
              <a:gd name="T27" fmla="*/ 25 h 3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112" h="34">
                <a:moveTo>
                  <a:pt x="104" y="0"/>
                </a:moveTo>
                <a:cubicBezTo>
                  <a:pt x="7" y="0"/>
                  <a:pt x="7" y="0"/>
                  <a:pt x="7" y="0"/>
                </a:cubicBezTo>
                <a:cubicBezTo>
                  <a:pt x="3" y="0"/>
                  <a:pt x="0" y="3"/>
                  <a:pt x="0" y="7"/>
                </a:cubicBezTo>
                <a:cubicBezTo>
                  <a:pt x="0" y="27"/>
                  <a:pt x="0" y="27"/>
                  <a:pt x="0" y="27"/>
                </a:cubicBezTo>
                <a:cubicBezTo>
                  <a:pt x="0" y="31"/>
                  <a:pt x="3" y="34"/>
                  <a:pt x="7" y="34"/>
                </a:cubicBezTo>
                <a:cubicBezTo>
                  <a:pt x="104" y="34"/>
                  <a:pt x="104" y="34"/>
                  <a:pt x="104" y="34"/>
                </a:cubicBezTo>
                <a:cubicBezTo>
                  <a:pt x="108" y="34"/>
                  <a:pt x="112" y="31"/>
                  <a:pt x="112" y="27"/>
                </a:cubicBezTo>
                <a:cubicBezTo>
                  <a:pt x="112" y="7"/>
                  <a:pt x="112" y="7"/>
                  <a:pt x="112" y="7"/>
                </a:cubicBezTo>
                <a:cubicBezTo>
                  <a:pt x="112" y="3"/>
                  <a:pt x="108" y="0"/>
                  <a:pt x="104" y="0"/>
                </a:cubicBezTo>
                <a:close/>
                <a:moveTo>
                  <a:pt x="102" y="25"/>
                </a:moveTo>
                <a:cubicBezTo>
                  <a:pt x="9" y="25"/>
                  <a:pt x="9" y="25"/>
                  <a:pt x="9" y="25"/>
                </a:cubicBezTo>
                <a:cubicBezTo>
                  <a:pt x="9" y="9"/>
                  <a:pt x="9" y="9"/>
                  <a:pt x="9" y="9"/>
                </a:cubicBezTo>
                <a:cubicBezTo>
                  <a:pt x="102" y="9"/>
                  <a:pt x="102" y="9"/>
                  <a:pt x="102" y="9"/>
                </a:cubicBezTo>
                <a:lnTo>
                  <a:pt x="102" y="25"/>
                </a:lnTo>
                <a:close/>
              </a:path>
            </a:pathLst>
          </a:custGeom>
          <a:grpFill/>
          <a:ln>
            <a:solidFill>
              <a:schemeClr val="accent6"/>
            </a:solidFill>
          </a:ln>
          <a:extLst>
            <a:ext uri="{91240B29-F687-4f45-9708-019B960494DF}">
              <a14:hiddenLine xmlns:r="http://schemas.openxmlformats.org/officeDocument/2006/relationships" xmlns:p="http://schemas.openxmlformats.org/presentationml/2006/main" xmlns:a14="http://schemas.microsoft.com/office/drawing/2010/main" xmlns="" xmlns:lc="http://schemas.openxmlformats.org/drawingml/2006/lockedCanva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032" name="Freeform 576">
            <a:extLst>
              <a:ext uri="{FF2B5EF4-FFF2-40B4-BE49-F238E27FC236}">
                <a16:creationId xmlns:a16="http://schemas.microsoft.com/office/drawing/2014/main" id="{00000000-0008-0000-0000-000008040000}"/>
              </a:ext>
            </a:extLst>
          </xdr:cNvPr>
          <xdr:cNvSpPr>
            <a:spLocks/>
          </xdr:cNvSpPr>
        </xdr:nvSpPr>
        <xdr:spPr bwMode="auto">
          <a:xfrm>
            <a:off x="11550650" y="6624638"/>
            <a:ext cx="107950" cy="104775"/>
          </a:xfrm>
          <a:custGeom>
            <a:avLst/>
            <a:gdLst>
              <a:gd name="T0" fmla="*/ 40 w 45"/>
              <a:gd name="T1" fmla="*/ 17 h 44"/>
              <a:gd name="T2" fmla="*/ 28 w 45"/>
              <a:gd name="T3" fmla="*/ 17 h 44"/>
              <a:gd name="T4" fmla="*/ 28 w 45"/>
              <a:gd name="T5" fmla="*/ 4 h 44"/>
              <a:gd name="T6" fmla="*/ 26 w 45"/>
              <a:gd name="T7" fmla="*/ 2 h 44"/>
              <a:gd name="T8" fmla="*/ 22 w 45"/>
              <a:gd name="T9" fmla="*/ 0 h 44"/>
              <a:gd name="T10" fmla="*/ 19 w 45"/>
              <a:gd name="T11" fmla="*/ 2 h 44"/>
              <a:gd name="T12" fmla="*/ 18 w 45"/>
              <a:gd name="T13" fmla="*/ 4 h 44"/>
              <a:gd name="T14" fmla="*/ 18 w 45"/>
              <a:gd name="T15" fmla="*/ 17 h 44"/>
              <a:gd name="T16" fmla="*/ 4 w 45"/>
              <a:gd name="T17" fmla="*/ 17 h 44"/>
              <a:gd name="T18" fmla="*/ 1 w 45"/>
              <a:gd name="T19" fmla="*/ 19 h 44"/>
              <a:gd name="T20" fmla="*/ 0 w 45"/>
              <a:gd name="T21" fmla="*/ 22 h 44"/>
              <a:gd name="T22" fmla="*/ 1 w 45"/>
              <a:gd name="T23" fmla="*/ 26 h 44"/>
              <a:gd name="T24" fmla="*/ 4 w 45"/>
              <a:gd name="T25" fmla="*/ 27 h 44"/>
              <a:gd name="T26" fmla="*/ 18 w 45"/>
              <a:gd name="T27" fmla="*/ 27 h 44"/>
              <a:gd name="T28" fmla="*/ 18 w 45"/>
              <a:gd name="T29" fmla="*/ 39 h 44"/>
              <a:gd name="T30" fmla="*/ 19 w 45"/>
              <a:gd name="T31" fmla="*/ 43 h 44"/>
              <a:gd name="T32" fmla="*/ 22 w 45"/>
              <a:gd name="T33" fmla="*/ 44 h 44"/>
              <a:gd name="T34" fmla="*/ 26 w 45"/>
              <a:gd name="T35" fmla="*/ 43 h 44"/>
              <a:gd name="T36" fmla="*/ 28 w 45"/>
              <a:gd name="T37" fmla="*/ 39 h 44"/>
              <a:gd name="T38" fmla="*/ 28 w 45"/>
              <a:gd name="T39" fmla="*/ 27 h 44"/>
              <a:gd name="T40" fmla="*/ 40 w 45"/>
              <a:gd name="T41" fmla="*/ 27 h 44"/>
              <a:gd name="T42" fmla="*/ 44 w 45"/>
              <a:gd name="T43" fmla="*/ 26 h 44"/>
              <a:gd name="T44" fmla="*/ 45 w 45"/>
              <a:gd name="T45" fmla="*/ 22 h 44"/>
              <a:gd name="T46" fmla="*/ 44 w 45"/>
              <a:gd name="T47" fmla="*/ 19 h 44"/>
              <a:gd name="T48" fmla="*/ 40 w 45"/>
              <a:gd name="T49" fmla="*/ 17 h 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45" h="44">
                <a:moveTo>
                  <a:pt x="40" y="17"/>
                </a:moveTo>
                <a:cubicBezTo>
                  <a:pt x="28" y="17"/>
                  <a:pt x="28" y="17"/>
                  <a:pt x="28" y="17"/>
                </a:cubicBezTo>
                <a:cubicBezTo>
                  <a:pt x="28" y="4"/>
                  <a:pt x="28" y="4"/>
                  <a:pt x="28" y="4"/>
                </a:cubicBezTo>
                <a:cubicBezTo>
                  <a:pt x="28" y="3"/>
                  <a:pt x="27" y="2"/>
                  <a:pt x="26" y="2"/>
                </a:cubicBezTo>
                <a:cubicBezTo>
                  <a:pt x="25" y="1"/>
                  <a:pt x="24" y="0"/>
                  <a:pt x="22" y="0"/>
                </a:cubicBezTo>
                <a:cubicBezTo>
                  <a:pt x="21" y="0"/>
                  <a:pt x="20" y="1"/>
                  <a:pt x="19" y="2"/>
                </a:cubicBezTo>
                <a:cubicBezTo>
                  <a:pt x="18" y="2"/>
                  <a:pt x="18" y="3"/>
                  <a:pt x="18" y="4"/>
                </a:cubicBezTo>
                <a:cubicBezTo>
                  <a:pt x="18" y="17"/>
                  <a:pt x="18" y="17"/>
                  <a:pt x="18" y="17"/>
                </a:cubicBezTo>
                <a:cubicBezTo>
                  <a:pt x="4" y="17"/>
                  <a:pt x="4" y="17"/>
                  <a:pt x="4" y="17"/>
                </a:cubicBezTo>
                <a:cubicBezTo>
                  <a:pt x="3" y="17"/>
                  <a:pt x="2" y="18"/>
                  <a:pt x="1" y="19"/>
                </a:cubicBezTo>
                <a:cubicBezTo>
                  <a:pt x="0" y="19"/>
                  <a:pt x="0" y="21"/>
                  <a:pt x="0" y="22"/>
                </a:cubicBezTo>
                <a:cubicBezTo>
                  <a:pt x="0" y="24"/>
                  <a:pt x="0" y="25"/>
                  <a:pt x="1" y="26"/>
                </a:cubicBezTo>
                <a:cubicBezTo>
                  <a:pt x="2" y="26"/>
                  <a:pt x="3" y="27"/>
                  <a:pt x="4" y="27"/>
                </a:cubicBezTo>
                <a:cubicBezTo>
                  <a:pt x="18" y="27"/>
                  <a:pt x="18" y="27"/>
                  <a:pt x="18" y="27"/>
                </a:cubicBezTo>
                <a:cubicBezTo>
                  <a:pt x="18" y="39"/>
                  <a:pt x="18" y="39"/>
                  <a:pt x="18" y="39"/>
                </a:cubicBezTo>
                <a:cubicBezTo>
                  <a:pt x="18" y="40"/>
                  <a:pt x="18" y="42"/>
                  <a:pt x="19" y="43"/>
                </a:cubicBezTo>
                <a:cubicBezTo>
                  <a:pt x="20" y="43"/>
                  <a:pt x="21" y="44"/>
                  <a:pt x="22" y="44"/>
                </a:cubicBezTo>
                <a:cubicBezTo>
                  <a:pt x="24" y="44"/>
                  <a:pt x="25" y="43"/>
                  <a:pt x="26" y="43"/>
                </a:cubicBezTo>
                <a:cubicBezTo>
                  <a:pt x="27" y="42"/>
                  <a:pt x="28" y="40"/>
                  <a:pt x="28" y="39"/>
                </a:cubicBezTo>
                <a:cubicBezTo>
                  <a:pt x="28" y="27"/>
                  <a:pt x="28" y="27"/>
                  <a:pt x="28" y="27"/>
                </a:cubicBezTo>
                <a:cubicBezTo>
                  <a:pt x="40" y="27"/>
                  <a:pt x="40" y="27"/>
                  <a:pt x="40" y="27"/>
                </a:cubicBezTo>
                <a:cubicBezTo>
                  <a:pt x="42" y="27"/>
                  <a:pt x="43" y="26"/>
                  <a:pt x="44" y="26"/>
                </a:cubicBezTo>
                <a:cubicBezTo>
                  <a:pt x="45" y="25"/>
                  <a:pt x="45" y="24"/>
                  <a:pt x="45" y="22"/>
                </a:cubicBezTo>
                <a:cubicBezTo>
                  <a:pt x="45" y="21"/>
                  <a:pt x="45" y="19"/>
                  <a:pt x="44" y="19"/>
                </a:cubicBezTo>
                <a:cubicBezTo>
                  <a:pt x="43" y="18"/>
                  <a:pt x="42" y="17"/>
                  <a:pt x="40" y="17"/>
                </a:cubicBezTo>
                <a:close/>
              </a:path>
            </a:pathLst>
          </a:custGeom>
          <a:grpFill/>
          <a:ln>
            <a:solidFill>
              <a:schemeClr val="accent6"/>
            </a:solidFill>
          </a:ln>
          <a:extLst>
            <a:ext uri="{91240B29-F687-4f45-9708-019B960494DF}">
              <a14:hiddenLine xmlns:r="http://schemas.openxmlformats.org/officeDocument/2006/relationships" xmlns:p="http://schemas.openxmlformats.org/presentationml/2006/main" xmlns:a14="http://schemas.microsoft.com/office/drawing/2010/main" xmlns="" xmlns:lc="http://schemas.openxmlformats.org/drawingml/2006/lockedCanva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033" name="Freeform 577">
            <a:extLst>
              <a:ext uri="{FF2B5EF4-FFF2-40B4-BE49-F238E27FC236}">
                <a16:creationId xmlns:a16="http://schemas.microsoft.com/office/drawing/2014/main" id="{00000000-0008-0000-0000-000009040000}"/>
              </a:ext>
            </a:extLst>
          </xdr:cNvPr>
          <xdr:cNvSpPr>
            <a:spLocks/>
          </xdr:cNvSpPr>
        </xdr:nvSpPr>
        <xdr:spPr bwMode="auto">
          <a:xfrm>
            <a:off x="11684000" y="6665913"/>
            <a:ext cx="109537" cy="23813"/>
          </a:xfrm>
          <a:custGeom>
            <a:avLst/>
            <a:gdLst>
              <a:gd name="T0" fmla="*/ 41 w 46"/>
              <a:gd name="T1" fmla="*/ 0 h 10"/>
              <a:gd name="T2" fmla="*/ 5 w 46"/>
              <a:gd name="T3" fmla="*/ 0 h 10"/>
              <a:gd name="T4" fmla="*/ 2 w 46"/>
              <a:gd name="T5" fmla="*/ 2 h 10"/>
              <a:gd name="T6" fmla="*/ 0 w 46"/>
              <a:gd name="T7" fmla="*/ 5 h 10"/>
              <a:gd name="T8" fmla="*/ 2 w 46"/>
              <a:gd name="T9" fmla="*/ 9 h 10"/>
              <a:gd name="T10" fmla="*/ 5 w 46"/>
              <a:gd name="T11" fmla="*/ 10 h 10"/>
              <a:gd name="T12" fmla="*/ 41 w 46"/>
              <a:gd name="T13" fmla="*/ 10 h 10"/>
              <a:gd name="T14" fmla="*/ 45 w 46"/>
              <a:gd name="T15" fmla="*/ 9 h 10"/>
              <a:gd name="T16" fmla="*/ 46 w 46"/>
              <a:gd name="T17" fmla="*/ 5 h 10"/>
              <a:gd name="T18" fmla="*/ 45 w 46"/>
              <a:gd name="T19" fmla="*/ 2 h 10"/>
              <a:gd name="T20" fmla="*/ 41 w 46"/>
              <a:gd name="T21" fmla="*/ 0 h 1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46" h="10">
                <a:moveTo>
                  <a:pt x="41" y="0"/>
                </a:moveTo>
                <a:cubicBezTo>
                  <a:pt x="5" y="0"/>
                  <a:pt x="5" y="0"/>
                  <a:pt x="5" y="0"/>
                </a:cubicBezTo>
                <a:cubicBezTo>
                  <a:pt x="3" y="0"/>
                  <a:pt x="2" y="1"/>
                  <a:pt x="2" y="2"/>
                </a:cubicBezTo>
                <a:cubicBezTo>
                  <a:pt x="1" y="2"/>
                  <a:pt x="0" y="4"/>
                  <a:pt x="0" y="5"/>
                </a:cubicBezTo>
                <a:cubicBezTo>
                  <a:pt x="0" y="7"/>
                  <a:pt x="1" y="8"/>
                  <a:pt x="2" y="9"/>
                </a:cubicBezTo>
                <a:cubicBezTo>
                  <a:pt x="2" y="9"/>
                  <a:pt x="3" y="10"/>
                  <a:pt x="5" y="10"/>
                </a:cubicBezTo>
                <a:cubicBezTo>
                  <a:pt x="41" y="10"/>
                  <a:pt x="41" y="10"/>
                  <a:pt x="41" y="10"/>
                </a:cubicBezTo>
                <a:cubicBezTo>
                  <a:pt x="42" y="10"/>
                  <a:pt x="44" y="9"/>
                  <a:pt x="45" y="9"/>
                </a:cubicBezTo>
                <a:cubicBezTo>
                  <a:pt x="46" y="8"/>
                  <a:pt x="46" y="7"/>
                  <a:pt x="46" y="5"/>
                </a:cubicBezTo>
                <a:cubicBezTo>
                  <a:pt x="46" y="4"/>
                  <a:pt x="46" y="2"/>
                  <a:pt x="45" y="2"/>
                </a:cubicBezTo>
                <a:cubicBezTo>
                  <a:pt x="44" y="1"/>
                  <a:pt x="42" y="0"/>
                  <a:pt x="41" y="0"/>
                </a:cubicBezTo>
                <a:close/>
              </a:path>
            </a:pathLst>
          </a:custGeom>
          <a:grpFill/>
          <a:ln>
            <a:solidFill>
              <a:schemeClr val="accent6"/>
            </a:solidFill>
          </a:ln>
          <a:extLst>
            <a:ext uri="{91240B29-F687-4f45-9708-019B960494DF}">
              <a14:hiddenLine xmlns:r="http://schemas.openxmlformats.org/officeDocument/2006/relationships" xmlns:p="http://schemas.openxmlformats.org/presentationml/2006/main" xmlns:a14="http://schemas.microsoft.com/office/drawing/2010/main" xmlns="" xmlns:lc="http://schemas.openxmlformats.org/drawingml/2006/lockedCanva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034" name="Freeform 578">
            <a:extLst>
              <a:ext uri="{FF2B5EF4-FFF2-40B4-BE49-F238E27FC236}">
                <a16:creationId xmlns:a16="http://schemas.microsoft.com/office/drawing/2014/main" id="{00000000-0008-0000-0000-00000A040000}"/>
              </a:ext>
            </a:extLst>
          </xdr:cNvPr>
          <xdr:cNvSpPr>
            <a:spLocks/>
          </xdr:cNvSpPr>
        </xdr:nvSpPr>
        <xdr:spPr bwMode="auto">
          <a:xfrm>
            <a:off x="11563350" y="6777038"/>
            <a:ext cx="85725" cy="84138"/>
          </a:xfrm>
          <a:custGeom>
            <a:avLst/>
            <a:gdLst>
              <a:gd name="T0" fmla="*/ 36 w 36"/>
              <a:gd name="T1" fmla="*/ 5 h 35"/>
              <a:gd name="T2" fmla="*/ 34 w 36"/>
              <a:gd name="T3" fmla="*/ 1 h 35"/>
              <a:gd name="T4" fmla="*/ 31 w 36"/>
              <a:gd name="T5" fmla="*/ 0 h 35"/>
              <a:gd name="T6" fmla="*/ 27 w 36"/>
              <a:gd name="T7" fmla="*/ 2 h 35"/>
              <a:gd name="T8" fmla="*/ 18 w 36"/>
              <a:gd name="T9" fmla="*/ 11 h 35"/>
              <a:gd name="T10" fmla="*/ 9 w 36"/>
              <a:gd name="T11" fmla="*/ 2 h 35"/>
              <a:gd name="T12" fmla="*/ 6 w 36"/>
              <a:gd name="T13" fmla="*/ 1 h 35"/>
              <a:gd name="T14" fmla="*/ 3 w 36"/>
              <a:gd name="T15" fmla="*/ 2 h 35"/>
              <a:gd name="T16" fmla="*/ 1 w 36"/>
              <a:gd name="T17" fmla="*/ 6 h 35"/>
              <a:gd name="T18" fmla="*/ 2 w 36"/>
              <a:gd name="T19" fmla="*/ 9 h 35"/>
              <a:gd name="T20" fmla="*/ 11 w 36"/>
              <a:gd name="T21" fmla="*/ 18 h 35"/>
              <a:gd name="T22" fmla="*/ 2 w 36"/>
              <a:gd name="T23" fmla="*/ 27 h 35"/>
              <a:gd name="T24" fmla="*/ 0 w 36"/>
              <a:gd name="T25" fmla="*/ 30 h 35"/>
              <a:gd name="T26" fmla="*/ 2 w 36"/>
              <a:gd name="T27" fmla="*/ 34 h 35"/>
              <a:gd name="T28" fmla="*/ 5 w 36"/>
              <a:gd name="T29" fmla="*/ 35 h 35"/>
              <a:gd name="T30" fmla="*/ 8 w 36"/>
              <a:gd name="T31" fmla="*/ 34 h 35"/>
              <a:gd name="T32" fmla="*/ 18 w 36"/>
              <a:gd name="T33" fmla="*/ 24 h 35"/>
              <a:gd name="T34" fmla="*/ 26 w 36"/>
              <a:gd name="T35" fmla="*/ 33 h 35"/>
              <a:gd name="T36" fmla="*/ 30 w 36"/>
              <a:gd name="T37" fmla="*/ 35 h 35"/>
              <a:gd name="T38" fmla="*/ 33 w 36"/>
              <a:gd name="T39" fmla="*/ 33 h 35"/>
              <a:gd name="T40" fmla="*/ 35 w 36"/>
              <a:gd name="T41" fmla="*/ 29 h 35"/>
              <a:gd name="T42" fmla="*/ 34 w 36"/>
              <a:gd name="T43" fmla="*/ 26 h 35"/>
              <a:gd name="T44" fmla="*/ 25 w 36"/>
              <a:gd name="T45" fmla="*/ 17 h 35"/>
              <a:gd name="T46" fmla="*/ 34 w 36"/>
              <a:gd name="T47" fmla="*/ 8 h 35"/>
              <a:gd name="T48" fmla="*/ 36 w 36"/>
              <a:gd name="T49" fmla="*/ 5 h 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36" h="35">
                <a:moveTo>
                  <a:pt x="36" y="5"/>
                </a:moveTo>
                <a:cubicBezTo>
                  <a:pt x="36" y="4"/>
                  <a:pt x="35" y="2"/>
                  <a:pt x="34" y="1"/>
                </a:cubicBezTo>
                <a:cubicBezTo>
                  <a:pt x="33" y="0"/>
                  <a:pt x="32" y="0"/>
                  <a:pt x="31" y="0"/>
                </a:cubicBezTo>
                <a:cubicBezTo>
                  <a:pt x="30" y="0"/>
                  <a:pt x="28" y="1"/>
                  <a:pt x="27" y="2"/>
                </a:cubicBezTo>
                <a:cubicBezTo>
                  <a:pt x="18" y="11"/>
                  <a:pt x="18" y="11"/>
                  <a:pt x="18" y="11"/>
                </a:cubicBezTo>
                <a:cubicBezTo>
                  <a:pt x="9" y="2"/>
                  <a:pt x="9" y="2"/>
                  <a:pt x="9" y="2"/>
                </a:cubicBezTo>
                <a:cubicBezTo>
                  <a:pt x="8" y="1"/>
                  <a:pt x="7" y="0"/>
                  <a:pt x="6" y="1"/>
                </a:cubicBezTo>
                <a:cubicBezTo>
                  <a:pt x="5" y="1"/>
                  <a:pt x="4" y="1"/>
                  <a:pt x="3" y="2"/>
                </a:cubicBezTo>
                <a:cubicBezTo>
                  <a:pt x="2" y="3"/>
                  <a:pt x="1" y="5"/>
                  <a:pt x="1" y="6"/>
                </a:cubicBezTo>
                <a:cubicBezTo>
                  <a:pt x="1" y="7"/>
                  <a:pt x="1" y="8"/>
                  <a:pt x="2" y="9"/>
                </a:cubicBezTo>
                <a:cubicBezTo>
                  <a:pt x="11" y="18"/>
                  <a:pt x="11" y="18"/>
                  <a:pt x="11" y="18"/>
                </a:cubicBezTo>
                <a:cubicBezTo>
                  <a:pt x="2" y="27"/>
                  <a:pt x="2" y="27"/>
                  <a:pt x="2" y="27"/>
                </a:cubicBezTo>
                <a:cubicBezTo>
                  <a:pt x="1" y="28"/>
                  <a:pt x="0" y="29"/>
                  <a:pt x="0" y="30"/>
                </a:cubicBezTo>
                <a:cubicBezTo>
                  <a:pt x="0" y="32"/>
                  <a:pt x="1" y="33"/>
                  <a:pt x="2" y="34"/>
                </a:cubicBezTo>
                <a:cubicBezTo>
                  <a:pt x="3" y="35"/>
                  <a:pt x="4" y="35"/>
                  <a:pt x="5" y="35"/>
                </a:cubicBezTo>
                <a:cubicBezTo>
                  <a:pt x="7" y="35"/>
                  <a:pt x="8" y="35"/>
                  <a:pt x="8" y="34"/>
                </a:cubicBezTo>
                <a:cubicBezTo>
                  <a:pt x="18" y="24"/>
                  <a:pt x="18" y="24"/>
                  <a:pt x="18" y="24"/>
                </a:cubicBezTo>
                <a:cubicBezTo>
                  <a:pt x="26" y="33"/>
                  <a:pt x="26" y="33"/>
                  <a:pt x="26" y="33"/>
                </a:cubicBezTo>
                <a:cubicBezTo>
                  <a:pt x="28" y="34"/>
                  <a:pt x="29" y="35"/>
                  <a:pt x="30" y="35"/>
                </a:cubicBezTo>
                <a:cubicBezTo>
                  <a:pt x="31" y="35"/>
                  <a:pt x="32" y="34"/>
                  <a:pt x="33" y="33"/>
                </a:cubicBezTo>
                <a:cubicBezTo>
                  <a:pt x="35" y="32"/>
                  <a:pt x="35" y="31"/>
                  <a:pt x="35" y="29"/>
                </a:cubicBezTo>
                <a:cubicBezTo>
                  <a:pt x="35" y="28"/>
                  <a:pt x="35" y="27"/>
                  <a:pt x="34" y="26"/>
                </a:cubicBezTo>
                <a:cubicBezTo>
                  <a:pt x="25" y="17"/>
                  <a:pt x="25" y="17"/>
                  <a:pt x="25" y="17"/>
                </a:cubicBezTo>
                <a:cubicBezTo>
                  <a:pt x="34" y="8"/>
                  <a:pt x="34" y="8"/>
                  <a:pt x="34" y="8"/>
                </a:cubicBezTo>
                <a:cubicBezTo>
                  <a:pt x="35" y="7"/>
                  <a:pt x="36" y="6"/>
                  <a:pt x="36" y="5"/>
                </a:cubicBezTo>
                <a:close/>
              </a:path>
            </a:pathLst>
          </a:custGeom>
          <a:grpFill/>
          <a:ln>
            <a:solidFill>
              <a:schemeClr val="accent6"/>
            </a:solidFill>
          </a:ln>
          <a:extLst>
            <a:ext uri="{91240B29-F687-4f45-9708-019B960494DF}">
              <a14:hiddenLine xmlns:r="http://schemas.openxmlformats.org/officeDocument/2006/relationships" xmlns:p="http://schemas.openxmlformats.org/presentationml/2006/main" xmlns:a14="http://schemas.microsoft.com/office/drawing/2010/main" xmlns="" xmlns:lc="http://schemas.openxmlformats.org/drawingml/2006/lockedCanva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035" name="Freeform 579">
            <a:extLst>
              <a:ext uri="{FF2B5EF4-FFF2-40B4-BE49-F238E27FC236}">
                <a16:creationId xmlns:a16="http://schemas.microsoft.com/office/drawing/2014/main" id="{00000000-0008-0000-0000-00000B040000}"/>
              </a:ext>
            </a:extLst>
          </xdr:cNvPr>
          <xdr:cNvSpPr>
            <a:spLocks/>
          </xdr:cNvSpPr>
        </xdr:nvSpPr>
        <xdr:spPr bwMode="auto">
          <a:xfrm>
            <a:off x="11693525" y="6804025"/>
            <a:ext cx="90487" cy="23813"/>
          </a:xfrm>
          <a:custGeom>
            <a:avLst/>
            <a:gdLst>
              <a:gd name="T0" fmla="*/ 33 w 38"/>
              <a:gd name="T1" fmla="*/ 0 h 10"/>
              <a:gd name="T2" fmla="*/ 4 w 38"/>
              <a:gd name="T3" fmla="*/ 0 h 10"/>
              <a:gd name="T4" fmla="*/ 1 w 38"/>
              <a:gd name="T5" fmla="*/ 2 h 10"/>
              <a:gd name="T6" fmla="*/ 0 w 38"/>
              <a:gd name="T7" fmla="*/ 5 h 10"/>
              <a:gd name="T8" fmla="*/ 1 w 38"/>
              <a:gd name="T9" fmla="*/ 9 h 10"/>
              <a:gd name="T10" fmla="*/ 4 w 38"/>
              <a:gd name="T11" fmla="*/ 10 h 10"/>
              <a:gd name="T12" fmla="*/ 33 w 38"/>
              <a:gd name="T13" fmla="*/ 10 h 10"/>
              <a:gd name="T14" fmla="*/ 37 w 38"/>
              <a:gd name="T15" fmla="*/ 9 h 10"/>
              <a:gd name="T16" fmla="*/ 38 w 38"/>
              <a:gd name="T17" fmla="*/ 5 h 10"/>
              <a:gd name="T18" fmla="*/ 37 w 38"/>
              <a:gd name="T19" fmla="*/ 2 h 10"/>
              <a:gd name="T20" fmla="*/ 33 w 38"/>
              <a:gd name="T21" fmla="*/ 0 h 1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8" h="10">
                <a:moveTo>
                  <a:pt x="33" y="0"/>
                </a:moveTo>
                <a:cubicBezTo>
                  <a:pt x="4" y="0"/>
                  <a:pt x="4" y="0"/>
                  <a:pt x="4" y="0"/>
                </a:cubicBezTo>
                <a:cubicBezTo>
                  <a:pt x="3" y="0"/>
                  <a:pt x="2" y="1"/>
                  <a:pt x="1" y="2"/>
                </a:cubicBezTo>
                <a:cubicBezTo>
                  <a:pt x="0" y="3"/>
                  <a:pt x="0" y="4"/>
                  <a:pt x="0" y="5"/>
                </a:cubicBezTo>
                <a:cubicBezTo>
                  <a:pt x="0" y="7"/>
                  <a:pt x="0" y="8"/>
                  <a:pt x="1" y="9"/>
                </a:cubicBezTo>
                <a:cubicBezTo>
                  <a:pt x="2" y="10"/>
                  <a:pt x="3" y="10"/>
                  <a:pt x="4" y="10"/>
                </a:cubicBezTo>
                <a:cubicBezTo>
                  <a:pt x="33" y="10"/>
                  <a:pt x="33" y="10"/>
                  <a:pt x="33" y="10"/>
                </a:cubicBezTo>
                <a:cubicBezTo>
                  <a:pt x="35" y="10"/>
                  <a:pt x="36" y="10"/>
                  <a:pt x="37" y="9"/>
                </a:cubicBezTo>
                <a:cubicBezTo>
                  <a:pt x="38" y="8"/>
                  <a:pt x="38" y="7"/>
                  <a:pt x="38" y="5"/>
                </a:cubicBezTo>
                <a:cubicBezTo>
                  <a:pt x="38" y="4"/>
                  <a:pt x="38" y="3"/>
                  <a:pt x="37" y="2"/>
                </a:cubicBezTo>
                <a:cubicBezTo>
                  <a:pt x="36" y="1"/>
                  <a:pt x="35" y="0"/>
                  <a:pt x="33" y="0"/>
                </a:cubicBezTo>
                <a:close/>
              </a:path>
            </a:pathLst>
          </a:custGeom>
          <a:grpFill/>
          <a:ln>
            <a:solidFill>
              <a:schemeClr val="accent6"/>
            </a:solidFill>
          </a:ln>
          <a:extLst>
            <a:ext uri="{91240B29-F687-4f45-9708-019B960494DF}">
              <a14:hiddenLine xmlns:r="http://schemas.openxmlformats.org/officeDocument/2006/relationships" xmlns:p="http://schemas.openxmlformats.org/presentationml/2006/main" xmlns:a14="http://schemas.microsoft.com/office/drawing/2010/main" xmlns="" xmlns:lc="http://schemas.openxmlformats.org/drawingml/2006/lockedCanva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036" name="Oval 1035">
            <a:extLst>
              <a:ext uri="{FF2B5EF4-FFF2-40B4-BE49-F238E27FC236}">
                <a16:creationId xmlns:a16="http://schemas.microsoft.com/office/drawing/2014/main" id="{00000000-0008-0000-0000-00000C040000}"/>
              </a:ext>
            </a:extLst>
          </xdr:cNvPr>
          <xdr:cNvSpPr>
            <a:spLocks noChangeArrowheads="1"/>
          </xdr:cNvSpPr>
        </xdr:nvSpPr>
        <xdr:spPr bwMode="auto">
          <a:xfrm>
            <a:off x="11725275" y="6767513"/>
            <a:ext cx="28575" cy="28575"/>
          </a:xfrm>
          <a:prstGeom prst="ellipse">
            <a:avLst/>
          </a:prstGeom>
          <a:grpFill/>
          <a:ln>
            <a:solidFill>
              <a:schemeClr val="accent6"/>
            </a:solidFill>
          </a:ln>
          <a:extLst>
            <a:ext uri="{91240B29-F687-4f45-9708-019B960494DF}">
              <a14:hiddenLine xmlns:r="http://schemas.openxmlformats.org/officeDocument/2006/relationships" xmlns:p="http://schemas.openxmlformats.org/presentationml/2006/main" xmlns:a14="http://schemas.microsoft.com/office/drawing/2010/main" xmlns="" xmlns:lc="http://schemas.openxmlformats.org/drawingml/2006/lockedCanva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037" name="Oval 1036">
            <a:extLst>
              <a:ext uri="{FF2B5EF4-FFF2-40B4-BE49-F238E27FC236}">
                <a16:creationId xmlns:a16="http://schemas.microsoft.com/office/drawing/2014/main" id="{00000000-0008-0000-0000-00000D040000}"/>
              </a:ext>
            </a:extLst>
          </xdr:cNvPr>
          <xdr:cNvSpPr>
            <a:spLocks noChangeArrowheads="1"/>
          </xdr:cNvSpPr>
        </xdr:nvSpPr>
        <xdr:spPr bwMode="auto">
          <a:xfrm>
            <a:off x="11725275" y="6834188"/>
            <a:ext cx="28575" cy="28575"/>
          </a:xfrm>
          <a:prstGeom prst="ellipse">
            <a:avLst/>
          </a:prstGeom>
          <a:grpFill/>
          <a:ln>
            <a:solidFill>
              <a:schemeClr val="accent6"/>
            </a:solidFill>
          </a:ln>
          <a:extLst>
            <a:ext uri="{91240B29-F687-4f45-9708-019B960494DF}">
              <a14:hiddenLine xmlns:r="http://schemas.openxmlformats.org/officeDocument/2006/relationships" xmlns:p="http://schemas.openxmlformats.org/presentationml/2006/main" xmlns:a14="http://schemas.microsoft.com/office/drawing/2010/main" xmlns="" xmlns:lc="http://schemas.openxmlformats.org/drawingml/2006/lockedCanva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grpSp>
    <xdr:clientData/>
  </xdr:twoCellAnchor>
  <xdr:twoCellAnchor>
    <xdr:from>
      <xdr:col>2</xdr:col>
      <xdr:colOff>440536</xdr:colOff>
      <xdr:row>118</xdr:row>
      <xdr:rowOff>95669</xdr:rowOff>
    </xdr:from>
    <xdr:to>
      <xdr:col>2</xdr:col>
      <xdr:colOff>768324</xdr:colOff>
      <xdr:row>120</xdr:row>
      <xdr:rowOff>110251</xdr:rowOff>
    </xdr:to>
    <xdr:grpSp>
      <xdr:nvGrpSpPr>
        <xdr:cNvPr id="1038" name="Group 1037">
          <a:hlinkClick xmlns:r="http://schemas.openxmlformats.org/officeDocument/2006/relationships" r:id="rId10"/>
          <a:extLst>
            <a:ext uri="{FF2B5EF4-FFF2-40B4-BE49-F238E27FC236}">
              <a16:creationId xmlns:a16="http://schemas.microsoft.com/office/drawing/2014/main" id="{00000000-0008-0000-0000-00000E040000}"/>
            </a:ext>
          </a:extLst>
        </xdr:cNvPr>
        <xdr:cNvGrpSpPr>
          <a:grpSpLocks noChangeAspect="1"/>
        </xdr:cNvGrpSpPr>
      </xdr:nvGrpSpPr>
      <xdr:grpSpPr>
        <a:xfrm>
          <a:off x="1678786" y="23499955"/>
          <a:ext cx="330963" cy="365192"/>
          <a:chOff x="11460163" y="6399213"/>
          <a:chExt cx="420687" cy="558800"/>
        </a:xfrm>
        <a:solidFill>
          <a:schemeClr val="accent6"/>
        </a:solidFill>
      </xdr:grpSpPr>
      <xdr:sp macro="" textlink="">
        <xdr:nvSpPr>
          <xdr:cNvPr id="1039" name="Freeform 574">
            <a:extLst>
              <a:ext uri="{FF2B5EF4-FFF2-40B4-BE49-F238E27FC236}">
                <a16:creationId xmlns:a16="http://schemas.microsoft.com/office/drawing/2014/main" id="{00000000-0008-0000-0000-00000F040000}"/>
              </a:ext>
            </a:extLst>
          </xdr:cNvPr>
          <xdr:cNvSpPr>
            <a:spLocks noEditPoints="1"/>
          </xdr:cNvSpPr>
        </xdr:nvSpPr>
        <xdr:spPr bwMode="auto">
          <a:xfrm>
            <a:off x="11460163" y="6399213"/>
            <a:ext cx="420687" cy="558800"/>
          </a:xfrm>
          <a:custGeom>
            <a:avLst/>
            <a:gdLst>
              <a:gd name="T0" fmla="*/ 158 w 177"/>
              <a:gd name="T1" fmla="*/ 0 h 235"/>
              <a:gd name="T2" fmla="*/ 19 w 177"/>
              <a:gd name="T3" fmla="*/ 0 h 235"/>
              <a:gd name="T4" fmla="*/ 0 w 177"/>
              <a:gd name="T5" fmla="*/ 19 h 235"/>
              <a:gd name="T6" fmla="*/ 0 w 177"/>
              <a:gd name="T7" fmla="*/ 216 h 235"/>
              <a:gd name="T8" fmla="*/ 19 w 177"/>
              <a:gd name="T9" fmla="*/ 235 h 235"/>
              <a:gd name="T10" fmla="*/ 158 w 177"/>
              <a:gd name="T11" fmla="*/ 235 h 235"/>
              <a:gd name="T12" fmla="*/ 177 w 177"/>
              <a:gd name="T13" fmla="*/ 216 h 235"/>
              <a:gd name="T14" fmla="*/ 177 w 177"/>
              <a:gd name="T15" fmla="*/ 19 h 235"/>
              <a:gd name="T16" fmla="*/ 158 w 177"/>
              <a:gd name="T17" fmla="*/ 0 h 235"/>
              <a:gd name="T18" fmla="*/ 168 w 177"/>
              <a:gd name="T19" fmla="*/ 216 h 235"/>
              <a:gd name="T20" fmla="*/ 158 w 177"/>
              <a:gd name="T21" fmla="*/ 225 h 235"/>
              <a:gd name="T22" fmla="*/ 19 w 177"/>
              <a:gd name="T23" fmla="*/ 225 h 235"/>
              <a:gd name="T24" fmla="*/ 9 w 177"/>
              <a:gd name="T25" fmla="*/ 216 h 235"/>
              <a:gd name="T26" fmla="*/ 9 w 177"/>
              <a:gd name="T27" fmla="*/ 19 h 235"/>
              <a:gd name="T28" fmla="*/ 19 w 177"/>
              <a:gd name="T29" fmla="*/ 9 h 235"/>
              <a:gd name="T30" fmla="*/ 158 w 177"/>
              <a:gd name="T31" fmla="*/ 9 h 235"/>
              <a:gd name="T32" fmla="*/ 168 w 177"/>
              <a:gd name="T33" fmla="*/ 19 h 235"/>
              <a:gd name="T34" fmla="*/ 168 w 177"/>
              <a:gd name="T35" fmla="*/ 216 h 2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177" h="235">
                <a:moveTo>
                  <a:pt x="158" y="0"/>
                </a:moveTo>
                <a:cubicBezTo>
                  <a:pt x="19" y="0"/>
                  <a:pt x="19" y="0"/>
                  <a:pt x="19" y="0"/>
                </a:cubicBezTo>
                <a:cubicBezTo>
                  <a:pt x="8" y="0"/>
                  <a:pt x="0" y="8"/>
                  <a:pt x="0" y="19"/>
                </a:cubicBezTo>
                <a:cubicBezTo>
                  <a:pt x="0" y="216"/>
                  <a:pt x="0" y="216"/>
                  <a:pt x="0" y="216"/>
                </a:cubicBezTo>
                <a:cubicBezTo>
                  <a:pt x="0" y="226"/>
                  <a:pt x="8" y="235"/>
                  <a:pt x="19" y="235"/>
                </a:cubicBezTo>
                <a:cubicBezTo>
                  <a:pt x="158" y="235"/>
                  <a:pt x="158" y="235"/>
                  <a:pt x="158" y="235"/>
                </a:cubicBezTo>
                <a:cubicBezTo>
                  <a:pt x="169" y="235"/>
                  <a:pt x="177" y="226"/>
                  <a:pt x="177" y="216"/>
                </a:cubicBezTo>
                <a:cubicBezTo>
                  <a:pt x="177" y="19"/>
                  <a:pt x="177" y="19"/>
                  <a:pt x="177" y="19"/>
                </a:cubicBezTo>
                <a:cubicBezTo>
                  <a:pt x="177" y="8"/>
                  <a:pt x="169" y="0"/>
                  <a:pt x="158" y="0"/>
                </a:cubicBezTo>
                <a:close/>
                <a:moveTo>
                  <a:pt x="168" y="216"/>
                </a:moveTo>
                <a:cubicBezTo>
                  <a:pt x="168" y="221"/>
                  <a:pt x="163" y="225"/>
                  <a:pt x="158" y="225"/>
                </a:cubicBezTo>
                <a:cubicBezTo>
                  <a:pt x="19" y="225"/>
                  <a:pt x="19" y="225"/>
                  <a:pt x="19" y="225"/>
                </a:cubicBezTo>
                <a:cubicBezTo>
                  <a:pt x="13" y="225"/>
                  <a:pt x="9" y="221"/>
                  <a:pt x="9" y="216"/>
                </a:cubicBezTo>
                <a:cubicBezTo>
                  <a:pt x="9" y="19"/>
                  <a:pt x="9" y="19"/>
                  <a:pt x="9" y="19"/>
                </a:cubicBezTo>
                <a:cubicBezTo>
                  <a:pt x="9" y="13"/>
                  <a:pt x="13" y="9"/>
                  <a:pt x="19" y="9"/>
                </a:cubicBezTo>
                <a:cubicBezTo>
                  <a:pt x="158" y="9"/>
                  <a:pt x="158" y="9"/>
                  <a:pt x="158" y="9"/>
                </a:cubicBezTo>
                <a:cubicBezTo>
                  <a:pt x="163" y="9"/>
                  <a:pt x="168" y="13"/>
                  <a:pt x="168" y="19"/>
                </a:cubicBezTo>
                <a:lnTo>
                  <a:pt x="168" y="216"/>
                </a:lnTo>
                <a:close/>
              </a:path>
            </a:pathLst>
          </a:custGeom>
          <a:grpFill/>
          <a:ln>
            <a:solidFill>
              <a:schemeClr val="accent6"/>
            </a:solidFill>
          </a:ln>
          <a:extLst>
            <a:ext uri="{91240B29-F687-4f45-9708-019B960494DF}">
              <a14:hiddenLine xmlns:r="http://schemas.openxmlformats.org/officeDocument/2006/relationships" xmlns:p="http://schemas.openxmlformats.org/presentationml/2006/main" xmlns:a14="http://schemas.microsoft.com/office/drawing/2010/main" xmlns="" xmlns:lc="http://schemas.openxmlformats.org/drawingml/2006/lockedCanva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040" name="Freeform 575">
            <a:extLst>
              <a:ext uri="{FF2B5EF4-FFF2-40B4-BE49-F238E27FC236}">
                <a16:creationId xmlns:a16="http://schemas.microsoft.com/office/drawing/2014/main" id="{00000000-0008-0000-0000-000010040000}"/>
              </a:ext>
            </a:extLst>
          </xdr:cNvPr>
          <xdr:cNvSpPr>
            <a:spLocks noEditPoints="1"/>
          </xdr:cNvSpPr>
        </xdr:nvSpPr>
        <xdr:spPr bwMode="auto">
          <a:xfrm>
            <a:off x="11539538" y="6486525"/>
            <a:ext cx="265112" cy="80963"/>
          </a:xfrm>
          <a:custGeom>
            <a:avLst/>
            <a:gdLst>
              <a:gd name="T0" fmla="*/ 104 w 112"/>
              <a:gd name="T1" fmla="*/ 0 h 34"/>
              <a:gd name="T2" fmla="*/ 7 w 112"/>
              <a:gd name="T3" fmla="*/ 0 h 34"/>
              <a:gd name="T4" fmla="*/ 0 w 112"/>
              <a:gd name="T5" fmla="*/ 7 h 34"/>
              <a:gd name="T6" fmla="*/ 0 w 112"/>
              <a:gd name="T7" fmla="*/ 27 h 34"/>
              <a:gd name="T8" fmla="*/ 7 w 112"/>
              <a:gd name="T9" fmla="*/ 34 h 34"/>
              <a:gd name="T10" fmla="*/ 104 w 112"/>
              <a:gd name="T11" fmla="*/ 34 h 34"/>
              <a:gd name="T12" fmla="*/ 112 w 112"/>
              <a:gd name="T13" fmla="*/ 27 h 34"/>
              <a:gd name="T14" fmla="*/ 112 w 112"/>
              <a:gd name="T15" fmla="*/ 7 h 34"/>
              <a:gd name="T16" fmla="*/ 104 w 112"/>
              <a:gd name="T17" fmla="*/ 0 h 34"/>
              <a:gd name="T18" fmla="*/ 102 w 112"/>
              <a:gd name="T19" fmla="*/ 25 h 34"/>
              <a:gd name="T20" fmla="*/ 9 w 112"/>
              <a:gd name="T21" fmla="*/ 25 h 34"/>
              <a:gd name="T22" fmla="*/ 9 w 112"/>
              <a:gd name="T23" fmla="*/ 9 h 34"/>
              <a:gd name="T24" fmla="*/ 102 w 112"/>
              <a:gd name="T25" fmla="*/ 9 h 34"/>
              <a:gd name="T26" fmla="*/ 102 w 112"/>
              <a:gd name="T27" fmla="*/ 25 h 3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112" h="34">
                <a:moveTo>
                  <a:pt x="104" y="0"/>
                </a:moveTo>
                <a:cubicBezTo>
                  <a:pt x="7" y="0"/>
                  <a:pt x="7" y="0"/>
                  <a:pt x="7" y="0"/>
                </a:cubicBezTo>
                <a:cubicBezTo>
                  <a:pt x="3" y="0"/>
                  <a:pt x="0" y="3"/>
                  <a:pt x="0" y="7"/>
                </a:cubicBezTo>
                <a:cubicBezTo>
                  <a:pt x="0" y="27"/>
                  <a:pt x="0" y="27"/>
                  <a:pt x="0" y="27"/>
                </a:cubicBezTo>
                <a:cubicBezTo>
                  <a:pt x="0" y="31"/>
                  <a:pt x="3" y="34"/>
                  <a:pt x="7" y="34"/>
                </a:cubicBezTo>
                <a:cubicBezTo>
                  <a:pt x="104" y="34"/>
                  <a:pt x="104" y="34"/>
                  <a:pt x="104" y="34"/>
                </a:cubicBezTo>
                <a:cubicBezTo>
                  <a:pt x="108" y="34"/>
                  <a:pt x="112" y="31"/>
                  <a:pt x="112" y="27"/>
                </a:cubicBezTo>
                <a:cubicBezTo>
                  <a:pt x="112" y="7"/>
                  <a:pt x="112" y="7"/>
                  <a:pt x="112" y="7"/>
                </a:cubicBezTo>
                <a:cubicBezTo>
                  <a:pt x="112" y="3"/>
                  <a:pt x="108" y="0"/>
                  <a:pt x="104" y="0"/>
                </a:cubicBezTo>
                <a:close/>
                <a:moveTo>
                  <a:pt x="102" y="25"/>
                </a:moveTo>
                <a:cubicBezTo>
                  <a:pt x="9" y="25"/>
                  <a:pt x="9" y="25"/>
                  <a:pt x="9" y="25"/>
                </a:cubicBezTo>
                <a:cubicBezTo>
                  <a:pt x="9" y="9"/>
                  <a:pt x="9" y="9"/>
                  <a:pt x="9" y="9"/>
                </a:cubicBezTo>
                <a:cubicBezTo>
                  <a:pt x="102" y="9"/>
                  <a:pt x="102" y="9"/>
                  <a:pt x="102" y="9"/>
                </a:cubicBezTo>
                <a:lnTo>
                  <a:pt x="102" y="25"/>
                </a:lnTo>
                <a:close/>
              </a:path>
            </a:pathLst>
          </a:custGeom>
          <a:grpFill/>
          <a:ln>
            <a:solidFill>
              <a:schemeClr val="accent6"/>
            </a:solidFill>
          </a:ln>
          <a:extLst>
            <a:ext uri="{91240B29-F687-4f45-9708-019B960494DF}">
              <a14:hiddenLine xmlns:r="http://schemas.openxmlformats.org/officeDocument/2006/relationships" xmlns:p="http://schemas.openxmlformats.org/presentationml/2006/main" xmlns:a14="http://schemas.microsoft.com/office/drawing/2010/main" xmlns="" xmlns:lc="http://schemas.openxmlformats.org/drawingml/2006/lockedCanva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041" name="Freeform 576">
            <a:extLst>
              <a:ext uri="{FF2B5EF4-FFF2-40B4-BE49-F238E27FC236}">
                <a16:creationId xmlns:a16="http://schemas.microsoft.com/office/drawing/2014/main" id="{00000000-0008-0000-0000-000011040000}"/>
              </a:ext>
            </a:extLst>
          </xdr:cNvPr>
          <xdr:cNvSpPr>
            <a:spLocks/>
          </xdr:cNvSpPr>
        </xdr:nvSpPr>
        <xdr:spPr bwMode="auto">
          <a:xfrm>
            <a:off x="11550650" y="6624638"/>
            <a:ext cx="107950" cy="104775"/>
          </a:xfrm>
          <a:custGeom>
            <a:avLst/>
            <a:gdLst>
              <a:gd name="T0" fmla="*/ 40 w 45"/>
              <a:gd name="T1" fmla="*/ 17 h 44"/>
              <a:gd name="T2" fmla="*/ 28 w 45"/>
              <a:gd name="T3" fmla="*/ 17 h 44"/>
              <a:gd name="T4" fmla="*/ 28 w 45"/>
              <a:gd name="T5" fmla="*/ 4 h 44"/>
              <a:gd name="T6" fmla="*/ 26 w 45"/>
              <a:gd name="T7" fmla="*/ 2 h 44"/>
              <a:gd name="T8" fmla="*/ 22 w 45"/>
              <a:gd name="T9" fmla="*/ 0 h 44"/>
              <a:gd name="T10" fmla="*/ 19 w 45"/>
              <a:gd name="T11" fmla="*/ 2 h 44"/>
              <a:gd name="T12" fmla="*/ 18 w 45"/>
              <a:gd name="T13" fmla="*/ 4 h 44"/>
              <a:gd name="T14" fmla="*/ 18 w 45"/>
              <a:gd name="T15" fmla="*/ 17 h 44"/>
              <a:gd name="T16" fmla="*/ 4 w 45"/>
              <a:gd name="T17" fmla="*/ 17 h 44"/>
              <a:gd name="T18" fmla="*/ 1 w 45"/>
              <a:gd name="T19" fmla="*/ 19 h 44"/>
              <a:gd name="T20" fmla="*/ 0 w 45"/>
              <a:gd name="T21" fmla="*/ 22 h 44"/>
              <a:gd name="T22" fmla="*/ 1 w 45"/>
              <a:gd name="T23" fmla="*/ 26 h 44"/>
              <a:gd name="T24" fmla="*/ 4 w 45"/>
              <a:gd name="T25" fmla="*/ 27 h 44"/>
              <a:gd name="T26" fmla="*/ 18 w 45"/>
              <a:gd name="T27" fmla="*/ 27 h 44"/>
              <a:gd name="T28" fmla="*/ 18 w 45"/>
              <a:gd name="T29" fmla="*/ 39 h 44"/>
              <a:gd name="T30" fmla="*/ 19 w 45"/>
              <a:gd name="T31" fmla="*/ 43 h 44"/>
              <a:gd name="T32" fmla="*/ 22 w 45"/>
              <a:gd name="T33" fmla="*/ 44 h 44"/>
              <a:gd name="T34" fmla="*/ 26 w 45"/>
              <a:gd name="T35" fmla="*/ 43 h 44"/>
              <a:gd name="T36" fmla="*/ 28 w 45"/>
              <a:gd name="T37" fmla="*/ 39 h 44"/>
              <a:gd name="T38" fmla="*/ 28 w 45"/>
              <a:gd name="T39" fmla="*/ 27 h 44"/>
              <a:gd name="T40" fmla="*/ 40 w 45"/>
              <a:gd name="T41" fmla="*/ 27 h 44"/>
              <a:gd name="T42" fmla="*/ 44 w 45"/>
              <a:gd name="T43" fmla="*/ 26 h 44"/>
              <a:gd name="T44" fmla="*/ 45 w 45"/>
              <a:gd name="T45" fmla="*/ 22 h 44"/>
              <a:gd name="T46" fmla="*/ 44 w 45"/>
              <a:gd name="T47" fmla="*/ 19 h 44"/>
              <a:gd name="T48" fmla="*/ 40 w 45"/>
              <a:gd name="T49" fmla="*/ 17 h 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45" h="44">
                <a:moveTo>
                  <a:pt x="40" y="17"/>
                </a:moveTo>
                <a:cubicBezTo>
                  <a:pt x="28" y="17"/>
                  <a:pt x="28" y="17"/>
                  <a:pt x="28" y="17"/>
                </a:cubicBezTo>
                <a:cubicBezTo>
                  <a:pt x="28" y="4"/>
                  <a:pt x="28" y="4"/>
                  <a:pt x="28" y="4"/>
                </a:cubicBezTo>
                <a:cubicBezTo>
                  <a:pt x="28" y="3"/>
                  <a:pt x="27" y="2"/>
                  <a:pt x="26" y="2"/>
                </a:cubicBezTo>
                <a:cubicBezTo>
                  <a:pt x="25" y="1"/>
                  <a:pt x="24" y="0"/>
                  <a:pt x="22" y="0"/>
                </a:cubicBezTo>
                <a:cubicBezTo>
                  <a:pt x="21" y="0"/>
                  <a:pt x="20" y="1"/>
                  <a:pt x="19" y="2"/>
                </a:cubicBezTo>
                <a:cubicBezTo>
                  <a:pt x="18" y="2"/>
                  <a:pt x="18" y="3"/>
                  <a:pt x="18" y="4"/>
                </a:cubicBezTo>
                <a:cubicBezTo>
                  <a:pt x="18" y="17"/>
                  <a:pt x="18" y="17"/>
                  <a:pt x="18" y="17"/>
                </a:cubicBezTo>
                <a:cubicBezTo>
                  <a:pt x="4" y="17"/>
                  <a:pt x="4" y="17"/>
                  <a:pt x="4" y="17"/>
                </a:cubicBezTo>
                <a:cubicBezTo>
                  <a:pt x="3" y="17"/>
                  <a:pt x="2" y="18"/>
                  <a:pt x="1" y="19"/>
                </a:cubicBezTo>
                <a:cubicBezTo>
                  <a:pt x="0" y="19"/>
                  <a:pt x="0" y="21"/>
                  <a:pt x="0" y="22"/>
                </a:cubicBezTo>
                <a:cubicBezTo>
                  <a:pt x="0" y="24"/>
                  <a:pt x="0" y="25"/>
                  <a:pt x="1" y="26"/>
                </a:cubicBezTo>
                <a:cubicBezTo>
                  <a:pt x="2" y="26"/>
                  <a:pt x="3" y="27"/>
                  <a:pt x="4" y="27"/>
                </a:cubicBezTo>
                <a:cubicBezTo>
                  <a:pt x="18" y="27"/>
                  <a:pt x="18" y="27"/>
                  <a:pt x="18" y="27"/>
                </a:cubicBezTo>
                <a:cubicBezTo>
                  <a:pt x="18" y="39"/>
                  <a:pt x="18" y="39"/>
                  <a:pt x="18" y="39"/>
                </a:cubicBezTo>
                <a:cubicBezTo>
                  <a:pt x="18" y="40"/>
                  <a:pt x="18" y="42"/>
                  <a:pt x="19" y="43"/>
                </a:cubicBezTo>
                <a:cubicBezTo>
                  <a:pt x="20" y="43"/>
                  <a:pt x="21" y="44"/>
                  <a:pt x="22" y="44"/>
                </a:cubicBezTo>
                <a:cubicBezTo>
                  <a:pt x="24" y="44"/>
                  <a:pt x="25" y="43"/>
                  <a:pt x="26" y="43"/>
                </a:cubicBezTo>
                <a:cubicBezTo>
                  <a:pt x="27" y="42"/>
                  <a:pt x="28" y="40"/>
                  <a:pt x="28" y="39"/>
                </a:cubicBezTo>
                <a:cubicBezTo>
                  <a:pt x="28" y="27"/>
                  <a:pt x="28" y="27"/>
                  <a:pt x="28" y="27"/>
                </a:cubicBezTo>
                <a:cubicBezTo>
                  <a:pt x="40" y="27"/>
                  <a:pt x="40" y="27"/>
                  <a:pt x="40" y="27"/>
                </a:cubicBezTo>
                <a:cubicBezTo>
                  <a:pt x="42" y="27"/>
                  <a:pt x="43" y="26"/>
                  <a:pt x="44" y="26"/>
                </a:cubicBezTo>
                <a:cubicBezTo>
                  <a:pt x="45" y="25"/>
                  <a:pt x="45" y="24"/>
                  <a:pt x="45" y="22"/>
                </a:cubicBezTo>
                <a:cubicBezTo>
                  <a:pt x="45" y="21"/>
                  <a:pt x="45" y="19"/>
                  <a:pt x="44" y="19"/>
                </a:cubicBezTo>
                <a:cubicBezTo>
                  <a:pt x="43" y="18"/>
                  <a:pt x="42" y="17"/>
                  <a:pt x="40" y="17"/>
                </a:cubicBezTo>
                <a:close/>
              </a:path>
            </a:pathLst>
          </a:custGeom>
          <a:grpFill/>
          <a:ln>
            <a:solidFill>
              <a:schemeClr val="accent6"/>
            </a:solidFill>
          </a:ln>
          <a:extLst>
            <a:ext uri="{91240B29-F687-4f45-9708-019B960494DF}">
              <a14:hiddenLine xmlns:r="http://schemas.openxmlformats.org/officeDocument/2006/relationships" xmlns:p="http://schemas.openxmlformats.org/presentationml/2006/main" xmlns:a14="http://schemas.microsoft.com/office/drawing/2010/main" xmlns="" xmlns:lc="http://schemas.openxmlformats.org/drawingml/2006/lockedCanva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042" name="Freeform 577">
            <a:extLst>
              <a:ext uri="{FF2B5EF4-FFF2-40B4-BE49-F238E27FC236}">
                <a16:creationId xmlns:a16="http://schemas.microsoft.com/office/drawing/2014/main" id="{00000000-0008-0000-0000-000012040000}"/>
              </a:ext>
            </a:extLst>
          </xdr:cNvPr>
          <xdr:cNvSpPr>
            <a:spLocks/>
          </xdr:cNvSpPr>
        </xdr:nvSpPr>
        <xdr:spPr bwMode="auto">
          <a:xfrm>
            <a:off x="11684000" y="6665913"/>
            <a:ext cx="109537" cy="23813"/>
          </a:xfrm>
          <a:custGeom>
            <a:avLst/>
            <a:gdLst>
              <a:gd name="T0" fmla="*/ 41 w 46"/>
              <a:gd name="T1" fmla="*/ 0 h 10"/>
              <a:gd name="T2" fmla="*/ 5 w 46"/>
              <a:gd name="T3" fmla="*/ 0 h 10"/>
              <a:gd name="T4" fmla="*/ 2 w 46"/>
              <a:gd name="T5" fmla="*/ 2 h 10"/>
              <a:gd name="T6" fmla="*/ 0 w 46"/>
              <a:gd name="T7" fmla="*/ 5 h 10"/>
              <a:gd name="T8" fmla="*/ 2 w 46"/>
              <a:gd name="T9" fmla="*/ 9 h 10"/>
              <a:gd name="T10" fmla="*/ 5 w 46"/>
              <a:gd name="T11" fmla="*/ 10 h 10"/>
              <a:gd name="T12" fmla="*/ 41 w 46"/>
              <a:gd name="T13" fmla="*/ 10 h 10"/>
              <a:gd name="T14" fmla="*/ 45 w 46"/>
              <a:gd name="T15" fmla="*/ 9 h 10"/>
              <a:gd name="T16" fmla="*/ 46 w 46"/>
              <a:gd name="T17" fmla="*/ 5 h 10"/>
              <a:gd name="T18" fmla="*/ 45 w 46"/>
              <a:gd name="T19" fmla="*/ 2 h 10"/>
              <a:gd name="T20" fmla="*/ 41 w 46"/>
              <a:gd name="T21" fmla="*/ 0 h 1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46" h="10">
                <a:moveTo>
                  <a:pt x="41" y="0"/>
                </a:moveTo>
                <a:cubicBezTo>
                  <a:pt x="5" y="0"/>
                  <a:pt x="5" y="0"/>
                  <a:pt x="5" y="0"/>
                </a:cubicBezTo>
                <a:cubicBezTo>
                  <a:pt x="3" y="0"/>
                  <a:pt x="2" y="1"/>
                  <a:pt x="2" y="2"/>
                </a:cubicBezTo>
                <a:cubicBezTo>
                  <a:pt x="1" y="2"/>
                  <a:pt x="0" y="4"/>
                  <a:pt x="0" y="5"/>
                </a:cubicBezTo>
                <a:cubicBezTo>
                  <a:pt x="0" y="7"/>
                  <a:pt x="1" y="8"/>
                  <a:pt x="2" y="9"/>
                </a:cubicBezTo>
                <a:cubicBezTo>
                  <a:pt x="2" y="9"/>
                  <a:pt x="3" y="10"/>
                  <a:pt x="5" y="10"/>
                </a:cubicBezTo>
                <a:cubicBezTo>
                  <a:pt x="41" y="10"/>
                  <a:pt x="41" y="10"/>
                  <a:pt x="41" y="10"/>
                </a:cubicBezTo>
                <a:cubicBezTo>
                  <a:pt x="42" y="10"/>
                  <a:pt x="44" y="9"/>
                  <a:pt x="45" y="9"/>
                </a:cubicBezTo>
                <a:cubicBezTo>
                  <a:pt x="46" y="8"/>
                  <a:pt x="46" y="7"/>
                  <a:pt x="46" y="5"/>
                </a:cubicBezTo>
                <a:cubicBezTo>
                  <a:pt x="46" y="4"/>
                  <a:pt x="46" y="2"/>
                  <a:pt x="45" y="2"/>
                </a:cubicBezTo>
                <a:cubicBezTo>
                  <a:pt x="44" y="1"/>
                  <a:pt x="42" y="0"/>
                  <a:pt x="41" y="0"/>
                </a:cubicBezTo>
                <a:close/>
              </a:path>
            </a:pathLst>
          </a:custGeom>
          <a:grpFill/>
          <a:ln>
            <a:solidFill>
              <a:schemeClr val="accent6"/>
            </a:solidFill>
          </a:ln>
          <a:extLst>
            <a:ext uri="{91240B29-F687-4f45-9708-019B960494DF}">
              <a14:hiddenLine xmlns:r="http://schemas.openxmlformats.org/officeDocument/2006/relationships" xmlns:p="http://schemas.openxmlformats.org/presentationml/2006/main" xmlns:a14="http://schemas.microsoft.com/office/drawing/2010/main" xmlns="" xmlns:lc="http://schemas.openxmlformats.org/drawingml/2006/lockedCanva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043" name="Freeform 578">
            <a:extLst>
              <a:ext uri="{FF2B5EF4-FFF2-40B4-BE49-F238E27FC236}">
                <a16:creationId xmlns:a16="http://schemas.microsoft.com/office/drawing/2014/main" id="{00000000-0008-0000-0000-000013040000}"/>
              </a:ext>
            </a:extLst>
          </xdr:cNvPr>
          <xdr:cNvSpPr>
            <a:spLocks/>
          </xdr:cNvSpPr>
        </xdr:nvSpPr>
        <xdr:spPr bwMode="auto">
          <a:xfrm>
            <a:off x="11563350" y="6777038"/>
            <a:ext cx="85725" cy="84138"/>
          </a:xfrm>
          <a:custGeom>
            <a:avLst/>
            <a:gdLst>
              <a:gd name="T0" fmla="*/ 36 w 36"/>
              <a:gd name="T1" fmla="*/ 5 h 35"/>
              <a:gd name="T2" fmla="*/ 34 w 36"/>
              <a:gd name="T3" fmla="*/ 1 h 35"/>
              <a:gd name="T4" fmla="*/ 31 w 36"/>
              <a:gd name="T5" fmla="*/ 0 h 35"/>
              <a:gd name="T6" fmla="*/ 27 w 36"/>
              <a:gd name="T7" fmla="*/ 2 h 35"/>
              <a:gd name="T8" fmla="*/ 18 w 36"/>
              <a:gd name="T9" fmla="*/ 11 h 35"/>
              <a:gd name="T10" fmla="*/ 9 w 36"/>
              <a:gd name="T11" fmla="*/ 2 h 35"/>
              <a:gd name="T12" fmla="*/ 6 w 36"/>
              <a:gd name="T13" fmla="*/ 1 h 35"/>
              <a:gd name="T14" fmla="*/ 3 w 36"/>
              <a:gd name="T15" fmla="*/ 2 h 35"/>
              <a:gd name="T16" fmla="*/ 1 w 36"/>
              <a:gd name="T17" fmla="*/ 6 h 35"/>
              <a:gd name="T18" fmla="*/ 2 w 36"/>
              <a:gd name="T19" fmla="*/ 9 h 35"/>
              <a:gd name="T20" fmla="*/ 11 w 36"/>
              <a:gd name="T21" fmla="*/ 18 h 35"/>
              <a:gd name="T22" fmla="*/ 2 w 36"/>
              <a:gd name="T23" fmla="*/ 27 h 35"/>
              <a:gd name="T24" fmla="*/ 0 w 36"/>
              <a:gd name="T25" fmla="*/ 30 h 35"/>
              <a:gd name="T26" fmla="*/ 2 w 36"/>
              <a:gd name="T27" fmla="*/ 34 h 35"/>
              <a:gd name="T28" fmla="*/ 5 w 36"/>
              <a:gd name="T29" fmla="*/ 35 h 35"/>
              <a:gd name="T30" fmla="*/ 8 w 36"/>
              <a:gd name="T31" fmla="*/ 34 h 35"/>
              <a:gd name="T32" fmla="*/ 18 w 36"/>
              <a:gd name="T33" fmla="*/ 24 h 35"/>
              <a:gd name="T34" fmla="*/ 26 w 36"/>
              <a:gd name="T35" fmla="*/ 33 h 35"/>
              <a:gd name="T36" fmla="*/ 30 w 36"/>
              <a:gd name="T37" fmla="*/ 35 h 35"/>
              <a:gd name="T38" fmla="*/ 33 w 36"/>
              <a:gd name="T39" fmla="*/ 33 h 35"/>
              <a:gd name="T40" fmla="*/ 35 w 36"/>
              <a:gd name="T41" fmla="*/ 29 h 35"/>
              <a:gd name="T42" fmla="*/ 34 w 36"/>
              <a:gd name="T43" fmla="*/ 26 h 35"/>
              <a:gd name="T44" fmla="*/ 25 w 36"/>
              <a:gd name="T45" fmla="*/ 17 h 35"/>
              <a:gd name="T46" fmla="*/ 34 w 36"/>
              <a:gd name="T47" fmla="*/ 8 h 35"/>
              <a:gd name="T48" fmla="*/ 36 w 36"/>
              <a:gd name="T49" fmla="*/ 5 h 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36" h="35">
                <a:moveTo>
                  <a:pt x="36" y="5"/>
                </a:moveTo>
                <a:cubicBezTo>
                  <a:pt x="36" y="4"/>
                  <a:pt x="35" y="2"/>
                  <a:pt x="34" y="1"/>
                </a:cubicBezTo>
                <a:cubicBezTo>
                  <a:pt x="33" y="0"/>
                  <a:pt x="32" y="0"/>
                  <a:pt x="31" y="0"/>
                </a:cubicBezTo>
                <a:cubicBezTo>
                  <a:pt x="30" y="0"/>
                  <a:pt x="28" y="1"/>
                  <a:pt x="27" y="2"/>
                </a:cubicBezTo>
                <a:cubicBezTo>
                  <a:pt x="18" y="11"/>
                  <a:pt x="18" y="11"/>
                  <a:pt x="18" y="11"/>
                </a:cubicBezTo>
                <a:cubicBezTo>
                  <a:pt x="9" y="2"/>
                  <a:pt x="9" y="2"/>
                  <a:pt x="9" y="2"/>
                </a:cubicBezTo>
                <a:cubicBezTo>
                  <a:pt x="8" y="1"/>
                  <a:pt x="7" y="0"/>
                  <a:pt x="6" y="1"/>
                </a:cubicBezTo>
                <a:cubicBezTo>
                  <a:pt x="5" y="1"/>
                  <a:pt x="4" y="1"/>
                  <a:pt x="3" y="2"/>
                </a:cubicBezTo>
                <a:cubicBezTo>
                  <a:pt x="2" y="3"/>
                  <a:pt x="1" y="5"/>
                  <a:pt x="1" y="6"/>
                </a:cubicBezTo>
                <a:cubicBezTo>
                  <a:pt x="1" y="7"/>
                  <a:pt x="1" y="8"/>
                  <a:pt x="2" y="9"/>
                </a:cubicBezTo>
                <a:cubicBezTo>
                  <a:pt x="11" y="18"/>
                  <a:pt x="11" y="18"/>
                  <a:pt x="11" y="18"/>
                </a:cubicBezTo>
                <a:cubicBezTo>
                  <a:pt x="2" y="27"/>
                  <a:pt x="2" y="27"/>
                  <a:pt x="2" y="27"/>
                </a:cubicBezTo>
                <a:cubicBezTo>
                  <a:pt x="1" y="28"/>
                  <a:pt x="0" y="29"/>
                  <a:pt x="0" y="30"/>
                </a:cubicBezTo>
                <a:cubicBezTo>
                  <a:pt x="0" y="32"/>
                  <a:pt x="1" y="33"/>
                  <a:pt x="2" y="34"/>
                </a:cubicBezTo>
                <a:cubicBezTo>
                  <a:pt x="3" y="35"/>
                  <a:pt x="4" y="35"/>
                  <a:pt x="5" y="35"/>
                </a:cubicBezTo>
                <a:cubicBezTo>
                  <a:pt x="7" y="35"/>
                  <a:pt x="8" y="35"/>
                  <a:pt x="8" y="34"/>
                </a:cubicBezTo>
                <a:cubicBezTo>
                  <a:pt x="18" y="24"/>
                  <a:pt x="18" y="24"/>
                  <a:pt x="18" y="24"/>
                </a:cubicBezTo>
                <a:cubicBezTo>
                  <a:pt x="26" y="33"/>
                  <a:pt x="26" y="33"/>
                  <a:pt x="26" y="33"/>
                </a:cubicBezTo>
                <a:cubicBezTo>
                  <a:pt x="28" y="34"/>
                  <a:pt x="29" y="35"/>
                  <a:pt x="30" y="35"/>
                </a:cubicBezTo>
                <a:cubicBezTo>
                  <a:pt x="31" y="35"/>
                  <a:pt x="32" y="34"/>
                  <a:pt x="33" y="33"/>
                </a:cubicBezTo>
                <a:cubicBezTo>
                  <a:pt x="35" y="32"/>
                  <a:pt x="35" y="31"/>
                  <a:pt x="35" y="29"/>
                </a:cubicBezTo>
                <a:cubicBezTo>
                  <a:pt x="35" y="28"/>
                  <a:pt x="35" y="27"/>
                  <a:pt x="34" y="26"/>
                </a:cubicBezTo>
                <a:cubicBezTo>
                  <a:pt x="25" y="17"/>
                  <a:pt x="25" y="17"/>
                  <a:pt x="25" y="17"/>
                </a:cubicBezTo>
                <a:cubicBezTo>
                  <a:pt x="34" y="8"/>
                  <a:pt x="34" y="8"/>
                  <a:pt x="34" y="8"/>
                </a:cubicBezTo>
                <a:cubicBezTo>
                  <a:pt x="35" y="7"/>
                  <a:pt x="36" y="6"/>
                  <a:pt x="36" y="5"/>
                </a:cubicBezTo>
                <a:close/>
              </a:path>
            </a:pathLst>
          </a:custGeom>
          <a:grpFill/>
          <a:ln>
            <a:solidFill>
              <a:schemeClr val="accent6"/>
            </a:solidFill>
          </a:ln>
          <a:extLst>
            <a:ext uri="{91240B29-F687-4f45-9708-019B960494DF}">
              <a14:hiddenLine xmlns:r="http://schemas.openxmlformats.org/officeDocument/2006/relationships" xmlns:p="http://schemas.openxmlformats.org/presentationml/2006/main" xmlns:a14="http://schemas.microsoft.com/office/drawing/2010/main" xmlns="" xmlns:lc="http://schemas.openxmlformats.org/drawingml/2006/lockedCanva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044" name="Freeform 579">
            <a:extLst>
              <a:ext uri="{FF2B5EF4-FFF2-40B4-BE49-F238E27FC236}">
                <a16:creationId xmlns:a16="http://schemas.microsoft.com/office/drawing/2014/main" id="{00000000-0008-0000-0000-000014040000}"/>
              </a:ext>
            </a:extLst>
          </xdr:cNvPr>
          <xdr:cNvSpPr>
            <a:spLocks/>
          </xdr:cNvSpPr>
        </xdr:nvSpPr>
        <xdr:spPr bwMode="auto">
          <a:xfrm>
            <a:off x="11693525" y="6804025"/>
            <a:ext cx="90487" cy="23813"/>
          </a:xfrm>
          <a:custGeom>
            <a:avLst/>
            <a:gdLst>
              <a:gd name="T0" fmla="*/ 33 w 38"/>
              <a:gd name="T1" fmla="*/ 0 h 10"/>
              <a:gd name="T2" fmla="*/ 4 w 38"/>
              <a:gd name="T3" fmla="*/ 0 h 10"/>
              <a:gd name="T4" fmla="*/ 1 w 38"/>
              <a:gd name="T5" fmla="*/ 2 h 10"/>
              <a:gd name="T6" fmla="*/ 0 w 38"/>
              <a:gd name="T7" fmla="*/ 5 h 10"/>
              <a:gd name="T8" fmla="*/ 1 w 38"/>
              <a:gd name="T9" fmla="*/ 9 h 10"/>
              <a:gd name="T10" fmla="*/ 4 w 38"/>
              <a:gd name="T11" fmla="*/ 10 h 10"/>
              <a:gd name="T12" fmla="*/ 33 w 38"/>
              <a:gd name="T13" fmla="*/ 10 h 10"/>
              <a:gd name="T14" fmla="*/ 37 w 38"/>
              <a:gd name="T15" fmla="*/ 9 h 10"/>
              <a:gd name="T16" fmla="*/ 38 w 38"/>
              <a:gd name="T17" fmla="*/ 5 h 10"/>
              <a:gd name="T18" fmla="*/ 37 w 38"/>
              <a:gd name="T19" fmla="*/ 2 h 10"/>
              <a:gd name="T20" fmla="*/ 33 w 38"/>
              <a:gd name="T21" fmla="*/ 0 h 1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8" h="10">
                <a:moveTo>
                  <a:pt x="33" y="0"/>
                </a:moveTo>
                <a:cubicBezTo>
                  <a:pt x="4" y="0"/>
                  <a:pt x="4" y="0"/>
                  <a:pt x="4" y="0"/>
                </a:cubicBezTo>
                <a:cubicBezTo>
                  <a:pt x="3" y="0"/>
                  <a:pt x="2" y="1"/>
                  <a:pt x="1" y="2"/>
                </a:cubicBezTo>
                <a:cubicBezTo>
                  <a:pt x="0" y="3"/>
                  <a:pt x="0" y="4"/>
                  <a:pt x="0" y="5"/>
                </a:cubicBezTo>
                <a:cubicBezTo>
                  <a:pt x="0" y="7"/>
                  <a:pt x="0" y="8"/>
                  <a:pt x="1" y="9"/>
                </a:cubicBezTo>
                <a:cubicBezTo>
                  <a:pt x="2" y="10"/>
                  <a:pt x="3" y="10"/>
                  <a:pt x="4" y="10"/>
                </a:cubicBezTo>
                <a:cubicBezTo>
                  <a:pt x="33" y="10"/>
                  <a:pt x="33" y="10"/>
                  <a:pt x="33" y="10"/>
                </a:cubicBezTo>
                <a:cubicBezTo>
                  <a:pt x="35" y="10"/>
                  <a:pt x="36" y="10"/>
                  <a:pt x="37" y="9"/>
                </a:cubicBezTo>
                <a:cubicBezTo>
                  <a:pt x="38" y="8"/>
                  <a:pt x="38" y="7"/>
                  <a:pt x="38" y="5"/>
                </a:cubicBezTo>
                <a:cubicBezTo>
                  <a:pt x="38" y="4"/>
                  <a:pt x="38" y="3"/>
                  <a:pt x="37" y="2"/>
                </a:cubicBezTo>
                <a:cubicBezTo>
                  <a:pt x="36" y="1"/>
                  <a:pt x="35" y="0"/>
                  <a:pt x="33" y="0"/>
                </a:cubicBezTo>
                <a:close/>
              </a:path>
            </a:pathLst>
          </a:custGeom>
          <a:grpFill/>
          <a:ln>
            <a:solidFill>
              <a:schemeClr val="accent6"/>
            </a:solidFill>
          </a:ln>
          <a:extLst>
            <a:ext uri="{91240B29-F687-4f45-9708-019B960494DF}">
              <a14:hiddenLine xmlns:r="http://schemas.openxmlformats.org/officeDocument/2006/relationships" xmlns:p="http://schemas.openxmlformats.org/presentationml/2006/main" xmlns:a14="http://schemas.microsoft.com/office/drawing/2010/main" xmlns="" xmlns:lc="http://schemas.openxmlformats.org/drawingml/2006/lockedCanva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045" name="Oval 1044">
            <a:extLst>
              <a:ext uri="{FF2B5EF4-FFF2-40B4-BE49-F238E27FC236}">
                <a16:creationId xmlns:a16="http://schemas.microsoft.com/office/drawing/2014/main" id="{00000000-0008-0000-0000-000015040000}"/>
              </a:ext>
            </a:extLst>
          </xdr:cNvPr>
          <xdr:cNvSpPr>
            <a:spLocks noChangeArrowheads="1"/>
          </xdr:cNvSpPr>
        </xdr:nvSpPr>
        <xdr:spPr bwMode="auto">
          <a:xfrm>
            <a:off x="11725275" y="6767513"/>
            <a:ext cx="28575" cy="28575"/>
          </a:xfrm>
          <a:prstGeom prst="ellipse">
            <a:avLst/>
          </a:prstGeom>
          <a:grpFill/>
          <a:ln>
            <a:solidFill>
              <a:schemeClr val="accent6"/>
            </a:solidFill>
          </a:ln>
          <a:extLst>
            <a:ext uri="{91240B29-F687-4f45-9708-019B960494DF}">
              <a14:hiddenLine xmlns:r="http://schemas.openxmlformats.org/officeDocument/2006/relationships" xmlns:p="http://schemas.openxmlformats.org/presentationml/2006/main" xmlns:a14="http://schemas.microsoft.com/office/drawing/2010/main" xmlns="" xmlns:lc="http://schemas.openxmlformats.org/drawingml/2006/lockedCanva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046" name="Oval 1045">
            <a:extLst>
              <a:ext uri="{FF2B5EF4-FFF2-40B4-BE49-F238E27FC236}">
                <a16:creationId xmlns:a16="http://schemas.microsoft.com/office/drawing/2014/main" id="{00000000-0008-0000-0000-000016040000}"/>
              </a:ext>
            </a:extLst>
          </xdr:cNvPr>
          <xdr:cNvSpPr>
            <a:spLocks noChangeArrowheads="1"/>
          </xdr:cNvSpPr>
        </xdr:nvSpPr>
        <xdr:spPr bwMode="auto">
          <a:xfrm>
            <a:off x="11725275" y="6834188"/>
            <a:ext cx="28575" cy="28575"/>
          </a:xfrm>
          <a:prstGeom prst="ellipse">
            <a:avLst/>
          </a:prstGeom>
          <a:grpFill/>
          <a:ln>
            <a:solidFill>
              <a:schemeClr val="accent6"/>
            </a:solidFill>
          </a:ln>
          <a:extLst>
            <a:ext uri="{91240B29-F687-4f45-9708-019B960494DF}">
              <a14:hiddenLine xmlns:r="http://schemas.openxmlformats.org/officeDocument/2006/relationships" xmlns:p="http://schemas.openxmlformats.org/presentationml/2006/main" xmlns:a14="http://schemas.microsoft.com/office/drawing/2010/main" xmlns="" xmlns:lc="http://schemas.openxmlformats.org/drawingml/2006/lockedCanva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grpSp>
    <xdr:clientData/>
  </xdr:twoCellAnchor>
  <xdr:twoCellAnchor>
    <xdr:from>
      <xdr:col>2</xdr:col>
      <xdr:colOff>885825</xdr:colOff>
      <xdr:row>56</xdr:row>
      <xdr:rowOff>161925</xdr:rowOff>
    </xdr:from>
    <xdr:to>
      <xdr:col>5</xdr:col>
      <xdr:colOff>191007</xdr:colOff>
      <xdr:row>58</xdr:row>
      <xdr:rowOff>152400</xdr:rowOff>
    </xdr:to>
    <xdr:sp macro="" textlink="D_List!$B$33">
      <xdr:nvSpPr>
        <xdr:cNvPr id="22" name="Rectangle 21">
          <a:hlinkClick xmlns:r="http://schemas.openxmlformats.org/officeDocument/2006/relationships" r:id="rId5"/>
          <a:extLst>
            <a:ext uri="{FF2B5EF4-FFF2-40B4-BE49-F238E27FC236}">
              <a16:creationId xmlns:a16="http://schemas.microsoft.com/office/drawing/2014/main" id="{00000000-0008-0000-0000-000016000000}"/>
            </a:ext>
          </a:extLst>
        </xdr:cNvPr>
        <xdr:cNvSpPr/>
      </xdr:nvSpPr>
      <xdr:spPr>
        <a:xfrm>
          <a:off x="2129678" y="11222131"/>
          <a:ext cx="2386800" cy="37147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fld id="{7AF8E13B-ABA1-4573-A97C-E0424F0244A9}" type="TxLink">
            <a:rPr lang="en-US" sz="1200" b="1" i="0" u="none" strike="noStrike">
              <a:solidFill>
                <a:srgbClr val="FF0000"/>
              </a:solidFill>
              <a:latin typeface="Arial" panose="020B0604020202020204" pitchFamily="34" charset="0"/>
              <a:cs typeface="Arial" panose="020B0604020202020204" pitchFamily="34" charset="0"/>
            </a:rPr>
            <a:pPr algn="l"/>
            <a:t> </a:t>
          </a:fld>
          <a:endParaRPr lang="en-AU" sz="1200" b="1">
            <a:solidFill>
              <a:srgbClr val="FF0000"/>
            </a:solidFill>
            <a:latin typeface="Arial" panose="020B0604020202020204" pitchFamily="34" charset="0"/>
            <a:cs typeface="Arial" panose="020B0604020202020204" pitchFamily="34" charset="0"/>
          </a:endParaRPr>
        </a:p>
      </xdr:txBody>
    </xdr:sp>
    <xdr:clientData/>
  </xdr:twoCellAnchor>
  <xdr:twoCellAnchor>
    <xdr:from>
      <xdr:col>2</xdr:col>
      <xdr:colOff>886332</xdr:colOff>
      <xdr:row>68</xdr:row>
      <xdr:rowOff>95250</xdr:rowOff>
    </xdr:from>
    <xdr:to>
      <xdr:col>5</xdr:col>
      <xdr:colOff>191007</xdr:colOff>
      <xdr:row>70</xdr:row>
      <xdr:rowOff>95250</xdr:rowOff>
    </xdr:to>
    <xdr:sp macro="" textlink="D_List!$B$34">
      <xdr:nvSpPr>
        <xdr:cNvPr id="23" name="Rectangle 22">
          <a:hlinkClick xmlns:r="http://schemas.openxmlformats.org/officeDocument/2006/relationships" r:id="rId6"/>
          <a:extLst>
            <a:ext uri="{FF2B5EF4-FFF2-40B4-BE49-F238E27FC236}">
              <a16:creationId xmlns:a16="http://schemas.microsoft.com/office/drawing/2014/main" id="{00000000-0008-0000-0000-000017000000}"/>
            </a:ext>
          </a:extLst>
        </xdr:cNvPr>
        <xdr:cNvSpPr/>
      </xdr:nvSpPr>
      <xdr:spPr>
        <a:xfrm>
          <a:off x="2130185" y="13486279"/>
          <a:ext cx="2386293" cy="3585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fld id="{A7F51D25-CE8A-4579-833F-E81135E9E1DC}" type="TxLink">
            <a:rPr lang="en-US" sz="1200" b="1" i="0" u="none" strike="noStrike">
              <a:solidFill>
                <a:srgbClr val="FF0000"/>
              </a:solidFill>
              <a:latin typeface="Arial" panose="020B0604020202020204" pitchFamily="34" charset="0"/>
              <a:cs typeface="Arial" panose="020B0604020202020204" pitchFamily="34" charset="0"/>
            </a:rPr>
            <a:pPr algn="l"/>
            <a:t> </a:t>
          </a:fld>
          <a:endParaRPr lang="en-AU" sz="1200" b="1">
            <a:solidFill>
              <a:srgbClr val="FF0000"/>
            </a:solidFill>
            <a:latin typeface="Arial" panose="020B0604020202020204" pitchFamily="34" charset="0"/>
            <a:cs typeface="Arial" panose="020B0604020202020204" pitchFamily="34" charset="0"/>
          </a:endParaRPr>
        </a:p>
      </xdr:txBody>
    </xdr:sp>
    <xdr:clientData/>
  </xdr:twoCellAnchor>
  <xdr:twoCellAnchor>
    <xdr:from>
      <xdr:col>2</xdr:col>
      <xdr:colOff>885825</xdr:colOff>
      <xdr:row>82</xdr:row>
      <xdr:rowOff>95250</xdr:rowOff>
    </xdr:from>
    <xdr:to>
      <xdr:col>5</xdr:col>
      <xdr:colOff>191007</xdr:colOff>
      <xdr:row>84</xdr:row>
      <xdr:rowOff>95250</xdr:rowOff>
    </xdr:to>
    <xdr:sp macro="" textlink="D_List!$B$35">
      <xdr:nvSpPr>
        <xdr:cNvPr id="27" name="Rectangle 26">
          <a:hlinkClick xmlns:r="http://schemas.openxmlformats.org/officeDocument/2006/relationships" r:id="rId7"/>
          <a:extLst>
            <a:ext uri="{FF2B5EF4-FFF2-40B4-BE49-F238E27FC236}">
              <a16:creationId xmlns:a16="http://schemas.microsoft.com/office/drawing/2014/main" id="{00000000-0008-0000-0000-00001B000000}"/>
            </a:ext>
          </a:extLst>
        </xdr:cNvPr>
        <xdr:cNvSpPr/>
      </xdr:nvSpPr>
      <xdr:spPr>
        <a:xfrm>
          <a:off x="2129678" y="16175691"/>
          <a:ext cx="2386800" cy="35858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fld id="{09F5C193-A286-48BF-A320-BB0B905019F2}" type="TxLink">
            <a:rPr lang="en-US" sz="1200" b="1" i="0" u="none" strike="noStrike">
              <a:solidFill>
                <a:srgbClr val="FF0000"/>
              </a:solidFill>
              <a:latin typeface="Arial" panose="020B0604020202020204" pitchFamily="34" charset="0"/>
              <a:cs typeface="Arial" panose="020B0604020202020204" pitchFamily="34" charset="0"/>
            </a:rPr>
            <a:pPr algn="l"/>
            <a:t> </a:t>
          </a:fld>
          <a:endParaRPr lang="en-AU" sz="1200" b="1">
            <a:solidFill>
              <a:srgbClr val="FF0000"/>
            </a:solidFill>
            <a:latin typeface="Arial" panose="020B0604020202020204" pitchFamily="34" charset="0"/>
            <a:cs typeface="Arial" panose="020B0604020202020204" pitchFamily="34" charset="0"/>
          </a:endParaRPr>
        </a:p>
      </xdr:txBody>
    </xdr:sp>
    <xdr:clientData/>
  </xdr:twoCellAnchor>
  <xdr:twoCellAnchor>
    <xdr:from>
      <xdr:col>2</xdr:col>
      <xdr:colOff>885825</xdr:colOff>
      <xdr:row>94</xdr:row>
      <xdr:rowOff>76200</xdr:rowOff>
    </xdr:from>
    <xdr:to>
      <xdr:col>5</xdr:col>
      <xdr:colOff>191007</xdr:colOff>
      <xdr:row>96</xdr:row>
      <xdr:rowOff>76200</xdr:rowOff>
    </xdr:to>
    <xdr:sp macro="" textlink="D_List!$B$36">
      <xdr:nvSpPr>
        <xdr:cNvPr id="36" name="Rectangle 35">
          <a:hlinkClick xmlns:r="http://schemas.openxmlformats.org/officeDocument/2006/relationships" r:id="rId11"/>
          <a:extLst>
            <a:ext uri="{FF2B5EF4-FFF2-40B4-BE49-F238E27FC236}">
              <a16:creationId xmlns:a16="http://schemas.microsoft.com/office/drawing/2014/main" id="{00000000-0008-0000-0000-000024000000}"/>
            </a:ext>
          </a:extLst>
        </xdr:cNvPr>
        <xdr:cNvSpPr/>
      </xdr:nvSpPr>
      <xdr:spPr>
        <a:xfrm>
          <a:off x="2129678" y="18465053"/>
          <a:ext cx="2386800" cy="35858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fld id="{BD79F343-584C-4FA1-A456-01BA1C5EBBC5}" type="TxLink">
            <a:rPr lang="en-US" sz="1200" b="1" i="0" u="none" strike="noStrike">
              <a:solidFill>
                <a:srgbClr val="FF0000"/>
              </a:solidFill>
              <a:latin typeface="Arial" panose="020B0604020202020204" pitchFamily="34" charset="0"/>
              <a:cs typeface="Arial" panose="020B0604020202020204" pitchFamily="34" charset="0"/>
            </a:rPr>
            <a:pPr algn="l"/>
            <a:t>NOT APPLICABLE</a:t>
          </a:fld>
          <a:endParaRPr lang="en-AU" sz="1200" b="1">
            <a:solidFill>
              <a:srgbClr val="FF0000"/>
            </a:solidFill>
            <a:latin typeface="Arial" panose="020B0604020202020204" pitchFamily="34" charset="0"/>
            <a:cs typeface="Arial" panose="020B0604020202020204" pitchFamily="34" charset="0"/>
          </a:endParaRPr>
        </a:p>
      </xdr:txBody>
    </xdr:sp>
    <xdr:clientData/>
  </xdr:twoCellAnchor>
  <xdr:twoCellAnchor>
    <xdr:from>
      <xdr:col>2</xdr:col>
      <xdr:colOff>885825</xdr:colOff>
      <xdr:row>106</xdr:row>
      <xdr:rowOff>104775</xdr:rowOff>
    </xdr:from>
    <xdr:to>
      <xdr:col>5</xdr:col>
      <xdr:colOff>191007</xdr:colOff>
      <xdr:row>108</xdr:row>
      <xdr:rowOff>104775</xdr:rowOff>
    </xdr:to>
    <xdr:sp macro="" textlink="D_List!$B$37">
      <xdr:nvSpPr>
        <xdr:cNvPr id="37" name="Rectangle 36">
          <a:hlinkClick xmlns:r="http://schemas.openxmlformats.org/officeDocument/2006/relationships" r:id="rId9"/>
          <a:extLst>
            <a:ext uri="{FF2B5EF4-FFF2-40B4-BE49-F238E27FC236}">
              <a16:creationId xmlns:a16="http://schemas.microsoft.com/office/drawing/2014/main" id="{00000000-0008-0000-0000-000025000000}"/>
            </a:ext>
          </a:extLst>
        </xdr:cNvPr>
        <xdr:cNvSpPr/>
      </xdr:nvSpPr>
      <xdr:spPr>
        <a:xfrm>
          <a:off x="2129678" y="20802040"/>
          <a:ext cx="2386800" cy="35858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fld id="{8C263F78-96F3-46A8-9BDF-351A3C0385DA}" type="TxLink">
            <a:rPr lang="en-US" sz="1200" b="1" i="0" u="none" strike="noStrike">
              <a:solidFill>
                <a:srgbClr val="FF0000"/>
              </a:solidFill>
              <a:latin typeface="Arial" panose="020B0604020202020204" pitchFamily="34" charset="0"/>
              <a:cs typeface="Arial" panose="020B0604020202020204" pitchFamily="34" charset="0"/>
            </a:rPr>
            <a:pPr algn="l"/>
            <a:t> </a:t>
          </a:fld>
          <a:endParaRPr lang="en-AU" sz="1200" b="1">
            <a:solidFill>
              <a:srgbClr val="FF0000"/>
            </a:solidFill>
            <a:latin typeface="Arial" panose="020B0604020202020204" pitchFamily="34" charset="0"/>
            <a:cs typeface="Arial" panose="020B0604020202020204" pitchFamily="34" charset="0"/>
          </a:endParaRPr>
        </a:p>
      </xdr:txBody>
    </xdr:sp>
    <xdr:clientData/>
  </xdr:twoCellAnchor>
  <xdr:twoCellAnchor>
    <xdr:from>
      <xdr:col>2</xdr:col>
      <xdr:colOff>885825</xdr:colOff>
      <xdr:row>118</xdr:row>
      <xdr:rowOff>114300</xdr:rowOff>
    </xdr:from>
    <xdr:to>
      <xdr:col>5</xdr:col>
      <xdr:colOff>191007</xdr:colOff>
      <xdr:row>120</xdr:row>
      <xdr:rowOff>114300</xdr:rowOff>
    </xdr:to>
    <xdr:sp macro="" textlink="D_List!$B$38">
      <xdr:nvSpPr>
        <xdr:cNvPr id="38" name="Rectangle 37">
          <a:hlinkClick xmlns:r="http://schemas.openxmlformats.org/officeDocument/2006/relationships" r:id="rId10"/>
          <a:extLst>
            <a:ext uri="{FF2B5EF4-FFF2-40B4-BE49-F238E27FC236}">
              <a16:creationId xmlns:a16="http://schemas.microsoft.com/office/drawing/2014/main" id="{00000000-0008-0000-0000-000026000000}"/>
            </a:ext>
          </a:extLst>
        </xdr:cNvPr>
        <xdr:cNvSpPr/>
      </xdr:nvSpPr>
      <xdr:spPr>
        <a:xfrm>
          <a:off x="2129678" y="23108771"/>
          <a:ext cx="2386800" cy="35858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fld id="{FEA9E532-D653-4836-ACB9-339CAC4465B6}" type="TxLink">
            <a:rPr lang="en-US" sz="1200" b="1" i="0" u="none" strike="noStrike">
              <a:solidFill>
                <a:srgbClr val="FF0000"/>
              </a:solidFill>
              <a:latin typeface="Arial" panose="020B0604020202020204" pitchFamily="34" charset="0"/>
              <a:cs typeface="Arial" panose="020B0604020202020204" pitchFamily="34" charset="0"/>
            </a:rPr>
            <a:pPr algn="l"/>
            <a:t> </a:t>
          </a:fld>
          <a:endParaRPr lang="en-AU" sz="1200" b="1">
            <a:solidFill>
              <a:srgbClr val="FF0000"/>
            </a:solidFill>
            <a:latin typeface="Arial" panose="020B0604020202020204" pitchFamily="34" charset="0"/>
            <a:cs typeface="Arial" panose="020B0604020202020204" pitchFamily="34" charset="0"/>
          </a:endParaRPr>
        </a:p>
      </xdr:txBody>
    </xdr:sp>
    <xdr:clientData/>
  </xdr:twoCellAnchor>
  <xdr:twoCellAnchor>
    <xdr:from>
      <xdr:col>17</xdr:col>
      <xdr:colOff>202405</xdr:colOff>
      <xdr:row>16</xdr:row>
      <xdr:rowOff>78239</xdr:rowOff>
    </xdr:from>
    <xdr:to>
      <xdr:col>18</xdr:col>
      <xdr:colOff>119061</xdr:colOff>
      <xdr:row>17</xdr:row>
      <xdr:rowOff>197302</xdr:rowOff>
    </xdr:to>
    <xdr:sp macro="" textlink="">
      <xdr:nvSpPr>
        <xdr:cNvPr id="1472" name="Rectangle 25">
          <a:extLst>
            <a:ext uri="{FF2B5EF4-FFF2-40B4-BE49-F238E27FC236}">
              <a16:creationId xmlns:a16="http://schemas.microsoft.com/office/drawing/2014/main" id="{00000000-0008-0000-0000-0000C0050000}"/>
            </a:ext>
          </a:extLst>
        </xdr:cNvPr>
        <xdr:cNvSpPr/>
      </xdr:nvSpPr>
      <xdr:spPr>
        <a:xfrm>
          <a:off x="14231369" y="3425596"/>
          <a:ext cx="597013" cy="323170"/>
        </a:xfrm>
        <a:prstGeom prst="rect">
          <a:avLst/>
        </a:prstGeom>
        <a:solidFill>
          <a:srgbClr val="FFFFCC"/>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18</xdr:col>
      <xdr:colOff>402430</xdr:colOff>
      <xdr:row>15</xdr:row>
      <xdr:rowOff>59529</xdr:rowOff>
    </xdr:from>
    <xdr:to>
      <xdr:col>24</xdr:col>
      <xdr:colOff>430892</xdr:colOff>
      <xdr:row>19</xdr:row>
      <xdr:rowOff>84583</xdr:rowOff>
    </xdr:to>
    <xdr:sp macro="" textlink="">
      <xdr:nvSpPr>
        <xdr:cNvPr id="1473" name="TextBox 39">
          <a:extLst>
            <a:ext uri="{FF2B5EF4-FFF2-40B4-BE49-F238E27FC236}">
              <a16:creationId xmlns:a16="http://schemas.microsoft.com/office/drawing/2014/main" id="{00000000-0008-0000-0000-0000C1050000}"/>
            </a:ext>
          </a:extLst>
        </xdr:cNvPr>
        <xdr:cNvSpPr txBox="1"/>
      </xdr:nvSpPr>
      <xdr:spPr>
        <a:xfrm>
          <a:off x="15111751" y="3189172"/>
          <a:ext cx="4146437" cy="79601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AU" sz="1200">
              <a:latin typeface="Arial" panose="020B0604020202020204" pitchFamily="34" charset="0"/>
              <a:cs typeface="Arial" panose="020B0604020202020204" pitchFamily="34" charset="0"/>
            </a:rPr>
            <a:t>Yellow cells</a:t>
          </a:r>
          <a:r>
            <a:rPr lang="en-AU" sz="1200" baseline="0">
              <a:latin typeface="Arial" panose="020B0604020202020204" pitchFamily="34" charset="0"/>
              <a:cs typeface="Arial" panose="020B0604020202020204" pitchFamily="34" charset="0"/>
            </a:rPr>
            <a:t> in the calculator are user input cells. They are either free text user input cells or a drop down box</a:t>
          </a:r>
          <a:r>
            <a:rPr lang="en-AU" sz="1200" b="1" baseline="0">
              <a:latin typeface="Arial" panose="020B0604020202020204" pitchFamily="34" charset="0"/>
              <a:cs typeface="Arial" panose="020B0604020202020204" pitchFamily="34" charset="0"/>
            </a:rPr>
            <a:t>. All other cells are protected and should not be altered.</a:t>
          </a:r>
          <a:endParaRPr lang="en-AU" sz="1200" b="1">
            <a:latin typeface="Arial" panose="020B0604020202020204" pitchFamily="34" charset="0"/>
            <a:cs typeface="Arial" panose="020B0604020202020204" pitchFamily="34" charset="0"/>
          </a:endParaRPr>
        </a:p>
      </xdr:txBody>
    </xdr:sp>
    <xdr:clientData/>
  </xdr:twoCellAnchor>
  <xdr:twoCellAnchor>
    <xdr:from>
      <xdr:col>17</xdr:col>
      <xdr:colOff>404812</xdr:colOff>
      <xdr:row>30</xdr:row>
      <xdr:rowOff>234475</xdr:rowOff>
    </xdr:from>
    <xdr:to>
      <xdr:col>18</xdr:col>
      <xdr:colOff>74249</xdr:colOff>
      <xdr:row>31</xdr:row>
      <xdr:rowOff>179457</xdr:rowOff>
    </xdr:to>
    <xdr:sp macro="" textlink="">
      <xdr:nvSpPr>
        <xdr:cNvPr id="1556" name="Rectangle 1329">
          <a:extLst>
            <a:ext uri="{FF2B5EF4-FFF2-40B4-BE49-F238E27FC236}">
              <a16:creationId xmlns:a16="http://schemas.microsoft.com/office/drawing/2014/main" id="{00000000-0008-0000-0000-000014060000}"/>
            </a:ext>
          </a:extLst>
        </xdr:cNvPr>
        <xdr:cNvSpPr/>
      </xdr:nvSpPr>
      <xdr:spPr>
        <a:xfrm>
          <a:off x="12896169" y="5990296"/>
          <a:ext cx="349794" cy="298768"/>
        </a:xfrm>
        <a:prstGeom prst="rect">
          <a:avLst/>
        </a:prstGeom>
        <a:solidFill>
          <a:sysClr val="window" lastClr="FFFFFF"/>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600">
              <a:solidFill>
                <a:sysClr val="windowText" lastClr="000000"/>
              </a:solidFill>
            </a:rPr>
            <a:t>✔</a:t>
          </a:r>
        </a:p>
      </xdr:txBody>
    </xdr:sp>
    <xdr:clientData/>
  </xdr:twoCellAnchor>
  <xdr:twoCellAnchor editAs="oneCell">
    <xdr:from>
      <xdr:col>18</xdr:col>
      <xdr:colOff>402430</xdr:colOff>
      <xdr:row>32</xdr:row>
      <xdr:rowOff>142243</xdr:rowOff>
    </xdr:from>
    <xdr:to>
      <xdr:col>24</xdr:col>
      <xdr:colOff>495299</xdr:colOff>
      <xdr:row>37</xdr:row>
      <xdr:rowOff>9213</xdr:rowOff>
    </xdr:to>
    <xdr:sp macro="" textlink="">
      <xdr:nvSpPr>
        <xdr:cNvPr id="1530" name="TextBox 1046">
          <a:extLst>
            <a:ext uri="{FF2B5EF4-FFF2-40B4-BE49-F238E27FC236}">
              <a16:creationId xmlns:a16="http://schemas.microsoft.com/office/drawing/2014/main" id="{00000000-0008-0000-0000-0000FA050000}"/>
            </a:ext>
          </a:extLst>
        </xdr:cNvPr>
        <xdr:cNvSpPr txBox="1"/>
      </xdr:nvSpPr>
      <xdr:spPr>
        <a:xfrm>
          <a:off x="13574144" y="6605636"/>
          <a:ext cx="4175012" cy="82264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AU" sz="1200">
              <a:latin typeface="Arial" panose="020B0604020202020204" pitchFamily="34" charset="0"/>
              <a:cs typeface="Arial" panose="020B0604020202020204" pitchFamily="34" charset="0"/>
            </a:rPr>
            <a:t>Radio buttons are used to complete a selection from the options available. Click on the appropriate radio button that is applicable</a:t>
          </a:r>
          <a:r>
            <a:rPr lang="en-AU" sz="1200" baseline="0">
              <a:latin typeface="Arial" panose="020B0604020202020204" pitchFamily="34" charset="0"/>
              <a:cs typeface="Arial" panose="020B0604020202020204" pitchFamily="34" charset="0"/>
            </a:rPr>
            <a:t> for your project.</a:t>
          </a:r>
        </a:p>
      </xdr:txBody>
    </xdr:sp>
    <xdr:clientData/>
  </xdr:twoCellAnchor>
  <xdr:twoCellAnchor>
    <xdr:from>
      <xdr:col>17</xdr:col>
      <xdr:colOff>414337</xdr:colOff>
      <xdr:row>34</xdr:row>
      <xdr:rowOff>43296</xdr:rowOff>
    </xdr:from>
    <xdr:to>
      <xdr:col>18</xdr:col>
      <xdr:colOff>83774</xdr:colOff>
      <xdr:row>35</xdr:row>
      <xdr:rowOff>168572</xdr:rowOff>
    </xdr:to>
    <xdr:grpSp>
      <xdr:nvGrpSpPr>
        <xdr:cNvPr id="1558" name="Group 1557">
          <a:extLst>
            <a:ext uri="{FF2B5EF4-FFF2-40B4-BE49-F238E27FC236}">
              <a16:creationId xmlns:a16="http://schemas.microsoft.com/office/drawing/2014/main" id="{00000000-0008-0000-0000-000016060000}"/>
            </a:ext>
          </a:extLst>
        </xdr:cNvPr>
        <xdr:cNvGrpSpPr/>
      </xdr:nvGrpSpPr>
      <xdr:grpSpPr>
        <a:xfrm>
          <a:off x="12902519" y="6972507"/>
          <a:ext cx="356144" cy="353422"/>
          <a:chOff x="14443301" y="6529048"/>
          <a:chExt cx="349794" cy="356597"/>
        </a:xfrm>
      </xdr:grpSpPr>
      <xdr:sp macro="" textlink="">
        <xdr:nvSpPr>
          <xdr:cNvPr id="1552" name="Oval 1332">
            <a:extLst>
              <a:ext uri="{FF2B5EF4-FFF2-40B4-BE49-F238E27FC236}">
                <a16:creationId xmlns:a16="http://schemas.microsoft.com/office/drawing/2014/main" id="{00000000-0008-0000-0000-000010060000}"/>
              </a:ext>
            </a:extLst>
          </xdr:cNvPr>
          <xdr:cNvSpPr/>
        </xdr:nvSpPr>
        <xdr:spPr>
          <a:xfrm>
            <a:off x="14443301" y="6529048"/>
            <a:ext cx="349794" cy="356597"/>
          </a:xfrm>
          <a:prstGeom prst="ellipse">
            <a:avLst/>
          </a:prstGeom>
          <a:solidFill>
            <a:sysClr val="window" lastClr="FFFFFF"/>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AU" sz="1600">
              <a:solidFill>
                <a:sysClr val="windowText" lastClr="000000"/>
              </a:solidFill>
            </a:endParaRPr>
          </a:p>
        </xdr:txBody>
      </xdr:sp>
      <xdr:sp macro="" textlink="">
        <xdr:nvSpPr>
          <xdr:cNvPr id="1551" name="Oval 1333">
            <a:extLst>
              <a:ext uri="{FF2B5EF4-FFF2-40B4-BE49-F238E27FC236}">
                <a16:creationId xmlns:a16="http://schemas.microsoft.com/office/drawing/2014/main" id="{00000000-0008-0000-0000-00000F060000}"/>
              </a:ext>
            </a:extLst>
          </xdr:cNvPr>
          <xdr:cNvSpPr/>
        </xdr:nvSpPr>
        <xdr:spPr>
          <a:xfrm>
            <a:off x="14496385" y="6580300"/>
            <a:ext cx="243626" cy="254092"/>
          </a:xfrm>
          <a:prstGeom prst="ellipse">
            <a:avLst/>
          </a:prstGeom>
          <a:solidFill>
            <a:schemeClr val="tx1"/>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AU" sz="1600">
              <a:solidFill>
                <a:sysClr val="windowText" lastClr="000000"/>
              </a:solidFill>
            </a:endParaRPr>
          </a:p>
        </xdr:txBody>
      </xdr:sp>
    </xdr:grpSp>
    <xdr:clientData/>
  </xdr:twoCellAnchor>
  <xdr:twoCellAnchor>
    <xdr:from>
      <xdr:col>19</xdr:col>
      <xdr:colOff>339912</xdr:colOff>
      <xdr:row>1</xdr:row>
      <xdr:rowOff>67235</xdr:rowOff>
    </xdr:from>
    <xdr:to>
      <xdr:col>25</xdr:col>
      <xdr:colOff>605118</xdr:colOff>
      <xdr:row>10</xdr:row>
      <xdr:rowOff>126999</xdr:rowOff>
    </xdr:to>
    <xdr:sp macro="" textlink="">
      <xdr:nvSpPr>
        <xdr:cNvPr id="1474" name="Rectangle 9">
          <a:extLst>
            <a:ext uri="{FF2B5EF4-FFF2-40B4-BE49-F238E27FC236}">
              <a16:creationId xmlns:a16="http://schemas.microsoft.com/office/drawing/2014/main" id="{00000000-0008-0000-0000-0000C2050000}"/>
            </a:ext>
          </a:extLst>
        </xdr:cNvPr>
        <xdr:cNvSpPr/>
      </xdr:nvSpPr>
      <xdr:spPr>
        <a:xfrm>
          <a:off x="14235206" y="246529"/>
          <a:ext cx="4366559" cy="1673411"/>
        </a:xfrm>
        <a:prstGeom prst="rect">
          <a:avLst/>
        </a:prstGeom>
        <a:solidFill>
          <a:srgbClr val="FFFF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200" i="1">
              <a:solidFill>
                <a:sysClr val="windowText" lastClr="000000"/>
              </a:solidFill>
            </a:rPr>
            <a:t>To use this calculator you must</a:t>
          </a:r>
          <a:r>
            <a:rPr lang="en-AU" sz="1200" i="1" baseline="0">
              <a:solidFill>
                <a:sysClr val="windowText" lastClr="000000"/>
              </a:solidFill>
            </a:rPr>
            <a:t> </a:t>
          </a:r>
          <a:r>
            <a:rPr lang="en-AU" sz="1200" i="1">
              <a:solidFill>
                <a:sysClr val="windowText" lastClr="000000"/>
              </a:solidFill>
            </a:rPr>
            <a:t>meet the</a:t>
          </a:r>
          <a:r>
            <a:rPr lang="en-AU" sz="1200" i="1" baseline="0">
              <a:solidFill>
                <a:sysClr val="windowText" lastClr="000000"/>
              </a:solidFill>
            </a:rPr>
            <a:t> following criteria</a:t>
          </a:r>
          <a:r>
            <a:rPr lang="en-AU" sz="1200" i="1">
              <a:solidFill>
                <a:sysClr val="windowText" lastClr="000000"/>
              </a:solidFill>
            </a:rPr>
            <a:t>:</a:t>
          </a:r>
        </a:p>
        <a:p>
          <a:pPr algn="l"/>
          <a:endParaRPr lang="en-AU" sz="1200" i="1">
            <a:solidFill>
              <a:sysClr val="windowText" lastClr="000000"/>
            </a:solidFill>
          </a:endParaRPr>
        </a:p>
        <a:p>
          <a:pPr algn="l"/>
          <a:r>
            <a:rPr lang="en-AU" sz="1200" i="1">
              <a:solidFill>
                <a:sysClr val="windowText" lastClr="000000"/>
              </a:solidFill>
            </a:rPr>
            <a:t>• The floor area with heating or cooling must be 300m² or less</a:t>
          </a:r>
        </a:p>
        <a:p>
          <a:pPr algn="l"/>
          <a:r>
            <a:rPr lang="en-AU" sz="1200" i="1">
              <a:solidFill>
                <a:sysClr val="windowText" lastClr="000000"/>
              </a:solidFill>
            </a:rPr>
            <a:t>• The building must have two storeys or less (including attic rooms)</a:t>
          </a:r>
        </a:p>
        <a:p>
          <a:pPr algn="l"/>
          <a:r>
            <a:rPr lang="en-AU" sz="1200" i="1">
              <a:solidFill>
                <a:sysClr val="windowText" lastClr="000000"/>
              </a:solidFill>
            </a:rPr>
            <a:t>• The open mezzanine areas must be 25m² or less in total</a:t>
          </a:r>
        </a:p>
        <a:p>
          <a:pPr algn="l"/>
          <a:r>
            <a:rPr lang="en-AU" sz="1200" i="1">
              <a:solidFill>
                <a:sysClr val="windowText" lastClr="000000"/>
              </a:solidFill>
            </a:rPr>
            <a:t>• You need to enter the number of rows for each calculation. The calculator will tell you how many rows you need.</a:t>
          </a:r>
        </a:p>
      </xdr:txBody>
    </xdr:sp>
    <xdr:clientData/>
  </xdr:twoCellAnchor>
  <xdr:twoCellAnchor editAs="oneCell">
    <xdr:from>
      <xdr:col>1</xdr:col>
      <xdr:colOff>29522</xdr:colOff>
      <xdr:row>126</xdr:row>
      <xdr:rowOff>20780</xdr:rowOff>
    </xdr:from>
    <xdr:to>
      <xdr:col>2</xdr:col>
      <xdr:colOff>759646</xdr:colOff>
      <xdr:row>128</xdr:row>
      <xdr:rowOff>161546</xdr:rowOff>
    </xdr:to>
    <xdr:pic>
      <xdr:nvPicPr>
        <xdr:cNvPr id="41" name="Picture 40">
          <a:extLst>
            <a:ext uri="{FF2B5EF4-FFF2-40B4-BE49-F238E27FC236}">
              <a16:creationId xmlns:a16="http://schemas.microsoft.com/office/drawing/2014/main" id="{00000000-0008-0000-0000-000029000000}"/>
            </a:ext>
          </a:extLst>
        </xdr:cNvPr>
        <xdr:cNvPicPr>
          <a:picLocks/>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13081" y="26141692"/>
          <a:ext cx="1290418" cy="499355"/>
        </a:xfrm>
        <a:prstGeom prst="rect">
          <a:avLst/>
        </a:prstGeom>
      </xdr:spPr>
    </xdr:pic>
    <xdr:clientData/>
  </xdr:twoCellAnchor>
  <xdr:twoCellAnchor>
    <xdr:from>
      <xdr:col>0</xdr:col>
      <xdr:colOff>627529</xdr:colOff>
      <xdr:row>125</xdr:row>
      <xdr:rowOff>194235</xdr:rowOff>
    </xdr:from>
    <xdr:to>
      <xdr:col>22</xdr:col>
      <xdr:colOff>405788</xdr:colOff>
      <xdr:row>125</xdr:row>
      <xdr:rowOff>1098178</xdr:rowOff>
    </xdr:to>
    <xdr:sp macro="" textlink="">
      <xdr:nvSpPr>
        <xdr:cNvPr id="42" name="TextBox 41">
          <a:hlinkClick xmlns:r="http://schemas.openxmlformats.org/officeDocument/2006/relationships" r:id="rId13"/>
          <a:extLst>
            <a:ext uri="{FF2B5EF4-FFF2-40B4-BE49-F238E27FC236}">
              <a16:creationId xmlns:a16="http://schemas.microsoft.com/office/drawing/2014/main" id="{00000000-0008-0000-0000-00002A000000}"/>
            </a:ext>
          </a:extLst>
        </xdr:cNvPr>
        <xdr:cNvSpPr txBox="1"/>
      </xdr:nvSpPr>
      <xdr:spPr>
        <a:xfrm>
          <a:off x="627529" y="25205764"/>
          <a:ext cx="15724230" cy="903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solidFill>
                <a:schemeClr val="dk1"/>
              </a:solidFill>
              <a:effectLst/>
              <a:latin typeface="Arial" panose="020B0604020202020204" pitchFamily="34" charset="0"/>
              <a:ea typeface="Inter" panose="020B0502030000000004" pitchFamily="34" charset="0"/>
              <a:cs typeface="Arial" panose="020B0604020202020204" pitchFamily="34" charset="0"/>
            </a:rPr>
            <a:t>By accessing or using this calculator, you agree to the following: While care has been taken in the preparation of this calculator, it may not be complete or up-to-date. You can ensure that you are using a complete and up-to-date version by checking the Australian Building Codes Board website (</a:t>
          </a:r>
          <a:r>
            <a:rPr lang="en-AU" sz="1000" u="none" strike="noStrike">
              <a:solidFill>
                <a:schemeClr val="dk1"/>
              </a:solidFill>
              <a:effectLst/>
              <a:latin typeface="Arial" panose="020B0604020202020204" pitchFamily="34" charset="0"/>
              <a:ea typeface="Inter" panose="020B0502030000000004" pitchFamily="34" charset="0"/>
              <a:cs typeface="Arial" panose="020B0604020202020204" pitchFamily="34" charset="0"/>
              <a:hlinkClick xmlns:r="http://schemas.openxmlformats.org/officeDocument/2006/relationships" r:id=""/>
            </a:rPr>
            <a:t>abcb.gov.au</a:t>
          </a:r>
          <a:r>
            <a:rPr lang="en-AU" sz="1000">
              <a:solidFill>
                <a:schemeClr val="dk1"/>
              </a:solidFill>
              <a:effectLst/>
              <a:latin typeface="Arial" panose="020B0604020202020204" pitchFamily="34" charset="0"/>
              <a:ea typeface="Inter" panose="020B0502030000000004" pitchFamily="34" charset="0"/>
              <a:cs typeface="Arial" panose="020B0604020202020204" pitchFamily="34" charset="0"/>
            </a:rPr>
            <a:t>). The Australian Building Codes Board, the Commonwealth of Australia and States and Territories of Australia do not accept any liability, including liability for negligence, for any loss (howsoever caused), damage, injury, expense or cost incurred by any person as a result of accessing, using or relying upon this publication, to the maximum extent permitted by law. No representation or warranty is made or given as to the currency, accuracy, reliability, merchantability, fitness for any purpose or completeness of this publication or any information which may appear on any linked websites, or in other linked information sources, and all such representations and warranties are excluded to the extent permitted by law. This calculator is not legal or professional advice. Persons rely upon this calculator entirely at their own risk and must take responsibility for assessing the relevance and accuracy of the information in relation to their particular circumstances.</a:t>
          </a:r>
        </a:p>
      </xdr:txBody>
    </xdr:sp>
    <xdr:clientData/>
  </xdr:twoCellAnchor>
  <xdr:twoCellAnchor>
    <xdr:from>
      <xdr:col>2</xdr:col>
      <xdr:colOff>863387</xdr:colOff>
      <xdr:row>125</xdr:row>
      <xdr:rowOff>1064558</xdr:rowOff>
    </xdr:from>
    <xdr:to>
      <xdr:col>22</xdr:col>
      <xdr:colOff>246529</xdr:colOff>
      <xdr:row>128</xdr:row>
      <xdr:rowOff>168087</xdr:rowOff>
    </xdr:to>
    <xdr:sp macro="" textlink="">
      <xdr:nvSpPr>
        <xdr:cNvPr id="43" name="TextBox 42">
          <a:extLst>
            <a:ext uri="{FF2B5EF4-FFF2-40B4-BE49-F238E27FC236}">
              <a16:creationId xmlns:a16="http://schemas.microsoft.com/office/drawing/2014/main" id="{00000000-0008-0000-0000-00002B000000}"/>
            </a:ext>
          </a:extLst>
        </xdr:cNvPr>
        <xdr:cNvSpPr txBox="1"/>
      </xdr:nvSpPr>
      <xdr:spPr>
        <a:xfrm>
          <a:off x="2107240" y="26076087"/>
          <a:ext cx="14085260"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a:solidFill>
                <a:schemeClr val="dk1"/>
              </a:solidFill>
              <a:effectLst/>
              <a:latin typeface="Arial" panose="020B0604020202020204" pitchFamily="34" charset="0"/>
              <a:ea typeface="Inter" panose="020B0502030000000004" pitchFamily="34" charset="0"/>
              <a:cs typeface="Arial" panose="020B0604020202020204" pitchFamily="34" charset="0"/>
            </a:rPr>
            <a:t>© Commonwealth of Australia and the States and Territories of Australia 2023, published by the Australian Building Codes Board.</a:t>
          </a:r>
          <a:endParaRPr lang="en-AU" sz="1000">
            <a:effectLst/>
            <a:latin typeface="Arial" panose="020B0604020202020204" pitchFamily="34" charset="0"/>
            <a:ea typeface="Inter" panose="020B0502030000000004" pitchFamily="34" charset="0"/>
            <a:cs typeface="Arial" panose="020B0604020202020204" pitchFamily="34" charset="0"/>
          </a:endParaRPr>
        </a:p>
        <a:p>
          <a:r>
            <a:rPr lang="en-US" sz="1000">
              <a:solidFill>
                <a:schemeClr val="dk1"/>
              </a:solidFill>
              <a:effectLst/>
              <a:latin typeface="Arial" panose="020B0604020202020204" pitchFamily="34" charset="0"/>
              <a:ea typeface="Inter" panose="020B0502030000000004" pitchFamily="34" charset="0"/>
              <a:cs typeface="Arial" panose="020B0604020202020204" pitchFamily="34" charset="0"/>
            </a:rPr>
            <a:t>The material in this publication is licensed under a Creative Commons Attribution—4.0 International licence, with the exception of third party materials and any trade marks. It is provided for general information only and without warranties of any kind. More information on this CC BY licence is set out at the</a:t>
          </a:r>
          <a:r>
            <a:rPr lang="en-AU" sz="1000">
              <a:solidFill>
                <a:schemeClr val="dk1"/>
              </a:solidFill>
              <a:effectLst/>
              <a:latin typeface="Arial" panose="020B0604020202020204" pitchFamily="34" charset="0"/>
              <a:ea typeface="Inter" panose="020B0502030000000004" pitchFamily="34" charset="0"/>
              <a:cs typeface="Arial" panose="020B0604020202020204" pitchFamily="34" charset="0"/>
            </a:rPr>
            <a:t> </a:t>
          </a:r>
          <a:r>
            <a:rPr lang="en-US" sz="1000">
              <a:solidFill>
                <a:schemeClr val="dk1"/>
              </a:solidFill>
              <a:effectLst/>
              <a:latin typeface="Arial" panose="020B0604020202020204" pitchFamily="34" charset="0"/>
              <a:ea typeface="Inter" panose="020B0502030000000004" pitchFamily="34" charset="0"/>
              <a:cs typeface="Arial" panose="020B0604020202020204" pitchFamily="34" charset="0"/>
            </a:rPr>
            <a:t>Creative Commons website (</a:t>
          </a:r>
          <a:r>
            <a:rPr lang="en-US" sz="1000" u="sng">
              <a:solidFill>
                <a:srgbClr val="0000FF"/>
              </a:solidFill>
              <a:effectLst/>
              <a:latin typeface="Arial" panose="020B0604020202020204" pitchFamily="34" charset="0"/>
              <a:ea typeface="Inter" panose="020B0502030000000004" pitchFamily="34" charset="0"/>
              <a:cs typeface="Arial" panose="020B0604020202020204" pitchFamily="34" charset="0"/>
            </a:rPr>
            <a:t>creativecommons.org</a:t>
          </a:r>
          <a:r>
            <a:rPr lang="en-US" sz="1000">
              <a:solidFill>
                <a:schemeClr val="dk1"/>
              </a:solidFill>
              <a:effectLst/>
              <a:latin typeface="Arial" panose="020B0604020202020204" pitchFamily="34" charset="0"/>
              <a:ea typeface="Inter" panose="020B0502030000000004" pitchFamily="34" charset="0"/>
              <a:cs typeface="Arial" panose="020B0604020202020204" pitchFamily="34" charset="0"/>
            </a:rPr>
            <a:t>). For information regarding this publication, </a:t>
          </a:r>
          <a:r>
            <a:rPr lang="en-US" sz="1000" u="none">
              <a:solidFill>
                <a:schemeClr val="tx1"/>
              </a:solidFill>
              <a:effectLst/>
              <a:latin typeface="Arial" panose="020B0604020202020204" pitchFamily="34" charset="0"/>
              <a:ea typeface="Inter" panose="020B0502030000000004" pitchFamily="34" charset="0"/>
              <a:cs typeface="Arial" panose="020B0604020202020204" pitchFamily="34" charset="0"/>
            </a:rPr>
            <a:t>see abcb.gov.au</a:t>
          </a:r>
          <a:r>
            <a:rPr lang="en-US" sz="1000">
              <a:solidFill>
                <a:schemeClr val="dk1"/>
              </a:solidFill>
              <a:effectLst/>
              <a:latin typeface="Arial" panose="020B0604020202020204" pitchFamily="34" charset="0"/>
              <a:ea typeface="Inter" panose="020B0502030000000004" pitchFamily="34" charset="0"/>
              <a:cs typeface="Arial" panose="020B0604020202020204" pitchFamily="34" charset="0"/>
            </a:rPr>
            <a:t>.</a:t>
          </a:r>
          <a:endParaRPr lang="en-AU" sz="1000">
            <a:effectLst/>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editAs="oneCell">
    <xdr:from>
      <xdr:col>17</xdr:col>
      <xdr:colOff>78442</xdr:colOff>
      <xdr:row>38</xdr:row>
      <xdr:rowOff>176022</xdr:rowOff>
    </xdr:from>
    <xdr:to>
      <xdr:col>18</xdr:col>
      <xdr:colOff>371933</xdr:colOff>
      <xdr:row>39</xdr:row>
      <xdr:rowOff>199879</xdr:rowOff>
    </xdr:to>
    <xdr:sp macro="" textlink="" fLocksText="0">
      <xdr:nvSpPr>
        <xdr:cNvPr id="10" name="AutoShape 485" descr="help">
          <a:hlinkClick xmlns:r="http://schemas.openxmlformats.org/officeDocument/2006/relationships" r:id="rId14"/>
          <a:extLst>
            <a:ext uri="{FF2B5EF4-FFF2-40B4-BE49-F238E27FC236}">
              <a16:creationId xmlns:a16="http://schemas.microsoft.com/office/drawing/2014/main" id="{00000000-0008-0000-0000-00000A000000}"/>
            </a:ext>
          </a:extLst>
        </xdr:cNvPr>
        <xdr:cNvSpPr>
          <a:spLocks noChangeArrowheads="1"/>
        </xdr:cNvSpPr>
      </xdr:nvSpPr>
      <xdr:spPr bwMode="auto">
        <a:xfrm>
          <a:off x="12569799" y="7768808"/>
          <a:ext cx="970673" cy="252003"/>
        </a:xfrm>
        <a:prstGeom prst="rect">
          <a:avLst/>
        </a:prstGeom>
        <a:solidFill>
          <a:schemeClr val="bg1">
            <a:lumMod val="95000"/>
          </a:schemeClr>
        </a:solidFill>
        <a:ln w="19050" algn="ctr">
          <a:noFill/>
          <a:round/>
          <a:headEnd/>
          <a:tailEnd/>
        </a:ln>
        <a:effectLst>
          <a:innerShdw dist="25400" dir="2700000">
            <a:prstClr val="black">
              <a:alpha val="50000"/>
            </a:prstClr>
          </a:innerShdw>
        </a:effectLst>
      </xdr:spPr>
      <xdr:txBody>
        <a:bodyPr vertOverflow="clip" wrap="square" lIns="27432" tIns="22860" rIns="27432" bIns="22860" anchor="ctr" upright="1"/>
        <a:lstStyle/>
        <a:p>
          <a:pPr algn="ctr" rtl="0">
            <a:defRPr sz="1000"/>
          </a:pPr>
          <a:r>
            <a:rPr lang="en-AU" sz="1000" b="1" i="0" u="none" strike="noStrike" baseline="0">
              <a:solidFill>
                <a:schemeClr val="tx1"/>
              </a:solidFill>
              <a:latin typeface="Arial"/>
              <a:cs typeface="Arial"/>
            </a:rPr>
            <a:t>Help</a:t>
          </a:r>
          <a:endParaRPr lang="en-AU" sz="800" b="1" i="0" u="none" strike="noStrike" baseline="0">
            <a:solidFill>
              <a:schemeClr val="tx1"/>
            </a:solidFill>
            <a:latin typeface="Arial"/>
            <a:cs typeface="Arial"/>
          </a:endParaRPr>
        </a:p>
      </xdr:txBody>
    </xdr:sp>
    <xdr:clientData fLocksWithSheet="0"/>
  </xdr:twoCellAnchor>
  <xdr:twoCellAnchor editAs="oneCell">
    <xdr:from>
      <xdr:col>18</xdr:col>
      <xdr:colOff>402430</xdr:colOff>
      <xdr:row>37</xdr:row>
      <xdr:rowOff>71596</xdr:rowOff>
    </xdr:from>
    <xdr:to>
      <xdr:col>24</xdr:col>
      <xdr:colOff>476249</xdr:colOff>
      <xdr:row>41</xdr:row>
      <xdr:rowOff>86591</xdr:rowOff>
    </xdr:to>
    <xdr:sp macro="" textlink="">
      <xdr:nvSpPr>
        <xdr:cNvPr id="26" name="TextBox 1046">
          <a:extLst>
            <a:ext uri="{FF2B5EF4-FFF2-40B4-BE49-F238E27FC236}">
              <a16:creationId xmlns:a16="http://schemas.microsoft.com/office/drawing/2014/main" id="{00000000-0008-0000-0000-00001A000000}"/>
            </a:ext>
          </a:extLst>
        </xdr:cNvPr>
        <xdr:cNvSpPr txBox="1"/>
      </xdr:nvSpPr>
      <xdr:spPr>
        <a:xfrm>
          <a:off x="13574144" y="7487489"/>
          <a:ext cx="4155962" cy="8146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AU" sz="1200">
              <a:latin typeface="Arial" panose="020B0604020202020204" pitchFamily="34" charset="0"/>
              <a:cs typeface="Arial" panose="020B0604020202020204" pitchFamily="34" charset="0"/>
            </a:rPr>
            <a:t>A help guide is available via the</a:t>
          </a:r>
          <a:r>
            <a:rPr lang="en-AU" sz="1200" baseline="0">
              <a:latin typeface="Arial" panose="020B0604020202020204" pitchFamily="34" charset="0"/>
              <a:cs typeface="Arial" panose="020B0604020202020204" pitchFamily="34" charset="0"/>
            </a:rPr>
            <a:t> button</a:t>
          </a:r>
          <a:r>
            <a:rPr lang="en-AU" sz="1200">
              <a:latin typeface="Arial" panose="020B0604020202020204" pitchFamily="34" charset="0"/>
              <a:cs typeface="Arial" panose="020B0604020202020204" pitchFamily="34" charset="0"/>
            </a:rPr>
            <a:t> to provide guidance on how the calculator works, as</a:t>
          </a:r>
          <a:r>
            <a:rPr lang="en-AU" sz="1200" baseline="0">
              <a:latin typeface="Arial" panose="020B0604020202020204" pitchFamily="34" charset="0"/>
              <a:cs typeface="Arial" panose="020B0604020202020204" pitchFamily="34" charset="0"/>
            </a:rPr>
            <a:t> well as a section for version history providing details of updates made to the calculator.</a:t>
          </a:r>
        </a:p>
      </xdr:txBody>
    </xdr:sp>
    <xdr:clientData/>
  </xdr:twoCellAnchor>
  <xdr:twoCellAnchor editAs="oneCell">
    <xdr:from>
      <xdr:col>17</xdr:col>
      <xdr:colOff>78442</xdr:colOff>
      <xdr:row>42</xdr:row>
      <xdr:rowOff>178897</xdr:rowOff>
    </xdr:from>
    <xdr:to>
      <xdr:col>18</xdr:col>
      <xdr:colOff>371933</xdr:colOff>
      <xdr:row>44</xdr:row>
      <xdr:rowOff>58706</xdr:rowOff>
    </xdr:to>
    <xdr:sp macro="" textlink="" fLocksText="0">
      <xdr:nvSpPr>
        <xdr:cNvPr id="39" name="AutoShape 485" descr="help">
          <a:hlinkClick xmlns:r="http://schemas.openxmlformats.org/officeDocument/2006/relationships" r:id="rId15"/>
          <a:extLst>
            <a:ext uri="{FF2B5EF4-FFF2-40B4-BE49-F238E27FC236}">
              <a16:creationId xmlns:a16="http://schemas.microsoft.com/office/drawing/2014/main" id="{00000000-0008-0000-0000-000027000000}"/>
            </a:ext>
          </a:extLst>
        </xdr:cNvPr>
        <xdr:cNvSpPr>
          <a:spLocks noChangeArrowheads="1"/>
        </xdr:cNvSpPr>
      </xdr:nvSpPr>
      <xdr:spPr bwMode="auto">
        <a:xfrm>
          <a:off x="12569799" y="8574504"/>
          <a:ext cx="970673" cy="247202"/>
        </a:xfrm>
        <a:prstGeom prst="rect">
          <a:avLst/>
        </a:prstGeom>
        <a:solidFill>
          <a:schemeClr val="bg1">
            <a:lumMod val="95000"/>
          </a:schemeClr>
        </a:solidFill>
        <a:ln w="19050" algn="ctr">
          <a:noFill/>
          <a:round/>
          <a:headEnd/>
          <a:tailEnd/>
        </a:ln>
        <a:effectLst>
          <a:innerShdw dist="25400" dir="2700000">
            <a:prstClr val="black">
              <a:alpha val="50000"/>
            </a:prstClr>
          </a:innerShdw>
        </a:effectLst>
      </xdr:spPr>
      <xdr:txBody>
        <a:bodyPr vertOverflow="clip" wrap="square" lIns="27432" tIns="22860" rIns="27432" bIns="22860" anchor="ctr" upright="1"/>
        <a:lstStyle/>
        <a:p>
          <a:pPr algn="ctr" rtl="0">
            <a:defRPr sz="1000"/>
          </a:pPr>
          <a:r>
            <a:rPr lang="en-AU" sz="1000" b="1" i="0" u="none" strike="noStrike" baseline="0">
              <a:solidFill>
                <a:schemeClr val="tx1"/>
              </a:solidFill>
              <a:latin typeface="Arial"/>
              <a:cs typeface="Arial"/>
            </a:rPr>
            <a:t>Worksheet</a:t>
          </a:r>
        </a:p>
      </xdr:txBody>
    </xdr:sp>
    <xdr:clientData fLocksWithSheet="0"/>
  </xdr:twoCellAnchor>
  <xdr:twoCellAnchor editAs="oneCell">
    <xdr:from>
      <xdr:col>18</xdr:col>
      <xdr:colOff>402430</xdr:colOff>
      <xdr:row>42</xdr:row>
      <xdr:rowOff>62312</xdr:rowOff>
    </xdr:from>
    <xdr:to>
      <xdr:col>24</xdr:col>
      <xdr:colOff>476249</xdr:colOff>
      <xdr:row>44</xdr:row>
      <xdr:rowOff>164914</xdr:rowOff>
    </xdr:to>
    <xdr:sp macro="" textlink="">
      <xdr:nvSpPr>
        <xdr:cNvPr id="44" name="TextBox 1046">
          <a:extLst>
            <a:ext uri="{FF2B5EF4-FFF2-40B4-BE49-F238E27FC236}">
              <a16:creationId xmlns:a16="http://schemas.microsoft.com/office/drawing/2014/main" id="{00000000-0008-0000-0000-00002C000000}"/>
            </a:ext>
          </a:extLst>
        </xdr:cNvPr>
        <xdr:cNvSpPr txBox="1"/>
      </xdr:nvSpPr>
      <xdr:spPr>
        <a:xfrm>
          <a:off x="13574144" y="8457919"/>
          <a:ext cx="4155962" cy="4731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AU" sz="1200">
              <a:latin typeface="Arial" panose="020B0604020202020204" pitchFamily="34" charset="0"/>
              <a:cs typeface="Arial" panose="020B0604020202020204" pitchFamily="34" charset="0"/>
            </a:rPr>
            <a:t>A</a:t>
          </a:r>
          <a:r>
            <a:rPr lang="en-AU" sz="1200" baseline="0">
              <a:latin typeface="Arial" panose="020B0604020202020204" pitchFamily="34" charset="0"/>
              <a:cs typeface="Arial" panose="020B0604020202020204" pitchFamily="34" charset="0"/>
            </a:rPr>
            <a:t> worksheet </a:t>
          </a:r>
          <a:r>
            <a:rPr lang="en-AU" sz="1200">
              <a:latin typeface="Arial" panose="020B0604020202020204" pitchFamily="34" charset="0"/>
              <a:cs typeface="Arial" panose="020B0604020202020204" pitchFamily="34" charset="0"/>
            </a:rPr>
            <a:t>is available via the</a:t>
          </a:r>
          <a:r>
            <a:rPr lang="en-AU" sz="1200" baseline="0">
              <a:latin typeface="Arial" panose="020B0604020202020204" pitchFamily="34" charset="0"/>
              <a:cs typeface="Arial" panose="020B0604020202020204" pitchFamily="34" charset="0"/>
            </a:rPr>
            <a:t> button</a:t>
          </a:r>
          <a:r>
            <a:rPr lang="en-AU" sz="1200">
              <a:latin typeface="Arial" panose="020B0604020202020204" pitchFamily="34" charset="0"/>
              <a:cs typeface="Arial" panose="020B0604020202020204" pitchFamily="34" charset="0"/>
            </a:rPr>
            <a:t> for recording notes and making calculations (where desired).</a:t>
          </a:r>
          <a:endParaRPr lang="en-AU" sz="1200" baseline="0">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155864</xdr:colOff>
      <xdr:row>0</xdr:row>
      <xdr:rowOff>190500</xdr:rowOff>
    </xdr:from>
    <xdr:to>
      <xdr:col>11</xdr:col>
      <xdr:colOff>772293</xdr:colOff>
      <xdr:row>5</xdr:row>
      <xdr:rowOff>67580</xdr:rowOff>
    </xdr:to>
    <xdr:grpSp>
      <xdr:nvGrpSpPr>
        <xdr:cNvPr id="62" name="Group 6">
          <a:extLst>
            <a:ext uri="{FF2B5EF4-FFF2-40B4-BE49-F238E27FC236}">
              <a16:creationId xmlns:a16="http://schemas.microsoft.com/office/drawing/2014/main" id="{00000000-0008-0000-1400-00003E000000}"/>
            </a:ext>
          </a:extLst>
        </xdr:cNvPr>
        <xdr:cNvGrpSpPr/>
      </xdr:nvGrpSpPr>
      <xdr:grpSpPr>
        <a:xfrm>
          <a:off x="159039" y="180975"/>
          <a:ext cx="13317550" cy="779901"/>
          <a:chOff x="247650" y="186690"/>
          <a:chExt cx="13481564" cy="778298"/>
        </a:xfrm>
      </xdr:grpSpPr>
      <xdr:grpSp>
        <xdr:nvGrpSpPr>
          <xdr:cNvPr id="63" name="Group 7">
            <a:extLst>
              <a:ext uri="{FF2B5EF4-FFF2-40B4-BE49-F238E27FC236}">
                <a16:creationId xmlns:a16="http://schemas.microsoft.com/office/drawing/2014/main" id="{00000000-0008-0000-1400-00003F000000}"/>
              </a:ext>
            </a:extLst>
          </xdr:cNvPr>
          <xdr:cNvGrpSpPr/>
        </xdr:nvGrpSpPr>
        <xdr:grpSpPr>
          <a:xfrm>
            <a:off x="840105" y="186690"/>
            <a:ext cx="12892919" cy="782108"/>
            <a:chOff x="815423" y="438150"/>
            <a:chExt cx="10640147" cy="814493"/>
          </a:xfrm>
        </xdr:grpSpPr>
        <xdr:sp macro="" textlink="">
          <xdr:nvSpPr>
            <xdr:cNvPr id="14336" name="TextBox 31">
              <a:extLst>
                <a:ext uri="{FF2B5EF4-FFF2-40B4-BE49-F238E27FC236}">
                  <a16:creationId xmlns:a16="http://schemas.microsoft.com/office/drawing/2014/main" id="{00000000-0008-0000-1400-000000380000}"/>
                </a:ext>
              </a:extLst>
            </xdr:cNvPr>
            <xdr:cNvSpPr txBox="1"/>
          </xdr:nvSpPr>
          <xdr:spPr>
            <a:xfrm>
              <a:off x="815423" y="619125"/>
              <a:ext cx="10640147" cy="633518"/>
            </a:xfrm>
            <a:prstGeom prst="rect">
              <a:avLst/>
            </a:prstGeom>
            <a:noFill/>
          </xdr:spPr>
          <xdr:txBody>
            <a:bodyPr wrap="square" rtlCol="0">
              <a:noAutofit/>
            </a:bodyPr>
            <a:lstStyle/>
            <a:p>
              <a:pPr algn="l"/>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13.4 BUILDING</a:t>
              </a:r>
              <a:r>
                <a:rPr lang="en-US" sz="40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t> SEALING</a:t>
              </a:r>
              <a:endPar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sp macro="" textlink="Name">
          <xdr:nvSpPr>
            <xdr:cNvPr id="14337" name="TextBox 31">
              <a:extLst>
                <a:ext uri="{FF2B5EF4-FFF2-40B4-BE49-F238E27FC236}">
                  <a16:creationId xmlns:a16="http://schemas.microsoft.com/office/drawing/2014/main" id="{00000000-0008-0000-1400-000001380000}"/>
                </a:ext>
              </a:extLst>
            </xdr:cNvPr>
            <xdr:cNvSpPr txBox="1"/>
          </xdr:nvSpPr>
          <xdr:spPr>
            <a:xfrm>
              <a:off x="815423" y="438150"/>
              <a:ext cx="10640147" cy="24765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2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pPr algn="l"/>
                <a:t>Housing Energy Efficiency Calculator</a:t>
              </a:fld>
              <a:endParaRPr lang="en-AU" sz="1200" b="0" spc="1190" baseline="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grpSp>
      <xdr:pic>
        <xdr:nvPicPr>
          <xdr:cNvPr id="14338" name="Picture 8" descr="A white arrow in a circle&#10;&#10;Description automatically generated">
            <a:hlinkClick xmlns:r="http://schemas.openxmlformats.org/officeDocument/2006/relationships" r:id="rId1"/>
            <a:extLst>
              <a:ext uri="{FF2B5EF4-FFF2-40B4-BE49-F238E27FC236}">
                <a16:creationId xmlns:a16="http://schemas.microsoft.com/office/drawing/2014/main" id="{00000000-0008-0000-1400-000002380000}"/>
              </a:ext>
            </a:extLst>
          </xdr:cNvPr>
          <xdr:cNvPicPr>
            <a:picLocks noChangeAspect="1"/>
          </xdr:cNvPicPr>
        </xdr:nvPicPr>
        <xdr:blipFill>
          <a:blip xmlns:r="http://schemas.openxmlformats.org/officeDocument/2006/relationships" r:embed="rId2">
            <a:biLevel thresh="25000"/>
            <a:extLst>
              <a:ext uri="{BEBA8EAE-BF5A-486C-A8C5-ECC9F3942E4B}">
                <a14:imgProps xmlns:a14="http://schemas.microsoft.com/office/drawing/2010/main">
                  <a14:imgLayer r:embed="rId3">
                    <a14:imgEffect>
                      <a14:brightnessContrast bright="-40000" contrast="-40000"/>
                    </a14:imgEffect>
                  </a14:imgLayer>
                </a14:imgProps>
              </a:ext>
            </a:extLst>
          </a:blip>
          <a:stretch>
            <a:fillRect/>
          </a:stretch>
        </xdr:blipFill>
        <xdr:spPr>
          <a:xfrm>
            <a:off x="247650" y="354261"/>
            <a:ext cx="459789" cy="443155"/>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4</xdr:col>
          <xdr:colOff>133350</xdr:colOff>
          <xdr:row>17</xdr:row>
          <xdr:rowOff>19050</xdr:rowOff>
        </xdr:from>
        <xdr:to>
          <xdr:col>4</xdr:col>
          <xdr:colOff>342900</xdr:colOff>
          <xdr:row>18</xdr:row>
          <xdr:rowOff>38100</xdr:rowOff>
        </xdr:to>
        <xdr:sp macro="" textlink="">
          <xdr:nvSpPr>
            <xdr:cNvPr id="14375" name="Check Box 39" hidden="1">
              <a:extLst>
                <a:ext uri="{63B3BB69-23CF-44E3-9099-C40C66FF867C}">
                  <a14:compatExt spid="_x0000_s14375"/>
                </a:ext>
                <a:ext uri="{FF2B5EF4-FFF2-40B4-BE49-F238E27FC236}">
                  <a16:creationId xmlns:a16="http://schemas.microsoft.com/office/drawing/2014/main" id="{00000000-0008-0000-1400-00002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10</xdr:col>
          <xdr:colOff>133350</xdr:colOff>
          <xdr:row>53</xdr:row>
          <xdr:rowOff>19050</xdr:rowOff>
        </xdr:from>
        <xdr:to>
          <xdr:col>10</xdr:col>
          <xdr:colOff>342900</xdr:colOff>
          <xdr:row>54</xdr:row>
          <xdr:rowOff>19050</xdr:rowOff>
        </xdr:to>
        <xdr:sp macro="" textlink="">
          <xdr:nvSpPr>
            <xdr:cNvPr id="14384" name="Check Box 48" hidden="1">
              <a:extLst>
                <a:ext uri="{63B3BB69-23CF-44E3-9099-C40C66FF867C}">
                  <a14:compatExt spid="_x0000_s14384"/>
                </a:ext>
                <a:ext uri="{FF2B5EF4-FFF2-40B4-BE49-F238E27FC236}">
                  <a16:creationId xmlns:a16="http://schemas.microsoft.com/office/drawing/2014/main" id="{00000000-0008-0000-1400-00003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10</xdr:col>
          <xdr:colOff>133350</xdr:colOff>
          <xdr:row>54</xdr:row>
          <xdr:rowOff>19050</xdr:rowOff>
        </xdr:from>
        <xdr:to>
          <xdr:col>10</xdr:col>
          <xdr:colOff>342900</xdr:colOff>
          <xdr:row>55</xdr:row>
          <xdr:rowOff>19050</xdr:rowOff>
        </xdr:to>
        <xdr:sp macro="" textlink="">
          <xdr:nvSpPr>
            <xdr:cNvPr id="14385" name="Check Box 49" hidden="1">
              <a:extLst>
                <a:ext uri="{63B3BB69-23CF-44E3-9099-C40C66FF867C}">
                  <a14:compatExt spid="_x0000_s14385"/>
                </a:ext>
                <a:ext uri="{FF2B5EF4-FFF2-40B4-BE49-F238E27FC236}">
                  <a16:creationId xmlns:a16="http://schemas.microsoft.com/office/drawing/2014/main" id="{00000000-0008-0000-1400-00003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10</xdr:col>
          <xdr:colOff>133350</xdr:colOff>
          <xdr:row>55</xdr:row>
          <xdr:rowOff>19050</xdr:rowOff>
        </xdr:from>
        <xdr:to>
          <xdr:col>10</xdr:col>
          <xdr:colOff>342900</xdr:colOff>
          <xdr:row>56</xdr:row>
          <xdr:rowOff>19050</xdr:rowOff>
        </xdr:to>
        <xdr:sp macro="" textlink="">
          <xdr:nvSpPr>
            <xdr:cNvPr id="14386" name="Check Box 50" hidden="1">
              <a:extLst>
                <a:ext uri="{63B3BB69-23CF-44E3-9099-C40C66FF867C}">
                  <a14:compatExt spid="_x0000_s14386"/>
                </a:ext>
                <a:ext uri="{FF2B5EF4-FFF2-40B4-BE49-F238E27FC236}">
                  <a16:creationId xmlns:a16="http://schemas.microsoft.com/office/drawing/2014/main" id="{00000000-0008-0000-1400-00003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10</xdr:col>
          <xdr:colOff>133350</xdr:colOff>
          <xdr:row>56</xdr:row>
          <xdr:rowOff>19050</xdr:rowOff>
        </xdr:from>
        <xdr:to>
          <xdr:col>10</xdr:col>
          <xdr:colOff>342900</xdr:colOff>
          <xdr:row>57</xdr:row>
          <xdr:rowOff>0</xdr:rowOff>
        </xdr:to>
        <xdr:sp macro="" textlink="">
          <xdr:nvSpPr>
            <xdr:cNvPr id="14387" name="Check Box 51" hidden="1">
              <a:extLst>
                <a:ext uri="{63B3BB69-23CF-44E3-9099-C40C66FF867C}">
                  <a14:compatExt spid="_x0000_s14387"/>
                </a:ext>
                <a:ext uri="{FF2B5EF4-FFF2-40B4-BE49-F238E27FC236}">
                  <a16:creationId xmlns:a16="http://schemas.microsoft.com/office/drawing/2014/main" id="{00000000-0008-0000-1400-00003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66</xdr:row>
          <xdr:rowOff>88900</xdr:rowOff>
        </xdr:from>
        <xdr:to>
          <xdr:col>11</xdr:col>
          <xdr:colOff>323850</xdr:colOff>
          <xdr:row>66</xdr:row>
          <xdr:rowOff>266700</xdr:rowOff>
        </xdr:to>
        <xdr:sp macro="" textlink="">
          <xdr:nvSpPr>
            <xdr:cNvPr id="14394" name="Check Box 58" hidden="1">
              <a:extLst>
                <a:ext uri="{63B3BB69-23CF-44E3-9099-C40C66FF867C}">
                  <a14:compatExt spid="_x0000_s14394"/>
                </a:ext>
                <a:ext uri="{FF2B5EF4-FFF2-40B4-BE49-F238E27FC236}">
                  <a16:creationId xmlns:a16="http://schemas.microsoft.com/office/drawing/2014/main" id="{00000000-0008-0000-1400-00003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67</xdr:row>
          <xdr:rowOff>88900</xdr:rowOff>
        </xdr:from>
        <xdr:to>
          <xdr:col>11</xdr:col>
          <xdr:colOff>323850</xdr:colOff>
          <xdr:row>67</xdr:row>
          <xdr:rowOff>266700</xdr:rowOff>
        </xdr:to>
        <xdr:sp macro="" textlink="">
          <xdr:nvSpPr>
            <xdr:cNvPr id="14395" name="Check Box 59" hidden="1">
              <a:extLst>
                <a:ext uri="{63B3BB69-23CF-44E3-9099-C40C66FF867C}">
                  <a14:compatExt spid="_x0000_s14395"/>
                </a:ext>
                <a:ext uri="{FF2B5EF4-FFF2-40B4-BE49-F238E27FC236}">
                  <a16:creationId xmlns:a16="http://schemas.microsoft.com/office/drawing/2014/main" id="{00000000-0008-0000-1400-00003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68</xdr:row>
          <xdr:rowOff>88900</xdr:rowOff>
        </xdr:from>
        <xdr:to>
          <xdr:col>11</xdr:col>
          <xdr:colOff>323850</xdr:colOff>
          <xdr:row>68</xdr:row>
          <xdr:rowOff>260350</xdr:rowOff>
        </xdr:to>
        <xdr:sp macro="" textlink="">
          <xdr:nvSpPr>
            <xdr:cNvPr id="14396" name="Check Box 60" hidden="1">
              <a:extLst>
                <a:ext uri="{63B3BB69-23CF-44E3-9099-C40C66FF867C}">
                  <a14:compatExt spid="_x0000_s14396"/>
                </a:ext>
                <a:ext uri="{FF2B5EF4-FFF2-40B4-BE49-F238E27FC236}">
                  <a16:creationId xmlns:a16="http://schemas.microsoft.com/office/drawing/2014/main" id="{00000000-0008-0000-1400-00003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69</xdr:row>
          <xdr:rowOff>76200</xdr:rowOff>
        </xdr:from>
        <xdr:to>
          <xdr:col>11</xdr:col>
          <xdr:colOff>323850</xdr:colOff>
          <xdr:row>69</xdr:row>
          <xdr:rowOff>260350</xdr:rowOff>
        </xdr:to>
        <xdr:sp macro="" textlink="">
          <xdr:nvSpPr>
            <xdr:cNvPr id="14397" name="Check Box 61" hidden="1">
              <a:extLst>
                <a:ext uri="{63B3BB69-23CF-44E3-9099-C40C66FF867C}">
                  <a14:compatExt spid="_x0000_s14397"/>
                </a:ext>
                <a:ext uri="{FF2B5EF4-FFF2-40B4-BE49-F238E27FC236}">
                  <a16:creationId xmlns:a16="http://schemas.microsoft.com/office/drawing/2014/main" id="{00000000-0008-0000-1400-00003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70</xdr:row>
          <xdr:rowOff>76200</xdr:rowOff>
        </xdr:from>
        <xdr:to>
          <xdr:col>11</xdr:col>
          <xdr:colOff>323850</xdr:colOff>
          <xdr:row>70</xdr:row>
          <xdr:rowOff>260350</xdr:rowOff>
        </xdr:to>
        <xdr:sp macro="" textlink="">
          <xdr:nvSpPr>
            <xdr:cNvPr id="14398" name="Check Box 62" hidden="1">
              <a:extLst>
                <a:ext uri="{63B3BB69-23CF-44E3-9099-C40C66FF867C}">
                  <a14:compatExt spid="_x0000_s14398"/>
                </a:ext>
                <a:ext uri="{FF2B5EF4-FFF2-40B4-BE49-F238E27FC236}">
                  <a16:creationId xmlns:a16="http://schemas.microsoft.com/office/drawing/2014/main" id="{00000000-0008-0000-1400-00003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71</xdr:row>
          <xdr:rowOff>76200</xdr:rowOff>
        </xdr:from>
        <xdr:to>
          <xdr:col>11</xdr:col>
          <xdr:colOff>323850</xdr:colOff>
          <xdr:row>71</xdr:row>
          <xdr:rowOff>247650</xdr:rowOff>
        </xdr:to>
        <xdr:sp macro="" textlink="">
          <xdr:nvSpPr>
            <xdr:cNvPr id="14399" name="Check Box 63" hidden="1">
              <a:extLst>
                <a:ext uri="{63B3BB69-23CF-44E3-9099-C40C66FF867C}">
                  <a14:compatExt spid="_x0000_s14399"/>
                </a:ext>
                <a:ext uri="{FF2B5EF4-FFF2-40B4-BE49-F238E27FC236}">
                  <a16:creationId xmlns:a16="http://schemas.microsoft.com/office/drawing/2014/main" id="{00000000-0008-0000-1400-00003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72</xdr:row>
          <xdr:rowOff>69850</xdr:rowOff>
        </xdr:from>
        <xdr:to>
          <xdr:col>11</xdr:col>
          <xdr:colOff>323850</xdr:colOff>
          <xdr:row>72</xdr:row>
          <xdr:rowOff>247650</xdr:rowOff>
        </xdr:to>
        <xdr:sp macro="" textlink="">
          <xdr:nvSpPr>
            <xdr:cNvPr id="14400" name="Check Box 64" hidden="1">
              <a:extLst>
                <a:ext uri="{63B3BB69-23CF-44E3-9099-C40C66FF867C}">
                  <a14:compatExt spid="_x0000_s14400"/>
                </a:ext>
                <a:ext uri="{FF2B5EF4-FFF2-40B4-BE49-F238E27FC236}">
                  <a16:creationId xmlns:a16="http://schemas.microsoft.com/office/drawing/2014/main" id="{00000000-0008-0000-1400-00004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73</xdr:row>
          <xdr:rowOff>69850</xdr:rowOff>
        </xdr:from>
        <xdr:to>
          <xdr:col>11</xdr:col>
          <xdr:colOff>323850</xdr:colOff>
          <xdr:row>73</xdr:row>
          <xdr:rowOff>247650</xdr:rowOff>
        </xdr:to>
        <xdr:sp macro="" textlink="">
          <xdr:nvSpPr>
            <xdr:cNvPr id="14401" name="Check Box 65" hidden="1">
              <a:extLst>
                <a:ext uri="{63B3BB69-23CF-44E3-9099-C40C66FF867C}">
                  <a14:compatExt spid="_x0000_s14401"/>
                </a:ext>
                <a:ext uri="{FF2B5EF4-FFF2-40B4-BE49-F238E27FC236}">
                  <a16:creationId xmlns:a16="http://schemas.microsoft.com/office/drawing/2014/main" id="{00000000-0008-0000-1400-00004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74</xdr:row>
          <xdr:rowOff>69850</xdr:rowOff>
        </xdr:from>
        <xdr:to>
          <xdr:col>11</xdr:col>
          <xdr:colOff>323850</xdr:colOff>
          <xdr:row>74</xdr:row>
          <xdr:rowOff>247650</xdr:rowOff>
        </xdr:to>
        <xdr:sp macro="" textlink="">
          <xdr:nvSpPr>
            <xdr:cNvPr id="14402" name="Check Box 66" hidden="1">
              <a:extLst>
                <a:ext uri="{63B3BB69-23CF-44E3-9099-C40C66FF867C}">
                  <a14:compatExt spid="_x0000_s14402"/>
                </a:ext>
                <a:ext uri="{FF2B5EF4-FFF2-40B4-BE49-F238E27FC236}">
                  <a16:creationId xmlns:a16="http://schemas.microsoft.com/office/drawing/2014/main" id="{00000000-0008-0000-1400-00004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75</xdr:row>
          <xdr:rowOff>57150</xdr:rowOff>
        </xdr:from>
        <xdr:to>
          <xdr:col>11</xdr:col>
          <xdr:colOff>323850</xdr:colOff>
          <xdr:row>75</xdr:row>
          <xdr:rowOff>247650</xdr:rowOff>
        </xdr:to>
        <xdr:sp macro="" textlink="">
          <xdr:nvSpPr>
            <xdr:cNvPr id="14403" name="Check Box 67" hidden="1">
              <a:extLst>
                <a:ext uri="{63B3BB69-23CF-44E3-9099-C40C66FF867C}">
                  <a14:compatExt spid="_x0000_s14403"/>
                </a:ext>
                <a:ext uri="{FF2B5EF4-FFF2-40B4-BE49-F238E27FC236}">
                  <a16:creationId xmlns:a16="http://schemas.microsoft.com/office/drawing/2014/main" id="{00000000-0008-0000-1400-00004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4</xdr:col>
          <xdr:colOff>76200</xdr:colOff>
          <xdr:row>80</xdr:row>
          <xdr:rowOff>114300</xdr:rowOff>
        </xdr:from>
        <xdr:to>
          <xdr:col>4</xdr:col>
          <xdr:colOff>298450</xdr:colOff>
          <xdr:row>80</xdr:row>
          <xdr:rowOff>336550</xdr:rowOff>
        </xdr:to>
        <xdr:sp macro="" textlink="">
          <xdr:nvSpPr>
            <xdr:cNvPr id="14425" name="Check Box 89" hidden="1">
              <a:extLst>
                <a:ext uri="{63B3BB69-23CF-44E3-9099-C40C66FF867C}">
                  <a14:compatExt spid="_x0000_s14425"/>
                </a:ext>
                <a:ext uri="{FF2B5EF4-FFF2-40B4-BE49-F238E27FC236}">
                  <a16:creationId xmlns:a16="http://schemas.microsoft.com/office/drawing/2014/main" id="{00000000-0008-0000-1400-00005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4</xdr:col>
          <xdr:colOff>31750</xdr:colOff>
          <xdr:row>84</xdr:row>
          <xdr:rowOff>107950</xdr:rowOff>
        </xdr:from>
        <xdr:to>
          <xdr:col>4</xdr:col>
          <xdr:colOff>247650</xdr:colOff>
          <xdr:row>84</xdr:row>
          <xdr:rowOff>323850</xdr:rowOff>
        </xdr:to>
        <xdr:sp macro="" textlink="">
          <xdr:nvSpPr>
            <xdr:cNvPr id="14427" name="Check Box 91" hidden="1">
              <a:extLst>
                <a:ext uri="{63B3BB69-23CF-44E3-9099-C40C66FF867C}">
                  <a14:compatExt spid="_x0000_s14427"/>
                </a:ext>
                <a:ext uri="{FF2B5EF4-FFF2-40B4-BE49-F238E27FC236}">
                  <a16:creationId xmlns:a16="http://schemas.microsoft.com/office/drawing/2014/main" id="{00000000-0008-0000-1400-00005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47</xdr:row>
          <xdr:rowOff>190500</xdr:rowOff>
        </xdr:from>
        <xdr:to>
          <xdr:col>4</xdr:col>
          <xdr:colOff>342900</xdr:colOff>
          <xdr:row>49</xdr:row>
          <xdr:rowOff>31750</xdr:rowOff>
        </xdr:to>
        <xdr:sp macro="" textlink="">
          <xdr:nvSpPr>
            <xdr:cNvPr id="14435" name="Check Box 99" hidden="1">
              <a:extLst>
                <a:ext uri="{63B3BB69-23CF-44E3-9099-C40C66FF867C}">
                  <a14:compatExt spid="_x0000_s14435"/>
                </a:ext>
                <a:ext uri="{FF2B5EF4-FFF2-40B4-BE49-F238E27FC236}">
                  <a16:creationId xmlns:a16="http://schemas.microsoft.com/office/drawing/2014/main" id="{00000000-0008-0000-1400-00006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30</xdr:row>
          <xdr:rowOff>57150</xdr:rowOff>
        </xdr:from>
        <xdr:to>
          <xdr:col>11</xdr:col>
          <xdr:colOff>355600</xdr:colOff>
          <xdr:row>30</xdr:row>
          <xdr:rowOff>266700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14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31</xdr:row>
          <xdr:rowOff>57150</xdr:rowOff>
        </xdr:from>
        <xdr:to>
          <xdr:col>11</xdr:col>
          <xdr:colOff>355600</xdr:colOff>
          <xdr:row>31</xdr:row>
          <xdr:rowOff>266700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1400-00000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32</xdr:row>
          <xdr:rowOff>57150</xdr:rowOff>
        </xdr:from>
        <xdr:to>
          <xdr:col>11</xdr:col>
          <xdr:colOff>355600</xdr:colOff>
          <xdr:row>32</xdr:row>
          <xdr:rowOff>266700</xdr:rowOff>
        </xdr:to>
        <xdr:sp macro="" textlink="">
          <xdr:nvSpPr>
            <xdr:cNvPr id="14376" name="Check Box 40" hidden="1">
              <a:extLst>
                <a:ext uri="{63B3BB69-23CF-44E3-9099-C40C66FF867C}">
                  <a14:compatExt spid="_x0000_s14376"/>
                </a:ext>
                <a:ext uri="{FF2B5EF4-FFF2-40B4-BE49-F238E27FC236}">
                  <a16:creationId xmlns:a16="http://schemas.microsoft.com/office/drawing/2014/main" id="{00000000-0008-0000-1400-00002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33</xdr:row>
          <xdr:rowOff>57150</xdr:rowOff>
        </xdr:from>
        <xdr:to>
          <xdr:col>11</xdr:col>
          <xdr:colOff>355600</xdr:colOff>
          <xdr:row>33</xdr:row>
          <xdr:rowOff>266700</xdr:rowOff>
        </xdr:to>
        <xdr:sp macro="" textlink="">
          <xdr:nvSpPr>
            <xdr:cNvPr id="14377" name="Check Box 41" hidden="1">
              <a:extLst>
                <a:ext uri="{63B3BB69-23CF-44E3-9099-C40C66FF867C}">
                  <a14:compatExt spid="_x0000_s14377"/>
                </a:ext>
                <a:ext uri="{FF2B5EF4-FFF2-40B4-BE49-F238E27FC236}">
                  <a16:creationId xmlns:a16="http://schemas.microsoft.com/office/drawing/2014/main" id="{00000000-0008-0000-1400-00002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34</xdr:row>
          <xdr:rowOff>57150</xdr:rowOff>
        </xdr:from>
        <xdr:to>
          <xdr:col>11</xdr:col>
          <xdr:colOff>355600</xdr:colOff>
          <xdr:row>34</xdr:row>
          <xdr:rowOff>266700</xdr:rowOff>
        </xdr:to>
        <xdr:sp macro="" textlink="">
          <xdr:nvSpPr>
            <xdr:cNvPr id="14378" name="Check Box 42" hidden="1">
              <a:extLst>
                <a:ext uri="{63B3BB69-23CF-44E3-9099-C40C66FF867C}">
                  <a14:compatExt spid="_x0000_s14378"/>
                </a:ext>
                <a:ext uri="{FF2B5EF4-FFF2-40B4-BE49-F238E27FC236}">
                  <a16:creationId xmlns:a16="http://schemas.microsoft.com/office/drawing/2014/main" id="{00000000-0008-0000-1400-00002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35</xdr:row>
          <xdr:rowOff>57150</xdr:rowOff>
        </xdr:from>
        <xdr:to>
          <xdr:col>11</xdr:col>
          <xdr:colOff>355600</xdr:colOff>
          <xdr:row>35</xdr:row>
          <xdr:rowOff>266700</xdr:rowOff>
        </xdr:to>
        <xdr:sp macro="" textlink="">
          <xdr:nvSpPr>
            <xdr:cNvPr id="14379" name="Check Box 43" hidden="1">
              <a:extLst>
                <a:ext uri="{63B3BB69-23CF-44E3-9099-C40C66FF867C}">
                  <a14:compatExt spid="_x0000_s14379"/>
                </a:ext>
                <a:ext uri="{FF2B5EF4-FFF2-40B4-BE49-F238E27FC236}">
                  <a16:creationId xmlns:a16="http://schemas.microsoft.com/office/drawing/2014/main" id="{00000000-0008-0000-1400-00002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36</xdr:row>
          <xdr:rowOff>57150</xdr:rowOff>
        </xdr:from>
        <xdr:to>
          <xdr:col>11</xdr:col>
          <xdr:colOff>355600</xdr:colOff>
          <xdr:row>36</xdr:row>
          <xdr:rowOff>266700</xdr:rowOff>
        </xdr:to>
        <xdr:sp macro="" textlink="">
          <xdr:nvSpPr>
            <xdr:cNvPr id="14380" name="Check Box 44" hidden="1">
              <a:extLst>
                <a:ext uri="{63B3BB69-23CF-44E3-9099-C40C66FF867C}">
                  <a14:compatExt spid="_x0000_s14380"/>
                </a:ext>
                <a:ext uri="{FF2B5EF4-FFF2-40B4-BE49-F238E27FC236}">
                  <a16:creationId xmlns:a16="http://schemas.microsoft.com/office/drawing/2014/main" id="{00000000-0008-0000-1400-00002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37</xdr:row>
          <xdr:rowOff>57150</xdr:rowOff>
        </xdr:from>
        <xdr:to>
          <xdr:col>11</xdr:col>
          <xdr:colOff>355600</xdr:colOff>
          <xdr:row>37</xdr:row>
          <xdr:rowOff>266700</xdr:rowOff>
        </xdr:to>
        <xdr:sp macro="" textlink="">
          <xdr:nvSpPr>
            <xdr:cNvPr id="14381" name="Check Box 45" hidden="1">
              <a:extLst>
                <a:ext uri="{63B3BB69-23CF-44E3-9099-C40C66FF867C}">
                  <a14:compatExt spid="_x0000_s14381"/>
                </a:ext>
                <a:ext uri="{FF2B5EF4-FFF2-40B4-BE49-F238E27FC236}">
                  <a16:creationId xmlns:a16="http://schemas.microsoft.com/office/drawing/2014/main" id="{00000000-0008-0000-1400-00002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38</xdr:row>
          <xdr:rowOff>57150</xdr:rowOff>
        </xdr:from>
        <xdr:to>
          <xdr:col>11</xdr:col>
          <xdr:colOff>355600</xdr:colOff>
          <xdr:row>38</xdr:row>
          <xdr:rowOff>266700</xdr:rowOff>
        </xdr:to>
        <xdr:sp macro="" textlink="">
          <xdr:nvSpPr>
            <xdr:cNvPr id="14382" name="Check Box 46" hidden="1">
              <a:extLst>
                <a:ext uri="{63B3BB69-23CF-44E3-9099-C40C66FF867C}">
                  <a14:compatExt spid="_x0000_s14382"/>
                </a:ext>
                <a:ext uri="{FF2B5EF4-FFF2-40B4-BE49-F238E27FC236}">
                  <a16:creationId xmlns:a16="http://schemas.microsoft.com/office/drawing/2014/main" id="{00000000-0008-0000-1400-00002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39</xdr:row>
          <xdr:rowOff>57150</xdr:rowOff>
        </xdr:from>
        <xdr:to>
          <xdr:col>11</xdr:col>
          <xdr:colOff>355600</xdr:colOff>
          <xdr:row>39</xdr:row>
          <xdr:rowOff>266700</xdr:rowOff>
        </xdr:to>
        <xdr:sp macro="" textlink="">
          <xdr:nvSpPr>
            <xdr:cNvPr id="14436" name="Check Box 100" hidden="1">
              <a:extLst>
                <a:ext uri="{63B3BB69-23CF-44E3-9099-C40C66FF867C}">
                  <a14:compatExt spid="_x0000_s14436"/>
                </a:ext>
                <a:ext uri="{FF2B5EF4-FFF2-40B4-BE49-F238E27FC236}">
                  <a16:creationId xmlns:a16="http://schemas.microsoft.com/office/drawing/2014/main" id="{00000000-0008-0000-1400-00006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AU" sz="1100" b="0" i="0" u="none" strike="noStrike" baseline="0">
                  <a:solidFill>
                    <a:srgbClr val="000000"/>
                  </a:solidFill>
                  <a:latin typeface="Arial"/>
                  <a:cs typeface="Arial"/>
                </a:rPr>
                <a:t>                                                                                                                                                                        </a:t>
              </a:r>
            </a:p>
          </xdr:txBody>
        </xdr:sp>
        <xdr:clientData fLock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114300</xdr:rowOff>
    </xdr:from>
    <xdr:to>
      <xdr:col>6</xdr:col>
      <xdr:colOff>569653</xdr:colOff>
      <xdr:row>0</xdr:row>
      <xdr:rowOff>924681</xdr:rowOff>
    </xdr:to>
    <xdr:grpSp>
      <xdr:nvGrpSpPr>
        <xdr:cNvPr id="2" name="Group 1">
          <a:extLst>
            <a:ext uri="{FF2B5EF4-FFF2-40B4-BE49-F238E27FC236}">
              <a16:creationId xmlns:a16="http://schemas.microsoft.com/office/drawing/2014/main" id="{00000000-0008-0000-1500-000002000000}"/>
            </a:ext>
          </a:extLst>
        </xdr:cNvPr>
        <xdr:cNvGrpSpPr/>
      </xdr:nvGrpSpPr>
      <xdr:grpSpPr>
        <a:xfrm>
          <a:off x="194235" y="114300"/>
          <a:ext cx="13605830" cy="810381"/>
          <a:chOff x="612322" y="489858"/>
          <a:chExt cx="13874104" cy="807206"/>
        </a:xfrm>
      </xdr:grpSpPr>
      <xdr:sp macro="" textlink="">
        <xdr:nvSpPr>
          <xdr:cNvPr id="3" name="TextBox 31">
            <a:extLst>
              <a:ext uri="{FF2B5EF4-FFF2-40B4-BE49-F238E27FC236}">
                <a16:creationId xmlns:a16="http://schemas.microsoft.com/office/drawing/2014/main" id="{00000000-0008-0000-1500-000003000000}"/>
              </a:ext>
            </a:extLst>
          </xdr:cNvPr>
          <xdr:cNvSpPr txBox="1"/>
        </xdr:nvSpPr>
        <xdr:spPr>
          <a:xfrm>
            <a:off x="1221855" y="665339"/>
            <a:ext cx="13264571" cy="614284"/>
          </a:xfrm>
          <a:prstGeom prst="rect">
            <a:avLst/>
          </a:prstGeom>
          <a:noFill/>
        </xdr:spPr>
        <xdr:txBody>
          <a:bodyPr wrap="square" rtlCol="0">
            <a:noAutofit/>
          </a:bodyPr>
          <a:lstStyle/>
          <a:p>
            <a:pPr algn="l"/>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13.5 CEILING</a:t>
            </a:r>
            <a:r>
              <a:rPr lang="en-US" sz="40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t> FANS</a:t>
            </a:r>
          </a:p>
          <a:p>
            <a:pPr algn="l"/>
            <a:r>
              <a:rPr lang="en-US" sz="40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t>HELP GUIDE</a:t>
            </a:r>
            <a:endPar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sp macro="" textlink="Name">
        <xdr:nvSpPr>
          <xdr:cNvPr id="4" name="TextBox 31">
            <a:extLst>
              <a:ext uri="{FF2B5EF4-FFF2-40B4-BE49-F238E27FC236}">
                <a16:creationId xmlns:a16="http://schemas.microsoft.com/office/drawing/2014/main" id="{00000000-0008-0000-1500-000004000000}"/>
              </a:ext>
            </a:extLst>
          </xdr:cNvPr>
          <xdr:cNvSpPr txBox="1"/>
        </xdr:nvSpPr>
        <xdr:spPr>
          <a:xfrm>
            <a:off x="1221855" y="489858"/>
            <a:ext cx="13264571" cy="24013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2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pPr algn="l"/>
              <a:t>Housing Energy Efficiency Calculator</a:t>
            </a:fld>
            <a:endParaRPr lang="en-AU" sz="1200" b="0" spc="1190" baseline="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pic>
        <xdr:nvPicPr>
          <xdr:cNvPr id="5" name="Picture 4" descr="A white arrow in a circle&#10;&#10;Description automatically generated">
            <a:hlinkClick xmlns:r="http://schemas.openxmlformats.org/officeDocument/2006/relationships" r:id="rId1"/>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biLevel thresh="25000"/>
            <a:extLst>
              <a:ext uri="{BEBA8EAE-BF5A-486C-A8C5-ECC9F3942E4B}">
                <a14:imgProps xmlns:a14="http://schemas.microsoft.com/office/drawing/2010/main">
                  <a14:imgLayer r:embed="rId3">
                    <a14:imgEffect>
                      <a14:brightnessContrast bright="-40000" contrast="-40000"/>
                    </a14:imgEffect>
                  </a14:imgLayer>
                </a14:imgProps>
              </a:ext>
            </a:extLst>
          </a:blip>
          <a:stretch>
            <a:fillRect/>
          </a:stretch>
        </xdr:blipFill>
        <xdr:spPr>
          <a:xfrm>
            <a:off x="612322" y="849570"/>
            <a:ext cx="473043" cy="447494"/>
          </a:xfrm>
          <a:prstGeom prst="rect">
            <a:avLst/>
          </a:prstGeom>
        </xdr:spPr>
      </xdr:pic>
    </xdr:grpSp>
    <xdr:clientData/>
  </xdr:twoCellAnchor>
  <xdr:twoCellAnchor editAs="oneCell">
    <xdr:from>
      <xdr:col>1</xdr:col>
      <xdr:colOff>52918</xdr:colOff>
      <xdr:row>9</xdr:row>
      <xdr:rowOff>31750</xdr:rowOff>
    </xdr:from>
    <xdr:to>
      <xdr:col>4</xdr:col>
      <xdr:colOff>658786</xdr:colOff>
      <xdr:row>23</xdr:row>
      <xdr:rowOff>38099</xdr:rowOff>
    </xdr:to>
    <xdr:pic>
      <xdr:nvPicPr>
        <xdr:cNvPr id="6" name="Picture 8">
          <a:extLst>
            <a:ext uri="{FF2B5EF4-FFF2-40B4-BE49-F238E27FC236}">
              <a16:creationId xmlns:a16="http://schemas.microsoft.com/office/drawing/2014/main" id="{00000000-0008-0000-1500-000006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20266"/>
        <a:stretch/>
      </xdr:blipFill>
      <xdr:spPr bwMode="auto">
        <a:xfrm>
          <a:off x="254001" y="3323167"/>
          <a:ext cx="12388293" cy="2539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5242983</xdr:colOff>
      <xdr:row>5</xdr:row>
      <xdr:rowOff>102656</xdr:rowOff>
    </xdr:from>
    <xdr:to>
      <xdr:col>1</xdr:col>
      <xdr:colOff>9592235</xdr:colOff>
      <xdr:row>16</xdr:row>
      <xdr:rowOff>100852</xdr:rowOff>
    </xdr:to>
    <xdr:sp macro="" textlink="">
      <xdr:nvSpPr>
        <xdr:cNvPr id="11" name="Rounded Rectangular Callout 17">
          <a:extLst>
            <a:ext uri="{FF2B5EF4-FFF2-40B4-BE49-F238E27FC236}">
              <a16:creationId xmlns:a16="http://schemas.microsoft.com/office/drawing/2014/main" id="{00000000-0008-0000-1500-00000B000000}"/>
            </a:ext>
          </a:extLst>
        </xdr:cNvPr>
        <xdr:cNvSpPr/>
      </xdr:nvSpPr>
      <xdr:spPr>
        <a:xfrm>
          <a:off x="5444689" y="2668803"/>
          <a:ext cx="4349252" cy="1970431"/>
        </a:xfrm>
        <a:prstGeom prst="wedgeRoundRectCallout">
          <a:avLst>
            <a:gd name="adj1" fmla="val -119162"/>
            <a:gd name="adj2" fmla="val 61707"/>
            <a:gd name="adj3" fmla="val 16667"/>
          </a:avLst>
        </a:prstGeom>
        <a:ln w="952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a:latin typeface="Arial" panose="020B0604020202020204" pitchFamily="34" charset="0"/>
              <a:ea typeface="Inter" panose="020B0502030000000004" pitchFamily="34" charset="0"/>
              <a:cs typeface="Arial" panose="020B0604020202020204" pitchFamily="34" charset="0"/>
            </a:rPr>
            <a:t>To change the number of rows</a:t>
          </a:r>
          <a:r>
            <a:rPr lang="en-AU" sz="1400" b="1" baseline="0">
              <a:latin typeface="Arial" panose="020B0604020202020204" pitchFamily="34" charset="0"/>
              <a:ea typeface="Inter" panose="020B0502030000000004" pitchFamily="34" charset="0"/>
              <a:cs typeface="Arial" panose="020B0604020202020204" pitchFamily="34" charset="0"/>
            </a:rPr>
            <a:t> displayed (step 1 of 2):</a:t>
          </a:r>
        </a:p>
        <a:p>
          <a:pPr algn="l"/>
          <a:r>
            <a:rPr lang="en-AU" sz="1400" b="0" baseline="0">
              <a:latin typeface="Arial" panose="020B0604020202020204" pitchFamily="34" charset="0"/>
              <a:ea typeface="Inter" panose="020B0502030000000004" pitchFamily="34" charset="0"/>
              <a:cs typeface="Arial" panose="020B0604020202020204" pitchFamily="34" charset="0"/>
            </a:rPr>
            <a:t>Input the required number of rows here and press Enter. Note the advice in red to the right of the number.</a:t>
          </a:r>
        </a:p>
        <a:p>
          <a:pPr algn="l"/>
          <a:endParaRPr lang="en-AU" sz="1400" b="0" baseline="0">
            <a:latin typeface="Arial" panose="020B0604020202020204" pitchFamily="34" charset="0"/>
            <a:ea typeface="Inter" panose="020B0502030000000004" pitchFamily="34" charset="0"/>
            <a:cs typeface="Arial" panose="020B0604020202020204" pitchFamily="34" charset="0"/>
          </a:endParaRPr>
        </a:p>
        <a:p>
          <a:pPr algn="l"/>
          <a:r>
            <a:rPr lang="en-AU" sz="1400" b="0" baseline="0">
              <a:latin typeface="Arial" panose="020B0604020202020204" pitchFamily="34" charset="0"/>
              <a:ea typeface="Inter" panose="020B0502030000000004" pitchFamily="34" charset="0"/>
              <a:cs typeface="Arial" panose="020B0604020202020204" pitchFamily="34" charset="0"/>
            </a:rPr>
            <a:t>(This cell will not accept numbers that would cause rows with data to be hidden</a:t>
          </a:r>
          <a:r>
            <a:rPr lang="en-AU" sz="1600" b="0" baseline="0">
              <a:latin typeface="Arial" panose="020B0604020202020204" pitchFamily="34" charset="0"/>
              <a:ea typeface="Inter" panose="020B0502030000000004" pitchFamily="34" charset="0"/>
              <a:cs typeface="Arial" panose="020B0604020202020204" pitchFamily="34" charset="0"/>
            </a:rPr>
            <a:t>).</a:t>
          </a:r>
        </a:p>
      </xdr:txBody>
    </xdr:sp>
    <xdr:clientData/>
  </xdr:twoCellAnchor>
  <xdr:twoCellAnchor>
    <xdr:from>
      <xdr:col>1</xdr:col>
      <xdr:colOff>5188322</xdr:colOff>
      <xdr:row>19</xdr:row>
      <xdr:rowOff>37974</xdr:rowOff>
    </xdr:from>
    <xdr:to>
      <xdr:col>1</xdr:col>
      <xdr:colOff>10197353</xdr:colOff>
      <xdr:row>25</xdr:row>
      <xdr:rowOff>100853</xdr:rowOff>
    </xdr:to>
    <xdr:sp macro="" textlink="">
      <xdr:nvSpPr>
        <xdr:cNvPr id="15" name="AutoShape 3642">
          <a:extLst>
            <a:ext uri="{FF2B5EF4-FFF2-40B4-BE49-F238E27FC236}">
              <a16:creationId xmlns:a16="http://schemas.microsoft.com/office/drawing/2014/main" id="{00000000-0008-0000-1500-00000F000000}"/>
            </a:ext>
          </a:extLst>
        </xdr:cNvPr>
        <xdr:cNvSpPr>
          <a:spLocks noChangeArrowheads="1"/>
        </xdr:cNvSpPr>
      </xdr:nvSpPr>
      <xdr:spPr bwMode="auto">
        <a:xfrm>
          <a:off x="5390028" y="5114239"/>
          <a:ext cx="5009031" cy="1138643"/>
        </a:xfrm>
        <a:prstGeom prst="wedgeRoundRectCallout">
          <a:avLst>
            <a:gd name="adj1" fmla="val -122134"/>
            <a:gd name="adj2" fmla="val -24440"/>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To change the number of rows displayed (step 2 of 2):</a:t>
          </a:r>
        </a:p>
        <a:p>
          <a:pPr algn="l" rtl="0">
            <a:defRPr sz="1000"/>
          </a:pPr>
          <a:endParaRPr lang="en-AU" sz="800" b="1"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Click the arrow in the blue filled heading above and then select the only number in the drop down list. (This number will always match the number input for step 1.)</a:t>
          </a:r>
        </a:p>
      </xdr:txBody>
    </xdr:sp>
    <xdr:clientData/>
  </xdr:twoCellAnchor>
  <xdr:twoCellAnchor editAs="oneCell">
    <xdr:from>
      <xdr:col>1</xdr:col>
      <xdr:colOff>0</xdr:colOff>
      <xdr:row>34</xdr:row>
      <xdr:rowOff>0</xdr:rowOff>
    </xdr:from>
    <xdr:to>
      <xdr:col>4</xdr:col>
      <xdr:colOff>605868</xdr:colOff>
      <xdr:row>47</xdr:row>
      <xdr:rowOff>113241</xdr:rowOff>
    </xdr:to>
    <xdr:pic>
      <xdr:nvPicPr>
        <xdr:cNvPr id="17" name="Picture 12">
          <a:extLst>
            <a:ext uri="{FF2B5EF4-FFF2-40B4-BE49-F238E27FC236}">
              <a16:creationId xmlns:a16="http://schemas.microsoft.com/office/drawing/2014/main" id="{00000000-0008-0000-1500-000011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22591"/>
        <a:stretch/>
      </xdr:blipFill>
      <xdr:spPr bwMode="auto">
        <a:xfrm>
          <a:off x="201706" y="7810500"/>
          <a:ext cx="12383250" cy="24440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7603191</xdr:colOff>
      <xdr:row>33</xdr:row>
      <xdr:rowOff>39842</xdr:rowOff>
    </xdr:from>
    <xdr:to>
      <xdr:col>2</xdr:col>
      <xdr:colOff>217891</xdr:colOff>
      <xdr:row>41</xdr:row>
      <xdr:rowOff>112058</xdr:rowOff>
    </xdr:to>
    <xdr:sp macro="" textlink="">
      <xdr:nvSpPr>
        <xdr:cNvPr id="25" name="Rounded Rectangular Callout 23">
          <a:extLst>
            <a:ext uri="{FF2B5EF4-FFF2-40B4-BE49-F238E27FC236}">
              <a16:creationId xmlns:a16="http://schemas.microsoft.com/office/drawing/2014/main" id="{00000000-0008-0000-1500-000019000000}"/>
            </a:ext>
          </a:extLst>
        </xdr:cNvPr>
        <xdr:cNvSpPr/>
      </xdr:nvSpPr>
      <xdr:spPr>
        <a:xfrm>
          <a:off x="7804897" y="7671048"/>
          <a:ext cx="3024965" cy="1506569"/>
        </a:xfrm>
        <a:prstGeom prst="wedgeRoundRectCallout">
          <a:avLst>
            <a:gd name="adj1" fmla="val 27588"/>
            <a:gd name="adj2" fmla="val 79012"/>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Calculation data:</a:t>
          </a:r>
        </a:p>
        <a:p>
          <a:pPr algn="l"/>
          <a:r>
            <a:rPr lang="en-AU" sz="1400" b="0" baseline="0">
              <a:latin typeface="Arial" panose="020B0604020202020204" pitchFamily="34" charset="0"/>
              <a:ea typeface="Inter" panose="020B0502030000000004" pitchFamily="34" charset="0"/>
              <a:cs typeface="Arial" panose="020B0604020202020204" pitchFamily="34" charset="0"/>
            </a:rPr>
            <a:t>These columns show results of user inputs to the left. These results are for information and cannot be modified except by changing the inputs.</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247650</xdr:colOff>
      <xdr:row>0</xdr:row>
      <xdr:rowOff>186690</xdr:rowOff>
    </xdr:from>
    <xdr:to>
      <xdr:col>12</xdr:col>
      <xdr:colOff>773123</xdr:colOff>
      <xdr:row>5</xdr:row>
      <xdr:rowOff>80059</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247650" y="183515"/>
          <a:ext cx="13789262" cy="784183"/>
          <a:chOff x="247650" y="186690"/>
          <a:chExt cx="13481564" cy="778298"/>
        </a:xfrm>
      </xdr:grpSpPr>
      <xdr:grpSp>
        <xdr:nvGrpSpPr>
          <xdr:cNvPr id="3" name="Group 2">
            <a:extLst>
              <a:ext uri="{FF2B5EF4-FFF2-40B4-BE49-F238E27FC236}">
                <a16:creationId xmlns:a16="http://schemas.microsoft.com/office/drawing/2014/main" id="{00000000-0008-0000-1600-000003000000}"/>
              </a:ext>
            </a:extLst>
          </xdr:cNvPr>
          <xdr:cNvGrpSpPr/>
        </xdr:nvGrpSpPr>
        <xdr:grpSpPr>
          <a:xfrm>
            <a:off x="840105" y="186690"/>
            <a:ext cx="12892919" cy="782108"/>
            <a:chOff x="815423" y="438150"/>
            <a:chExt cx="10640147" cy="814493"/>
          </a:xfrm>
        </xdr:grpSpPr>
        <xdr:sp macro="" textlink="">
          <xdr:nvSpPr>
            <xdr:cNvPr id="5" name="TextBox 31">
              <a:extLst>
                <a:ext uri="{FF2B5EF4-FFF2-40B4-BE49-F238E27FC236}">
                  <a16:creationId xmlns:a16="http://schemas.microsoft.com/office/drawing/2014/main" id="{00000000-0008-0000-1600-000005000000}"/>
                </a:ext>
              </a:extLst>
            </xdr:cNvPr>
            <xdr:cNvSpPr txBox="1"/>
          </xdr:nvSpPr>
          <xdr:spPr>
            <a:xfrm>
              <a:off x="815423" y="619125"/>
              <a:ext cx="10640147" cy="633518"/>
            </a:xfrm>
            <a:prstGeom prst="rect">
              <a:avLst/>
            </a:prstGeom>
            <a:noFill/>
          </xdr:spPr>
          <xdr:txBody>
            <a:bodyPr wrap="square" rtlCol="0">
              <a:noAutofit/>
            </a:bodyPr>
            <a:lstStyle/>
            <a:p>
              <a:pPr algn="l"/>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13.5 CEILING FANS</a:t>
              </a:r>
            </a:p>
          </xdr:txBody>
        </xdr:sp>
        <xdr:sp macro="" textlink="Name">
          <xdr:nvSpPr>
            <xdr:cNvPr id="6" name="TextBox 31">
              <a:extLst>
                <a:ext uri="{FF2B5EF4-FFF2-40B4-BE49-F238E27FC236}">
                  <a16:creationId xmlns:a16="http://schemas.microsoft.com/office/drawing/2014/main" id="{00000000-0008-0000-1600-000006000000}"/>
                </a:ext>
              </a:extLst>
            </xdr:cNvPr>
            <xdr:cNvSpPr txBox="1"/>
          </xdr:nvSpPr>
          <xdr:spPr>
            <a:xfrm>
              <a:off x="815423" y="438150"/>
              <a:ext cx="10640147" cy="24765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2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pPr algn="l"/>
                <a:t>Housing Energy Efficiency Calculator</a:t>
              </a:fld>
              <a:endParaRPr lang="en-AU" sz="1200" b="0" spc="1190" baseline="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grpSp>
      <xdr:pic>
        <xdr:nvPicPr>
          <xdr:cNvPr id="4" name="Picture 3" descr="A white arrow in a circle&#10;&#10;Description automatically generated">
            <a:hlinkClick xmlns:r="http://schemas.openxmlformats.org/officeDocument/2006/relationships" r:id="rId1"/>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2">
            <a:biLevel thresh="25000"/>
            <a:extLst>
              <a:ext uri="{BEBA8EAE-BF5A-486C-A8C5-ECC9F3942E4B}">
                <a14:imgProps xmlns:a14="http://schemas.microsoft.com/office/drawing/2010/main">
                  <a14:imgLayer r:embed="rId3">
                    <a14:imgEffect>
                      <a14:brightnessContrast bright="-40000" contrast="-40000"/>
                    </a14:imgEffect>
                  </a14:imgLayer>
                </a14:imgProps>
              </a:ext>
            </a:extLst>
          </a:blip>
          <a:stretch>
            <a:fillRect/>
          </a:stretch>
        </xdr:blipFill>
        <xdr:spPr>
          <a:xfrm>
            <a:off x="247650" y="354261"/>
            <a:ext cx="459789" cy="443155"/>
          </a:xfrm>
          <a:prstGeom prst="rect">
            <a:avLst/>
          </a:prstGeom>
        </xdr:spPr>
      </xdr:pic>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139390</xdr:colOff>
      <xdr:row>0</xdr:row>
      <xdr:rowOff>387196</xdr:rowOff>
    </xdr:from>
    <xdr:to>
      <xdr:col>10</xdr:col>
      <xdr:colOff>541515</xdr:colOff>
      <xdr:row>0</xdr:row>
      <xdr:rowOff>1188052</xdr:rowOff>
    </xdr:to>
    <xdr:grpSp>
      <xdr:nvGrpSpPr>
        <xdr:cNvPr id="9" name="Group 8">
          <a:extLst>
            <a:ext uri="{FF2B5EF4-FFF2-40B4-BE49-F238E27FC236}">
              <a16:creationId xmlns:a16="http://schemas.microsoft.com/office/drawing/2014/main" id="{00000000-0008-0000-1700-000009000000}"/>
            </a:ext>
          </a:extLst>
        </xdr:cNvPr>
        <xdr:cNvGrpSpPr/>
      </xdr:nvGrpSpPr>
      <xdr:grpSpPr>
        <a:xfrm>
          <a:off x="338961" y="387196"/>
          <a:ext cx="13700840" cy="800856"/>
          <a:chOff x="612322" y="489858"/>
          <a:chExt cx="13874104" cy="807206"/>
        </a:xfrm>
      </xdr:grpSpPr>
      <xdr:sp macro="" textlink="">
        <xdr:nvSpPr>
          <xdr:cNvPr id="10" name="TextBox 31">
            <a:extLst>
              <a:ext uri="{FF2B5EF4-FFF2-40B4-BE49-F238E27FC236}">
                <a16:creationId xmlns:a16="http://schemas.microsoft.com/office/drawing/2014/main" id="{00000000-0008-0000-1700-00000A000000}"/>
              </a:ext>
            </a:extLst>
          </xdr:cNvPr>
          <xdr:cNvSpPr txBox="1"/>
        </xdr:nvSpPr>
        <xdr:spPr>
          <a:xfrm>
            <a:off x="1221855" y="665339"/>
            <a:ext cx="13264571" cy="614284"/>
          </a:xfrm>
          <a:prstGeom prst="rect">
            <a:avLst/>
          </a:prstGeom>
          <a:noFill/>
        </xdr:spPr>
        <xdr:txBody>
          <a:bodyPr wrap="square" rtlCol="0">
            <a:noAutofit/>
          </a:bodyPr>
          <a:lstStyle/>
          <a:p>
            <a:pPr algn="l"/>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13.6 WHOLE-OF-HOME</a:t>
            </a:r>
          </a:p>
          <a:p>
            <a:pPr algn="l"/>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HELP</a:t>
            </a:r>
            <a:r>
              <a:rPr lang="en-US" sz="40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t> GUIDE</a:t>
            </a:r>
            <a:endPar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sp macro="" textlink="Name">
        <xdr:nvSpPr>
          <xdr:cNvPr id="11" name="TextBox 31">
            <a:extLst>
              <a:ext uri="{FF2B5EF4-FFF2-40B4-BE49-F238E27FC236}">
                <a16:creationId xmlns:a16="http://schemas.microsoft.com/office/drawing/2014/main" id="{00000000-0008-0000-1700-00000B000000}"/>
              </a:ext>
            </a:extLst>
          </xdr:cNvPr>
          <xdr:cNvSpPr txBox="1"/>
        </xdr:nvSpPr>
        <xdr:spPr>
          <a:xfrm>
            <a:off x="1221855" y="489858"/>
            <a:ext cx="13264571" cy="24013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2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pPr algn="l"/>
              <a:t>Housing Energy Efficiency Calculator</a:t>
            </a:fld>
            <a:endParaRPr lang="en-AU" sz="1200" b="0" spc="1190" baseline="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pic>
        <xdr:nvPicPr>
          <xdr:cNvPr id="12" name="Picture 11" descr="A white arrow in a circle&#10;&#10;Description automatically generated">
            <a:hlinkClick xmlns:r="http://schemas.openxmlformats.org/officeDocument/2006/relationships" r:id="rId1"/>
            <a:extLst>
              <a:ext uri="{FF2B5EF4-FFF2-40B4-BE49-F238E27FC236}">
                <a16:creationId xmlns:a16="http://schemas.microsoft.com/office/drawing/2014/main" id="{00000000-0008-0000-1700-00000C000000}"/>
              </a:ext>
            </a:extLst>
          </xdr:cNvPr>
          <xdr:cNvPicPr>
            <a:picLocks noChangeAspect="1"/>
          </xdr:cNvPicPr>
        </xdr:nvPicPr>
        <xdr:blipFill>
          <a:blip xmlns:r="http://schemas.openxmlformats.org/officeDocument/2006/relationships" r:embed="rId2">
            <a:biLevel thresh="25000"/>
            <a:extLst>
              <a:ext uri="{BEBA8EAE-BF5A-486C-A8C5-ECC9F3942E4B}">
                <a14:imgProps xmlns:a14="http://schemas.microsoft.com/office/drawing/2010/main">
                  <a14:imgLayer r:embed="rId3">
                    <a14:imgEffect>
                      <a14:brightnessContrast bright="-40000" contrast="-40000"/>
                    </a14:imgEffect>
                  </a14:imgLayer>
                </a14:imgProps>
              </a:ext>
            </a:extLst>
          </a:blip>
          <a:stretch>
            <a:fillRect/>
          </a:stretch>
        </xdr:blipFill>
        <xdr:spPr>
          <a:xfrm>
            <a:off x="612322" y="849570"/>
            <a:ext cx="473043" cy="447494"/>
          </a:xfrm>
          <a:prstGeom prst="rect">
            <a:avLst/>
          </a:prstGeom>
        </xdr:spPr>
      </xdr:pic>
    </xdr:grpSp>
    <xdr:clientData/>
  </xdr:twoCellAnchor>
  <xdr:twoCellAnchor editAs="oneCell">
    <xdr:from>
      <xdr:col>4</xdr:col>
      <xdr:colOff>1231279</xdr:colOff>
      <xdr:row>19</xdr:row>
      <xdr:rowOff>127774</xdr:rowOff>
    </xdr:from>
    <xdr:to>
      <xdr:col>4</xdr:col>
      <xdr:colOff>8604658</xdr:colOff>
      <xdr:row>54</xdr:row>
      <xdr:rowOff>141689</xdr:rowOff>
    </xdr:to>
    <xdr:pic>
      <xdr:nvPicPr>
        <xdr:cNvPr id="15" name="Picture 14">
          <a:extLst>
            <a:ext uri="{FF2B5EF4-FFF2-40B4-BE49-F238E27FC236}">
              <a16:creationId xmlns:a16="http://schemas.microsoft.com/office/drawing/2014/main" id="{00000000-0008-0000-1700-00000F000000}"/>
            </a:ext>
          </a:extLst>
        </xdr:cNvPr>
        <xdr:cNvPicPr>
          <a:picLocks noChangeAspect="1"/>
        </xdr:cNvPicPr>
      </xdr:nvPicPr>
      <xdr:blipFill>
        <a:blip xmlns:r="http://schemas.openxmlformats.org/officeDocument/2006/relationships" r:embed="rId4"/>
        <a:stretch>
          <a:fillRect/>
        </a:stretch>
      </xdr:blipFill>
      <xdr:spPr>
        <a:xfrm>
          <a:off x="1952458" y="7652524"/>
          <a:ext cx="7373379" cy="8110165"/>
        </a:xfrm>
        <a:prstGeom prst="rect">
          <a:avLst/>
        </a:prstGeom>
      </xdr:spPr>
    </xdr:pic>
    <xdr:clientData/>
  </xdr:twoCellAnchor>
  <xdr:twoCellAnchor>
    <xdr:from>
      <xdr:col>4</xdr:col>
      <xdr:colOff>9118443</xdr:colOff>
      <xdr:row>18</xdr:row>
      <xdr:rowOff>190500</xdr:rowOff>
    </xdr:from>
    <xdr:to>
      <xdr:col>12</xdr:col>
      <xdr:colOff>27214</xdr:colOff>
      <xdr:row>32</xdr:row>
      <xdr:rowOff>190499</xdr:rowOff>
    </xdr:to>
    <xdr:sp macro="" textlink="">
      <xdr:nvSpPr>
        <xdr:cNvPr id="28" name="Rounded Rectangular Callout 18">
          <a:extLst>
            <a:ext uri="{FF2B5EF4-FFF2-40B4-BE49-F238E27FC236}">
              <a16:creationId xmlns:a16="http://schemas.microsoft.com/office/drawing/2014/main" id="{00000000-0008-0000-1700-00001C000000}"/>
            </a:ext>
          </a:extLst>
        </xdr:cNvPr>
        <xdr:cNvSpPr/>
      </xdr:nvSpPr>
      <xdr:spPr>
        <a:xfrm>
          <a:off x="9839622" y="7483929"/>
          <a:ext cx="5005771" cy="3238499"/>
        </a:xfrm>
        <a:prstGeom prst="wedgeRoundRectCallout">
          <a:avLst>
            <a:gd name="adj1" fmla="val -84860"/>
            <a:gd name="adj2" fmla="val 46511"/>
            <a:gd name="adj3" fmla="val 16667"/>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200" b="1">
              <a:solidFill>
                <a:schemeClr val="tx1"/>
              </a:solidFill>
              <a:latin typeface="Arial" panose="020B0604020202020204" pitchFamily="34" charset="0"/>
              <a:ea typeface="Inter" panose="020B0502030000000004" pitchFamily="34" charset="0"/>
              <a:cs typeface="Arial" panose="020B0604020202020204" pitchFamily="34" charset="0"/>
            </a:rPr>
            <a:t>NCC reference:</a:t>
          </a:r>
        </a:p>
        <a:p>
          <a:pPr algn="l"/>
          <a:r>
            <a:rPr lang="en-AU" sz="1200" b="0">
              <a:solidFill>
                <a:schemeClr val="tx1"/>
              </a:solidFill>
              <a:latin typeface="Arial" panose="020B0604020202020204" pitchFamily="34" charset="0"/>
              <a:ea typeface="Inter" panose="020B0502030000000004" pitchFamily="34" charset="0"/>
              <a:cs typeface="Arial" panose="020B0604020202020204" pitchFamily="34" charset="0"/>
            </a:rPr>
            <a:t>J3D14(1)(b) in NCC Volume One</a:t>
          </a:r>
        </a:p>
        <a:p>
          <a:pPr algn="l"/>
          <a:r>
            <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rPr>
            <a:t>13.6.2(1)(b) in the ABCB Housing Provisions</a:t>
          </a:r>
        </a:p>
        <a:p>
          <a:pPr algn="l"/>
          <a:endPar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endParaRPr>
        </a:p>
        <a:p>
          <a:pPr algn="l"/>
          <a:r>
            <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rPr>
            <a:t>The energy allowance is calculated in accordance with the below formula:</a:t>
          </a:r>
        </a:p>
        <a:p>
          <a:pPr algn="l"/>
          <a:endPar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endParaRPr>
        </a:p>
        <a:p>
          <a:pPr algn="ctr"/>
          <a:r>
            <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rPr>
            <a:t>A x E</a:t>
          </a:r>
          <a:r>
            <a:rPr lang="en-AU" sz="1200" b="0" baseline="-25000">
              <a:solidFill>
                <a:schemeClr val="tx1"/>
              </a:solidFill>
              <a:latin typeface="Arial" panose="020B0604020202020204" pitchFamily="34" charset="0"/>
              <a:ea typeface="Inter" panose="020B0502030000000004" pitchFamily="34" charset="0"/>
              <a:cs typeface="Arial" panose="020B0604020202020204" pitchFamily="34" charset="0"/>
            </a:rPr>
            <a:t>F</a:t>
          </a:r>
        </a:p>
        <a:p>
          <a:pPr algn="l"/>
          <a:r>
            <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rPr>
            <a:t>where-</a:t>
          </a:r>
        </a:p>
        <a:p>
          <a:pPr algn="l"/>
          <a:endPar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endParaRPr>
        </a:p>
        <a:p>
          <a:pPr algn="l"/>
          <a:r>
            <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rPr>
            <a:t>A= the floor area factor obtained from multiplying the total floor area of the building by the adjustment factor in Table J3D14a (Volume One) or Table 13.6.2a (Housing Provisions)</a:t>
          </a:r>
        </a:p>
        <a:p>
          <a:pPr algn="l"/>
          <a:endPar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endParaRPr>
        </a:p>
        <a:p>
          <a:pPr algn="l"/>
          <a:r>
            <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rPr>
            <a:t>E</a:t>
          </a:r>
          <a:r>
            <a:rPr lang="en-AU" sz="1200" b="0" baseline="-25000">
              <a:solidFill>
                <a:schemeClr val="tx1"/>
              </a:solidFill>
              <a:latin typeface="Arial" panose="020B0604020202020204" pitchFamily="34" charset="0"/>
              <a:ea typeface="Inter" panose="020B0502030000000004" pitchFamily="34" charset="0"/>
              <a:cs typeface="Arial" panose="020B0604020202020204" pitchFamily="34" charset="0"/>
            </a:rPr>
            <a:t>F</a:t>
          </a:r>
          <a:r>
            <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rPr>
            <a:t> = the energy factor obtained from Table J3D14b (Volume One) or Table 13.6.2b (Housing Provisions).</a:t>
          </a:r>
        </a:p>
      </xdr:txBody>
    </xdr:sp>
    <xdr:clientData/>
  </xdr:twoCellAnchor>
  <xdr:twoCellAnchor>
    <xdr:from>
      <xdr:col>4</xdr:col>
      <xdr:colOff>9118446</xdr:colOff>
      <xdr:row>33</xdr:row>
      <xdr:rowOff>10560</xdr:rowOff>
    </xdr:from>
    <xdr:to>
      <xdr:col>12</xdr:col>
      <xdr:colOff>190500</xdr:colOff>
      <xdr:row>56</xdr:row>
      <xdr:rowOff>68035</xdr:rowOff>
    </xdr:to>
    <xdr:sp macro="" textlink="">
      <xdr:nvSpPr>
        <xdr:cNvPr id="22" name="Rounded Rectangular Callout 19">
          <a:extLst>
            <a:ext uri="{FF2B5EF4-FFF2-40B4-BE49-F238E27FC236}">
              <a16:creationId xmlns:a16="http://schemas.microsoft.com/office/drawing/2014/main" id="{00000000-0008-0000-1700-000016000000}"/>
            </a:ext>
          </a:extLst>
        </xdr:cNvPr>
        <xdr:cNvSpPr/>
      </xdr:nvSpPr>
      <xdr:spPr>
        <a:xfrm>
          <a:off x="9839625" y="10773810"/>
          <a:ext cx="5169054" cy="5377868"/>
        </a:xfrm>
        <a:prstGeom prst="wedgeRoundRectCallout">
          <a:avLst>
            <a:gd name="adj1" fmla="val -91105"/>
            <a:gd name="adj2" fmla="val -42333"/>
            <a:gd name="adj3" fmla="val 16667"/>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200" b="1">
              <a:solidFill>
                <a:schemeClr val="tx1"/>
              </a:solidFill>
              <a:latin typeface="Arial" panose="020B0604020202020204" pitchFamily="34" charset="0"/>
              <a:ea typeface="Inter" panose="020B0502030000000004" pitchFamily="34" charset="0"/>
              <a:cs typeface="Arial" panose="020B0604020202020204" pitchFamily="34" charset="0"/>
            </a:rPr>
            <a:t>NCC reference:</a:t>
          </a:r>
        </a:p>
        <a:p>
          <a:pPr algn="l"/>
          <a:r>
            <a:rPr lang="en-AU" sz="1200" b="0">
              <a:solidFill>
                <a:schemeClr val="tx1"/>
              </a:solidFill>
              <a:latin typeface="Arial" panose="020B0604020202020204" pitchFamily="34" charset="0"/>
              <a:ea typeface="Inter" panose="020B0502030000000004" pitchFamily="34" charset="0"/>
              <a:cs typeface="Arial" panose="020B0604020202020204" pitchFamily="34" charset="0"/>
            </a:rPr>
            <a:t>J3D14(1)(a) in NCC Volume One</a:t>
          </a:r>
        </a:p>
        <a:p>
          <a:pPr algn="l"/>
          <a:r>
            <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rPr>
            <a:t>13.6.2(1)(a) in the ABCB Housing Provisions</a:t>
          </a:r>
        </a:p>
        <a:p>
          <a:pPr algn="l"/>
          <a:endPar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endParaRPr>
        </a:p>
        <a:p>
          <a:pPr algn="l"/>
          <a:r>
            <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rPr>
            <a:t>The net equivalent energy usage is calculated in accordance with the below formula:</a:t>
          </a:r>
        </a:p>
        <a:p>
          <a:pPr algn="l"/>
          <a:endPar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endParaRPr>
        </a:p>
        <a:p>
          <a:pPr algn="ctr"/>
          <a:r>
            <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rPr>
            <a:t>(A x E</a:t>
          </a:r>
          <a:r>
            <a:rPr lang="en-AU" sz="1200" b="0" baseline="-25000">
              <a:solidFill>
                <a:schemeClr val="tx1"/>
              </a:solidFill>
              <a:latin typeface="Arial" panose="020B0604020202020204" pitchFamily="34" charset="0"/>
              <a:ea typeface="Inter" panose="020B0502030000000004" pitchFamily="34" charset="0"/>
              <a:cs typeface="Arial" panose="020B0604020202020204" pitchFamily="34" charset="0"/>
            </a:rPr>
            <a:t>E</a:t>
          </a:r>
          <a:r>
            <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rPr>
            <a:t>) + E </a:t>
          </a:r>
          <a:r>
            <a:rPr lang="en-AU" sz="1200" b="0" baseline="-25000">
              <a:solidFill>
                <a:schemeClr val="tx1"/>
              </a:solidFill>
              <a:latin typeface="Arial" panose="020B0604020202020204" pitchFamily="34" charset="0"/>
              <a:ea typeface="Inter" panose="020B0502030000000004" pitchFamily="34" charset="0"/>
              <a:cs typeface="Arial" panose="020B0604020202020204" pitchFamily="34" charset="0"/>
            </a:rPr>
            <a:t>P</a:t>
          </a:r>
          <a:r>
            <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rPr>
            <a:t>+  E</a:t>
          </a:r>
          <a:r>
            <a:rPr lang="en-AU" sz="1200" b="0" baseline="-25000">
              <a:solidFill>
                <a:schemeClr val="tx1"/>
              </a:solidFill>
              <a:latin typeface="Arial" panose="020B0604020202020204" pitchFamily="34" charset="0"/>
              <a:ea typeface="Inter" panose="020B0502030000000004" pitchFamily="34" charset="0"/>
              <a:cs typeface="Arial" panose="020B0604020202020204" pitchFamily="34" charset="0"/>
            </a:rPr>
            <a:t>S </a:t>
          </a:r>
          <a:r>
            <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rPr>
            <a:t>- E</a:t>
          </a:r>
          <a:r>
            <a:rPr lang="en-AU" sz="1200" b="0" baseline="-25000">
              <a:solidFill>
                <a:schemeClr val="tx1"/>
              </a:solidFill>
              <a:latin typeface="Arial" panose="020B0604020202020204" pitchFamily="34" charset="0"/>
              <a:ea typeface="Inter" panose="020B0502030000000004" pitchFamily="34" charset="0"/>
              <a:cs typeface="Arial" panose="020B0604020202020204" pitchFamily="34" charset="0"/>
            </a:rPr>
            <a:t>R</a:t>
          </a:r>
        </a:p>
        <a:p>
          <a:pPr algn="ctr"/>
          <a:endPar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endParaRPr>
        </a:p>
        <a:p>
          <a:pPr algn="l"/>
          <a:r>
            <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rPr>
            <a:t>where-</a:t>
          </a:r>
        </a:p>
        <a:p>
          <a:pPr algn="l"/>
          <a:endPar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rPr>
            <a:t>A = </a:t>
          </a:r>
          <a:r>
            <a:rPr lang="en-AU" sz="1200" b="0" baseline="0">
              <a:solidFill>
                <a:schemeClr val="tx1"/>
              </a:solidFill>
              <a:effectLst/>
              <a:latin typeface="Arial" panose="020B0604020202020204" pitchFamily="34" charset="0"/>
              <a:ea typeface="Inter" panose="020B0502030000000004" pitchFamily="34" charset="0"/>
              <a:cs typeface="Arial" panose="020B0604020202020204" pitchFamily="34" charset="0"/>
            </a:rPr>
            <a:t>the floor area factor obtained from multiplying the total floor area of the building by the adjustment factor in Table J3D14a (Volume One) or Table 13.6.2a (Housing Provisions)</a:t>
          </a:r>
        </a:p>
        <a:p>
          <a:pPr marL="0" marR="0" lvl="0" indent="0" algn="l" defTabSz="914400" eaLnBrk="1" fontAlgn="auto" latinLnBrk="0" hangingPunct="1">
            <a:lnSpc>
              <a:spcPct val="100000"/>
            </a:lnSpc>
            <a:spcBef>
              <a:spcPts val="0"/>
            </a:spcBef>
            <a:spcAft>
              <a:spcPts val="0"/>
            </a:spcAft>
            <a:buClrTx/>
            <a:buSzTx/>
            <a:buFontTx/>
            <a:buNone/>
            <a:tabLst/>
            <a:defRPr/>
          </a:pPr>
          <a:endParaRPr lang="en-AU" sz="1200" b="0" baseline="0">
            <a:solidFill>
              <a:schemeClr val="tx1"/>
            </a:solidFill>
            <a:effectLst/>
            <a:latin typeface="Arial" panose="020B0604020202020204" pitchFamily="34" charset="0"/>
            <a:ea typeface="Inter" panose="020B05020300000000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en-AU" sz="1200" b="0" baseline="0">
              <a:solidFill>
                <a:schemeClr val="tx1"/>
              </a:solidFill>
              <a:effectLst/>
              <a:latin typeface="Arial" panose="020B0604020202020204" pitchFamily="34" charset="0"/>
              <a:ea typeface="Inter" panose="020B0502030000000004" pitchFamily="34" charset="0"/>
              <a:cs typeface="Arial" panose="020B0604020202020204" pitchFamily="34" charset="0"/>
            </a:rPr>
            <a:t>E</a:t>
          </a:r>
          <a:r>
            <a:rPr lang="en-AU" sz="1200" b="0" baseline="-25000">
              <a:solidFill>
                <a:schemeClr val="tx1"/>
              </a:solidFill>
              <a:effectLst/>
              <a:latin typeface="Arial" panose="020B0604020202020204" pitchFamily="34" charset="0"/>
              <a:ea typeface="Inter" panose="020B0502030000000004" pitchFamily="34" charset="0"/>
              <a:cs typeface="Arial" panose="020B0604020202020204" pitchFamily="34" charset="0"/>
            </a:rPr>
            <a:t>E</a:t>
          </a:r>
          <a:r>
            <a:rPr lang="en-AU" sz="1200" b="0" baseline="0">
              <a:solidFill>
                <a:schemeClr val="tx1"/>
              </a:solidFill>
              <a:effectLst/>
              <a:latin typeface="Arial" panose="020B0604020202020204" pitchFamily="34" charset="0"/>
              <a:ea typeface="Inter" panose="020B0502030000000004" pitchFamily="34" charset="0"/>
              <a:cs typeface="Arial" panose="020B0604020202020204" pitchFamily="34" charset="0"/>
            </a:rPr>
            <a:t> = the main space conditioning and main water heater efficiency factor obtained from the ABCB Standard for Whole-of-home efficiency factors</a:t>
          </a:r>
        </a:p>
        <a:p>
          <a:pPr marL="0" marR="0" lvl="0" indent="0" algn="l" defTabSz="914400" eaLnBrk="1" fontAlgn="auto" latinLnBrk="0" hangingPunct="1">
            <a:lnSpc>
              <a:spcPct val="100000"/>
            </a:lnSpc>
            <a:spcBef>
              <a:spcPts val="0"/>
            </a:spcBef>
            <a:spcAft>
              <a:spcPts val="0"/>
            </a:spcAft>
            <a:buClrTx/>
            <a:buSzTx/>
            <a:buFontTx/>
            <a:buNone/>
            <a:tabLst/>
            <a:defRPr/>
          </a:pPr>
          <a:endParaRPr lang="en-AU" sz="1200" b="0" baseline="0">
            <a:solidFill>
              <a:schemeClr val="tx1"/>
            </a:solidFill>
            <a:effectLst/>
            <a:latin typeface="Arial" panose="020B0604020202020204" pitchFamily="34" charset="0"/>
            <a:ea typeface="Inter" panose="020B05020300000000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en-AU" sz="1200" b="0" baseline="0">
              <a:solidFill>
                <a:schemeClr val="tx1"/>
              </a:solidFill>
              <a:effectLst/>
              <a:latin typeface="Arial" panose="020B0604020202020204" pitchFamily="34" charset="0"/>
              <a:ea typeface="Inter" panose="020B0502030000000004" pitchFamily="34" charset="0"/>
              <a:cs typeface="Arial" panose="020B0604020202020204" pitchFamily="34" charset="0"/>
            </a:rPr>
            <a:t>E</a:t>
          </a:r>
          <a:r>
            <a:rPr lang="en-AU" sz="1200" b="0" baseline="-25000">
              <a:solidFill>
                <a:schemeClr val="tx1"/>
              </a:solidFill>
              <a:effectLst/>
              <a:latin typeface="Arial" panose="020B0604020202020204" pitchFamily="34" charset="0"/>
              <a:ea typeface="Inter" panose="020B0502030000000004" pitchFamily="34" charset="0"/>
              <a:cs typeface="Arial" panose="020B0604020202020204" pitchFamily="34" charset="0"/>
            </a:rPr>
            <a:t>P</a:t>
          </a:r>
          <a:r>
            <a:rPr lang="en-AU" sz="1200" b="0" baseline="0">
              <a:solidFill>
                <a:schemeClr val="tx1"/>
              </a:solidFill>
              <a:effectLst/>
              <a:latin typeface="Arial" panose="020B0604020202020204" pitchFamily="34" charset="0"/>
              <a:ea typeface="Inter" panose="020B0502030000000004" pitchFamily="34" charset="0"/>
              <a:cs typeface="Arial" panose="020B0604020202020204" pitchFamily="34" charset="0"/>
            </a:rPr>
            <a:t> = the swimming pool pump efficiency factor calculated in accordance with J3D14(2) (Volume One) or 13.6.2(2) (Housing Provisions)</a:t>
          </a:r>
        </a:p>
        <a:p>
          <a:pPr marL="0" marR="0" lvl="0" indent="0" algn="l" defTabSz="914400" eaLnBrk="1" fontAlgn="auto" latinLnBrk="0" hangingPunct="1">
            <a:lnSpc>
              <a:spcPct val="100000"/>
            </a:lnSpc>
            <a:spcBef>
              <a:spcPts val="0"/>
            </a:spcBef>
            <a:spcAft>
              <a:spcPts val="0"/>
            </a:spcAft>
            <a:buClrTx/>
            <a:buSzTx/>
            <a:buFontTx/>
            <a:buNone/>
            <a:tabLst/>
            <a:defRPr/>
          </a:pPr>
          <a:endParaRPr lang="en-AU" sz="1200" b="0" baseline="0">
            <a:solidFill>
              <a:schemeClr val="tx1"/>
            </a:solidFill>
            <a:effectLst/>
            <a:latin typeface="Arial" panose="020B0604020202020204" pitchFamily="34" charset="0"/>
            <a:ea typeface="Inter" panose="020B05020300000000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en-AU" sz="1200" b="0" baseline="0">
              <a:solidFill>
                <a:schemeClr val="tx1"/>
              </a:solidFill>
              <a:effectLst/>
              <a:latin typeface="Arial" panose="020B0604020202020204" pitchFamily="34" charset="0"/>
              <a:ea typeface="Inter" panose="020B0502030000000004" pitchFamily="34" charset="0"/>
              <a:cs typeface="Arial" panose="020B0604020202020204" pitchFamily="34" charset="0"/>
            </a:rPr>
            <a:t>E</a:t>
          </a:r>
          <a:r>
            <a:rPr lang="en-AU" sz="1200" b="0" baseline="-25000">
              <a:solidFill>
                <a:schemeClr val="tx1"/>
              </a:solidFill>
              <a:effectLst/>
              <a:latin typeface="Arial" panose="020B0604020202020204" pitchFamily="34" charset="0"/>
              <a:ea typeface="Inter" panose="020B0502030000000004" pitchFamily="34" charset="0"/>
              <a:cs typeface="Arial" panose="020B0604020202020204" pitchFamily="34" charset="0"/>
            </a:rPr>
            <a:t>S</a:t>
          </a:r>
          <a:r>
            <a:rPr lang="en-AU" sz="1200" b="0" baseline="0">
              <a:solidFill>
                <a:schemeClr val="tx1"/>
              </a:solidFill>
              <a:effectLst/>
              <a:latin typeface="Arial" panose="020B0604020202020204" pitchFamily="34" charset="0"/>
              <a:ea typeface="Inter" panose="020B0502030000000004" pitchFamily="34" charset="0"/>
              <a:cs typeface="Arial" panose="020B0604020202020204" pitchFamily="34" charset="0"/>
            </a:rPr>
            <a:t> = the spa pump efficiency factor calculated in accordance with J3D14(3) (Volume One) or 13.6.2(3) (Housing Provisions)</a:t>
          </a:r>
        </a:p>
        <a:p>
          <a:pPr marL="0" marR="0" lvl="0" indent="0" algn="l" defTabSz="914400" eaLnBrk="1" fontAlgn="auto" latinLnBrk="0" hangingPunct="1">
            <a:lnSpc>
              <a:spcPct val="100000"/>
            </a:lnSpc>
            <a:spcBef>
              <a:spcPts val="0"/>
            </a:spcBef>
            <a:spcAft>
              <a:spcPts val="0"/>
            </a:spcAft>
            <a:buClrTx/>
            <a:buSzTx/>
            <a:buFontTx/>
            <a:buNone/>
            <a:tabLst/>
            <a:defRPr/>
          </a:pPr>
          <a:endParaRPr lang="en-AU" sz="1200" b="0" baseline="0">
            <a:solidFill>
              <a:schemeClr val="tx1"/>
            </a:solidFill>
            <a:effectLst/>
            <a:latin typeface="Arial" panose="020B0604020202020204" pitchFamily="34" charset="0"/>
            <a:ea typeface="Inter" panose="020B05020300000000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en-AU" sz="1200" b="0" baseline="0">
              <a:solidFill>
                <a:schemeClr val="tx1"/>
              </a:solidFill>
              <a:effectLst/>
              <a:latin typeface="Arial" panose="020B0604020202020204" pitchFamily="34" charset="0"/>
              <a:ea typeface="Inter" panose="020B0502030000000004" pitchFamily="34" charset="0"/>
              <a:cs typeface="Arial" panose="020B0604020202020204" pitchFamily="34" charset="0"/>
            </a:rPr>
            <a:t>E</a:t>
          </a:r>
          <a:r>
            <a:rPr lang="en-AU" sz="1200" b="0" baseline="-25000">
              <a:solidFill>
                <a:schemeClr val="tx1"/>
              </a:solidFill>
              <a:effectLst/>
              <a:latin typeface="Arial" panose="020B0604020202020204" pitchFamily="34" charset="0"/>
              <a:ea typeface="Inter" panose="020B0502030000000004" pitchFamily="34" charset="0"/>
              <a:cs typeface="Arial" panose="020B0604020202020204" pitchFamily="34" charset="0"/>
            </a:rPr>
            <a:t>R</a:t>
          </a:r>
          <a:r>
            <a:rPr lang="en-AU" sz="1200" b="0" baseline="0">
              <a:solidFill>
                <a:schemeClr val="tx1"/>
              </a:solidFill>
              <a:effectLst/>
              <a:latin typeface="Arial" panose="020B0604020202020204" pitchFamily="34" charset="0"/>
              <a:ea typeface="Inter" panose="020B0502030000000004" pitchFamily="34" charset="0"/>
              <a:cs typeface="Arial" panose="020B0604020202020204" pitchFamily="34" charset="0"/>
            </a:rPr>
            <a:t> = the installed capacity of on-site photovoltaics (kW).</a:t>
          </a:r>
          <a:endParaRPr lang="en-AU" sz="1200">
            <a:effectLst/>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xdr:from>
      <xdr:col>4</xdr:col>
      <xdr:colOff>4748892</xdr:colOff>
      <xdr:row>19</xdr:row>
      <xdr:rowOff>116161</xdr:rowOff>
    </xdr:from>
    <xdr:to>
      <xdr:col>4</xdr:col>
      <xdr:colOff>7362537</xdr:colOff>
      <xdr:row>26</xdr:row>
      <xdr:rowOff>47148</xdr:rowOff>
    </xdr:to>
    <xdr:sp macro="" textlink="">
      <xdr:nvSpPr>
        <xdr:cNvPr id="5" name="Rounded Rectangular Callout 16">
          <a:extLst>
            <a:ext uri="{FF2B5EF4-FFF2-40B4-BE49-F238E27FC236}">
              <a16:creationId xmlns:a16="http://schemas.microsoft.com/office/drawing/2014/main" id="{00000000-0008-0000-1700-000005000000}"/>
            </a:ext>
          </a:extLst>
        </xdr:cNvPr>
        <xdr:cNvSpPr/>
      </xdr:nvSpPr>
      <xdr:spPr>
        <a:xfrm>
          <a:off x="5470071" y="7640911"/>
          <a:ext cx="2613645" cy="1550237"/>
        </a:xfrm>
        <a:prstGeom prst="wedgeRoundRectCallout">
          <a:avLst>
            <a:gd name="adj1" fmla="val -59998"/>
            <a:gd name="adj2" fmla="val 159153"/>
            <a:gd name="adj3" fmla="val 16667"/>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200" b="1">
              <a:solidFill>
                <a:schemeClr val="tx1"/>
              </a:solidFill>
              <a:latin typeface="Arial" panose="020B0604020202020204" pitchFamily="34" charset="0"/>
              <a:ea typeface="Inter" panose="020B0502030000000004" pitchFamily="34" charset="0"/>
              <a:cs typeface="Arial" panose="020B0604020202020204" pitchFamily="34" charset="0"/>
            </a:rPr>
            <a:t>Cell tips: </a:t>
          </a:r>
          <a:r>
            <a:rPr lang="en-AU" sz="1200" b="0">
              <a:solidFill>
                <a:schemeClr val="tx1"/>
              </a:solidFill>
              <a:latin typeface="Arial" panose="020B0604020202020204" pitchFamily="34" charset="0"/>
              <a:ea typeface="Inter" panose="020B0502030000000004" pitchFamily="34" charset="0"/>
              <a:cs typeface="Arial" panose="020B0604020202020204" pitchFamily="34" charset="0"/>
            </a:rPr>
            <a:t>The total floor area is measured within the inside face of the external walls of the Class 1 building and includes any conditioned, attached Class 10a building. The area must be between 10 and 500 m2.</a:t>
          </a:r>
          <a:endPar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xdr:from>
      <xdr:col>3</xdr:col>
      <xdr:colOff>4371</xdr:colOff>
      <xdr:row>22</xdr:row>
      <xdr:rowOff>13608</xdr:rowOff>
    </xdr:from>
    <xdr:to>
      <xdr:col>4</xdr:col>
      <xdr:colOff>2581887</xdr:colOff>
      <xdr:row>28</xdr:row>
      <xdr:rowOff>86779</xdr:rowOff>
    </xdr:to>
    <xdr:sp macro="" textlink="">
      <xdr:nvSpPr>
        <xdr:cNvPr id="19" name="Rounded Rectangular Callout 16">
          <a:extLst>
            <a:ext uri="{FF2B5EF4-FFF2-40B4-BE49-F238E27FC236}">
              <a16:creationId xmlns:a16="http://schemas.microsoft.com/office/drawing/2014/main" id="{00000000-0008-0000-1700-000013000000}"/>
            </a:ext>
          </a:extLst>
        </xdr:cNvPr>
        <xdr:cNvSpPr/>
      </xdr:nvSpPr>
      <xdr:spPr>
        <a:xfrm>
          <a:off x="671121" y="8232322"/>
          <a:ext cx="2631945" cy="1461100"/>
        </a:xfrm>
        <a:prstGeom prst="wedgeRoundRectCallout">
          <a:avLst>
            <a:gd name="adj1" fmla="val 68638"/>
            <a:gd name="adj2" fmla="val 103807"/>
            <a:gd name="adj3" fmla="val 16667"/>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200" b="1">
              <a:solidFill>
                <a:schemeClr val="tx1"/>
              </a:solidFill>
              <a:latin typeface="Arial" panose="020B0604020202020204" pitchFamily="34" charset="0"/>
              <a:ea typeface="Inter" panose="020B0502030000000004" pitchFamily="34" charset="0"/>
              <a:cs typeface="Arial" panose="020B0604020202020204" pitchFamily="34" charset="0"/>
            </a:rPr>
            <a:t>Cell tips:</a:t>
          </a:r>
        </a:p>
        <a:p>
          <a:pPr algn="l"/>
          <a:r>
            <a:rPr lang="en-AU" sz="1200" b="0">
              <a:solidFill>
                <a:schemeClr val="tx1"/>
              </a:solidFill>
              <a:latin typeface="Arial" panose="020B0604020202020204" pitchFamily="34" charset="0"/>
              <a:ea typeface="Inter" panose="020B0502030000000004" pitchFamily="34" charset="0"/>
              <a:cs typeface="Arial" panose="020B0604020202020204" pitchFamily="34" charset="0"/>
            </a:rPr>
            <a:t>The</a:t>
          </a:r>
          <a:r>
            <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rPr>
            <a:t> state or territory should be selected first to ensure the drop down list for the climate zones in the cell below include the correct options for your state territory.</a:t>
          </a:r>
        </a:p>
      </xdr:txBody>
    </xdr:sp>
    <xdr:clientData/>
  </xdr:twoCellAnchor>
  <xdr:twoCellAnchor>
    <xdr:from>
      <xdr:col>2</xdr:col>
      <xdr:colOff>114301</xdr:colOff>
      <xdr:row>28</xdr:row>
      <xdr:rowOff>226988</xdr:rowOff>
    </xdr:from>
    <xdr:to>
      <xdr:col>4</xdr:col>
      <xdr:colOff>1514600</xdr:colOff>
      <xdr:row>34</xdr:row>
      <xdr:rowOff>136072</xdr:rowOff>
    </xdr:to>
    <xdr:sp macro="" textlink="">
      <xdr:nvSpPr>
        <xdr:cNvPr id="14" name="Rounded Rectangular Callout 17">
          <a:extLst>
            <a:ext uri="{FF2B5EF4-FFF2-40B4-BE49-F238E27FC236}">
              <a16:creationId xmlns:a16="http://schemas.microsoft.com/office/drawing/2014/main" id="{00000000-0008-0000-1700-00000E000000}"/>
            </a:ext>
          </a:extLst>
        </xdr:cNvPr>
        <xdr:cNvSpPr/>
      </xdr:nvSpPr>
      <xdr:spPr>
        <a:xfrm>
          <a:off x="332015" y="9833631"/>
          <a:ext cx="1903764" cy="1297012"/>
        </a:xfrm>
        <a:prstGeom prst="wedgeRoundRectCallout">
          <a:avLst>
            <a:gd name="adj1" fmla="val 130913"/>
            <a:gd name="adj2" fmla="val 18872"/>
            <a:gd name="adj3" fmla="val 16667"/>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200" b="1">
              <a:solidFill>
                <a:schemeClr val="tx1"/>
              </a:solidFill>
              <a:latin typeface="Arial" panose="020B0604020202020204" pitchFamily="34" charset="0"/>
              <a:ea typeface="Inter" panose="020B0502030000000004" pitchFamily="34" charset="0"/>
              <a:cs typeface="Arial" panose="020B0604020202020204" pitchFamily="34" charset="0"/>
            </a:rPr>
            <a:t>Cell tips:</a:t>
          </a:r>
        </a:p>
        <a:p>
          <a:pPr algn="l"/>
          <a:r>
            <a:rPr lang="en-AU" sz="1200" b="0">
              <a:solidFill>
                <a:schemeClr val="tx1"/>
              </a:solidFill>
              <a:latin typeface="Arial" panose="020B0604020202020204" pitchFamily="34" charset="0"/>
              <a:ea typeface="Inter" panose="020B0502030000000004" pitchFamily="34" charset="0"/>
              <a:cs typeface="Arial" panose="020B0604020202020204" pitchFamily="34" charset="0"/>
            </a:rPr>
            <a:t>The climate zone</a:t>
          </a:r>
          <a:r>
            <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rPr>
            <a:t> is determined in the Home sheet section 1.4 using the ABC Climate Zone Map.</a:t>
          </a:r>
        </a:p>
      </xdr:txBody>
    </xdr:sp>
    <xdr:clientData/>
  </xdr:twoCellAnchor>
  <xdr:twoCellAnchor>
    <xdr:from>
      <xdr:col>2</xdr:col>
      <xdr:colOff>69695</xdr:colOff>
      <xdr:row>37</xdr:row>
      <xdr:rowOff>81642</xdr:rowOff>
    </xdr:from>
    <xdr:to>
      <xdr:col>4</xdr:col>
      <xdr:colOff>1244125</xdr:colOff>
      <xdr:row>44</xdr:row>
      <xdr:rowOff>-1</xdr:rowOff>
    </xdr:to>
    <xdr:sp macro="" textlink="">
      <xdr:nvSpPr>
        <xdr:cNvPr id="25" name="Rounded Rectangular Callout 16">
          <a:extLst>
            <a:ext uri="{FF2B5EF4-FFF2-40B4-BE49-F238E27FC236}">
              <a16:creationId xmlns:a16="http://schemas.microsoft.com/office/drawing/2014/main" id="{00000000-0008-0000-1700-000019000000}"/>
            </a:ext>
          </a:extLst>
        </xdr:cNvPr>
        <xdr:cNvSpPr/>
      </xdr:nvSpPr>
      <xdr:spPr>
        <a:xfrm>
          <a:off x="287409" y="11770178"/>
          <a:ext cx="1677895" cy="1537607"/>
        </a:xfrm>
        <a:prstGeom prst="wedgeRoundRectCallout">
          <a:avLst>
            <a:gd name="adj1" fmla="val 119788"/>
            <a:gd name="adj2" fmla="val -17152"/>
            <a:gd name="adj3" fmla="val 16667"/>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AU" sz="1200" b="1">
              <a:solidFill>
                <a:schemeClr val="tx1"/>
              </a:solidFill>
              <a:latin typeface="Arial" panose="020B0604020202020204" pitchFamily="34" charset="0"/>
              <a:ea typeface="Inter" panose="020B0502030000000004" pitchFamily="34" charset="0"/>
              <a:cs typeface="Arial" panose="020B0604020202020204" pitchFamily="34" charset="0"/>
            </a:rPr>
            <a:t>Cell tips</a:t>
          </a:r>
          <a:r>
            <a:rPr lang="en-AU" sz="1200" b="1" i="0">
              <a:solidFill>
                <a:sysClr val="windowText" lastClr="000000"/>
              </a:solidFill>
              <a:latin typeface="Arial" panose="020B0604020202020204" pitchFamily="34" charset="0"/>
              <a:ea typeface="Inter" panose="020B0502030000000004" pitchFamily="34" charset="0"/>
              <a:cs typeface="Arial" panose="020B0604020202020204" pitchFamily="34" charset="0"/>
            </a:rPr>
            <a:t>: </a:t>
          </a:r>
          <a:r>
            <a:rPr lang="en-AU" sz="1200" b="0" i="0">
              <a:solidFill>
                <a:sysClr val="windowText" lastClr="000000"/>
              </a:solidFill>
              <a:latin typeface="Arial" panose="020B0604020202020204" pitchFamily="34" charset="0"/>
              <a:ea typeface="Inter" panose="020B0502030000000004" pitchFamily="34" charset="0"/>
              <a:cs typeface="Arial" panose="020B0604020202020204" pitchFamily="34" charset="0"/>
            </a:rPr>
            <a:t>If</a:t>
          </a:r>
          <a:r>
            <a:rPr lang="en-AU" sz="1200" b="0" i="0" baseline="0">
              <a:solidFill>
                <a:sysClr val="windowText" lastClr="000000"/>
              </a:solidFill>
              <a:latin typeface="Arial" panose="020B0604020202020204" pitchFamily="34" charset="0"/>
              <a:ea typeface="Inter" panose="020B0502030000000004" pitchFamily="34" charset="0"/>
              <a:cs typeface="Arial" panose="020B0604020202020204" pitchFamily="34" charset="0"/>
            </a:rPr>
            <a:t> using a heat pump type heater or cooler select a rating type from this field first before completing the fields below.</a:t>
          </a:r>
          <a:endPar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xdr:from>
      <xdr:col>0</xdr:col>
      <xdr:colOff>92925</xdr:colOff>
      <xdr:row>45</xdr:row>
      <xdr:rowOff>174239</xdr:rowOff>
    </xdr:from>
    <xdr:to>
      <xdr:col>4</xdr:col>
      <xdr:colOff>2952749</xdr:colOff>
      <xdr:row>56</xdr:row>
      <xdr:rowOff>95251</xdr:rowOff>
    </xdr:to>
    <xdr:sp macro="" textlink="">
      <xdr:nvSpPr>
        <xdr:cNvPr id="35" name="Rounded Rectangular Callout 16">
          <a:extLst>
            <a:ext uri="{FF2B5EF4-FFF2-40B4-BE49-F238E27FC236}">
              <a16:creationId xmlns:a16="http://schemas.microsoft.com/office/drawing/2014/main" id="{00000000-0008-0000-1700-000023000000}"/>
            </a:ext>
          </a:extLst>
        </xdr:cNvPr>
        <xdr:cNvSpPr/>
      </xdr:nvSpPr>
      <xdr:spPr>
        <a:xfrm>
          <a:off x="92925" y="13713346"/>
          <a:ext cx="3581003" cy="2465548"/>
        </a:xfrm>
        <a:prstGeom prst="wedgeRoundRectCallout">
          <a:avLst>
            <a:gd name="adj1" fmla="val 59675"/>
            <a:gd name="adj2" fmla="val -65711"/>
            <a:gd name="adj3" fmla="val 16667"/>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200" b="1">
              <a:solidFill>
                <a:schemeClr val="tx1"/>
              </a:solidFill>
              <a:latin typeface="Arial" panose="020B0604020202020204" pitchFamily="34" charset="0"/>
              <a:ea typeface="Inter" panose="020B0502030000000004" pitchFamily="34" charset="0"/>
              <a:cs typeface="Arial" panose="020B0604020202020204" pitchFamily="34" charset="0"/>
            </a:rPr>
            <a:t>Cell tips: </a:t>
          </a:r>
          <a:r>
            <a:rPr lang="en-AU" sz="1200" b="0">
              <a:solidFill>
                <a:schemeClr val="tx1"/>
              </a:solidFill>
              <a:latin typeface="Arial" panose="020B0604020202020204" pitchFamily="34" charset="0"/>
              <a:ea typeface="Inter" panose="020B0502030000000004" pitchFamily="34" charset="0"/>
              <a:cs typeface="Arial" panose="020B0604020202020204" pitchFamily="34" charset="0"/>
            </a:rPr>
            <a:t>A</a:t>
          </a:r>
          <a:r>
            <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rPr>
            <a:t> main space heater or main space cooler  is defined as:</a:t>
          </a:r>
        </a:p>
        <a:p>
          <a:pPr algn="l"/>
          <a:r>
            <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rPr>
            <a:t>(a) the heating or cooling equipment that serves at least 70% of the conditioned space of a dwelling, or</a:t>
          </a:r>
        </a:p>
        <a:p>
          <a:pPr algn="l"/>
          <a:r>
            <a:rPr lang="en-AU" sz="1200" b="0" baseline="0">
              <a:solidFill>
                <a:schemeClr val="tx1"/>
              </a:solidFill>
              <a:latin typeface="Arial" panose="020B0604020202020204" pitchFamily="34" charset="0"/>
              <a:ea typeface="Inter" panose="020B0502030000000004" pitchFamily="34" charset="0"/>
              <a:cs typeface="Arial" panose="020B0604020202020204" pitchFamily="34" charset="0"/>
            </a:rPr>
            <a:t>(b) if no one heating or cooling equipment serves at least 70% of the conditioned space of the dwelling, the equipment that results in the highest net equivalent energy usage when calculated in accordance with J3D14(1)(a) of NCC Volume One or 13.6.2(1)(a) of the ABCB Housing Provisions.</a:t>
          </a:r>
        </a:p>
        <a:p>
          <a:pPr algn="l"/>
          <a:endParaRPr lang="en-AU" sz="1600" b="0" baseline="0">
            <a:solidFill>
              <a:schemeClr val="tx1"/>
            </a:solidFill>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xdr:from>
      <xdr:col>4</xdr:col>
      <xdr:colOff>5250364</xdr:colOff>
      <xdr:row>50</xdr:row>
      <xdr:rowOff>34850</xdr:rowOff>
    </xdr:from>
    <xdr:to>
      <xdr:col>4</xdr:col>
      <xdr:colOff>7796891</xdr:colOff>
      <xdr:row>55</xdr:row>
      <xdr:rowOff>163287</xdr:rowOff>
    </xdr:to>
    <xdr:sp macro="" textlink="">
      <xdr:nvSpPr>
        <xdr:cNvPr id="32" name="Rounded Rectangular Callout 16">
          <a:extLst>
            <a:ext uri="{FF2B5EF4-FFF2-40B4-BE49-F238E27FC236}">
              <a16:creationId xmlns:a16="http://schemas.microsoft.com/office/drawing/2014/main" id="{00000000-0008-0000-1700-000020000000}"/>
            </a:ext>
          </a:extLst>
        </xdr:cNvPr>
        <xdr:cNvSpPr/>
      </xdr:nvSpPr>
      <xdr:spPr>
        <a:xfrm>
          <a:off x="5971543" y="14730564"/>
          <a:ext cx="2546527" cy="1285044"/>
        </a:xfrm>
        <a:prstGeom prst="wedgeRoundRectCallout">
          <a:avLst>
            <a:gd name="adj1" fmla="val -111511"/>
            <a:gd name="adj2" fmla="val -51818"/>
            <a:gd name="adj3" fmla="val 16667"/>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AU" sz="1200" b="1">
              <a:solidFill>
                <a:schemeClr val="tx1"/>
              </a:solidFill>
              <a:latin typeface="Arial" panose="020B0604020202020204" pitchFamily="34" charset="0"/>
              <a:ea typeface="Inter" panose="020B0502030000000004" pitchFamily="34" charset="0"/>
              <a:cs typeface="Arial" panose="020B0604020202020204" pitchFamily="34" charset="0"/>
            </a:rPr>
            <a:t>Cell tips</a:t>
          </a:r>
          <a:r>
            <a:rPr lang="en-AU" sz="1200" b="1" i="0">
              <a:solidFill>
                <a:sysClr val="windowText" lastClr="000000"/>
              </a:solidFill>
              <a:latin typeface="Arial" panose="020B0604020202020204" pitchFamily="34" charset="0"/>
              <a:ea typeface="Inter" panose="020B0502030000000004" pitchFamily="34" charset="0"/>
              <a:cs typeface="Arial" panose="020B0604020202020204" pitchFamily="34" charset="0"/>
            </a:rPr>
            <a:t>: </a:t>
          </a:r>
          <a:r>
            <a:rPr lang="en-AU" sz="1200" b="0" i="0">
              <a:solidFill>
                <a:sysClr val="windowText" lastClr="000000"/>
              </a:solidFill>
              <a:latin typeface="Arial" panose="020B0604020202020204" pitchFamily="34" charset="0"/>
              <a:ea typeface="Inter" panose="020B0502030000000004" pitchFamily="34" charset="0"/>
              <a:cs typeface="Arial" panose="020B0604020202020204" pitchFamily="34" charset="0"/>
            </a:rPr>
            <a:t>A main water heater type is defined as: </a:t>
          </a:r>
          <a:r>
            <a:rPr lang="en-AU" sz="1200" b="0" i="0">
              <a:solidFill>
                <a:sysClr val="windowText" lastClr="000000"/>
              </a:solidFill>
              <a:effectLst/>
              <a:latin typeface="Arial" panose="020B0604020202020204" pitchFamily="34" charset="0"/>
              <a:ea typeface="+mn-ea"/>
              <a:cs typeface="Arial" panose="020B0604020202020204" pitchFamily="34" charset="0"/>
            </a:rPr>
            <a:t>The </a:t>
          </a:r>
          <a:r>
            <a:rPr lang="en-AU" sz="1200" i="0">
              <a:solidFill>
                <a:sysClr val="windowText" lastClr="000000"/>
              </a:solidFill>
              <a:effectLst/>
              <a:latin typeface="Arial" panose="020B0604020202020204" pitchFamily="34" charset="0"/>
              <a:ea typeface="+mn-ea"/>
              <a:cs typeface="Arial" panose="020B0604020202020204" pitchFamily="34" charset="0"/>
            </a:rPr>
            <a:t>domestic hot water unit in a dwelling that is connected to at least one shower and the largest number of hot water outlets.</a:t>
          </a:r>
          <a:endParaRPr lang="en-GB" sz="1200" i="0">
            <a:solidFill>
              <a:sysClr val="windowText" lastClr="000000"/>
            </a:solidFill>
            <a:effectLst/>
            <a:latin typeface="Arial" panose="020B0604020202020204" pitchFamily="34" charset="0"/>
            <a:ea typeface="+mn-ea"/>
            <a:cs typeface="Arial" panose="020B0604020202020204" pitchFamily="34" charset="0"/>
          </a:endParaRPr>
        </a:p>
        <a:p>
          <a:pPr algn="l"/>
          <a:endParaRPr lang="en-AU" sz="1600" b="0" baseline="0">
            <a:solidFill>
              <a:schemeClr val="tx1"/>
            </a:solidFill>
            <a:latin typeface="Arial" panose="020B0604020202020204" pitchFamily="34" charset="0"/>
            <a:ea typeface="Inter" panose="020B0502030000000004" pitchFamily="34" charset="0"/>
            <a:cs typeface="Arial" panose="020B0604020202020204"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23</xdr:col>
      <xdr:colOff>104775</xdr:colOff>
      <xdr:row>8</xdr:row>
      <xdr:rowOff>209550</xdr:rowOff>
    </xdr:from>
    <xdr:to>
      <xdr:col>23</xdr:col>
      <xdr:colOff>523875</xdr:colOff>
      <xdr:row>9</xdr:row>
      <xdr:rowOff>228600</xdr:rowOff>
    </xdr:to>
    <xdr:cxnSp macro="">
      <xdr:nvCxnSpPr>
        <xdr:cNvPr id="10" name="Straight Arrow Connector 9">
          <a:extLst>
            <a:ext uri="{FF2B5EF4-FFF2-40B4-BE49-F238E27FC236}">
              <a16:creationId xmlns:a16="http://schemas.microsoft.com/office/drawing/2014/main" id="{00000000-0008-0000-1800-00000A000000}"/>
            </a:ext>
          </a:extLst>
        </xdr:cNvPr>
        <xdr:cNvCxnSpPr/>
      </xdr:nvCxnSpPr>
      <xdr:spPr>
        <a:xfrm flipH="1">
          <a:off x="22764750" y="4191000"/>
          <a:ext cx="419100" cy="2571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552450</xdr:colOff>
      <xdr:row>23</xdr:row>
      <xdr:rowOff>38100</xdr:rowOff>
    </xdr:from>
    <xdr:to>
      <xdr:col>25</xdr:col>
      <xdr:colOff>95250</xdr:colOff>
      <xdr:row>28</xdr:row>
      <xdr:rowOff>142875</xdr:rowOff>
    </xdr:to>
    <xdr:cxnSp macro="">
      <xdr:nvCxnSpPr>
        <xdr:cNvPr id="11" name="Straight Arrow Connector 10">
          <a:extLst>
            <a:ext uri="{FF2B5EF4-FFF2-40B4-BE49-F238E27FC236}">
              <a16:creationId xmlns:a16="http://schemas.microsoft.com/office/drawing/2014/main" id="{00000000-0008-0000-1800-00000B000000}"/>
            </a:ext>
          </a:extLst>
        </xdr:cNvPr>
        <xdr:cNvCxnSpPr/>
      </xdr:nvCxnSpPr>
      <xdr:spPr>
        <a:xfrm flipH="1">
          <a:off x="23841075" y="8020050"/>
          <a:ext cx="1504950" cy="11049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714375</xdr:colOff>
      <xdr:row>15</xdr:row>
      <xdr:rowOff>104775</xdr:rowOff>
    </xdr:from>
    <xdr:to>
      <xdr:col>7</xdr:col>
      <xdr:colOff>142875</xdr:colOff>
      <xdr:row>16</xdr:row>
      <xdr:rowOff>57150</xdr:rowOff>
    </xdr:to>
    <xdr:sp macro="" textlink="">
      <xdr:nvSpPr>
        <xdr:cNvPr id="12" name="Arrow: Down 11">
          <a:extLst>
            <a:ext uri="{FF2B5EF4-FFF2-40B4-BE49-F238E27FC236}">
              <a16:creationId xmlns:a16="http://schemas.microsoft.com/office/drawing/2014/main" id="{00000000-0008-0000-1800-00000C000000}"/>
            </a:ext>
          </a:extLst>
        </xdr:cNvPr>
        <xdr:cNvSpPr/>
      </xdr:nvSpPr>
      <xdr:spPr>
        <a:xfrm>
          <a:off x="4524375" y="5800725"/>
          <a:ext cx="390525" cy="190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latin typeface="Arial" panose="020B0604020202020204" pitchFamily="34" charset="0"/>
            <a:cs typeface="Arial" panose="020B0604020202020204" pitchFamily="34" charset="0"/>
          </a:endParaRPr>
        </a:p>
      </xdr:txBody>
    </xdr:sp>
    <xdr:clientData/>
  </xdr:twoCellAnchor>
  <xdr:twoCellAnchor>
    <xdr:from>
      <xdr:col>15</xdr:col>
      <xdr:colOff>304800</xdr:colOff>
      <xdr:row>64</xdr:row>
      <xdr:rowOff>19049</xdr:rowOff>
    </xdr:from>
    <xdr:to>
      <xdr:col>15</xdr:col>
      <xdr:colOff>609600</xdr:colOff>
      <xdr:row>64</xdr:row>
      <xdr:rowOff>123824</xdr:rowOff>
    </xdr:to>
    <xdr:sp macro="" textlink="">
      <xdr:nvSpPr>
        <xdr:cNvPr id="13" name="Arrow: Down 12">
          <a:extLst>
            <a:ext uri="{FF2B5EF4-FFF2-40B4-BE49-F238E27FC236}">
              <a16:creationId xmlns:a16="http://schemas.microsoft.com/office/drawing/2014/main" id="{00000000-0008-0000-1800-00000D000000}"/>
            </a:ext>
          </a:extLst>
        </xdr:cNvPr>
        <xdr:cNvSpPr/>
      </xdr:nvSpPr>
      <xdr:spPr>
        <a:xfrm>
          <a:off x="12620625" y="18068924"/>
          <a:ext cx="304800" cy="1047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latin typeface="Arial" panose="020B0604020202020204" pitchFamily="34" charset="0"/>
            <a:cs typeface="Arial" panose="020B0604020202020204" pitchFamily="34" charset="0"/>
          </a:endParaRPr>
        </a:p>
      </xdr:txBody>
    </xdr:sp>
    <xdr:clientData/>
  </xdr:twoCellAnchor>
  <xdr:twoCellAnchor>
    <xdr:from>
      <xdr:col>2</xdr:col>
      <xdr:colOff>44225</xdr:colOff>
      <xdr:row>0</xdr:row>
      <xdr:rowOff>1393031</xdr:rowOff>
    </xdr:from>
    <xdr:to>
      <xdr:col>4</xdr:col>
      <xdr:colOff>758598</xdr:colOff>
      <xdr:row>1</xdr:row>
      <xdr:rowOff>380999</xdr:rowOff>
    </xdr:to>
    <xdr:sp macro="" textlink="">
      <xdr:nvSpPr>
        <xdr:cNvPr id="5" name="Rectangle 8">
          <a:hlinkClick xmlns:r="http://schemas.openxmlformats.org/officeDocument/2006/relationships" r:id="rId1"/>
          <a:extLst>
            <a:ext uri="{FF2B5EF4-FFF2-40B4-BE49-F238E27FC236}">
              <a16:creationId xmlns:a16="http://schemas.microsoft.com/office/drawing/2014/main" id="{00000000-0008-0000-1800-000005000000}"/>
            </a:ext>
          </a:extLst>
        </xdr:cNvPr>
        <xdr:cNvSpPr/>
      </xdr:nvSpPr>
      <xdr:spPr>
        <a:xfrm>
          <a:off x="627631" y="1393031"/>
          <a:ext cx="2012155" cy="631031"/>
        </a:xfrm>
        <a:prstGeom prst="rect">
          <a:avLst/>
        </a:prstGeom>
        <a:solidFill>
          <a:schemeClr val="bg1">
            <a:lumMod val="75000"/>
          </a:schemeClr>
        </a:solidFill>
        <a:ln>
          <a:noFill/>
        </a:ln>
        <a:effectLst>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AU" sz="1100" b="1" i="1">
              <a:solidFill>
                <a:sysClr val="windowText" lastClr="000000"/>
              </a:solidFill>
            </a:rPr>
            <a:t>Click</a:t>
          </a:r>
          <a:r>
            <a:rPr lang="en-AU" sz="1100" b="1" i="1" baseline="0">
              <a:solidFill>
                <a:sysClr val="windowText" lastClr="000000"/>
              </a:solidFill>
            </a:rPr>
            <a:t> to view Part 13.6 of </a:t>
          </a:r>
          <a:r>
            <a:rPr lang="en-AU" sz="1100" b="1" i="1">
              <a:solidFill>
                <a:sysClr val="windowText" lastClr="000000"/>
              </a:solidFill>
            </a:rPr>
            <a:t>National Construction Code</a:t>
          </a:r>
        </a:p>
      </xdr:txBody>
    </xdr:sp>
    <xdr:clientData/>
  </xdr:twoCellAnchor>
  <xdr:twoCellAnchor editAs="oneCell">
    <xdr:from>
      <xdr:col>3</xdr:col>
      <xdr:colOff>188455</xdr:colOff>
      <xdr:row>0</xdr:row>
      <xdr:rowOff>665339</xdr:rowOff>
    </xdr:from>
    <xdr:to>
      <xdr:col>10</xdr:col>
      <xdr:colOff>1181100</xdr:colOff>
      <xdr:row>1</xdr:row>
      <xdr:rowOff>314325</xdr:rowOff>
    </xdr:to>
    <xdr:sp macro="" textlink="">
      <xdr:nvSpPr>
        <xdr:cNvPr id="15" name="TextBox 31">
          <a:extLst>
            <a:ext uri="{FF2B5EF4-FFF2-40B4-BE49-F238E27FC236}">
              <a16:creationId xmlns:a16="http://schemas.microsoft.com/office/drawing/2014/main" id="{00000000-0008-0000-1800-00000F000000}"/>
            </a:ext>
          </a:extLst>
        </xdr:cNvPr>
        <xdr:cNvSpPr txBox="1"/>
      </xdr:nvSpPr>
      <xdr:spPr>
        <a:xfrm>
          <a:off x="1045705" y="665339"/>
          <a:ext cx="8469770" cy="1287286"/>
        </a:xfrm>
        <a:prstGeom prst="rect">
          <a:avLst/>
        </a:prstGeom>
        <a:noFill/>
      </xdr:spPr>
      <xdr:txBody>
        <a:bodyPr wrap="square" rtlCol="0">
          <a:noAutofit/>
        </a:bodyPr>
        <a:lstStyle/>
        <a:p>
          <a:pPr algn="l"/>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13.6 WHOLE-OF-HOME</a:t>
          </a:r>
        </a:p>
      </xdr:txBody>
    </xdr:sp>
    <xdr:clientData/>
  </xdr:twoCellAnchor>
  <xdr:twoCellAnchor editAs="oneCell">
    <xdr:from>
      <xdr:col>3</xdr:col>
      <xdr:colOff>188455</xdr:colOff>
      <xdr:row>0</xdr:row>
      <xdr:rowOff>489858</xdr:rowOff>
    </xdr:from>
    <xdr:to>
      <xdr:col>11</xdr:col>
      <xdr:colOff>133350</xdr:colOff>
      <xdr:row>0</xdr:row>
      <xdr:rowOff>729989</xdr:rowOff>
    </xdr:to>
    <xdr:sp macro="" textlink="Name">
      <xdr:nvSpPr>
        <xdr:cNvPr id="16" name="TextBox 31">
          <a:extLst>
            <a:ext uri="{FF2B5EF4-FFF2-40B4-BE49-F238E27FC236}">
              <a16:creationId xmlns:a16="http://schemas.microsoft.com/office/drawing/2014/main" id="{00000000-0008-0000-1800-000010000000}"/>
            </a:ext>
          </a:extLst>
        </xdr:cNvPr>
        <xdr:cNvSpPr txBox="1"/>
      </xdr:nvSpPr>
      <xdr:spPr>
        <a:xfrm>
          <a:off x="1045705" y="489858"/>
          <a:ext cx="8631695" cy="24013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2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pPr algn="l"/>
            <a:t>Housing Energy Efficiency Calculator</a:t>
          </a:fld>
          <a:endParaRPr lang="en-AU" sz="1200" b="0" spc="1190" baseline="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clientData/>
  </xdr:twoCellAnchor>
  <xdr:twoCellAnchor editAs="oneCell">
    <xdr:from>
      <xdr:col>2</xdr:col>
      <xdr:colOff>68037</xdr:colOff>
      <xdr:row>0</xdr:row>
      <xdr:rowOff>849570</xdr:rowOff>
    </xdr:from>
    <xdr:to>
      <xdr:col>3</xdr:col>
      <xdr:colOff>187812</xdr:colOff>
      <xdr:row>0</xdr:row>
      <xdr:rowOff>1201546</xdr:rowOff>
    </xdr:to>
    <xdr:pic>
      <xdr:nvPicPr>
        <xdr:cNvPr id="17" name="Picture 16" descr="A white arrow in a circle&#10;&#10;Description automatically generated">
          <a:hlinkClick xmlns:r="http://schemas.openxmlformats.org/officeDocument/2006/relationships" r:id="rId2"/>
          <a:extLst>
            <a:ext uri="{FF2B5EF4-FFF2-40B4-BE49-F238E27FC236}">
              <a16:creationId xmlns:a16="http://schemas.microsoft.com/office/drawing/2014/main" id="{00000000-0008-0000-1800-000011000000}"/>
            </a:ext>
          </a:extLst>
        </xdr:cNvPr>
        <xdr:cNvPicPr>
          <a:picLocks noChangeAspect="1"/>
        </xdr:cNvPicPr>
      </xdr:nvPicPr>
      <xdr:blipFill>
        <a:blip xmlns:r="http://schemas.openxmlformats.org/officeDocument/2006/relationships" r:embed="rId3">
          <a:biLevel thresh="25000"/>
          <a:extLst>
            <a:ext uri="{BEBA8EAE-BF5A-486C-A8C5-ECC9F3942E4B}">
              <a14:imgProps xmlns:a14="http://schemas.microsoft.com/office/drawing/2010/main">
                <a14:imgLayer r:embed="rId4">
                  <a14:imgEffect>
                    <a14:brightnessContrast bright="-40000" contrast="-40000"/>
                  </a14:imgEffect>
                </a14:imgLayer>
              </a14:imgProps>
            </a:ext>
          </a:extLst>
        </a:blip>
        <a:stretch>
          <a:fillRect/>
        </a:stretch>
      </xdr:blipFill>
      <xdr:spPr>
        <a:xfrm>
          <a:off x="649062" y="849570"/>
          <a:ext cx="396000" cy="35197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629070</xdr:colOff>
      <xdr:row>0</xdr:row>
      <xdr:rowOff>398997</xdr:rowOff>
    </xdr:from>
    <xdr:to>
      <xdr:col>20</xdr:col>
      <xdr:colOff>596018</xdr:colOff>
      <xdr:row>0</xdr:row>
      <xdr:rowOff>995486</xdr:rowOff>
    </xdr:to>
    <xdr:sp macro="" textlink="">
      <xdr:nvSpPr>
        <xdr:cNvPr id="7" name="TextBox 31">
          <a:extLst>
            <a:ext uri="{FF2B5EF4-FFF2-40B4-BE49-F238E27FC236}">
              <a16:creationId xmlns:a16="http://schemas.microsoft.com/office/drawing/2014/main" id="{00000000-0008-0000-1900-000007000000}"/>
            </a:ext>
          </a:extLst>
        </xdr:cNvPr>
        <xdr:cNvSpPr txBox="1"/>
      </xdr:nvSpPr>
      <xdr:spPr>
        <a:xfrm>
          <a:off x="752895" y="398997"/>
          <a:ext cx="12997148" cy="596489"/>
        </a:xfrm>
        <a:prstGeom prst="rect">
          <a:avLst/>
        </a:prstGeom>
        <a:noFill/>
      </xdr:spPr>
      <xdr:txBody>
        <a:bodyPr wrap="square" rtlCol="0">
          <a:noAutofit/>
        </a:bodyPr>
        <a:lstStyle/>
        <a:p>
          <a:pPr algn="l"/>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13.7</a:t>
          </a:r>
          <a:r>
            <a:rPr lang="en-US" sz="40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t> SERVICES HELP GUIDE</a:t>
          </a:r>
          <a:endPar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clientData/>
  </xdr:twoCellAnchor>
  <xdr:twoCellAnchor>
    <xdr:from>
      <xdr:col>1</xdr:col>
      <xdr:colOff>632929</xdr:colOff>
      <xdr:row>0</xdr:row>
      <xdr:rowOff>228600</xdr:rowOff>
    </xdr:from>
    <xdr:to>
      <xdr:col>22</xdr:col>
      <xdr:colOff>212138</xdr:colOff>
      <xdr:row>0</xdr:row>
      <xdr:rowOff>461775</xdr:rowOff>
    </xdr:to>
    <xdr:sp macro="" textlink="Name">
      <xdr:nvSpPr>
        <xdr:cNvPr id="8" name="TextBox 31">
          <a:extLst>
            <a:ext uri="{FF2B5EF4-FFF2-40B4-BE49-F238E27FC236}">
              <a16:creationId xmlns:a16="http://schemas.microsoft.com/office/drawing/2014/main" id="{00000000-0008-0000-1900-000008000000}"/>
            </a:ext>
          </a:extLst>
        </xdr:cNvPr>
        <xdr:cNvSpPr txBox="1"/>
      </xdr:nvSpPr>
      <xdr:spPr>
        <a:xfrm>
          <a:off x="756754" y="228600"/>
          <a:ext cx="13981009" cy="233175"/>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2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pPr algn="l"/>
            <a:t>Housing Energy Efficiency Calculator</a:t>
          </a:fld>
          <a:endParaRPr lang="en-AU" sz="1200" b="0" spc="1190" baseline="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clientData/>
  </xdr:twoCellAnchor>
  <xdr:twoCellAnchor>
    <xdr:from>
      <xdr:col>0</xdr:col>
      <xdr:colOff>114300</xdr:colOff>
      <xdr:row>0</xdr:row>
      <xdr:rowOff>392910</xdr:rowOff>
    </xdr:from>
    <xdr:to>
      <xdr:col>1</xdr:col>
      <xdr:colOff>489068</xdr:colOff>
      <xdr:row>0</xdr:row>
      <xdr:rowOff>827440</xdr:rowOff>
    </xdr:to>
    <xdr:pic>
      <xdr:nvPicPr>
        <xdr:cNvPr id="9" name="Picture 8" descr="A white arrow in a circle&#10;&#10;Description automatically generated">
          <a:hlinkClick xmlns:r="http://schemas.openxmlformats.org/officeDocument/2006/relationships" r:id="rId1"/>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2">
          <a:biLevel thresh="25000"/>
          <a:extLst>
            <a:ext uri="{BEBA8EAE-BF5A-486C-A8C5-ECC9F3942E4B}">
              <a14:imgProps xmlns:a14="http://schemas.microsoft.com/office/drawing/2010/main">
                <a14:imgLayer r:embed="rId3">
                  <a14:imgEffect>
                    <a14:brightnessContrast bright="-40000" contrast="-40000"/>
                  </a14:imgEffect>
                </a14:imgLayer>
              </a14:imgProps>
            </a:ext>
          </a:extLst>
        </a:blip>
        <a:stretch>
          <a:fillRect/>
        </a:stretch>
      </xdr:blipFill>
      <xdr:spPr>
        <a:xfrm>
          <a:off x="114300" y="392910"/>
          <a:ext cx="498593" cy="434530"/>
        </a:xfrm>
        <a:prstGeom prst="rect">
          <a:avLst/>
        </a:prstGeom>
      </xdr:spPr>
    </xdr:pic>
    <xdr:clientData/>
  </xdr:twoCellAnchor>
  <xdr:twoCellAnchor>
    <xdr:from>
      <xdr:col>1</xdr:col>
      <xdr:colOff>178254</xdr:colOff>
      <xdr:row>4</xdr:row>
      <xdr:rowOff>50916</xdr:rowOff>
    </xdr:from>
    <xdr:to>
      <xdr:col>12</xdr:col>
      <xdr:colOff>455570</xdr:colOff>
      <xdr:row>37</xdr:row>
      <xdr:rowOff>153249</xdr:rowOff>
    </xdr:to>
    <xdr:grpSp>
      <xdr:nvGrpSpPr>
        <xdr:cNvPr id="2" name="Group 1">
          <a:extLst>
            <a:ext uri="{FF2B5EF4-FFF2-40B4-BE49-F238E27FC236}">
              <a16:creationId xmlns:a16="http://schemas.microsoft.com/office/drawing/2014/main" id="{00000000-0008-0000-1900-000002000000}"/>
            </a:ext>
          </a:extLst>
        </xdr:cNvPr>
        <xdr:cNvGrpSpPr/>
      </xdr:nvGrpSpPr>
      <xdr:grpSpPr>
        <a:xfrm>
          <a:off x="297783" y="2710445"/>
          <a:ext cx="7591022" cy="6019039"/>
          <a:chOff x="254454" y="2902403"/>
          <a:chExt cx="7701373" cy="5850560"/>
        </a:xfrm>
      </xdr:grpSpPr>
      <xdr:pic>
        <xdr:nvPicPr>
          <xdr:cNvPr id="10" name="Picture 9">
            <a:extLst>
              <a:ext uri="{FF2B5EF4-FFF2-40B4-BE49-F238E27FC236}">
                <a16:creationId xmlns:a16="http://schemas.microsoft.com/office/drawing/2014/main" id="{00000000-0008-0000-1900-00000A000000}"/>
              </a:ext>
            </a:extLst>
          </xdr:cNvPr>
          <xdr:cNvPicPr>
            <a:picLocks noChangeAspect="1"/>
          </xdr:cNvPicPr>
        </xdr:nvPicPr>
        <xdr:blipFill>
          <a:blip xmlns:r="http://schemas.openxmlformats.org/officeDocument/2006/relationships" r:embed="rId4"/>
          <a:stretch>
            <a:fillRect/>
          </a:stretch>
        </xdr:blipFill>
        <xdr:spPr>
          <a:xfrm>
            <a:off x="254454" y="2902403"/>
            <a:ext cx="7701373" cy="5850560"/>
          </a:xfrm>
          <a:prstGeom prst="rect">
            <a:avLst/>
          </a:prstGeom>
          <a:ln w="12700">
            <a:solidFill>
              <a:schemeClr val="tx1"/>
            </a:solidFill>
          </a:ln>
        </xdr:spPr>
      </xdr:pic>
      <xdr:sp macro="" textlink="">
        <xdr:nvSpPr>
          <xdr:cNvPr id="21" name="AutoShape 3640">
            <a:extLst>
              <a:ext uri="{FF2B5EF4-FFF2-40B4-BE49-F238E27FC236}">
                <a16:creationId xmlns:a16="http://schemas.microsoft.com/office/drawing/2014/main" id="{00000000-0008-0000-1900-000015000000}"/>
              </a:ext>
            </a:extLst>
          </xdr:cNvPr>
          <xdr:cNvSpPr>
            <a:spLocks noChangeArrowheads="1"/>
          </xdr:cNvSpPr>
        </xdr:nvSpPr>
        <xdr:spPr bwMode="auto">
          <a:xfrm>
            <a:off x="5455357" y="2929858"/>
            <a:ext cx="2088215" cy="1066736"/>
          </a:xfrm>
          <a:prstGeom prst="wedgeRoundRectCallout">
            <a:avLst>
              <a:gd name="adj1" fmla="val -83526"/>
              <a:gd name="adj2" fmla="val 31965"/>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200" b="1" i="0" u="none" strike="noStrike" baseline="0">
                <a:solidFill>
                  <a:srgbClr val="000000"/>
                </a:solidFill>
                <a:latin typeface="Arial"/>
                <a:cs typeface="Arial"/>
              </a:rPr>
              <a:t>Link:</a:t>
            </a:r>
          </a:p>
          <a:p>
            <a:pPr algn="l" rtl="0">
              <a:defRPr sz="1000"/>
            </a:pPr>
            <a:endParaRPr lang="en-AU" sz="700" b="0" i="0" u="none" strike="noStrike" baseline="0">
              <a:solidFill>
                <a:srgbClr val="000000"/>
              </a:solidFill>
              <a:latin typeface="Arial"/>
              <a:cs typeface="Arial"/>
            </a:endParaRPr>
          </a:p>
          <a:p>
            <a:pPr algn="l" rtl="0">
              <a:defRPr sz="1000"/>
            </a:pPr>
            <a:r>
              <a:rPr lang="en-AU" sz="1200" b="0" i="0" u="none" strike="noStrike" baseline="0">
                <a:solidFill>
                  <a:srgbClr val="000000"/>
                </a:solidFill>
                <a:latin typeface="Arial"/>
                <a:cs typeface="Arial"/>
              </a:rPr>
              <a:t>This link will take the user to the part 13.7 of the National Construction Code. </a:t>
            </a:r>
          </a:p>
        </xdr:txBody>
      </xdr:sp>
      <xdr:sp macro="" textlink="">
        <xdr:nvSpPr>
          <xdr:cNvPr id="22" name="AutoShape 3640">
            <a:extLst>
              <a:ext uri="{FF2B5EF4-FFF2-40B4-BE49-F238E27FC236}">
                <a16:creationId xmlns:a16="http://schemas.microsoft.com/office/drawing/2014/main" id="{00000000-0008-0000-1900-000016000000}"/>
              </a:ext>
            </a:extLst>
          </xdr:cNvPr>
          <xdr:cNvSpPr>
            <a:spLocks noChangeArrowheads="1"/>
          </xdr:cNvSpPr>
        </xdr:nvSpPr>
        <xdr:spPr bwMode="auto">
          <a:xfrm>
            <a:off x="5310867" y="5592536"/>
            <a:ext cx="2041506" cy="1039976"/>
          </a:xfrm>
          <a:prstGeom prst="wedgeRoundRectCallout">
            <a:avLst>
              <a:gd name="adj1" fmla="val -74370"/>
              <a:gd name="adj2" fmla="val 83019"/>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200" b="1" i="0" u="none" strike="noStrike" baseline="0">
                <a:solidFill>
                  <a:srgbClr val="000000"/>
                </a:solidFill>
                <a:latin typeface="Arial"/>
                <a:cs typeface="Arial"/>
              </a:rPr>
              <a:t>Link:</a:t>
            </a:r>
          </a:p>
          <a:p>
            <a:pPr algn="l" rtl="0">
              <a:defRPr sz="1000"/>
            </a:pPr>
            <a:endParaRPr lang="en-AU" sz="700" b="0" i="0" u="none" strike="noStrike" baseline="0">
              <a:solidFill>
                <a:srgbClr val="000000"/>
              </a:solidFill>
              <a:latin typeface="Arial"/>
              <a:cs typeface="Arial"/>
            </a:endParaRPr>
          </a:p>
          <a:p>
            <a:pPr algn="l" rtl="0">
              <a:defRPr sz="1000"/>
            </a:pPr>
            <a:r>
              <a:rPr lang="en-AU" sz="1200" b="0" i="0" u="none" strike="noStrike" baseline="0">
                <a:solidFill>
                  <a:srgbClr val="000000"/>
                </a:solidFill>
                <a:latin typeface="Arial"/>
                <a:cs typeface="Arial"/>
              </a:rPr>
              <a:t>This link will take the user to the Artificial Lighting Calculator (13.7.6).</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247650</xdr:colOff>
      <xdr:row>0</xdr:row>
      <xdr:rowOff>171450</xdr:rowOff>
    </xdr:from>
    <xdr:to>
      <xdr:col>13</xdr:col>
      <xdr:colOff>588430</xdr:colOff>
      <xdr:row>5</xdr:row>
      <xdr:rowOff>58226</xdr:rowOff>
    </xdr:to>
    <xdr:grpSp>
      <xdr:nvGrpSpPr>
        <xdr:cNvPr id="2" name="Group 1">
          <a:extLst>
            <a:ext uri="{FF2B5EF4-FFF2-40B4-BE49-F238E27FC236}">
              <a16:creationId xmlns:a16="http://schemas.microsoft.com/office/drawing/2014/main" id="{00000000-0008-0000-1A00-000002000000}"/>
            </a:ext>
          </a:extLst>
        </xdr:cNvPr>
        <xdr:cNvGrpSpPr/>
      </xdr:nvGrpSpPr>
      <xdr:grpSpPr>
        <a:xfrm>
          <a:off x="247650" y="171450"/>
          <a:ext cx="8926887" cy="771240"/>
          <a:chOff x="247650" y="186690"/>
          <a:chExt cx="8272656" cy="782108"/>
        </a:xfrm>
      </xdr:grpSpPr>
      <xdr:grpSp>
        <xdr:nvGrpSpPr>
          <xdr:cNvPr id="3" name="Group 2">
            <a:extLst>
              <a:ext uri="{FF2B5EF4-FFF2-40B4-BE49-F238E27FC236}">
                <a16:creationId xmlns:a16="http://schemas.microsoft.com/office/drawing/2014/main" id="{00000000-0008-0000-1A00-000003000000}"/>
              </a:ext>
            </a:extLst>
          </xdr:cNvPr>
          <xdr:cNvGrpSpPr/>
        </xdr:nvGrpSpPr>
        <xdr:grpSpPr>
          <a:xfrm>
            <a:off x="836545" y="186690"/>
            <a:ext cx="7683761" cy="782108"/>
            <a:chOff x="812485" y="438150"/>
            <a:chExt cx="6341177" cy="814493"/>
          </a:xfrm>
        </xdr:grpSpPr>
        <xdr:sp macro="" textlink="">
          <xdr:nvSpPr>
            <xdr:cNvPr id="5" name="TextBox 31">
              <a:extLst>
                <a:ext uri="{FF2B5EF4-FFF2-40B4-BE49-F238E27FC236}">
                  <a16:creationId xmlns:a16="http://schemas.microsoft.com/office/drawing/2014/main" id="{00000000-0008-0000-1A00-000005000000}"/>
                </a:ext>
              </a:extLst>
            </xdr:cNvPr>
            <xdr:cNvSpPr txBox="1"/>
          </xdr:nvSpPr>
          <xdr:spPr>
            <a:xfrm>
              <a:off x="812485" y="619125"/>
              <a:ext cx="6007392" cy="633518"/>
            </a:xfrm>
            <a:prstGeom prst="rect">
              <a:avLst/>
            </a:prstGeom>
            <a:noFill/>
          </xdr:spPr>
          <xdr:txBody>
            <a:bodyPr wrap="square" rtlCol="0">
              <a:noAutofit/>
            </a:bodyPr>
            <a:lstStyle/>
            <a:p>
              <a:pPr algn="l"/>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13.7</a:t>
              </a:r>
              <a:r>
                <a:rPr lang="en-US" sz="40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t> SERVICES</a:t>
              </a:r>
              <a:endPar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sp macro="" textlink="Name">
          <xdr:nvSpPr>
            <xdr:cNvPr id="6" name="TextBox 31">
              <a:extLst>
                <a:ext uri="{FF2B5EF4-FFF2-40B4-BE49-F238E27FC236}">
                  <a16:creationId xmlns:a16="http://schemas.microsoft.com/office/drawing/2014/main" id="{00000000-0008-0000-1A00-000006000000}"/>
                </a:ext>
              </a:extLst>
            </xdr:cNvPr>
            <xdr:cNvSpPr txBox="1"/>
          </xdr:nvSpPr>
          <xdr:spPr>
            <a:xfrm>
              <a:off x="815423" y="438150"/>
              <a:ext cx="6338239" cy="247649"/>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2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pPr algn="l"/>
                <a:t>Housing Energy Efficiency Calculator</a:t>
              </a:fld>
              <a:endParaRPr lang="en-AU" sz="1200" b="0" spc="1190" baseline="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grpSp>
      <xdr:pic>
        <xdr:nvPicPr>
          <xdr:cNvPr id="4" name="Picture 3" descr="A white arrow in a circle&#10;&#10;Description automatically generated">
            <a:hlinkClick xmlns:r="http://schemas.openxmlformats.org/officeDocument/2006/relationships" r:id="rId1"/>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2">
            <a:biLevel thresh="25000"/>
            <a:extLst>
              <a:ext uri="{BEBA8EAE-BF5A-486C-A8C5-ECC9F3942E4B}">
                <a14:imgProps xmlns:a14="http://schemas.microsoft.com/office/drawing/2010/main">
                  <a14:imgLayer r:embed="rId3">
                    <a14:imgEffect>
                      <a14:brightnessContrast bright="-40000" contrast="-40000"/>
                    </a14:imgEffect>
                  </a14:imgLayer>
                </a14:imgProps>
              </a:ext>
            </a:extLst>
          </a:blip>
          <a:stretch>
            <a:fillRect/>
          </a:stretch>
        </xdr:blipFill>
        <xdr:spPr>
          <a:xfrm>
            <a:off x="247650" y="354261"/>
            <a:ext cx="459789" cy="443155"/>
          </a:xfrm>
          <a:prstGeom prst="rect">
            <a:avLst/>
          </a:prstGeom>
        </xdr:spPr>
      </xdr:pic>
    </xdr:grpSp>
    <xdr:clientData/>
  </xdr:twoCellAnchor>
  <xdr:twoCellAnchor>
    <xdr:from>
      <xdr:col>5</xdr:col>
      <xdr:colOff>66675</xdr:colOff>
      <xdr:row>56</xdr:row>
      <xdr:rowOff>133350</xdr:rowOff>
    </xdr:from>
    <xdr:to>
      <xdr:col>5</xdr:col>
      <xdr:colOff>394463</xdr:colOff>
      <xdr:row>58</xdr:row>
      <xdr:rowOff>157457</xdr:rowOff>
    </xdr:to>
    <xdr:grpSp>
      <xdr:nvGrpSpPr>
        <xdr:cNvPr id="7" name="Group 6">
          <a:hlinkClick xmlns:r="http://schemas.openxmlformats.org/officeDocument/2006/relationships" r:id="rId4"/>
          <a:extLst>
            <a:ext uri="{FF2B5EF4-FFF2-40B4-BE49-F238E27FC236}">
              <a16:creationId xmlns:a16="http://schemas.microsoft.com/office/drawing/2014/main" id="{00000000-0008-0000-1A00-000007000000}"/>
            </a:ext>
          </a:extLst>
        </xdr:cNvPr>
        <xdr:cNvGrpSpPr>
          <a:grpSpLocks noChangeAspect="1"/>
        </xdr:cNvGrpSpPr>
      </xdr:nvGrpSpPr>
      <xdr:grpSpPr>
        <a:xfrm>
          <a:off x="1165679" y="5344886"/>
          <a:ext cx="327788" cy="435496"/>
          <a:chOff x="11460163" y="6399213"/>
          <a:chExt cx="420687" cy="558800"/>
        </a:xfrm>
        <a:solidFill>
          <a:schemeClr val="accent6"/>
        </a:solidFill>
      </xdr:grpSpPr>
      <xdr:sp macro="" textlink="">
        <xdr:nvSpPr>
          <xdr:cNvPr id="8" name="Freeform 574">
            <a:extLst>
              <a:ext uri="{FF2B5EF4-FFF2-40B4-BE49-F238E27FC236}">
                <a16:creationId xmlns:a16="http://schemas.microsoft.com/office/drawing/2014/main" id="{00000000-0008-0000-1A00-000008000000}"/>
              </a:ext>
            </a:extLst>
          </xdr:cNvPr>
          <xdr:cNvSpPr>
            <a:spLocks noEditPoints="1"/>
          </xdr:cNvSpPr>
        </xdr:nvSpPr>
        <xdr:spPr bwMode="auto">
          <a:xfrm>
            <a:off x="11460163" y="6399213"/>
            <a:ext cx="420687" cy="558800"/>
          </a:xfrm>
          <a:custGeom>
            <a:avLst/>
            <a:gdLst>
              <a:gd name="T0" fmla="*/ 158 w 177"/>
              <a:gd name="T1" fmla="*/ 0 h 235"/>
              <a:gd name="T2" fmla="*/ 19 w 177"/>
              <a:gd name="T3" fmla="*/ 0 h 235"/>
              <a:gd name="T4" fmla="*/ 0 w 177"/>
              <a:gd name="T5" fmla="*/ 19 h 235"/>
              <a:gd name="T6" fmla="*/ 0 w 177"/>
              <a:gd name="T7" fmla="*/ 216 h 235"/>
              <a:gd name="T8" fmla="*/ 19 w 177"/>
              <a:gd name="T9" fmla="*/ 235 h 235"/>
              <a:gd name="T10" fmla="*/ 158 w 177"/>
              <a:gd name="T11" fmla="*/ 235 h 235"/>
              <a:gd name="T12" fmla="*/ 177 w 177"/>
              <a:gd name="T13" fmla="*/ 216 h 235"/>
              <a:gd name="T14" fmla="*/ 177 w 177"/>
              <a:gd name="T15" fmla="*/ 19 h 235"/>
              <a:gd name="T16" fmla="*/ 158 w 177"/>
              <a:gd name="T17" fmla="*/ 0 h 235"/>
              <a:gd name="T18" fmla="*/ 168 w 177"/>
              <a:gd name="T19" fmla="*/ 216 h 235"/>
              <a:gd name="T20" fmla="*/ 158 w 177"/>
              <a:gd name="T21" fmla="*/ 225 h 235"/>
              <a:gd name="T22" fmla="*/ 19 w 177"/>
              <a:gd name="T23" fmla="*/ 225 h 235"/>
              <a:gd name="T24" fmla="*/ 9 w 177"/>
              <a:gd name="T25" fmla="*/ 216 h 235"/>
              <a:gd name="T26" fmla="*/ 9 w 177"/>
              <a:gd name="T27" fmla="*/ 19 h 235"/>
              <a:gd name="T28" fmla="*/ 19 w 177"/>
              <a:gd name="T29" fmla="*/ 9 h 235"/>
              <a:gd name="T30" fmla="*/ 158 w 177"/>
              <a:gd name="T31" fmla="*/ 9 h 235"/>
              <a:gd name="T32" fmla="*/ 168 w 177"/>
              <a:gd name="T33" fmla="*/ 19 h 235"/>
              <a:gd name="T34" fmla="*/ 168 w 177"/>
              <a:gd name="T35" fmla="*/ 216 h 2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177" h="235">
                <a:moveTo>
                  <a:pt x="158" y="0"/>
                </a:moveTo>
                <a:cubicBezTo>
                  <a:pt x="19" y="0"/>
                  <a:pt x="19" y="0"/>
                  <a:pt x="19" y="0"/>
                </a:cubicBezTo>
                <a:cubicBezTo>
                  <a:pt x="8" y="0"/>
                  <a:pt x="0" y="8"/>
                  <a:pt x="0" y="19"/>
                </a:cubicBezTo>
                <a:cubicBezTo>
                  <a:pt x="0" y="216"/>
                  <a:pt x="0" y="216"/>
                  <a:pt x="0" y="216"/>
                </a:cubicBezTo>
                <a:cubicBezTo>
                  <a:pt x="0" y="226"/>
                  <a:pt x="8" y="235"/>
                  <a:pt x="19" y="235"/>
                </a:cubicBezTo>
                <a:cubicBezTo>
                  <a:pt x="158" y="235"/>
                  <a:pt x="158" y="235"/>
                  <a:pt x="158" y="235"/>
                </a:cubicBezTo>
                <a:cubicBezTo>
                  <a:pt x="169" y="235"/>
                  <a:pt x="177" y="226"/>
                  <a:pt x="177" y="216"/>
                </a:cubicBezTo>
                <a:cubicBezTo>
                  <a:pt x="177" y="19"/>
                  <a:pt x="177" y="19"/>
                  <a:pt x="177" y="19"/>
                </a:cubicBezTo>
                <a:cubicBezTo>
                  <a:pt x="177" y="8"/>
                  <a:pt x="169" y="0"/>
                  <a:pt x="158" y="0"/>
                </a:cubicBezTo>
                <a:close/>
                <a:moveTo>
                  <a:pt x="168" y="216"/>
                </a:moveTo>
                <a:cubicBezTo>
                  <a:pt x="168" y="221"/>
                  <a:pt x="163" y="225"/>
                  <a:pt x="158" y="225"/>
                </a:cubicBezTo>
                <a:cubicBezTo>
                  <a:pt x="19" y="225"/>
                  <a:pt x="19" y="225"/>
                  <a:pt x="19" y="225"/>
                </a:cubicBezTo>
                <a:cubicBezTo>
                  <a:pt x="13" y="225"/>
                  <a:pt x="9" y="221"/>
                  <a:pt x="9" y="216"/>
                </a:cubicBezTo>
                <a:cubicBezTo>
                  <a:pt x="9" y="19"/>
                  <a:pt x="9" y="19"/>
                  <a:pt x="9" y="19"/>
                </a:cubicBezTo>
                <a:cubicBezTo>
                  <a:pt x="9" y="13"/>
                  <a:pt x="13" y="9"/>
                  <a:pt x="19" y="9"/>
                </a:cubicBezTo>
                <a:cubicBezTo>
                  <a:pt x="158" y="9"/>
                  <a:pt x="158" y="9"/>
                  <a:pt x="158" y="9"/>
                </a:cubicBezTo>
                <a:cubicBezTo>
                  <a:pt x="163" y="9"/>
                  <a:pt x="168" y="13"/>
                  <a:pt x="168" y="19"/>
                </a:cubicBezTo>
                <a:lnTo>
                  <a:pt x="168" y="216"/>
                </a:lnTo>
                <a:close/>
              </a:path>
            </a:pathLst>
          </a:custGeom>
          <a:grpFill/>
          <a:ln>
            <a:solidFill>
              <a:schemeClr val="accent6"/>
            </a:solidFill>
          </a:ln>
          <a:extLst>
            <a:ext uri="{91240B29-F687-4f45-9708-019B960494DF}">
              <a14:hiddenLine xmlns:r="http://schemas.openxmlformats.org/officeDocument/2006/relationships" xmlns:p="http://schemas.openxmlformats.org/presentationml/2006/main" xmlns:a14="http://schemas.microsoft.com/office/drawing/2010/main" xmlns="" xmlns:lc="http://schemas.openxmlformats.org/drawingml/2006/lockedCanva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9" name="Freeform 575">
            <a:extLst>
              <a:ext uri="{FF2B5EF4-FFF2-40B4-BE49-F238E27FC236}">
                <a16:creationId xmlns:a16="http://schemas.microsoft.com/office/drawing/2014/main" id="{00000000-0008-0000-1A00-000009000000}"/>
              </a:ext>
            </a:extLst>
          </xdr:cNvPr>
          <xdr:cNvSpPr>
            <a:spLocks noEditPoints="1"/>
          </xdr:cNvSpPr>
        </xdr:nvSpPr>
        <xdr:spPr bwMode="auto">
          <a:xfrm>
            <a:off x="11539538" y="6486525"/>
            <a:ext cx="265112" cy="80963"/>
          </a:xfrm>
          <a:custGeom>
            <a:avLst/>
            <a:gdLst>
              <a:gd name="T0" fmla="*/ 104 w 112"/>
              <a:gd name="T1" fmla="*/ 0 h 34"/>
              <a:gd name="T2" fmla="*/ 7 w 112"/>
              <a:gd name="T3" fmla="*/ 0 h 34"/>
              <a:gd name="T4" fmla="*/ 0 w 112"/>
              <a:gd name="T5" fmla="*/ 7 h 34"/>
              <a:gd name="T6" fmla="*/ 0 w 112"/>
              <a:gd name="T7" fmla="*/ 27 h 34"/>
              <a:gd name="T8" fmla="*/ 7 w 112"/>
              <a:gd name="T9" fmla="*/ 34 h 34"/>
              <a:gd name="T10" fmla="*/ 104 w 112"/>
              <a:gd name="T11" fmla="*/ 34 h 34"/>
              <a:gd name="T12" fmla="*/ 112 w 112"/>
              <a:gd name="T13" fmla="*/ 27 h 34"/>
              <a:gd name="T14" fmla="*/ 112 w 112"/>
              <a:gd name="T15" fmla="*/ 7 h 34"/>
              <a:gd name="T16" fmla="*/ 104 w 112"/>
              <a:gd name="T17" fmla="*/ 0 h 34"/>
              <a:gd name="T18" fmla="*/ 102 w 112"/>
              <a:gd name="T19" fmla="*/ 25 h 34"/>
              <a:gd name="T20" fmla="*/ 9 w 112"/>
              <a:gd name="T21" fmla="*/ 25 h 34"/>
              <a:gd name="T22" fmla="*/ 9 w 112"/>
              <a:gd name="T23" fmla="*/ 9 h 34"/>
              <a:gd name="T24" fmla="*/ 102 w 112"/>
              <a:gd name="T25" fmla="*/ 9 h 34"/>
              <a:gd name="T26" fmla="*/ 102 w 112"/>
              <a:gd name="T27" fmla="*/ 25 h 3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112" h="34">
                <a:moveTo>
                  <a:pt x="104" y="0"/>
                </a:moveTo>
                <a:cubicBezTo>
                  <a:pt x="7" y="0"/>
                  <a:pt x="7" y="0"/>
                  <a:pt x="7" y="0"/>
                </a:cubicBezTo>
                <a:cubicBezTo>
                  <a:pt x="3" y="0"/>
                  <a:pt x="0" y="3"/>
                  <a:pt x="0" y="7"/>
                </a:cubicBezTo>
                <a:cubicBezTo>
                  <a:pt x="0" y="27"/>
                  <a:pt x="0" y="27"/>
                  <a:pt x="0" y="27"/>
                </a:cubicBezTo>
                <a:cubicBezTo>
                  <a:pt x="0" y="31"/>
                  <a:pt x="3" y="34"/>
                  <a:pt x="7" y="34"/>
                </a:cubicBezTo>
                <a:cubicBezTo>
                  <a:pt x="104" y="34"/>
                  <a:pt x="104" y="34"/>
                  <a:pt x="104" y="34"/>
                </a:cubicBezTo>
                <a:cubicBezTo>
                  <a:pt x="108" y="34"/>
                  <a:pt x="112" y="31"/>
                  <a:pt x="112" y="27"/>
                </a:cubicBezTo>
                <a:cubicBezTo>
                  <a:pt x="112" y="7"/>
                  <a:pt x="112" y="7"/>
                  <a:pt x="112" y="7"/>
                </a:cubicBezTo>
                <a:cubicBezTo>
                  <a:pt x="112" y="3"/>
                  <a:pt x="108" y="0"/>
                  <a:pt x="104" y="0"/>
                </a:cubicBezTo>
                <a:close/>
                <a:moveTo>
                  <a:pt x="102" y="25"/>
                </a:moveTo>
                <a:cubicBezTo>
                  <a:pt x="9" y="25"/>
                  <a:pt x="9" y="25"/>
                  <a:pt x="9" y="25"/>
                </a:cubicBezTo>
                <a:cubicBezTo>
                  <a:pt x="9" y="9"/>
                  <a:pt x="9" y="9"/>
                  <a:pt x="9" y="9"/>
                </a:cubicBezTo>
                <a:cubicBezTo>
                  <a:pt x="102" y="9"/>
                  <a:pt x="102" y="9"/>
                  <a:pt x="102" y="9"/>
                </a:cubicBezTo>
                <a:lnTo>
                  <a:pt x="102" y="25"/>
                </a:lnTo>
                <a:close/>
              </a:path>
            </a:pathLst>
          </a:custGeom>
          <a:grpFill/>
          <a:ln>
            <a:solidFill>
              <a:schemeClr val="accent6"/>
            </a:solidFill>
          </a:ln>
          <a:extLst>
            <a:ext uri="{91240B29-F687-4f45-9708-019B960494DF}">
              <a14:hiddenLine xmlns:r="http://schemas.openxmlformats.org/officeDocument/2006/relationships" xmlns:p="http://schemas.openxmlformats.org/presentationml/2006/main" xmlns:a14="http://schemas.microsoft.com/office/drawing/2010/main" xmlns="" xmlns:lc="http://schemas.openxmlformats.org/drawingml/2006/lockedCanva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0" name="Freeform 576">
            <a:extLst>
              <a:ext uri="{FF2B5EF4-FFF2-40B4-BE49-F238E27FC236}">
                <a16:creationId xmlns:a16="http://schemas.microsoft.com/office/drawing/2014/main" id="{00000000-0008-0000-1A00-00000A000000}"/>
              </a:ext>
            </a:extLst>
          </xdr:cNvPr>
          <xdr:cNvSpPr>
            <a:spLocks/>
          </xdr:cNvSpPr>
        </xdr:nvSpPr>
        <xdr:spPr bwMode="auto">
          <a:xfrm>
            <a:off x="11550650" y="6624638"/>
            <a:ext cx="107950" cy="104775"/>
          </a:xfrm>
          <a:custGeom>
            <a:avLst/>
            <a:gdLst>
              <a:gd name="T0" fmla="*/ 40 w 45"/>
              <a:gd name="T1" fmla="*/ 17 h 44"/>
              <a:gd name="T2" fmla="*/ 28 w 45"/>
              <a:gd name="T3" fmla="*/ 17 h 44"/>
              <a:gd name="T4" fmla="*/ 28 w 45"/>
              <a:gd name="T5" fmla="*/ 4 h 44"/>
              <a:gd name="T6" fmla="*/ 26 w 45"/>
              <a:gd name="T7" fmla="*/ 2 h 44"/>
              <a:gd name="T8" fmla="*/ 22 w 45"/>
              <a:gd name="T9" fmla="*/ 0 h 44"/>
              <a:gd name="T10" fmla="*/ 19 w 45"/>
              <a:gd name="T11" fmla="*/ 2 h 44"/>
              <a:gd name="T12" fmla="*/ 18 w 45"/>
              <a:gd name="T13" fmla="*/ 4 h 44"/>
              <a:gd name="T14" fmla="*/ 18 w 45"/>
              <a:gd name="T15" fmla="*/ 17 h 44"/>
              <a:gd name="T16" fmla="*/ 4 w 45"/>
              <a:gd name="T17" fmla="*/ 17 h 44"/>
              <a:gd name="T18" fmla="*/ 1 w 45"/>
              <a:gd name="T19" fmla="*/ 19 h 44"/>
              <a:gd name="T20" fmla="*/ 0 w 45"/>
              <a:gd name="T21" fmla="*/ 22 h 44"/>
              <a:gd name="T22" fmla="*/ 1 w 45"/>
              <a:gd name="T23" fmla="*/ 26 h 44"/>
              <a:gd name="T24" fmla="*/ 4 w 45"/>
              <a:gd name="T25" fmla="*/ 27 h 44"/>
              <a:gd name="T26" fmla="*/ 18 w 45"/>
              <a:gd name="T27" fmla="*/ 27 h 44"/>
              <a:gd name="T28" fmla="*/ 18 w 45"/>
              <a:gd name="T29" fmla="*/ 39 h 44"/>
              <a:gd name="T30" fmla="*/ 19 w 45"/>
              <a:gd name="T31" fmla="*/ 43 h 44"/>
              <a:gd name="T32" fmla="*/ 22 w 45"/>
              <a:gd name="T33" fmla="*/ 44 h 44"/>
              <a:gd name="T34" fmla="*/ 26 w 45"/>
              <a:gd name="T35" fmla="*/ 43 h 44"/>
              <a:gd name="T36" fmla="*/ 28 w 45"/>
              <a:gd name="T37" fmla="*/ 39 h 44"/>
              <a:gd name="T38" fmla="*/ 28 w 45"/>
              <a:gd name="T39" fmla="*/ 27 h 44"/>
              <a:gd name="T40" fmla="*/ 40 w 45"/>
              <a:gd name="T41" fmla="*/ 27 h 44"/>
              <a:gd name="T42" fmla="*/ 44 w 45"/>
              <a:gd name="T43" fmla="*/ 26 h 44"/>
              <a:gd name="T44" fmla="*/ 45 w 45"/>
              <a:gd name="T45" fmla="*/ 22 h 44"/>
              <a:gd name="T46" fmla="*/ 44 w 45"/>
              <a:gd name="T47" fmla="*/ 19 h 44"/>
              <a:gd name="T48" fmla="*/ 40 w 45"/>
              <a:gd name="T49" fmla="*/ 17 h 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45" h="44">
                <a:moveTo>
                  <a:pt x="40" y="17"/>
                </a:moveTo>
                <a:cubicBezTo>
                  <a:pt x="28" y="17"/>
                  <a:pt x="28" y="17"/>
                  <a:pt x="28" y="17"/>
                </a:cubicBezTo>
                <a:cubicBezTo>
                  <a:pt x="28" y="4"/>
                  <a:pt x="28" y="4"/>
                  <a:pt x="28" y="4"/>
                </a:cubicBezTo>
                <a:cubicBezTo>
                  <a:pt x="28" y="3"/>
                  <a:pt x="27" y="2"/>
                  <a:pt x="26" y="2"/>
                </a:cubicBezTo>
                <a:cubicBezTo>
                  <a:pt x="25" y="1"/>
                  <a:pt x="24" y="0"/>
                  <a:pt x="22" y="0"/>
                </a:cubicBezTo>
                <a:cubicBezTo>
                  <a:pt x="21" y="0"/>
                  <a:pt x="20" y="1"/>
                  <a:pt x="19" y="2"/>
                </a:cubicBezTo>
                <a:cubicBezTo>
                  <a:pt x="18" y="2"/>
                  <a:pt x="18" y="3"/>
                  <a:pt x="18" y="4"/>
                </a:cubicBezTo>
                <a:cubicBezTo>
                  <a:pt x="18" y="17"/>
                  <a:pt x="18" y="17"/>
                  <a:pt x="18" y="17"/>
                </a:cubicBezTo>
                <a:cubicBezTo>
                  <a:pt x="4" y="17"/>
                  <a:pt x="4" y="17"/>
                  <a:pt x="4" y="17"/>
                </a:cubicBezTo>
                <a:cubicBezTo>
                  <a:pt x="3" y="17"/>
                  <a:pt x="2" y="18"/>
                  <a:pt x="1" y="19"/>
                </a:cubicBezTo>
                <a:cubicBezTo>
                  <a:pt x="0" y="19"/>
                  <a:pt x="0" y="21"/>
                  <a:pt x="0" y="22"/>
                </a:cubicBezTo>
                <a:cubicBezTo>
                  <a:pt x="0" y="24"/>
                  <a:pt x="0" y="25"/>
                  <a:pt x="1" y="26"/>
                </a:cubicBezTo>
                <a:cubicBezTo>
                  <a:pt x="2" y="26"/>
                  <a:pt x="3" y="27"/>
                  <a:pt x="4" y="27"/>
                </a:cubicBezTo>
                <a:cubicBezTo>
                  <a:pt x="18" y="27"/>
                  <a:pt x="18" y="27"/>
                  <a:pt x="18" y="27"/>
                </a:cubicBezTo>
                <a:cubicBezTo>
                  <a:pt x="18" y="39"/>
                  <a:pt x="18" y="39"/>
                  <a:pt x="18" y="39"/>
                </a:cubicBezTo>
                <a:cubicBezTo>
                  <a:pt x="18" y="40"/>
                  <a:pt x="18" y="42"/>
                  <a:pt x="19" y="43"/>
                </a:cubicBezTo>
                <a:cubicBezTo>
                  <a:pt x="20" y="43"/>
                  <a:pt x="21" y="44"/>
                  <a:pt x="22" y="44"/>
                </a:cubicBezTo>
                <a:cubicBezTo>
                  <a:pt x="24" y="44"/>
                  <a:pt x="25" y="43"/>
                  <a:pt x="26" y="43"/>
                </a:cubicBezTo>
                <a:cubicBezTo>
                  <a:pt x="27" y="42"/>
                  <a:pt x="28" y="40"/>
                  <a:pt x="28" y="39"/>
                </a:cubicBezTo>
                <a:cubicBezTo>
                  <a:pt x="28" y="27"/>
                  <a:pt x="28" y="27"/>
                  <a:pt x="28" y="27"/>
                </a:cubicBezTo>
                <a:cubicBezTo>
                  <a:pt x="40" y="27"/>
                  <a:pt x="40" y="27"/>
                  <a:pt x="40" y="27"/>
                </a:cubicBezTo>
                <a:cubicBezTo>
                  <a:pt x="42" y="27"/>
                  <a:pt x="43" y="26"/>
                  <a:pt x="44" y="26"/>
                </a:cubicBezTo>
                <a:cubicBezTo>
                  <a:pt x="45" y="25"/>
                  <a:pt x="45" y="24"/>
                  <a:pt x="45" y="22"/>
                </a:cubicBezTo>
                <a:cubicBezTo>
                  <a:pt x="45" y="21"/>
                  <a:pt x="45" y="19"/>
                  <a:pt x="44" y="19"/>
                </a:cubicBezTo>
                <a:cubicBezTo>
                  <a:pt x="43" y="18"/>
                  <a:pt x="42" y="17"/>
                  <a:pt x="40" y="17"/>
                </a:cubicBezTo>
                <a:close/>
              </a:path>
            </a:pathLst>
          </a:custGeom>
          <a:grpFill/>
          <a:ln>
            <a:solidFill>
              <a:schemeClr val="accent6"/>
            </a:solidFill>
          </a:ln>
          <a:extLst>
            <a:ext uri="{91240B29-F687-4f45-9708-019B960494DF}">
              <a14:hiddenLine xmlns:r="http://schemas.openxmlformats.org/officeDocument/2006/relationships" xmlns:p="http://schemas.openxmlformats.org/presentationml/2006/main" xmlns:a14="http://schemas.microsoft.com/office/drawing/2010/main" xmlns="" xmlns:lc="http://schemas.openxmlformats.org/drawingml/2006/lockedCanva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1" name="Freeform 577">
            <a:extLst>
              <a:ext uri="{FF2B5EF4-FFF2-40B4-BE49-F238E27FC236}">
                <a16:creationId xmlns:a16="http://schemas.microsoft.com/office/drawing/2014/main" id="{00000000-0008-0000-1A00-00000B000000}"/>
              </a:ext>
            </a:extLst>
          </xdr:cNvPr>
          <xdr:cNvSpPr>
            <a:spLocks/>
          </xdr:cNvSpPr>
        </xdr:nvSpPr>
        <xdr:spPr bwMode="auto">
          <a:xfrm>
            <a:off x="11684000" y="6665913"/>
            <a:ext cx="109537" cy="23813"/>
          </a:xfrm>
          <a:custGeom>
            <a:avLst/>
            <a:gdLst>
              <a:gd name="T0" fmla="*/ 41 w 46"/>
              <a:gd name="T1" fmla="*/ 0 h 10"/>
              <a:gd name="T2" fmla="*/ 5 w 46"/>
              <a:gd name="T3" fmla="*/ 0 h 10"/>
              <a:gd name="T4" fmla="*/ 2 w 46"/>
              <a:gd name="T5" fmla="*/ 2 h 10"/>
              <a:gd name="T6" fmla="*/ 0 w 46"/>
              <a:gd name="T7" fmla="*/ 5 h 10"/>
              <a:gd name="T8" fmla="*/ 2 w 46"/>
              <a:gd name="T9" fmla="*/ 9 h 10"/>
              <a:gd name="T10" fmla="*/ 5 w 46"/>
              <a:gd name="T11" fmla="*/ 10 h 10"/>
              <a:gd name="T12" fmla="*/ 41 w 46"/>
              <a:gd name="T13" fmla="*/ 10 h 10"/>
              <a:gd name="T14" fmla="*/ 45 w 46"/>
              <a:gd name="T15" fmla="*/ 9 h 10"/>
              <a:gd name="T16" fmla="*/ 46 w 46"/>
              <a:gd name="T17" fmla="*/ 5 h 10"/>
              <a:gd name="T18" fmla="*/ 45 w 46"/>
              <a:gd name="T19" fmla="*/ 2 h 10"/>
              <a:gd name="T20" fmla="*/ 41 w 46"/>
              <a:gd name="T21" fmla="*/ 0 h 1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46" h="10">
                <a:moveTo>
                  <a:pt x="41" y="0"/>
                </a:moveTo>
                <a:cubicBezTo>
                  <a:pt x="5" y="0"/>
                  <a:pt x="5" y="0"/>
                  <a:pt x="5" y="0"/>
                </a:cubicBezTo>
                <a:cubicBezTo>
                  <a:pt x="3" y="0"/>
                  <a:pt x="2" y="1"/>
                  <a:pt x="2" y="2"/>
                </a:cubicBezTo>
                <a:cubicBezTo>
                  <a:pt x="1" y="2"/>
                  <a:pt x="0" y="4"/>
                  <a:pt x="0" y="5"/>
                </a:cubicBezTo>
                <a:cubicBezTo>
                  <a:pt x="0" y="7"/>
                  <a:pt x="1" y="8"/>
                  <a:pt x="2" y="9"/>
                </a:cubicBezTo>
                <a:cubicBezTo>
                  <a:pt x="2" y="9"/>
                  <a:pt x="3" y="10"/>
                  <a:pt x="5" y="10"/>
                </a:cubicBezTo>
                <a:cubicBezTo>
                  <a:pt x="41" y="10"/>
                  <a:pt x="41" y="10"/>
                  <a:pt x="41" y="10"/>
                </a:cubicBezTo>
                <a:cubicBezTo>
                  <a:pt x="42" y="10"/>
                  <a:pt x="44" y="9"/>
                  <a:pt x="45" y="9"/>
                </a:cubicBezTo>
                <a:cubicBezTo>
                  <a:pt x="46" y="8"/>
                  <a:pt x="46" y="7"/>
                  <a:pt x="46" y="5"/>
                </a:cubicBezTo>
                <a:cubicBezTo>
                  <a:pt x="46" y="4"/>
                  <a:pt x="46" y="2"/>
                  <a:pt x="45" y="2"/>
                </a:cubicBezTo>
                <a:cubicBezTo>
                  <a:pt x="44" y="1"/>
                  <a:pt x="42" y="0"/>
                  <a:pt x="41" y="0"/>
                </a:cubicBezTo>
                <a:close/>
              </a:path>
            </a:pathLst>
          </a:custGeom>
          <a:grpFill/>
          <a:ln>
            <a:solidFill>
              <a:schemeClr val="accent6"/>
            </a:solidFill>
          </a:ln>
          <a:extLst>
            <a:ext uri="{91240B29-F687-4f45-9708-019B960494DF}">
              <a14:hiddenLine xmlns:r="http://schemas.openxmlformats.org/officeDocument/2006/relationships" xmlns:p="http://schemas.openxmlformats.org/presentationml/2006/main" xmlns:a14="http://schemas.microsoft.com/office/drawing/2010/main" xmlns="" xmlns:lc="http://schemas.openxmlformats.org/drawingml/2006/lockedCanva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2" name="Freeform 578">
            <a:extLst>
              <a:ext uri="{FF2B5EF4-FFF2-40B4-BE49-F238E27FC236}">
                <a16:creationId xmlns:a16="http://schemas.microsoft.com/office/drawing/2014/main" id="{00000000-0008-0000-1A00-00000C000000}"/>
              </a:ext>
            </a:extLst>
          </xdr:cNvPr>
          <xdr:cNvSpPr>
            <a:spLocks/>
          </xdr:cNvSpPr>
        </xdr:nvSpPr>
        <xdr:spPr bwMode="auto">
          <a:xfrm>
            <a:off x="11563350" y="6777038"/>
            <a:ext cx="85725" cy="84138"/>
          </a:xfrm>
          <a:custGeom>
            <a:avLst/>
            <a:gdLst>
              <a:gd name="T0" fmla="*/ 36 w 36"/>
              <a:gd name="T1" fmla="*/ 5 h 35"/>
              <a:gd name="T2" fmla="*/ 34 w 36"/>
              <a:gd name="T3" fmla="*/ 1 h 35"/>
              <a:gd name="T4" fmla="*/ 31 w 36"/>
              <a:gd name="T5" fmla="*/ 0 h 35"/>
              <a:gd name="T6" fmla="*/ 27 w 36"/>
              <a:gd name="T7" fmla="*/ 2 h 35"/>
              <a:gd name="T8" fmla="*/ 18 w 36"/>
              <a:gd name="T9" fmla="*/ 11 h 35"/>
              <a:gd name="T10" fmla="*/ 9 w 36"/>
              <a:gd name="T11" fmla="*/ 2 h 35"/>
              <a:gd name="T12" fmla="*/ 6 w 36"/>
              <a:gd name="T13" fmla="*/ 1 h 35"/>
              <a:gd name="T14" fmla="*/ 3 w 36"/>
              <a:gd name="T15" fmla="*/ 2 h 35"/>
              <a:gd name="T16" fmla="*/ 1 w 36"/>
              <a:gd name="T17" fmla="*/ 6 h 35"/>
              <a:gd name="T18" fmla="*/ 2 w 36"/>
              <a:gd name="T19" fmla="*/ 9 h 35"/>
              <a:gd name="T20" fmla="*/ 11 w 36"/>
              <a:gd name="T21" fmla="*/ 18 h 35"/>
              <a:gd name="T22" fmla="*/ 2 w 36"/>
              <a:gd name="T23" fmla="*/ 27 h 35"/>
              <a:gd name="T24" fmla="*/ 0 w 36"/>
              <a:gd name="T25" fmla="*/ 30 h 35"/>
              <a:gd name="T26" fmla="*/ 2 w 36"/>
              <a:gd name="T27" fmla="*/ 34 h 35"/>
              <a:gd name="T28" fmla="*/ 5 w 36"/>
              <a:gd name="T29" fmla="*/ 35 h 35"/>
              <a:gd name="T30" fmla="*/ 8 w 36"/>
              <a:gd name="T31" fmla="*/ 34 h 35"/>
              <a:gd name="T32" fmla="*/ 18 w 36"/>
              <a:gd name="T33" fmla="*/ 24 h 35"/>
              <a:gd name="T34" fmla="*/ 26 w 36"/>
              <a:gd name="T35" fmla="*/ 33 h 35"/>
              <a:gd name="T36" fmla="*/ 30 w 36"/>
              <a:gd name="T37" fmla="*/ 35 h 35"/>
              <a:gd name="T38" fmla="*/ 33 w 36"/>
              <a:gd name="T39" fmla="*/ 33 h 35"/>
              <a:gd name="T40" fmla="*/ 35 w 36"/>
              <a:gd name="T41" fmla="*/ 29 h 35"/>
              <a:gd name="T42" fmla="*/ 34 w 36"/>
              <a:gd name="T43" fmla="*/ 26 h 35"/>
              <a:gd name="T44" fmla="*/ 25 w 36"/>
              <a:gd name="T45" fmla="*/ 17 h 35"/>
              <a:gd name="T46" fmla="*/ 34 w 36"/>
              <a:gd name="T47" fmla="*/ 8 h 35"/>
              <a:gd name="T48" fmla="*/ 36 w 36"/>
              <a:gd name="T49" fmla="*/ 5 h 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36" h="35">
                <a:moveTo>
                  <a:pt x="36" y="5"/>
                </a:moveTo>
                <a:cubicBezTo>
                  <a:pt x="36" y="4"/>
                  <a:pt x="35" y="2"/>
                  <a:pt x="34" y="1"/>
                </a:cubicBezTo>
                <a:cubicBezTo>
                  <a:pt x="33" y="0"/>
                  <a:pt x="32" y="0"/>
                  <a:pt x="31" y="0"/>
                </a:cubicBezTo>
                <a:cubicBezTo>
                  <a:pt x="30" y="0"/>
                  <a:pt x="28" y="1"/>
                  <a:pt x="27" y="2"/>
                </a:cubicBezTo>
                <a:cubicBezTo>
                  <a:pt x="18" y="11"/>
                  <a:pt x="18" y="11"/>
                  <a:pt x="18" y="11"/>
                </a:cubicBezTo>
                <a:cubicBezTo>
                  <a:pt x="9" y="2"/>
                  <a:pt x="9" y="2"/>
                  <a:pt x="9" y="2"/>
                </a:cubicBezTo>
                <a:cubicBezTo>
                  <a:pt x="8" y="1"/>
                  <a:pt x="7" y="0"/>
                  <a:pt x="6" y="1"/>
                </a:cubicBezTo>
                <a:cubicBezTo>
                  <a:pt x="5" y="1"/>
                  <a:pt x="4" y="1"/>
                  <a:pt x="3" y="2"/>
                </a:cubicBezTo>
                <a:cubicBezTo>
                  <a:pt x="2" y="3"/>
                  <a:pt x="1" y="5"/>
                  <a:pt x="1" y="6"/>
                </a:cubicBezTo>
                <a:cubicBezTo>
                  <a:pt x="1" y="7"/>
                  <a:pt x="1" y="8"/>
                  <a:pt x="2" y="9"/>
                </a:cubicBezTo>
                <a:cubicBezTo>
                  <a:pt x="11" y="18"/>
                  <a:pt x="11" y="18"/>
                  <a:pt x="11" y="18"/>
                </a:cubicBezTo>
                <a:cubicBezTo>
                  <a:pt x="2" y="27"/>
                  <a:pt x="2" y="27"/>
                  <a:pt x="2" y="27"/>
                </a:cubicBezTo>
                <a:cubicBezTo>
                  <a:pt x="1" y="28"/>
                  <a:pt x="0" y="29"/>
                  <a:pt x="0" y="30"/>
                </a:cubicBezTo>
                <a:cubicBezTo>
                  <a:pt x="0" y="32"/>
                  <a:pt x="1" y="33"/>
                  <a:pt x="2" y="34"/>
                </a:cubicBezTo>
                <a:cubicBezTo>
                  <a:pt x="3" y="35"/>
                  <a:pt x="4" y="35"/>
                  <a:pt x="5" y="35"/>
                </a:cubicBezTo>
                <a:cubicBezTo>
                  <a:pt x="7" y="35"/>
                  <a:pt x="8" y="35"/>
                  <a:pt x="8" y="34"/>
                </a:cubicBezTo>
                <a:cubicBezTo>
                  <a:pt x="18" y="24"/>
                  <a:pt x="18" y="24"/>
                  <a:pt x="18" y="24"/>
                </a:cubicBezTo>
                <a:cubicBezTo>
                  <a:pt x="26" y="33"/>
                  <a:pt x="26" y="33"/>
                  <a:pt x="26" y="33"/>
                </a:cubicBezTo>
                <a:cubicBezTo>
                  <a:pt x="28" y="34"/>
                  <a:pt x="29" y="35"/>
                  <a:pt x="30" y="35"/>
                </a:cubicBezTo>
                <a:cubicBezTo>
                  <a:pt x="31" y="35"/>
                  <a:pt x="32" y="34"/>
                  <a:pt x="33" y="33"/>
                </a:cubicBezTo>
                <a:cubicBezTo>
                  <a:pt x="35" y="32"/>
                  <a:pt x="35" y="31"/>
                  <a:pt x="35" y="29"/>
                </a:cubicBezTo>
                <a:cubicBezTo>
                  <a:pt x="35" y="28"/>
                  <a:pt x="35" y="27"/>
                  <a:pt x="34" y="26"/>
                </a:cubicBezTo>
                <a:cubicBezTo>
                  <a:pt x="25" y="17"/>
                  <a:pt x="25" y="17"/>
                  <a:pt x="25" y="17"/>
                </a:cubicBezTo>
                <a:cubicBezTo>
                  <a:pt x="34" y="8"/>
                  <a:pt x="34" y="8"/>
                  <a:pt x="34" y="8"/>
                </a:cubicBezTo>
                <a:cubicBezTo>
                  <a:pt x="35" y="7"/>
                  <a:pt x="36" y="6"/>
                  <a:pt x="36" y="5"/>
                </a:cubicBezTo>
                <a:close/>
              </a:path>
            </a:pathLst>
          </a:custGeom>
          <a:grpFill/>
          <a:ln>
            <a:solidFill>
              <a:schemeClr val="accent6"/>
            </a:solidFill>
          </a:ln>
          <a:extLst>
            <a:ext uri="{91240B29-F687-4f45-9708-019B960494DF}">
              <a14:hiddenLine xmlns:r="http://schemas.openxmlformats.org/officeDocument/2006/relationships" xmlns:p="http://schemas.openxmlformats.org/presentationml/2006/main" xmlns:a14="http://schemas.microsoft.com/office/drawing/2010/main" xmlns="" xmlns:lc="http://schemas.openxmlformats.org/drawingml/2006/lockedCanva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3" name="Freeform 579">
            <a:extLst>
              <a:ext uri="{FF2B5EF4-FFF2-40B4-BE49-F238E27FC236}">
                <a16:creationId xmlns:a16="http://schemas.microsoft.com/office/drawing/2014/main" id="{00000000-0008-0000-1A00-00000D000000}"/>
              </a:ext>
            </a:extLst>
          </xdr:cNvPr>
          <xdr:cNvSpPr>
            <a:spLocks/>
          </xdr:cNvSpPr>
        </xdr:nvSpPr>
        <xdr:spPr bwMode="auto">
          <a:xfrm>
            <a:off x="11693525" y="6804025"/>
            <a:ext cx="90487" cy="23813"/>
          </a:xfrm>
          <a:custGeom>
            <a:avLst/>
            <a:gdLst>
              <a:gd name="T0" fmla="*/ 33 w 38"/>
              <a:gd name="T1" fmla="*/ 0 h 10"/>
              <a:gd name="T2" fmla="*/ 4 w 38"/>
              <a:gd name="T3" fmla="*/ 0 h 10"/>
              <a:gd name="T4" fmla="*/ 1 w 38"/>
              <a:gd name="T5" fmla="*/ 2 h 10"/>
              <a:gd name="T6" fmla="*/ 0 w 38"/>
              <a:gd name="T7" fmla="*/ 5 h 10"/>
              <a:gd name="T8" fmla="*/ 1 w 38"/>
              <a:gd name="T9" fmla="*/ 9 h 10"/>
              <a:gd name="T10" fmla="*/ 4 w 38"/>
              <a:gd name="T11" fmla="*/ 10 h 10"/>
              <a:gd name="T12" fmla="*/ 33 w 38"/>
              <a:gd name="T13" fmla="*/ 10 h 10"/>
              <a:gd name="T14" fmla="*/ 37 w 38"/>
              <a:gd name="T15" fmla="*/ 9 h 10"/>
              <a:gd name="T16" fmla="*/ 38 w 38"/>
              <a:gd name="T17" fmla="*/ 5 h 10"/>
              <a:gd name="T18" fmla="*/ 37 w 38"/>
              <a:gd name="T19" fmla="*/ 2 h 10"/>
              <a:gd name="T20" fmla="*/ 33 w 38"/>
              <a:gd name="T21" fmla="*/ 0 h 1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8" h="10">
                <a:moveTo>
                  <a:pt x="33" y="0"/>
                </a:moveTo>
                <a:cubicBezTo>
                  <a:pt x="4" y="0"/>
                  <a:pt x="4" y="0"/>
                  <a:pt x="4" y="0"/>
                </a:cubicBezTo>
                <a:cubicBezTo>
                  <a:pt x="3" y="0"/>
                  <a:pt x="2" y="1"/>
                  <a:pt x="1" y="2"/>
                </a:cubicBezTo>
                <a:cubicBezTo>
                  <a:pt x="0" y="3"/>
                  <a:pt x="0" y="4"/>
                  <a:pt x="0" y="5"/>
                </a:cubicBezTo>
                <a:cubicBezTo>
                  <a:pt x="0" y="7"/>
                  <a:pt x="0" y="8"/>
                  <a:pt x="1" y="9"/>
                </a:cubicBezTo>
                <a:cubicBezTo>
                  <a:pt x="2" y="10"/>
                  <a:pt x="3" y="10"/>
                  <a:pt x="4" y="10"/>
                </a:cubicBezTo>
                <a:cubicBezTo>
                  <a:pt x="33" y="10"/>
                  <a:pt x="33" y="10"/>
                  <a:pt x="33" y="10"/>
                </a:cubicBezTo>
                <a:cubicBezTo>
                  <a:pt x="35" y="10"/>
                  <a:pt x="36" y="10"/>
                  <a:pt x="37" y="9"/>
                </a:cubicBezTo>
                <a:cubicBezTo>
                  <a:pt x="38" y="8"/>
                  <a:pt x="38" y="7"/>
                  <a:pt x="38" y="5"/>
                </a:cubicBezTo>
                <a:cubicBezTo>
                  <a:pt x="38" y="4"/>
                  <a:pt x="38" y="3"/>
                  <a:pt x="37" y="2"/>
                </a:cubicBezTo>
                <a:cubicBezTo>
                  <a:pt x="36" y="1"/>
                  <a:pt x="35" y="0"/>
                  <a:pt x="33" y="0"/>
                </a:cubicBezTo>
                <a:close/>
              </a:path>
            </a:pathLst>
          </a:custGeom>
          <a:grpFill/>
          <a:ln>
            <a:solidFill>
              <a:schemeClr val="accent6"/>
            </a:solidFill>
          </a:ln>
          <a:extLst>
            <a:ext uri="{91240B29-F687-4f45-9708-019B960494DF}">
              <a14:hiddenLine xmlns:r="http://schemas.openxmlformats.org/officeDocument/2006/relationships" xmlns:p="http://schemas.openxmlformats.org/presentationml/2006/main" xmlns:a14="http://schemas.microsoft.com/office/drawing/2010/main" xmlns="" xmlns:lc="http://schemas.openxmlformats.org/drawingml/2006/lockedCanva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4" name="Oval 13">
            <a:extLst>
              <a:ext uri="{FF2B5EF4-FFF2-40B4-BE49-F238E27FC236}">
                <a16:creationId xmlns:a16="http://schemas.microsoft.com/office/drawing/2014/main" id="{00000000-0008-0000-1A00-00000E000000}"/>
              </a:ext>
            </a:extLst>
          </xdr:cNvPr>
          <xdr:cNvSpPr>
            <a:spLocks noChangeArrowheads="1"/>
          </xdr:cNvSpPr>
        </xdr:nvSpPr>
        <xdr:spPr bwMode="auto">
          <a:xfrm>
            <a:off x="11725275" y="6767513"/>
            <a:ext cx="28575" cy="28575"/>
          </a:xfrm>
          <a:prstGeom prst="ellipse">
            <a:avLst/>
          </a:prstGeom>
          <a:grpFill/>
          <a:ln>
            <a:solidFill>
              <a:schemeClr val="accent6"/>
            </a:solidFill>
          </a:ln>
          <a:extLst>
            <a:ext uri="{91240B29-F687-4f45-9708-019B960494DF}">
              <a14:hiddenLine xmlns:r="http://schemas.openxmlformats.org/officeDocument/2006/relationships" xmlns:p="http://schemas.openxmlformats.org/presentationml/2006/main" xmlns:a14="http://schemas.microsoft.com/office/drawing/2010/main" xmlns="" xmlns:lc="http://schemas.openxmlformats.org/drawingml/2006/lockedCanva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sp macro="" textlink="">
        <xdr:nvSpPr>
          <xdr:cNvPr id="15" name="Oval 14">
            <a:extLst>
              <a:ext uri="{FF2B5EF4-FFF2-40B4-BE49-F238E27FC236}">
                <a16:creationId xmlns:a16="http://schemas.microsoft.com/office/drawing/2014/main" id="{00000000-0008-0000-1A00-00000F000000}"/>
              </a:ext>
            </a:extLst>
          </xdr:cNvPr>
          <xdr:cNvSpPr>
            <a:spLocks noChangeArrowheads="1"/>
          </xdr:cNvSpPr>
        </xdr:nvSpPr>
        <xdr:spPr bwMode="auto">
          <a:xfrm>
            <a:off x="11725275" y="6834188"/>
            <a:ext cx="28575" cy="28575"/>
          </a:xfrm>
          <a:prstGeom prst="ellipse">
            <a:avLst/>
          </a:prstGeom>
          <a:grpFill/>
          <a:ln>
            <a:solidFill>
              <a:schemeClr val="accent6"/>
            </a:solidFill>
          </a:ln>
          <a:extLst>
            <a:ext uri="{91240B29-F687-4f45-9708-019B960494DF}">
              <a14:hiddenLine xmlns:r="http://schemas.openxmlformats.org/officeDocument/2006/relationships" xmlns:p="http://schemas.openxmlformats.org/presentationml/2006/main" xmlns:a14="http://schemas.microsoft.com/office/drawing/2010/main" xmlns="" xmlns:lc="http://schemas.openxmlformats.org/drawingml/2006/lockedCanva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1175644" rtl="0" eaLnBrk="1" latinLnBrk="0" hangingPunct="1">
              <a:defRPr sz="2300" kern="1200">
                <a:solidFill>
                  <a:schemeClr val="tx1"/>
                </a:solidFill>
                <a:latin typeface="+mn-lt"/>
                <a:ea typeface="+mn-ea"/>
                <a:cs typeface="+mn-cs"/>
              </a:defRPr>
            </a:lvl1pPr>
            <a:lvl2pPr marL="587822" algn="l" defTabSz="1175644" rtl="0" eaLnBrk="1" latinLnBrk="0" hangingPunct="1">
              <a:defRPr sz="2300" kern="1200">
                <a:solidFill>
                  <a:schemeClr val="tx1"/>
                </a:solidFill>
                <a:latin typeface="+mn-lt"/>
                <a:ea typeface="+mn-ea"/>
                <a:cs typeface="+mn-cs"/>
              </a:defRPr>
            </a:lvl2pPr>
            <a:lvl3pPr marL="1175644" algn="l" defTabSz="1175644" rtl="0" eaLnBrk="1" latinLnBrk="0" hangingPunct="1">
              <a:defRPr sz="2300" kern="1200">
                <a:solidFill>
                  <a:schemeClr val="tx1"/>
                </a:solidFill>
                <a:latin typeface="+mn-lt"/>
                <a:ea typeface="+mn-ea"/>
                <a:cs typeface="+mn-cs"/>
              </a:defRPr>
            </a:lvl3pPr>
            <a:lvl4pPr marL="1763466" algn="l" defTabSz="1175644" rtl="0" eaLnBrk="1" latinLnBrk="0" hangingPunct="1">
              <a:defRPr sz="2300" kern="1200">
                <a:solidFill>
                  <a:schemeClr val="tx1"/>
                </a:solidFill>
                <a:latin typeface="+mn-lt"/>
                <a:ea typeface="+mn-ea"/>
                <a:cs typeface="+mn-cs"/>
              </a:defRPr>
            </a:lvl4pPr>
            <a:lvl5pPr marL="2351288" algn="l" defTabSz="1175644" rtl="0" eaLnBrk="1" latinLnBrk="0" hangingPunct="1">
              <a:defRPr sz="2300" kern="1200">
                <a:solidFill>
                  <a:schemeClr val="tx1"/>
                </a:solidFill>
                <a:latin typeface="+mn-lt"/>
                <a:ea typeface="+mn-ea"/>
                <a:cs typeface="+mn-cs"/>
              </a:defRPr>
            </a:lvl5pPr>
            <a:lvl6pPr marL="2939110" algn="l" defTabSz="1175644" rtl="0" eaLnBrk="1" latinLnBrk="0" hangingPunct="1">
              <a:defRPr sz="2300" kern="1200">
                <a:solidFill>
                  <a:schemeClr val="tx1"/>
                </a:solidFill>
                <a:latin typeface="+mn-lt"/>
                <a:ea typeface="+mn-ea"/>
                <a:cs typeface="+mn-cs"/>
              </a:defRPr>
            </a:lvl6pPr>
            <a:lvl7pPr marL="3526932" algn="l" defTabSz="1175644" rtl="0" eaLnBrk="1" latinLnBrk="0" hangingPunct="1">
              <a:defRPr sz="2300" kern="1200">
                <a:solidFill>
                  <a:schemeClr val="tx1"/>
                </a:solidFill>
                <a:latin typeface="+mn-lt"/>
                <a:ea typeface="+mn-ea"/>
                <a:cs typeface="+mn-cs"/>
              </a:defRPr>
            </a:lvl7pPr>
            <a:lvl8pPr marL="4114754" algn="l" defTabSz="1175644" rtl="0" eaLnBrk="1" latinLnBrk="0" hangingPunct="1">
              <a:defRPr sz="2300" kern="1200">
                <a:solidFill>
                  <a:schemeClr val="tx1"/>
                </a:solidFill>
                <a:latin typeface="+mn-lt"/>
                <a:ea typeface="+mn-ea"/>
                <a:cs typeface="+mn-cs"/>
              </a:defRPr>
            </a:lvl8pPr>
            <a:lvl9pPr marL="4702576" algn="l" defTabSz="1175644" rtl="0" eaLnBrk="1" latinLnBrk="0" hangingPunct="1">
              <a:defRPr sz="2300" kern="1200">
                <a:solidFill>
                  <a:schemeClr val="tx1"/>
                </a:solidFill>
                <a:latin typeface="+mn-lt"/>
                <a:ea typeface="+mn-ea"/>
                <a:cs typeface="+mn-cs"/>
              </a:defRPr>
            </a:lvl9pPr>
          </a:lstStyle>
          <a:p>
            <a:endParaRPr lang="en-US"/>
          </a:p>
        </xdr:txBody>
      </xdr:sp>
    </xdr:grpSp>
    <xdr:clientData/>
  </xdr:twoCellAnchor>
  <xdr:twoCellAnchor>
    <xdr:from>
      <xdr:col>5</xdr:col>
      <xdr:colOff>581025</xdr:colOff>
      <xdr:row>56</xdr:row>
      <xdr:rowOff>123825</xdr:rowOff>
    </xdr:from>
    <xdr:to>
      <xdr:col>7</xdr:col>
      <xdr:colOff>347663</xdr:colOff>
      <xdr:row>58</xdr:row>
      <xdr:rowOff>133350</xdr:rowOff>
    </xdr:to>
    <xdr:sp macro="" textlink="D_List!$B$39">
      <xdr:nvSpPr>
        <xdr:cNvPr id="16" name="Rectangle 15">
          <a:hlinkClick xmlns:r="http://schemas.openxmlformats.org/officeDocument/2006/relationships" r:id="rId4"/>
          <a:extLst>
            <a:ext uri="{FF2B5EF4-FFF2-40B4-BE49-F238E27FC236}">
              <a16:creationId xmlns:a16="http://schemas.microsoft.com/office/drawing/2014/main" id="{00000000-0008-0000-1A00-000010000000}"/>
            </a:ext>
          </a:extLst>
        </xdr:cNvPr>
        <xdr:cNvSpPr/>
      </xdr:nvSpPr>
      <xdr:spPr>
        <a:xfrm>
          <a:off x="3714750" y="10239375"/>
          <a:ext cx="2405063" cy="42862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fld id="{87B8FA3B-6300-49E1-8C18-41E05D67FDA4}" type="TxLink">
            <a:rPr lang="en-US" sz="1100" b="1" i="0" u="none" strike="noStrike">
              <a:solidFill>
                <a:srgbClr val="FF0000"/>
              </a:solidFill>
              <a:latin typeface="Segoe UI"/>
              <a:cs typeface="Segoe UI"/>
            </a:rPr>
            <a:pPr algn="l"/>
            <a:t> </a:t>
          </a:fld>
          <a:endParaRPr lang="en-AU" sz="11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4</xdr:col>
          <xdr:colOff>133350</xdr:colOff>
          <xdr:row>15</xdr:row>
          <xdr:rowOff>146050</xdr:rowOff>
        </xdr:from>
        <xdr:to>
          <xdr:col>4</xdr:col>
          <xdr:colOff>342900</xdr:colOff>
          <xdr:row>16</xdr:row>
          <xdr:rowOff>171450</xdr:rowOff>
        </xdr:to>
        <xdr:sp macro="" textlink="">
          <xdr:nvSpPr>
            <xdr:cNvPr id="30737" name="Check Box 17" hidden="1">
              <a:extLst>
                <a:ext uri="{63B3BB69-23CF-44E3-9099-C40C66FF867C}">
                  <a14:compatExt spid="_x0000_s30737"/>
                </a:ext>
                <a:ext uri="{FF2B5EF4-FFF2-40B4-BE49-F238E27FC236}">
                  <a16:creationId xmlns:a16="http://schemas.microsoft.com/office/drawing/2014/main" id="{00000000-0008-0000-1A00-00001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62</xdr:row>
          <xdr:rowOff>31750</xdr:rowOff>
        </xdr:from>
        <xdr:to>
          <xdr:col>4</xdr:col>
          <xdr:colOff>342900</xdr:colOff>
          <xdr:row>62</xdr:row>
          <xdr:rowOff>247650</xdr:rowOff>
        </xdr:to>
        <xdr:sp macro="" textlink="">
          <xdr:nvSpPr>
            <xdr:cNvPr id="30738" name="Check Box 18" hidden="1">
              <a:extLst>
                <a:ext uri="{63B3BB69-23CF-44E3-9099-C40C66FF867C}">
                  <a14:compatExt spid="_x0000_s30738"/>
                </a:ext>
                <a:ext uri="{FF2B5EF4-FFF2-40B4-BE49-F238E27FC236}">
                  <a16:creationId xmlns:a16="http://schemas.microsoft.com/office/drawing/2014/main" id="{00000000-0008-0000-1A00-00001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editAs="oneCell">
    <xdr:from>
      <xdr:col>0</xdr:col>
      <xdr:colOff>99786</xdr:colOff>
      <xdr:row>0</xdr:row>
      <xdr:rowOff>226786</xdr:rowOff>
    </xdr:from>
    <xdr:to>
      <xdr:col>5</xdr:col>
      <xdr:colOff>0</xdr:colOff>
      <xdr:row>0</xdr:row>
      <xdr:rowOff>993672</xdr:rowOff>
    </xdr:to>
    <xdr:grpSp>
      <xdr:nvGrpSpPr>
        <xdr:cNvPr id="17" name="Group 16">
          <a:extLst>
            <a:ext uri="{FF2B5EF4-FFF2-40B4-BE49-F238E27FC236}">
              <a16:creationId xmlns:a16="http://schemas.microsoft.com/office/drawing/2014/main" id="{00000000-0008-0000-1B00-000011000000}"/>
            </a:ext>
          </a:extLst>
        </xdr:cNvPr>
        <xdr:cNvGrpSpPr/>
      </xdr:nvGrpSpPr>
      <xdr:grpSpPr>
        <a:xfrm>
          <a:off x="99786" y="226786"/>
          <a:ext cx="12536714" cy="766886"/>
          <a:chOff x="247650" y="186690"/>
          <a:chExt cx="13485374" cy="782108"/>
        </a:xfrm>
      </xdr:grpSpPr>
      <xdr:grpSp>
        <xdr:nvGrpSpPr>
          <xdr:cNvPr id="18" name="Group 17">
            <a:extLst>
              <a:ext uri="{FF2B5EF4-FFF2-40B4-BE49-F238E27FC236}">
                <a16:creationId xmlns:a16="http://schemas.microsoft.com/office/drawing/2014/main" id="{00000000-0008-0000-1B00-000012000000}"/>
              </a:ext>
            </a:extLst>
          </xdr:cNvPr>
          <xdr:cNvGrpSpPr/>
        </xdr:nvGrpSpPr>
        <xdr:grpSpPr>
          <a:xfrm>
            <a:off x="836545" y="186690"/>
            <a:ext cx="12896479" cy="782108"/>
            <a:chOff x="812485" y="438150"/>
            <a:chExt cx="10643085" cy="814493"/>
          </a:xfrm>
        </xdr:grpSpPr>
        <xdr:sp macro="" textlink="">
          <xdr:nvSpPr>
            <xdr:cNvPr id="20" name="TextBox 31">
              <a:extLst>
                <a:ext uri="{FF2B5EF4-FFF2-40B4-BE49-F238E27FC236}">
                  <a16:creationId xmlns:a16="http://schemas.microsoft.com/office/drawing/2014/main" id="{00000000-0008-0000-1B00-000014000000}"/>
                </a:ext>
              </a:extLst>
            </xdr:cNvPr>
            <xdr:cNvSpPr txBox="1"/>
          </xdr:nvSpPr>
          <xdr:spPr>
            <a:xfrm>
              <a:off x="812485" y="619125"/>
              <a:ext cx="8428506" cy="633518"/>
            </a:xfrm>
            <a:prstGeom prst="rect">
              <a:avLst/>
            </a:prstGeom>
            <a:noFill/>
          </xdr:spPr>
          <xdr:txBody>
            <a:bodyPr wrap="square" rtlCol="0">
              <a:noAutofit/>
            </a:bodyPr>
            <a:lstStyle/>
            <a:p>
              <a:pPr algn="l"/>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13.7.6</a:t>
              </a:r>
              <a:r>
                <a:rPr lang="en-US" sz="40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t> ARTIFICIAL LIGHTING HELP GUIDE</a:t>
              </a:r>
              <a:endPar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sp macro="" textlink="Name">
          <xdr:nvSpPr>
            <xdr:cNvPr id="21" name="TextBox 31">
              <a:extLst>
                <a:ext uri="{FF2B5EF4-FFF2-40B4-BE49-F238E27FC236}">
                  <a16:creationId xmlns:a16="http://schemas.microsoft.com/office/drawing/2014/main" id="{00000000-0008-0000-1B00-000015000000}"/>
                </a:ext>
              </a:extLst>
            </xdr:cNvPr>
            <xdr:cNvSpPr txBox="1"/>
          </xdr:nvSpPr>
          <xdr:spPr>
            <a:xfrm>
              <a:off x="815423" y="438150"/>
              <a:ext cx="10640147" cy="24765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2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pPr algn="l"/>
                <a:t>Housing Energy Efficiency Calculator</a:t>
              </a:fld>
              <a:endParaRPr lang="en-AU" sz="1200" b="0" spc="1190" baseline="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grpSp>
      <xdr:pic>
        <xdr:nvPicPr>
          <xdr:cNvPr id="19" name="Picture 18" descr="A white arrow in a circle&#10;&#10;Description automatically generated">
            <a:hlinkClick xmlns:r="http://schemas.openxmlformats.org/officeDocument/2006/relationships" r:id="rId1"/>
            <a:extLst>
              <a:ext uri="{FF2B5EF4-FFF2-40B4-BE49-F238E27FC236}">
                <a16:creationId xmlns:a16="http://schemas.microsoft.com/office/drawing/2014/main" id="{00000000-0008-0000-1B00-000013000000}"/>
              </a:ext>
            </a:extLst>
          </xdr:cNvPr>
          <xdr:cNvPicPr>
            <a:picLocks noChangeAspect="1"/>
          </xdr:cNvPicPr>
        </xdr:nvPicPr>
        <xdr:blipFill>
          <a:blip xmlns:r="http://schemas.openxmlformats.org/officeDocument/2006/relationships" r:embed="rId2">
            <a:biLevel thresh="25000"/>
            <a:extLst>
              <a:ext uri="{BEBA8EAE-BF5A-486C-A8C5-ECC9F3942E4B}">
                <a14:imgProps xmlns:a14="http://schemas.microsoft.com/office/drawing/2010/main">
                  <a14:imgLayer r:embed="rId3">
                    <a14:imgEffect>
                      <a14:brightnessContrast bright="-40000" contrast="-40000"/>
                    </a14:imgEffect>
                  </a14:imgLayer>
                </a14:imgProps>
              </a:ext>
            </a:extLst>
          </a:blip>
          <a:stretch>
            <a:fillRect/>
          </a:stretch>
        </xdr:blipFill>
        <xdr:spPr>
          <a:xfrm>
            <a:off x="247650" y="354261"/>
            <a:ext cx="459789" cy="443155"/>
          </a:xfrm>
          <a:prstGeom prst="rect">
            <a:avLst/>
          </a:prstGeom>
        </xdr:spPr>
      </xdr:pic>
    </xdr:grpSp>
    <xdr:clientData/>
  </xdr:twoCellAnchor>
  <xdr:twoCellAnchor editAs="oneCell">
    <xdr:from>
      <xdr:col>3</xdr:col>
      <xdr:colOff>24739</xdr:colOff>
      <xdr:row>33</xdr:row>
      <xdr:rowOff>59377</xdr:rowOff>
    </xdr:from>
    <xdr:to>
      <xdr:col>3</xdr:col>
      <xdr:colOff>10927566</xdr:colOff>
      <xdr:row>55</xdr:row>
      <xdr:rowOff>27266</xdr:rowOff>
    </xdr:to>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rotWithShape="1">
        <a:blip xmlns:r="http://schemas.openxmlformats.org/officeDocument/2006/relationships" r:embed="rId4"/>
        <a:srcRect l="-1" r="-495"/>
        <a:stretch/>
      </xdr:blipFill>
      <xdr:spPr>
        <a:xfrm>
          <a:off x="741915" y="14783906"/>
          <a:ext cx="10902827" cy="4904829"/>
        </a:xfrm>
        <a:prstGeom prst="rect">
          <a:avLst/>
        </a:prstGeom>
      </xdr:spPr>
    </xdr:pic>
    <xdr:clientData/>
  </xdr:twoCellAnchor>
  <xdr:twoCellAnchor>
    <xdr:from>
      <xdr:col>3</xdr:col>
      <xdr:colOff>7565571</xdr:colOff>
      <xdr:row>33</xdr:row>
      <xdr:rowOff>67030</xdr:rowOff>
    </xdr:from>
    <xdr:to>
      <xdr:col>3</xdr:col>
      <xdr:colOff>10668116</xdr:colOff>
      <xdr:row>41</xdr:row>
      <xdr:rowOff>54428</xdr:rowOff>
    </xdr:to>
    <xdr:sp macro="" textlink="">
      <xdr:nvSpPr>
        <xdr:cNvPr id="7" name="AutoShape 3641">
          <a:extLst>
            <a:ext uri="{FF2B5EF4-FFF2-40B4-BE49-F238E27FC236}">
              <a16:creationId xmlns:a16="http://schemas.microsoft.com/office/drawing/2014/main" id="{00000000-0008-0000-1B00-000007000000}"/>
            </a:ext>
          </a:extLst>
        </xdr:cNvPr>
        <xdr:cNvSpPr>
          <a:spLocks noChangeArrowheads="1"/>
        </xdr:cNvSpPr>
      </xdr:nvSpPr>
      <xdr:spPr bwMode="auto">
        <a:xfrm>
          <a:off x="8300357" y="15143744"/>
          <a:ext cx="3102545" cy="1837970"/>
        </a:xfrm>
        <a:prstGeom prst="wedgeRoundRectCallout">
          <a:avLst>
            <a:gd name="adj1" fmla="val 22724"/>
            <a:gd name="adj2" fmla="val 73512"/>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Additional information table:</a:t>
          </a:r>
        </a:p>
        <a:p>
          <a:pPr algn="l" rtl="0">
            <a:defRPr sz="1000"/>
          </a:pPr>
          <a:endParaRPr lang="en-AU" sz="800" b="0"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A table to the right of the calculator form provides additional information about the impact of any adjustment factors used for individual lighting systems.</a:t>
          </a:r>
        </a:p>
        <a:p>
          <a:pPr algn="l" rtl="0">
            <a:defRPr sz="1000"/>
          </a:pPr>
          <a:r>
            <a:rPr lang="en-AU" sz="1400" b="0" i="0" u="none" strike="noStrike" baseline="0">
              <a:solidFill>
                <a:srgbClr val="000000"/>
              </a:solidFill>
              <a:latin typeface="Arial"/>
              <a:cs typeface="Arial"/>
            </a:rPr>
            <a:t>Scroll right to see the table.</a:t>
          </a:r>
        </a:p>
      </xdr:txBody>
    </xdr:sp>
    <xdr:clientData/>
  </xdr:twoCellAnchor>
  <xdr:twoCellAnchor>
    <xdr:from>
      <xdr:col>3</xdr:col>
      <xdr:colOff>7701643</xdr:colOff>
      <xdr:row>48</xdr:row>
      <xdr:rowOff>176893</xdr:rowOff>
    </xdr:from>
    <xdr:to>
      <xdr:col>3</xdr:col>
      <xdr:colOff>10312448</xdr:colOff>
      <xdr:row>53</xdr:row>
      <xdr:rowOff>156437</xdr:rowOff>
    </xdr:to>
    <xdr:sp macro="" textlink="">
      <xdr:nvSpPr>
        <xdr:cNvPr id="8" name="AutoShape 3640">
          <a:extLst>
            <a:ext uri="{FF2B5EF4-FFF2-40B4-BE49-F238E27FC236}">
              <a16:creationId xmlns:a16="http://schemas.microsoft.com/office/drawing/2014/main" id="{00000000-0008-0000-1B00-000008000000}"/>
            </a:ext>
          </a:extLst>
        </xdr:cNvPr>
        <xdr:cNvSpPr>
          <a:spLocks noChangeArrowheads="1"/>
        </xdr:cNvSpPr>
      </xdr:nvSpPr>
      <xdr:spPr bwMode="auto">
        <a:xfrm>
          <a:off x="8436429" y="18723429"/>
          <a:ext cx="2610805" cy="1136151"/>
        </a:xfrm>
        <a:prstGeom prst="wedgeRoundRectCallout">
          <a:avLst>
            <a:gd name="adj1" fmla="val 68519"/>
            <a:gd name="adj2" fmla="val 51306"/>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Zoom setting option:</a:t>
          </a:r>
        </a:p>
        <a:p>
          <a:pPr algn="l" rtl="0">
            <a:defRPr sz="1000"/>
          </a:pPr>
          <a:endParaRPr lang="en-AU" sz="800" b="0"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Use the zoom to see the full width of the form depending on your screen resolution.</a:t>
          </a:r>
        </a:p>
      </xdr:txBody>
    </xdr:sp>
    <xdr:clientData/>
  </xdr:twoCellAnchor>
  <xdr:twoCellAnchor>
    <xdr:from>
      <xdr:col>3</xdr:col>
      <xdr:colOff>2513753</xdr:colOff>
      <xdr:row>47</xdr:row>
      <xdr:rowOff>32976</xdr:rowOff>
    </xdr:from>
    <xdr:to>
      <xdr:col>3</xdr:col>
      <xdr:colOff>6232071</xdr:colOff>
      <xdr:row>53</xdr:row>
      <xdr:rowOff>217714</xdr:rowOff>
    </xdr:to>
    <xdr:sp macro="" textlink="">
      <xdr:nvSpPr>
        <xdr:cNvPr id="4" name="AutoShape 3642">
          <a:extLst>
            <a:ext uri="{FF2B5EF4-FFF2-40B4-BE49-F238E27FC236}">
              <a16:creationId xmlns:a16="http://schemas.microsoft.com/office/drawing/2014/main" id="{00000000-0008-0000-1B00-000004000000}"/>
            </a:ext>
          </a:extLst>
        </xdr:cNvPr>
        <xdr:cNvSpPr>
          <a:spLocks noChangeArrowheads="1"/>
        </xdr:cNvSpPr>
      </xdr:nvSpPr>
      <xdr:spPr bwMode="auto">
        <a:xfrm>
          <a:off x="3248539" y="18348190"/>
          <a:ext cx="3718318" cy="1572667"/>
        </a:xfrm>
        <a:prstGeom prst="wedgeRoundRectCallout">
          <a:avLst>
            <a:gd name="adj1" fmla="val -102457"/>
            <a:gd name="adj2" fmla="val 2210"/>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To change the number of rows displayed (step 2 of 2):</a:t>
          </a:r>
        </a:p>
        <a:p>
          <a:pPr algn="l" rtl="0">
            <a:defRPr sz="1000"/>
          </a:pPr>
          <a:endParaRPr lang="en-AU" sz="800" b="1"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Click the arrow in the blue filled heading above and then select the only number in the drop down list. (This number will always match the number input for step 1.)</a:t>
          </a:r>
        </a:p>
      </xdr:txBody>
    </xdr:sp>
    <xdr:clientData/>
  </xdr:twoCellAnchor>
  <xdr:twoCellAnchor>
    <xdr:from>
      <xdr:col>3</xdr:col>
      <xdr:colOff>3305585</xdr:colOff>
      <xdr:row>34</xdr:row>
      <xdr:rowOff>67831</xdr:rowOff>
    </xdr:from>
    <xdr:to>
      <xdr:col>3</xdr:col>
      <xdr:colOff>6449784</xdr:colOff>
      <xdr:row>40</xdr:row>
      <xdr:rowOff>176892</xdr:rowOff>
    </xdr:to>
    <xdr:sp macro="" textlink="">
      <xdr:nvSpPr>
        <xdr:cNvPr id="5" name="Speech Bubble: Rectangle with Corners Rounded 9">
          <a:extLst>
            <a:ext uri="{FF2B5EF4-FFF2-40B4-BE49-F238E27FC236}">
              <a16:creationId xmlns:a16="http://schemas.microsoft.com/office/drawing/2014/main" id="{00000000-0008-0000-1B00-000005000000}"/>
            </a:ext>
          </a:extLst>
        </xdr:cNvPr>
        <xdr:cNvSpPr/>
      </xdr:nvSpPr>
      <xdr:spPr>
        <a:xfrm>
          <a:off x="4040371" y="15375867"/>
          <a:ext cx="3144199" cy="1496989"/>
        </a:xfrm>
        <a:prstGeom prst="wedgeRoundRectCallout">
          <a:avLst>
            <a:gd name="adj1" fmla="val -68110"/>
            <a:gd name="adj2" fmla="val 8202"/>
            <a:gd name="adj3" fmla="val 16667"/>
          </a:avLst>
        </a:prstGeom>
        <a:solidFill>
          <a:schemeClr val="bg1"/>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rtl="0"/>
          <a:r>
            <a:rPr lang="en-AU" sz="1400" b="1" i="0" baseline="0">
              <a:solidFill>
                <a:sysClr val="windowText" lastClr="000000"/>
              </a:solidFill>
              <a:effectLst/>
              <a:latin typeface="+mn-lt"/>
              <a:ea typeface="+mn-ea"/>
              <a:cs typeface="+mn-cs"/>
            </a:rPr>
            <a:t>To change the number of rows displayed (step 1 of 2):</a:t>
          </a:r>
          <a:endParaRPr lang="en-AU" sz="1400">
            <a:solidFill>
              <a:sysClr val="windowText" lastClr="000000"/>
            </a:solidFill>
            <a:effectLst/>
          </a:endParaRPr>
        </a:p>
        <a:p>
          <a:pPr rtl="0"/>
          <a:r>
            <a:rPr lang="en-AU" sz="1400" b="0" i="0" baseline="0">
              <a:solidFill>
                <a:sysClr val="windowText" lastClr="000000"/>
              </a:solidFill>
              <a:effectLst/>
              <a:latin typeface="+mn-lt"/>
              <a:ea typeface="+mn-ea"/>
              <a:cs typeface="+mn-cs"/>
            </a:rPr>
            <a:t>Input the required number of rows here and press Enter. (This cell will not accept numbers that would cause rows with data to be hidden.)</a:t>
          </a:r>
          <a:endParaRPr lang="en-AU" sz="1400">
            <a:solidFill>
              <a:sysClr val="windowText" lastClr="000000"/>
            </a:solidFill>
            <a:effectLst/>
          </a:endParaRPr>
        </a:p>
        <a:p>
          <a:pPr algn="l"/>
          <a:endParaRPr lang="en-AU" sz="1800">
            <a:solidFill>
              <a:sysClr val="windowText" lastClr="000000"/>
            </a:solidFill>
          </a:endParaRPr>
        </a:p>
      </xdr:txBody>
    </xdr:sp>
    <xdr:clientData/>
  </xdr:twoCellAnchor>
  <xdr:twoCellAnchor editAs="oneCell">
    <xdr:from>
      <xdr:col>2</xdr:col>
      <xdr:colOff>126176</xdr:colOff>
      <xdr:row>64</xdr:row>
      <xdr:rowOff>0</xdr:rowOff>
    </xdr:from>
    <xdr:to>
      <xdr:col>3</xdr:col>
      <xdr:colOff>10732944</xdr:colOff>
      <xdr:row>87</xdr:row>
      <xdr:rowOff>203198</xdr:rowOff>
    </xdr:to>
    <xdr:pic>
      <xdr:nvPicPr>
        <xdr:cNvPr id="11" name="Picture 10">
          <a:extLst>
            <a:ext uri="{FF2B5EF4-FFF2-40B4-BE49-F238E27FC236}">
              <a16:creationId xmlns:a16="http://schemas.microsoft.com/office/drawing/2014/main" id="{00000000-0008-0000-1B00-00000B000000}"/>
            </a:ext>
          </a:extLst>
        </xdr:cNvPr>
        <xdr:cNvPicPr>
          <a:picLocks noChangeAspect="1"/>
        </xdr:cNvPicPr>
      </xdr:nvPicPr>
      <xdr:blipFill rotWithShape="1">
        <a:blip xmlns:r="http://schemas.openxmlformats.org/officeDocument/2006/relationships" r:embed="rId5"/>
        <a:srcRect r="14597"/>
        <a:stretch/>
      </xdr:blipFill>
      <xdr:spPr>
        <a:xfrm>
          <a:off x="680358" y="22350352"/>
          <a:ext cx="10779950" cy="5376056"/>
        </a:xfrm>
        <a:prstGeom prst="rect">
          <a:avLst/>
        </a:prstGeom>
      </xdr:spPr>
    </xdr:pic>
    <xdr:clientData/>
  </xdr:twoCellAnchor>
  <xdr:twoCellAnchor>
    <xdr:from>
      <xdr:col>3</xdr:col>
      <xdr:colOff>2843893</xdr:colOff>
      <xdr:row>80</xdr:row>
      <xdr:rowOff>204109</xdr:rowOff>
    </xdr:from>
    <xdr:to>
      <xdr:col>3</xdr:col>
      <xdr:colOff>4435537</xdr:colOff>
      <xdr:row>87</xdr:row>
      <xdr:rowOff>149679</xdr:rowOff>
    </xdr:to>
    <xdr:sp macro="" textlink="">
      <xdr:nvSpPr>
        <xdr:cNvPr id="12" name="AutoShape 3641">
          <a:extLst>
            <a:ext uri="{FF2B5EF4-FFF2-40B4-BE49-F238E27FC236}">
              <a16:creationId xmlns:a16="http://schemas.microsoft.com/office/drawing/2014/main" id="{00000000-0008-0000-1B00-00000C000000}"/>
            </a:ext>
          </a:extLst>
        </xdr:cNvPr>
        <xdr:cNvSpPr>
          <a:spLocks noChangeArrowheads="1"/>
        </xdr:cNvSpPr>
      </xdr:nvSpPr>
      <xdr:spPr bwMode="auto">
        <a:xfrm>
          <a:off x="3578679" y="27295930"/>
          <a:ext cx="1591644" cy="1564820"/>
        </a:xfrm>
        <a:prstGeom prst="wedgeRoundRectCallout">
          <a:avLst>
            <a:gd name="adj1" fmla="val 60421"/>
            <a:gd name="adj2" fmla="val -41350"/>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"Adjustment Factors" menu:</a:t>
          </a:r>
        </a:p>
        <a:p>
          <a:pPr algn="l" rtl="0">
            <a:defRPr sz="1000"/>
          </a:pPr>
          <a:endParaRPr lang="en-AU" sz="800" b="0"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Items listed in the drop down menu relate to those in 3.12.5.5.</a:t>
          </a:r>
        </a:p>
      </xdr:txBody>
    </xdr:sp>
    <xdr:clientData/>
  </xdr:twoCellAnchor>
  <xdr:twoCellAnchor>
    <xdr:from>
      <xdr:col>3</xdr:col>
      <xdr:colOff>7353167</xdr:colOff>
      <xdr:row>65</xdr:row>
      <xdr:rowOff>136072</xdr:rowOff>
    </xdr:from>
    <xdr:to>
      <xdr:col>3</xdr:col>
      <xdr:colOff>10137320</xdr:colOff>
      <xdr:row>69</xdr:row>
      <xdr:rowOff>148035</xdr:rowOff>
    </xdr:to>
    <xdr:sp macro="" textlink="">
      <xdr:nvSpPr>
        <xdr:cNvPr id="13" name="AutoShape 3641">
          <a:extLst>
            <a:ext uri="{FF2B5EF4-FFF2-40B4-BE49-F238E27FC236}">
              <a16:creationId xmlns:a16="http://schemas.microsoft.com/office/drawing/2014/main" id="{00000000-0008-0000-1B00-00000D000000}"/>
            </a:ext>
          </a:extLst>
        </xdr:cNvPr>
        <xdr:cNvSpPr>
          <a:spLocks noChangeArrowheads="1"/>
        </xdr:cNvSpPr>
      </xdr:nvSpPr>
      <xdr:spPr bwMode="auto">
        <a:xfrm>
          <a:off x="8087953" y="23758072"/>
          <a:ext cx="2784153" cy="937249"/>
        </a:xfrm>
        <a:prstGeom prst="wedgeRoundRectCallout">
          <a:avLst>
            <a:gd name="adj1" fmla="val -68650"/>
            <a:gd name="adj2" fmla="val 6491"/>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Classification menu:</a:t>
          </a:r>
        </a:p>
        <a:p>
          <a:pPr algn="l" rtl="0">
            <a:defRPr sz="1000"/>
          </a:pPr>
          <a:endParaRPr lang="en-AU" sz="800" b="0"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Use the drop down menu to select the building Classification. </a:t>
          </a:r>
        </a:p>
      </xdr:txBody>
    </xdr:sp>
    <xdr:clientData/>
  </xdr:twoCellAnchor>
  <xdr:twoCellAnchor>
    <xdr:from>
      <xdr:col>3</xdr:col>
      <xdr:colOff>8327571</xdr:colOff>
      <xdr:row>70</xdr:row>
      <xdr:rowOff>88532</xdr:rowOff>
    </xdr:from>
    <xdr:to>
      <xdr:col>3</xdr:col>
      <xdr:colOff>10666629</xdr:colOff>
      <xdr:row>80</xdr:row>
      <xdr:rowOff>81643</xdr:rowOff>
    </xdr:to>
    <xdr:sp macro="" textlink="">
      <xdr:nvSpPr>
        <xdr:cNvPr id="14" name="AutoShape 3641">
          <a:extLst>
            <a:ext uri="{FF2B5EF4-FFF2-40B4-BE49-F238E27FC236}">
              <a16:creationId xmlns:a16="http://schemas.microsoft.com/office/drawing/2014/main" id="{00000000-0008-0000-1B00-00000E000000}"/>
            </a:ext>
          </a:extLst>
        </xdr:cNvPr>
        <xdr:cNvSpPr>
          <a:spLocks noChangeArrowheads="1"/>
        </xdr:cNvSpPr>
      </xdr:nvSpPr>
      <xdr:spPr bwMode="auto">
        <a:xfrm>
          <a:off x="9062357" y="24867139"/>
          <a:ext cx="2339058" cy="2306325"/>
        </a:xfrm>
        <a:prstGeom prst="wedgeRoundRectCallout">
          <a:avLst>
            <a:gd name="adj1" fmla="val -52177"/>
            <a:gd name="adj2" fmla="val 57049"/>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Calculated Outcomes:</a:t>
          </a:r>
        </a:p>
        <a:p>
          <a:pPr algn="l" rtl="0">
            <a:defRPr sz="1000"/>
          </a:pPr>
          <a:endParaRPr lang="en-AU" sz="800" b="0"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Outcomes are displayed progressively as lighting systems are added to the table, provided details for each system are complete.</a:t>
          </a:r>
        </a:p>
        <a:p>
          <a:pPr algn="l" rtl="0">
            <a:defRPr sz="1000"/>
          </a:pPr>
          <a:r>
            <a:rPr lang="en-AU" sz="1400" b="0" i="0" u="none" strike="noStrike" baseline="0">
              <a:solidFill>
                <a:srgbClr val="000000"/>
              </a:solidFill>
              <a:latin typeface="Arial"/>
              <a:cs typeface="Arial"/>
            </a:rPr>
            <a:t>Results may change as more systems are added.</a:t>
          </a:r>
        </a:p>
      </xdr:txBody>
    </xdr:sp>
    <xdr:clientData/>
  </xdr:twoCellAnchor>
  <xdr:twoCellAnchor>
    <xdr:from>
      <xdr:col>3</xdr:col>
      <xdr:colOff>1932723</xdr:colOff>
      <xdr:row>74</xdr:row>
      <xdr:rowOff>52900</xdr:rowOff>
    </xdr:from>
    <xdr:to>
      <xdr:col>3</xdr:col>
      <xdr:colOff>3755571</xdr:colOff>
      <xdr:row>78</xdr:row>
      <xdr:rowOff>27213</xdr:rowOff>
    </xdr:to>
    <xdr:sp macro="" textlink="">
      <xdr:nvSpPr>
        <xdr:cNvPr id="6" name="AutoShape 3641">
          <a:extLst>
            <a:ext uri="{FF2B5EF4-FFF2-40B4-BE49-F238E27FC236}">
              <a16:creationId xmlns:a16="http://schemas.microsoft.com/office/drawing/2014/main" id="{00000000-0008-0000-1B00-000006000000}"/>
            </a:ext>
          </a:extLst>
        </xdr:cNvPr>
        <xdr:cNvSpPr>
          <a:spLocks noChangeArrowheads="1"/>
        </xdr:cNvSpPr>
      </xdr:nvSpPr>
      <xdr:spPr bwMode="auto">
        <a:xfrm>
          <a:off x="2667509" y="25756793"/>
          <a:ext cx="1822848" cy="899599"/>
        </a:xfrm>
        <a:prstGeom prst="wedgeRoundRectCallout">
          <a:avLst>
            <a:gd name="adj1" fmla="val -64052"/>
            <a:gd name="adj2" fmla="val 19682"/>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"Space" menu:</a:t>
          </a:r>
        </a:p>
        <a:p>
          <a:pPr algn="l" rtl="0">
            <a:defRPr sz="1000"/>
          </a:pPr>
          <a:endParaRPr lang="en-AU" sz="800" b="0"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Spaces are listed in the drop down menu.</a:t>
          </a:r>
        </a:p>
      </xdr:txBody>
    </xdr:sp>
    <xdr:clientData/>
  </xdr:twoCellAnchor>
  <xdr:twoCellAnchor>
    <xdr:from>
      <xdr:col>3</xdr:col>
      <xdr:colOff>3378281</xdr:colOff>
      <xdr:row>68</xdr:row>
      <xdr:rowOff>204107</xdr:rowOff>
    </xdr:from>
    <xdr:to>
      <xdr:col>3</xdr:col>
      <xdr:colOff>5374821</xdr:colOff>
      <xdr:row>72</xdr:row>
      <xdr:rowOff>190500</xdr:rowOff>
    </xdr:to>
    <xdr:sp macro="" textlink="">
      <xdr:nvSpPr>
        <xdr:cNvPr id="16" name="AutoShape 3641">
          <a:extLst>
            <a:ext uri="{FF2B5EF4-FFF2-40B4-BE49-F238E27FC236}">
              <a16:creationId xmlns:a16="http://schemas.microsoft.com/office/drawing/2014/main" id="{00000000-0008-0000-1B00-000010000000}"/>
            </a:ext>
          </a:extLst>
        </xdr:cNvPr>
        <xdr:cNvSpPr>
          <a:spLocks noChangeArrowheads="1"/>
        </xdr:cNvSpPr>
      </xdr:nvSpPr>
      <xdr:spPr bwMode="auto">
        <a:xfrm>
          <a:off x="4113067" y="24520071"/>
          <a:ext cx="1996540" cy="911679"/>
        </a:xfrm>
        <a:prstGeom prst="wedgeRoundRectCallout">
          <a:avLst>
            <a:gd name="adj1" fmla="val 21867"/>
            <a:gd name="adj2" fmla="val 88809"/>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Navigation button:</a:t>
          </a:r>
        </a:p>
        <a:p>
          <a:pPr algn="l" rtl="0">
            <a:defRPr sz="1000"/>
          </a:pPr>
          <a:endParaRPr lang="en-AU" sz="800" b="0"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Links to a detailed list of Adjustment Factors.</a:t>
          </a:r>
        </a:p>
      </xdr:txBody>
    </xdr:sp>
    <xdr:clientData/>
  </xdr:twoCellAnchor>
  <xdr:twoCellAnchor editAs="oneCell">
    <xdr:from>
      <xdr:col>2</xdr:col>
      <xdr:colOff>159125</xdr:colOff>
      <xdr:row>97</xdr:row>
      <xdr:rowOff>46745</xdr:rowOff>
    </xdr:from>
    <xdr:to>
      <xdr:col>3</xdr:col>
      <xdr:colOff>10838008</xdr:colOff>
      <xdr:row>119</xdr:row>
      <xdr:rowOff>181114</xdr:rowOff>
    </xdr:to>
    <xdr:pic>
      <xdr:nvPicPr>
        <xdr:cNvPr id="22" name="Picture 21">
          <a:extLst>
            <a:ext uri="{FF2B5EF4-FFF2-40B4-BE49-F238E27FC236}">
              <a16:creationId xmlns:a16="http://schemas.microsoft.com/office/drawing/2014/main" id="{00000000-0008-0000-1B00-000016000000}"/>
            </a:ext>
          </a:extLst>
        </xdr:cNvPr>
        <xdr:cNvPicPr>
          <a:picLocks noChangeAspect="1"/>
        </xdr:cNvPicPr>
      </xdr:nvPicPr>
      <xdr:blipFill>
        <a:blip xmlns:r="http://schemas.openxmlformats.org/officeDocument/2006/relationships" r:embed="rId6"/>
        <a:stretch>
          <a:fillRect/>
        </a:stretch>
      </xdr:blipFill>
      <xdr:spPr>
        <a:xfrm>
          <a:off x="711575" y="30107645"/>
          <a:ext cx="10850333" cy="5154045"/>
        </a:xfrm>
        <a:prstGeom prst="rect">
          <a:avLst/>
        </a:prstGeom>
      </xdr:spPr>
    </xdr:pic>
    <xdr:clientData/>
  </xdr:twoCellAnchor>
  <xdr:twoCellAnchor>
    <xdr:from>
      <xdr:col>3</xdr:col>
      <xdr:colOff>3714750</xdr:colOff>
      <xdr:row>115</xdr:row>
      <xdr:rowOff>204107</xdr:rowOff>
    </xdr:from>
    <xdr:to>
      <xdr:col>3</xdr:col>
      <xdr:colOff>6533031</xdr:colOff>
      <xdr:row>119</xdr:row>
      <xdr:rowOff>115431</xdr:rowOff>
    </xdr:to>
    <xdr:sp macro="" textlink="">
      <xdr:nvSpPr>
        <xdr:cNvPr id="47" name="AutoShape 3641">
          <a:extLst>
            <a:ext uri="{FF2B5EF4-FFF2-40B4-BE49-F238E27FC236}">
              <a16:creationId xmlns:a16="http://schemas.microsoft.com/office/drawing/2014/main" id="{00000000-0008-0000-1B00-00002F000000}"/>
            </a:ext>
          </a:extLst>
        </xdr:cNvPr>
        <xdr:cNvSpPr>
          <a:spLocks noChangeArrowheads="1"/>
        </xdr:cNvSpPr>
      </xdr:nvSpPr>
      <xdr:spPr bwMode="auto">
        <a:xfrm>
          <a:off x="4449536" y="36045321"/>
          <a:ext cx="2818281" cy="836610"/>
        </a:xfrm>
        <a:prstGeom prst="wedgeRoundRectCallout">
          <a:avLst>
            <a:gd name="adj1" fmla="val 80076"/>
            <a:gd name="adj2" fmla="val 27938"/>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Outcomes reporting:</a:t>
          </a:r>
        </a:p>
        <a:p>
          <a:pPr algn="l" rtl="0">
            <a:defRPr sz="1000"/>
          </a:pPr>
          <a:endParaRPr lang="en-AU" sz="800" b="0"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Outcomes are not displayed when input issues have been identified.</a:t>
          </a:r>
        </a:p>
      </xdr:txBody>
    </xdr:sp>
    <xdr:clientData/>
  </xdr:twoCellAnchor>
  <xdr:twoCellAnchor>
    <xdr:from>
      <xdr:col>3</xdr:col>
      <xdr:colOff>7581499</xdr:colOff>
      <xdr:row>114</xdr:row>
      <xdr:rowOff>118302</xdr:rowOff>
    </xdr:from>
    <xdr:to>
      <xdr:col>3</xdr:col>
      <xdr:colOff>10695214</xdr:colOff>
      <xdr:row>120</xdr:row>
      <xdr:rowOff>108858</xdr:rowOff>
    </xdr:to>
    <xdr:sp macro="" textlink="">
      <xdr:nvSpPr>
        <xdr:cNvPr id="49" name="AutoShape 3641">
          <a:extLst>
            <a:ext uri="{FF2B5EF4-FFF2-40B4-BE49-F238E27FC236}">
              <a16:creationId xmlns:a16="http://schemas.microsoft.com/office/drawing/2014/main" id="{00000000-0008-0000-1B00-000031000000}"/>
            </a:ext>
          </a:extLst>
        </xdr:cNvPr>
        <xdr:cNvSpPr>
          <a:spLocks noChangeArrowheads="1"/>
        </xdr:cNvSpPr>
      </xdr:nvSpPr>
      <xdr:spPr bwMode="auto">
        <a:xfrm>
          <a:off x="8316285" y="35728195"/>
          <a:ext cx="3113715" cy="1378484"/>
        </a:xfrm>
        <a:prstGeom prst="wedgeRoundRectCallout">
          <a:avLst>
            <a:gd name="adj1" fmla="val -26765"/>
            <a:gd name="adj2" fmla="val -71113"/>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Missing data:</a:t>
          </a:r>
        </a:p>
        <a:p>
          <a:pPr algn="l" rtl="0">
            <a:defRPr sz="1000"/>
          </a:pPr>
          <a:endParaRPr lang="en-AU" sz="800" b="0"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Missing inputs for columns to the left of the Adjustment Factor columns are not colour filled but are identified in the input alert by column name.</a:t>
          </a:r>
        </a:p>
      </xdr:txBody>
    </xdr:sp>
    <xdr:clientData/>
  </xdr:twoCellAnchor>
  <xdr:twoCellAnchor>
    <xdr:from>
      <xdr:col>3</xdr:col>
      <xdr:colOff>1754039</xdr:colOff>
      <xdr:row>113</xdr:row>
      <xdr:rowOff>80123</xdr:rowOff>
    </xdr:from>
    <xdr:to>
      <xdr:col>3</xdr:col>
      <xdr:colOff>6582514</xdr:colOff>
      <xdr:row>113</xdr:row>
      <xdr:rowOff>99929</xdr:rowOff>
    </xdr:to>
    <xdr:cxnSp macro="">
      <xdr:nvCxnSpPr>
        <xdr:cNvPr id="25" name="Straight Arrow Connector 24">
          <a:extLst>
            <a:ext uri="{FF2B5EF4-FFF2-40B4-BE49-F238E27FC236}">
              <a16:creationId xmlns:a16="http://schemas.microsoft.com/office/drawing/2014/main" id="{00000000-0008-0000-1B00-000019000000}"/>
            </a:ext>
          </a:extLst>
        </xdr:cNvPr>
        <xdr:cNvCxnSpPr/>
      </xdr:nvCxnSpPr>
      <xdr:spPr bwMode="auto">
        <a:xfrm flipV="1">
          <a:off x="2477939" y="33798623"/>
          <a:ext cx="4828475" cy="19806"/>
        </a:xfrm>
        <a:prstGeom prst="straightConnector1">
          <a:avLst/>
        </a:prstGeom>
        <a:noFill/>
        <a:ln w="19050" cap="flat" cmpd="sng" algn="ctr">
          <a:solidFill>
            <a:srgbClr val="FF0000"/>
          </a:solidFill>
          <a:prstDash val="solid"/>
          <a:round/>
          <a:headEnd type="triangle"/>
          <a:tailEnd type="triangle"/>
        </a:ln>
        <a:effectLst/>
      </xdr:spPr>
    </xdr:cxnSp>
    <xdr:clientData/>
  </xdr:twoCellAnchor>
  <xdr:twoCellAnchor>
    <xdr:from>
      <xdr:col>3</xdr:col>
      <xdr:colOff>6630199</xdr:colOff>
      <xdr:row>112</xdr:row>
      <xdr:rowOff>219075</xdr:rowOff>
    </xdr:from>
    <xdr:to>
      <xdr:col>3</xdr:col>
      <xdr:colOff>8319810</xdr:colOff>
      <xdr:row>113</xdr:row>
      <xdr:rowOff>176085</xdr:rowOff>
    </xdr:to>
    <xdr:sp macro="" textlink="">
      <xdr:nvSpPr>
        <xdr:cNvPr id="26" name="Rounded Rectangle 107">
          <a:extLst>
            <a:ext uri="{FF2B5EF4-FFF2-40B4-BE49-F238E27FC236}">
              <a16:creationId xmlns:a16="http://schemas.microsoft.com/office/drawing/2014/main" id="{00000000-0008-0000-1B00-00001A000000}"/>
            </a:ext>
          </a:extLst>
        </xdr:cNvPr>
        <xdr:cNvSpPr/>
      </xdr:nvSpPr>
      <xdr:spPr bwMode="auto">
        <a:xfrm>
          <a:off x="7354099" y="33708975"/>
          <a:ext cx="1689611" cy="185610"/>
        </a:xfrm>
        <a:prstGeom prst="roundRect">
          <a:avLst>
            <a:gd name="adj" fmla="val 50000"/>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AU" sz="1100"/>
        </a:p>
      </xdr:txBody>
    </xdr:sp>
    <xdr:clientData/>
  </xdr:twoCellAnchor>
  <xdr:twoCellAnchor>
    <xdr:from>
      <xdr:col>3</xdr:col>
      <xdr:colOff>890145</xdr:colOff>
      <xdr:row>113</xdr:row>
      <xdr:rowOff>12887</xdr:rowOff>
    </xdr:from>
    <xdr:to>
      <xdr:col>3</xdr:col>
      <xdr:colOff>1640170</xdr:colOff>
      <xdr:row>113</xdr:row>
      <xdr:rowOff>168916</xdr:rowOff>
    </xdr:to>
    <xdr:sp macro="" textlink="">
      <xdr:nvSpPr>
        <xdr:cNvPr id="27" name="Rounded Rectangle 105">
          <a:extLst>
            <a:ext uri="{FF2B5EF4-FFF2-40B4-BE49-F238E27FC236}">
              <a16:creationId xmlns:a16="http://schemas.microsoft.com/office/drawing/2014/main" id="{00000000-0008-0000-1B00-00001B000000}"/>
            </a:ext>
          </a:extLst>
        </xdr:cNvPr>
        <xdr:cNvSpPr/>
      </xdr:nvSpPr>
      <xdr:spPr bwMode="auto">
        <a:xfrm>
          <a:off x="1614045" y="33731387"/>
          <a:ext cx="750025" cy="156029"/>
        </a:xfrm>
        <a:prstGeom prst="roundRect">
          <a:avLst>
            <a:gd name="adj" fmla="val 50000"/>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AU" sz="1100"/>
        </a:p>
      </xdr:txBody>
    </xdr:sp>
    <xdr:clientData/>
  </xdr:twoCellAnchor>
  <xdr:twoCellAnchor>
    <xdr:from>
      <xdr:col>3</xdr:col>
      <xdr:colOff>1782535</xdr:colOff>
      <xdr:row>107</xdr:row>
      <xdr:rowOff>48826</xdr:rowOff>
    </xdr:from>
    <xdr:to>
      <xdr:col>3</xdr:col>
      <xdr:colOff>4700279</xdr:colOff>
      <xdr:row>112</xdr:row>
      <xdr:rowOff>13607</xdr:rowOff>
    </xdr:to>
    <xdr:sp macro="" textlink="">
      <xdr:nvSpPr>
        <xdr:cNvPr id="28" name="AutoShape 3641">
          <a:extLst>
            <a:ext uri="{FF2B5EF4-FFF2-40B4-BE49-F238E27FC236}">
              <a16:creationId xmlns:a16="http://schemas.microsoft.com/office/drawing/2014/main" id="{00000000-0008-0000-1B00-00001C000000}"/>
            </a:ext>
          </a:extLst>
        </xdr:cNvPr>
        <xdr:cNvSpPr>
          <a:spLocks noChangeArrowheads="1"/>
        </xdr:cNvSpPr>
      </xdr:nvSpPr>
      <xdr:spPr bwMode="auto">
        <a:xfrm>
          <a:off x="2517321" y="34039469"/>
          <a:ext cx="2917744" cy="1121388"/>
        </a:xfrm>
        <a:prstGeom prst="wedgeRoundRectCallout">
          <a:avLst>
            <a:gd name="adj1" fmla="val 114958"/>
            <a:gd name="adj2" fmla="val 32081"/>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Missing data highlight:</a:t>
          </a:r>
        </a:p>
        <a:p>
          <a:pPr algn="l" rtl="0">
            <a:defRPr sz="1000"/>
          </a:pPr>
          <a:endParaRPr lang="en-AU" sz="800" b="0"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Colour fill highlights missing Adjustment Factor data mentioned in input alerts to the right.</a:t>
          </a:r>
        </a:p>
      </xdr:txBody>
    </xdr:sp>
    <xdr:clientData/>
  </xdr:twoCellAnchor>
  <xdr:twoCellAnchor>
    <xdr:from>
      <xdr:col>3</xdr:col>
      <xdr:colOff>3673928</xdr:colOff>
      <xdr:row>99</xdr:row>
      <xdr:rowOff>40822</xdr:rowOff>
    </xdr:from>
    <xdr:to>
      <xdr:col>3</xdr:col>
      <xdr:colOff>6297706</xdr:colOff>
      <xdr:row>105</xdr:row>
      <xdr:rowOff>33618</xdr:rowOff>
    </xdr:to>
    <xdr:sp macro="" textlink="">
      <xdr:nvSpPr>
        <xdr:cNvPr id="44" name="AutoShape 3641">
          <a:extLst>
            <a:ext uri="{FF2B5EF4-FFF2-40B4-BE49-F238E27FC236}">
              <a16:creationId xmlns:a16="http://schemas.microsoft.com/office/drawing/2014/main" id="{00000000-0008-0000-1B00-00002C000000}"/>
            </a:ext>
          </a:extLst>
        </xdr:cNvPr>
        <xdr:cNvSpPr>
          <a:spLocks noChangeArrowheads="1"/>
        </xdr:cNvSpPr>
      </xdr:nvSpPr>
      <xdr:spPr bwMode="auto">
        <a:xfrm>
          <a:off x="4408714" y="32180893"/>
          <a:ext cx="2623778" cy="1380725"/>
        </a:xfrm>
        <a:prstGeom prst="wedgeRoundRectCallout">
          <a:avLst>
            <a:gd name="adj1" fmla="val 19170"/>
            <a:gd name="adj2" fmla="val 96207"/>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Data highlighting:</a:t>
          </a:r>
        </a:p>
        <a:p>
          <a:pPr algn="l" rtl="0">
            <a:defRPr sz="1000"/>
          </a:pPr>
          <a:endParaRPr lang="en-AU" sz="800" b="0"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Data without an expected related value is shown in red bold italics font. (In this case, the related Factor is missing.)</a:t>
          </a:r>
        </a:p>
      </xdr:txBody>
    </xdr:sp>
    <xdr:clientData/>
  </xdr:twoCellAnchor>
  <xdr:twoCellAnchor>
    <xdr:from>
      <xdr:col>3</xdr:col>
      <xdr:colOff>8635252</xdr:colOff>
      <xdr:row>98</xdr:row>
      <xdr:rowOff>71398</xdr:rowOff>
    </xdr:from>
    <xdr:to>
      <xdr:col>3</xdr:col>
      <xdr:colOff>10695214</xdr:colOff>
      <xdr:row>104</xdr:row>
      <xdr:rowOff>136071</xdr:rowOff>
    </xdr:to>
    <xdr:sp macro="" textlink="">
      <xdr:nvSpPr>
        <xdr:cNvPr id="30" name="AutoShape 3641">
          <a:extLst>
            <a:ext uri="{FF2B5EF4-FFF2-40B4-BE49-F238E27FC236}">
              <a16:creationId xmlns:a16="http://schemas.microsoft.com/office/drawing/2014/main" id="{00000000-0008-0000-1B00-00001E000000}"/>
            </a:ext>
          </a:extLst>
        </xdr:cNvPr>
        <xdr:cNvSpPr>
          <a:spLocks noChangeArrowheads="1"/>
        </xdr:cNvSpPr>
      </xdr:nvSpPr>
      <xdr:spPr bwMode="auto">
        <a:xfrm>
          <a:off x="9370038" y="31980148"/>
          <a:ext cx="2059962" cy="1452602"/>
        </a:xfrm>
        <a:prstGeom prst="wedgeRoundRectCallout">
          <a:avLst>
            <a:gd name="adj1" fmla="val -67689"/>
            <a:gd name="adj2" fmla="val 23400"/>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Advisory Notes:</a:t>
          </a:r>
        </a:p>
        <a:p>
          <a:pPr algn="l" rtl="0">
            <a:defRPr sz="1000"/>
          </a:pPr>
          <a:endParaRPr lang="en-AU" sz="800" b="0"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Advisory notes may appear above the table in response to some lighting systems inputs.</a:t>
          </a:r>
        </a:p>
      </xdr:txBody>
    </xdr:sp>
    <xdr:clientData/>
  </xdr:twoCellAnchor>
  <xdr:twoCellAnchor>
    <xdr:from>
      <xdr:col>3</xdr:col>
      <xdr:colOff>8467163</xdr:colOff>
      <xdr:row>105</xdr:row>
      <xdr:rowOff>173853</xdr:rowOff>
    </xdr:from>
    <xdr:to>
      <xdr:col>3</xdr:col>
      <xdr:colOff>10790464</xdr:colOff>
      <xdr:row>111</xdr:row>
      <xdr:rowOff>108857</xdr:rowOff>
    </xdr:to>
    <xdr:sp macro="" textlink="">
      <xdr:nvSpPr>
        <xdr:cNvPr id="31" name="AutoShape 3641">
          <a:extLst>
            <a:ext uri="{FF2B5EF4-FFF2-40B4-BE49-F238E27FC236}">
              <a16:creationId xmlns:a16="http://schemas.microsoft.com/office/drawing/2014/main" id="{00000000-0008-0000-1B00-00001F000000}"/>
            </a:ext>
          </a:extLst>
        </xdr:cNvPr>
        <xdr:cNvSpPr>
          <a:spLocks noChangeArrowheads="1"/>
        </xdr:cNvSpPr>
      </xdr:nvSpPr>
      <xdr:spPr bwMode="auto">
        <a:xfrm>
          <a:off x="9201949" y="33701853"/>
          <a:ext cx="2323301" cy="1322933"/>
        </a:xfrm>
        <a:prstGeom prst="wedgeRoundRectCallout">
          <a:avLst>
            <a:gd name="adj1" fmla="val -66240"/>
            <a:gd name="adj2" fmla="val 2567"/>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Input Alerts:</a:t>
          </a:r>
        </a:p>
        <a:p>
          <a:pPr algn="l" rtl="0">
            <a:defRPr sz="1000"/>
          </a:pPr>
          <a:endParaRPr lang="en-AU" sz="800" b="0"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Input alerts about missing data may appear in the Outcomes area of the lighting systems table.</a:t>
          </a:r>
        </a:p>
      </xdr:txBody>
    </xdr:sp>
    <xdr:clientData/>
  </xdr:twoCellAnchor>
  <xdr:twoCellAnchor editAs="oneCell">
    <xdr:from>
      <xdr:col>1</xdr:col>
      <xdr:colOff>414617</xdr:colOff>
      <xdr:row>129</xdr:row>
      <xdr:rowOff>27215</xdr:rowOff>
    </xdr:from>
    <xdr:to>
      <xdr:col>3</xdr:col>
      <xdr:colOff>10838271</xdr:colOff>
      <xdr:row>152</xdr:row>
      <xdr:rowOff>96853</xdr:rowOff>
    </xdr:to>
    <xdr:pic>
      <xdr:nvPicPr>
        <xdr:cNvPr id="32" name="Picture 31">
          <a:extLst>
            <a:ext uri="{FF2B5EF4-FFF2-40B4-BE49-F238E27FC236}">
              <a16:creationId xmlns:a16="http://schemas.microsoft.com/office/drawing/2014/main" id="{00000000-0008-0000-1B00-000020000000}"/>
            </a:ext>
          </a:extLst>
        </xdr:cNvPr>
        <xdr:cNvPicPr>
          <a:picLocks noChangeAspect="1"/>
        </xdr:cNvPicPr>
      </xdr:nvPicPr>
      <xdr:blipFill rotWithShape="1">
        <a:blip xmlns:r="http://schemas.openxmlformats.org/officeDocument/2006/relationships" r:embed="rId7"/>
        <a:srcRect l="407" t="-199" r="2176" b="4679"/>
        <a:stretch/>
      </xdr:blipFill>
      <xdr:spPr>
        <a:xfrm>
          <a:off x="537882" y="36760097"/>
          <a:ext cx="11017565" cy="5224343"/>
        </a:xfrm>
        <a:prstGeom prst="rect">
          <a:avLst/>
        </a:prstGeom>
      </xdr:spPr>
    </xdr:pic>
    <xdr:clientData/>
  </xdr:twoCellAnchor>
  <xdr:twoCellAnchor>
    <xdr:from>
      <xdr:col>3</xdr:col>
      <xdr:colOff>530679</xdr:colOff>
      <xdr:row>146</xdr:row>
      <xdr:rowOff>81643</xdr:rowOff>
    </xdr:from>
    <xdr:to>
      <xdr:col>3</xdr:col>
      <xdr:colOff>3544943</xdr:colOff>
      <xdr:row>152</xdr:row>
      <xdr:rowOff>97774</xdr:rowOff>
    </xdr:to>
    <xdr:sp macro="" textlink="">
      <xdr:nvSpPr>
        <xdr:cNvPr id="33" name="AutoShape 3641">
          <a:extLst>
            <a:ext uri="{FF2B5EF4-FFF2-40B4-BE49-F238E27FC236}">
              <a16:creationId xmlns:a16="http://schemas.microsoft.com/office/drawing/2014/main" id="{00000000-0008-0000-1B00-000021000000}"/>
            </a:ext>
          </a:extLst>
        </xdr:cNvPr>
        <xdr:cNvSpPr>
          <a:spLocks noChangeArrowheads="1"/>
        </xdr:cNvSpPr>
      </xdr:nvSpPr>
      <xdr:spPr bwMode="auto">
        <a:xfrm>
          <a:off x="1265465" y="43542857"/>
          <a:ext cx="3014264" cy="1404060"/>
        </a:xfrm>
        <a:prstGeom prst="wedgeRoundRectCallout">
          <a:avLst>
            <a:gd name="adj1" fmla="val 71498"/>
            <a:gd name="adj2" fmla="val -14431"/>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Locations for reporting:</a:t>
          </a:r>
        </a:p>
        <a:p>
          <a:pPr algn="l" rtl="0">
            <a:defRPr sz="1000"/>
          </a:pPr>
          <a:endParaRPr lang="en-AU" sz="800" b="0"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Systems in the three different Locations input in this example are separately assessed and reported in the Outcomes columns.</a:t>
          </a:r>
        </a:p>
      </xdr:txBody>
    </xdr:sp>
    <xdr:clientData/>
  </xdr:twoCellAnchor>
  <xdr:twoCellAnchor>
    <xdr:from>
      <xdr:col>3</xdr:col>
      <xdr:colOff>4531178</xdr:colOff>
      <xdr:row>146</xdr:row>
      <xdr:rowOff>217714</xdr:rowOff>
    </xdr:from>
    <xdr:to>
      <xdr:col>3</xdr:col>
      <xdr:colOff>7198178</xdr:colOff>
      <xdr:row>152</xdr:row>
      <xdr:rowOff>163286</xdr:rowOff>
    </xdr:to>
    <xdr:sp macro="" textlink="">
      <xdr:nvSpPr>
        <xdr:cNvPr id="34" name="AutoShape 3641">
          <a:extLst>
            <a:ext uri="{FF2B5EF4-FFF2-40B4-BE49-F238E27FC236}">
              <a16:creationId xmlns:a16="http://schemas.microsoft.com/office/drawing/2014/main" id="{00000000-0008-0000-1B00-000022000000}"/>
            </a:ext>
          </a:extLst>
        </xdr:cNvPr>
        <xdr:cNvSpPr>
          <a:spLocks noChangeArrowheads="1"/>
        </xdr:cNvSpPr>
      </xdr:nvSpPr>
      <xdr:spPr bwMode="auto">
        <a:xfrm>
          <a:off x="5265964" y="43678928"/>
          <a:ext cx="2667000" cy="1333501"/>
        </a:xfrm>
        <a:prstGeom prst="wedgeRoundRectCallout">
          <a:avLst>
            <a:gd name="adj1" fmla="val 65122"/>
            <a:gd name="adj2" fmla="val 28796"/>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Tick / Cross box:</a:t>
          </a:r>
        </a:p>
        <a:p>
          <a:pPr algn="l" rtl="0">
            <a:defRPr sz="1000"/>
          </a:pPr>
          <a:endParaRPr lang="en-AU" sz="800" b="0"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A Pass for the overall design is indicated by a tick (on green fill) in this box. A Failure is shown by a cross (on red fill). </a:t>
          </a:r>
        </a:p>
      </xdr:txBody>
    </xdr:sp>
    <xdr:clientData/>
  </xdr:twoCellAnchor>
  <xdr:twoCellAnchor>
    <xdr:from>
      <xdr:col>3</xdr:col>
      <xdr:colOff>8737385</xdr:colOff>
      <xdr:row>148</xdr:row>
      <xdr:rowOff>96852</xdr:rowOff>
    </xdr:from>
    <xdr:to>
      <xdr:col>3</xdr:col>
      <xdr:colOff>10572748</xdr:colOff>
      <xdr:row>153</xdr:row>
      <xdr:rowOff>81643</xdr:rowOff>
    </xdr:to>
    <xdr:sp macro="" textlink="">
      <xdr:nvSpPr>
        <xdr:cNvPr id="35" name="AutoShape 3641">
          <a:extLst>
            <a:ext uri="{FF2B5EF4-FFF2-40B4-BE49-F238E27FC236}">
              <a16:creationId xmlns:a16="http://schemas.microsoft.com/office/drawing/2014/main" id="{00000000-0008-0000-1B00-000023000000}"/>
            </a:ext>
          </a:extLst>
        </xdr:cNvPr>
        <xdr:cNvSpPr>
          <a:spLocks noChangeArrowheads="1"/>
        </xdr:cNvSpPr>
      </xdr:nvSpPr>
      <xdr:spPr bwMode="auto">
        <a:xfrm>
          <a:off x="9472171" y="44020709"/>
          <a:ext cx="1835363" cy="1141398"/>
        </a:xfrm>
        <a:prstGeom prst="wedgeRoundRectCallout">
          <a:avLst>
            <a:gd name="adj1" fmla="val -112202"/>
            <a:gd name="adj2" fmla="val -90791"/>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Critical Location:</a:t>
          </a:r>
        </a:p>
        <a:p>
          <a:pPr algn="l" rtl="0">
            <a:defRPr sz="1000"/>
          </a:pPr>
          <a:endParaRPr lang="en-AU" sz="800" b="0"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The Failure for this Location causes the overall design to Fail.</a:t>
          </a:r>
        </a:p>
      </xdr:txBody>
    </xdr:sp>
    <xdr:clientData/>
  </xdr:twoCellAnchor>
  <xdr:twoCellAnchor>
    <xdr:from>
      <xdr:col>3</xdr:col>
      <xdr:colOff>8232321</xdr:colOff>
      <xdr:row>140</xdr:row>
      <xdr:rowOff>138474</xdr:rowOff>
    </xdr:from>
    <xdr:to>
      <xdr:col>3</xdr:col>
      <xdr:colOff>11171464</xdr:colOff>
      <xdr:row>147</xdr:row>
      <xdr:rowOff>176894</xdr:rowOff>
    </xdr:to>
    <xdr:sp macro="" textlink="">
      <xdr:nvSpPr>
        <xdr:cNvPr id="36" name="AutoShape 3641">
          <a:extLst>
            <a:ext uri="{FF2B5EF4-FFF2-40B4-BE49-F238E27FC236}">
              <a16:creationId xmlns:a16="http://schemas.microsoft.com/office/drawing/2014/main" id="{00000000-0008-0000-1B00-000024000000}"/>
            </a:ext>
          </a:extLst>
        </xdr:cNvPr>
        <xdr:cNvSpPr>
          <a:spLocks noChangeArrowheads="1"/>
        </xdr:cNvSpPr>
      </xdr:nvSpPr>
      <xdr:spPr bwMode="auto">
        <a:xfrm>
          <a:off x="8967107" y="42211760"/>
          <a:ext cx="2939143" cy="1657670"/>
        </a:xfrm>
        <a:prstGeom prst="wedgeRoundRectCallout">
          <a:avLst>
            <a:gd name="adj1" fmla="val -75712"/>
            <a:gd name="adj2" fmla="val -4902"/>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System Shares and Location Outcomes:</a:t>
          </a:r>
        </a:p>
        <a:p>
          <a:pPr algn="l" rtl="0">
            <a:defRPr sz="1000"/>
          </a:pPr>
          <a:endParaRPr lang="en-AU" sz="800" b="0"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The Help screen explains how to interpret these % values. Green fill indicates an aggregate Pass for the Systems in each Location.</a:t>
          </a:r>
        </a:p>
      </xdr:txBody>
    </xdr:sp>
    <xdr:clientData/>
  </xdr:twoCellAnchor>
  <xdr:twoCellAnchor>
    <xdr:from>
      <xdr:col>3</xdr:col>
      <xdr:colOff>9175218</xdr:colOff>
      <xdr:row>130</xdr:row>
      <xdr:rowOff>182497</xdr:rowOff>
    </xdr:from>
    <xdr:to>
      <xdr:col>3</xdr:col>
      <xdr:colOff>11198678</xdr:colOff>
      <xdr:row>139</xdr:row>
      <xdr:rowOff>163286</xdr:rowOff>
    </xdr:to>
    <xdr:sp macro="" textlink="">
      <xdr:nvSpPr>
        <xdr:cNvPr id="51" name="AutoShape 3641">
          <a:extLst>
            <a:ext uri="{FF2B5EF4-FFF2-40B4-BE49-F238E27FC236}">
              <a16:creationId xmlns:a16="http://schemas.microsoft.com/office/drawing/2014/main" id="{00000000-0008-0000-1B00-000033000000}"/>
            </a:ext>
          </a:extLst>
        </xdr:cNvPr>
        <xdr:cNvSpPr>
          <a:spLocks noChangeArrowheads="1"/>
        </xdr:cNvSpPr>
      </xdr:nvSpPr>
      <xdr:spPr bwMode="auto">
        <a:xfrm>
          <a:off x="9910004" y="39942568"/>
          <a:ext cx="2023460" cy="2062682"/>
        </a:xfrm>
        <a:prstGeom prst="wedgeRoundRectCallout">
          <a:avLst>
            <a:gd name="adj1" fmla="val -119914"/>
            <a:gd name="adj2" fmla="val 76132"/>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Space Outcomes:</a:t>
          </a:r>
        </a:p>
        <a:p>
          <a:pPr algn="l" rtl="0">
            <a:defRPr sz="1000"/>
          </a:pPr>
          <a:endParaRPr lang="en-AU" sz="800" b="0"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Red font on white fill shows that a system exceeds the allowance for its Space when the aggregate for the Location still Passes.</a:t>
          </a:r>
        </a:p>
      </xdr:txBody>
    </xdr:sp>
    <xdr:clientData/>
  </xdr:twoCellAnchor>
  <xdr:twoCellAnchor>
    <xdr:from>
      <xdr:col>3</xdr:col>
      <xdr:colOff>3680333</xdr:colOff>
      <xdr:row>128</xdr:row>
      <xdr:rowOff>27214</xdr:rowOff>
    </xdr:from>
    <xdr:to>
      <xdr:col>3</xdr:col>
      <xdr:colOff>6830785</xdr:colOff>
      <xdr:row>133</xdr:row>
      <xdr:rowOff>231320</xdr:rowOff>
    </xdr:to>
    <xdr:sp macro="" textlink="">
      <xdr:nvSpPr>
        <xdr:cNvPr id="38" name="AutoShape 3641">
          <a:extLst>
            <a:ext uri="{FF2B5EF4-FFF2-40B4-BE49-F238E27FC236}">
              <a16:creationId xmlns:a16="http://schemas.microsoft.com/office/drawing/2014/main" id="{00000000-0008-0000-1B00-000026000000}"/>
            </a:ext>
          </a:extLst>
        </xdr:cNvPr>
        <xdr:cNvSpPr>
          <a:spLocks noChangeArrowheads="1"/>
        </xdr:cNvSpPr>
      </xdr:nvSpPr>
      <xdr:spPr bwMode="auto">
        <a:xfrm>
          <a:off x="4415119" y="39324643"/>
          <a:ext cx="3150452" cy="1360713"/>
        </a:xfrm>
        <a:prstGeom prst="wedgeRoundRectCallout">
          <a:avLst>
            <a:gd name="adj1" fmla="val 59024"/>
            <a:gd name="adj2" fmla="val 53543"/>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Advisory Note:</a:t>
          </a:r>
        </a:p>
        <a:p>
          <a:pPr algn="l" rtl="0">
            <a:defRPr sz="1000"/>
          </a:pPr>
          <a:endParaRPr lang="en-AU" sz="800" b="0"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Note explains that separate aggregate allowances are calculated when there are inputs for lighting systems in different Locations.</a:t>
          </a:r>
        </a:p>
      </xdr:txBody>
    </xdr:sp>
    <xdr:clientData/>
  </xdr:twoCellAnchor>
  <xdr:twoCellAnchor>
    <xdr:from>
      <xdr:col>3</xdr:col>
      <xdr:colOff>2041072</xdr:colOff>
      <xdr:row>134</xdr:row>
      <xdr:rowOff>149678</xdr:rowOff>
    </xdr:from>
    <xdr:to>
      <xdr:col>3</xdr:col>
      <xdr:colOff>5099312</xdr:colOff>
      <xdr:row>139</xdr:row>
      <xdr:rowOff>108856</xdr:rowOff>
    </xdr:to>
    <xdr:sp macro="" textlink="">
      <xdr:nvSpPr>
        <xdr:cNvPr id="50" name="AutoShape 3641">
          <a:extLst>
            <a:ext uri="{FF2B5EF4-FFF2-40B4-BE49-F238E27FC236}">
              <a16:creationId xmlns:a16="http://schemas.microsoft.com/office/drawing/2014/main" id="{00000000-0008-0000-1B00-000032000000}"/>
            </a:ext>
          </a:extLst>
        </xdr:cNvPr>
        <xdr:cNvSpPr>
          <a:spLocks noChangeArrowheads="1"/>
        </xdr:cNvSpPr>
      </xdr:nvSpPr>
      <xdr:spPr bwMode="auto">
        <a:xfrm>
          <a:off x="2775858" y="40835035"/>
          <a:ext cx="3058240" cy="1115785"/>
        </a:xfrm>
        <a:prstGeom prst="wedgeRoundRectCallout">
          <a:avLst>
            <a:gd name="adj1" fmla="val 116499"/>
            <a:gd name="adj2" fmla="val 14375"/>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Outcomes heading:</a:t>
          </a:r>
        </a:p>
        <a:p>
          <a:pPr algn="l" rtl="0">
            <a:defRPr sz="1000"/>
          </a:pPr>
          <a:endParaRPr lang="en-AU" sz="800" b="0"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Outcomes area heading text and fill colour changes to indicate whether the overall design Passes or Fails.</a:t>
          </a:r>
        </a:p>
      </xdr:txBody>
    </xdr:sp>
    <xdr:clientData/>
  </xdr:twoCellAnchor>
  <xdr:twoCellAnchor>
    <xdr:from>
      <xdr:col>3</xdr:col>
      <xdr:colOff>4231823</xdr:colOff>
      <xdr:row>140</xdr:row>
      <xdr:rowOff>40822</xdr:rowOff>
    </xdr:from>
    <xdr:to>
      <xdr:col>3</xdr:col>
      <xdr:colOff>6839261</xdr:colOff>
      <xdr:row>145</xdr:row>
      <xdr:rowOff>211919</xdr:rowOff>
    </xdr:to>
    <xdr:sp macro="" textlink="">
      <xdr:nvSpPr>
        <xdr:cNvPr id="40" name="AutoShape 3641">
          <a:extLst>
            <a:ext uri="{FF2B5EF4-FFF2-40B4-BE49-F238E27FC236}">
              <a16:creationId xmlns:a16="http://schemas.microsoft.com/office/drawing/2014/main" id="{00000000-0008-0000-1B00-000028000000}"/>
            </a:ext>
          </a:extLst>
        </xdr:cNvPr>
        <xdr:cNvSpPr>
          <a:spLocks noChangeArrowheads="1"/>
        </xdr:cNvSpPr>
      </xdr:nvSpPr>
      <xdr:spPr bwMode="auto">
        <a:xfrm>
          <a:off x="4966609" y="42114108"/>
          <a:ext cx="2607438" cy="1327704"/>
        </a:xfrm>
        <a:prstGeom prst="wedgeRoundRectCallout">
          <a:avLst>
            <a:gd name="adj1" fmla="val 67015"/>
            <a:gd name="adj2" fmla="val -34292"/>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Allowance column:</a:t>
          </a:r>
        </a:p>
        <a:p>
          <a:pPr algn="l" rtl="0">
            <a:defRPr sz="1000"/>
          </a:pPr>
          <a:endParaRPr lang="en-AU" sz="800" b="0"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Text and fill colour in this column matches the formatting of the "System Share" column on the right of the table.</a:t>
          </a:r>
        </a:p>
      </xdr:txBody>
    </xdr:sp>
    <xdr:clientData/>
  </xdr:twoCellAnchor>
  <xdr:twoCellAnchor>
    <xdr:from>
      <xdr:col>3</xdr:col>
      <xdr:colOff>3289937</xdr:colOff>
      <xdr:row>140</xdr:row>
      <xdr:rowOff>91215</xdr:rowOff>
    </xdr:from>
    <xdr:to>
      <xdr:col>3</xdr:col>
      <xdr:colOff>4106771</xdr:colOff>
      <xdr:row>144</xdr:row>
      <xdr:rowOff>140840</xdr:rowOff>
    </xdr:to>
    <xdr:sp macro="" textlink="">
      <xdr:nvSpPr>
        <xdr:cNvPr id="41" name="Rounded Rectangle 121">
          <a:extLst>
            <a:ext uri="{FF2B5EF4-FFF2-40B4-BE49-F238E27FC236}">
              <a16:creationId xmlns:a16="http://schemas.microsoft.com/office/drawing/2014/main" id="{00000000-0008-0000-1B00-000029000000}"/>
            </a:ext>
          </a:extLst>
        </xdr:cNvPr>
        <xdr:cNvSpPr/>
      </xdr:nvSpPr>
      <xdr:spPr bwMode="auto">
        <a:xfrm>
          <a:off x="4024723" y="40041786"/>
          <a:ext cx="816834" cy="974911"/>
        </a:xfrm>
        <a:prstGeom prst="roundRect">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AU" sz="1100"/>
        </a:p>
      </xdr:txBody>
    </xdr:sp>
    <xdr:clientData/>
  </xdr:twoCellAnchor>
  <xdr:twoCellAnchor>
    <xdr:from>
      <xdr:col>3</xdr:col>
      <xdr:colOff>3306502</xdr:colOff>
      <xdr:row>144</xdr:row>
      <xdr:rowOff>123787</xdr:rowOff>
    </xdr:from>
    <xdr:to>
      <xdr:col>3</xdr:col>
      <xdr:colOff>4176826</xdr:colOff>
      <xdr:row>145</xdr:row>
      <xdr:rowOff>150201</xdr:rowOff>
    </xdr:to>
    <xdr:sp macro="" textlink="">
      <xdr:nvSpPr>
        <xdr:cNvPr id="42" name="Rounded Rectangle 122">
          <a:extLst>
            <a:ext uri="{FF2B5EF4-FFF2-40B4-BE49-F238E27FC236}">
              <a16:creationId xmlns:a16="http://schemas.microsoft.com/office/drawing/2014/main" id="{00000000-0008-0000-1B00-00002A000000}"/>
            </a:ext>
          </a:extLst>
        </xdr:cNvPr>
        <xdr:cNvSpPr/>
      </xdr:nvSpPr>
      <xdr:spPr bwMode="auto">
        <a:xfrm>
          <a:off x="4041288" y="40999644"/>
          <a:ext cx="870324" cy="257736"/>
        </a:xfrm>
        <a:prstGeom prst="roundRect">
          <a:avLst>
            <a:gd name="adj" fmla="val 42667"/>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AU" sz="1100"/>
        </a:p>
      </xdr:txBody>
    </xdr:sp>
    <xdr:clientData/>
  </xdr:twoCellAnchor>
  <xdr:twoCellAnchor>
    <xdr:from>
      <xdr:col>3</xdr:col>
      <xdr:colOff>3287014</xdr:colOff>
      <xdr:row>145</xdr:row>
      <xdr:rowOff>147765</xdr:rowOff>
    </xdr:from>
    <xdr:to>
      <xdr:col>3</xdr:col>
      <xdr:colOff>4312227</xdr:colOff>
      <xdr:row>146</xdr:row>
      <xdr:rowOff>155874</xdr:rowOff>
    </xdr:to>
    <xdr:sp macro="" textlink="">
      <xdr:nvSpPr>
        <xdr:cNvPr id="43" name="Rounded Rectangle 123">
          <a:extLst>
            <a:ext uri="{FF2B5EF4-FFF2-40B4-BE49-F238E27FC236}">
              <a16:creationId xmlns:a16="http://schemas.microsoft.com/office/drawing/2014/main" id="{00000000-0008-0000-1B00-00002B000000}"/>
            </a:ext>
          </a:extLst>
        </xdr:cNvPr>
        <xdr:cNvSpPr/>
      </xdr:nvSpPr>
      <xdr:spPr bwMode="auto">
        <a:xfrm>
          <a:off x="4021800" y="41254944"/>
          <a:ext cx="1025213" cy="239430"/>
        </a:xfrm>
        <a:prstGeom prst="roundRect">
          <a:avLst>
            <a:gd name="adj" fmla="val 42667"/>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AU"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12</xdr:col>
      <xdr:colOff>1428750</xdr:colOff>
      <xdr:row>54</xdr:row>
      <xdr:rowOff>40821</xdr:rowOff>
    </xdr:from>
    <xdr:to>
      <xdr:col>15</xdr:col>
      <xdr:colOff>1524000</xdr:colOff>
      <xdr:row>54</xdr:row>
      <xdr:rowOff>205045</xdr:rowOff>
    </xdr:to>
    <xdr:sp macro="" textlink="$AV$39">
      <xdr:nvSpPr>
        <xdr:cNvPr id="53" name="Text Box 225">
          <a:extLst>
            <a:ext uri="{FF2B5EF4-FFF2-40B4-BE49-F238E27FC236}">
              <a16:creationId xmlns:a16="http://schemas.microsoft.com/office/drawing/2014/main" id="{00000000-0008-0000-1C00-000035000000}"/>
            </a:ext>
          </a:extLst>
        </xdr:cNvPr>
        <xdr:cNvSpPr txBox="1">
          <a:spLocks noChangeArrowheads="1" noTextEdit="1"/>
        </xdr:cNvSpPr>
      </xdr:nvSpPr>
      <xdr:spPr bwMode="auto">
        <a:xfrm>
          <a:off x="13389429" y="11321142"/>
          <a:ext cx="3578678"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17</xdr:col>
      <xdr:colOff>0</xdr:colOff>
      <xdr:row>14</xdr:row>
      <xdr:rowOff>6926</xdr:rowOff>
    </xdr:from>
    <xdr:to>
      <xdr:col>81</xdr:col>
      <xdr:colOff>1887681</xdr:colOff>
      <xdr:row>20</xdr:row>
      <xdr:rowOff>44691</xdr:rowOff>
    </xdr:to>
    <xdr:sp macro="" textlink="">
      <xdr:nvSpPr>
        <xdr:cNvPr id="2" name="Text Box 12">
          <a:extLst>
            <a:ext uri="{FF2B5EF4-FFF2-40B4-BE49-F238E27FC236}">
              <a16:creationId xmlns:a16="http://schemas.microsoft.com/office/drawing/2014/main" id="{00000000-0008-0000-1C00-000002000000}"/>
            </a:ext>
          </a:extLst>
        </xdr:cNvPr>
        <xdr:cNvSpPr txBox="1">
          <a:spLocks noChangeArrowheads="1"/>
        </xdr:cNvSpPr>
      </xdr:nvSpPr>
      <xdr:spPr bwMode="auto">
        <a:xfrm>
          <a:off x="17945100" y="3295650"/>
          <a:ext cx="9260031" cy="387591"/>
        </a:xfrm>
        <a:prstGeom prst="rect">
          <a:avLst/>
        </a:prstGeom>
        <a:solidFill>
          <a:schemeClr val="accent1"/>
        </a:solidFill>
        <a:ln w="9525">
          <a:solidFill>
            <a:srgbClr val="000000"/>
          </a:solidFill>
          <a:miter lim="800000"/>
          <a:headEnd/>
          <a:tailEnd/>
        </a:ln>
      </xdr:spPr>
      <xdr:txBody>
        <a:bodyPr vertOverflow="clip" wrap="square" lIns="45720" tIns="36576" rIns="45720" bIns="0" anchor="t" upright="1"/>
        <a:lstStyle/>
        <a:p>
          <a:pPr algn="ctr" rtl="0">
            <a:defRPr sz="1000"/>
          </a:pPr>
          <a:r>
            <a:rPr lang="en-AU" sz="2000" b="0" i="1" u="none" strike="noStrike" baseline="0">
              <a:solidFill>
                <a:srgbClr val="FFFFFF"/>
              </a:solidFill>
              <a:latin typeface="Arial"/>
              <a:cs typeface="Arial"/>
            </a:rPr>
            <a:t>Additional Information</a:t>
          </a:r>
        </a:p>
      </xdr:txBody>
    </xdr:sp>
    <xdr:clientData/>
  </xdr:twoCellAnchor>
  <xdr:twoCellAnchor>
    <xdr:from>
      <xdr:col>13</xdr:col>
      <xdr:colOff>0</xdr:colOff>
      <xdr:row>31</xdr:row>
      <xdr:rowOff>486103</xdr:rowOff>
    </xdr:from>
    <xdr:to>
      <xdr:col>16</xdr:col>
      <xdr:colOff>0</xdr:colOff>
      <xdr:row>32</xdr:row>
      <xdr:rowOff>650326</xdr:rowOff>
    </xdr:to>
    <xdr:sp macro="" textlink="$AV$33">
      <xdr:nvSpPr>
        <xdr:cNvPr id="3" name="Text Box 218">
          <a:extLst>
            <a:ext uri="{FF2B5EF4-FFF2-40B4-BE49-F238E27FC236}">
              <a16:creationId xmlns:a16="http://schemas.microsoft.com/office/drawing/2014/main" id="{00000000-0008-0000-1C00-000003000000}"/>
            </a:ext>
          </a:extLst>
        </xdr:cNvPr>
        <xdr:cNvSpPr txBox="1">
          <a:spLocks noChangeArrowheads="1" noTextEdit="1"/>
        </xdr:cNvSpPr>
      </xdr:nvSpPr>
      <xdr:spPr bwMode="auto">
        <a:xfrm>
          <a:off x="13430250" y="6944053"/>
          <a:ext cx="3581400" cy="230898"/>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CC526459-17C9-41ED-8F93-AB38271A427A}"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33</xdr:row>
      <xdr:rowOff>0</xdr:rowOff>
    </xdr:from>
    <xdr:to>
      <xdr:col>16</xdr:col>
      <xdr:colOff>0</xdr:colOff>
      <xdr:row>33</xdr:row>
      <xdr:rowOff>321879</xdr:rowOff>
    </xdr:to>
    <xdr:sp macro="" textlink="$AV$34">
      <xdr:nvSpPr>
        <xdr:cNvPr id="4" name="Text Box 219">
          <a:extLst>
            <a:ext uri="{FF2B5EF4-FFF2-40B4-BE49-F238E27FC236}">
              <a16:creationId xmlns:a16="http://schemas.microsoft.com/office/drawing/2014/main" id="{00000000-0008-0000-1C00-000004000000}"/>
            </a:ext>
          </a:extLst>
        </xdr:cNvPr>
        <xdr:cNvSpPr txBox="1">
          <a:spLocks noChangeArrowheads="1" noTextEdit="1"/>
        </xdr:cNvSpPr>
      </xdr:nvSpPr>
      <xdr:spPr bwMode="auto">
        <a:xfrm>
          <a:off x="13430250" y="7172325"/>
          <a:ext cx="3581400" cy="226629"/>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2D5720F-8042-48A2-8982-C284E0F2B92E}"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33</xdr:row>
      <xdr:rowOff>321879</xdr:rowOff>
    </xdr:from>
    <xdr:to>
      <xdr:col>16</xdr:col>
      <xdr:colOff>0</xdr:colOff>
      <xdr:row>35</xdr:row>
      <xdr:rowOff>0</xdr:rowOff>
    </xdr:to>
    <xdr:sp macro="" textlink="$AV$35">
      <xdr:nvSpPr>
        <xdr:cNvPr id="5" name="Text Box 221">
          <a:extLst>
            <a:ext uri="{FF2B5EF4-FFF2-40B4-BE49-F238E27FC236}">
              <a16:creationId xmlns:a16="http://schemas.microsoft.com/office/drawing/2014/main" id="{00000000-0008-0000-1C00-000005000000}"/>
            </a:ext>
          </a:extLst>
        </xdr:cNvPr>
        <xdr:cNvSpPr txBox="1">
          <a:spLocks noChangeArrowheads="1" noTextEdit="1"/>
        </xdr:cNvSpPr>
      </xdr:nvSpPr>
      <xdr:spPr bwMode="auto">
        <a:xfrm>
          <a:off x="13430250" y="7398954"/>
          <a:ext cx="3581400" cy="45917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D7DF1BCC-D51C-4C94-AA18-C2F8D950A10A}"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35</xdr:row>
      <xdr:rowOff>0</xdr:rowOff>
    </xdr:from>
    <xdr:to>
      <xdr:col>16</xdr:col>
      <xdr:colOff>0</xdr:colOff>
      <xdr:row>36</xdr:row>
      <xdr:rowOff>0</xdr:rowOff>
    </xdr:to>
    <xdr:sp macro="" textlink="$AV$36">
      <xdr:nvSpPr>
        <xdr:cNvPr id="6" name="Text Box 222">
          <a:extLst>
            <a:ext uri="{FF2B5EF4-FFF2-40B4-BE49-F238E27FC236}">
              <a16:creationId xmlns:a16="http://schemas.microsoft.com/office/drawing/2014/main" id="{00000000-0008-0000-1C00-000006000000}"/>
            </a:ext>
          </a:extLst>
        </xdr:cNvPr>
        <xdr:cNvSpPr txBox="1">
          <a:spLocks noChangeArrowheads="1" noTextEdit="1"/>
        </xdr:cNvSpPr>
      </xdr:nvSpPr>
      <xdr:spPr bwMode="auto">
        <a:xfrm>
          <a:off x="13430250" y="78581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4586C7-2379-4A18-9943-F314D80B56DD}"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36</xdr:row>
      <xdr:rowOff>0</xdr:rowOff>
    </xdr:from>
    <xdr:to>
      <xdr:col>15</xdr:col>
      <xdr:colOff>952500</xdr:colOff>
      <xdr:row>37</xdr:row>
      <xdr:rowOff>0</xdr:rowOff>
    </xdr:to>
    <xdr:sp macro="" textlink="$AV$37">
      <xdr:nvSpPr>
        <xdr:cNvPr id="7" name="Text Box 223">
          <a:extLst>
            <a:ext uri="{FF2B5EF4-FFF2-40B4-BE49-F238E27FC236}">
              <a16:creationId xmlns:a16="http://schemas.microsoft.com/office/drawing/2014/main" id="{00000000-0008-0000-1C00-000007000000}"/>
            </a:ext>
          </a:extLst>
        </xdr:cNvPr>
        <xdr:cNvSpPr txBox="1">
          <a:spLocks noChangeArrowheads="1" noTextEdit="1"/>
        </xdr:cNvSpPr>
      </xdr:nvSpPr>
      <xdr:spPr bwMode="auto">
        <a:xfrm>
          <a:off x="13430250" y="8086725"/>
          <a:ext cx="3000375" cy="4572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A9F7047-6E97-4DE0-9D82-0000E24662BF}"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37</xdr:row>
      <xdr:rowOff>0</xdr:rowOff>
    </xdr:from>
    <xdr:to>
      <xdr:col>16</xdr:col>
      <xdr:colOff>0</xdr:colOff>
      <xdr:row>38</xdr:row>
      <xdr:rowOff>0</xdr:rowOff>
    </xdr:to>
    <xdr:sp macro="" textlink="$AV$38">
      <xdr:nvSpPr>
        <xdr:cNvPr id="8" name="Text Box 224">
          <a:extLst>
            <a:ext uri="{FF2B5EF4-FFF2-40B4-BE49-F238E27FC236}">
              <a16:creationId xmlns:a16="http://schemas.microsoft.com/office/drawing/2014/main" id="{00000000-0008-0000-1C00-000008000000}"/>
            </a:ext>
          </a:extLst>
        </xdr:cNvPr>
        <xdr:cNvSpPr txBox="1">
          <a:spLocks noChangeArrowheads="1" noTextEdit="1"/>
        </xdr:cNvSpPr>
      </xdr:nvSpPr>
      <xdr:spPr bwMode="auto">
        <a:xfrm>
          <a:off x="13430250" y="85439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70B25386-0CBA-40EB-B5B9-7A4433B1F6FD}"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38</xdr:row>
      <xdr:rowOff>0</xdr:rowOff>
    </xdr:from>
    <xdr:to>
      <xdr:col>16</xdr:col>
      <xdr:colOff>0</xdr:colOff>
      <xdr:row>38</xdr:row>
      <xdr:rowOff>312964</xdr:rowOff>
    </xdr:to>
    <xdr:sp macro="" textlink="$AV$39">
      <xdr:nvSpPr>
        <xdr:cNvPr id="9" name="Text Box 225">
          <a:extLst>
            <a:ext uri="{FF2B5EF4-FFF2-40B4-BE49-F238E27FC236}">
              <a16:creationId xmlns:a16="http://schemas.microsoft.com/office/drawing/2014/main" id="{00000000-0008-0000-1C00-000009000000}"/>
            </a:ext>
          </a:extLst>
        </xdr:cNvPr>
        <xdr:cNvSpPr txBox="1">
          <a:spLocks noChangeArrowheads="1" noTextEdit="1"/>
        </xdr:cNvSpPr>
      </xdr:nvSpPr>
      <xdr:spPr bwMode="auto">
        <a:xfrm>
          <a:off x="13430250" y="8772525"/>
          <a:ext cx="3581400" cy="227239"/>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38</xdr:row>
      <xdr:rowOff>464344</xdr:rowOff>
    </xdr:from>
    <xdr:to>
      <xdr:col>16</xdr:col>
      <xdr:colOff>0</xdr:colOff>
      <xdr:row>40</xdr:row>
      <xdr:rowOff>0</xdr:rowOff>
    </xdr:to>
    <xdr:sp macro="" textlink="$AV$40">
      <xdr:nvSpPr>
        <xdr:cNvPr id="10" name="Text Box 226">
          <a:extLst>
            <a:ext uri="{FF2B5EF4-FFF2-40B4-BE49-F238E27FC236}">
              <a16:creationId xmlns:a16="http://schemas.microsoft.com/office/drawing/2014/main" id="{00000000-0008-0000-1C00-00000A000000}"/>
            </a:ext>
          </a:extLst>
        </xdr:cNvPr>
        <xdr:cNvSpPr txBox="1">
          <a:spLocks noChangeArrowheads="1" noTextEdit="1"/>
        </xdr:cNvSpPr>
      </xdr:nvSpPr>
      <xdr:spPr bwMode="auto">
        <a:xfrm>
          <a:off x="13430250" y="89987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40</xdr:row>
      <xdr:rowOff>0</xdr:rowOff>
    </xdr:from>
    <xdr:to>
      <xdr:col>16</xdr:col>
      <xdr:colOff>0</xdr:colOff>
      <xdr:row>41</xdr:row>
      <xdr:rowOff>0</xdr:rowOff>
    </xdr:to>
    <xdr:sp macro="" textlink="$AV$41">
      <xdr:nvSpPr>
        <xdr:cNvPr id="11" name="Text Box 227">
          <a:extLst>
            <a:ext uri="{FF2B5EF4-FFF2-40B4-BE49-F238E27FC236}">
              <a16:creationId xmlns:a16="http://schemas.microsoft.com/office/drawing/2014/main" id="{00000000-0008-0000-1C00-00000B000000}"/>
            </a:ext>
          </a:extLst>
        </xdr:cNvPr>
        <xdr:cNvSpPr txBox="1">
          <a:spLocks noChangeArrowheads="1" noTextEdit="1"/>
        </xdr:cNvSpPr>
      </xdr:nvSpPr>
      <xdr:spPr bwMode="auto">
        <a:xfrm>
          <a:off x="13430250" y="92297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36486D7C-ABB4-48ED-BB0B-6478058B86B6}"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41</xdr:row>
      <xdr:rowOff>0</xdr:rowOff>
    </xdr:from>
    <xdr:to>
      <xdr:col>16</xdr:col>
      <xdr:colOff>0</xdr:colOff>
      <xdr:row>42</xdr:row>
      <xdr:rowOff>0</xdr:rowOff>
    </xdr:to>
    <xdr:sp macro="" textlink="$AV$42">
      <xdr:nvSpPr>
        <xdr:cNvPr id="12" name="Text Box 228">
          <a:extLst>
            <a:ext uri="{FF2B5EF4-FFF2-40B4-BE49-F238E27FC236}">
              <a16:creationId xmlns:a16="http://schemas.microsoft.com/office/drawing/2014/main" id="{00000000-0008-0000-1C00-00000C000000}"/>
            </a:ext>
          </a:extLst>
        </xdr:cNvPr>
        <xdr:cNvSpPr txBox="1">
          <a:spLocks noChangeArrowheads="1" noTextEdit="1"/>
        </xdr:cNvSpPr>
      </xdr:nvSpPr>
      <xdr:spPr bwMode="auto">
        <a:xfrm>
          <a:off x="13430250" y="94583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BCB4049B-359F-4F27-895D-059ACF10033B}"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42</xdr:row>
      <xdr:rowOff>0</xdr:rowOff>
    </xdr:from>
    <xdr:to>
      <xdr:col>16</xdr:col>
      <xdr:colOff>0</xdr:colOff>
      <xdr:row>43</xdr:row>
      <xdr:rowOff>0</xdr:rowOff>
    </xdr:to>
    <xdr:sp macro="" textlink="$AV$43">
      <xdr:nvSpPr>
        <xdr:cNvPr id="13" name="Text Box 229">
          <a:extLst>
            <a:ext uri="{FF2B5EF4-FFF2-40B4-BE49-F238E27FC236}">
              <a16:creationId xmlns:a16="http://schemas.microsoft.com/office/drawing/2014/main" id="{00000000-0008-0000-1C00-00000D000000}"/>
            </a:ext>
          </a:extLst>
        </xdr:cNvPr>
        <xdr:cNvSpPr txBox="1">
          <a:spLocks noChangeArrowheads="1" noTextEdit="1"/>
        </xdr:cNvSpPr>
      </xdr:nvSpPr>
      <xdr:spPr bwMode="auto">
        <a:xfrm>
          <a:off x="13430250" y="96869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B2420E13-2918-40DA-9286-ACD25EDACD4C}"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43</xdr:row>
      <xdr:rowOff>0</xdr:rowOff>
    </xdr:from>
    <xdr:to>
      <xdr:col>16</xdr:col>
      <xdr:colOff>0</xdr:colOff>
      <xdr:row>44</xdr:row>
      <xdr:rowOff>0</xdr:rowOff>
    </xdr:to>
    <xdr:sp macro="" textlink="$AV$44">
      <xdr:nvSpPr>
        <xdr:cNvPr id="14" name="Text Box 230">
          <a:extLst>
            <a:ext uri="{FF2B5EF4-FFF2-40B4-BE49-F238E27FC236}">
              <a16:creationId xmlns:a16="http://schemas.microsoft.com/office/drawing/2014/main" id="{00000000-0008-0000-1C00-00000E000000}"/>
            </a:ext>
          </a:extLst>
        </xdr:cNvPr>
        <xdr:cNvSpPr txBox="1">
          <a:spLocks noChangeArrowheads="1" noTextEdit="1"/>
        </xdr:cNvSpPr>
      </xdr:nvSpPr>
      <xdr:spPr bwMode="auto">
        <a:xfrm>
          <a:off x="13430250" y="99155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DB9E370B-E0B4-4144-8FB0-4FEE96B6B893}"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44</xdr:row>
      <xdr:rowOff>0</xdr:rowOff>
    </xdr:from>
    <xdr:to>
      <xdr:col>16</xdr:col>
      <xdr:colOff>0</xdr:colOff>
      <xdr:row>45</xdr:row>
      <xdr:rowOff>0</xdr:rowOff>
    </xdr:to>
    <xdr:sp macro="" textlink="$AV$45">
      <xdr:nvSpPr>
        <xdr:cNvPr id="15" name="Text Box 231">
          <a:extLst>
            <a:ext uri="{FF2B5EF4-FFF2-40B4-BE49-F238E27FC236}">
              <a16:creationId xmlns:a16="http://schemas.microsoft.com/office/drawing/2014/main" id="{00000000-0008-0000-1C00-00000F000000}"/>
            </a:ext>
          </a:extLst>
        </xdr:cNvPr>
        <xdr:cNvSpPr txBox="1">
          <a:spLocks noChangeArrowheads="1" noTextEdit="1"/>
        </xdr:cNvSpPr>
      </xdr:nvSpPr>
      <xdr:spPr bwMode="auto">
        <a:xfrm>
          <a:off x="13430250" y="101441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72314E8-9607-44ED-9156-9402EFE65AC1}"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45</xdr:row>
      <xdr:rowOff>0</xdr:rowOff>
    </xdr:from>
    <xdr:to>
      <xdr:col>16</xdr:col>
      <xdr:colOff>0</xdr:colOff>
      <xdr:row>45</xdr:row>
      <xdr:rowOff>164224</xdr:rowOff>
    </xdr:to>
    <xdr:sp macro="" textlink="$AV$46">
      <xdr:nvSpPr>
        <xdr:cNvPr id="16" name="Text Box 232">
          <a:extLst>
            <a:ext uri="{FF2B5EF4-FFF2-40B4-BE49-F238E27FC236}">
              <a16:creationId xmlns:a16="http://schemas.microsoft.com/office/drawing/2014/main" id="{00000000-0008-0000-1C00-000010000000}"/>
            </a:ext>
          </a:extLst>
        </xdr:cNvPr>
        <xdr:cNvSpPr txBox="1">
          <a:spLocks noChangeArrowheads="1" noTextEdit="1"/>
        </xdr:cNvSpPr>
      </xdr:nvSpPr>
      <xdr:spPr bwMode="auto">
        <a:xfrm>
          <a:off x="13430250" y="103727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4D56439C-EB55-4812-B6AC-C4A5950FBB74}"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45</xdr:row>
      <xdr:rowOff>164224</xdr:rowOff>
    </xdr:from>
    <xdr:to>
      <xdr:col>16</xdr:col>
      <xdr:colOff>0</xdr:colOff>
      <xdr:row>47</xdr:row>
      <xdr:rowOff>0</xdr:rowOff>
    </xdr:to>
    <xdr:sp macro="" textlink="$AV$47">
      <xdr:nvSpPr>
        <xdr:cNvPr id="17" name="Text Box 233">
          <a:extLst>
            <a:ext uri="{FF2B5EF4-FFF2-40B4-BE49-F238E27FC236}">
              <a16:creationId xmlns:a16="http://schemas.microsoft.com/office/drawing/2014/main" id="{00000000-0008-0000-1C00-000011000000}"/>
            </a:ext>
          </a:extLst>
        </xdr:cNvPr>
        <xdr:cNvSpPr txBox="1">
          <a:spLocks noChangeArrowheads="1" noTextEdit="1"/>
        </xdr:cNvSpPr>
      </xdr:nvSpPr>
      <xdr:spPr bwMode="auto">
        <a:xfrm>
          <a:off x="13430250" y="10536949"/>
          <a:ext cx="3581400" cy="292976"/>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1569DEF8-CE14-4E64-BB54-7289489016DA}"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47</xdr:row>
      <xdr:rowOff>0</xdr:rowOff>
    </xdr:from>
    <xdr:to>
      <xdr:col>16</xdr:col>
      <xdr:colOff>0</xdr:colOff>
      <xdr:row>48</xdr:row>
      <xdr:rowOff>0</xdr:rowOff>
    </xdr:to>
    <xdr:sp macro="" textlink="$AV$48">
      <xdr:nvSpPr>
        <xdr:cNvPr id="18" name="Text Box 234">
          <a:extLst>
            <a:ext uri="{FF2B5EF4-FFF2-40B4-BE49-F238E27FC236}">
              <a16:creationId xmlns:a16="http://schemas.microsoft.com/office/drawing/2014/main" id="{00000000-0008-0000-1C00-000012000000}"/>
            </a:ext>
          </a:extLst>
        </xdr:cNvPr>
        <xdr:cNvSpPr txBox="1">
          <a:spLocks noChangeArrowheads="1" noTextEdit="1"/>
        </xdr:cNvSpPr>
      </xdr:nvSpPr>
      <xdr:spPr bwMode="auto">
        <a:xfrm>
          <a:off x="13430250" y="108299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0DBE0BDA-5231-4875-B1A4-5F7612379CBC}"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48</xdr:row>
      <xdr:rowOff>0</xdr:rowOff>
    </xdr:from>
    <xdr:to>
      <xdr:col>16</xdr:col>
      <xdr:colOff>0</xdr:colOff>
      <xdr:row>49</xdr:row>
      <xdr:rowOff>0</xdr:rowOff>
    </xdr:to>
    <xdr:sp macro="" textlink="$AV$49">
      <xdr:nvSpPr>
        <xdr:cNvPr id="19" name="Text Box 235">
          <a:extLst>
            <a:ext uri="{FF2B5EF4-FFF2-40B4-BE49-F238E27FC236}">
              <a16:creationId xmlns:a16="http://schemas.microsoft.com/office/drawing/2014/main" id="{00000000-0008-0000-1C00-000013000000}"/>
            </a:ext>
          </a:extLst>
        </xdr:cNvPr>
        <xdr:cNvSpPr txBox="1">
          <a:spLocks noChangeArrowheads="1" noTextEdit="1"/>
        </xdr:cNvSpPr>
      </xdr:nvSpPr>
      <xdr:spPr bwMode="auto">
        <a:xfrm>
          <a:off x="13430250" y="110585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8362FCDF-D05B-4305-A8B3-E18B8487CEE5}"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49</xdr:row>
      <xdr:rowOff>0</xdr:rowOff>
    </xdr:from>
    <xdr:to>
      <xdr:col>16</xdr:col>
      <xdr:colOff>0</xdr:colOff>
      <xdr:row>50</xdr:row>
      <xdr:rowOff>0</xdr:rowOff>
    </xdr:to>
    <xdr:sp macro="" textlink="$AV$50">
      <xdr:nvSpPr>
        <xdr:cNvPr id="20" name="Text Box 236">
          <a:extLst>
            <a:ext uri="{FF2B5EF4-FFF2-40B4-BE49-F238E27FC236}">
              <a16:creationId xmlns:a16="http://schemas.microsoft.com/office/drawing/2014/main" id="{00000000-0008-0000-1C00-000014000000}"/>
            </a:ext>
          </a:extLst>
        </xdr:cNvPr>
        <xdr:cNvSpPr txBox="1">
          <a:spLocks noChangeArrowheads="1" noTextEdit="1"/>
        </xdr:cNvSpPr>
      </xdr:nvSpPr>
      <xdr:spPr bwMode="auto">
        <a:xfrm>
          <a:off x="13430250" y="112871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9ED98561-886F-4904-9E39-F4D28915CF9A}"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50</xdr:row>
      <xdr:rowOff>0</xdr:rowOff>
    </xdr:from>
    <xdr:to>
      <xdr:col>16</xdr:col>
      <xdr:colOff>0</xdr:colOff>
      <xdr:row>51</xdr:row>
      <xdr:rowOff>0</xdr:rowOff>
    </xdr:to>
    <xdr:sp macro="" textlink="$AV$51">
      <xdr:nvSpPr>
        <xdr:cNvPr id="21" name="Text Box 237">
          <a:extLst>
            <a:ext uri="{FF2B5EF4-FFF2-40B4-BE49-F238E27FC236}">
              <a16:creationId xmlns:a16="http://schemas.microsoft.com/office/drawing/2014/main" id="{00000000-0008-0000-1C00-000015000000}"/>
            </a:ext>
          </a:extLst>
        </xdr:cNvPr>
        <xdr:cNvSpPr txBox="1">
          <a:spLocks noChangeArrowheads="1" noTextEdit="1"/>
        </xdr:cNvSpPr>
      </xdr:nvSpPr>
      <xdr:spPr bwMode="auto">
        <a:xfrm>
          <a:off x="13430250" y="115157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DA69D29C-F918-44F1-AC1A-E27DDF31AA59}"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51</xdr:row>
      <xdr:rowOff>0</xdr:rowOff>
    </xdr:from>
    <xdr:to>
      <xdr:col>16</xdr:col>
      <xdr:colOff>0</xdr:colOff>
      <xdr:row>52</xdr:row>
      <xdr:rowOff>0</xdr:rowOff>
    </xdr:to>
    <xdr:sp macro="" textlink="$AV$52">
      <xdr:nvSpPr>
        <xdr:cNvPr id="22" name="Text Box 238">
          <a:extLst>
            <a:ext uri="{FF2B5EF4-FFF2-40B4-BE49-F238E27FC236}">
              <a16:creationId xmlns:a16="http://schemas.microsoft.com/office/drawing/2014/main" id="{00000000-0008-0000-1C00-000016000000}"/>
            </a:ext>
          </a:extLst>
        </xdr:cNvPr>
        <xdr:cNvSpPr txBox="1">
          <a:spLocks noChangeArrowheads="1" noTextEdit="1"/>
        </xdr:cNvSpPr>
      </xdr:nvSpPr>
      <xdr:spPr bwMode="auto">
        <a:xfrm>
          <a:off x="13430250" y="117443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CB0ACF13-1548-458A-B80F-D8549C04A941}"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52</xdr:row>
      <xdr:rowOff>1</xdr:rowOff>
    </xdr:from>
    <xdr:to>
      <xdr:col>16</xdr:col>
      <xdr:colOff>0</xdr:colOff>
      <xdr:row>52</xdr:row>
      <xdr:rowOff>164224</xdr:rowOff>
    </xdr:to>
    <xdr:sp macro="" textlink="$AV$53">
      <xdr:nvSpPr>
        <xdr:cNvPr id="23" name="Text Box 239">
          <a:extLst>
            <a:ext uri="{FF2B5EF4-FFF2-40B4-BE49-F238E27FC236}">
              <a16:creationId xmlns:a16="http://schemas.microsoft.com/office/drawing/2014/main" id="{00000000-0008-0000-1C00-000017000000}"/>
            </a:ext>
          </a:extLst>
        </xdr:cNvPr>
        <xdr:cNvSpPr txBox="1">
          <a:spLocks noChangeArrowheads="1" noTextEdit="1"/>
        </xdr:cNvSpPr>
      </xdr:nvSpPr>
      <xdr:spPr bwMode="auto">
        <a:xfrm>
          <a:off x="13430250" y="11972926"/>
          <a:ext cx="3581400" cy="164223"/>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2E5A9282-6DCD-41C9-873F-A5B09976E1DC}"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52</xdr:row>
      <xdr:rowOff>164223</xdr:rowOff>
    </xdr:from>
    <xdr:to>
      <xdr:col>16</xdr:col>
      <xdr:colOff>0</xdr:colOff>
      <xdr:row>53</xdr:row>
      <xdr:rowOff>164224</xdr:rowOff>
    </xdr:to>
    <xdr:sp macro="" textlink="$AV$54">
      <xdr:nvSpPr>
        <xdr:cNvPr id="24" name="Text Box 240">
          <a:extLst>
            <a:ext uri="{FF2B5EF4-FFF2-40B4-BE49-F238E27FC236}">
              <a16:creationId xmlns:a16="http://schemas.microsoft.com/office/drawing/2014/main" id="{00000000-0008-0000-1C00-000018000000}"/>
            </a:ext>
          </a:extLst>
        </xdr:cNvPr>
        <xdr:cNvSpPr txBox="1">
          <a:spLocks noChangeArrowheads="1" noTextEdit="1"/>
        </xdr:cNvSpPr>
      </xdr:nvSpPr>
      <xdr:spPr bwMode="auto">
        <a:xfrm>
          <a:off x="13430250" y="12137148"/>
          <a:ext cx="3581400" cy="22860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C2798FC6-0BDB-441E-8926-48DCB517A8C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54</xdr:row>
      <xdr:rowOff>0</xdr:rowOff>
    </xdr:from>
    <xdr:to>
      <xdr:col>16</xdr:col>
      <xdr:colOff>0</xdr:colOff>
      <xdr:row>55</xdr:row>
      <xdr:rowOff>0</xdr:rowOff>
    </xdr:to>
    <xdr:sp macro="" textlink="$AV$55">
      <xdr:nvSpPr>
        <xdr:cNvPr id="25" name="Text Box 241">
          <a:extLst>
            <a:ext uri="{FF2B5EF4-FFF2-40B4-BE49-F238E27FC236}">
              <a16:creationId xmlns:a16="http://schemas.microsoft.com/office/drawing/2014/main" id="{00000000-0008-0000-1C00-000019000000}"/>
            </a:ext>
          </a:extLst>
        </xdr:cNvPr>
        <xdr:cNvSpPr txBox="1">
          <a:spLocks noChangeArrowheads="1" noTextEdit="1"/>
        </xdr:cNvSpPr>
      </xdr:nvSpPr>
      <xdr:spPr bwMode="auto">
        <a:xfrm>
          <a:off x="13430250" y="124301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E3D94FD0-7D2B-41E6-A736-D4FBBA77EDD5}"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55</xdr:row>
      <xdr:rowOff>0</xdr:rowOff>
    </xdr:from>
    <xdr:to>
      <xdr:col>16</xdr:col>
      <xdr:colOff>0</xdr:colOff>
      <xdr:row>56</xdr:row>
      <xdr:rowOff>0</xdr:rowOff>
    </xdr:to>
    <xdr:sp macro="" textlink="$AV$56">
      <xdr:nvSpPr>
        <xdr:cNvPr id="26" name="Text Box 242">
          <a:extLst>
            <a:ext uri="{FF2B5EF4-FFF2-40B4-BE49-F238E27FC236}">
              <a16:creationId xmlns:a16="http://schemas.microsoft.com/office/drawing/2014/main" id="{00000000-0008-0000-1C00-00001A000000}"/>
            </a:ext>
          </a:extLst>
        </xdr:cNvPr>
        <xdr:cNvSpPr txBox="1">
          <a:spLocks noChangeArrowheads="1" noTextEdit="1"/>
        </xdr:cNvSpPr>
      </xdr:nvSpPr>
      <xdr:spPr bwMode="auto">
        <a:xfrm>
          <a:off x="13430250" y="126587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F2554653-8428-44AF-B680-381F8C827F2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56</xdr:row>
      <xdr:rowOff>0</xdr:rowOff>
    </xdr:from>
    <xdr:to>
      <xdr:col>16</xdr:col>
      <xdr:colOff>0</xdr:colOff>
      <xdr:row>57</xdr:row>
      <xdr:rowOff>0</xdr:rowOff>
    </xdr:to>
    <xdr:sp macro="" textlink="$AV$57">
      <xdr:nvSpPr>
        <xdr:cNvPr id="27" name="Text Box 243">
          <a:extLst>
            <a:ext uri="{FF2B5EF4-FFF2-40B4-BE49-F238E27FC236}">
              <a16:creationId xmlns:a16="http://schemas.microsoft.com/office/drawing/2014/main" id="{00000000-0008-0000-1C00-00001B000000}"/>
            </a:ext>
          </a:extLst>
        </xdr:cNvPr>
        <xdr:cNvSpPr txBox="1">
          <a:spLocks noChangeArrowheads="1" noTextEdit="1"/>
        </xdr:cNvSpPr>
      </xdr:nvSpPr>
      <xdr:spPr bwMode="auto">
        <a:xfrm>
          <a:off x="13430250" y="128873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074FA182-BFB8-4967-A2F0-9228891A0BAA}"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57</xdr:row>
      <xdr:rowOff>0</xdr:rowOff>
    </xdr:from>
    <xdr:to>
      <xdr:col>16</xdr:col>
      <xdr:colOff>0</xdr:colOff>
      <xdr:row>58</xdr:row>
      <xdr:rowOff>0</xdr:rowOff>
    </xdr:to>
    <xdr:sp macro="" textlink="$AV$58">
      <xdr:nvSpPr>
        <xdr:cNvPr id="28" name="Text Box 244">
          <a:extLst>
            <a:ext uri="{FF2B5EF4-FFF2-40B4-BE49-F238E27FC236}">
              <a16:creationId xmlns:a16="http://schemas.microsoft.com/office/drawing/2014/main" id="{00000000-0008-0000-1C00-00001C000000}"/>
            </a:ext>
          </a:extLst>
        </xdr:cNvPr>
        <xdr:cNvSpPr txBox="1">
          <a:spLocks noChangeArrowheads="1" noTextEdit="1"/>
        </xdr:cNvSpPr>
      </xdr:nvSpPr>
      <xdr:spPr bwMode="auto">
        <a:xfrm>
          <a:off x="13430250" y="131159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BF55D83-4F1B-44AD-9155-FF87B40C668A}"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58</xdr:row>
      <xdr:rowOff>0</xdr:rowOff>
    </xdr:from>
    <xdr:to>
      <xdr:col>16</xdr:col>
      <xdr:colOff>0</xdr:colOff>
      <xdr:row>59</xdr:row>
      <xdr:rowOff>0</xdr:rowOff>
    </xdr:to>
    <xdr:sp macro="" textlink="$AV$59">
      <xdr:nvSpPr>
        <xdr:cNvPr id="29" name="Text Box 245">
          <a:extLst>
            <a:ext uri="{FF2B5EF4-FFF2-40B4-BE49-F238E27FC236}">
              <a16:creationId xmlns:a16="http://schemas.microsoft.com/office/drawing/2014/main" id="{00000000-0008-0000-1C00-00001D000000}"/>
            </a:ext>
          </a:extLst>
        </xdr:cNvPr>
        <xdr:cNvSpPr txBox="1">
          <a:spLocks noChangeArrowheads="1" noTextEdit="1"/>
        </xdr:cNvSpPr>
      </xdr:nvSpPr>
      <xdr:spPr bwMode="auto">
        <a:xfrm>
          <a:off x="13430250" y="133445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1947CC26-0E9F-470D-8894-889CCC7E730E}"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59</xdr:row>
      <xdr:rowOff>0</xdr:rowOff>
    </xdr:from>
    <xdr:to>
      <xdr:col>16</xdr:col>
      <xdr:colOff>0</xdr:colOff>
      <xdr:row>59</xdr:row>
      <xdr:rowOff>164224</xdr:rowOff>
    </xdr:to>
    <xdr:sp macro="" textlink="$AV$60">
      <xdr:nvSpPr>
        <xdr:cNvPr id="30" name="Text Box 246">
          <a:extLst>
            <a:ext uri="{FF2B5EF4-FFF2-40B4-BE49-F238E27FC236}">
              <a16:creationId xmlns:a16="http://schemas.microsoft.com/office/drawing/2014/main" id="{00000000-0008-0000-1C00-00001E000000}"/>
            </a:ext>
          </a:extLst>
        </xdr:cNvPr>
        <xdr:cNvSpPr txBox="1">
          <a:spLocks noChangeArrowheads="1" noTextEdit="1"/>
        </xdr:cNvSpPr>
      </xdr:nvSpPr>
      <xdr:spPr bwMode="auto">
        <a:xfrm>
          <a:off x="13430250" y="135731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D36CAF01-C50A-42CD-9D8E-2CEC8B693713}"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59</xdr:row>
      <xdr:rowOff>164224</xdr:rowOff>
    </xdr:from>
    <xdr:to>
      <xdr:col>16</xdr:col>
      <xdr:colOff>0</xdr:colOff>
      <xdr:row>61</xdr:row>
      <xdr:rowOff>0</xdr:rowOff>
    </xdr:to>
    <xdr:sp macro="" textlink="$AV$61">
      <xdr:nvSpPr>
        <xdr:cNvPr id="31" name="Text Box 247">
          <a:extLst>
            <a:ext uri="{FF2B5EF4-FFF2-40B4-BE49-F238E27FC236}">
              <a16:creationId xmlns:a16="http://schemas.microsoft.com/office/drawing/2014/main" id="{00000000-0008-0000-1C00-00001F000000}"/>
            </a:ext>
          </a:extLst>
        </xdr:cNvPr>
        <xdr:cNvSpPr txBox="1">
          <a:spLocks noChangeArrowheads="1" noTextEdit="1"/>
        </xdr:cNvSpPr>
      </xdr:nvSpPr>
      <xdr:spPr bwMode="auto">
        <a:xfrm>
          <a:off x="13430250" y="13737349"/>
          <a:ext cx="3581400" cy="292976"/>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4EF60496-116F-4591-B533-DCD2BD17092D}"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61</xdr:row>
      <xdr:rowOff>0</xdr:rowOff>
    </xdr:from>
    <xdr:to>
      <xdr:col>16</xdr:col>
      <xdr:colOff>0</xdr:colOff>
      <xdr:row>62</xdr:row>
      <xdr:rowOff>0</xdr:rowOff>
    </xdr:to>
    <xdr:sp macro="" textlink="$AV$62">
      <xdr:nvSpPr>
        <xdr:cNvPr id="32" name="Text Box 248">
          <a:extLst>
            <a:ext uri="{FF2B5EF4-FFF2-40B4-BE49-F238E27FC236}">
              <a16:creationId xmlns:a16="http://schemas.microsoft.com/office/drawing/2014/main" id="{00000000-0008-0000-1C00-000020000000}"/>
            </a:ext>
          </a:extLst>
        </xdr:cNvPr>
        <xdr:cNvSpPr txBox="1">
          <a:spLocks noChangeArrowheads="1" noTextEdit="1"/>
        </xdr:cNvSpPr>
      </xdr:nvSpPr>
      <xdr:spPr bwMode="auto">
        <a:xfrm>
          <a:off x="13430250" y="140303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CD0284FD-DF7D-49F2-A338-7725CB16ED3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62</xdr:row>
      <xdr:rowOff>0</xdr:rowOff>
    </xdr:from>
    <xdr:to>
      <xdr:col>16</xdr:col>
      <xdr:colOff>0</xdr:colOff>
      <xdr:row>63</xdr:row>
      <xdr:rowOff>0</xdr:rowOff>
    </xdr:to>
    <xdr:sp macro="" textlink="$AV$63">
      <xdr:nvSpPr>
        <xdr:cNvPr id="33" name="Text Box 249">
          <a:extLst>
            <a:ext uri="{FF2B5EF4-FFF2-40B4-BE49-F238E27FC236}">
              <a16:creationId xmlns:a16="http://schemas.microsoft.com/office/drawing/2014/main" id="{00000000-0008-0000-1C00-000021000000}"/>
            </a:ext>
          </a:extLst>
        </xdr:cNvPr>
        <xdr:cNvSpPr txBox="1">
          <a:spLocks noChangeArrowheads="1" noTextEdit="1"/>
        </xdr:cNvSpPr>
      </xdr:nvSpPr>
      <xdr:spPr bwMode="auto">
        <a:xfrm>
          <a:off x="13430250" y="142589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11029B77-ADF9-4902-9128-277A6724EA2D}"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63</xdr:row>
      <xdr:rowOff>0</xdr:rowOff>
    </xdr:from>
    <xdr:to>
      <xdr:col>16</xdr:col>
      <xdr:colOff>0</xdr:colOff>
      <xdr:row>64</xdr:row>
      <xdr:rowOff>0</xdr:rowOff>
    </xdr:to>
    <xdr:sp macro="" textlink="$AV$64">
      <xdr:nvSpPr>
        <xdr:cNvPr id="34" name="Text Box 250">
          <a:extLst>
            <a:ext uri="{FF2B5EF4-FFF2-40B4-BE49-F238E27FC236}">
              <a16:creationId xmlns:a16="http://schemas.microsoft.com/office/drawing/2014/main" id="{00000000-0008-0000-1C00-000022000000}"/>
            </a:ext>
          </a:extLst>
        </xdr:cNvPr>
        <xdr:cNvSpPr txBox="1">
          <a:spLocks noChangeArrowheads="1" noTextEdit="1"/>
        </xdr:cNvSpPr>
      </xdr:nvSpPr>
      <xdr:spPr bwMode="auto">
        <a:xfrm>
          <a:off x="13430250" y="144875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2E4A576F-4708-4C13-9EBB-36B155699523}"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64</xdr:row>
      <xdr:rowOff>0</xdr:rowOff>
    </xdr:from>
    <xdr:to>
      <xdr:col>16</xdr:col>
      <xdr:colOff>0</xdr:colOff>
      <xdr:row>65</xdr:row>
      <xdr:rowOff>0</xdr:rowOff>
    </xdr:to>
    <xdr:sp macro="" textlink="$AV$65">
      <xdr:nvSpPr>
        <xdr:cNvPr id="35" name="Text Box 251">
          <a:extLst>
            <a:ext uri="{FF2B5EF4-FFF2-40B4-BE49-F238E27FC236}">
              <a16:creationId xmlns:a16="http://schemas.microsoft.com/office/drawing/2014/main" id="{00000000-0008-0000-1C00-000023000000}"/>
            </a:ext>
          </a:extLst>
        </xdr:cNvPr>
        <xdr:cNvSpPr txBox="1">
          <a:spLocks noChangeArrowheads="1" noTextEdit="1"/>
        </xdr:cNvSpPr>
      </xdr:nvSpPr>
      <xdr:spPr bwMode="auto">
        <a:xfrm>
          <a:off x="13430250" y="147161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58859547-0414-4498-BB3D-4A05796D16C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65</xdr:row>
      <xdr:rowOff>0</xdr:rowOff>
    </xdr:from>
    <xdr:to>
      <xdr:col>16</xdr:col>
      <xdr:colOff>0</xdr:colOff>
      <xdr:row>66</xdr:row>
      <xdr:rowOff>0</xdr:rowOff>
    </xdr:to>
    <xdr:sp macro="" textlink="$AV$66">
      <xdr:nvSpPr>
        <xdr:cNvPr id="36" name="Text Box 252">
          <a:extLst>
            <a:ext uri="{FF2B5EF4-FFF2-40B4-BE49-F238E27FC236}">
              <a16:creationId xmlns:a16="http://schemas.microsoft.com/office/drawing/2014/main" id="{00000000-0008-0000-1C00-000024000000}"/>
            </a:ext>
          </a:extLst>
        </xdr:cNvPr>
        <xdr:cNvSpPr txBox="1">
          <a:spLocks noChangeArrowheads="1" noTextEdit="1"/>
        </xdr:cNvSpPr>
      </xdr:nvSpPr>
      <xdr:spPr bwMode="auto">
        <a:xfrm>
          <a:off x="13430250" y="149447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CA65F135-F530-45A9-94C2-945928D1BCDD}"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66</xdr:row>
      <xdr:rowOff>0</xdr:rowOff>
    </xdr:from>
    <xdr:to>
      <xdr:col>16</xdr:col>
      <xdr:colOff>0</xdr:colOff>
      <xdr:row>67</xdr:row>
      <xdr:rowOff>0</xdr:rowOff>
    </xdr:to>
    <xdr:sp macro="" textlink="$AV$67">
      <xdr:nvSpPr>
        <xdr:cNvPr id="37" name="Text Box 253">
          <a:extLst>
            <a:ext uri="{FF2B5EF4-FFF2-40B4-BE49-F238E27FC236}">
              <a16:creationId xmlns:a16="http://schemas.microsoft.com/office/drawing/2014/main" id="{00000000-0008-0000-1C00-000025000000}"/>
            </a:ext>
          </a:extLst>
        </xdr:cNvPr>
        <xdr:cNvSpPr txBox="1">
          <a:spLocks noChangeArrowheads="1" noTextEdit="1"/>
        </xdr:cNvSpPr>
      </xdr:nvSpPr>
      <xdr:spPr bwMode="auto">
        <a:xfrm>
          <a:off x="13430250" y="15173325"/>
          <a:ext cx="3581400" cy="2286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D8FF763-3E8A-4F85-9690-300C347C4E20}"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67</xdr:row>
      <xdr:rowOff>0</xdr:rowOff>
    </xdr:from>
    <xdr:to>
      <xdr:col>16</xdr:col>
      <xdr:colOff>0</xdr:colOff>
      <xdr:row>67</xdr:row>
      <xdr:rowOff>164224</xdr:rowOff>
    </xdr:to>
    <xdr:sp macro="" textlink="$AV$68">
      <xdr:nvSpPr>
        <xdr:cNvPr id="38" name="Text Box 254">
          <a:extLst>
            <a:ext uri="{FF2B5EF4-FFF2-40B4-BE49-F238E27FC236}">
              <a16:creationId xmlns:a16="http://schemas.microsoft.com/office/drawing/2014/main" id="{00000000-0008-0000-1C00-000026000000}"/>
            </a:ext>
          </a:extLst>
        </xdr:cNvPr>
        <xdr:cNvSpPr txBox="1">
          <a:spLocks noChangeArrowheads="1" noTextEdit="1"/>
        </xdr:cNvSpPr>
      </xdr:nvSpPr>
      <xdr:spPr bwMode="auto">
        <a:xfrm>
          <a:off x="13430250" y="154019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DF1F6424-B833-4869-8551-E5489F401864}"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67</xdr:row>
      <xdr:rowOff>164224</xdr:rowOff>
    </xdr:from>
    <xdr:to>
      <xdr:col>16</xdr:col>
      <xdr:colOff>0</xdr:colOff>
      <xdr:row>69</xdr:row>
      <xdr:rowOff>0</xdr:rowOff>
    </xdr:to>
    <xdr:sp macro="" textlink="$AV$69">
      <xdr:nvSpPr>
        <xdr:cNvPr id="39" name="Text Box 255">
          <a:extLst>
            <a:ext uri="{FF2B5EF4-FFF2-40B4-BE49-F238E27FC236}">
              <a16:creationId xmlns:a16="http://schemas.microsoft.com/office/drawing/2014/main" id="{00000000-0008-0000-1C00-000027000000}"/>
            </a:ext>
          </a:extLst>
        </xdr:cNvPr>
        <xdr:cNvSpPr txBox="1">
          <a:spLocks noChangeArrowheads="1" noTextEdit="1"/>
        </xdr:cNvSpPr>
      </xdr:nvSpPr>
      <xdr:spPr bwMode="auto">
        <a:xfrm>
          <a:off x="13430250" y="15566149"/>
          <a:ext cx="3581400" cy="292976"/>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3E657AD8-0D6A-4618-BF1E-DD0B7E5BEC93}"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11906</xdr:colOff>
      <xdr:row>29</xdr:row>
      <xdr:rowOff>0</xdr:rowOff>
    </xdr:from>
    <xdr:to>
      <xdr:col>16</xdr:col>
      <xdr:colOff>11906</xdr:colOff>
      <xdr:row>30</xdr:row>
      <xdr:rowOff>0</xdr:rowOff>
    </xdr:to>
    <xdr:sp macro="" textlink="$AV$30">
      <xdr:nvSpPr>
        <xdr:cNvPr id="40" name="Text Box 269">
          <a:extLst>
            <a:ext uri="{FF2B5EF4-FFF2-40B4-BE49-F238E27FC236}">
              <a16:creationId xmlns:a16="http://schemas.microsoft.com/office/drawing/2014/main" id="{00000000-0008-0000-1C00-000028000000}"/>
            </a:ext>
          </a:extLst>
        </xdr:cNvPr>
        <xdr:cNvSpPr txBox="1">
          <a:spLocks noChangeArrowheads="1" noTextEdit="1"/>
        </xdr:cNvSpPr>
      </xdr:nvSpPr>
      <xdr:spPr bwMode="auto">
        <a:xfrm>
          <a:off x="13442156" y="6029325"/>
          <a:ext cx="3581400" cy="45720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E493F13A-7748-45FE-8933-C8AE51FA1D02}"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xdr:col>
      <xdr:colOff>180976</xdr:colOff>
      <xdr:row>11</xdr:row>
      <xdr:rowOff>0</xdr:rowOff>
    </xdr:from>
    <xdr:to>
      <xdr:col>10</xdr:col>
      <xdr:colOff>0</xdr:colOff>
      <xdr:row>12</xdr:row>
      <xdr:rowOff>0</xdr:rowOff>
    </xdr:to>
    <xdr:sp macro="" textlink="$K$100">
      <xdr:nvSpPr>
        <xdr:cNvPr id="41" name="Text Box 276">
          <a:extLst>
            <a:ext uri="{FF2B5EF4-FFF2-40B4-BE49-F238E27FC236}">
              <a16:creationId xmlns:a16="http://schemas.microsoft.com/office/drawing/2014/main" id="{00000000-0008-0000-1C00-000029000000}"/>
            </a:ext>
          </a:extLst>
        </xdr:cNvPr>
        <xdr:cNvSpPr txBox="1">
          <a:spLocks noChangeArrowheads="1" noTextEdit="1"/>
        </xdr:cNvSpPr>
      </xdr:nvSpPr>
      <xdr:spPr bwMode="auto">
        <a:xfrm>
          <a:off x="361951" y="2762250"/>
          <a:ext cx="9867899" cy="228600"/>
        </a:xfrm>
        <a:prstGeom prst="rect">
          <a:avLst/>
        </a:prstGeom>
        <a:noFill/>
        <a:ln w="9525" algn="ctr">
          <a:noFill/>
          <a:miter lim="800000"/>
          <a:headEnd/>
          <a:tailEnd/>
        </a:ln>
        <a:effectLst/>
      </xdr:spPr>
      <xdr:txBody>
        <a:bodyPr lIns="72000" tIns="36000" rIns="0" bIns="36000" anchor="ctr"/>
        <a:lstStyle/>
        <a:p>
          <a:pPr algn="ctr"/>
          <a:fld id="{7FF4214F-EB21-4507-9046-0CEF435B1046}" type="TxLink">
            <a:rPr lang="en-US" sz="1000" b="0" i="0" u="none" strike="noStrike">
              <a:solidFill>
                <a:schemeClr val="bg1"/>
              </a:solidFill>
              <a:latin typeface="Arial"/>
              <a:cs typeface="Arial"/>
            </a:rPr>
            <a:pPr algn="ctr"/>
            <a:t> </a:t>
          </a:fld>
          <a:endParaRPr lang="en-AU" sz="950" b="1" i="1">
            <a:solidFill>
              <a:schemeClr val="bg1"/>
            </a:solidFill>
          </a:endParaRPr>
        </a:p>
      </xdr:txBody>
    </xdr:sp>
    <xdr:clientData/>
  </xdr:twoCellAnchor>
  <xdr:twoCellAnchor>
    <xdr:from>
      <xdr:col>11</xdr:col>
      <xdr:colOff>0</xdr:colOff>
      <xdr:row>11</xdr:row>
      <xdr:rowOff>13607</xdr:rowOff>
    </xdr:from>
    <xdr:to>
      <xdr:col>13</xdr:col>
      <xdr:colOff>0</xdr:colOff>
      <xdr:row>12</xdr:row>
      <xdr:rowOff>0</xdr:rowOff>
    </xdr:to>
    <xdr:sp macro="" textlink="$K$102">
      <xdr:nvSpPr>
        <xdr:cNvPr id="42" name="Text Box 279">
          <a:extLst>
            <a:ext uri="{FF2B5EF4-FFF2-40B4-BE49-F238E27FC236}">
              <a16:creationId xmlns:a16="http://schemas.microsoft.com/office/drawing/2014/main" id="{00000000-0008-0000-1C00-00002A000000}"/>
            </a:ext>
          </a:extLst>
        </xdr:cNvPr>
        <xdr:cNvSpPr txBox="1">
          <a:spLocks noChangeArrowheads="1" noTextEdit="1"/>
        </xdr:cNvSpPr>
      </xdr:nvSpPr>
      <xdr:spPr bwMode="auto">
        <a:xfrm>
          <a:off x="11106150" y="2775857"/>
          <a:ext cx="2324100" cy="214993"/>
        </a:xfrm>
        <a:prstGeom prst="rect">
          <a:avLst/>
        </a:prstGeom>
        <a:noFill/>
        <a:ln w="9525" algn="ctr">
          <a:noFill/>
          <a:miter lim="800000"/>
          <a:headEnd/>
          <a:tailEnd/>
        </a:ln>
        <a:effectLst/>
      </xdr:spPr>
      <xdr:txBody>
        <a:bodyPr lIns="72000" tIns="36000" rIns="0" bIns="36000" anchor="ctr"/>
        <a:lstStyle/>
        <a:p>
          <a:pPr algn="l"/>
          <a:fld id="{8605587B-FB05-499C-AFBE-83FA745B302C}" type="TxLink">
            <a:rPr lang="en-AU" sz="1000" b="1" i="1" u="none" strike="noStrike">
              <a:solidFill>
                <a:srgbClr val="009900"/>
              </a:solidFill>
              <a:latin typeface="Arial"/>
              <a:cs typeface="Arial"/>
            </a:rPr>
            <a:pPr algn="l"/>
            <a:t> </a:t>
          </a:fld>
          <a:endParaRPr lang="en-AU" b="1" i="1">
            <a:solidFill>
              <a:srgbClr val="009900"/>
            </a:solidFill>
          </a:endParaRPr>
        </a:p>
      </xdr:txBody>
    </xdr:sp>
    <xdr:clientData/>
  </xdr:twoCellAnchor>
  <xdr:twoCellAnchor>
    <xdr:from>
      <xdr:col>3</xdr:col>
      <xdr:colOff>68035</xdr:colOff>
      <xdr:row>28</xdr:row>
      <xdr:rowOff>13607</xdr:rowOff>
    </xdr:from>
    <xdr:to>
      <xdr:col>4</xdr:col>
      <xdr:colOff>1476376</xdr:colOff>
      <xdr:row>28</xdr:row>
      <xdr:rowOff>171450</xdr:rowOff>
    </xdr:to>
    <xdr:sp macro="" textlink="$K$103">
      <xdr:nvSpPr>
        <xdr:cNvPr id="152" name="Text Box 281">
          <a:extLst>
            <a:ext uri="{FF2B5EF4-FFF2-40B4-BE49-F238E27FC236}">
              <a16:creationId xmlns:a16="http://schemas.microsoft.com/office/drawing/2014/main" id="{00000000-0008-0000-1C00-000098000000}"/>
            </a:ext>
          </a:extLst>
        </xdr:cNvPr>
        <xdr:cNvSpPr txBox="1">
          <a:spLocks noChangeArrowheads="1" noTextEdit="1"/>
        </xdr:cNvSpPr>
      </xdr:nvSpPr>
      <xdr:spPr bwMode="auto">
        <a:xfrm>
          <a:off x="544285" y="4789714"/>
          <a:ext cx="3109234" cy="157843"/>
        </a:xfrm>
        <a:prstGeom prst="rect">
          <a:avLst/>
        </a:prstGeom>
        <a:solidFill>
          <a:sysClr val="window" lastClr="FFFFFF"/>
        </a:solidFill>
        <a:ln w="9525" algn="ctr">
          <a:noFill/>
          <a:miter lim="800000"/>
          <a:headEnd/>
          <a:tailEnd/>
        </a:ln>
        <a:effectLst/>
      </xdr:spPr>
      <xdr:txBody>
        <a:bodyPr anchor="ctr"/>
        <a:lstStyle/>
        <a:p>
          <a:fld id="{255030B0-40E1-4B94-AA92-11F3A9C53698}" type="TxLink">
            <a:rPr lang="en-US" sz="1000" b="0" i="0" u="none" strike="noStrike">
              <a:solidFill>
                <a:srgbClr val="000000"/>
              </a:solidFill>
              <a:latin typeface="Arial"/>
              <a:cs typeface="Arial"/>
            </a:rPr>
            <a:pPr/>
            <a:t>3.  Enter lighting system details.</a:t>
          </a:fld>
          <a:endParaRPr lang="en-AU" b="1" i="1">
            <a:solidFill>
              <a:srgbClr val="009900"/>
            </a:solidFill>
          </a:endParaRPr>
        </a:p>
      </xdr:txBody>
    </xdr:sp>
    <xdr:clientData/>
  </xdr:twoCellAnchor>
  <xdr:twoCellAnchor>
    <xdr:from>
      <xdr:col>14</xdr:col>
      <xdr:colOff>0</xdr:colOff>
      <xdr:row>75</xdr:row>
      <xdr:rowOff>0</xdr:rowOff>
    </xdr:from>
    <xdr:to>
      <xdr:col>16</xdr:col>
      <xdr:colOff>0</xdr:colOff>
      <xdr:row>76</xdr:row>
      <xdr:rowOff>0</xdr:rowOff>
    </xdr:to>
    <xdr:sp macro="" textlink="">
      <xdr:nvSpPr>
        <xdr:cNvPr id="44" name="Rectangle 390">
          <a:extLst>
            <a:ext uri="{FF2B5EF4-FFF2-40B4-BE49-F238E27FC236}">
              <a16:creationId xmlns:a16="http://schemas.microsoft.com/office/drawing/2014/main" id="{00000000-0008-0000-1C00-00002C000000}"/>
            </a:ext>
          </a:extLst>
        </xdr:cNvPr>
        <xdr:cNvSpPr>
          <a:spLocks noChangeArrowheads="1"/>
        </xdr:cNvSpPr>
      </xdr:nvSpPr>
      <xdr:spPr bwMode="auto">
        <a:xfrm>
          <a:off x="14506575" y="17345025"/>
          <a:ext cx="2505075" cy="1066800"/>
        </a:xfrm>
        <a:prstGeom prst="rect">
          <a:avLst/>
        </a:prstGeom>
        <a:noFill/>
        <a:ln w="9525">
          <a:solidFill>
            <a:srgbClr val="000000"/>
          </a:solidFill>
          <a:miter lim="800000"/>
          <a:headEnd/>
          <a:tailEnd/>
        </a:ln>
        <a:effectLst>
          <a:outerShdw blurRad="50800" dist="38100" dir="2700000" algn="tl" rotWithShape="0">
            <a:prstClr val="black">
              <a:alpha val="40000"/>
            </a:prstClr>
          </a:outerShdw>
        </a:effectLst>
      </xdr:spPr>
      <xdr:txBody>
        <a:bodyPr/>
        <a:lstStyle/>
        <a:p>
          <a:endParaRPr lang="en-AU"/>
        </a:p>
      </xdr:txBody>
    </xdr:sp>
    <xdr:clientData/>
  </xdr:twoCellAnchor>
  <xdr:twoCellAnchor>
    <xdr:from>
      <xdr:col>13</xdr:col>
      <xdr:colOff>1</xdr:colOff>
      <xdr:row>30</xdr:row>
      <xdr:rowOff>13608</xdr:rowOff>
    </xdr:from>
    <xdr:to>
      <xdr:col>15</xdr:col>
      <xdr:colOff>1524001</xdr:colOff>
      <xdr:row>31</xdr:row>
      <xdr:rowOff>13607</xdr:rowOff>
    </xdr:to>
    <xdr:sp macro="" textlink="$AV$31">
      <xdr:nvSpPr>
        <xdr:cNvPr id="150" name="Text Box 506">
          <a:extLst>
            <a:ext uri="{FF2B5EF4-FFF2-40B4-BE49-F238E27FC236}">
              <a16:creationId xmlns:a16="http://schemas.microsoft.com/office/drawing/2014/main" id="{00000000-0008-0000-1C00-000096000000}"/>
            </a:ext>
          </a:extLst>
        </xdr:cNvPr>
        <xdr:cNvSpPr txBox="1">
          <a:spLocks noChangeArrowheads="1" noTextEdit="1"/>
        </xdr:cNvSpPr>
      </xdr:nvSpPr>
      <xdr:spPr bwMode="auto">
        <a:xfrm>
          <a:off x="13403037" y="5265965"/>
          <a:ext cx="3565071" cy="23132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D40204B8-F1A6-4278-8A9A-1B4F36D2117F}"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13607</xdr:colOff>
      <xdr:row>31</xdr:row>
      <xdr:rowOff>13606</xdr:rowOff>
    </xdr:from>
    <xdr:to>
      <xdr:col>16</xdr:col>
      <xdr:colOff>0</xdr:colOff>
      <xdr:row>32</xdr:row>
      <xdr:rowOff>13607</xdr:rowOff>
    </xdr:to>
    <xdr:sp macro="" textlink="$AV$32">
      <xdr:nvSpPr>
        <xdr:cNvPr id="151" name="Text Box 509">
          <a:extLst>
            <a:ext uri="{FF2B5EF4-FFF2-40B4-BE49-F238E27FC236}">
              <a16:creationId xmlns:a16="http://schemas.microsoft.com/office/drawing/2014/main" id="{00000000-0008-0000-1C00-000097000000}"/>
            </a:ext>
          </a:extLst>
        </xdr:cNvPr>
        <xdr:cNvSpPr txBox="1">
          <a:spLocks noChangeArrowheads="1" noTextEdit="1"/>
        </xdr:cNvSpPr>
      </xdr:nvSpPr>
      <xdr:spPr bwMode="auto">
        <a:xfrm>
          <a:off x="13416643" y="5497285"/>
          <a:ext cx="3565071" cy="231322"/>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504EDC99-EF5F-430D-8C24-F35FADAC51F6}"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14</xdr:row>
      <xdr:rowOff>0</xdr:rowOff>
    </xdr:from>
    <xdr:to>
      <xdr:col>16</xdr:col>
      <xdr:colOff>0</xdr:colOff>
      <xdr:row>21</xdr:row>
      <xdr:rowOff>0</xdr:rowOff>
    </xdr:to>
    <xdr:sp macro="" textlink="$H$120">
      <xdr:nvSpPr>
        <xdr:cNvPr id="47" name="TextBox 46">
          <a:extLst>
            <a:ext uri="{FF2B5EF4-FFF2-40B4-BE49-F238E27FC236}">
              <a16:creationId xmlns:a16="http://schemas.microsoft.com/office/drawing/2014/main" id="{00000000-0008-0000-1C00-00002F000000}"/>
            </a:ext>
          </a:extLst>
        </xdr:cNvPr>
        <xdr:cNvSpPr txBox="1"/>
      </xdr:nvSpPr>
      <xdr:spPr>
        <a:xfrm>
          <a:off x="13430250" y="3295650"/>
          <a:ext cx="3581400" cy="6381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wrap="square" lIns="108000" tIns="0" rIns="36000" bIns="0" rtlCol="0" anchor="ctr"/>
        <a:lstStyle/>
        <a:p>
          <a:fld id="{77FE4DC5-7257-4486-92DB-65389AE24F82}" type="TxLink">
            <a:rPr lang="en-US" sz="1000" b="1" i="1" u="none" strike="noStrike">
              <a:solidFill>
                <a:sysClr val="windowText" lastClr="000000"/>
              </a:solidFill>
              <a:latin typeface="Arial"/>
              <a:cs typeface="Arial"/>
            </a:rPr>
            <a:pPr/>
            <a:t> </a:t>
          </a:fld>
          <a:endParaRPr lang="en-AU" sz="1100" b="1" i="1">
            <a:solidFill>
              <a:sysClr val="windowText" lastClr="000000"/>
            </a:solidFill>
          </a:endParaRPr>
        </a:p>
      </xdr:txBody>
    </xdr:sp>
    <xdr:clientData/>
  </xdr:twoCellAnchor>
  <xdr:twoCellAnchor>
    <xdr:from>
      <xdr:col>51</xdr:col>
      <xdr:colOff>371474</xdr:colOff>
      <xdr:row>19</xdr:row>
      <xdr:rowOff>76201</xdr:rowOff>
    </xdr:from>
    <xdr:to>
      <xdr:col>53</xdr:col>
      <xdr:colOff>38099</xdr:colOff>
      <xdr:row>23</xdr:row>
      <xdr:rowOff>95248</xdr:rowOff>
    </xdr:to>
    <xdr:sp macro="" textlink="">
      <xdr:nvSpPr>
        <xdr:cNvPr id="48" name="Rounded Rectangular Callout 53">
          <a:extLst>
            <a:ext uri="{FF2B5EF4-FFF2-40B4-BE49-F238E27FC236}">
              <a16:creationId xmlns:a16="http://schemas.microsoft.com/office/drawing/2014/main" id="{00000000-0008-0000-1C00-000030000000}"/>
            </a:ext>
          </a:extLst>
        </xdr:cNvPr>
        <xdr:cNvSpPr/>
      </xdr:nvSpPr>
      <xdr:spPr bwMode="auto">
        <a:xfrm>
          <a:off x="17945100" y="3371851"/>
          <a:ext cx="0" cy="866772"/>
        </a:xfrm>
        <a:prstGeom prst="wedgeRoundRectCallout">
          <a:avLst>
            <a:gd name="adj1" fmla="val -41852"/>
            <a:gd name="adj2" fmla="val 112376"/>
            <a:gd name="adj3" fmla="val 16667"/>
          </a:avLst>
        </a:prstGeom>
        <a:ln>
          <a:headEnd type="none" w="med" len="med"/>
          <a:tailEnd type="none" w="med" len="med"/>
        </a:ln>
      </xdr:spPr>
      <xdr:style>
        <a:lnRef idx="3">
          <a:schemeClr val="lt1"/>
        </a:lnRef>
        <a:fillRef idx="1">
          <a:schemeClr val="accent2"/>
        </a:fillRef>
        <a:effectRef idx="1">
          <a:schemeClr val="accent2"/>
        </a:effectRef>
        <a:fontRef idx="minor">
          <a:schemeClr val="lt1"/>
        </a:fontRef>
      </xdr:style>
      <xdr:txBody>
        <a:bodyPr vertOverflow="clip" wrap="square" lIns="18288" tIns="0" rIns="0" bIns="0" rtlCol="0" anchor="ctr" upright="1"/>
        <a:lstStyle/>
        <a:p>
          <a:pPr algn="l"/>
          <a:r>
            <a:rPr lang="en-AU" sz="1100"/>
            <a:t>Probably obsolete</a:t>
          </a:r>
          <a:r>
            <a:rPr lang="en-AU" sz="1100" baseline="0"/>
            <a:t> after change to  N21. Check if used in  conditional formats.</a:t>
          </a:r>
          <a:endParaRPr lang="en-AU" sz="1100"/>
        </a:p>
      </xdr:txBody>
    </xdr:sp>
    <xdr:clientData/>
  </xdr:twoCellAnchor>
  <xdr:twoCellAnchor>
    <xdr:from>
      <xdr:col>53</xdr:col>
      <xdr:colOff>247650</xdr:colOff>
      <xdr:row>13</xdr:row>
      <xdr:rowOff>47626</xdr:rowOff>
    </xdr:from>
    <xdr:to>
      <xdr:col>54</xdr:col>
      <xdr:colOff>447676</xdr:colOff>
      <xdr:row>22</xdr:row>
      <xdr:rowOff>66673</xdr:rowOff>
    </xdr:to>
    <xdr:sp macro="" textlink="">
      <xdr:nvSpPr>
        <xdr:cNvPr id="49" name="Rounded Rectangular Callout 55">
          <a:extLst>
            <a:ext uri="{FF2B5EF4-FFF2-40B4-BE49-F238E27FC236}">
              <a16:creationId xmlns:a16="http://schemas.microsoft.com/office/drawing/2014/main" id="{00000000-0008-0000-1C00-000031000000}"/>
            </a:ext>
          </a:extLst>
        </xdr:cNvPr>
        <xdr:cNvSpPr/>
      </xdr:nvSpPr>
      <xdr:spPr bwMode="auto">
        <a:xfrm>
          <a:off x="17945100" y="3267076"/>
          <a:ext cx="0" cy="781047"/>
        </a:xfrm>
        <a:prstGeom prst="wedgeRoundRectCallout">
          <a:avLst>
            <a:gd name="adj1" fmla="val -41852"/>
            <a:gd name="adj2" fmla="val 112376"/>
            <a:gd name="adj3" fmla="val 16667"/>
          </a:avLst>
        </a:prstGeom>
        <a:ln>
          <a:headEnd type="none" w="med" len="med"/>
          <a:tailEnd type="none" w="med" len="med"/>
        </a:ln>
      </xdr:spPr>
      <xdr:style>
        <a:lnRef idx="3">
          <a:schemeClr val="lt1"/>
        </a:lnRef>
        <a:fillRef idx="1">
          <a:schemeClr val="accent2"/>
        </a:fillRef>
        <a:effectRef idx="1">
          <a:schemeClr val="accent2"/>
        </a:effectRef>
        <a:fontRef idx="minor">
          <a:schemeClr val="lt1"/>
        </a:fontRef>
      </xdr:style>
      <xdr:txBody>
        <a:bodyPr vertOverflow="clip" wrap="square" lIns="18288" tIns="0" rIns="0" bIns="0" rtlCol="0" anchor="ctr" upright="1"/>
        <a:lstStyle/>
        <a:p>
          <a:pPr algn="l"/>
          <a:r>
            <a:rPr lang="en-AU" sz="1100"/>
            <a:t>Obsolete.  </a:t>
          </a:r>
        </a:p>
        <a:p>
          <a:pPr algn="l"/>
          <a:r>
            <a:rPr lang="en-AU" sz="1100"/>
            <a:t>Use BS and BT.</a:t>
          </a:r>
          <a:r>
            <a:rPr lang="en-AU" sz="1100" baseline="0"/>
            <a:t> </a:t>
          </a:r>
          <a:endParaRPr lang="en-AU" sz="1100"/>
        </a:p>
      </xdr:txBody>
    </xdr:sp>
    <xdr:clientData/>
  </xdr:twoCellAnchor>
  <xdr:twoCellAnchor>
    <xdr:from>
      <xdr:col>0</xdr:col>
      <xdr:colOff>0</xdr:colOff>
      <xdr:row>25</xdr:row>
      <xdr:rowOff>0</xdr:rowOff>
    </xdr:from>
    <xdr:to>
      <xdr:col>3</xdr:col>
      <xdr:colOff>0</xdr:colOff>
      <xdr:row>28</xdr:row>
      <xdr:rowOff>68036</xdr:rowOff>
    </xdr:to>
    <xdr:sp macro="" textlink="B88">
      <xdr:nvSpPr>
        <xdr:cNvPr id="50" name="Rectangle 49">
          <a:extLst>
            <a:ext uri="{FF2B5EF4-FFF2-40B4-BE49-F238E27FC236}">
              <a16:creationId xmlns:a16="http://schemas.microsoft.com/office/drawing/2014/main" id="{00000000-0008-0000-1C00-000032000000}"/>
            </a:ext>
          </a:extLst>
        </xdr:cNvPr>
        <xdr:cNvSpPr/>
      </xdr:nvSpPr>
      <xdr:spPr bwMode="auto">
        <a:xfrm>
          <a:off x="0" y="3537857"/>
          <a:ext cx="476250" cy="1469572"/>
        </a:xfrm>
        <a:prstGeom prst="rect">
          <a:avLst/>
        </a:prstGeom>
        <a:solidFill>
          <a:schemeClr val="accent1"/>
        </a:solidFill>
        <a:ln w="9525" cap="flat" cmpd="sng" algn="ctr">
          <a:noFill/>
          <a:prstDash val="solid"/>
          <a:round/>
          <a:headEnd type="none" w="med" len="med"/>
          <a:tailEnd type="none" w="med" len="med"/>
        </a:ln>
        <a:effectLst/>
      </xdr:spPr>
      <xdr:txBody>
        <a:bodyPr vertOverflow="clip" horzOverflow="clip" wrap="square" lIns="0" tIns="360000" rIns="0" bIns="0" rtlCol="0" anchor="t" upright="1"/>
        <a:lstStyle/>
        <a:p>
          <a:pPr algn="ctr"/>
          <a:fld id="{0F5249B1-240E-4004-93ED-8A3C66825702}" type="TxLink">
            <a:rPr lang="en-AU" sz="900" b="1" i="1" u="none" strike="noStrike">
              <a:solidFill>
                <a:schemeClr val="bg1"/>
              </a:solidFill>
              <a:latin typeface="Arial" pitchFamily="34" charset="0"/>
              <a:cs typeface="Arial" pitchFamily="34" charset="0"/>
            </a:rPr>
            <a:pPr algn="ctr"/>
            <a:t> </a:t>
          </a:fld>
          <a:endParaRPr lang="en-AU" sz="900" b="1" i="1">
            <a:solidFill>
              <a:schemeClr val="bg1"/>
            </a:solidFill>
            <a:latin typeface="Arial" pitchFamily="34" charset="0"/>
            <a:cs typeface="Arial" pitchFamily="34" charset="0"/>
          </a:endParaRPr>
        </a:p>
      </xdr:txBody>
    </xdr:sp>
    <xdr:clientData/>
  </xdr:twoCellAnchor>
  <xdr:twoCellAnchor>
    <xdr:from>
      <xdr:col>9</xdr:col>
      <xdr:colOff>432798</xdr:colOff>
      <xdr:row>27</xdr:row>
      <xdr:rowOff>70387</xdr:rowOff>
    </xdr:from>
    <xdr:to>
      <xdr:col>9</xdr:col>
      <xdr:colOff>1207169</xdr:colOff>
      <xdr:row>28</xdr:row>
      <xdr:rowOff>142416</xdr:rowOff>
    </xdr:to>
    <xdr:sp macro="" textlink="">
      <xdr:nvSpPr>
        <xdr:cNvPr id="51" name="AutoShape 5" descr="help">
          <a:hlinkClick xmlns:r="http://schemas.openxmlformats.org/officeDocument/2006/relationships" r:id="rId1"/>
          <a:extLst>
            <a:ext uri="{FF2B5EF4-FFF2-40B4-BE49-F238E27FC236}">
              <a16:creationId xmlns:a16="http://schemas.microsoft.com/office/drawing/2014/main" id="{00000000-0008-0000-1C00-000033000000}"/>
            </a:ext>
          </a:extLst>
        </xdr:cNvPr>
        <xdr:cNvSpPr>
          <a:spLocks noChangeArrowheads="1"/>
        </xdr:cNvSpPr>
      </xdr:nvSpPr>
      <xdr:spPr bwMode="auto">
        <a:xfrm>
          <a:off x="9005298" y="5528212"/>
          <a:ext cx="774371" cy="395879"/>
        </a:xfrm>
        <a:prstGeom prst="roundRect">
          <a:avLst>
            <a:gd name="adj" fmla="val 21741"/>
          </a:avLst>
        </a:prstGeom>
        <a:solidFill>
          <a:schemeClr val="bg1">
            <a:lumMod val="95000"/>
          </a:schemeClr>
        </a:solidFill>
        <a:ln w="19050" algn="ctr">
          <a:noFill/>
          <a:round/>
          <a:headEnd/>
          <a:tailEnd/>
        </a:ln>
        <a:effectLst>
          <a:innerShdw dist="25400" dir="2700000">
            <a:prstClr val="black">
              <a:alpha val="50000"/>
            </a:prstClr>
          </a:innerShdw>
        </a:effectLst>
      </xdr:spPr>
      <xdr:txBody>
        <a:bodyPr vertOverflow="clip" wrap="square" lIns="27432" tIns="22860" rIns="27432" bIns="22860" anchor="ctr" upright="1"/>
        <a:lstStyle/>
        <a:p>
          <a:pPr algn="ctr" rtl="0">
            <a:defRPr sz="1000"/>
          </a:pPr>
          <a:r>
            <a:rPr lang="en-AU" sz="1000" b="0" i="0" u="none" strike="noStrike" baseline="0">
              <a:solidFill>
                <a:schemeClr val="tx1"/>
              </a:solidFill>
              <a:latin typeface="Arial"/>
              <a:cs typeface="Arial"/>
            </a:rPr>
            <a:t>Adjustment Factors</a:t>
          </a:r>
        </a:p>
      </xdr:txBody>
    </xdr:sp>
    <xdr:clientData/>
  </xdr:twoCellAnchor>
  <xdr:twoCellAnchor>
    <xdr:from>
      <xdr:col>13</xdr:col>
      <xdr:colOff>0</xdr:colOff>
      <xdr:row>39</xdr:row>
      <xdr:rowOff>0</xdr:rowOff>
    </xdr:from>
    <xdr:to>
      <xdr:col>16</xdr:col>
      <xdr:colOff>0</xdr:colOff>
      <xdr:row>39</xdr:row>
      <xdr:rowOff>164224</xdr:rowOff>
    </xdr:to>
    <xdr:sp macro="" textlink="$AV$39">
      <xdr:nvSpPr>
        <xdr:cNvPr id="62" name="Text Box 225">
          <a:extLst>
            <a:ext uri="{FF2B5EF4-FFF2-40B4-BE49-F238E27FC236}">
              <a16:creationId xmlns:a16="http://schemas.microsoft.com/office/drawing/2014/main" id="{00000000-0008-0000-1C00-00003E000000}"/>
            </a:ext>
          </a:extLst>
        </xdr:cNvPr>
        <xdr:cNvSpPr txBox="1">
          <a:spLocks noChangeArrowheads="1" noTextEdit="1"/>
        </xdr:cNvSpPr>
      </xdr:nvSpPr>
      <xdr:spPr bwMode="auto">
        <a:xfrm>
          <a:off x="13430250" y="90011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39</xdr:row>
      <xdr:rowOff>464344</xdr:rowOff>
    </xdr:from>
    <xdr:to>
      <xdr:col>16</xdr:col>
      <xdr:colOff>0</xdr:colOff>
      <xdr:row>41</xdr:row>
      <xdr:rowOff>0</xdr:rowOff>
    </xdr:to>
    <xdr:sp macro="" textlink="$AV$40">
      <xdr:nvSpPr>
        <xdr:cNvPr id="63" name="Text Box 226">
          <a:extLst>
            <a:ext uri="{FF2B5EF4-FFF2-40B4-BE49-F238E27FC236}">
              <a16:creationId xmlns:a16="http://schemas.microsoft.com/office/drawing/2014/main" id="{00000000-0008-0000-1C00-00003F000000}"/>
            </a:ext>
          </a:extLst>
        </xdr:cNvPr>
        <xdr:cNvSpPr txBox="1">
          <a:spLocks noChangeArrowheads="1" noTextEdit="1"/>
        </xdr:cNvSpPr>
      </xdr:nvSpPr>
      <xdr:spPr bwMode="auto">
        <a:xfrm>
          <a:off x="13430250" y="92273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40</xdr:row>
      <xdr:rowOff>0</xdr:rowOff>
    </xdr:from>
    <xdr:to>
      <xdr:col>16</xdr:col>
      <xdr:colOff>0</xdr:colOff>
      <xdr:row>40</xdr:row>
      <xdr:rowOff>164224</xdr:rowOff>
    </xdr:to>
    <xdr:sp macro="" textlink="$AV$39">
      <xdr:nvSpPr>
        <xdr:cNvPr id="64" name="Text Box 225">
          <a:extLst>
            <a:ext uri="{FF2B5EF4-FFF2-40B4-BE49-F238E27FC236}">
              <a16:creationId xmlns:a16="http://schemas.microsoft.com/office/drawing/2014/main" id="{00000000-0008-0000-1C00-000040000000}"/>
            </a:ext>
          </a:extLst>
        </xdr:cNvPr>
        <xdr:cNvSpPr txBox="1">
          <a:spLocks noChangeArrowheads="1" noTextEdit="1"/>
        </xdr:cNvSpPr>
      </xdr:nvSpPr>
      <xdr:spPr bwMode="auto">
        <a:xfrm>
          <a:off x="13430250" y="92297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40</xdr:row>
      <xdr:rowOff>464344</xdr:rowOff>
    </xdr:from>
    <xdr:to>
      <xdr:col>16</xdr:col>
      <xdr:colOff>0</xdr:colOff>
      <xdr:row>42</xdr:row>
      <xdr:rowOff>0</xdr:rowOff>
    </xdr:to>
    <xdr:sp macro="" textlink="$AV$40">
      <xdr:nvSpPr>
        <xdr:cNvPr id="65" name="Text Box 226">
          <a:extLst>
            <a:ext uri="{FF2B5EF4-FFF2-40B4-BE49-F238E27FC236}">
              <a16:creationId xmlns:a16="http://schemas.microsoft.com/office/drawing/2014/main" id="{00000000-0008-0000-1C00-000041000000}"/>
            </a:ext>
          </a:extLst>
        </xdr:cNvPr>
        <xdr:cNvSpPr txBox="1">
          <a:spLocks noChangeArrowheads="1" noTextEdit="1"/>
        </xdr:cNvSpPr>
      </xdr:nvSpPr>
      <xdr:spPr bwMode="auto">
        <a:xfrm>
          <a:off x="13430250" y="94559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41</xdr:row>
      <xdr:rowOff>0</xdr:rowOff>
    </xdr:from>
    <xdr:to>
      <xdr:col>16</xdr:col>
      <xdr:colOff>0</xdr:colOff>
      <xdr:row>41</xdr:row>
      <xdr:rowOff>164224</xdr:rowOff>
    </xdr:to>
    <xdr:sp macro="" textlink="$AV$39">
      <xdr:nvSpPr>
        <xdr:cNvPr id="66" name="Text Box 225">
          <a:extLst>
            <a:ext uri="{FF2B5EF4-FFF2-40B4-BE49-F238E27FC236}">
              <a16:creationId xmlns:a16="http://schemas.microsoft.com/office/drawing/2014/main" id="{00000000-0008-0000-1C00-000042000000}"/>
            </a:ext>
          </a:extLst>
        </xdr:cNvPr>
        <xdr:cNvSpPr txBox="1">
          <a:spLocks noChangeArrowheads="1" noTextEdit="1"/>
        </xdr:cNvSpPr>
      </xdr:nvSpPr>
      <xdr:spPr bwMode="auto">
        <a:xfrm>
          <a:off x="13430250" y="94583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41</xdr:row>
      <xdr:rowOff>464344</xdr:rowOff>
    </xdr:from>
    <xdr:to>
      <xdr:col>16</xdr:col>
      <xdr:colOff>0</xdr:colOff>
      <xdr:row>43</xdr:row>
      <xdr:rowOff>0</xdr:rowOff>
    </xdr:to>
    <xdr:sp macro="" textlink="$AV$40">
      <xdr:nvSpPr>
        <xdr:cNvPr id="67" name="Text Box 226">
          <a:extLst>
            <a:ext uri="{FF2B5EF4-FFF2-40B4-BE49-F238E27FC236}">
              <a16:creationId xmlns:a16="http://schemas.microsoft.com/office/drawing/2014/main" id="{00000000-0008-0000-1C00-000043000000}"/>
            </a:ext>
          </a:extLst>
        </xdr:cNvPr>
        <xdr:cNvSpPr txBox="1">
          <a:spLocks noChangeArrowheads="1" noTextEdit="1"/>
        </xdr:cNvSpPr>
      </xdr:nvSpPr>
      <xdr:spPr bwMode="auto">
        <a:xfrm>
          <a:off x="13430250" y="96845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42</xdr:row>
      <xdr:rowOff>0</xdr:rowOff>
    </xdr:from>
    <xdr:to>
      <xdr:col>16</xdr:col>
      <xdr:colOff>0</xdr:colOff>
      <xdr:row>42</xdr:row>
      <xdr:rowOff>164224</xdr:rowOff>
    </xdr:to>
    <xdr:sp macro="" textlink="$AV$39">
      <xdr:nvSpPr>
        <xdr:cNvPr id="68" name="Text Box 225">
          <a:extLst>
            <a:ext uri="{FF2B5EF4-FFF2-40B4-BE49-F238E27FC236}">
              <a16:creationId xmlns:a16="http://schemas.microsoft.com/office/drawing/2014/main" id="{00000000-0008-0000-1C00-000044000000}"/>
            </a:ext>
          </a:extLst>
        </xdr:cNvPr>
        <xdr:cNvSpPr txBox="1">
          <a:spLocks noChangeArrowheads="1" noTextEdit="1"/>
        </xdr:cNvSpPr>
      </xdr:nvSpPr>
      <xdr:spPr bwMode="auto">
        <a:xfrm>
          <a:off x="13430250" y="96869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42</xdr:row>
      <xdr:rowOff>464344</xdr:rowOff>
    </xdr:from>
    <xdr:to>
      <xdr:col>16</xdr:col>
      <xdr:colOff>0</xdr:colOff>
      <xdr:row>44</xdr:row>
      <xdr:rowOff>0</xdr:rowOff>
    </xdr:to>
    <xdr:sp macro="" textlink="$AV$40">
      <xdr:nvSpPr>
        <xdr:cNvPr id="52" name="Text Box 226">
          <a:extLst>
            <a:ext uri="{FF2B5EF4-FFF2-40B4-BE49-F238E27FC236}">
              <a16:creationId xmlns:a16="http://schemas.microsoft.com/office/drawing/2014/main" id="{00000000-0008-0000-1C00-000034000000}"/>
            </a:ext>
          </a:extLst>
        </xdr:cNvPr>
        <xdr:cNvSpPr txBox="1">
          <a:spLocks noChangeArrowheads="1" noTextEdit="1"/>
        </xdr:cNvSpPr>
      </xdr:nvSpPr>
      <xdr:spPr bwMode="auto">
        <a:xfrm>
          <a:off x="13430250" y="99131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43</xdr:row>
      <xdr:rowOff>0</xdr:rowOff>
    </xdr:from>
    <xdr:to>
      <xdr:col>16</xdr:col>
      <xdr:colOff>0</xdr:colOff>
      <xdr:row>43</xdr:row>
      <xdr:rowOff>164224</xdr:rowOff>
    </xdr:to>
    <xdr:sp macro="" textlink="$AV$39">
      <xdr:nvSpPr>
        <xdr:cNvPr id="70" name="Text Box 225">
          <a:extLst>
            <a:ext uri="{FF2B5EF4-FFF2-40B4-BE49-F238E27FC236}">
              <a16:creationId xmlns:a16="http://schemas.microsoft.com/office/drawing/2014/main" id="{00000000-0008-0000-1C00-000046000000}"/>
            </a:ext>
          </a:extLst>
        </xdr:cNvPr>
        <xdr:cNvSpPr txBox="1">
          <a:spLocks noChangeArrowheads="1" noTextEdit="1"/>
        </xdr:cNvSpPr>
      </xdr:nvSpPr>
      <xdr:spPr bwMode="auto">
        <a:xfrm>
          <a:off x="13430250" y="99155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43</xdr:row>
      <xdr:rowOff>464344</xdr:rowOff>
    </xdr:from>
    <xdr:to>
      <xdr:col>16</xdr:col>
      <xdr:colOff>0</xdr:colOff>
      <xdr:row>45</xdr:row>
      <xdr:rowOff>0</xdr:rowOff>
    </xdr:to>
    <xdr:sp macro="" textlink="$AV$40">
      <xdr:nvSpPr>
        <xdr:cNvPr id="71" name="Text Box 226">
          <a:extLst>
            <a:ext uri="{FF2B5EF4-FFF2-40B4-BE49-F238E27FC236}">
              <a16:creationId xmlns:a16="http://schemas.microsoft.com/office/drawing/2014/main" id="{00000000-0008-0000-1C00-000047000000}"/>
            </a:ext>
          </a:extLst>
        </xdr:cNvPr>
        <xdr:cNvSpPr txBox="1">
          <a:spLocks noChangeArrowheads="1" noTextEdit="1"/>
        </xdr:cNvSpPr>
      </xdr:nvSpPr>
      <xdr:spPr bwMode="auto">
        <a:xfrm>
          <a:off x="13430250" y="101417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44</xdr:row>
      <xdr:rowOff>0</xdr:rowOff>
    </xdr:from>
    <xdr:to>
      <xdr:col>16</xdr:col>
      <xdr:colOff>0</xdr:colOff>
      <xdr:row>44</xdr:row>
      <xdr:rowOff>164224</xdr:rowOff>
    </xdr:to>
    <xdr:sp macro="" textlink="$AV$39">
      <xdr:nvSpPr>
        <xdr:cNvPr id="72" name="Text Box 225">
          <a:extLst>
            <a:ext uri="{FF2B5EF4-FFF2-40B4-BE49-F238E27FC236}">
              <a16:creationId xmlns:a16="http://schemas.microsoft.com/office/drawing/2014/main" id="{00000000-0008-0000-1C00-000048000000}"/>
            </a:ext>
          </a:extLst>
        </xdr:cNvPr>
        <xdr:cNvSpPr txBox="1">
          <a:spLocks noChangeArrowheads="1" noTextEdit="1"/>
        </xdr:cNvSpPr>
      </xdr:nvSpPr>
      <xdr:spPr bwMode="auto">
        <a:xfrm>
          <a:off x="13430250" y="101441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44</xdr:row>
      <xdr:rowOff>464344</xdr:rowOff>
    </xdr:from>
    <xdr:to>
      <xdr:col>16</xdr:col>
      <xdr:colOff>0</xdr:colOff>
      <xdr:row>46</xdr:row>
      <xdr:rowOff>0</xdr:rowOff>
    </xdr:to>
    <xdr:sp macro="" textlink="$AV$40">
      <xdr:nvSpPr>
        <xdr:cNvPr id="73" name="Text Box 226">
          <a:extLst>
            <a:ext uri="{FF2B5EF4-FFF2-40B4-BE49-F238E27FC236}">
              <a16:creationId xmlns:a16="http://schemas.microsoft.com/office/drawing/2014/main" id="{00000000-0008-0000-1C00-000049000000}"/>
            </a:ext>
          </a:extLst>
        </xdr:cNvPr>
        <xdr:cNvSpPr txBox="1">
          <a:spLocks noChangeArrowheads="1" noTextEdit="1"/>
        </xdr:cNvSpPr>
      </xdr:nvSpPr>
      <xdr:spPr bwMode="auto">
        <a:xfrm>
          <a:off x="13430250" y="103703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45</xdr:row>
      <xdr:rowOff>0</xdr:rowOff>
    </xdr:from>
    <xdr:to>
      <xdr:col>16</xdr:col>
      <xdr:colOff>0</xdr:colOff>
      <xdr:row>45</xdr:row>
      <xdr:rowOff>164224</xdr:rowOff>
    </xdr:to>
    <xdr:sp macro="" textlink="$AV$39">
      <xdr:nvSpPr>
        <xdr:cNvPr id="74" name="Text Box 225">
          <a:extLst>
            <a:ext uri="{FF2B5EF4-FFF2-40B4-BE49-F238E27FC236}">
              <a16:creationId xmlns:a16="http://schemas.microsoft.com/office/drawing/2014/main" id="{00000000-0008-0000-1C00-00004A000000}"/>
            </a:ext>
          </a:extLst>
        </xdr:cNvPr>
        <xdr:cNvSpPr txBox="1">
          <a:spLocks noChangeArrowheads="1" noTextEdit="1"/>
        </xdr:cNvSpPr>
      </xdr:nvSpPr>
      <xdr:spPr bwMode="auto">
        <a:xfrm>
          <a:off x="13430250" y="103727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45</xdr:row>
      <xdr:rowOff>464344</xdr:rowOff>
    </xdr:from>
    <xdr:to>
      <xdr:col>16</xdr:col>
      <xdr:colOff>0</xdr:colOff>
      <xdr:row>47</xdr:row>
      <xdr:rowOff>0</xdr:rowOff>
    </xdr:to>
    <xdr:sp macro="" textlink="$AV$40">
      <xdr:nvSpPr>
        <xdr:cNvPr id="75" name="Text Box 226">
          <a:extLst>
            <a:ext uri="{FF2B5EF4-FFF2-40B4-BE49-F238E27FC236}">
              <a16:creationId xmlns:a16="http://schemas.microsoft.com/office/drawing/2014/main" id="{00000000-0008-0000-1C00-00004B000000}"/>
            </a:ext>
          </a:extLst>
        </xdr:cNvPr>
        <xdr:cNvSpPr txBox="1">
          <a:spLocks noChangeArrowheads="1" noTextEdit="1"/>
        </xdr:cNvSpPr>
      </xdr:nvSpPr>
      <xdr:spPr bwMode="auto">
        <a:xfrm>
          <a:off x="13430250" y="105989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46</xdr:row>
      <xdr:rowOff>0</xdr:rowOff>
    </xdr:from>
    <xdr:to>
      <xdr:col>16</xdr:col>
      <xdr:colOff>0</xdr:colOff>
      <xdr:row>46</xdr:row>
      <xdr:rowOff>164224</xdr:rowOff>
    </xdr:to>
    <xdr:sp macro="" textlink="$AV$39">
      <xdr:nvSpPr>
        <xdr:cNvPr id="76" name="Text Box 225">
          <a:extLst>
            <a:ext uri="{FF2B5EF4-FFF2-40B4-BE49-F238E27FC236}">
              <a16:creationId xmlns:a16="http://schemas.microsoft.com/office/drawing/2014/main" id="{00000000-0008-0000-1C00-00004C000000}"/>
            </a:ext>
          </a:extLst>
        </xdr:cNvPr>
        <xdr:cNvSpPr txBox="1">
          <a:spLocks noChangeArrowheads="1" noTextEdit="1"/>
        </xdr:cNvSpPr>
      </xdr:nvSpPr>
      <xdr:spPr bwMode="auto">
        <a:xfrm>
          <a:off x="13430250" y="106013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46</xdr:row>
      <xdr:rowOff>464344</xdr:rowOff>
    </xdr:from>
    <xdr:to>
      <xdr:col>16</xdr:col>
      <xdr:colOff>0</xdr:colOff>
      <xdr:row>48</xdr:row>
      <xdr:rowOff>0</xdr:rowOff>
    </xdr:to>
    <xdr:sp macro="" textlink="$AV$40">
      <xdr:nvSpPr>
        <xdr:cNvPr id="77" name="Text Box 226">
          <a:extLst>
            <a:ext uri="{FF2B5EF4-FFF2-40B4-BE49-F238E27FC236}">
              <a16:creationId xmlns:a16="http://schemas.microsoft.com/office/drawing/2014/main" id="{00000000-0008-0000-1C00-00004D000000}"/>
            </a:ext>
          </a:extLst>
        </xdr:cNvPr>
        <xdr:cNvSpPr txBox="1">
          <a:spLocks noChangeArrowheads="1" noTextEdit="1"/>
        </xdr:cNvSpPr>
      </xdr:nvSpPr>
      <xdr:spPr bwMode="auto">
        <a:xfrm>
          <a:off x="13430250" y="108275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47</xdr:row>
      <xdr:rowOff>0</xdr:rowOff>
    </xdr:from>
    <xdr:to>
      <xdr:col>16</xdr:col>
      <xdr:colOff>0</xdr:colOff>
      <xdr:row>47</xdr:row>
      <xdr:rowOff>164224</xdr:rowOff>
    </xdr:to>
    <xdr:sp macro="" textlink="$AV$39">
      <xdr:nvSpPr>
        <xdr:cNvPr id="78" name="Text Box 225">
          <a:extLst>
            <a:ext uri="{FF2B5EF4-FFF2-40B4-BE49-F238E27FC236}">
              <a16:creationId xmlns:a16="http://schemas.microsoft.com/office/drawing/2014/main" id="{00000000-0008-0000-1C00-00004E000000}"/>
            </a:ext>
          </a:extLst>
        </xdr:cNvPr>
        <xdr:cNvSpPr txBox="1">
          <a:spLocks noChangeArrowheads="1" noTextEdit="1"/>
        </xdr:cNvSpPr>
      </xdr:nvSpPr>
      <xdr:spPr bwMode="auto">
        <a:xfrm>
          <a:off x="13430250" y="108299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47</xdr:row>
      <xdr:rowOff>464344</xdr:rowOff>
    </xdr:from>
    <xdr:to>
      <xdr:col>16</xdr:col>
      <xdr:colOff>0</xdr:colOff>
      <xdr:row>49</xdr:row>
      <xdr:rowOff>0</xdr:rowOff>
    </xdr:to>
    <xdr:sp macro="" textlink="$AV$40">
      <xdr:nvSpPr>
        <xdr:cNvPr id="79" name="Text Box 226">
          <a:extLst>
            <a:ext uri="{FF2B5EF4-FFF2-40B4-BE49-F238E27FC236}">
              <a16:creationId xmlns:a16="http://schemas.microsoft.com/office/drawing/2014/main" id="{00000000-0008-0000-1C00-00004F000000}"/>
            </a:ext>
          </a:extLst>
        </xdr:cNvPr>
        <xdr:cNvSpPr txBox="1">
          <a:spLocks noChangeArrowheads="1" noTextEdit="1"/>
        </xdr:cNvSpPr>
      </xdr:nvSpPr>
      <xdr:spPr bwMode="auto">
        <a:xfrm>
          <a:off x="13430250" y="110561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48</xdr:row>
      <xdr:rowOff>0</xdr:rowOff>
    </xdr:from>
    <xdr:to>
      <xdr:col>16</xdr:col>
      <xdr:colOff>0</xdr:colOff>
      <xdr:row>48</xdr:row>
      <xdr:rowOff>164224</xdr:rowOff>
    </xdr:to>
    <xdr:sp macro="" textlink="$AV$39">
      <xdr:nvSpPr>
        <xdr:cNvPr id="80" name="Text Box 225">
          <a:extLst>
            <a:ext uri="{FF2B5EF4-FFF2-40B4-BE49-F238E27FC236}">
              <a16:creationId xmlns:a16="http://schemas.microsoft.com/office/drawing/2014/main" id="{00000000-0008-0000-1C00-000050000000}"/>
            </a:ext>
          </a:extLst>
        </xdr:cNvPr>
        <xdr:cNvSpPr txBox="1">
          <a:spLocks noChangeArrowheads="1" noTextEdit="1"/>
        </xdr:cNvSpPr>
      </xdr:nvSpPr>
      <xdr:spPr bwMode="auto">
        <a:xfrm>
          <a:off x="13430250" y="110585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48</xdr:row>
      <xdr:rowOff>464344</xdr:rowOff>
    </xdr:from>
    <xdr:to>
      <xdr:col>16</xdr:col>
      <xdr:colOff>0</xdr:colOff>
      <xdr:row>50</xdr:row>
      <xdr:rowOff>0</xdr:rowOff>
    </xdr:to>
    <xdr:sp macro="" textlink="$AV$40">
      <xdr:nvSpPr>
        <xdr:cNvPr id="81" name="Text Box 226">
          <a:extLst>
            <a:ext uri="{FF2B5EF4-FFF2-40B4-BE49-F238E27FC236}">
              <a16:creationId xmlns:a16="http://schemas.microsoft.com/office/drawing/2014/main" id="{00000000-0008-0000-1C00-000051000000}"/>
            </a:ext>
          </a:extLst>
        </xdr:cNvPr>
        <xdr:cNvSpPr txBox="1">
          <a:spLocks noChangeArrowheads="1" noTextEdit="1"/>
        </xdr:cNvSpPr>
      </xdr:nvSpPr>
      <xdr:spPr bwMode="auto">
        <a:xfrm>
          <a:off x="13430250" y="112847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49</xdr:row>
      <xdr:rowOff>0</xdr:rowOff>
    </xdr:from>
    <xdr:to>
      <xdr:col>16</xdr:col>
      <xdr:colOff>0</xdr:colOff>
      <xdr:row>49</xdr:row>
      <xdr:rowOff>164224</xdr:rowOff>
    </xdr:to>
    <xdr:sp macro="" textlink="$AV$39">
      <xdr:nvSpPr>
        <xdr:cNvPr id="82" name="Text Box 225">
          <a:extLst>
            <a:ext uri="{FF2B5EF4-FFF2-40B4-BE49-F238E27FC236}">
              <a16:creationId xmlns:a16="http://schemas.microsoft.com/office/drawing/2014/main" id="{00000000-0008-0000-1C00-000052000000}"/>
            </a:ext>
          </a:extLst>
        </xdr:cNvPr>
        <xdr:cNvSpPr txBox="1">
          <a:spLocks noChangeArrowheads="1" noTextEdit="1"/>
        </xdr:cNvSpPr>
      </xdr:nvSpPr>
      <xdr:spPr bwMode="auto">
        <a:xfrm>
          <a:off x="13430250" y="112871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49</xdr:row>
      <xdr:rowOff>464344</xdr:rowOff>
    </xdr:from>
    <xdr:to>
      <xdr:col>16</xdr:col>
      <xdr:colOff>0</xdr:colOff>
      <xdr:row>51</xdr:row>
      <xdr:rowOff>0</xdr:rowOff>
    </xdr:to>
    <xdr:sp macro="" textlink="$AV$40">
      <xdr:nvSpPr>
        <xdr:cNvPr id="83" name="Text Box 226">
          <a:extLst>
            <a:ext uri="{FF2B5EF4-FFF2-40B4-BE49-F238E27FC236}">
              <a16:creationId xmlns:a16="http://schemas.microsoft.com/office/drawing/2014/main" id="{00000000-0008-0000-1C00-000053000000}"/>
            </a:ext>
          </a:extLst>
        </xdr:cNvPr>
        <xdr:cNvSpPr txBox="1">
          <a:spLocks noChangeArrowheads="1" noTextEdit="1"/>
        </xdr:cNvSpPr>
      </xdr:nvSpPr>
      <xdr:spPr bwMode="auto">
        <a:xfrm>
          <a:off x="13430250" y="115133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50</xdr:row>
      <xdr:rowOff>0</xdr:rowOff>
    </xdr:from>
    <xdr:to>
      <xdr:col>16</xdr:col>
      <xdr:colOff>0</xdr:colOff>
      <xdr:row>50</xdr:row>
      <xdr:rowOff>164224</xdr:rowOff>
    </xdr:to>
    <xdr:sp macro="" textlink="$AV$39">
      <xdr:nvSpPr>
        <xdr:cNvPr id="84" name="Text Box 225">
          <a:extLst>
            <a:ext uri="{FF2B5EF4-FFF2-40B4-BE49-F238E27FC236}">
              <a16:creationId xmlns:a16="http://schemas.microsoft.com/office/drawing/2014/main" id="{00000000-0008-0000-1C00-000054000000}"/>
            </a:ext>
          </a:extLst>
        </xdr:cNvPr>
        <xdr:cNvSpPr txBox="1">
          <a:spLocks noChangeArrowheads="1" noTextEdit="1"/>
        </xdr:cNvSpPr>
      </xdr:nvSpPr>
      <xdr:spPr bwMode="auto">
        <a:xfrm>
          <a:off x="13430250" y="115157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50</xdr:row>
      <xdr:rowOff>464344</xdr:rowOff>
    </xdr:from>
    <xdr:to>
      <xdr:col>16</xdr:col>
      <xdr:colOff>0</xdr:colOff>
      <xdr:row>52</xdr:row>
      <xdr:rowOff>0</xdr:rowOff>
    </xdr:to>
    <xdr:sp macro="" textlink="$AV$40">
      <xdr:nvSpPr>
        <xdr:cNvPr id="85" name="Text Box 226">
          <a:extLst>
            <a:ext uri="{FF2B5EF4-FFF2-40B4-BE49-F238E27FC236}">
              <a16:creationId xmlns:a16="http://schemas.microsoft.com/office/drawing/2014/main" id="{00000000-0008-0000-1C00-000055000000}"/>
            </a:ext>
          </a:extLst>
        </xdr:cNvPr>
        <xdr:cNvSpPr txBox="1">
          <a:spLocks noChangeArrowheads="1" noTextEdit="1"/>
        </xdr:cNvSpPr>
      </xdr:nvSpPr>
      <xdr:spPr bwMode="auto">
        <a:xfrm>
          <a:off x="13430250" y="117419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51</xdr:row>
      <xdr:rowOff>0</xdr:rowOff>
    </xdr:from>
    <xdr:to>
      <xdr:col>16</xdr:col>
      <xdr:colOff>0</xdr:colOff>
      <xdr:row>51</xdr:row>
      <xdr:rowOff>164224</xdr:rowOff>
    </xdr:to>
    <xdr:sp macro="" textlink="$AV$39">
      <xdr:nvSpPr>
        <xdr:cNvPr id="86" name="Text Box 225">
          <a:extLst>
            <a:ext uri="{FF2B5EF4-FFF2-40B4-BE49-F238E27FC236}">
              <a16:creationId xmlns:a16="http://schemas.microsoft.com/office/drawing/2014/main" id="{00000000-0008-0000-1C00-000056000000}"/>
            </a:ext>
          </a:extLst>
        </xdr:cNvPr>
        <xdr:cNvSpPr txBox="1">
          <a:spLocks noChangeArrowheads="1" noTextEdit="1"/>
        </xdr:cNvSpPr>
      </xdr:nvSpPr>
      <xdr:spPr bwMode="auto">
        <a:xfrm>
          <a:off x="13430250" y="117443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51</xdr:row>
      <xdr:rowOff>464344</xdr:rowOff>
    </xdr:from>
    <xdr:to>
      <xdr:col>16</xdr:col>
      <xdr:colOff>0</xdr:colOff>
      <xdr:row>53</xdr:row>
      <xdr:rowOff>0</xdr:rowOff>
    </xdr:to>
    <xdr:sp macro="" textlink="$AV$40">
      <xdr:nvSpPr>
        <xdr:cNvPr id="87" name="Text Box 226">
          <a:extLst>
            <a:ext uri="{FF2B5EF4-FFF2-40B4-BE49-F238E27FC236}">
              <a16:creationId xmlns:a16="http://schemas.microsoft.com/office/drawing/2014/main" id="{00000000-0008-0000-1C00-000057000000}"/>
            </a:ext>
          </a:extLst>
        </xdr:cNvPr>
        <xdr:cNvSpPr txBox="1">
          <a:spLocks noChangeArrowheads="1" noTextEdit="1"/>
        </xdr:cNvSpPr>
      </xdr:nvSpPr>
      <xdr:spPr bwMode="auto">
        <a:xfrm>
          <a:off x="13430250" y="119705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52</xdr:row>
      <xdr:rowOff>0</xdr:rowOff>
    </xdr:from>
    <xdr:to>
      <xdr:col>16</xdr:col>
      <xdr:colOff>0</xdr:colOff>
      <xdr:row>52</xdr:row>
      <xdr:rowOff>164224</xdr:rowOff>
    </xdr:to>
    <xdr:sp macro="" textlink="$AV$39">
      <xdr:nvSpPr>
        <xdr:cNvPr id="88" name="Text Box 225">
          <a:extLst>
            <a:ext uri="{FF2B5EF4-FFF2-40B4-BE49-F238E27FC236}">
              <a16:creationId xmlns:a16="http://schemas.microsoft.com/office/drawing/2014/main" id="{00000000-0008-0000-1C00-000058000000}"/>
            </a:ext>
          </a:extLst>
        </xdr:cNvPr>
        <xdr:cNvSpPr txBox="1">
          <a:spLocks noChangeArrowheads="1" noTextEdit="1"/>
        </xdr:cNvSpPr>
      </xdr:nvSpPr>
      <xdr:spPr bwMode="auto">
        <a:xfrm>
          <a:off x="13430250" y="119729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52</xdr:row>
      <xdr:rowOff>464344</xdr:rowOff>
    </xdr:from>
    <xdr:to>
      <xdr:col>16</xdr:col>
      <xdr:colOff>0</xdr:colOff>
      <xdr:row>54</xdr:row>
      <xdr:rowOff>0</xdr:rowOff>
    </xdr:to>
    <xdr:sp macro="" textlink="$AV$40">
      <xdr:nvSpPr>
        <xdr:cNvPr id="89" name="Text Box 226">
          <a:extLst>
            <a:ext uri="{FF2B5EF4-FFF2-40B4-BE49-F238E27FC236}">
              <a16:creationId xmlns:a16="http://schemas.microsoft.com/office/drawing/2014/main" id="{00000000-0008-0000-1C00-000059000000}"/>
            </a:ext>
          </a:extLst>
        </xdr:cNvPr>
        <xdr:cNvSpPr txBox="1">
          <a:spLocks noChangeArrowheads="1" noTextEdit="1"/>
        </xdr:cNvSpPr>
      </xdr:nvSpPr>
      <xdr:spPr bwMode="auto">
        <a:xfrm>
          <a:off x="13430250" y="121991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53</xdr:row>
      <xdr:rowOff>0</xdr:rowOff>
    </xdr:from>
    <xdr:to>
      <xdr:col>16</xdr:col>
      <xdr:colOff>0</xdr:colOff>
      <xdr:row>53</xdr:row>
      <xdr:rowOff>164224</xdr:rowOff>
    </xdr:to>
    <xdr:sp macro="" textlink="$AV$39">
      <xdr:nvSpPr>
        <xdr:cNvPr id="90" name="Text Box 225">
          <a:extLst>
            <a:ext uri="{FF2B5EF4-FFF2-40B4-BE49-F238E27FC236}">
              <a16:creationId xmlns:a16="http://schemas.microsoft.com/office/drawing/2014/main" id="{00000000-0008-0000-1C00-00005A000000}"/>
            </a:ext>
          </a:extLst>
        </xdr:cNvPr>
        <xdr:cNvSpPr txBox="1">
          <a:spLocks noChangeArrowheads="1" noTextEdit="1"/>
        </xdr:cNvSpPr>
      </xdr:nvSpPr>
      <xdr:spPr bwMode="auto">
        <a:xfrm>
          <a:off x="13430250" y="122015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53</xdr:row>
      <xdr:rowOff>464344</xdr:rowOff>
    </xdr:from>
    <xdr:to>
      <xdr:col>16</xdr:col>
      <xdr:colOff>0</xdr:colOff>
      <xdr:row>55</xdr:row>
      <xdr:rowOff>0</xdr:rowOff>
    </xdr:to>
    <xdr:sp macro="" textlink="$AV$40">
      <xdr:nvSpPr>
        <xdr:cNvPr id="91" name="Text Box 226">
          <a:extLst>
            <a:ext uri="{FF2B5EF4-FFF2-40B4-BE49-F238E27FC236}">
              <a16:creationId xmlns:a16="http://schemas.microsoft.com/office/drawing/2014/main" id="{00000000-0008-0000-1C00-00005B000000}"/>
            </a:ext>
          </a:extLst>
        </xdr:cNvPr>
        <xdr:cNvSpPr txBox="1">
          <a:spLocks noChangeArrowheads="1" noTextEdit="1"/>
        </xdr:cNvSpPr>
      </xdr:nvSpPr>
      <xdr:spPr bwMode="auto">
        <a:xfrm>
          <a:off x="13430250" y="124277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54</xdr:row>
      <xdr:rowOff>0</xdr:rowOff>
    </xdr:from>
    <xdr:to>
      <xdr:col>16</xdr:col>
      <xdr:colOff>0</xdr:colOff>
      <xdr:row>54</xdr:row>
      <xdr:rowOff>164224</xdr:rowOff>
    </xdr:to>
    <xdr:sp macro="" textlink="$AV$39">
      <xdr:nvSpPr>
        <xdr:cNvPr id="92" name="Text Box 225">
          <a:extLst>
            <a:ext uri="{FF2B5EF4-FFF2-40B4-BE49-F238E27FC236}">
              <a16:creationId xmlns:a16="http://schemas.microsoft.com/office/drawing/2014/main" id="{00000000-0008-0000-1C00-00005C000000}"/>
            </a:ext>
          </a:extLst>
        </xdr:cNvPr>
        <xdr:cNvSpPr txBox="1">
          <a:spLocks noChangeArrowheads="1" noTextEdit="1"/>
        </xdr:cNvSpPr>
      </xdr:nvSpPr>
      <xdr:spPr bwMode="auto">
        <a:xfrm>
          <a:off x="13430250" y="124301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54</xdr:row>
      <xdr:rowOff>464344</xdr:rowOff>
    </xdr:from>
    <xdr:to>
      <xdr:col>16</xdr:col>
      <xdr:colOff>0</xdr:colOff>
      <xdr:row>56</xdr:row>
      <xdr:rowOff>0</xdr:rowOff>
    </xdr:to>
    <xdr:sp macro="" textlink="$AV$40">
      <xdr:nvSpPr>
        <xdr:cNvPr id="93" name="Text Box 226">
          <a:extLst>
            <a:ext uri="{FF2B5EF4-FFF2-40B4-BE49-F238E27FC236}">
              <a16:creationId xmlns:a16="http://schemas.microsoft.com/office/drawing/2014/main" id="{00000000-0008-0000-1C00-00005D000000}"/>
            </a:ext>
          </a:extLst>
        </xdr:cNvPr>
        <xdr:cNvSpPr txBox="1">
          <a:spLocks noChangeArrowheads="1" noTextEdit="1"/>
        </xdr:cNvSpPr>
      </xdr:nvSpPr>
      <xdr:spPr bwMode="auto">
        <a:xfrm>
          <a:off x="13430250" y="126563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55</xdr:row>
      <xdr:rowOff>0</xdr:rowOff>
    </xdr:from>
    <xdr:to>
      <xdr:col>16</xdr:col>
      <xdr:colOff>0</xdr:colOff>
      <xdr:row>55</xdr:row>
      <xdr:rowOff>164224</xdr:rowOff>
    </xdr:to>
    <xdr:sp macro="" textlink="$AV$39">
      <xdr:nvSpPr>
        <xdr:cNvPr id="94" name="Text Box 225">
          <a:extLst>
            <a:ext uri="{FF2B5EF4-FFF2-40B4-BE49-F238E27FC236}">
              <a16:creationId xmlns:a16="http://schemas.microsoft.com/office/drawing/2014/main" id="{00000000-0008-0000-1C00-00005E000000}"/>
            </a:ext>
          </a:extLst>
        </xdr:cNvPr>
        <xdr:cNvSpPr txBox="1">
          <a:spLocks noChangeArrowheads="1" noTextEdit="1"/>
        </xdr:cNvSpPr>
      </xdr:nvSpPr>
      <xdr:spPr bwMode="auto">
        <a:xfrm>
          <a:off x="13430250" y="126587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55</xdr:row>
      <xdr:rowOff>464344</xdr:rowOff>
    </xdr:from>
    <xdr:to>
      <xdr:col>16</xdr:col>
      <xdr:colOff>0</xdr:colOff>
      <xdr:row>57</xdr:row>
      <xdr:rowOff>0</xdr:rowOff>
    </xdr:to>
    <xdr:sp macro="" textlink="$AV$40">
      <xdr:nvSpPr>
        <xdr:cNvPr id="95" name="Text Box 226">
          <a:extLst>
            <a:ext uri="{FF2B5EF4-FFF2-40B4-BE49-F238E27FC236}">
              <a16:creationId xmlns:a16="http://schemas.microsoft.com/office/drawing/2014/main" id="{00000000-0008-0000-1C00-00005F000000}"/>
            </a:ext>
          </a:extLst>
        </xdr:cNvPr>
        <xdr:cNvSpPr txBox="1">
          <a:spLocks noChangeArrowheads="1" noTextEdit="1"/>
        </xdr:cNvSpPr>
      </xdr:nvSpPr>
      <xdr:spPr bwMode="auto">
        <a:xfrm>
          <a:off x="13430250" y="128849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56</xdr:row>
      <xdr:rowOff>0</xdr:rowOff>
    </xdr:from>
    <xdr:to>
      <xdr:col>16</xdr:col>
      <xdr:colOff>0</xdr:colOff>
      <xdr:row>56</xdr:row>
      <xdr:rowOff>164224</xdr:rowOff>
    </xdr:to>
    <xdr:sp macro="" textlink="$AV$39">
      <xdr:nvSpPr>
        <xdr:cNvPr id="96" name="Text Box 225">
          <a:extLst>
            <a:ext uri="{FF2B5EF4-FFF2-40B4-BE49-F238E27FC236}">
              <a16:creationId xmlns:a16="http://schemas.microsoft.com/office/drawing/2014/main" id="{00000000-0008-0000-1C00-000060000000}"/>
            </a:ext>
          </a:extLst>
        </xdr:cNvPr>
        <xdr:cNvSpPr txBox="1">
          <a:spLocks noChangeArrowheads="1" noTextEdit="1"/>
        </xdr:cNvSpPr>
      </xdr:nvSpPr>
      <xdr:spPr bwMode="auto">
        <a:xfrm>
          <a:off x="13430250" y="128873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56</xdr:row>
      <xdr:rowOff>464344</xdr:rowOff>
    </xdr:from>
    <xdr:to>
      <xdr:col>16</xdr:col>
      <xdr:colOff>0</xdr:colOff>
      <xdr:row>58</xdr:row>
      <xdr:rowOff>0</xdr:rowOff>
    </xdr:to>
    <xdr:sp macro="" textlink="$AV$40">
      <xdr:nvSpPr>
        <xdr:cNvPr id="97" name="Text Box 226">
          <a:extLst>
            <a:ext uri="{FF2B5EF4-FFF2-40B4-BE49-F238E27FC236}">
              <a16:creationId xmlns:a16="http://schemas.microsoft.com/office/drawing/2014/main" id="{00000000-0008-0000-1C00-000061000000}"/>
            </a:ext>
          </a:extLst>
        </xdr:cNvPr>
        <xdr:cNvSpPr txBox="1">
          <a:spLocks noChangeArrowheads="1" noTextEdit="1"/>
        </xdr:cNvSpPr>
      </xdr:nvSpPr>
      <xdr:spPr bwMode="auto">
        <a:xfrm>
          <a:off x="13430250" y="131135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57</xdr:row>
      <xdr:rowOff>0</xdr:rowOff>
    </xdr:from>
    <xdr:to>
      <xdr:col>16</xdr:col>
      <xdr:colOff>0</xdr:colOff>
      <xdr:row>57</xdr:row>
      <xdr:rowOff>164224</xdr:rowOff>
    </xdr:to>
    <xdr:sp macro="" textlink="$AV$39">
      <xdr:nvSpPr>
        <xdr:cNvPr id="98" name="Text Box 225">
          <a:extLst>
            <a:ext uri="{FF2B5EF4-FFF2-40B4-BE49-F238E27FC236}">
              <a16:creationId xmlns:a16="http://schemas.microsoft.com/office/drawing/2014/main" id="{00000000-0008-0000-1C00-000062000000}"/>
            </a:ext>
          </a:extLst>
        </xdr:cNvPr>
        <xdr:cNvSpPr txBox="1">
          <a:spLocks noChangeArrowheads="1" noTextEdit="1"/>
        </xdr:cNvSpPr>
      </xdr:nvSpPr>
      <xdr:spPr bwMode="auto">
        <a:xfrm>
          <a:off x="13430250" y="131159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57</xdr:row>
      <xdr:rowOff>464344</xdr:rowOff>
    </xdr:from>
    <xdr:to>
      <xdr:col>16</xdr:col>
      <xdr:colOff>0</xdr:colOff>
      <xdr:row>59</xdr:row>
      <xdr:rowOff>0</xdr:rowOff>
    </xdr:to>
    <xdr:sp macro="" textlink="$AV$40">
      <xdr:nvSpPr>
        <xdr:cNvPr id="99" name="Text Box 226">
          <a:extLst>
            <a:ext uri="{FF2B5EF4-FFF2-40B4-BE49-F238E27FC236}">
              <a16:creationId xmlns:a16="http://schemas.microsoft.com/office/drawing/2014/main" id="{00000000-0008-0000-1C00-000063000000}"/>
            </a:ext>
          </a:extLst>
        </xdr:cNvPr>
        <xdr:cNvSpPr txBox="1">
          <a:spLocks noChangeArrowheads="1" noTextEdit="1"/>
        </xdr:cNvSpPr>
      </xdr:nvSpPr>
      <xdr:spPr bwMode="auto">
        <a:xfrm>
          <a:off x="13430250" y="133421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58</xdr:row>
      <xdr:rowOff>0</xdr:rowOff>
    </xdr:from>
    <xdr:to>
      <xdr:col>16</xdr:col>
      <xdr:colOff>0</xdr:colOff>
      <xdr:row>58</xdr:row>
      <xdr:rowOff>164224</xdr:rowOff>
    </xdr:to>
    <xdr:sp macro="" textlink="$AV$39">
      <xdr:nvSpPr>
        <xdr:cNvPr id="100" name="Text Box 225">
          <a:extLst>
            <a:ext uri="{FF2B5EF4-FFF2-40B4-BE49-F238E27FC236}">
              <a16:creationId xmlns:a16="http://schemas.microsoft.com/office/drawing/2014/main" id="{00000000-0008-0000-1C00-000064000000}"/>
            </a:ext>
          </a:extLst>
        </xdr:cNvPr>
        <xdr:cNvSpPr txBox="1">
          <a:spLocks noChangeArrowheads="1" noTextEdit="1"/>
        </xdr:cNvSpPr>
      </xdr:nvSpPr>
      <xdr:spPr bwMode="auto">
        <a:xfrm>
          <a:off x="13430250" y="133445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58</xdr:row>
      <xdr:rowOff>464344</xdr:rowOff>
    </xdr:from>
    <xdr:to>
      <xdr:col>16</xdr:col>
      <xdr:colOff>0</xdr:colOff>
      <xdr:row>60</xdr:row>
      <xdr:rowOff>0</xdr:rowOff>
    </xdr:to>
    <xdr:sp macro="" textlink="$AV$40">
      <xdr:nvSpPr>
        <xdr:cNvPr id="101" name="Text Box 226">
          <a:extLst>
            <a:ext uri="{FF2B5EF4-FFF2-40B4-BE49-F238E27FC236}">
              <a16:creationId xmlns:a16="http://schemas.microsoft.com/office/drawing/2014/main" id="{00000000-0008-0000-1C00-000065000000}"/>
            </a:ext>
          </a:extLst>
        </xdr:cNvPr>
        <xdr:cNvSpPr txBox="1">
          <a:spLocks noChangeArrowheads="1" noTextEdit="1"/>
        </xdr:cNvSpPr>
      </xdr:nvSpPr>
      <xdr:spPr bwMode="auto">
        <a:xfrm>
          <a:off x="13430250" y="135707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59</xdr:row>
      <xdr:rowOff>0</xdr:rowOff>
    </xdr:from>
    <xdr:to>
      <xdr:col>16</xdr:col>
      <xdr:colOff>0</xdr:colOff>
      <xdr:row>59</xdr:row>
      <xdr:rowOff>164224</xdr:rowOff>
    </xdr:to>
    <xdr:sp macro="" textlink="$AV$39">
      <xdr:nvSpPr>
        <xdr:cNvPr id="102" name="Text Box 225">
          <a:extLst>
            <a:ext uri="{FF2B5EF4-FFF2-40B4-BE49-F238E27FC236}">
              <a16:creationId xmlns:a16="http://schemas.microsoft.com/office/drawing/2014/main" id="{00000000-0008-0000-1C00-000066000000}"/>
            </a:ext>
          </a:extLst>
        </xdr:cNvPr>
        <xdr:cNvSpPr txBox="1">
          <a:spLocks noChangeArrowheads="1" noTextEdit="1"/>
        </xdr:cNvSpPr>
      </xdr:nvSpPr>
      <xdr:spPr bwMode="auto">
        <a:xfrm>
          <a:off x="13430250" y="135731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59</xdr:row>
      <xdr:rowOff>464344</xdr:rowOff>
    </xdr:from>
    <xdr:to>
      <xdr:col>16</xdr:col>
      <xdr:colOff>0</xdr:colOff>
      <xdr:row>61</xdr:row>
      <xdr:rowOff>0</xdr:rowOff>
    </xdr:to>
    <xdr:sp macro="" textlink="$AV$40">
      <xdr:nvSpPr>
        <xdr:cNvPr id="103" name="Text Box 226">
          <a:extLst>
            <a:ext uri="{FF2B5EF4-FFF2-40B4-BE49-F238E27FC236}">
              <a16:creationId xmlns:a16="http://schemas.microsoft.com/office/drawing/2014/main" id="{00000000-0008-0000-1C00-000067000000}"/>
            </a:ext>
          </a:extLst>
        </xdr:cNvPr>
        <xdr:cNvSpPr txBox="1">
          <a:spLocks noChangeArrowheads="1" noTextEdit="1"/>
        </xdr:cNvSpPr>
      </xdr:nvSpPr>
      <xdr:spPr bwMode="auto">
        <a:xfrm>
          <a:off x="13430250" y="137993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60</xdr:row>
      <xdr:rowOff>0</xdr:rowOff>
    </xdr:from>
    <xdr:to>
      <xdr:col>16</xdr:col>
      <xdr:colOff>0</xdr:colOff>
      <xdr:row>60</xdr:row>
      <xdr:rowOff>164224</xdr:rowOff>
    </xdr:to>
    <xdr:sp macro="" textlink="$AV$39">
      <xdr:nvSpPr>
        <xdr:cNvPr id="104" name="Text Box 225">
          <a:extLst>
            <a:ext uri="{FF2B5EF4-FFF2-40B4-BE49-F238E27FC236}">
              <a16:creationId xmlns:a16="http://schemas.microsoft.com/office/drawing/2014/main" id="{00000000-0008-0000-1C00-000068000000}"/>
            </a:ext>
          </a:extLst>
        </xdr:cNvPr>
        <xdr:cNvSpPr txBox="1">
          <a:spLocks noChangeArrowheads="1" noTextEdit="1"/>
        </xdr:cNvSpPr>
      </xdr:nvSpPr>
      <xdr:spPr bwMode="auto">
        <a:xfrm>
          <a:off x="13430250" y="138017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60</xdr:row>
      <xdr:rowOff>464344</xdr:rowOff>
    </xdr:from>
    <xdr:to>
      <xdr:col>16</xdr:col>
      <xdr:colOff>0</xdr:colOff>
      <xdr:row>62</xdr:row>
      <xdr:rowOff>0</xdr:rowOff>
    </xdr:to>
    <xdr:sp macro="" textlink="$AV$40">
      <xdr:nvSpPr>
        <xdr:cNvPr id="105" name="Text Box 226">
          <a:extLst>
            <a:ext uri="{FF2B5EF4-FFF2-40B4-BE49-F238E27FC236}">
              <a16:creationId xmlns:a16="http://schemas.microsoft.com/office/drawing/2014/main" id="{00000000-0008-0000-1C00-000069000000}"/>
            </a:ext>
          </a:extLst>
        </xdr:cNvPr>
        <xdr:cNvSpPr txBox="1">
          <a:spLocks noChangeArrowheads="1" noTextEdit="1"/>
        </xdr:cNvSpPr>
      </xdr:nvSpPr>
      <xdr:spPr bwMode="auto">
        <a:xfrm>
          <a:off x="13430250" y="140279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61</xdr:row>
      <xdr:rowOff>0</xdr:rowOff>
    </xdr:from>
    <xdr:to>
      <xdr:col>16</xdr:col>
      <xdr:colOff>0</xdr:colOff>
      <xdr:row>61</xdr:row>
      <xdr:rowOff>164224</xdr:rowOff>
    </xdr:to>
    <xdr:sp macro="" textlink="$AV$39">
      <xdr:nvSpPr>
        <xdr:cNvPr id="106" name="Text Box 225">
          <a:extLst>
            <a:ext uri="{FF2B5EF4-FFF2-40B4-BE49-F238E27FC236}">
              <a16:creationId xmlns:a16="http://schemas.microsoft.com/office/drawing/2014/main" id="{00000000-0008-0000-1C00-00006A000000}"/>
            </a:ext>
          </a:extLst>
        </xdr:cNvPr>
        <xdr:cNvSpPr txBox="1">
          <a:spLocks noChangeArrowheads="1" noTextEdit="1"/>
        </xdr:cNvSpPr>
      </xdr:nvSpPr>
      <xdr:spPr bwMode="auto">
        <a:xfrm>
          <a:off x="13430250" y="140303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61</xdr:row>
      <xdr:rowOff>464344</xdr:rowOff>
    </xdr:from>
    <xdr:to>
      <xdr:col>16</xdr:col>
      <xdr:colOff>0</xdr:colOff>
      <xdr:row>63</xdr:row>
      <xdr:rowOff>0</xdr:rowOff>
    </xdr:to>
    <xdr:sp macro="" textlink="$AV$40">
      <xdr:nvSpPr>
        <xdr:cNvPr id="107" name="Text Box 226">
          <a:extLst>
            <a:ext uri="{FF2B5EF4-FFF2-40B4-BE49-F238E27FC236}">
              <a16:creationId xmlns:a16="http://schemas.microsoft.com/office/drawing/2014/main" id="{00000000-0008-0000-1C00-00006B000000}"/>
            </a:ext>
          </a:extLst>
        </xdr:cNvPr>
        <xdr:cNvSpPr txBox="1">
          <a:spLocks noChangeArrowheads="1" noTextEdit="1"/>
        </xdr:cNvSpPr>
      </xdr:nvSpPr>
      <xdr:spPr bwMode="auto">
        <a:xfrm>
          <a:off x="13430250" y="142565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62</xdr:row>
      <xdr:rowOff>0</xdr:rowOff>
    </xdr:from>
    <xdr:to>
      <xdr:col>16</xdr:col>
      <xdr:colOff>0</xdr:colOff>
      <xdr:row>62</xdr:row>
      <xdr:rowOff>164224</xdr:rowOff>
    </xdr:to>
    <xdr:sp macro="" textlink="$AV$39">
      <xdr:nvSpPr>
        <xdr:cNvPr id="108" name="Text Box 225">
          <a:extLst>
            <a:ext uri="{FF2B5EF4-FFF2-40B4-BE49-F238E27FC236}">
              <a16:creationId xmlns:a16="http://schemas.microsoft.com/office/drawing/2014/main" id="{00000000-0008-0000-1C00-00006C000000}"/>
            </a:ext>
          </a:extLst>
        </xdr:cNvPr>
        <xdr:cNvSpPr txBox="1">
          <a:spLocks noChangeArrowheads="1" noTextEdit="1"/>
        </xdr:cNvSpPr>
      </xdr:nvSpPr>
      <xdr:spPr bwMode="auto">
        <a:xfrm>
          <a:off x="13430250" y="142589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62</xdr:row>
      <xdr:rowOff>464344</xdr:rowOff>
    </xdr:from>
    <xdr:to>
      <xdr:col>16</xdr:col>
      <xdr:colOff>0</xdr:colOff>
      <xdr:row>64</xdr:row>
      <xdr:rowOff>0</xdr:rowOff>
    </xdr:to>
    <xdr:sp macro="" textlink="$AV$40">
      <xdr:nvSpPr>
        <xdr:cNvPr id="109" name="Text Box 226">
          <a:extLst>
            <a:ext uri="{FF2B5EF4-FFF2-40B4-BE49-F238E27FC236}">
              <a16:creationId xmlns:a16="http://schemas.microsoft.com/office/drawing/2014/main" id="{00000000-0008-0000-1C00-00006D000000}"/>
            </a:ext>
          </a:extLst>
        </xdr:cNvPr>
        <xdr:cNvSpPr txBox="1">
          <a:spLocks noChangeArrowheads="1" noTextEdit="1"/>
        </xdr:cNvSpPr>
      </xdr:nvSpPr>
      <xdr:spPr bwMode="auto">
        <a:xfrm>
          <a:off x="13430250" y="144851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63</xdr:row>
      <xdr:rowOff>0</xdr:rowOff>
    </xdr:from>
    <xdr:to>
      <xdr:col>16</xdr:col>
      <xdr:colOff>0</xdr:colOff>
      <xdr:row>63</xdr:row>
      <xdr:rowOff>164224</xdr:rowOff>
    </xdr:to>
    <xdr:sp macro="" textlink="$AV$39">
      <xdr:nvSpPr>
        <xdr:cNvPr id="110" name="Text Box 225">
          <a:extLst>
            <a:ext uri="{FF2B5EF4-FFF2-40B4-BE49-F238E27FC236}">
              <a16:creationId xmlns:a16="http://schemas.microsoft.com/office/drawing/2014/main" id="{00000000-0008-0000-1C00-00006E000000}"/>
            </a:ext>
          </a:extLst>
        </xdr:cNvPr>
        <xdr:cNvSpPr txBox="1">
          <a:spLocks noChangeArrowheads="1" noTextEdit="1"/>
        </xdr:cNvSpPr>
      </xdr:nvSpPr>
      <xdr:spPr bwMode="auto">
        <a:xfrm>
          <a:off x="13430250" y="144875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63</xdr:row>
      <xdr:rowOff>464344</xdr:rowOff>
    </xdr:from>
    <xdr:to>
      <xdr:col>16</xdr:col>
      <xdr:colOff>0</xdr:colOff>
      <xdr:row>65</xdr:row>
      <xdr:rowOff>0</xdr:rowOff>
    </xdr:to>
    <xdr:sp macro="" textlink="$AV$40">
      <xdr:nvSpPr>
        <xdr:cNvPr id="111" name="Text Box 226">
          <a:extLst>
            <a:ext uri="{FF2B5EF4-FFF2-40B4-BE49-F238E27FC236}">
              <a16:creationId xmlns:a16="http://schemas.microsoft.com/office/drawing/2014/main" id="{00000000-0008-0000-1C00-00006F000000}"/>
            </a:ext>
          </a:extLst>
        </xdr:cNvPr>
        <xdr:cNvSpPr txBox="1">
          <a:spLocks noChangeArrowheads="1" noTextEdit="1"/>
        </xdr:cNvSpPr>
      </xdr:nvSpPr>
      <xdr:spPr bwMode="auto">
        <a:xfrm>
          <a:off x="13430250" y="147137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64</xdr:row>
      <xdr:rowOff>0</xdr:rowOff>
    </xdr:from>
    <xdr:to>
      <xdr:col>16</xdr:col>
      <xdr:colOff>0</xdr:colOff>
      <xdr:row>64</xdr:row>
      <xdr:rowOff>164224</xdr:rowOff>
    </xdr:to>
    <xdr:sp macro="" textlink="$AV$39">
      <xdr:nvSpPr>
        <xdr:cNvPr id="112" name="Text Box 225">
          <a:extLst>
            <a:ext uri="{FF2B5EF4-FFF2-40B4-BE49-F238E27FC236}">
              <a16:creationId xmlns:a16="http://schemas.microsoft.com/office/drawing/2014/main" id="{00000000-0008-0000-1C00-000070000000}"/>
            </a:ext>
          </a:extLst>
        </xdr:cNvPr>
        <xdr:cNvSpPr txBox="1">
          <a:spLocks noChangeArrowheads="1" noTextEdit="1"/>
        </xdr:cNvSpPr>
      </xdr:nvSpPr>
      <xdr:spPr bwMode="auto">
        <a:xfrm>
          <a:off x="13430250" y="147161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64</xdr:row>
      <xdr:rowOff>464344</xdr:rowOff>
    </xdr:from>
    <xdr:to>
      <xdr:col>16</xdr:col>
      <xdr:colOff>0</xdr:colOff>
      <xdr:row>66</xdr:row>
      <xdr:rowOff>0</xdr:rowOff>
    </xdr:to>
    <xdr:sp macro="" textlink="$AV$40">
      <xdr:nvSpPr>
        <xdr:cNvPr id="113" name="Text Box 226">
          <a:extLst>
            <a:ext uri="{FF2B5EF4-FFF2-40B4-BE49-F238E27FC236}">
              <a16:creationId xmlns:a16="http://schemas.microsoft.com/office/drawing/2014/main" id="{00000000-0008-0000-1C00-000071000000}"/>
            </a:ext>
          </a:extLst>
        </xdr:cNvPr>
        <xdr:cNvSpPr txBox="1">
          <a:spLocks noChangeArrowheads="1" noTextEdit="1"/>
        </xdr:cNvSpPr>
      </xdr:nvSpPr>
      <xdr:spPr bwMode="auto">
        <a:xfrm>
          <a:off x="13430250" y="149423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65</xdr:row>
      <xdr:rowOff>0</xdr:rowOff>
    </xdr:from>
    <xdr:to>
      <xdr:col>16</xdr:col>
      <xdr:colOff>0</xdr:colOff>
      <xdr:row>65</xdr:row>
      <xdr:rowOff>164224</xdr:rowOff>
    </xdr:to>
    <xdr:sp macro="" textlink="$AV$39">
      <xdr:nvSpPr>
        <xdr:cNvPr id="114" name="Text Box 225">
          <a:extLst>
            <a:ext uri="{FF2B5EF4-FFF2-40B4-BE49-F238E27FC236}">
              <a16:creationId xmlns:a16="http://schemas.microsoft.com/office/drawing/2014/main" id="{00000000-0008-0000-1C00-000072000000}"/>
            </a:ext>
          </a:extLst>
        </xdr:cNvPr>
        <xdr:cNvSpPr txBox="1">
          <a:spLocks noChangeArrowheads="1" noTextEdit="1"/>
        </xdr:cNvSpPr>
      </xdr:nvSpPr>
      <xdr:spPr bwMode="auto">
        <a:xfrm>
          <a:off x="13430250" y="149447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65</xdr:row>
      <xdr:rowOff>464344</xdr:rowOff>
    </xdr:from>
    <xdr:to>
      <xdr:col>16</xdr:col>
      <xdr:colOff>0</xdr:colOff>
      <xdr:row>67</xdr:row>
      <xdr:rowOff>0</xdr:rowOff>
    </xdr:to>
    <xdr:sp macro="" textlink="$AV$40">
      <xdr:nvSpPr>
        <xdr:cNvPr id="115" name="Text Box 226">
          <a:extLst>
            <a:ext uri="{FF2B5EF4-FFF2-40B4-BE49-F238E27FC236}">
              <a16:creationId xmlns:a16="http://schemas.microsoft.com/office/drawing/2014/main" id="{00000000-0008-0000-1C00-000073000000}"/>
            </a:ext>
          </a:extLst>
        </xdr:cNvPr>
        <xdr:cNvSpPr txBox="1">
          <a:spLocks noChangeArrowheads="1" noTextEdit="1"/>
        </xdr:cNvSpPr>
      </xdr:nvSpPr>
      <xdr:spPr bwMode="auto">
        <a:xfrm>
          <a:off x="13430250" y="151709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66</xdr:row>
      <xdr:rowOff>0</xdr:rowOff>
    </xdr:from>
    <xdr:to>
      <xdr:col>16</xdr:col>
      <xdr:colOff>0</xdr:colOff>
      <xdr:row>66</xdr:row>
      <xdr:rowOff>164224</xdr:rowOff>
    </xdr:to>
    <xdr:sp macro="" textlink="$AV$39">
      <xdr:nvSpPr>
        <xdr:cNvPr id="116" name="Text Box 225">
          <a:extLst>
            <a:ext uri="{FF2B5EF4-FFF2-40B4-BE49-F238E27FC236}">
              <a16:creationId xmlns:a16="http://schemas.microsoft.com/office/drawing/2014/main" id="{00000000-0008-0000-1C00-000074000000}"/>
            </a:ext>
          </a:extLst>
        </xdr:cNvPr>
        <xdr:cNvSpPr txBox="1">
          <a:spLocks noChangeArrowheads="1" noTextEdit="1"/>
        </xdr:cNvSpPr>
      </xdr:nvSpPr>
      <xdr:spPr bwMode="auto">
        <a:xfrm>
          <a:off x="13430250" y="151733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66</xdr:row>
      <xdr:rowOff>464344</xdr:rowOff>
    </xdr:from>
    <xdr:to>
      <xdr:col>16</xdr:col>
      <xdr:colOff>0</xdr:colOff>
      <xdr:row>68</xdr:row>
      <xdr:rowOff>0</xdr:rowOff>
    </xdr:to>
    <xdr:sp macro="" textlink="$AV$40">
      <xdr:nvSpPr>
        <xdr:cNvPr id="117" name="Text Box 226">
          <a:extLst>
            <a:ext uri="{FF2B5EF4-FFF2-40B4-BE49-F238E27FC236}">
              <a16:creationId xmlns:a16="http://schemas.microsoft.com/office/drawing/2014/main" id="{00000000-0008-0000-1C00-000075000000}"/>
            </a:ext>
          </a:extLst>
        </xdr:cNvPr>
        <xdr:cNvSpPr txBox="1">
          <a:spLocks noChangeArrowheads="1" noTextEdit="1"/>
        </xdr:cNvSpPr>
      </xdr:nvSpPr>
      <xdr:spPr bwMode="auto">
        <a:xfrm>
          <a:off x="13430250" y="153995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67</xdr:row>
      <xdr:rowOff>0</xdr:rowOff>
    </xdr:from>
    <xdr:to>
      <xdr:col>16</xdr:col>
      <xdr:colOff>0</xdr:colOff>
      <xdr:row>67</xdr:row>
      <xdr:rowOff>164224</xdr:rowOff>
    </xdr:to>
    <xdr:sp macro="" textlink="$AV$39">
      <xdr:nvSpPr>
        <xdr:cNvPr id="118" name="Text Box 225">
          <a:extLst>
            <a:ext uri="{FF2B5EF4-FFF2-40B4-BE49-F238E27FC236}">
              <a16:creationId xmlns:a16="http://schemas.microsoft.com/office/drawing/2014/main" id="{00000000-0008-0000-1C00-000076000000}"/>
            </a:ext>
          </a:extLst>
        </xdr:cNvPr>
        <xdr:cNvSpPr txBox="1">
          <a:spLocks noChangeArrowheads="1" noTextEdit="1"/>
        </xdr:cNvSpPr>
      </xdr:nvSpPr>
      <xdr:spPr bwMode="auto">
        <a:xfrm>
          <a:off x="13430250" y="154019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67</xdr:row>
      <xdr:rowOff>464344</xdr:rowOff>
    </xdr:from>
    <xdr:to>
      <xdr:col>16</xdr:col>
      <xdr:colOff>0</xdr:colOff>
      <xdr:row>69</xdr:row>
      <xdr:rowOff>0</xdr:rowOff>
    </xdr:to>
    <xdr:sp macro="" textlink="$AV$40">
      <xdr:nvSpPr>
        <xdr:cNvPr id="119" name="Text Box 226">
          <a:extLst>
            <a:ext uri="{FF2B5EF4-FFF2-40B4-BE49-F238E27FC236}">
              <a16:creationId xmlns:a16="http://schemas.microsoft.com/office/drawing/2014/main" id="{00000000-0008-0000-1C00-000077000000}"/>
            </a:ext>
          </a:extLst>
        </xdr:cNvPr>
        <xdr:cNvSpPr txBox="1">
          <a:spLocks noChangeArrowheads="1" noTextEdit="1"/>
        </xdr:cNvSpPr>
      </xdr:nvSpPr>
      <xdr:spPr bwMode="auto">
        <a:xfrm>
          <a:off x="13430250" y="156281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68</xdr:row>
      <xdr:rowOff>0</xdr:rowOff>
    </xdr:from>
    <xdr:to>
      <xdr:col>16</xdr:col>
      <xdr:colOff>0</xdr:colOff>
      <xdr:row>68</xdr:row>
      <xdr:rowOff>164224</xdr:rowOff>
    </xdr:to>
    <xdr:sp macro="" textlink="$AV$39">
      <xdr:nvSpPr>
        <xdr:cNvPr id="120" name="Text Box 225">
          <a:extLst>
            <a:ext uri="{FF2B5EF4-FFF2-40B4-BE49-F238E27FC236}">
              <a16:creationId xmlns:a16="http://schemas.microsoft.com/office/drawing/2014/main" id="{00000000-0008-0000-1C00-000078000000}"/>
            </a:ext>
          </a:extLst>
        </xdr:cNvPr>
        <xdr:cNvSpPr txBox="1">
          <a:spLocks noChangeArrowheads="1" noTextEdit="1"/>
        </xdr:cNvSpPr>
      </xdr:nvSpPr>
      <xdr:spPr bwMode="auto">
        <a:xfrm>
          <a:off x="13430250" y="15630525"/>
          <a:ext cx="358140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68</xdr:row>
      <xdr:rowOff>464344</xdr:rowOff>
    </xdr:from>
    <xdr:to>
      <xdr:col>16</xdr:col>
      <xdr:colOff>0</xdr:colOff>
      <xdr:row>70</xdr:row>
      <xdr:rowOff>0</xdr:rowOff>
    </xdr:to>
    <xdr:sp macro="" textlink="$AV$40">
      <xdr:nvSpPr>
        <xdr:cNvPr id="121" name="Text Box 226">
          <a:extLst>
            <a:ext uri="{FF2B5EF4-FFF2-40B4-BE49-F238E27FC236}">
              <a16:creationId xmlns:a16="http://schemas.microsoft.com/office/drawing/2014/main" id="{00000000-0008-0000-1C00-000079000000}"/>
            </a:ext>
          </a:extLst>
        </xdr:cNvPr>
        <xdr:cNvSpPr txBox="1">
          <a:spLocks noChangeArrowheads="1" noTextEdit="1"/>
        </xdr:cNvSpPr>
      </xdr:nvSpPr>
      <xdr:spPr bwMode="auto">
        <a:xfrm>
          <a:off x="13430250" y="15856744"/>
          <a:ext cx="3581400" cy="2309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editAs="oneCell">
    <xdr:from>
      <xdr:col>2</xdr:col>
      <xdr:colOff>13607</xdr:colOff>
      <xdr:row>1</xdr:row>
      <xdr:rowOff>13607</xdr:rowOff>
    </xdr:from>
    <xdr:to>
      <xdr:col>11</xdr:col>
      <xdr:colOff>747992</xdr:colOff>
      <xdr:row>5</xdr:row>
      <xdr:rowOff>102056</xdr:rowOff>
    </xdr:to>
    <xdr:grpSp>
      <xdr:nvGrpSpPr>
        <xdr:cNvPr id="153" name="Group 121">
          <a:extLst>
            <a:ext uri="{FF2B5EF4-FFF2-40B4-BE49-F238E27FC236}">
              <a16:creationId xmlns:a16="http://schemas.microsoft.com/office/drawing/2014/main" id="{00000000-0008-0000-1C00-000099000000}"/>
            </a:ext>
          </a:extLst>
        </xdr:cNvPr>
        <xdr:cNvGrpSpPr/>
      </xdr:nvGrpSpPr>
      <xdr:grpSpPr>
        <a:xfrm>
          <a:off x="187325" y="187325"/>
          <a:ext cx="11653663" cy="802370"/>
          <a:chOff x="247650" y="186690"/>
          <a:chExt cx="13727934" cy="782108"/>
        </a:xfrm>
      </xdr:grpSpPr>
      <xdr:grpSp>
        <xdr:nvGrpSpPr>
          <xdr:cNvPr id="154" name="Group 122">
            <a:extLst>
              <a:ext uri="{FF2B5EF4-FFF2-40B4-BE49-F238E27FC236}">
                <a16:creationId xmlns:a16="http://schemas.microsoft.com/office/drawing/2014/main" id="{00000000-0008-0000-1C00-00009A000000}"/>
              </a:ext>
            </a:extLst>
          </xdr:cNvPr>
          <xdr:cNvGrpSpPr/>
        </xdr:nvGrpSpPr>
        <xdr:grpSpPr>
          <a:xfrm>
            <a:off x="836544" y="186690"/>
            <a:ext cx="13139040" cy="782108"/>
            <a:chOff x="812484" y="438150"/>
            <a:chExt cx="10843263" cy="814493"/>
          </a:xfrm>
        </xdr:grpSpPr>
        <xdr:sp macro="" textlink="">
          <xdr:nvSpPr>
            <xdr:cNvPr id="155" name="TextBox 31">
              <a:extLst>
                <a:ext uri="{FF2B5EF4-FFF2-40B4-BE49-F238E27FC236}">
                  <a16:creationId xmlns:a16="http://schemas.microsoft.com/office/drawing/2014/main" id="{00000000-0008-0000-1C00-00009B000000}"/>
                </a:ext>
              </a:extLst>
            </xdr:cNvPr>
            <xdr:cNvSpPr txBox="1"/>
          </xdr:nvSpPr>
          <xdr:spPr>
            <a:xfrm>
              <a:off x="812484" y="619125"/>
              <a:ext cx="10843263" cy="633518"/>
            </a:xfrm>
            <a:prstGeom prst="rect">
              <a:avLst/>
            </a:prstGeom>
            <a:noFill/>
          </xdr:spPr>
          <xdr:txBody>
            <a:bodyPr wrap="square" rtlCol="0">
              <a:noAutofit/>
            </a:bodyPr>
            <a:lstStyle/>
            <a:p>
              <a:pPr algn="l"/>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13.7.6</a:t>
              </a:r>
              <a:r>
                <a:rPr lang="en-US" sz="40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t> ARTIFICIAL LIGHTING</a:t>
              </a:r>
              <a:endPar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sp macro="" textlink="Name">
          <xdr:nvSpPr>
            <xdr:cNvPr id="156" name="TextBox 31">
              <a:extLst>
                <a:ext uri="{FF2B5EF4-FFF2-40B4-BE49-F238E27FC236}">
                  <a16:creationId xmlns:a16="http://schemas.microsoft.com/office/drawing/2014/main" id="{00000000-0008-0000-1C00-00009C000000}"/>
                </a:ext>
              </a:extLst>
            </xdr:cNvPr>
            <xdr:cNvSpPr txBox="1"/>
          </xdr:nvSpPr>
          <xdr:spPr>
            <a:xfrm>
              <a:off x="815423" y="438150"/>
              <a:ext cx="10640147" cy="24765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2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pPr algn="l"/>
                <a:t>Housing Energy Efficiency Calculator</a:t>
              </a:fld>
              <a:endParaRPr lang="en-AU" sz="1200" b="0" spc="1190" baseline="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grpSp>
      <xdr:pic>
        <xdr:nvPicPr>
          <xdr:cNvPr id="157" name="Picture 123" descr="A white arrow in a circle&#10;&#10;Description automatically generated">
            <a:hlinkClick xmlns:r="http://schemas.openxmlformats.org/officeDocument/2006/relationships" r:id="rId2"/>
            <a:extLst>
              <a:ext uri="{FF2B5EF4-FFF2-40B4-BE49-F238E27FC236}">
                <a16:creationId xmlns:a16="http://schemas.microsoft.com/office/drawing/2014/main" id="{00000000-0008-0000-1C00-00009D000000}"/>
              </a:ext>
            </a:extLst>
          </xdr:cNvPr>
          <xdr:cNvPicPr>
            <a:picLocks noChangeAspect="1"/>
          </xdr:cNvPicPr>
        </xdr:nvPicPr>
        <xdr:blipFill>
          <a:blip xmlns:r="http://schemas.openxmlformats.org/officeDocument/2006/relationships" r:embed="rId3">
            <a:biLevel thresh="25000"/>
            <a:extLst>
              <a:ext uri="{BEBA8EAE-BF5A-486C-A8C5-ECC9F3942E4B}">
                <a14:imgProps xmlns:a14="http://schemas.microsoft.com/office/drawing/2010/main">
                  <a14:imgLayer r:embed="rId4">
                    <a14:imgEffect>
                      <a14:brightnessContrast bright="-40000" contrast="-40000"/>
                    </a14:imgEffect>
                  </a14:imgLayer>
                </a14:imgProps>
              </a:ext>
            </a:extLst>
          </a:blip>
          <a:stretch>
            <a:fillRect/>
          </a:stretch>
        </xdr:blipFill>
        <xdr:spPr>
          <a:xfrm>
            <a:off x="247650" y="354261"/>
            <a:ext cx="459789" cy="443155"/>
          </a:xfrm>
          <a:prstGeom prst="rect">
            <a:avLst/>
          </a:prstGeom>
        </xdr:spPr>
      </xdr:pic>
    </xdr:grpSp>
    <xdr:clientData/>
  </xdr:twoCellAnchor>
  <xdr:twoCellAnchor>
    <xdr:from>
      <xdr:col>81</xdr:col>
      <xdr:colOff>244930</xdr:colOff>
      <xdr:row>2</xdr:row>
      <xdr:rowOff>81643</xdr:rowOff>
    </xdr:from>
    <xdr:to>
      <xdr:col>82</xdr:col>
      <xdr:colOff>352085</xdr:colOff>
      <xdr:row>5</xdr:row>
      <xdr:rowOff>138028</xdr:rowOff>
    </xdr:to>
    <xdr:sp macro="" textlink="">
      <xdr:nvSpPr>
        <xdr:cNvPr id="199" name="Rectangle 8">
          <a:hlinkClick xmlns:r="http://schemas.openxmlformats.org/officeDocument/2006/relationships" r:id="rId5"/>
          <a:extLst>
            <a:ext uri="{FF2B5EF4-FFF2-40B4-BE49-F238E27FC236}">
              <a16:creationId xmlns:a16="http://schemas.microsoft.com/office/drawing/2014/main" id="{00000000-0008-0000-1C00-0000C7000000}"/>
            </a:ext>
          </a:extLst>
        </xdr:cNvPr>
        <xdr:cNvSpPr/>
      </xdr:nvSpPr>
      <xdr:spPr>
        <a:xfrm>
          <a:off x="25527001" y="435429"/>
          <a:ext cx="2012155" cy="587063"/>
        </a:xfrm>
        <a:prstGeom prst="rect">
          <a:avLst/>
        </a:prstGeom>
        <a:solidFill>
          <a:schemeClr val="bg1">
            <a:lumMod val="75000"/>
          </a:schemeClr>
        </a:solidFill>
        <a:ln>
          <a:noFill/>
        </a:ln>
        <a:effectLst>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AU" sz="1100" b="1" i="1">
              <a:solidFill>
                <a:sysClr val="windowText" lastClr="000000"/>
              </a:solidFill>
            </a:rPr>
            <a:t>Click</a:t>
          </a:r>
          <a:r>
            <a:rPr lang="en-AU" sz="1100" b="1" i="1" baseline="0">
              <a:solidFill>
                <a:sysClr val="windowText" lastClr="000000"/>
              </a:solidFill>
            </a:rPr>
            <a:t> to view Part 13.7 of </a:t>
          </a:r>
          <a:r>
            <a:rPr lang="en-AU" sz="1100" b="1" i="1">
              <a:solidFill>
                <a:sysClr val="windowText" lastClr="000000"/>
              </a:solidFill>
            </a:rPr>
            <a:t>National Construction Code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7938</xdr:colOff>
      <xdr:row>0</xdr:row>
      <xdr:rowOff>500062</xdr:rowOff>
    </xdr:from>
    <xdr:to>
      <xdr:col>4</xdr:col>
      <xdr:colOff>8532658</xdr:colOff>
      <xdr:row>1</xdr:row>
      <xdr:rowOff>38633</xdr:rowOff>
    </xdr:to>
    <xdr:grpSp>
      <xdr:nvGrpSpPr>
        <xdr:cNvPr id="2" name="Group 1">
          <a:extLst>
            <a:ext uri="{FF2B5EF4-FFF2-40B4-BE49-F238E27FC236}">
              <a16:creationId xmlns:a16="http://schemas.microsoft.com/office/drawing/2014/main" id="{00000000-0008-0000-1D00-000002000000}"/>
            </a:ext>
          </a:extLst>
        </xdr:cNvPr>
        <xdr:cNvGrpSpPr/>
      </xdr:nvGrpSpPr>
      <xdr:grpSpPr>
        <a:xfrm>
          <a:off x="256042" y="503237"/>
          <a:ext cx="9011402" cy="773646"/>
          <a:chOff x="246063" y="500062"/>
          <a:chExt cx="9024783" cy="776821"/>
        </a:xfrm>
      </xdr:grpSpPr>
      <xdr:sp macro="" textlink="">
        <xdr:nvSpPr>
          <xdr:cNvPr id="26" name="TextBox 31">
            <a:extLst>
              <a:ext uri="{FF2B5EF4-FFF2-40B4-BE49-F238E27FC236}">
                <a16:creationId xmlns:a16="http://schemas.microsoft.com/office/drawing/2014/main" id="{00000000-0008-0000-1D00-00001A000000}"/>
              </a:ext>
            </a:extLst>
          </xdr:cNvPr>
          <xdr:cNvSpPr txBox="1"/>
        </xdr:nvSpPr>
        <xdr:spPr>
          <a:xfrm>
            <a:off x="729238" y="672667"/>
            <a:ext cx="8355675" cy="604216"/>
          </a:xfrm>
          <a:prstGeom prst="rect">
            <a:avLst/>
          </a:prstGeom>
          <a:noFill/>
        </xdr:spPr>
        <xdr:txBody>
          <a:bodyPr wrap="square" rtlCol="0">
            <a:noAutofit/>
          </a:bodyPr>
          <a:lstStyle/>
          <a:p>
            <a:pPr algn="l"/>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HELP GUIDE</a:t>
            </a:r>
          </a:p>
          <a:p>
            <a:pPr algn="l"/>
            <a:endPar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sp macro="" textlink="Name">
        <xdr:nvSpPr>
          <xdr:cNvPr id="27" name="TextBox 31">
            <a:extLst>
              <a:ext uri="{FF2B5EF4-FFF2-40B4-BE49-F238E27FC236}">
                <a16:creationId xmlns:a16="http://schemas.microsoft.com/office/drawing/2014/main" id="{00000000-0008-0000-1D00-00001B000000}"/>
              </a:ext>
            </a:extLst>
          </xdr:cNvPr>
          <xdr:cNvSpPr txBox="1"/>
        </xdr:nvSpPr>
        <xdr:spPr>
          <a:xfrm>
            <a:off x="810844" y="500062"/>
            <a:ext cx="8460002" cy="236196"/>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2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pPr algn="l"/>
              <a:t>Housing Energy Efficiency Calculator</a:t>
            </a:fld>
            <a:endParaRPr lang="en-AU" sz="1200" b="0" spc="1190" baseline="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pic>
        <xdr:nvPicPr>
          <xdr:cNvPr id="28" name="Picture 7" descr="A white arrow in a circle&#10;&#10;Description automatically generated">
            <a:hlinkClick xmlns:r="http://schemas.openxmlformats.org/officeDocument/2006/relationships" r:id="rId1"/>
            <a:extLst>
              <a:ext uri="{FF2B5EF4-FFF2-40B4-BE49-F238E27FC236}">
                <a16:creationId xmlns:a16="http://schemas.microsoft.com/office/drawing/2014/main" id="{00000000-0008-0000-1D00-00001C000000}"/>
              </a:ext>
            </a:extLst>
          </xdr:cNvPr>
          <xdr:cNvPicPr>
            <a:picLocks noChangeAspect="1"/>
          </xdr:cNvPicPr>
        </xdr:nvPicPr>
        <xdr:blipFill>
          <a:blip xmlns:r="http://schemas.openxmlformats.org/officeDocument/2006/relationships" r:embed="rId2">
            <a:biLevel thresh="25000"/>
            <a:extLst>
              <a:ext uri="{BEBA8EAE-BF5A-486C-A8C5-ECC9F3942E4B}">
                <a14:imgProps xmlns:a14="http://schemas.microsoft.com/office/drawing/2010/main">
                  <a14:imgLayer r:embed="rId3">
                    <a14:imgEffect>
                      <a14:brightnessContrast bright="-40000" contrast="-40000"/>
                    </a14:imgEffect>
                  </a14:imgLayer>
                </a14:imgProps>
              </a:ext>
            </a:extLst>
          </a:blip>
          <a:stretch>
            <a:fillRect/>
          </a:stretch>
        </xdr:blipFill>
        <xdr:spPr>
          <a:xfrm>
            <a:off x="246063" y="666499"/>
            <a:ext cx="432000" cy="432000"/>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absolute">
    <xdr:from>
      <xdr:col>2</xdr:col>
      <xdr:colOff>148045</xdr:colOff>
      <xdr:row>1</xdr:row>
      <xdr:rowOff>5854</xdr:rowOff>
    </xdr:from>
    <xdr:to>
      <xdr:col>6</xdr:col>
      <xdr:colOff>2528578</xdr:colOff>
      <xdr:row>5</xdr:row>
      <xdr:rowOff>97766</xdr:rowOff>
    </xdr:to>
    <xdr:grpSp>
      <xdr:nvGrpSpPr>
        <xdr:cNvPr id="7" name="Group 1">
          <a:extLst>
            <a:ext uri="{FF2B5EF4-FFF2-40B4-BE49-F238E27FC236}">
              <a16:creationId xmlns:a16="http://schemas.microsoft.com/office/drawing/2014/main" id="{00000000-0008-0000-0100-000007000000}"/>
            </a:ext>
          </a:extLst>
        </xdr:cNvPr>
        <xdr:cNvGrpSpPr/>
      </xdr:nvGrpSpPr>
      <xdr:grpSpPr>
        <a:xfrm>
          <a:off x="1641656" y="185922"/>
          <a:ext cx="13674461" cy="796308"/>
          <a:chOff x="247650" y="186690"/>
          <a:chExt cx="13487227" cy="782108"/>
        </a:xfrm>
      </xdr:grpSpPr>
      <xdr:grpSp>
        <xdr:nvGrpSpPr>
          <xdr:cNvPr id="8" name="Group 2">
            <a:extLst>
              <a:ext uri="{FF2B5EF4-FFF2-40B4-BE49-F238E27FC236}">
                <a16:creationId xmlns:a16="http://schemas.microsoft.com/office/drawing/2014/main" id="{00000000-0008-0000-0100-000008000000}"/>
              </a:ext>
            </a:extLst>
          </xdr:cNvPr>
          <xdr:cNvGrpSpPr/>
        </xdr:nvGrpSpPr>
        <xdr:grpSpPr>
          <a:xfrm>
            <a:off x="836545" y="186690"/>
            <a:ext cx="12898332" cy="782108"/>
            <a:chOff x="812485" y="438150"/>
            <a:chExt cx="10644614" cy="814493"/>
          </a:xfrm>
        </xdr:grpSpPr>
        <xdr:sp macro="" textlink="">
          <xdr:nvSpPr>
            <xdr:cNvPr id="9" name="TextBox 31">
              <a:extLst>
                <a:ext uri="{FF2B5EF4-FFF2-40B4-BE49-F238E27FC236}">
                  <a16:creationId xmlns:a16="http://schemas.microsoft.com/office/drawing/2014/main" id="{00000000-0008-0000-0100-000009000000}"/>
                </a:ext>
              </a:extLst>
            </xdr:cNvPr>
            <xdr:cNvSpPr txBox="1"/>
          </xdr:nvSpPr>
          <xdr:spPr>
            <a:xfrm>
              <a:off x="812485" y="619125"/>
              <a:ext cx="10644614" cy="633518"/>
            </a:xfrm>
            <a:prstGeom prst="rect">
              <a:avLst/>
            </a:prstGeom>
            <a:noFill/>
          </xdr:spPr>
          <xdr:txBody>
            <a:bodyPr wrap="square" rtlCol="0">
              <a:noAutofit/>
            </a:bodyPr>
            <a:lstStyle/>
            <a:p>
              <a:pPr algn="l"/>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SUMMARY</a:t>
              </a:r>
            </a:p>
          </xdr:txBody>
        </xdr:sp>
        <xdr:sp macro="" textlink="Name">
          <xdr:nvSpPr>
            <xdr:cNvPr id="10" name="TextBox 31">
              <a:extLst>
                <a:ext uri="{FF2B5EF4-FFF2-40B4-BE49-F238E27FC236}">
                  <a16:creationId xmlns:a16="http://schemas.microsoft.com/office/drawing/2014/main" id="{00000000-0008-0000-0100-00000A000000}"/>
                </a:ext>
              </a:extLst>
            </xdr:cNvPr>
            <xdr:cNvSpPr txBox="1"/>
          </xdr:nvSpPr>
          <xdr:spPr>
            <a:xfrm>
              <a:off x="815423" y="438150"/>
              <a:ext cx="10640147" cy="24765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2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pPr algn="l"/>
                <a:t>Housing Energy Efficiency Calculator</a:t>
              </a:fld>
              <a:endParaRPr lang="en-AU" sz="1200" b="0" spc="1190" baseline="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grpSp>
      <xdr:pic>
        <xdr:nvPicPr>
          <xdr:cNvPr id="11" name="Picture 3" descr="A white arrow in a circle&#10;&#10;Description automatically generated">
            <a:hlinkClick xmlns:r="http://schemas.openxmlformats.org/officeDocument/2006/relationships" r:id="rId1"/>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2">
            <a:biLevel thresh="25000"/>
            <a:extLst>
              <a:ext uri="{BEBA8EAE-BF5A-486C-A8C5-ECC9F3942E4B}">
                <a14:imgProps xmlns:a14="http://schemas.microsoft.com/office/drawing/2010/main">
                  <a14:imgLayer r:embed="rId3">
                    <a14:imgEffect>
                      <a14:brightnessContrast bright="-40000" contrast="-40000"/>
                    </a14:imgEffect>
                  </a14:imgLayer>
                </a14:imgProps>
              </a:ext>
            </a:extLst>
          </a:blip>
          <a:stretch>
            <a:fillRect/>
          </a:stretch>
        </xdr:blipFill>
        <xdr:spPr>
          <a:xfrm>
            <a:off x="247650" y="354261"/>
            <a:ext cx="459789" cy="443155"/>
          </a:xfrm>
          <a:prstGeom prst="rect">
            <a:avLst/>
          </a:prstGeom>
        </xdr:spPr>
      </xdr:pic>
    </xdr:grpSp>
    <xdr:clientData/>
  </xdr:twoCellAnchor>
  <xdr:twoCellAnchor editAs="oneCell">
    <xdr:from>
      <xdr:col>1</xdr:col>
      <xdr:colOff>29522</xdr:colOff>
      <xdr:row>239</xdr:row>
      <xdr:rowOff>20780</xdr:rowOff>
    </xdr:from>
    <xdr:to>
      <xdr:col>2</xdr:col>
      <xdr:colOff>502471</xdr:colOff>
      <xdr:row>241</xdr:row>
      <xdr:rowOff>164722</xdr:rowOff>
    </xdr:to>
    <xdr:pic>
      <xdr:nvPicPr>
        <xdr:cNvPr id="2" name="Picture 1">
          <a:extLst>
            <a:ext uri="{FF2B5EF4-FFF2-40B4-BE49-F238E27FC236}">
              <a16:creationId xmlns:a16="http://schemas.microsoft.com/office/drawing/2014/main" id="{00000000-0008-0000-0100-000002000000}"/>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15322" y="25614455"/>
          <a:ext cx="1292099" cy="505892"/>
        </a:xfrm>
        <a:prstGeom prst="rect">
          <a:avLst/>
        </a:prstGeom>
      </xdr:spPr>
    </xdr:pic>
    <xdr:clientData/>
  </xdr:twoCellAnchor>
  <xdr:twoCellAnchor>
    <xdr:from>
      <xdr:col>0</xdr:col>
      <xdr:colOff>627529</xdr:colOff>
      <xdr:row>238</xdr:row>
      <xdr:rowOff>194235</xdr:rowOff>
    </xdr:from>
    <xdr:to>
      <xdr:col>22</xdr:col>
      <xdr:colOff>405788</xdr:colOff>
      <xdr:row>238</xdr:row>
      <xdr:rowOff>1098178</xdr:rowOff>
    </xdr:to>
    <xdr:sp macro="" textlink="">
      <xdr:nvSpPr>
        <xdr:cNvPr id="3" name="TextBox 2">
          <a:hlinkClick xmlns:r="http://schemas.openxmlformats.org/officeDocument/2006/relationships" r:id="rId5"/>
          <a:extLst>
            <a:ext uri="{FF2B5EF4-FFF2-40B4-BE49-F238E27FC236}">
              <a16:creationId xmlns:a16="http://schemas.microsoft.com/office/drawing/2014/main" id="{00000000-0008-0000-0100-000003000000}"/>
            </a:ext>
          </a:extLst>
        </xdr:cNvPr>
        <xdr:cNvSpPr txBox="1"/>
      </xdr:nvSpPr>
      <xdr:spPr>
        <a:xfrm>
          <a:off x="627529" y="24673485"/>
          <a:ext cx="15770734" cy="903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solidFill>
                <a:schemeClr val="dk1"/>
              </a:solidFill>
              <a:effectLst/>
              <a:latin typeface="Arial" panose="020B0604020202020204" pitchFamily="34" charset="0"/>
              <a:ea typeface="Inter" panose="020B0502030000000004" pitchFamily="34" charset="0"/>
              <a:cs typeface="Arial" panose="020B0604020202020204" pitchFamily="34" charset="0"/>
            </a:rPr>
            <a:t>By accessing or using this calculator, you agree to the following: While care has been taken in the preparation of this calculator, it may not be complete or up-to-date. You can ensure that you are using a complete and up-to-date version by checking the Australian Building Codes Board website (</a:t>
          </a:r>
          <a:r>
            <a:rPr lang="en-AU" sz="1000" u="none" strike="noStrike">
              <a:solidFill>
                <a:schemeClr val="dk1"/>
              </a:solidFill>
              <a:effectLst/>
              <a:latin typeface="Arial" panose="020B0604020202020204" pitchFamily="34" charset="0"/>
              <a:ea typeface="Inter" panose="020B0502030000000004" pitchFamily="34" charset="0"/>
              <a:cs typeface="Arial" panose="020B0604020202020204" pitchFamily="34" charset="0"/>
              <a:hlinkClick xmlns:r="http://schemas.openxmlformats.org/officeDocument/2006/relationships" r:id=""/>
            </a:rPr>
            <a:t>abcb.gov.au</a:t>
          </a:r>
          <a:r>
            <a:rPr lang="en-AU" sz="1000">
              <a:solidFill>
                <a:schemeClr val="dk1"/>
              </a:solidFill>
              <a:effectLst/>
              <a:latin typeface="Arial" panose="020B0604020202020204" pitchFamily="34" charset="0"/>
              <a:ea typeface="Inter" panose="020B0502030000000004" pitchFamily="34" charset="0"/>
              <a:cs typeface="Arial" panose="020B0604020202020204" pitchFamily="34" charset="0"/>
            </a:rPr>
            <a:t>). The Australian Building Codes Board, the Commonwealth of Australia and States and Territories of Australia do not accept any liability, including liability for negligence, for any loss (howsoever caused), damage, injury, expense or cost incurred by any person as a result of accessing, using or relying upon this publication, to the maximum extent permitted by law. No representation or warranty is made or given as to the currency, accuracy, reliability, merchantability, fitness for any purpose or completeness of this publication or any information which may appear on any linked websites, or in other linked information sources, and all such representations and warranties are excluded to the extent permitted by law. This calculator is not legal or professional advice. Persons rely upon this calculator entirely at their own risk and must take responsibility for assessing the relevance and accuracy of the information in relation to their particular circumstances.</a:t>
          </a:r>
        </a:p>
      </xdr:txBody>
    </xdr:sp>
    <xdr:clientData/>
  </xdr:twoCellAnchor>
  <xdr:twoCellAnchor>
    <xdr:from>
      <xdr:col>2</xdr:col>
      <xdr:colOff>863387</xdr:colOff>
      <xdr:row>238</xdr:row>
      <xdr:rowOff>1064558</xdr:rowOff>
    </xdr:from>
    <xdr:to>
      <xdr:col>22</xdr:col>
      <xdr:colOff>246529</xdr:colOff>
      <xdr:row>241</xdr:row>
      <xdr:rowOff>168087</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2111162" y="25543808"/>
          <a:ext cx="14127842" cy="5799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a:solidFill>
                <a:schemeClr val="dk1"/>
              </a:solidFill>
              <a:effectLst/>
              <a:latin typeface="Arial" panose="020B0604020202020204" pitchFamily="34" charset="0"/>
              <a:ea typeface="Inter" panose="020B0502030000000004" pitchFamily="34" charset="0"/>
              <a:cs typeface="Arial" panose="020B0604020202020204" pitchFamily="34" charset="0"/>
            </a:rPr>
            <a:t>© Commonwealth of Australia and the States and Territories of Australia 2023, published by the Australian Building Codes Board.</a:t>
          </a:r>
          <a:endParaRPr lang="en-AU" sz="1000">
            <a:effectLst/>
            <a:latin typeface="Arial" panose="020B0604020202020204" pitchFamily="34" charset="0"/>
            <a:ea typeface="Inter" panose="020B0502030000000004" pitchFamily="34" charset="0"/>
            <a:cs typeface="Arial" panose="020B0604020202020204" pitchFamily="34" charset="0"/>
          </a:endParaRPr>
        </a:p>
        <a:p>
          <a:r>
            <a:rPr lang="en-US" sz="1000">
              <a:solidFill>
                <a:schemeClr val="dk1"/>
              </a:solidFill>
              <a:effectLst/>
              <a:latin typeface="Arial" panose="020B0604020202020204" pitchFamily="34" charset="0"/>
              <a:ea typeface="Inter" panose="020B0502030000000004" pitchFamily="34" charset="0"/>
              <a:cs typeface="Arial" panose="020B0604020202020204" pitchFamily="34" charset="0"/>
            </a:rPr>
            <a:t>The material in this publication is licensed under a Creative Commons Attribution—4.0 International licence, with the exception of third party materials and any trade marks. It is provided for general information only and without warranties of any kind. More information on this CC BY licence is set out at the</a:t>
          </a:r>
          <a:r>
            <a:rPr lang="en-AU" sz="1000">
              <a:solidFill>
                <a:schemeClr val="dk1"/>
              </a:solidFill>
              <a:effectLst/>
              <a:latin typeface="Arial" panose="020B0604020202020204" pitchFamily="34" charset="0"/>
              <a:ea typeface="Inter" panose="020B0502030000000004" pitchFamily="34" charset="0"/>
              <a:cs typeface="Arial" panose="020B0604020202020204" pitchFamily="34" charset="0"/>
            </a:rPr>
            <a:t> </a:t>
          </a:r>
          <a:r>
            <a:rPr lang="en-US" sz="1000">
              <a:solidFill>
                <a:schemeClr val="dk1"/>
              </a:solidFill>
              <a:effectLst/>
              <a:latin typeface="Arial" panose="020B0604020202020204" pitchFamily="34" charset="0"/>
              <a:ea typeface="Inter" panose="020B0502030000000004" pitchFamily="34" charset="0"/>
              <a:cs typeface="Arial" panose="020B0604020202020204" pitchFamily="34" charset="0"/>
            </a:rPr>
            <a:t>Creative Commons website (</a:t>
          </a:r>
          <a:r>
            <a:rPr lang="en-US" sz="1000" u="sng">
              <a:solidFill>
                <a:srgbClr val="0000FF"/>
              </a:solidFill>
              <a:effectLst/>
              <a:latin typeface="Arial" panose="020B0604020202020204" pitchFamily="34" charset="0"/>
              <a:ea typeface="Inter" panose="020B0502030000000004" pitchFamily="34" charset="0"/>
              <a:cs typeface="Arial" panose="020B0604020202020204" pitchFamily="34" charset="0"/>
            </a:rPr>
            <a:t>creativecommons.org</a:t>
          </a:r>
          <a:r>
            <a:rPr lang="en-US" sz="1000">
              <a:solidFill>
                <a:schemeClr val="dk1"/>
              </a:solidFill>
              <a:effectLst/>
              <a:latin typeface="Arial" panose="020B0604020202020204" pitchFamily="34" charset="0"/>
              <a:ea typeface="Inter" panose="020B0502030000000004" pitchFamily="34" charset="0"/>
              <a:cs typeface="Arial" panose="020B0604020202020204" pitchFamily="34" charset="0"/>
            </a:rPr>
            <a:t>). For information regarding this publication, </a:t>
          </a:r>
          <a:r>
            <a:rPr lang="en-US" sz="1000" u="none">
              <a:solidFill>
                <a:schemeClr val="tx1"/>
              </a:solidFill>
              <a:effectLst/>
              <a:latin typeface="Arial" panose="020B0604020202020204" pitchFamily="34" charset="0"/>
              <a:ea typeface="Inter" panose="020B0502030000000004" pitchFamily="34" charset="0"/>
              <a:cs typeface="Arial" panose="020B0604020202020204" pitchFamily="34" charset="0"/>
            </a:rPr>
            <a:t>see abcb.gov.au</a:t>
          </a:r>
          <a:r>
            <a:rPr lang="en-US" sz="1000">
              <a:solidFill>
                <a:schemeClr val="dk1"/>
              </a:solidFill>
              <a:effectLst/>
              <a:latin typeface="Arial" panose="020B0604020202020204" pitchFamily="34" charset="0"/>
              <a:ea typeface="Inter" panose="020B0502030000000004" pitchFamily="34" charset="0"/>
              <a:cs typeface="Arial" panose="020B0604020202020204" pitchFamily="34" charset="0"/>
            </a:rPr>
            <a:t>.</a:t>
          </a:r>
          <a:endParaRPr lang="en-AU" sz="1000">
            <a:effectLst/>
            <a:latin typeface="Arial" panose="020B0604020202020204" pitchFamily="34" charset="0"/>
            <a:ea typeface="Inter" panose="020B0502030000000004" pitchFamily="34" charset="0"/>
            <a:cs typeface="Arial" panose="020B0604020202020204" pitchFamily="34"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26</xdr:col>
      <xdr:colOff>352425</xdr:colOff>
      <xdr:row>1</xdr:row>
      <xdr:rowOff>114300</xdr:rowOff>
    </xdr:from>
    <xdr:to>
      <xdr:col>30</xdr:col>
      <xdr:colOff>180975</xdr:colOff>
      <xdr:row>26</xdr:row>
      <xdr:rowOff>66675</xdr:rowOff>
    </xdr:to>
    <xdr:grpSp>
      <xdr:nvGrpSpPr>
        <xdr:cNvPr id="14" name="Group 13">
          <a:extLst>
            <a:ext uri="{FF2B5EF4-FFF2-40B4-BE49-F238E27FC236}">
              <a16:creationId xmlns:a16="http://schemas.microsoft.com/office/drawing/2014/main" id="{00000000-0008-0000-1E00-00000E000000}"/>
            </a:ext>
          </a:extLst>
        </xdr:cNvPr>
        <xdr:cNvGrpSpPr/>
      </xdr:nvGrpSpPr>
      <xdr:grpSpPr>
        <a:xfrm>
          <a:off x="15235464" y="277586"/>
          <a:ext cx="2277836" cy="4031343"/>
          <a:chOff x="15192375" y="276225"/>
          <a:chExt cx="2266950" cy="4000500"/>
        </a:xfrm>
      </xdr:grpSpPr>
      <xdr:sp macro="" textlink="">
        <xdr:nvSpPr>
          <xdr:cNvPr id="3" name="Rectangle: Rounded Corners 2">
            <a:extLst>
              <a:ext uri="{FF2B5EF4-FFF2-40B4-BE49-F238E27FC236}">
                <a16:creationId xmlns:a16="http://schemas.microsoft.com/office/drawing/2014/main" id="{00000000-0008-0000-1E00-000003000000}"/>
              </a:ext>
            </a:extLst>
          </xdr:cNvPr>
          <xdr:cNvSpPr/>
        </xdr:nvSpPr>
        <xdr:spPr>
          <a:xfrm>
            <a:off x="15192375" y="276225"/>
            <a:ext cx="2266950" cy="4000500"/>
          </a:xfrm>
          <a:prstGeom prst="round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400" b="1" i="1">
                <a:solidFill>
                  <a:sysClr val="windowText" lastClr="000000"/>
                </a:solidFill>
              </a:rPr>
              <a:t>Navigation:</a:t>
            </a:r>
          </a:p>
        </xdr:txBody>
      </xdr:sp>
      <xdr:sp macro="" textlink="">
        <xdr:nvSpPr>
          <xdr:cNvPr id="355" name="AutoShape 1" descr="help">
            <a:hlinkClick xmlns:r="http://schemas.openxmlformats.org/officeDocument/2006/relationships" r:id="rId1"/>
            <a:extLst>
              <a:ext uri="{FF2B5EF4-FFF2-40B4-BE49-F238E27FC236}">
                <a16:creationId xmlns:a16="http://schemas.microsoft.com/office/drawing/2014/main" id="{00000000-0008-0000-1E00-000063010000}"/>
              </a:ext>
            </a:extLst>
          </xdr:cNvPr>
          <xdr:cNvSpPr>
            <a:spLocks noChangeArrowheads="1"/>
          </xdr:cNvSpPr>
        </xdr:nvSpPr>
        <xdr:spPr bwMode="auto">
          <a:xfrm>
            <a:off x="15436851" y="714375"/>
            <a:ext cx="1777999" cy="273050"/>
          </a:xfrm>
          <a:prstGeom prst="roundRect">
            <a:avLst>
              <a:gd name="adj" fmla="val 21741"/>
            </a:avLst>
          </a:prstGeom>
          <a:solidFill>
            <a:schemeClr val="accent1"/>
          </a:solidFill>
          <a:ln w="9525" algn="ctr">
            <a:noFill/>
            <a:round/>
            <a:headEnd/>
            <a:tailEnd/>
          </a:ln>
          <a:effectLst/>
        </xdr:spPr>
        <xdr:txBody>
          <a:bodyPr vertOverflow="clip" wrap="square" lIns="36576" tIns="22860" rIns="36576" bIns="22860" anchor="ctr" upright="1"/>
          <a:lstStyle/>
          <a:p>
            <a:pPr algn="ctr" rtl="0">
              <a:defRPr sz="1000"/>
            </a:pPr>
            <a:r>
              <a:rPr lang="en-AU" sz="1200" b="0" i="0" u="none" strike="noStrike" baseline="0">
                <a:solidFill>
                  <a:srgbClr val="FFFFFF"/>
                </a:solidFill>
                <a:latin typeface="Arial" panose="020B0604020202020204" pitchFamily="34" charset="0"/>
                <a:cs typeface="Arial" panose="020B0604020202020204" pitchFamily="34" charset="0"/>
              </a:rPr>
              <a:t>HOME</a:t>
            </a:r>
          </a:p>
        </xdr:txBody>
      </xdr:sp>
      <xdr:sp macro="" textlink="">
        <xdr:nvSpPr>
          <xdr:cNvPr id="356" name="AutoShape 1" descr="help">
            <a:hlinkClick xmlns:r="http://schemas.openxmlformats.org/officeDocument/2006/relationships" r:id="rId2"/>
            <a:extLst>
              <a:ext uri="{FF2B5EF4-FFF2-40B4-BE49-F238E27FC236}">
                <a16:creationId xmlns:a16="http://schemas.microsoft.com/office/drawing/2014/main" id="{00000000-0008-0000-1E00-000064010000}"/>
              </a:ext>
            </a:extLst>
          </xdr:cNvPr>
          <xdr:cNvSpPr>
            <a:spLocks noChangeArrowheads="1"/>
          </xdr:cNvSpPr>
        </xdr:nvSpPr>
        <xdr:spPr bwMode="auto">
          <a:xfrm>
            <a:off x="15436851" y="1086644"/>
            <a:ext cx="1777999" cy="273050"/>
          </a:xfrm>
          <a:prstGeom prst="roundRect">
            <a:avLst>
              <a:gd name="adj" fmla="val 21741"/>
            </a:avLst>
          </a:prstGeom>
          <a:solidFill>
            <a:schemeClr val="accent1"/>
          </a:solidFill>
          <a:ln w="9525" algn="ctr">
            <a:noFill/>
            <a:round/>
            <a:headEnd/>
            <a:tailEnd/>
          </a:ln>
          <a:effectLst/>
        </xdr:spPr>
        <xdr:txBody>
          <a:bodyPr vertOverflow="clip" wrap="square" lIns="36576" tIns="22860" rIns="36576" bIns="22860" anchor="ctr" upright="1"/>
          <a:lstStyle/>
          <a:p>
            <a:pPr algn="ctr" rtl="0">
              <a:defRPr sz="1000"/>
            </a:pPr>
            <a:r>
              <a:rPr lang="en-AU" sz="1200" b="0" i="0" u="none" strike="noStrike" baseline="0">
                <a:solidFill>
                  <a:srgbClr val="FFFFFF"/>
                </a:solidFill>
                <a:latin typeface="Arial" panose="020B0604020202020204" pitchFamily="34" charset="0"/>
                <a:cs typeface="Arial" panose="020B0604020202020204" pitchFamily="34" charset="0"/>
              </a:rPr>
              <a:t>Project Summary</a:t>
            </a:r>
          </a:p>
        </xdr:txBody>
      </xdr:sp>
      <xdr:sp macro="" textlink="">
        <xdr:nvSpPr>
          <xdr:cNvPr id="357" name="AutoShape 1" descr="help">
            <a:hlinkClick xmlns:r="http://schemas.openxmlformats.org/officeDocument/2006/relationships" r:id="rId3"/>
            <a:extLst>
              <a:ext uri="{FF2B5EF4-FFF2-40B4-BE49-F238E27FC236}">
                <a16:creationId xmlns:a16="http://schemas.microsoft.com/office/drawing/2014/main" id="{00000000-0008-0000-1E00-000065010000}"/>
              </a:ext>
            </a:extLst>
          </xdr:cNvPr>
          <xdr:cNvSpPr>
            <a:spLocks noChangeArrowheads="1"/>
          </xdr:cNvSpPr>
        </xdr:nvSpPr>
        <xdr:spPr bwMode="auto">
          <a:xfrm>
            <a:off x="15436851" y="1458913"/>
            <a:ext cx="1777999" cy="273050"/>
          </a:xfrm>
          <a:prstGeom prst="roundRect">
            <a:avLst>
              <a:gd name="adj" fmla="val 21741"/>
            </a:avLst>
          </a:prstGeom>
          <a:solidFill>
            <a:schemeClr val="accent1"/>
          </a:solidFill>
          <a:ln w="9525" algn="ctr">
            <a:noFill/>
            <a:round/>
            <a:headEnd/>
            <a:tailEnd/>
          </a:ln>
          <a:effectLst/>
        </xdr:spPr>
        <xdr:txBody>
          <a:bodyPr vertOverflow="clip" wrap="square" lIns="36576" tIns="22860" rIns="36576" bIns="22860" anchor="ctr" upright="1"/>
          <a:lstStyle/>
          <a:p>
            <a:pPr algn="ctr" rtl="0">
              <a:defRPr sz="1000"/>
            </a:pPr>
            <a:r>
              <a:rPr lang="en-AU" sz="1200" b="0" i="0" u="none" strike="noStrike" baseline="0">
                <a:solidFill>
                  <a:srgbClr val="FFFFFF"/>
                </a:solidFill>
                <a:latin typeface="Arial" panose="020B0604020202020204" pitchFamily="34" charset="0"/>
                <a:cs typeface="Arial" panose="020B0604020202020204" pitchFamily="34" charset="0"/>
              </a:rPr>
              <a:t>13.2 Building Fabrics</a:t>
            </a:r>
          </a:p>
        </xdr:txBody>
      </xdr:sp>
      <xdr:sp macro="" textlink="">
        <xdr:nvSpPr>
          <xdr:cNvPr id="358" name="AutoShape 1" descr="help">
            <a:hlinkClick xmlns:r="http://schemas.openxmlformats.org/officeDocument/2006/relationships" r:id="rId4"/>
            <a:extLst>
              <a:ext uri="{FF2B5EF4-FFF2-40B4-BE49-F238E27FC236}">
                <a16:creationId xmlns:a16="http://schemas.microsoft.com/office/drawing/2014/main" id="{00000000-0008-0000-1E00-000066010000}"/>
              </a:ext>
            </a:extLst>
          </xdr:cNvPr>
          <xdr:cNvSpPr>
            <a:spLocks noChangeArrowheads="1"/>
          </xdr:cNvSpPr>
        </xdr:nvSpPr>
        <xdr:spPr bwMode="auto">
          <a:xfrm>
            <a:off x="15436851" y="1831182"/>
            <a:ext cx="1777999" cy="273050"/>
          </a:xfrm>
          <a:prstGeom prst="roundRect">
            <a:avLst>
              <a:gd name="adj" fmla="val 21741"/>
            </a:avLst>
          </a:prstGeom>
          <a:solidFill>
            <a:schemeClr val="accent1"/>
          </a:solidFill>
          <a:ln w="9525" algn="ctr">
            <a:noFill/>
            <a:round/>
            <a:headEnd/>
            <a:tailEnd/>
          </a:ln>
          <a:effectLst/>
        </xdr:spPr>
        <xdr:txBody>
          <a:bodyPr vertOverflow="clip" wrap="square" lIns="36576" tIns="22860" rIns="36576" bIns="22860" anchor="ctr" upright="1"/>
          <a:lstStyle/>
          <a:p>
            <a:pPr algn="ctr" rtl="0">
              <a:defRPr sz="1000"/>
            </a:pPr>
            <a:r>
              <a:rPr lang="en-AU" sz="1200" b="0" i="0" u="none" strike="noStrike" baseline="0">
                <a:solidFill>
                  <a:srgbClr val="FFFFFF"/>
                </a:solidFill>
                <a:latin typeface="Arial" panose="020B0604020202020204" pitchFamily="34" charset="0"/>
                <a:cs typeface="Arial" panose="020B0604020202020204" pitchFamily="34" charset="0"/>
              </a:rPr>
              <a:t>13.3 External Glazing</a:t>
            </a:r>
          </a:p>
        </xdr:txBody>
      </xdr:sp>
      <xdr:sp macro="" textlink="">
        <xdr:nvSpPr>
          <xdr:cNvPr id="359" name="AutoShape 1" descr="help">
            <a:hlinkClick xmlns:r="http://schemas.openxmlformats.org/officeDocument/2006/relationships" r:id="rId5"/>
            <a:extLst>
              <a:ext uri="{FF2B5EF4-FFF2-40B4-BE49-F238E27FC236}">
                <a16:creationId xmlns:a16="http://schemas.microsoft.com/office/drawing/2014/main" id="{00000000-0008-0000-1E00-000067010000}"/>
              </a:ext>
            </a:extLst>
          </xdr:cNvPr>
          <xdr:cNvSpPr>
            <a:spLocks noChangeArrowheads="1"/>
          </xdr:cNvSpPr>
        </xdr:nvSpPr>
        <xdr:spPr bwMode="auto">
          <a:xfrm>
            <a:off x="15436851" y="2203451"/>
            <a:ext cx="1777999" cy="273050"/>
          </a:xfrm>
          <a:prstGeom prst="roundRect">
            <a:avLst>
              <a:gd name="adj" fmla="val 21741"/>
            </a:avLst>
          </a:prstGeom>
          <a:solidFill>
            <a:schemeClr val="accent1"/>
          </a:solidFill>
          <a:ln w="9525" algn="ctr">
            <a:noFill/>
            <a:round/>
            <a:headEnd/>
            <a:tailEnd/>
          </a:ln>
          <a:effectLst/>
        </xdr:spPr>
        <xdr:txBody>
          <a:bodyPr vertOverflow="clip" wrap="square" lIns="36576" tIns="22860" rIns="36576" bIns="22860" anchor="ctr" upright="1"/>
          <a:lstStyle/>
          <a:p>
            <a:pPr algn="ctr" rtl="0">
              <a:defRPr sz="1000"/>
            </a:pPr>
            <a:r>
              <a:rPr lang="en-AU" sz="1200" b="0" i="0" u="none" strike="noStrike" baseline="0">
                <a:solidFill>
                  <a:srgbClr val="FFFFFF"/>
                </a:solidFill>
                <a:latin typeface="Arial" panose="020B0604020202020204" pitchFamily="34" charset="0"/>
                <a:cs typeface="Arial" panose="020B0604020202020204" pitchFamily="34" charset="0"/>
              </a:rPr>
              <a:t>13.4 Building Sealing</a:t>
            </a:r>
          </a:p>
        </xdr:txBody>
      </xdr:sp>
      <xdr:sp macro="" textlink="">
        <xdr:nvSpPr>
          <xdr:cNvPr id="360" name="AutoShape 1" descr="help">
            <a:hlinkClick xmlns:r="http://schemas.openxmlformats.org/officeDocument/2006/relationships" r:id="rId6"/>
            <a:extLst>
              <a:ext uri="{FF2B5EF4-FFF2-40B4-BE49-F238E27FC236}">
                <a16:creationId xmlns:a16="http://schemas.microsoft.com/office/drawing/2014/main" id="{00000000-0008-0000-1E00-000068010000}"/>
              </a:ext>
            </a:extLst>
          </xdr:cNvPr>
          <xdr:cNvSpPr>
            <a:spLocks noChangeArrowheads="1"/>
          </xdr:cNvSpPr>
        </xdr:nvSpPr>
        <xdr:spPr bwMode="auto">
          <a:xfrm>
            <a:off x="15436851" y="2575720"/>
            <a:ext cx="1777999" cy="273050"/>
          </a:xfrm>
          <a:prstGeom prst="roundRect">
            <a:avLst>
              <a:gd name="adj" fmla="val 21741"/>
            </a:avLst>
          </a:prstGeom>
          <a:solidFill>
            <a:schemeClr val="accent1"/>
          </a:solidFill>
          <a:ln w="9525" algn="ctr">
            <a:noFill/>
            <a:round/>
            <a:headEnd/>
            <a:tailEnd/>
          </a:ln>
          <a:effectLst/>
        </xdr:spPr>
        <xdr:txBody>
          <a:bodyPr vertOverflow="clip" wrap="square" lIns="36576" tIns="22860" rIns="36576" bIns="22860" anchor="ctr" upright="1"/>
          <a:lstStyle/>
          <a:p>
            <a:pPr algn="ctr" rtl="0">
              <a:defRPr sz="1000"/>
            </a:pPr>
            <a:r>
              <a:rPr lang="en-AU" sz="1200" b="0" i="0" u="none" strike="noStrike" baseline="0">
                <a:solidFill>
                  <a:srgbClr val="FFFFFF"/>
                </a:solidFill>
                <a:latin typeface="Arial" panose="020B0604020202020204" pitchFamily="34" charset="0"/>
                <a:cs typeface="Arial" panose="020B0604020202020204" pitchFamily="34" charset="0"/>
              </a:rPr>
              <a:t>13.5 Ceiling Fans</a:t>
            </a:r>
          </a:p>
        </xdr:txBody>
      </xdr:sp>
      <xdr:sp macro="" textlink="">
        <xdr:nvSpPr>
          <xdr:cNvPr id="365" name="AutoShape 1" descr="help">
            <a:hlinkClick xmlns:r="http://schemas.openxmlformats.org/officeDocument/2006/relationships" r:id="rId7"/>
            <a:extLst>
              <a:ext uri="{FF2B5EF4-FFF2-40B4-BE49-F238E27FC236}">
                <a16:creationId xmlns:a16="http://schemas.microsoft.com/office/drawing/2014/main" id="{00000000-0008-0000-1E00-00006D010000}"/>
              </a:ext>
            </a:extLst>
          </xdr:cNvPr>
          <xdr:cNvSpPr>
            <a:spLocks noChangeArrowheads="1"/>
          </xdr:cNvSpPr>
        </xdr:nvSpPr>
        <xdr:spPr bwMode="auto">
          <a:xfrm>
            <a:off x="15436851" y="2947989"/>
            <a:ext cx="1777999" cy="457199"/>
          </a:xfrm>
          <a:prstGeom prst="roundRect">
            <a:avLst>
              <a:gd name="adj" fmla="val 21741"/>
            </a:avLst>
          </a:prstGeom>
          <a:solidFill>
            <a:schemeClr val="accent1"/>
          </a:solidFill>
          <a:ln w="9525" algn="ctr">
            <a:noFill/>
            <a:round/>
            <a:headEnd/>
            <a:tailEnd/>
          </a:ln>
          <a:effectLst/>
        </xdr:spPr>
        <xdr:txBody>
          <a:bodyPr vertOverflow="clip" wrap="square" lIns="36576" tIns="22860" rIns="36576" bIns="22860" anchor="ctr" upright="1"/>
          <a:lstStyle/>
          <a:p>
            <a:pPr algn="ctr" rtl="0">
              <a:defRPr sz="1000"/>
            </a:pPr>
            <a:r>
              <a:rPr lang="en-AU" sz="1200" b="0" i="0" u="none" strike="noStrike" baseline="0">
                <a:solidFill>
                  <a:srgbClr val="FFFFFF"/>
                </a:solidFill>
                <a:latin typeface="Arial" panose="020B0604020202020204" pitchFamily="34" charset="0"/>
                <a:cs typeface="Arial" panose="020B0604020202020204" pitchFamily="34" charset="0"/>
              </a:rPr>
              <a:t>13.6 Whole-of-Home Energy Usage</a:t>
            </a:r>
          </a:p>
        </xdr:txBody>
      </xdr:sp>
      <xdr:sp macro="" textlink="">
        <xdr:nvSpPr>
          <xdr:cNvPr id="366" name="AutoShape 1" descr="help">
            <a:hlinkClick xmlns:r="http://schemas.openxmlformats.org/officeDocument/2006/relationships" r:id="rId8"/>
            <a:extLst>
              <a:ext uri="{FF2B5EF4-FFF2-40B4-BE49-F238E27FC236}">
                <a16:creationId xmlns:a16="http://schemas.microsoft.com/office/drawing/2014/main" id="{00000000-0008-0000-1E00-00006E010000}"/>
              </a:ext>
            </a:extLst>
          </xdr:cNvPr>
          <xdr:cNvSpPr>
            <a:spLocks noChangeArrowheads="1"/>
          </xdr:cNvSpPr>
        </xdr:nvSpPr>
        <xdr:spPr bwMode="auto">
          <a:xfrm>
            <a:off x="15436851" y="3504407"/>
            <a:ext cx="1777999" cy="273050"/>
          </a:xfrm>
          <a:prstGeom prst="roundRect">
            <a:avLst>
              <a:gd name="adj" fmla="val 21741"/>
            </a:avLst>
          </a:prstGeom>
          <a:solidFill>
            <a:schemeClr val="accent1"/>
          </a:solidFill>
          <a:ln w="9525" algn="ctr">
            <a:noFill/>
            <a:round/>
            <a:headEnd/>
            <a:tailEnd/>
          </a:ln>
          <a:effectLst/>
        </xdr:spPr>
        <xdr:txBody>
          <a:bodyPr vertOverflow="clip" wrap="square" lIns="36576" tIns="22860" rIns="36576" bIns="22860" anchor="ctr" upright="1"/>
          <a:lstStyle/>
          <a:p>
            <a:pPr algn="ctr" rtl="0">
              <a:defRPr sz="1000"/>
            </a:pPr>
            <a:r>
              <a:rPr lang="en-AU" sz="1200" b="0" i="0" u="none" strike="noStrike" baseline="0">
                <a:solidFill>
                  <a:srgbClr val="FFFFFF"/>
                </a:solidFill>
                <a:latin typeface="Arial" panose="020B0604020202020204" pitchFamily="34" charset="0"/>
                <a:cs typeface="Arial" panose="020B0604020202020204" pitchFamily="34" charset="0"/>
              </a:rPr>
              <a:t>13.7 Services</a:t>
            </a:r>
          </a:p>
        </xdr:txBody>
      </xdr:sp>
      <xdr:sp macro="" textlink="">
        <xdr:nvSpPr>
          <xdr:cNvPr id="367" name="AutoShape 1" descr="help">
            <a:hlinkClick xmlns:r="http://schemas.openxmlformats.org/officeDocument/2006/relationships" r:id="rId9"/>
            <a:extLst>
              <a:ext uri="{FF2B5EF4-FFF2-40B4-BE49-F238E27FC236}">
                <a16:creationId xmlns:a16="http://schemas.microsoft.com/office/drawing/2014/main" id="{00000000-0008-0000-1E00-00006F010000}"/>
              </a:ext>
            </a:extLst>
          </xdr:cNvPr>
          <xdr:cNvSpPr>
            <a:spLocks noChangeArrowheads="1"/>
          </xdr:cNvSpPr>
        </xdr:nvSpPr>
        <xdr:spPr bwMode="auto">
          <a:xfrm>
            <a:off x="15436851" y="3876675"/>
            <a:ext cx="1777999" cy="273050"/>
          </a:xfrm>
          <a:prstGeom prst="roundRect">
            <a:avLst>
              <a:gd name="adj" fmla="val 21741"/>
            </a:avLst>
          </a:prstGeom>
          <a:solidFill>
            <a:schemeClr val="accent1"/>
          </a:solidFill>
          <a:ln w="9525" algn="ctr">
            <a:noFill/>
            <a:round/>
            <a:headEnd/>
            <a:tailEnd/>
          </a:ln>
          <a:effectLst/>
        </xdr:spPr>
        <xdr:txBody>
          <a:bodyPr vertOverflow="clip" wrap="square" lIns="36576" tIns="22860" rIns="36576" bIns="22860" anchor="ctr" upright="1"/>
          <a:lstStyle/>
          <a:p>
            <a:pPr algn="ctr" rtl="0">
              <a:defRPr sz="1000"/>
            </a:pPr>
            <a:r>
              <a:rPr lang="en-AU" sz="1200" b="0" i="0" u="none" strike="noStrike" baseline="0">
                <a:solidFill>
                  <a:srgbClr val="FFFFFF"/>
                </a:solidFill>
                <a:latin typeface="Arial" panose="020B0604020202020204" pitchFamily="34" charset="0"/>
                <a:cs typeface="Arial" panose="020B0604020202020204" pitchFamily="34" charset="0"/>
              </a:rPr>
              <a:t>13.7.6 Artificial Lighting</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editAs="absolute">
    <xdr:from>
      <xdr:col>0</xdr:col>
      <xdr:colOff>243840</xdr:colOff>
      <xdr:row>1</xdr:row>
      <xdr:rowOff>5715</xdr:rowOff>
    </xdr:from>
    <xdr:to>
      <xdr:col>20</xdr:col>
      <xdr:colOff>398024</xdr:colOff>
      <xdr:row>5</xdr:row>
      <xdr:rowOff>63923</xdr:rowOff>
    </xdr:to>
    <xdr:grpSp>
      <xdr:nvGrpSpPr>
        <xdr:cNvPr id="2" name="Group 1">
          <a:extLst>
            <a:ext uri="{FF2B5EF4-FFF2-40B4-BE49-F238E27FC236}">
              <a16:creationId xmlns:a16="http://schemas.microsoft.com/office/drawing/2014/main" id="{00000000-0008-0000-1F00-000002000000}"/>
            </a:ext>
          </a:extLst>
        </xdr:cNvPr>
        <xdr:cNvGrpSpPr/>
      </xdr:nvGrpSpPr>
      <xdr:grpSpPr>
        <a:xfrm>
          <a:off x="243840" y="183515"/>
          <a:ext cx="13362184" cy="769408"/>
          <a:chOff x="247650" y="186690"/>
          <a:chExt cx="13481564" cy="778298"/>
        </a:xfrm>
      </xdr:grpSpPr>
      <xdr:grpSp>
        <xdr:nvGrpSpPr>
          <xdr:cNvPr id="3" name="Group 2">
            <a:extLst>
              <a:ext uri="{FF2B5EF4-FFF2-40B4-BE49-F238E27FC236}">
                <a16:creationId xmlns:a16="http://schemas.microsoft.com/office/drawing/2014/main" id="{00000000-0008-0000-1F00-000003000000}"/>
              </a:ext>
            </a:extLst>
          </xdr:cNvPr>
          <xdr:cNvGrpSpPr/>
        </xdr:nvGrpSpPr>
        <xdr:grpSpPr>
          <a:xfrm>
            <a:off x="840105" y="186690"/>
            <a:ext cx="12892919" cy="782108"/>
            <a:chOff x="815423" y="438150"/>
            <a:chExt cx="10640147" cy="814493"/>
          </a:xfrm>
        </xdr:grpSpPr>
        <xdr:sp macro="" textlink="">
          <xdr:nvSpPr>
            <xdr:cNvPr id="5" name="TextBox 31">
              <a:extLst>
                <a:ext uri="{FF2B5EF4-FFF2-40B4-BE49-F238E27FC236}">
                  <a16:creationId xmlns:a16="http://schemas.microsoft.com/office/drawing/2014/main" id="{00000000-0008-0000-1F00-000005000000}"/>
                </a:ext>
              </a:extLst>
            </xdr:cNvPr>
            <xdr:cNvSpPr txBox="1"/>
          </xdr:nvSpPr>
          <xdr:spPr>
            <a:xfrm>
              <a:off x="815423" y="619125"/>
              <a:ext cx="10640147" cy="633518"/>
            </a:xfrm>
            <a:prstGeom prst="rect">
              <a:avLst/>
            </a:prstGeom>
            <a:noFill/>
          </xdr:spPr>
          <xdr:txBody>
            <a:bodyPr wrap="square" rtlCol="0">
              <a:noAutofit/>
            </a:bodyPr>
            <a:lstStyle/>
            <a:p>
              <a:pPr algn="l"/>
              <a:r>
                <a:rPr lang="en-US" sz="4000" b="0" i="0" u="none" strike="noStrike" spc="1190">
                  <a:solidFill>
                    <a:schemeClr val="bg1"/>
                  </a:solidFill>
                  <a:latin typeface="Calibri"/>
                  <a:ea typeface="Verdana" panose="020B0604030504040204" pitchFamily="34" charset="0"/>
                  <a:cs typeface="Calibri"/>
                </a:rPr>
                <a:t>13.3 EXTERNAL GLAZING</a:t>
              </a:r>
            </a:p>
          </xdr:txBody>
        </xdr:sp>
        <xdr:sp macro="" textlink="Name">
          <xdr:nvSpPr>
            <xdr:cNvPr id="6" name="TextBox 31">
              <a:extLst>
                <a:ext uri="{FF2B5EF4-FFF2-40B4-BE49-F238E27FC236}">
                  <a16:creationId xmlns:a16="http://schemas.microsoft.com/office/drawing/2014/main" id="{00000000-0008-0000-1F00-000006000000}"/>
                </a:ext>
              </a:extLst>
            </xdr:cNvPr>
            <xdr:cNvSpPr txBox="1"/>
          </xdr:nvSpPr>
          <xdr:spPr>
            <a:xfrm>
              <a:off x="815423" y="438150"/>
              <a:ext cx="10640147" cy="24765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100" b="0" i="0" u="none" strike="noStrike" spc="1190" baseline="0">
                  <a:solidFill>
                    <a:schemeClr val="bg1"/>
                  </a:solidFill>
                  <a:latin typeface="Segoe UI"/>
                  <a:ea typeface="Verdana" panose="020B0604030504040204" pitchFamily="34" charset="0"/>
                  <a:cs typeface="Segoe UI"/>
                </a:rPr>
                <a:pPr algn="l"/>
                <a:t>Housing Energy Efficiency Calculator</a:t>
              </a:fld>
              <a:endParaRPr lang="en-AU" sz="1100" b="0" spc="1190" baseline="0">
                <a:solidFill>
                  <a:schemeClr val="bg1"/>
                </a:solidFill>
                <a:latin typeface="Calibri Light" panose="020F0302020204030204" pitchFamily="34" charset="0"/>
                <a:ea typeface="Verdana" panose="020B0604030504040204" pitchFamily="34" charset="0"/>
                <a:cs typeface="Calibri Light" panose="020F0302020204030204" pitchFamily="34" charset="0"/>
              </a:endParaRPr>
            </a:p>
          </xdr:txBody>
        </xdr:sp>
      </xdr:grpSp>
      <xdr:pic>
        <xdr:nvPicPr>
          <xdr:cNvPr id="4" name="Picture 3" descr="A white arrow in a circle&#10;&#10;Description automatically generated">
            <a:hlinkClick xmlns:r="http://schemas.openxmlformats.org/officeDocument/2006/relationships" r:id="rId1"/>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2">
            <a:biLevel thresh="25000"/>
            <a:extLst>
              <a:ext uri="{BEBA8EAE-BF5A-486C-A8C5-ECC9F3942E4B}">
                <a14:imgProps xmlns:a14="http://schemas.microsoft.com/office/drawing/2010/main">
                  <a14:imgLayer r:embed="rId3">
                    <a14:imgEffect>
                      <a14:brightnessContrast bright="-40000" contrast="-40000"/>
                    </a14:imgEffect>
                  </a14:imgLayer>
                </a14:imgProps>
              </a:ext>
            </a:extLst>
          </a:blip>
          <a:stretch>
            <a:fillRect/>
          </a:stretch>
        </xdr:blipFill>
        <xdr:spPr>
          <a:xfrm>
            <a:off x="247650" y="354261"/>
            <a:ext cx="459789" cy="443155"/>
          </a:xfrm>
          <a:prstGeom prst="rect">
            <a:avLst/>
          </a:prstGeom>
        </xdr:spPr>
      </xdr:pic>
    </xdr:grpSp>
    <xdr:clientData/>
  </xdr:twoCellAnchor>
</xdr:wsDr>
</file>

<file path=xl/drawings/drawing22.xml><?xml version="1.0" encoding="utf-8"?>
<xdr:wsDr xmlns:xdr="http://schemas.openxmlformats.org/drawingml/2006/spreadsheetDrawing" xmlns:a="http://schemas.openxmlformats.org/drawingml/2006/main">
  <xdr:twoCellAnchor editAs="absolute">
    <xdr:from>
      <xdr:col>0</xdr:col>
      <xdr:colOff>262128</xdr:colOff>
      <xdr:row>1</xdr:row>
      <xdr:rowOff>14097</xdr:rowOff>
    </xdr:from>
    <xdr:to>
      <xdr:col>6</xdr:col>
      <xdr:colOff>1064012</xdr:colOff>
      <xdr:row>5</xdr:row>
      <xdr:rowOff>87545</xdr:rowOff>
    </xdr:to>
    <xdr:grpSp>
      <xdr:nvGrpSpPr>
        <xdr:cNvPr id="2" name="Group 6">
          <a:extLst>
            <a:ext uri="{FF2B5EF4-FFF2-40B4-BE49-F238E27FC236}">
              <a16:creationId xmlns:a16="http://schemas.microsoft.com/office/drawing/2014/main" id="{00000000-0008-0000-2000-000002000000}"/>
            </a:ext>
          </a:extLst>
        </xdr:cNvPr>
        <xdr:cNvGrpSpPr/>
      </xdr:nvGrpSpPr>
      <xdr:grpSpPr>
        <a:xfrm>
          <a:off x="262128" y="191897"/>
          <a:ext cx="13197084" cy="784648"/>
          <a:chOff x="247650" y="186690"/>
          <a:chExt cx="13481564" cy="778298"/>
        </a:xfrm>
      </xdr:grpSpPr>
      <xdr:grpSp>
        <xdr:nvGrpSpPr>
          <xdr:cNvPr id="3" name="Group 7">
            <a:extLst>
              <a:ext uri="{FF2B5EF4-FFF2-40B4-BE49-F238E27FC236}">
                <a16:creationId xmlns:a16="http://schemas.microsoft.com/office/drawing/2014/main" id="{00000000-0008-0000-2000-000003000000}"/>
              </a:ext>
            </a:extLst>
          </xdr:cNvPr>
          <xdr:cNvGrpSpPr/>
        </xdr:nvGrpSpPr>
        <xdr:grpSpPr>
          <a:xfrm>
            <a:off x="840105" y="186690"/>
            <a:ext cx="12892919" cy="782108"/>
            <a:chOff x="815423" y="438150"/>
            <a:chExt cx="10640147" cy="814493"/>
          </a:xfrm>
        </xdr:grpSpPr>
        <xdr:sp macro="" textlink="">
          <xdr:nvSpPr>
            <xdr:cNvPr id="5" name="TextBox 31">
              <a:extLst>
                <a:ext uri="{FF2B5EF4-FFF2-40B4-BE49-F238E27FC236}">
                  <a16:creationId xmlns:a16="http://schemas.microsoft.com/office/drawing/2014/main" id="{00000000-0008-0000-2000-000005000000}"/>
                </a:ext>
              </a:extLst>
            </xdr:cNvPr>
            <xdr:cNvSpPr txBox="1"/>
          </xdr:nvSpPr>
          <xdr:spPr>
            <a:xfrm>
              <a:off x="815423" y="619125"/>
              <a:ext cx="10640147" cy="633518"/>
            </a:xfrm>
            <a:prstGeom prst="rect">
              <a:avLst/>
            </a:prstGeom>
            <a:noFill/>
          </xdr:spPr>
          <xdr:txBody>
            <a:bodyPr wrap="square" rtlCol="0">
              <a:noAutofit/>
            </a:bodyPr>
            <a:lstStyle/>
            <a:p>
              <a:pPr algn="l"/>
              <a:r>
                <a:rPr lang="en-US" sz="4000" b="0" i="0" u="none" strike="noStrike" spc="1190">
                  <a:solidFill>
                    <a:schemeClr val="bg1"/>
                  </a:solidFill>
                  <a:latin typeface="Calibri"/>
                  <a:ea typeface="Verdana" panose="020B0604030504040204" pitchFamily="34" charset="0"/>
                  <a:cs typeface="Calibri"/>
                </a:rPr>
                <a:t>13.5 CEILING</a:t>
              </a:r>
              <a:r>
                <a:rPr lang="en-US" sz="4000" b="0" i="0" u="none" strike="noStrike" spc="1190" baseline="0">
                  <a:solidFill>
                    <a:schemeClr val="bg1"/>
                  </a:solidFill>
                  <a:latin typeface="Calibri"/>
                  <a:ea typeface="Verdana" panose="020B0604030504040204" pitchFamily="34" charset="0"/>
                  <a:cs typeface="Calibri"/>
                </a:rPr>
                <a:t> FAN </a:t>
              </a:r>
              <a:r>
                <a:rPr lang="en-US" sz="4000" b="0" i="0" u="none" strike="noStrike" spc="1190">
                  <a:solidFill>
                    <a:schemeClr val="bg1"/>
                  </a:solidFill>
                  <a:latin typeface="Calibri"/>
                  <a:ea typeface="Verdana" panose="020B0604030504040204" pitchFamily="34" charset="0"/>
                  <a:cs typeface="Calibri"/>
                </a:rPr>
                <a:t>TABLES</a:t>
              </a:r>
            </a:p>
          </xdr:txBody>
        </xdr:sp>
        <xdr:sp macro="" textlink="Name">
          <xdr:nvSpPr>
            <xdr:cNvPr id="6" name="TextBox 31">
              <a:extLst>
                <a:ext uri="{FF2B5EF4-FFF2-40B4-BE49-F238E27FC236}">
                  <a16:creationId xmlns:a16="http://schemas.microsoft.com/office/drawing/2014/main" id="{00000000-0008-0000-2000-000006000000}"/>
                </a:ext>
              </a:extLst>
            </xdr:cNvPr>
            <xdr:cNvSpPr txBox="1"/>
          </xdr:nvSpPr>
          <xdr:spPr>
            <a:xfrm>
              <a:off x="815423" y="438150"/>
              <a:ext cx="10640147" cy="24765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100" b="0" i="0" u="none" strike="noStrike" spc="1190" baseline="0">
                  <a:solidFill>
                    <a:schemeClr val="bg1"/>
                  </a:solidFill>
                  <a:latin typeface="Segoe UI"/>
                  <a:ea typeface="Verdana" panose="020B0604030504040204" pitchFamily="34" charset="0"/>
                  <a:cs typeface="Segoe UI"/>
                </a:rPr>
                <a:pPr algn="l"/>
                <a:t>Housing Energy Efficiency Calculator</a:t>
              </a:fld>
              <a:endParaRPr lang="en-AU" sz="1100" b="0" spc="1190" baseline="0">
                <a:solidFill>
                  <a:schemeClr val="bg1"/>
                </a:solidFill>
                <a:latin typeface="Calibri Light" panose="020F0302020204030204" pitchFamily="34" charset="0"/>
                <a:ea typeface="Verdana" panose="020B0604030504040204" pitchFamily="34" charset="0"/>
                <a:cs typeface="Calibri Light" panose="020F0302020204030204" pitchFamily="34" charset="0"/>
              </a:endParaRPr>
            </a:p>
          </xdr:txBody>
        </xdr:sp>
      </xdr:grpSp>
      <xdr:pic>
        <xdr:nvPicPr>
          <xdr:cNvPr id="4" name="Picture 8" descr="A white arrow in a circle&#10;&#10;Description automatically generated">
            <a:hlinkClick xmlns:r="http://schemas.openxmlformats.org/officeDocument/2006/relationships" r:id="rId1"/>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2">
            <a:biLevel thresh="25000"/>
            <a:extLst>
              <a:ext uri="{BEBA8EAE-BF5A-486C-A8C5-ECC9F3942E4B}">
                <a14:imgProps xmlns:a14="http://schemas.microsoft.com/office/drawing/2010/main">
                  <a14:imgLayer r:embed="rId3">
                    <a14:imgEffect>
                      <a14:brightnessContrast bright="-40000" contrast="-40000"/>
                    </a14:imgEffect>
                  </a14:imgLayer>
                </a14:imgProps>
              </a:ext>
            </a:extLst>
          </a:blip>
          <a:stretch>
            <a:fillRect/>
          </a:stretch>
        </xdr:blipFill>
        <xdr:spPr>
          <a:xfrm>
            <a:off x="247650" y="354261"/>
            <a:ext cx="459789" cy="443155"/>
          </a:xfrm>
          <a:prstGeom prst="rect">
            <a:avLst/>
          </a:prstGeom>
        </xdr:spPr>
      </xdr:pic>
    </xdr:grpSp>
    <xdr:clientData/>
  </xdr:twoCellAnchor>
</xdr:wsDr>
</file>

<file path=xl/drawings/drawing23.xml><?xml version="1.0" encoding="utf-8"?>
<xdr:wsDr xmlns:xdr="http://schemas.openxmlformats.org/drawingml/2006/spreadsheetDrawing" xmlns:a="http://schemas.openxmlformats.org/drawingml/2006/main">
  <xdr:twoCellAnchor editAs="absolute">
    <xdr:from>
      <xdr:col>0</xdr:col>
      <xdr:colOff>262128</xdr:colOff>
      <xdr:row>1</xdr:row>
      <xdr:rowOff>15778</xdr:rowOff>
    </xdr:from>
    <xdr:to>
      <xdr:col>7</xdr:col>
      <xdr:colOff>1064012</xdr:colOff>
      <xdr:row>5</xdr:row>
      <xdr:rowOff>109396</xdr:rowOff>
    </xdr:to>
    <xdr:grpSp>
      <xdr:nvGrpSpPr>
        <xdr:cNvPr id="2" name="Group 6">
          <a:extLst>
            <a:ext uri="{FF2B5EF4-FFF2-40B4-BE49-F238E27FC236}">
              <a16:creationId xmlns:a16="http://schemas.microsoft.com/office/drawing/2014/main" id="{00000000-0008-0000-3D00-000002000000}"/>
            </a:ext>
          </a:extLst>
        </xdr:cNvPr>
        <xdr:cNvGrpSpPr/>
      </xdr:nvGrpSpPr>
      <xdr:grpSpPr>
        <a:xfrm>
          <a:off x="262128" y="195072"/>
          <a:ext cx="13210531" cy="810795"/>
          <a:chOff x="247650" y="186690"/>
          <a:chExt cx="13481564" cy="778298"/>
        </a:xfrm>
      </xdr:grpSpPr>
      <xdr:grpSp>
        <xdr:nvGrpSpPr>
          <xdr:cNvPr id="3" name="Group 7">
            <a:extLst>
              <a:ext uri="{FF2B5EF4-FFF2-40B4-BE49-F238E27FC236}">
                <a16:creationId xmlns:a16="http://schemas.microsoft.com/office/drawing/2014/main" id="{00000000-0008-0000-3D00-000003000000}"/>
              </a:ext>
            </a:extLst>
          </xdr:cNvPr>
          <xdr:cNvGrpSpPr/>
        </xdr:nvGrpSpPr>
        <xdr:grpSpPr>
          <a:xfrm>
            <a:off x="840105" y="186690"/>
            <a:ext cx="12892919" cy="782108"/>
            <a:chOff x="815423" y="438150"/>
            <a:chExt cx="10640147" cy="814493"/>
          </a:xfrm>
        </xdr:grpSpPr>
        <xdr:sp macro="" textlink="">
          <xdr:nvSpPr>
            <xdr:cNvPr id="5" name="TextBox 31">
              <a:extLst>
                <a:ext uri="{FF2B5EF4-FFF2-40B4-BE49-F238E27FC236}">
                  <a16:creationId xmlns:a16="http://schemas.microsoft.com/office/drawing/2014/main" id="{00000000-0008-0000-3D00-000005000000}"/>
                </a:ext>
              </a:extLst>
            </xdr:cNvPr>
            <xdr:cNvSpPr txBox="1"/>
          </xdr:nvSpPr>
          <xdr:spPr>
            <a:xfrm>
              <a:off x="815423" y="619125"/>
              <a:ext cx="10640147" cy="633518"/>
            </a:xfrm>
            <a:prstGeom prst="rect">
              <a:avLst/>
            </a:prstGeom>
            <a:noFill/>
          </xdr:spPr>
          <xdr:txBody>
            <a:bodyPr wrap="square" rtlCol="0">
              <a:noAutofit/>
            </a:bodyPr>
            <a:lstStyle/>
            <a:p>
              <a:pPr algn="l"/>
              <a:r>
                <a:rPr lang="en-US" sz="4000" b="0" i="0" u="none" strike="noStrike" spc="1190">
                  <a:solidFill>
                    <a:schemeClr val="bg1"/>
                  </a:solidFill>
                  <a:latin typeface="Calibri"/>
                  <a:ea typeface="Verdana" panose="020B0604030504040204" pitchFamily="34" charset="0"/>
                  <a:cs typeface="Calibri"/>
                </a:rPr>
                <a:t>13.3 EXTERNAL</a:t>
              </a:r>
              <a:r>
                <a:rPr lang="en-US" sz="4000" b="0" i="0" u="none" strike="noStrike" spc="1190" baseline="0">
                  <a:solidFill>
                    <a:schemeClr val="bg1"/>
                  </a:solidFill>
                  <a:latin typeface="Calibri"/>
                  <a:ea typeface="Verdana" panose="020B0604030504040204" pitchFamily="34" charset="0"/>
                  <a:cs typeface="Calibri"/>
                </a:rPr>
                <a:t> GLAZING </a:t>
              </a:r>
              <a:r>
                <a:rPr lang="en-US" sz="4000" b="0" i="0" u="none" strike="noStrike" spc="1190">
                  <a:solidFill>
                    <a:schemeClr val="bg1"/>
                  </a:solidFill>
                  <a:latin typeface="Calibri"/>
                  <a:ea typeface="Verdana" panose="020B0604030504040204" pitchFamily="34" charset="0"/>
                  <a:cs typeface="Calibri"/>
                </a:rPr>
                <a:t>TABLES</a:t>
              </a:r>
            </a:p>
          </xdr:txBody>
        </xdr:sp>
        <xdr:sp macro="" textlink="Name">
          <xdr:nvSpPr>
            <xdr:cNvPr id="6" name="TextBox 31">
              <a:extLst>
                <a:ext uri="{FF2B5EF4-FFF2-40B4-BE49-F238E27FC236}">
                  <a16:creationId xmlns:a16="http://schemas.microsoft.com/office/drawing/2014/main" id="{00000000-0008-0000-3D00-000006000000}"/>
                </a:ext>
              </a:extLst>
            </xdr:cNvPr>
            <xdr:cNvSpPr txBox="1"/>
          </xdr:nvSpPr>
          <xdr:spPr>
            <a:xfrm>
              <a:off x="815423" y="438150"/>
              <a:ext cx="10640147" cy="24765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100" b="0" i="0" u="none" strike="noStrike" spc="1190" baseline="0">
                  <a:solidFill>
                    <a:schemeClr val="bg1"/>
                  </a:solidFill>
                  <a:latin typeface="Segoe UI"/>
                  <a:ea typeface="Verdana" panose="020B0604030504040204" pitchFamily="34" charset="0"/>
                  <a:cs typeface="Segoe UI"/>
                </a:rPr>
                <a:pPr algn="l"/>
                <a:t>Housing Energy Efficiency Calculator</a:t>
              </a:fld>
              <a:endParaRPr lang="en-AU" sz="1100" b="0" spc="1190" baseline="0">
                <a:solidFill>
                  <a:schemeClr val="bg1"/>
                </a:solidFill>
                <a:latin typeface="Calibri Light" panose="020F0302020204030204" pitchFamily="34" charset="0"/>
                <a:ea typeface="Verdana" panose="020B0604030504040204" pitchFamily="34" charset="0"/>
                <a:cs typeface="Calibri Light" panose="020F0302020204030204" pitchFamily="34" charset="0"/>
              </a:endParaRPr>
            </a:p>
          </xdr:txBody>
        </xdr:sp>
      </xdr:grpSp>
      <xdr:pic>
        <xdr:nvPicPr>
          <xdr:cNvPr id="4" name="Picture 8" descr="A white arrow in a circle&#10;&#10;Description automatically generated">
            <a:hlinkClick xmlns:r="http://schemas.openxmlformats.org/officeDocument/2006/relationships" r:id="rId1"/>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2">
            <a:biLevel thresh="25000"/>
            <a:extLst>
              <a:ext uri="{BEBA8EAE-BF5A-486C-A8C5-ECC9F3942E4B}">
                <a14:imgProps xmlns:a14="http://schemas.microsoft.com/office/drawing/2010/main">
                  <a14:imgLayer r:embed="rId3">
                    <a14:imgEffect>
                      <a14:brightnessContrast bright="-40000" contrast="-40000"/>
                    </a14:imgEffect>
                  </a14:imgLayer>
                </a14:imgProps>
              </a:ext>
            </a:extLst>
          </a:blip>
          <a:stretch>
            <a:fillRect/>
          </a:stretch>
        </xdr:blipFill>
        <xdr:spPr>
          <a:xfrm>
            <a:off x="247650" y="354261"/>
            <a:ext cx="459789" cy="443155"/>
          </a:xfrm>
          <a:prstGeom prst="rect">
            <a:avLst/>
          </a:prstGeom>
        </xdr:spPr>
      </xdr:pic>
    </xdr:grpSp>
    <xdr:clientData/>
  </xdr:twoCellAnchor>
</xdr:wsDr>
</file>

<file path=xl/drawings/drawing24.xml><?xml version="1.0" encoding="utf-8"?>
<xdr:wsDr xmlns:xdr="http://schemas.openxmlformats.org/drawingml/2006/spreadsheetDrawing" xmlns:a="http://schemas.openxmlformats.org/drawingml/2006/main">
  <xdr:twoCellAnchor editAs="absolute">
    <xdr:from>
      <xdr:col>0</xdr:col>
      <xdr:colOff>262128</xdr:colOff>
      <xdr:row>1</xdr:row>
      <xdr:rowOff>14097</xdr:rowOff>
    </xdr:from>
    <xdr:to>
      <xdr:col>9</xdr:col>
      <xdr:colOff>1066800</xdr:colOff>
      <xdr:row>5</xdr:row>
      <xdr:rowOff>91448</xdr:rowOff>
    </xdr:to>
    <xdr:grpSp>
      <xdr:nvGrpSpPr>
        <xdr:cNvPr id="2" name="Group 6">
          <a:extLst>
            <a:ext uri="{FF2B5EF4-FFF2-40B4-BE49-F238E27FC236}">
              <a16:creationId xmlns:a16="http://schemas.microsoft.com/office/drawing/2014/main" id="{00000000-0008-0000-3E00-000002000000}"/>
            </a:ext>
          </a:extLst>
        </xdr:cNvPr>
        <xdr:cNvGrpSpPr/>
      </xdr:nvGrpSpPr>
      <xdr:grpSpPr>
        <a:xfrm>
          <a:off x="262128" y="191897"/>
          <a:ext cx="18286222" cy="788551"/>
          <a:chOff x="247650" y="186690"/>
          <a:chExt cx="18662953" cy="782108"/>
        </a:xfrm>
      </xdr:grpSpPr>
      <xdr:grpSp>
        <xdr:nvGrpSpPr>
          <xdr:cNvPr id="3" name="Group 7">
            <a:extLst>
              <a:ext uri="{FF2B5EF4-FFF2-40B4-BE49-F238E27FC236}">
                <a16:creationId xmlns:a16="http://schemas.microsoft.com/office/drawing/2014/main" id="{00000000-0008-0000-3E00-000003000000}"/>
              </a:ext>
            </a:extLst>
          </xdr:cNvPr>
          <xdr:cNvGrpSpPr/>
        </xdr:nvGrpSpPr>
        <xdr:grpSpPr>
          <a:xfrm>
            <a:off x="840105" y="186690"/>
            <a:ext cx="18070498" cy="782108"/>
            <a:chOff x="815423" y="438150"/>
            <a:chExt cx="14913051" cy="814493"/>
          </a:xfrm>
        </xdr:grpSpPr>
        <xdr:sp macro="" textlink="">
          <xdr:nvSpPr>
            <xdr:cNvPr id="5" name="TextBox 31">
              <a:extLst>
                <a:ext uri="{FF2B5EF4-FFF2-40B4-BE49-F238E27FC236}">
                  <a16:creationId xmlns:a16="http://schemas.microsoft.com/office/drawing/2014/main" id="{00000000-0008-0000-3E00-000005000000}"/>
                </a:ext>
              </a:extLst>
            </xdr:cNvPr>
            <xdr:cNvSpPr txBox="1"/>
          </xdr:nvSpPr>
          <xdr:spPr>
            <a:xfrm>
              <a:off x="815423" y="619125"/>
              <a:ext cx="14913051" cy="633518"/>
            </a:xfrm>
            <a:prstGeom prst="rect">
              <a:avLst/>
            </a:prstGeom>
            <a:noFill/>
          </xdr:spPr>
          <xdr:txBody>
            <a:bodyPr wrap="square" rtlCol="0">
              <a:noAutofit/>
            </a:bodyPr>
            <a:lstStyle/>
            <a:p>
              <a:pPr algn="l"/>
              <a:r>
                <a:rPr lang="en-US" sz="4000" b="0" i="0" u="none" strike="noStrike" spc="1190">
                  <a:solidFill>
                    <a:schemeClr val="bg1"/>
                  </a:solidFill>
                  <a:latin typeface="Calibri"/>
                  <a:ea typeface="Verdana" panose="020B0604030504040204" pitchFamily="34" charset="0"/>
                  <a:cs typeface="Calibri"/>
                </a:rPr>
                <a:t>13.6 WHOLE-OF-HOME ENERGY USAGE TABLES</a:t>
              </a:r>
            </a:p>
          </xdr:txBody>
        </xdr:sp>
        <xdr:sp macro="" textlink="Name">
          <xdr:nvSpPr>
            <xdr:cNvPr id="6" name="TextBox 31">
              <a:extLst>
                <a:ext uri="{FF2B5EF4-FFF2-40B4-BE49-F238E27FC236}">
                  <a16:creationId xmlns:a16="http://schemas.microsoft.com/office/drawing/2014/main" id="{00000000-0008-0000-3E00-000006000000}"/>
                </a:ext>
              </a:extLst>
            </xdr:cNvPr>
            <xdr:cNvSpPr txBox="1"/>
          </xdr:nvSpPr>
          <xdr:spPr>
            <a:xfrm>
              <a:off x="815423" y="438150"/>
              <a:ext cx="10640147" cy="24765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100" b="0" i="0" u="none" strike="noStrike" spc="1190" baseline="0">
                  <a:solidFill>
                    <a:schemeClr val="bg1"/>
                  </a:solidFill>
                  <a:latin typeface="Segoe UI"/>
                  <a:ea typeface="Verdana" panose="020B0604030504040204" pitchFamily="34" charset="0"/>
                  <a:cs typeface="Segoe UI"/>
                </a:rPr>
                <a:pPr algn="l"/>
                <a:t>Housing Energy Efficiency Calculator</a:t>
              </a:fld>
              <a:endParaRPr lang="en-AU" sz="1100" b="0" spc="1190" baseline="0">
                <a:solidFill>
                  <a:schemeClr val="bg1"/>
                </a:solidFill>
                <a:latin typeface="Calibri Light" panose="020F0302020204030204" pitchFamily="34" charset="0"/>
                <a:ea typeface="Verdana" panose="020B0604030504040204" pitchFamily="34" charset="0"/>
                <a:cs typeface="Calibri Light" panose="020F0302020204030204" pitchFamily="34" charset="0"/>
              </a:endParaRPr>
            </a:p>
          </xdr:txBody>
        </xdr:sp>
      </xdr:grpSp>
      <xdr:pic>
        <xdr:nvPicPr>
          <xdr:cNvPr id="4" name="Picture 8" descr="A white arrow in a circle&#10;&#10;Description automatically generated">
            <a:hlinkClick xmlns:r="http://schemas.openxmlformats.org/officeDocument/2006/relationships" r:id="rId1"/>
            <a:extLst>
              <a:ext uri="{FF2B5EF4-FFF2-40B4-BE49-F238E27FC236}">
                <a16:creationId xmlns:a16="http://schemas.microsoft.com/office/drawing/2014/main" id="{00000000-0008-0000-3E00-000004000000}"/>
              </a:ext>
            </a:extLst>
          </xdr:cNvPr>
          <xdr:cNvPicPr>
            <a:picLocks noChangeAspect="1"/>
          </xdr:cNvPicPr>
        </xdr:nvPicPr>
        <xdr:blipFill>
          <a:blip xmlns:r="http://schemas.openxmlformats.org/officeDocument/2006/relationships" r:embed="rId2">
            <a:biLevel thresh="25000"/>
            <a:extLst>
              <a:ext uri="{BEBA8EAE-BF5A-486C-A8C5-ECC9F3942E4B}">
                <a14:imgProps xmlns:a14="http://schemas.microsoft.com/office/drawing/2010/main">
                  <a14:imgLayer r:embed="rId3">
                    <a14:imgEffect>
                      <a14:brightnessContrast bright="-40000" contrast="-40000"/>
                    </a14:imgEffect>
                  </a14:imgLayer>
                </a14:imgProps>
              </a:ext>
            </a:extLst>
          </a:blip>
          <a:stretch>
            <a:fillRect/>
          </a:stretch>
        </xdr:blipFill>
        <xdr:spPr>
          <a:xfrm>
            <a:off x="247650" y="354261"/>
            <a:ext cx="459789" cy="443155"/>
          </a:xfrm>
          <a:prstGeom prst="rect">
            <a:avLst/>
          </a:prstGeom>
        </xdr:spPr>
      </xdr:pic>
    </xdr:grpSp>
    <xdr:clientData/>
  </xdr:twoCellAnchor>
</xdr:wsDr>
</file>

<file path=xl/drawings/drawing25.xml><?xml version="1.0" encoding="utf-8"?>
<xdr:wsDr xmlns:xdr="http://schemas.openxmlformats.org/drawingml/2006/spreadsheetDrawing" xmlns:a="http://schemas.openxmlformats.org/drawingml/2006/main">
  <xdr:twoCellAnchor editAs="absolute">
    <xdr:from>
      <xdr:col>0</xdr:col>
      <xdr:colOff>255778</xdr:colOff>
      <xdr:row>1</xdr:row>
      <xdr:rowOff>20447</xdr:rowOff>
    </xdr:from>
    <xdr:to>
      <xdr:col>6</xdr:col>
      <xdr:colOff>406787</xdr:colOff>
      <xdr:row>5</xdr:row>
      <xdr:rowOff>87545</xdr:rowOff>
    </xdr:to>
    <xdr:grpSp>
      <xdr:nvGrpSpPr>
        <xdr:cNvPr id="2" name="Group 6">
          <a:extLst>
            <a:ext uri="{FF2B5EF4-FFF2-40B4-BE49-F238E27FC236}">
              <a16:creationId xmlns:a16="http://schemas.microsoft.com/office/drawing/2014/main" id="{00000000-0008-0000-3F00-000002000000}"/>
            </a:ext>
          </a:extLst>
        </xdr:cNvPr>
        <xdr:cNvGrpSpPr/>
      </xdr:nvGrpSpPr>
      <xdr:grpSpPr>
        <a:xfrm>
          <a:off x="255778" y="198247"/>
          <a:ext cx="13212959" cy="778298"/>
          <a:chOff x="247650" y="186690"/>
          <a:chExt cx="13481564" cy="778298"/>
        </a:xfrm>
      </xdr:grpSpPr>
      <xdr:grpSp>
        <xdr:nvGrpSpPr>
          <xdr:cNvPr id="3" name="Group 7">
            <a:extLst>
              <a:ext uri="{FF2B5EF4-FFF2-40B4-BE49-F238E27FC236}">
                <a16:creationId xmlns:a16="http://schemas.microsoft.com/office/drawing/2014/main" id="{00000000-0008-0000-3F00-000003000000}"/>
              </a:ext>
            </a:extLst>
          </xdr:cNvPr>
          <xdr:cNvGrpSpPr/>
        </xdr:nvGrpSpPr>
        <xdr:grpSpPr>
          <a:xfrm>
            <a:off x="840105" y="186690"/>
            <a:ext cx="12892919" cy="782108"/>
            <a:chOff x="815423" y="438150"/>
            <a:chExt cx="10640147" cy="814493"/>
          </a:xfrm>
        </xdr:grpSpPr>
        <xdr:sp macro="" textlink="">
          <xdr:nvSpPr>
            <xdr:cNvPr id="5" name="TextBox 31">
              <a:extLst>
                <a:ext uri="{FF2B5EF4-FFF2-40B4-BE49-F238E27FC236}">
                  <a16:creationId xmlns:a16="http://schemas.microsoft.com/office/drawing/2014/main" id="{00000000-0008-0000-3F00-000005000000}"/>
                </a:ext>
              </a:extLst>
            </xdr:cNvPr>
            <xdr:cNvSpPr txBox="1"/>
          </xdr:nvSpPr>
          <xdr:spPr>
            <a:xfrm>
              <a:off x="815423" y="619125"/>
              <a:ext cx="10640147" cy="633518"/>
            </a:xfrm>
            <a:prstGeom prst="rect">
              <a:avLst/>
            </a:prstGeom>
            <a:noFill/>
          </xdr:spPr>
          <xdr:txBody>
            <a:bodyPr wrap="square" rtlCol="0">
              <a:noAutofit/>
            </a:bodyPr>
            <a:lstStyle/>
            <a:p>
              <a:pPr algn="l"/>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13.7 SERVICES</a:t>
              </a:r>
              <a:r>
                <a:rPr lang="en-US" sz="40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t> </a:t>
              </a:r>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TABLES</a:t>
              </a:r>
            </a:p>
          </xdr:txBody>
        </xdr:sp>
        <xdr:sp macro="" textlink="Name">
          <xdr:nvSpPr>
            <xdr:cNvPr id="6" name="TextBox 31">
              <a:extLst>
                <a:ext uri="{FF2B5EF4-FFF2-40B4-BE49-F238E27FC236}">
                  <a16:creationId xmlns:a16="http://schemas.microsoft.com/office/drawing/2014/main" id="{00000000-0008-0000-3F00-000006000000}"/>
                </a:ext>
              </a:extLst>
            </xdr:cNvPr>
            <xdr:cNvSpPr txBox="1"/>
          </xdr:nvSpPr>
          <xdr:spPr>
            <a:xfrm>
              <a:off x="815423" y="438150"/>
              <a:ext cx="10640147" cy="24765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1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pPr algn="l"/>
                <a:t>Housing Energy Efficiency Calculator</a:t>
              </a:fld>
              <a:endParaRPr lang="en-AU" sz="1100" b="0" spc="1190" baseline="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grpSp>
      <xdr:pic>
        <xdr:nvPicPr>
          <xdr:cNvPr id="4" name="Picture 8" descr="A white arrow in a circle&#10;&#10;Description automatically generated">
            <a:hlinkClick xmlns:r="http://schemas.openxmlformats.org/officeDocument/2006/relationships" r:id="rId1"/>
            <a:extLst>
              <a:ext uri="{FF2B5EF4-FFF2-40B4-BE49-F238E27FC236}">
                <a16:creationId xmlns:a16="http://schemas.microsoft.com/office/drawing/2014/main" id="{00000000-0008-0000-3F00-000004000000}"/>
              </a:ext>
            </a:extLst>
          </xdr:cNvPr>
          <xdr:cNvPicPr>
            <a:picLocks noChangeAspect="1"/>
          </xdr:cNvPicPr>
        </xdr:nvPicPr>
        <xdr:blipFill>
          <a:blip xmlns:r="http://schemas.openxmlformats.org/officeDocument/2006/relationships" r:embed="rId2">
            <a:biLevel thresh="25000"/>
            <a:extLst>
              <a:ext uri="{BEBA8EAE-BF5A-486C-A8C5-ECC9F3942E4B}">
                <a14:imgProps xmlns:a14="http://schemas.microsoft.com/office/drawing/2010/main">
                  <a14:imgLayer r:embed="rId3">
                    <a14:imgEffect>
                      <a14:brightnessContrast bright="-40000" contrast="-40000"/>
                    </a14:imgEffect>
                  </a14:imgLayer>
                </a14:imgProps>
              </a:ext>
            </a:extLst>
          </a:blip>
          <a:stretch>
            <a:fillRect/>
          </a:stretch>
        </xdr:blipFill>
        <xdr:spPr>
          <a:xfrm>
            <a:off x="247650" y="354261"/>
            <a:ext cx="459789" cy="443155"/>
          </a:xfrm>
          <a:prstGeom prst="rect">
            <a:avLst/>
          </a:prstGeom>
        </xdr:spPr>
      </xdr:pic>
    </xdr:grp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710459</xdr:colOff>
      <xdr:row>5</xdr:row>
      <xdr:rowOff>128865</xdr:rowOff>
    </xdr:from>
    <xdr:to>
      <xdr:col>2</xdr:col>
      <xdr:colOff>828080</xdr:colOff>
      <xdr:row>6</xdr:row>
      <xdr:rowOff>132336</xdr:rowOff>
    </xdr:to>
    <xdr:sp macro="" textlink="">
      <xdr:nvSpPr>
        <xdr:cNvPr id="2" name="AutoShape 4" descr="help">
          <a:hlinkClick xmlns:r="http://schemas.openxmlformats.org/officeDocument/2006/relationships" r:id="rId1"/>
          <a:extLst>
            <a:ext uri="{FF2B5EF4-FFF2-40B4-BE49-F238E27FC236}">
              <a16:creationId xmlns:a16="http://schemas.microsoft.com/office/drawing/2014/main" id="{00000000-0008-0000-4000-000002000000}"/>
            </a:ext>
          </a:extLst>
        </xdr:cNvPr>
        <xdr:cNvSpPr>
          <a:spLocks noChangeArrowheads="1"/>
        </xdr:cNvSpPr>
      </xdr:nvSpPr>
      <xdr:spPr bwMode="auto">
        <a:xfrm>
          <a:off x="1301009" y="2224365"/>
          <a:ext cx="831996" cy="251121"/>
        </a:xfrm>
        <a:prstGeom prst="rect">
          <a:avLst/>
        </a:prstGeom>
        <a:solidFill>
          <a:schemeClr val="bg1">
            <a:lumMod val="95000"/>
          </a:schemeClr>
        </a:solidFill>
        <a:ln w="9525" algn="ctr">
          <a:noFill/>
          <a:round/>
          <a:headEnd/>
          <a:tailEnd/>
        </a:ln>
        <a:effectLst>
          <a:innerShdw dist="25400" dir="2700000">
            <a:prstClr val="black">
              <a:alpha val="50000"/>
            </a:prstClr>
          </a:innerShdw>
        </a:effectLst>
      </xdr:spPr>
      <xdr:txBody>
        <a:bodyPr vertOverflow="clip" wrap="square" lIns="27432" tIns="22860" rIns="27432" bIns="22860" anchor="ctr" upright="1"/>
        <a:lstStyle/>
        <a:p>
          <a:pPr algn="ctr" rtl="0">
            <a:defRPr sz="1000"/>
          </a:pPr>
          <a:r>
            <a:rPr lang="en-AU" sz="800" b="1" i="0" u="none" strike="noStrike" baseline="0">
              <a:solidFill>
                <a:schemeClr val="tx1"/>
              </a:solidFill>
              <a:latin typeface="Arial"/>
              <a:cs typeface="Arial"/>
            </a:rPr>
            <a:t>Main Menu</a:t>
          </a:r>
        </a:p>
      </xdr:txBody>
    </xdr:sp>
    <xdr:clientData/>
  </xdr:twoCellAnchor>
  <xdr:twoCellAnchor>
    <xdr:from>
      <xdr:col>2</xdr:col>
      <xdr:colOff>1059367</xdr:colOff>
      <xdr:row>5</xdr:row>
      <xdr:rowOff>140071</xdr:rowOff>
    </xdr:from>
    <xdr:to>
      <xdr:col>5</xdr:col>
      <xdr:colOff>215982</xdr:colOff>
      <xdr:row>6</xdr:row>
      <xdr:rowOff>141941</xdr:rowOff>
    </xdr:to>
    <xdr:sp macro="" textlink="">
      <xdr:nvSpPr>
        <xdr:cNvPr id="3" name="AutoShape 8" descr="help">
          <a:hlinkClick xmlns:r="http://schemas.openxmlformats.org/officeDocument/2006/relationships" r:id="rId2"/>
          <a:extLst>
            <a:ext uri="{FF2B5EF4-FFF2-40B4-BE49-F238E27FC236}">
              <a16:creationId xmlns:a16="http://schemas.microsoft.com/office/drawing/2014/main" id="{00000000-0008-0000-4000-000003000000}"/>
            </a:ext>
          </a:extLst>
        </xdr:cNvPr>
        <xdr:cNvSpPr>
          <a:spLocks noChangeArrowheads="1"/>
        </xdr:cNvSpPr>
      </xdr:nvSpPr>
      <xdr:spPr bwMode="auto">
        <a:xfrm>
          <a:off x="2364292" y="2235571"/>
          <a:ext cx="1947440" cy="249520"/>
        </a:xfrm>
        <a:prstGeom prst="rect">
          <a:avLst/>
        </a:prstGeom>
        <a:solidFill>
          <a:schemeClr val="bg1">
            <a:lumMod val="95000"/>
          </a:schemeClr>
        </a:solidFill>
        <a:ln w="9525" algn="ctr">
          <a:noFill/>
          <a:round/>
          <a:headEnd/>
          <a:tailEnd/>
        </a:ln>
        <a:effectLst>
          <a:innerShdw dist="25400" dir="2700000">
            <a:prstClr val="black">
              <a:alpha val="50000"/>
            </a:prstClr>
          </a:innerShdw>
        </a:effectLst>
      </xdr:spPr>
      <xdr:txBody>
        <a:bodyPr vertOverflow="clip" wrap="square" lIns="27432" tIns="22860" rIns="27432" bIns="0" anchor="ctr" upright="1"/>
        <a:lstStyle/>
        <a:p>
          <a:pPr algn="ctr" rtl="0">
            <a:defRPr sz="1000"/>
          </a:pPr>
          <a:r>
            <a:rPr lang="en-AU" sz="800" b="1" i="0" u="none" strike="noStrike" baseline="0">
              <a:solidFill>
                <a:schemeClr val="tx1"/>
              </a:solidFill>
              <a:latin typeface="Arial"/>
              <a:cs typeface="Arial"/>
            </a:rPr>
            <a:t>Residential Lighting Calculator</a:t>
          </a:r>
        </a:p>
        <a:p>
          <a:pPr algn="ctr" rtl="0">
            <a:defRPr sz="1000"/>
          </a:pPr>
          <a:endParaRPr lang="en-AU" sz="800" b="1" i="0" u="none" strike="noStrike" baseline="0">
            <a:solidFill>
              <a:schemeClr val="tx1"/>
            </a:solidFill>
            <a:latin typeface="Arial"/>
            <a:cs typeface="Arial"/>
          </a:endParaRPr>
        </a:p>
      </xdr:txBody>
    </xdr:sp>
    <xdr:clientData/>
  </xdr:twoCellAnchor>
  <xdr:twoCellAnchor editAs="oneCell">
    <xdr:from>
      <xdr:col>0</xdr:col>
      <xdr:colOff>0</xdr:colOff>
      <xdr:row>0</xdr:row>
      <xdr:rowOff>1</xdr:rowOff>
    </xdr:from>
    <xdr:to>
      <xdr:col>15</xdr:col>
      <xdr:colOff>0</xdr:colOff>
      <xdr:row>5</xdr:row>
      <xdr:rowOff>13608</xdr:rowOff>
    </xdr:to>
    <xdr:pic>
      <xdr:nvPicPr>
        <xdr:cNvPr id="4" name="Picture 3">
          <a:extLst>
            <a:ext uri="{FF2B5EF4-FFF2-40B4-BE49-F238E27FC236}">
              <a16:creationId xmlns:a16="http://schemas.microsoft.com/office/drawing/2014/main" id="{00000000-0008-0000-4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
          <a:ext cx="11868150" cy="2109107"/>
        </a:xfrm>
        <a:prstGeom prst="rect">
          <a:avLst/>
        </a:prstGeom>
      </xdr:spPr>
    </xdr:pic>
    <xdr:clientData/>
  </xdr:twoCellAnchor>
  <xdr:oneCellAnchor>
    <xdr:from>
      <xdr:col>1</xdr:col>
      <xdr:colOff>213831</xdr:colOff>
      <xdr:row>0</xdr:row>
      <xdr:rowOff>264327</xdr:rowOff>
    </xdr:from>
    <xdr:ext cx="722807" cy="1017003"/>
    <xdr:pic>
      <xdr:nvPicPr>
        <xdr:cNvPr id="5" name="Picture 4">
          <a:extLst>
            <a:ext uri="{FF2B5EF4-FFF2-40B4-BE49-F238E27FC236}">
              <a16:creationId xmlns:a16="http://schemas.microsoft.com/office/drawing/2014/main" id="{00000000-0008-0000-40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04381" y="264327"/>
          <a:ext cx="722807" cy="1017003"/>
        </a:xfrm>
        <a:prstGeom prst="rect">
          <a:avLst/>
        </a:prstGeom>
      </xdr:spPr>
    </xdr:pic>
    <xdr:clientData/>
  </xdr:oneCellAnchor>
  <xdr:twoCellAnchor>
    <xdr:from>
      <xdr:col>1</xdr:col>
      <xdr:colOff>444041</xdr:colOff>
      <xdr:row>1</xdr:row>
      <xdr:rowOff>96199</xdr:rowOff>
    </xdr:from>
    <xdr:to>
      <xdr:col>14</xdr:col>
      <xdr:colOff>177971</xdr:colOff>
      <xdr:row>3</xdr:row>
      <xdr:rowOff>213881</xdr:rowOff>
    </xdr:to>
    <xdr:sp macro="" textlink="">
      <xdr:nvSpPr>
        <xdr:cNvPr id="6" name="TextBox 5">
          <a:extLst>
            <a:ext uri="{FF2B5EF4-FFF2-40B4-BE49-F238E27FC236}">
              <a16:creationId xmlns:a16="http://schemas.microsoft.com/office/drawing/2014/main" id="{00000000-0008-0000-4000-000006000000}"/>
            </a:ext>
          </a:extLst>
        </xdr:cNvPr>
        <xdr:cNvSpPr txBox="1"/>
      </xdr:nvSpPr>
      <xdr:spPr>
        <a:xfrm>
          <a:off x="1034591" y="515299"/>
          <a:ext cx="10420980" cy="955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75000"/>
            </a:lnSpc>
          </a:pPr>
          <a:r>
            <a:rPr lang="en-US" sz="2400">
              <a:solidFill>
                <a:schemeClr val="bg1"/>
              </a:solidFill>
              <a:latin typeface="Arial" panose="020B0604020202020204" pitchFamily="34" charset="0"/>
              <a:cs typeface="Arial" panose="020B0604020202020204" pitchFamily="34" charset="0"/>
            </a:rPr>
            <a:t>Lighting</a:t>
          </a:r>
          <a:endParaRPr lang="en-US" sz="2400" baseline="0">
            <a:solidFill>
              <a:schemeClr val="bg1"/>
            </a:solidFill>
            <a:latin typeface="Arial" panose="020B0604020202020204" pitchFamily="34" charset="0"/>
            <a:cs typeface="Arial" panose="020B0604020202020204" pitchFamily="34" charset="0"/>
          </a:endParaRPr>
        </a:p>
        <a:p>
          <a:pPr algn="ctr">
            <a:lnSpc>
              <a:spcPct val="75000"/>
            </a:lnSpc>
          </a:pPr>
          <a:br>
            <a:rPr lang="en-US" sz="1400" baseline="0">
              <a:solidFill>
                <a:schemeClr val="bg1"/>
              </a:solidFill>
              <a:latin typeface="Arial" panose="020B0604020202020204" pitchFamily="34" charset="0"/>
              <a:cs typeface="Arial" panose="020B0604020202020204" pitchFamily="34" charset="0"/>
            </a:rPr>
          </a:br>
          <a:r>
            <a:rPr lang="en-US" sz="1400" baseline="0">
              <a:solidFill>
                <a:schemeClr val="bg1"/>
              </a:solidFill>
              <a:latin typeface="Arial" panose="020B0604020202020204" pitchFamily="34" charset="0"/>
              <a:cs typeface="Arial" panose="020B0604020202020204" pitchFamily="34" charset="0"/>
            </a:rPr>
            <a:t>Adjustment factors</a:t>
          </a:r>
          <a:endParaRPr lang="en-US" sz="2400">
            <a:solidFill>
              <a:schemeClr val="bg1"/>
            </a:solidFill>
            <a:latin typeface="Arial" panose="020B0604020202020204" pitchFamily="34" charset="0"/>
            <a:cs typeface="Arial" panose="020B0604020202020204" pitchFamily="34" charset="0"/>
          </a:endParaRPr>
        </a:p>
      </xdr:txBody>
    </xdr:sp>
    <xdr:clientData/>
  </xdr:twoCellAnchor>
  <xdr:oneCellAnchor>
    <xdr:from>
      <xdr:col>12</xdr:col>
      <xdr:colOff>853251</xdr:colOff>
      <xdr:row>0</xdr:row>
      <xdr:rowOff>292686</xdr:rowOff>
    </xdr:from>
    <xdr:ext cx="1714500" cy="624086"/>
    <xdr:pic>
      <xdr:nvPicPr>
        <xdr:cNvPr id="7" name="Picture 6">
          <a:extLst>
            <a:ext uri="{FF2B5EF4-FFF2-40B4-BE49-F238E27FC236}">
              <a16:creationId xmlns:a16="http://schemas.microsoft.com/office/drawing/2014/main" id="{00000000-0008-0000-40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435276" y="292686"/>
          <a:ext cx="1714500" cy="624086"/>
        </a:xfrm>
        <a:prstGeom prst="rect">
          <a:avLst/>
        </a:prstGeom>
      </xdr:spPr>
    </xdr:pic>
    <xdr:clientData/>
  </xdr:oneCellAnchor>
  <xdr:twoCellAnchor editAs="oneCell">
    <xdr:from>
      <xdr:col>13</xdr:col>
      <xdr:colOff>1138171</xdr:colOff>
      <xdr:row>3</xdr:row>
      <xdr:rowOff>23504</xdr:rowOff>
    </xdr:from>
    <xdr:to>
      <xdr:col>13</xdr:col>
      <xdr:colOff>1711453</xdr:colOff>
      <xdr:row>4</xdr:row>
      <xdr:rowOff>187811</xdr:rowOff>
    </xdr:to>
    <xdr:pic>
      <xdr:nvPicPr>
        <xdr:cNvPr id="8" name="Picture 7">
          <a:extLst>
            <a:ext uri="{FF2B5EF4-FFF2-40B4-BE49-F238E27FC236}">
              <a16:creationId xmlns:a16="http://schemas.microsoft.com/office/drawing/2014/main" id="{00000000-0008-0000-40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634596" y="1280804"/>
          <a:ext cx="573282" cy="58340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9</xdr:col>
      <xdr:colOff>112059</xdr:colOff>
      <xdr:row>20</xdr:row>
      <xdr:rowOff>40269</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
        <a:stretch>
          <a:fillRect/>
        </a:stretch>
      </xdr:blipFill>
      <xdr:spPr>
        <a:xfrm>
          <a:off x="201706" y="3148853"/>
          <a:ext cx="15307235" cy="2191798"/>
        </a:xfrm>
        <a:prstGeom prst="rect">
          <a:avLst/>
        </a:prstGeom>
      </xdr:spPr>
    </xdr:pic>
    <xdr:clientData/>
  </xdr:twoCellAnchor>
  <xdr:twoCellAnchor editAs="oneCell">
    <xdr:from>
      <xdr:col>1</xdr:col>
      <xdr:colOff>0</xdr:colOff>
      <xdr:row>0</xdr:row>
      <xdr:rowOff>114300</xdr:rowOff>
    </xdr:from>
    <xdr:to>
      <xdr:col>6</xdr:col>
      <xdr:colOff>569653</xdr:colOff>
      <xdr:row>0</xdr:row>
      <xdr:rowOff>924681</xdr:rowOff>
    </xdr:to>
    <xdr:grpSp>
      <xdr:nvGrpSpPr>
        <xdr:cNvPr id="2" name="Group 1">
          <a:extLst>
            <a:ext uri="{FF2B5EF4-FFF2-40B4-BE49-F238E27FC236}">
              <a16:creationId xmlns:a16="http://schemas.microsoft.com/office/drawing/2014/main" id="{00000000-0008-0000-0200-000002000000}"/>
            </a:ext>
          </a:extLst>
        </xdr:cNvPr>
        <xdr:cNvGrpSpPr/>
      </xdr:nvGrpSpPr>
      <xdr:grpSpPr>
        <a:xfrm>
          <a:off x="199571" y="114300"/>
          <a:ext cx="13623439" cy="810381"/>
          <a:chOff x="612322" y="489858"/>
          <a:chExt cx="13874104" cy="807206"/>
        </a:xfrm>
      </xdr:grpSpPr>
      <xdr:sp macro="" textlink="">
        <xdr:nvSpPr>
          <xdr:cNvPr id="3" name="TextBox 31">
            <a:extLst>
              <a:ext uri="{FF2B5EF4-FFF2-40B4-BE49-F238E27FC236}">
                <a16:creationId xmlns:a16="http://schemas.microsoft.com/office/drawing/2014/main" id="{00000000-0008-0000-0200-000003000000}"/>
              </a:ext>
            </a:extLst>
          </xdr:cNvPr>
          <xdr:cNvSpPr txBox="1"/>
        </xdr:nvSpPr>
        <xdr:spPr>
          <a:xfrm>
            <a:off x="1221855" y="665339"/>
            <a:ext cx="13264571" cy="614284"/>
          </a:xfrm>
          <a:prstGeom prst="rect">
            <a:avLst/>
          </a:prstGeom>
          <a:noFill/>
        </xdr:spPr>
        <xdr:txBody>
          <a:bodyPr wrap="square" rtlCol="0">
            <a:noAutofit/>
          </a:bodyPr>
          <a:lstStyle/>
          <a:p>
            <a:pPr algn="l"/>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13.2 BUILDING</a:t>
            </a:r>
            <a:r>
              <a:rPr lang="en-US" sz="40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t> FABRIC</a:t>
            </a:r>
          </a:p>
          <a:p>
            <a:pPr algn="l"/>
            <a:r>
              <a:rPr lang="en-US" sz="40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t>HELP GUIDE</a:t>
            </a:r>
            <a:endPar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sp macro="" textlink="Name">
        <xdr:nvSpPr>
          <xdr:cNvPr id="4" name="TextBox 31">
            <a:extLst>
              <a:ext uri="{FF2B5EF4-FFF2-40B4-BE49-F238E27FC236}">
                <a16:creationId xmlns:a16="http://schemas.microsoft.com/office/drawing/2014/main" id="{00000000-0008-0000-0200-000004000000}"/>
              </a:ext>
            </a:extLst>
          </xdr:cNvPr>
          <xdr:cNvSpPr txBox="1"/>
        </xdr:nvSpPr>
        <xdr:spPr>
          <a:xfrm>
            <a:off x="1221855" y="489858"/>
            <a:ext cx="13264571" cy="24013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2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pPr algn="l"/>
              <a:t>Housing Energy Efficiency Calculator</a:t>
            </a:fld>
            <a:endParaRPr lang="en-AU" sz="1200" b="0" spc="1190" baseline="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pic>
        <xdr:nvPicPr>
          <xdr:cNvPr id="5" name="Picture 4" descr="A white arrow in a circle&#10;&#10;Description automatically generated">
            <a:hlinkClick xmlns:r="http://schemas.openxmlformats.org/officeDocument/2006/relationships" r:id="rId2"/>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3">
            <a:biLevel thresh="25000"/>
            <a:extLst>
              <a:ext uri="{BEBA8EAE-BF5A-486C-A8C5-ECC9F3942E4B}">
                <a14:imgProps xmlns:a14="http://schemas.microsoft.com/office/drawing/2010/main">
                  <a14:imgLayer r:embed="rId4">
                    <a14:imgEffect>
                      <a14:brightnessContrast bright="-40000" contrast="-40000"/>
                    </a14:imgEffect>
                  </a14:imgLayer>
                </a14:imgProps>
              </a:ext>
            </a:extLst>
          </a:blip>
          <a:stretch>
            <a:fillRect/>
          </a:stretch>
        </xdr:blipFill>
        <xdr:spPr>
          <a:xfrm>
            <a:off x="612322" y="849570"/>
            <a:ext cx="473043" cy="447494"/>
          </a:xfrm>
          <a:prstGeom prst="rect">
            <a:avLst/>
          </a:prstGeom>
        </xdr:spPr>
      </xdr:pic>
    </xdr:grpSp>
    <xdr:clientData/>
  </xdr:twoCellAnchor>
  <xdr:twoCellAnchor>
    <xdr:from>
      <xdr:col>1</xdr:col>
      <xdr:colOff>5124288</xdr:colOff>
      <xdr:row>2</xdr:row>
      <xdr:rowOff>122463</xdr:rowOff>
    </xdr:from>
    <xdr:to>
      <xdr:col>5</xdr:col>
      <xdr:colOff>217714</xdr:colOff>
      <xdr:row>12</xdr:row>
      <xdr:rowOff>40822</xdr:rowOff>
    </xdr:to>
    <xdr:sp macro="" textlink="">
      <xdr:nvSpPr>
        <xdr:cNvPr id="7" name="Rounded Rectangular Callout 17">
          <a:extLst>
            <a:ext uri="{FF2B5EF4-FFF2-40B4-BE49-F238E27FC236}">
              <a16:creationId xmlns:a16="http://schemas.microsoft.com/office/drawing/2014/main" id="{00000000-0008-0000-0200-000007000000}"/>
            </a:ext>
          </a:extLst>
        </xdr:cNvPr>
        <xdr:cNvSpPr/>
      </xdr:nvSpPr>
      <xdr:spPr>
        <a:xfrm>
          <a:off x="5328395" y="2095499"/>
          <a:ext cx="7543962" cy="1796144"/>
        </a:xfrm>
        <a:prstGeom prst="wedgeRoundRectCallout">
          <a:avLst>
            <a:gd name="adj1" fmla="val -98019"/>
            <a:gd name="adj2" fmla="val 27188"/>
            <a:gd name="adj3" fmla="val 16667"/>
          </a:avLst>
        </a:prstGeom>
        <a:ln w="952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a:latin typeface="Arial" panose="020B0604020202020204" pitchFamily="34" charset="0"/>
              <a:ea typeface="Inter" panose="020B0502030000000004" pitchFamily="34" charset="0"/>
              <a:cs typeface="Arial" panose="020B0604020202020204" pitchFamily="34" charset="0"/>
            </a:rPr>
            <a:t>To change the number of rows</a:t>
          </a:r>
          <a:r>
            <a:rPr lang="en-AU" sz="1400" b="1" baseline="0">
              <a:latin typeface="Arial" panose="020B0604020202020204" pitchFamily="34" charset="0"/>
              <a:ea typeface="Inter" panose="020B0502030000000004" pitchFamily="34" charset="0"/>
              <a:cs typeface="Arial" panose="020B0604020202020204" pitchFamily="34" charset="0"/>
            </a:rPr>
            <a:t> displayed (step 1 of 2):</a:t>
          </a:r>
        </a:p>
        <a:p>
          <a:pPr algn="l"/>
          <a:r>
            <a:rPr lang="en-AU" sz="1400" b="0" baseline="0">
              <a:latin typeface="Arial" panose="020B0604020202020204" pitchFamily="34" charset="0"/>
              <a:ea typeface="Inter" panose="020B0502030000000004" pitchFamily="34" charset="0"/>
              <a:cs typeface="Arial" panose="020B0604020202020204" pitchFamily="34" charset="0"/>
            </a:rPr>
            <a:t>Input the required number of rows here and press Enter. Note the advice in red to the right of the number.</a:t>
          </a:r>
        </a:p>
        <a:p>
          <a:pPr algn="l"/>
          <a:endParaRPr lang="en-AU" sz="1400" b="0" baseline="0">
            <a:latin typeface="Arial" panose="020B0604020202020204" pitchFamily="34" charset="0"/>
            <a:ea typeface="Inter" panose="020B0502030000000004" pitchFamily="34" charset="0"/>
            <a:cs typeface="Arial" panose="020B0604020202020204" pitchFamily="34" charset="0"/>
          </a:endParaRPr>
        </a:p>
        <a:p>
          <a:pPr algn="l"/>
          <a:r>
            <a:rPr lang="en-AU" sz="1400" b="0" baseline="0">
              <a:latin typeface="Arial" panose="020B0604020202020204" pitchFamily="34" charset="0"/>
              <a:ea typeface="Inter" panose="020B0502030000000004" pitchFamily="34" charset="0"/>
              <a:cs typeface="Arial" panose="020B0604020202020204" pitchFamily="34" charset="0"/>
            </a:rPr>
            <a:t>(This cell will not accept numbers that would cause rows with data to be hidden)</a:t>
          </a:r>
        </a:p>
        <a:p>
          <a:pPr algn="l"/>
          <a:endParaRPr lang="en-AU" sz="1400" b="0" baseline="0">
            <a:latin typeface="Arial" panose="020B0604020202020204" pitchFamily="34" charset="0"/>
            <a:ea typeface="Inter" panose="020B0502030000000004" pitchFamily="34" charset="0"/>
            <a:cs typeface="Arial" panose="020B0604020202020204" pitchFamily="34" charset="0"/>
          </a:endParaRPr>
        </a:p>
        <a:p>
          <a:pPr algn="l"/>
          <a:r>
            <a:rPr lang="en-AU" sz="1400" b="0" baseline="0">
              <a:latin typeface="Arial" panose="020B0604020202020204" pitchFamily="34" charset="0"/>
              <a:ea typeface="Inter" panose="020B0502030000000004" pitchFamily="34" charset="0"/>
              <a:cs typeface="Arial" panose="020B0604020202020204" pitchFamily="34" charset="0"/>
            </a:rPr>
            <a:t>(The maximum number of rows that can be inputted is 2).</a:t>
          </a:r>
        </a:p>
      </xdr:txBody>
    </xdr:sp>
    <xdr:clientData/>
  </xdr:twoCellAnchor>
  <xdr:twoCellAnchor>
    <xdr:from>
      <xdr:col>1</xdr:col>
      <xdr:colOff>4951399</xdr:colOff>
      <xdr:row>13</xdr:row>
      <xdr:rowOff>90446</xdr:rowOff>
    </xdr:from>
    <xdr:to>
      <xdr:col>1</xdr:col>
      <xdr:colOff>9620251</xdr:colOff>
      <xdr:row>22</xdr:row>
      <xdr:rowOff>40822</xdr:rowOff>
    </xdr:to>
    <xdr:sp macro="" textlink="">
      <xdr:nvSpPr>
        <xdr:cNvPr id="8" name="AutoShape 3642">
          <a:extLst>
            <a:ext uri="{FF2B5EF4-FFF2-40B4-BE49-F238E27FC236}">
              <a16:creationId xmlns:a16="http://schemas.microsoft.com/office/drawing/2014/main" id="{00000000-0008-0000-0200-000008000000}"/>
            </a:ext>
          </a:extLst>
        </xdr:cNvPr>
        <xdr:cNvSpPr>
          <a:spLocks noChangeArrowheads="1"/>
        </xdr:cNvSpPr>
      </xdr:nvSpPr>
      <xdr:spPr bwMode="auto">
        <a:xfrm>
          <a:off x="5155506" y="4118160"/>
          <a:ext cx="4668852" cy="1542412"/>
        </a:xfrm>
        <a:prstGeom prst="wedgeRoundRectCallout">
          <a:avLst>
            <a:gd name="adj1" fmla="val -136643"/>
            <a:gd name="adj2" fmla="val -13370"/>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To change the number of rows displayed (step 2 of 2):</a:t>
          </a:r>
        </a:p>
        <a:p>
          <a:pPr algn="l" rtl="0">
            <a:defRPr sz="1000"/>
          </a:pPr>
          <a:endParaRPr lang="en-AU" sz="1400" b="1"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Click the arrow in the blue filled heading above and then select the only number in the drop down list. (This number will always match the number input for step 1.)</a:t>
          </a:r>
        </a:p>
      </xdr:txBody>
    </xdr:sp>
    <xdr:clientData/>
  </xdr:twoCellAnchor>
  <xdr:twoCellAnchor editAs="oneCell">
    <xdr:from>
      <xdr:col>1</xdr:col>
      <xdr:colOff>0</xdr:colOff>
      <xdr:row>28</xdr:row>
      <xdr:rowOff>0</xdr:rowOff>
    </xdr:from>
    <xdr:to>
      <xdr:col>9</xdr:col>
      <xdr:colOff>112059</xdr:colOff>
      <xdr:row>40</xdr:row>
      <xdr:rowOff>40269</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1"/>
        <a:stretch>
          <a:fillRect/>
        </a:stretch>
      </xdr:blipFill>
      <xdr:spPr>
        <a:xfrm>
          <a:off x="204107" y="6735536"/>
          <a:ext cx="15284023" cy="2162983"/>
        </a:xfrm>
        <a:prstGeom prst="rect">
          <a:avLst/>
        </a:prstGeom>
      </xdr:spPr>
    </xdr:pic>
    <xdr:clientData/>
  </xdr:twoCellAnchor>
  <xdr:twoCellAnchor>
    <xdr:from>
      <xdr:col>1</xdr:col>
      <xdr:colOff>5850271</xdr:colOff>
      <xdr:row>26</xdr:row>
      <xdr:rowOff>121664</xdr:rowOff>
    </xdr:from>
    <xdr:to>
      <xdr:col>1</xdr:col>
      <xdr:colOff>8803822</xdr:colOff>
      <xdr:row>33</xdr:row>
      <xdr:rowOff>95250</xdr:rowOff>
    </xdr:to>
    <xdr:sp macro="" textlink="">
      <xdr:nvSpPr>
        <xdr:cNvPr id="14" name="Rounded Rectangular Callout 22">
          <a:extLst>
            <a:ext uri="{FF2B5EF4-FFF2-40B4-BE49-F238E27FC236}">
              <a16:creationId xmlns:a16="http://schemas.microsoft.com/office/drawing/2014/main" id="{00000000-0008-0000-0200-00000E000000}"/>
            </a:ext>
          </a:extLst>
        </xdr:cNvPr>
        <xdr:cNvSpPr/>
      </xdr:nvSpPr>
      <xdr:spPr>
        <a:xfrm>
          <a:off x="6054378" y="6448985"/>
          <a:ext cx="2953551" cy="1266265"/>
        </a:xfrm>
        <a:prstGeom prst="wedgeRoundRectCallout">
          <a:avLst>
            <a:gd name="adj1" fmla="val -58867"/>
            <a:gd name="adj2" fmla="val 67508"/>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Cell tips:</a:t>
          </a:r>
        </a:p>
        <a:p>
          <a:pPr algn="l"/>
          <a:r>
            <a:rPr lang="en-AU" sz="1400" b="0" baseline="0">
              <a:latin typeface="Arial" panose="020B0604020202020204" pitchFamily="34" charset="0"/>
              <a:ea typeface="Inter" panose="020B0502030000000004" pitchFamily="34" charset="0"/>
              <a:cs typeface="Arial" panose="020B0604020202020204" pitchFamily="34" charset="0"/>
            </a:rPr>
            <a:t>Cells with red triangles have popup tips with advice on explanations about inputs or outcomes.</a:t>
          </a:r>
        </a:p>
      </xdr:txBody>
    </xdr:sp>
    <xdr:clientData/>
  </xdr:twoCellAnchor>
  <xdr:twoCellAnchor>
    <xdr:from>
      <xdr:col>1</xdr:col>
      <xdr:colOff>4420720</xdr:colOff>
      <xdr:row>36</xdr:row>
      <xdr:rowOff>44023</xdr:rowOff>
    </xdr:from>
    <xdr:to>
      <xdr:col>2</xdr:col>
      <xdr:colOff>68036</xdr:colOff>
      <xdr:row>44</xdr:row>
      <xdr:rowOff>108858</xdr:rowOff>
    </xdr:to>
    <xdr:sp macro="" textlink="">
      <xdr:nvSpPr>
        <xdr:cNvPr id="15" name="Rounded Rectangular Callout 22">
          <a:extLst>
            <a:ext uri="{FF2B5EF4-FFF2-40B4-BE49-F238E27FC236}">
              <a16:creationId xmlns:a16="http://schemas.microsoft.com/office/drawing/2014/main" id="{00000000-0008-0000-0200-00000F000000}"/>
            </a:ext>
          </a:extLst>
        </xdr:cNvPr>
        <xdr:cNvSpPr/>
      </xdr:nvSpPr>
      <xdr:spPr>
        <a:xfrm>
          <a:off x="4624827" y="8194702"/>
          <a:ext cx="6056780" cy="1479977"/>
        </a:xfrm>
        <a:prstGeom prst="wedgeRoundRectCallout">
          <a:avLst>
            <a:gd name="adj1" fmla="val -74740"/>
            <a:gd name="adj2" fmla="val -27538"/>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Inputs to the roof and ceilings building fabric table:</a:t>
          </a:r>
        </a:p>
        <a:p>
          <a:pPr algn="l"/>
          <a:r>
            <a:rPr lang="en-AU" sz="1400" b="0" baseline="0">
              <a:latin typeface="Arial" panose="020B0604020202020204" pitchFamily="34" charset="0"/>
              <a:ea typeface="Inter" panose="020B0502030000000004" pitchFamily="34" charset="0"/>
              <a:cs typeface="Arial" panose="020B0604020202020204" pitchFamily="34" charset="0"/>
            </a:rPr>
            <a:t>The user is first required to select an option from the yellow highlighted 'Roof type' cell. After the 'Roof type' is selected, the configuration of the yellow and patterned cells may shift. The user is required to then only fill out the yellow highlighted cells (working left to right) and leaving all the patterened cells blank.</a:t>
          </a:r>
        </a:p>
      </xdr:txBody>
    </xdr:sp>
    <xdr:clientData/>
  </xdr:twoCellAnchor>
  <xdr:twoCellAnchor>
    <xdr:from>
      <xdr:col>5</xdr:col>
      <xdr:colOff>537881</xdr:colOff>
      <xdr:row>28</xdr:row>
      <xdr:rowOff>100853</xdr:rowOff>
    </xdr:from>
    <xdr:to>
      <xdr:col>9</xdr:col>
      <xdr:colOff>598714</xdr:colOff>
      <xdr:row>35</xdr:row>
      <xdr:rowOff>68035</xdr:rowOff>
    </xdr:to>
    <xdr:sp macro="" textlink="">
      <xdr:nvSpPr>
        <xdr:cNvPr id="16" name="AutoShape 3642">
          <a:extLst>
            <a:ext uri="{FF2B5EF4-FFF2-40B4-BE49-F238E27FC236}">
              <a16:creationId xmlns:a16="http://schemas.microsoft.com/office/drawing/2014/main" id="{00000000-0008-0000-0200-000010000000}"/>
            </a:ext>
          </a:extLst>
        </xdr:cNvPr>
        <xdr:cNvSpPr>
          <a:spLocks noChangeArrowheads="1"/>
        </xdr:cNvSpPr>
      </xdr:nvSpPr>
      <xdr:spPr bwMode="auto">
        <a:xfrm>
          <a:off x="13192524" y="6836389"/>
          <a:ext cx="2782261" cy="1205432"/>
        </a:xfrm>
        <a:prstGeom prst="wedgeRoundRectCallout">
          <a:avLst>
            <a:gd name="adj1" fmla="val -72099"/>
            <a:gd name="adj2" fmla="val 82063"/>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Patterned cells:</a:t>
          </a:r>
        </a:p>
        <a:p>
          <a:pPr algn="l" rtl="0">
            <a:defRPr sz="1000"/>
          </a:pPr>
          <a:endParaRPr lang="en-AU" sz="800" b="1"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These patterened cells cannot be edited and they meant to be left blank by the user.</a:t>
          </a:r>
        </a:p>
      </xdr:txBody>
    </xdr:sp>
    <xdr:clientData/>
  </xdr:twoCellAnchor>
  <xdr:twoCellAnchor editAs="oneCell">
    <xdr:from>
      <xdr:col>1</xdr:col>
      <xdr:colOff>0</xdr:colOff>
      <xdr:row>56</xdr:row>
      <xdr:rowOff>0</xdr:rowOff>
    </xdr:from>
    <xdr:to>
      <xdr:col>4</xdr:col>
      <xdr:colOff>425846</xdr:colOff>
      <xdr:row>74</xdr:row>
      <xdr:rowOff>125973</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5"/>
        <a:stretch>
          <a:fillRect/>
        </a:stretch>
      </xdr:blipFill>
      <xdr:spPr>
        <a:xfrm>
          <a:off x="201706" y="11889441"/>
          <a:ext cx="12203228" cy="3353268"/>
        </a:xfrm>
        <a:prstGeom prst="rect">
          <a:avLst/>
        </a:prstGeom>
      </xdr:spPr>
    </xdr:pic>
    <xdr:clientData/>
  </xdr:twoCellAnchor>
  <xdr:twoCellAnchor>
    <xdr:from>
      <xdr:col>1</xdr:col>
      <xdr:colOff>2487706</xdr:colOff>
      <xdr:row>55</xdr:row>
      <xdr:rowOff>78442</xdr:rowOff>
    </xdr:from>
    <xdr:to>
      <xdr:col>1</xdr:col>
      <xdr:colOff>7647214</xdr:colOff>
      <xdr:row>63</xdr:row>
      <xdr:rowOff>149678</xdr:rowOff>
    </xdr:to>
    <xdr:sp macro="" textlink="">
      <xdr:nvSpPr>
        <xdr:cNvPr id="18" name="Rounded Rectangular Callout 17">
          <a:extLst>
            <a:ext uri="{FF2B5EF4-FFF2-40B4-BE49-F238E27FC236}">
              <a16:creationId xmlns:a16="http://schemas.microsoft.com/office/drawing/2014/main" id="{00000000-0008-0000-0200-000012000000}"/>
            </a:ext>
          </a:extLst>
        </xdr:cNvPr>
        <xdr:cNvSpPr/>
      </xdr:nvSpPr>
      <xdr:spPr>
        <a:xfrm>
          <a:off x="2691813" y="11698942"/>
          <a:ext cx="5159508" cy="1486379"/>
        </a:xfrm>
        <a:prstGeom prst="wedgeRoundRectCallout">
          <a:avLst>
            <a:gd name="adj1" fmla="val -72530"/>
            <a:gd name="adj2" fmla="val -14841"/>
            <a:gd name="adj3" fmla="val 16667"/>
          </a:avLst>
        </a:prstGeom>
        <a:ln w="952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a:latin typeface="Arial" panose="020B0604020202020204" pitchFamily="34" charset="0"/>
              <a:ea typeface="Inter" panose="020B0502030000000004" pitchFamily="34" charset="0"/>
              <a:cs typeface="Arial" panose="020B0604020202020204" pitchFamily="34" charset="0"/>
            </a:rPr>
            <a:t>To change the number of rows</a:t>
          </a:r>
          <a:r>
            <a:rPr lang="en-AU" sz="1400" b="1" baseline="0">
              <a:latin typeface="Arial" panose="020B0604020202020204" pitchFamily="34" charset="0"/>
              <a:ea typeface="Inter" panose="020B0502030000000004" pitchFamily="34" charset="0"/>
              <a:cs typeface="Arial" panose="020B0604020202020204" pitchFamily="34" charset="0"/>
            </a:rPr>
            <a:t> displayed (step 1 of 2):</a:t>
          </a:r>
        </a:p>
        <a:p>
          <a:pPr algn="l"/>
          <a:r>
            <a:rPr lang="en-AU" sz="1400" b="0" baseline="0">
              <a:latin typeface="Arial" panose="020B0604020202020204" pitchFamily="34" charset="0"/>
              <a:ea typeface="Inter" panose="020B0502030000000004" pitchFamily="34" charset="0"/>
              <a:cs typeface="Arial" panose="020B0604020202020204" pitchFamily="34" charset="0"/>
            </a:rPr>
            <a:t>Input the required number of rows here and press Enter. Note the advice in red to the right of the number.</a:t>
          </a:r>
        </a:p>
        <a:p>
          <a:pPr algn="l"/>
          <a:endParaRPr lang="en-AU" sz="1400" b="0" baseline="0">
            <a:latin typeface="Arial" panose="020B0604020202020204" pitchFamily="34" charset="0"/>
            <a:ea typeface="Inter" panose="020B0502030000000004" pitchFamily="34" charset="0"/>
            <a:cs typeface="Arial" panose="020B0604020202020204" pitchFamily="34" charset="0"/>
          </a:endParaRPr>
        </a:p>
        <a:p>
          <a:pPr algn="l"/>
          <a:r>
            <a:rPr lang="en-AU" sz="1400" b="0" baseline="0">
              <a:latin typeface="Arial" panose="020B0604020202020204" pitchFamily="34" charset="0"/>
              <a:ea typeface="Inter" panose="020B0502030000000004" pitchFamily="34" charset="0"/>
              <a:cs typeface="Arial" panose="020B0604020202020204" pitchFamily="34" charset="0"/>
            </a:rPr>
            <a:t>(This cell will not accept numbers that would cause rows with data to be hidden).</a:t>
          </a:r>
        </a:p>
        <a:p>
          <a:pPr algn="l"/>
          <a:endParaRPr lang="en-AU" sz="1400" b="0" baseline="0">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xdr:from>
      <xdr:col>1</xdr:col>
      <xdr:colOff>1658471</xdr:colOff>
      <xdr:row>64</xdr:row>
      <xdr:rowOff>145677</xdr:rowOff>
    </xdr:from>
    <xdr:to>
      <xdr:col>1</xdr:col>
      <xdr:colOff>5347607</xdr:colOff>
      <xdr:row>73</xdr:row>
      <xdr:rowOff>149680</xdr:rowOff>
    </xdr:to>
    <xdr:sp macro="" textlink="">
      <xdr:nvSpPr>
        <xdr:cNvPr id="19" name="AutoShape 3642">
          <a:extLst>
            <a:ext uri="{FF2B5EF4-FFF2-40B4-BE49-F238E27FC236}">
              <a16:creationId xmlns:a16="http://schemas.microsoft.com/office/drawing/2014/main" id="{00000000-0008-0000-0200-000013000000}"/>
            </a:ext>
          </a:extLst>
        </xdr:cNvPr>
        <xdr:cNvSpPr>
          <a:spLocks noChangeArrowheads="1"/>
        </xdr:cNvSpPr>
      </xdr:nvSpPr>
      <xdr:spPr bwMode="auto">
        <a:xfrm>
          <a:off x="1862578" y="13358213"/>
          <a:ext cx="3689136" cy="1596038"/>
        </a:xfrm>
        <a:prstGeom prst="wedgeRoundRectCallout">
          <a:avLst>
            <a:gd name="adj1" fmla="val -71276"/>
            <a:gd name="adj2" fmla="val -68287"/>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To change the number of rows displayed (step 2 of 2):</a:t>
          </a:r>
        </a:p>
        <a:p>
          <a:pPr algn="l" rtl="0">
            <a:defRPr sz="1000"/>
          </a:pPr>
          <a:endParaRPr lang="en-AU" sz="800" b="1"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Click the arrow in the blue filled heading above and then select the only number in the drop down list. (This number will always match the number input for step 1.)</a:t>
          </a:r>
        </a:p>
      </xdr:txBody>
    </xdr:sp>
    <xdr:clientData/>
  </xdr:twoCellAnchor>
  <xdr:twoCellAnchor editAs="oneCell">
    <xdr:from>
      <xdr:col>1</xdr:col>
      <xdr:colOff>0</xdr:colOff>
      <xdr:row>84</xdr:row>
      <xdr:rowOff>0</xdr:rowOff>
    </xdr:from>
    <xdr:to>
      <xdr:col>4</xdr:col>
      <xdr:colOff>425846</xdr:colOff>
      <xdr:row>102</xdr:row>
      <xdr:rowOff>125975</xdr:rowOff>
    </xdr:to>
    <xdr:pic>
      <xdr:nvPicPr>
        <xdr:cNvPr id="20" name="Picture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5"/>
        <a:stretch>
          <a:fillRect/>
        </a:stretch>
      </xdr:blipFill>
      <xdr:spPr>
        <a:xfrm>
          <a:off x="201706" y="16954500"/>
          <a:ext cx="12203228" cy="3353268"/>
        </a:xfrm>
        <a:prstGeom prst="rect">
          <a:avLst/>
        </a:prstGeom>
      </xdr:spPr>
    </xdr:pic>
    <xdr:clientData/>
  </xdr:twoCellAnchor>
  <xdr:twoCellAnchor>
    <xdr:from>
      <xdr:col>1</xdr:col>
      <xdr:colOff>8385200</xdr:colOff>
      <xdr:row>81</xdr:row>
      <xdr:rowOff>76040</xdr:rowOff>
    </xdr:from>
    <xdr:to>
      <xdr:col>5</xdr:col>
      <xdr:colOff>149678</xdr:colOff>
      <xdr:row>86</xdr:row>
      <xdr:rowOff>27214</xdr:rowOff>
    </xdr:to>
    <xdr:sp macro="" textlink="">
      <xdr:nvSpPr>
        <xdr:cNvPr id="21" name="Rounded Rectangular Callout 22">
          <a:extLst>
            <a:ext uri="{FF2B5EF4-FFF2-40B4-BE49-F238E27FC236}">
              <a16:creationId xmlns:a16="http://schemas.microsoft.com/office/drawing/2014/main" id="{00000000-0008-0000-0200-000015000000}"/>
            </a:ext>
          </a:extLst>
        </xdr:cNvPr>
        <xdr:cNvSpPr/>
      </xdr:nvSpPr>
      <xdr:spPr>
        <a:xfrm>
          <a:off x="8589307" y="16295754"/>
          <a:ext cx="4215014" cy="890067"/>
        </a:xfrm>
        <a:prstGeom prst="wedgeRoundRectCallout">
          <a:avLst>
            <a:gd name="adj1" fmla="val -36110"/>
            <a:gd name="adj2" fmla="val 102785"/>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Cell tips:</a:t>
          </a:r>
        </a:p>
        <a:p>
          <a:pPr algn="l"/>
          <a:r>
            <a:rPr lang="en-AU" sz="1400" b="0" baseline="0">
              <a:latin typeface="Arial" panose="020B0604020202020204" pitchFamily="34" charset="0"/>
              <a:ea typeface="Inter" panose="020B0502030000000004" pitchFamily="34" charset="0"/>
              <a:cs typeface="Arial" panose="020B0604020202020204" pitchFamily="34" charset="0"/>
            </a:rPr>
            <a:t>Cells with red triangles have popup tips with advice on explanations about inputs or outcomes.</a:t>
          </a:r>
        </a:p>
        <a:p>
          <a:pPr algn="l"/>
          <a:r>
            <a:rPr lang="en-AU" sz="1800" b="0" baseline="0">
              <a:latin typeface="Inter" panose="020B0502030000000004" pitchFamily="34" charset="0"/>
              <a:ea typeface="Inter" panose="020B0502030000000004" pitchFamily="34" charset="0"/>
            </a:rPr>
            <a:t> </a:t>
          </a:r>
          <a:endParaRPr lang="en-AU" sz="1800" b="0">
            <a:latin typeface="Inter" panose="020B0502030000000004" pitchFamily="34" charset="0"/>
            <a:ea typeface="Inter" panose="020B0502030000000004" pitchFamily="34" charset="0"/>
          </a:endParaRPr>
        </a:p>
      </xdr:txBody>
    </xdr:sp>
    <xdr:clientData/>
  </xdr:twoCellAnchor>
  <xdr:twoCellAnchor>
    <xdr:from>
      <xdr:col>1</xdr:col>
      <xdr:colOff>2837489</xdr:colOff>
      <xdr:row>79</xdr:row>
      <xdr:rowOff>149678</xdr:rowOff>
    </xdr:from>
    <xdr:to>
      <xdr:col>1</xdr:col>
      <xdr:colOff>7538357</xdr:colOff>
      <xdr:row>86</xdr:row>
      <xdr:rowOff>106458</xdr:rowOff>
    </xdr:to>
    <xdr:sp macro="" textlink="">
      <xdr:nvSpPr>
        <xdr:cNvPr id="22" name="Rounded Rectangular Callout 22">
          <a:extLst>
            <a:ext uri="{FF2B5EF4-FFF2-40B4-BE49-F238E27FC236}">
              <a16:creationId xmlns:a16="http://schemas.microsoft.com/office/drawing/2014/main" id="{00000000-0008-0000-0200-000016000000}"/>
            </a:ext>
          </a:extLst>
        </xdr:cNvPr>
        <xdr:cNvSpPr/>
      </xdr:nvSpPr>
      <xdr:spPr>
        <a:xfrm>
          <a:off x="3041596" y="16015607"/>
          <a:ext cx="4700868" cy="1249458"/>
        </a:xfrm>
        <a:prstGeom prst="wedgeRoundRectCallout">
          <a:avLst>
            <a:gd name="adj1" fmla="val 16805"/>
            <a:gd name="adj2" fmla="val 89031"/>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Inputs to the roof lights building fabric table:</a:t>
          </a:r>
        </a:p>
        <a:p>
          <a:pPr algn="l"/>
          <a:r>
            <a:rPr lang="en-AU" sz="1400" b="0" baseline="0">
              <a:latin typeface="Arial" panose="020B0604020202020204" pitchFamily="34" charset="0"/>
              <a:ea typeface="Inter" panose="020B0502030000000004" pitchFamily="34" charset="0"/>
              <a:cs typeface="Arial" panose="020B0604020202020204" pitchFamily="34" charset="0"/>
            </a:rPr>
            <a:t>The user is required to fill out all the yellow highlighted cells. The grey highlighted cells are calculated columns that may only appear when all the yellow cells in the row are filled.</a:t>
          </a:r>
        </a:p>
      </xdr:txBody>
    </xdr:sp>
    <xdr:clientData/>
  </xdr:twoCellAnchor>
  <xdr:twoCellAnchor editAs="oneCell">
    <xdr:from>
      <xdr:col>1</xdr:col>
      <xdr:colOff>0</xdr:colOff>
      <xdr:row>116</xdr:row>
      <xdr:rowOff>0</xdr:rowOff>
    </xdr:from>
    <xdr:to>
      <xdr:col>4</xdr:col>
      <xdr:colOff>492530</xdr:colOff>
      <xdr:row>135</xdr:row>
      <xdr:rowOff>70522</xdr:rowOff>
    </xdr:to>
    <xdr:pic>
      <xdr:nvPicPr>
        <xdr:cNvPr id="24" name="Picture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6"/>
        <a:stretch>
          <a:fillRect/>
        </a:stretch>
      </xdr:blipFill>
      <xdr:spPr>
        <a:xfrm>
          <a:off x="201706" y="22781559"/>
          <a:ext cx="12269912" cy="3477110"/>
        </a:xfrm>
        <a:prstGeom prst="rect">
          <a:avLst/>
        </a:prstGeom>
      </xdr:spPr>
    </xdr:pic>
    <xdr:clientData/>
  </xdr:twoCellAnchor>
  <xdr:twoCellAnchor>
    <xdr:from>
      <xdr:col>1</xdr:col>
      <xdr:colOff>3130363</xdr:colOff>
      <xdr:row>113</xdr:row>
      <xdr:rowOff>28575</xdr:rowOff>
    </xdr:from>
    <xdr:to>
      <xdr:col>1</xdr:col>
      <xdr:colOff>8708572</xdr:colOff>
      <xdr:row>124</xdr:row>
      <xdr:rowOff>13607</xdr:rowOff>
    </xdr:to>
    <xdr:sp macro="" textlink="">
      <xdr:nvSpPr>
        <xdr:cNvPr id="25" name="Rounded Rectangular Callout 17">
          <a:extLst>
            <a:ext uri="{FF2B5EF4-FFF2-40B4-BE49-F238E27FC236}">
              <a16:creationId xmlns:a16="http://schemas.microsoft.com/office/drawing/2014/main" id="{00000000-0008-0000-0200-000019000000}"/>
            </a:ext>
          </a:extLst>
        </xdr:cNvPr>
        <xdr:cNvSpPr/>
      </xdr:nvSpPr>
      <xdr:spPr>
        <a:xfrm>
          <a:off x="3334470" y="22017718"/>
          <a:ext cx="5578209" cy="1985282"/>
        </a:xfrm>
        <a:prstGeom prst="wedgeRoundRectCallout">
          <a:avLst>
            <a:gd name="adj1" fmla="val -78767"/>
            <a:gd name="adj2" fmla="val -232"/>
            <a:gd name="adj3" fmla="val 16667"/>
          </a:avLst>
        </a:prstGeom>
        <a:ln w="952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a:latin typeface="Arial" panose="020B0604020202020204" pitchFamily="34" charset="0"/>
              <a:ea typeface="Inter" panose="020B0502030000000004" pitchFamily="34" charset="0"/>
              <a:cs typeface="Arial" panose="020B0604020202020204" pitchFamily="34" charset="0"/>
            </a:rPr>
            <a:t>To change the number of rows</a:t>
          </a:r>
          <a:r>
            <a:rPr lang="en-AU" sz="1400" b="1" baseline="0">
              <a:latin typeface="Arial" panose="020B0604020202020204" pitchFamily="34" charset="0"/>
              <a:ea typeface="Inter" panose="020B0502030000000004" pitchFamily="34" charset="0"/>
              <a:cs typeface="Arial" panose="020B0604020202020204" pitchFamily="34" charset="0"/>
            </a:rPr>
            <a:t> displayed (step 1 of 2):</a:t>
          </a:r>
        </a:p>
        <a:p>
          <a:pPr algn="l"/>
          <a:r>
            <a:rPr lang="en-AU" sz="1400" b="0" baseline="0">
              <a:latin typeface="Arial" panose="020B0604020202020204" pitchFamily="34" charset="0"/>
              <a:ea typeface="Inter" panose="020B0502030000000004" pitchFamily="34" charset="0"/>
              <a:cs typeface="Arial" panose="020B0604020202020204" pitchFamily="34" charset="0"/>
            </a:rPr>
            <a:t>Input the required number of rows here and press Enter. Note the advice in red to the right of the number.</a:t>
          </a:r>
        </a:p>
        <a:p>
          <a:pPr algn="l"/>
          <a:endParaRPr lang="en-AU" sz="1400" b="0" baseline="0">
            <a:latin typeface="Arial" panose="020B0604020202020204" pitchFamily="34" charset="0"/>
            <a:ea typeface="Inter" panose="020B0502030000000004" pitchFamily="34" charset="0"/>
            <a:cs typeface="Arial" panose="020B0604020202020204" pitchFamily="34" charset="0"/>
          </a:endParaRPr>
        </a:p>
        <a:p>
          <a:pPr algn="l"/>
          <a:r>
            <a:rPr lang="en-AU" sz="1400" b="0" baseline="0">
              <a:latin typeface="Arial" panose="020B0604020202020204" pitchFamily="34" charset="0"/>
              <a:ea typeface="Inter" panose="020B0502030000000004" pitchFamily="34" charset="0"/>
              <a:cs typeface="Arial" panose="020B0604020202020204" pitchFamily="34" charset="0"/>
            </a:rPr>
            <a:t>(This cell will not accept numbers that would cause rows with data to </a:t>
          </a:r>
          <a:r>
            <a:rPr lang="en-AU" sz="1400" b="0">
              <a:solidFill>
                <a:schemeClr val="dk1"/>
              </a:solidFill>
              <a:latin typeface="Arial" panose="020B0604020202020204" pitchFamily="34" charset="0"/>
              <a:ea typeface="Inter" panose="020B0502030000000004" pitchFamily="34" charset="0"/>
              <a:cs typeface="Arial" panose="020B0604020202020204" pitchFamily="34" charset="0"/>
            </a:rPr>
            <a:t>be hidden)</a:t>
          </a:r>
        </a:p>
        <a:p>
          <a:pPr algn="l"/>
          <a:endParaRPr lang="en-AU" sz="1400" b="0">
            <a:solidFill>
              <a:schemeClr val="dk1"/>
            </a:solidFill>
            <a:latin typeface="Arial" panose="020B0604020202020204" pitchFamily="34" charset="0"/>
            <a:ea typeface="Inter" panose="020B05020300000000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en-AU" sz="1400" b="0">
              <a:solidFill>
                <a:schemeClr val="dk1"/>
              </a:solidFill>
              <a:latin typeface="Arial" panose="020B0604020202020204" pitchFamily="34" charset="0"/>
              <a:ea typeface="Inter" panose="020B0502030000000004" pitchFamily="34" charset="0"/>
              <a:cs typeface="Arial" panose="020B0604020202020204" pitchFamily="34" charset="0"/>
            </a:rPr>
            <a:t>(The maximum number of rows that can be inputted is 4).</a:t>
          </a:r>
        </a:p>
        <a:p>
          <a:pPr algn="l"/>
          <a:endParaRPr lang="en-AU" sz="1400" b="0" baseline="0">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xdr:from>
      <xdr:col>1</xdr:col>
      <xdr:colOff>1770530</xdr:colOff>
      <xdr:row>127</xdr:row>
      <xdr:rowOff>44823</xdr:rowOff>
    </xdr:from>
    <xdr:to>
      <xdr:col>1</xdr:col>
      <xdr:colOff>5592536</xdr:colOff>
      <xdr:row>136</xdr:row>
      <xdr:rowOff>13606</xdr:rowOff>
    </xdr:to>
    <xdr:sp macro="" textlink="">
      <xdr:nvSpPr>
        <xdr:cNvPr id="26" name="AutoShape 3642">
          <a:extLst>
            <a:ext uri="{FF2B5EF4-FFF2-40B4-BE49-F238E27FC236}">
              <a16:creationId xmlns:a16="http://schemas.microsoft.com/office/drawing/2014/main" id="{00000000-0008-0000-0200-00001A000000}"/>
            </a:ext>
          </a:extLst>
        </xdr:cNvPr>
        <xdr:cNvSpPr>
          <a:spLocks noChangeArrowheads="1"/>
        </xdr:cNvSpPr>
      </xdr:nvSpPr>
      <xdr:spPr bwMode="auto">
        <a:xfrm>
          <a:off x="1974637" y="24564894"/>
          <a:ext cx="3822006" cy="1560819"/>
        </a:xfrm>
        <a:prstGeom prst="wedgeRoundRectCallout">
          <a:avLst>
            <a:gd name="adj1" fmla="val -71750"/>
            <a:gd name="adj2" fmla="val -62011"/>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To change the number of rows displayed (step 2 of 2):</a:t>
          </a:r>
        </a:p>
        <a:p>
          <a:pPr algn="l" rtl="0">
            <a:defRPr sz="1000"/>
          </a:pPr>
          <a:endParaRPr lang="en-AU" sz="800" b="1"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Click the arrow in the blue filled heading above and then select the only number in the drop down list. (This number will always match the number input for step 1.)</a:t>
          </a:r>
        </a:p>
      </xdr:txBody>
    </xdr:sp>
    <xdr:clientData/>
  </xdr:twoCellAnchor>
  <xdr:twoCellAnchor editAs="oneCell">
    <xdr:from>
      <xdr:col>1</xdr:col>
      <xdr:colOff>0</xdr:colOff>
      <xdr:row>145</xdr:row>
      <xdr:rowOff>0</xdr:rowOff>
    </xdr:from>
    <xdr:to>
      <xdr:col>4</xdr:col>
      <xdr:colOff>492530</xdr:colOff>
      <xdr:row>164</xdr:row>
      <xdr:rowOff>70523</xdr:rowOff>
    </xdr:to>
    <xdr:pic>
      <xdr:nvPicPr>
        <xdr:cNvPr id="27" name="Pictur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6"/>
        <a:stretch>
          <a:fillRect/>
        </a:stretch>
      </xdr:blipFill>
      <xdr:spPr>
        <a:xfrm>
          <a:off x="201706" y="28025912"/>
          <a:ext cx="12269912" cy="3477110"/>
        </a:xfrm>
        <a:prstGeom prst="rect">
          <a:avLst/>
        </a:prstGeom>
      </xdr:spPr>
    </xdr:pic>
    <xdr:clientData/>
  </xdr:twoCellAnchor>
  <xdr:twoCellAnchor>
    <xdr:from>
      <xdr:col>1</xdr:col>
      <xdr:colOff>3015102</xdr:colOff>
      <xdr:row>141</xdr:row>
      <xdr:rowOff>77724</xdr:rowOff>
    </xdr:from>
    <xdr:to>
      <xdr:col>1</xdr:col>
      <xdr:colOff>8327571</xdr:colOff>
      <xdr:row>150</xdr:row>
      <xdr:rowOff>81643</xdr:rowOff>
    </xdr:to>
    <xdr:sp macro="" textlink="">
      <xdr:nvSpPr>
        <xdr:cNvPr id="28" name="Rounded Rectangular Callout 22">
          <a:extLst>
            <a:ext uri="{FF2B5EF4-FFF2-40B4-BE49-F238E27FC236}">
              <a16:creationId xmlns:a16="http://schemas.microsoft.com/office/drawing/2014/main" id="{00000000-0008-0000-0200-00001C000000}"/>
            </a:ext>
          </a:extLst>
        </xdr:cNvPr>
        <xdr:cNvSpPr/>
      </xdr:nvSpPr>
      <xdr:spPr>
        <a:xfrm>
          <a:off x="3219209" y="27074295"/>
          <a:ext cx="5312469" cy="1650384"/>
        </a:xfrm>
        <a:prstGeom prst="wedgeRoundRectCallout">
          <a:avLst>
            <a:gd name="adj1" fmla="val -35556"/>
            <a:gd name="adj2" fmla="val 73711"/>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Inputs to the external walls building fabric table:</a:t>
          </a:r>
        </a:p>
        <a:p>
          <a:pPr algn="l"/>
          <a:r>
            <a:rPr lang="en-AU" sz="1400" b="0" baseline="0">
              <a:latin typeface="Arial" panose="020B0604020202020204" pitchFamily="34" charset="0"/>
              <a:ea typeface="Inter" panose="020B0502030000000004" pitchFamily="34" charset="0"/>
              <a:cs typeface="Arial" panose="020B0604020202020204" pitchFamily="34" charset="0"/>
            </a:rPr>
            <a:t>The user is first required to select an option from the yellow highlighted 'Wall type' cell. After the Wall type is selected, the configuration of the yellow and patterned cells may shift. The user is required to then only fill out the yellow highlighted cells (working left to right) and leaving all the patterened cells blank.</a:t>
          </a:r>
        </a:p>
      </xdr:txBody>
    </xdr:sp>
    <xdr:clientData/>
  </xdr:twoCellAnchor>
  <xdr:twoCellAnchor>
    <xdr:from>
      <xdr:col>1</xdr:col>
      <xdr:colOff>9511394</xdr:colOff>
      <xdr:row>142</xdr:row>
      <xdr:rowOff>163285</xdr:rowOff>
    </xdr:from>
    <xdr:to>
      <xdr:col>4</xdr:col>
      <xdr:colOff>593911</xdr:colOff>
      <xdr:row>149</xdr:row>
      <xdr:rowOff>28813</xdr:rowOff>
    </xdr:to>
    <xdr:sp macro="" textlink="">
      <xdr:nvSpPr>
        <xdr:cNvPr id="29" name="AutoShape 3642">
          <a:extLst>
            <a:ext uri="{FF2B5EF4-FFF2-40B4-BE49-F238E27FC236}">
              <a16:creationId xmlns:a16="http://schemas.microsoft.com/office/drawing/2014/main" id="{00000000-0008-0000-0200-00001D000000}"/>
            </a:ext>
          </a:extLst>
        </xdr:cNvPr>
        <xdr:cNvSpPr>
          <a:spLocks noChangeArrowheads="1"/>
        </xdr:cNvSpPr>
      </xdr:nvSpPr>
      <xdr:spPr bwMode="auto">
        <a:xfrm>
          <a:off x="9715501" y="27336749"/>
          <a:ext cx="2852696" cy="1158207"/>
        </a:xfrm>
        <a:prstGeom prst="wedgeRoundRectCallout">
          <a:avLst>
            <a:gd name="adj1" fmla="val -50628"/>
            <a:gd name="adj2" fmla="val 142436"/>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Patterned cells:</a:t>
          </a:r>
        </a:p>
        <a:p>
          <a:pPr algn="l" rtl="0">
            <a:defRPr sz="1000"/>
          </a:pPr>
          <a:endParaRPr lang="en-AU" sz="800" b="1"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These patterened cells cannot be edited and they meant to be left blank by the user.</a:t>
          </a:r>
        </a:p>
      </xdr:txBody>
    </xdr:sp>
    <xdr:clientData/>
  </xdr:twoCellAnchor>
  <xdr:twoCellAnchor editAs="oneCell">
    <xdr:from>
      <xdr:col>1</xdr:col>
      <xdr:colOff>1</xdr:colOff>
      <xdr:row>176</xdr:row>
      <xdr:rowOff>1</xdr:rowOff>
    </xdr:from>
    <xdr:to>
      <xdr:col>4</xdr:col>
      <xdr:colOff>661147</xdr:colOff>
      <xdr:row>202</xdr:row>
      <xdr:rowOff>133153</xdr:rowOff>
    </xdr:to>
    <xdr:pic>
      <xdr:nvPicPr>
        <xdr:cNvPr id="31" name="Picture 30">
          <a:extLst>
            <a:ext uri="{FF2B5EF4-FFF2-40B4-BE49-F238E27FC236}">
              <a16:creationId xmlns:a16="http://schemas.microsoft.com/office/drawing/2014/main" id="{00000000-0008-0000-0200-00001F000000}"/>
            </a:ext>
          </a:extLst>
        </xdr:cNvPr>
        <xdr:cNvPicPr>
          <a:picLocks noChangeAspect="1"/>
        </xdr:cNvPicPr>
      </xdr:nvPicPr>
      <xdr:blipFill>
        <a:blip xmlns:r="http://schemas.openxmlformats.org/officeDocument/2006/relationships" r:embed="rId7"/>
        <a:stretch>
          <a:fillRect/>
        </a:stretch>
      </xdr:blipFill>
      <xdr:spPr>
        <a:xfrm>
          <a:off x="201707" y="33673677"/>
          <a:ext cx="12438528" cy="4794800"/>
        </a:xfrm>
        <a:prstGeom prst="rect">
          <a:avLst/>
        </a:prstGeom>
      </xdr:spPr>
    </xdr:pic>
    <xdr:clientData/>
  </xdr:twoCellAnchor>
  <xdr:twoCellAnchor>
    <xdr:from>
      <xdr:col>1</xdr:col>
      <xdr:colOff>6517821</xdr:colOff>
      <xdr:row>171</xdr:row>
      <xdr:rowOff>22411</xdr:rowOff>
    </xdr:from>
    <xdr:to>
      <xdr:col>4</xdr:col>
      <xdr:colOff>-1</xdr:colOff>
      <xdr:row>181</xdr:row>
      <xdr:rowOff>81643</xdr:rowOff>
    </xdr:to>
    <xdr:sp macro="" textlink="">
      <xdr:nvSpPr>
        <xdr:cNvPr id="32" name="Rounded Rectangular Callout 17">
          <a:extLst>
            <a:ext uri="{FF2B5EF4-FFF2-40B4-BE49-F238E27FC236}">
              <a16:creationId xmlns:a16="http://schemas.microsoft.com/office/drawing/2014/main" id="{00000000-0008-0000-0200-000020000000}"/>
            </a:ext>
          </a:extLst>
        </xdr:cNvPr>
        <xdr:cNvSpPr/>
      </xdr:nvSpPr>
      <xdr:spPr>
        <a:xfrm>
          <a:off x="6721928" y="32380197"/>
          <a:ext cx="5252357" cy="1937017"/>
        </a:xfrm>
        <a:prstGeom prst="wedgeRoundRectCallout">
          <a:avLst>
            <a:gd name="adj1" fmla="val -151714"/>
            <a:gd name="adj2" fmla="val 15789"/>
            <a:gd name="adj3" fmla="val 16667"/>
          </a:avLst>
        </a:prstGeom>
        <a:ln w="952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a:latin typeface="Arial" panose="020B0604020202020204" pitchFamily="34" charset="0"/>
              <a:ea typeface="Inter" panose="020B0502030000000004" pitchFamily="34" charset="0"/>
              <a:cs typeface="Arial" panose="020B0604020202020204" pitchFamily="34" charset="0"/>
            </a:rPr>
            <a:t>To change the number of rows</a:t>
          </a:r>
          <a:r>
            <a:rPr lang="en-AU" sz="1400" b="1" baseline="0">
              <a:latin typeface="Arial" panose="020B0604020202020204" pitchFamily="34" charset="0"/>
              <a:ea typeface="Inter" panose="020B0502030000000004" pitchFamily="34" charset="0"/>
              <a:cs typeface="Arial" panose="020B0604020202020204" pitchFamily="34" charset="0"/>
            </a:rPr>
            <a:t> displayed (step 1 of 2):</a:t>
          </a:r>
        </a:p>
        <a:p>
          <a:pPr algn="l"/>
          <a:r>
            <a:rPr lang="en-AU" sz="1400" b="0" baseline="0">
              <a:latin typeface="Arial" panose="020B0604020202020204" pitchFamily="34" charset="0"/>
              <a:ea typeface="Inter" panose="020B0502030000000004" pitchFamily="34" charset="0"/>
              <a:cs typeface="Arial" panose="020B0604020202020204" pitchFamily="34" charset="0"/>
            </a:rPr>
            <a:t>Input the required number of rows here and press Enter. Note the advice in red to the right of the number.</a:t>
          </a:r>
        </a:p>
        <a:p>
          <a:pPr algn="l"/>
          <a:endParaRPr lang="en-AU" sz="1400" b="0" baseline="0">
            <a:latin typeface="Arial" panose="020B0604020202020204" pitchFamily="34" charset="0"/>
            <a:ea typeface="Inter" panose="020B0502030000000004" pitchFamily="34" charset="0"/>
            <a:cs typeface="Arial" panose="020B0604020202020204" pitchFamily="34" charset="0"/>
          </a:endParaRPr>
        </a:p>
        <a:p>
          <a:pPr algn="l"/>
          <a:r>
            <a:rPr lang="en-AU" sz="1400" b="0" baseline="0">
              <a:latin typeface="Arial" panose="020B0604020202020204" pitchFamily="34" charset="0"/>
              <a:ea typeface="Inter" panose="020B0502030000000004" pitchFamily="34" charset="0"/>
              <a:cs typeface="Arial" panose="020B0604020202020204" pitchFamily="34" charset="0"/>
            </a:rPr>
            <a:t>(This cell will not accept numbers that would cause rows with data to be hidden)</a:t>
          </a:r>
        </a:p>
        <a:p>
          <a:pPr algn="l"/>
          <a:endParaRPr lang="en-AU" sz="1400" b="0" baseline="0">
            <a:latin typeface="Arial" panose="020B0604020202020204" pitchFamily="34" charset="0"/>
            <a:ea typeface="Inter" panose="020B0502030000000004" pitchFamily="34" charset="0"/>
            <a:cs typeface="Arial" panose="020B0604020202020204" pitchFamily="34" charset="0"/>
          </a:endParaRPr>
        </a:p>
        <a:p>
          <a:pPr algn="l"/>
          <a:r>
            <a:rPr lang="en-AU" sz="1400" b="0" baseline="0">
              <a:latin typeface="Arial" panose="020B0604020202020204" pitchFamily="34" charset="0"/>
              <a:ea typeface="Inter" panose="020B0502030000000004" pitchFamily="34" charset="0"/>
              <a:cs typeface="Arial" panose="020B0604020202020204" pitchFamily="34" charset="0"/>
            </a:rPr>
            <a:t>(The maximum number of rows that can be inputted is 10).</a:t>
          </a:r>
        </a:p>
      </xdr:txBody>
    </xdr:sp>
    <xdr:clientData/>
  </xdr:twoCellAnchor>
  <xdr:twoCellAnchor>
    <xdr:from>
      <xdr:col>1</xdr:col>
      <xdr:colOff>1389529</xdr:colOff>
      <xdr:row>183</xdr:row>
      <xdr:rowOff>145677</xdr:rowOff>
    </xdr:from>
    <xdr:to>
      <xdr:col>1</xdr:col>
      <xdr:colOff>5987143</xdr:colOff>
      <xdr:row>192</xdr:row>
      <xdr:rowOff>13607</xdr:rowOff>
    </xdr:to>
    <xdr:sp macro="" textlink="">
      <xdr:nvSpPr>
        <xdr:cNvPr id="33" name="AutoShape 3642">
          <a:extLst>
            <a:ext uri="{FF2B5EF4-FFF2-40B4-BE49-F238E27FC236}">
              <a16:creationId xmlns:a16="http://schemas.microsoft.com/office/drawing/2014/main" id="{00000000-0008-0000-0200-000021000000}"/>
            </a:ext>
          </a:extLst>
        </xdr:cNvPr>
        <xdr:cNvSpPr>
          <a:spLocks noChangeArrowheads="1"/>
        </xdr:cNvSpPr>
      </xdr:nvSpPr>
      <xdr:spPr bwMode="auto">
        <a:xfrm>
          <a:off x="1593636" y="34735034"/>
          <a:ext cx="4597614" cy="1459966"/>
        </a:xfrm>
        <a:prstGeom prst="wedgeRoundRectCallout">
          <a:avLst>
            <a:gd name="adj1" fmla="val -64798"/>
            <a:gd name="adj2" fmla="val -72232"/>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400" b="1" i="0" u="none" strike="noStrike" baseline="0">
              <a:solidFill>
                <a:srgbClr val="000000"/>
              </a:solidFill>
              <a:latin typeface="Arial"/>
              <a:cs typeface="Arial"/>
            </a:rPr>
            <a:t>To change the number of rows displayed (step 2 of 2):</a:t>
          </a:r>
        </a:p>
        <a:p>
          <a:pPr algn="l" rtl="0">
            <a:defRPr sz="1000"/>
          </a:pPr>
          <a:endParaRPr lang="en-AU" sz="800" b="1" i="0" u="none" strike="noStrike" baseline="0">
            <a:solidFill>
              <a:srgbClr val="000000"/>
            </a:solidFill>
            <a:latin typeface="Arial"/>
            <a:cs typeface="Arial"/>
          </a:endParaRPr>
        </a:p>
        <a:p>
          <a:pPr algn="l" rtl="0">
            <a:defRPr sz="1000"/>
          </a:pPr>
          <a:r>
            <a:rPr lang="en-AU" sz="1400" b="0" i="0" u="none" strike="noStrike" baseline="0">
              <a:solidFill>
                <a:srgbClr val="000000"/>
              </a:solidFill>
              <a:latin typeface="Arial"/>
              <a:cs typeface="Arial"/>
            </a:rPr>
            <a:t>Click the arrow in the blue filled heading above and then select the only number in the drop down list. (This number will always match the number input for step 1.)</a:t>
          </a:r>
        </a:p>
      </xdr:txBody>
    </xdr:sp>
    <xdr:clientData/>
  </xdr:twoCellAnchor>
  <xdr:twoCellAnchor editAs="oneCell">
    <xdr:from>
      <xdr:col>1</xdr:col>
      <xdr:colOff>0</xdr:colOff>
      <xdr:row>212</xdr:row>
      <xdr:rowOff>0</xdr:rowOff>
    </xdr:from>
    <xdr:to>
      <xdr:col>4</xdr:col>
      <xdr:colOff>661146</xdr:colOff>
      <xdr:row>238</xdr:row>
      <xdr:rowOff>133153</xdr:rowOff>
    </xdr:to>
    <xdr:pic>
      <xdr:nvPicPr>
        <xdr:cNvPr id="35" name="Picture 34">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7"/>
        <a:stretch>
          <a:fillRect/>
        </a:stretch>
      </xdr:blipFill>
      <xdr:spPr>
        <a:xfrm>
          <a:off x="201706" y="40173088"/>
          <a:ext cx="12438528" cy="4794800"/>
        </a:xfrm>
        <a:prstGeom prst="rect">
          <a:avLst/>
        </a:prstGeom>
      </xdr:spPr>
    </xdr:pic>
    <xdr:clientData/>
  </xdr:twoCellAnchor>
  <xdr:twoCellAnchor>
    <xdr:from>
      <xdr:col>1</xdr:col>
      <xdr:colOff>3158937</xdr:colOff>
      <xdr:row>208</xdr:row>
      <xdr:rowOff>123265</xdr:rowOff>
    </xdr:from>
    <xdr:to>
      <xdr:col>1</xdr:col>
      <xdr:colOff>8749392</xdr:colOff>
      <xdr:row>217</xdr:row>
      <xdr:rowOff>27214</xdr:rowOff>
    </xdr:to>
    <xdr:sp macro="" textlink="">
      <xdr:nvSpPr>
        <xdr:cNvPr id="36" name="Rounded Rectangular Callout 22">
          <a:extLst>
            <a:ext uri="{FF2B5EF4-FFF2-40B4-BE49-F238E27FC236}">
              <a16:creationId xmlns:a16="http://schemas.microsoft.com/office/drawing/2014/main" id="{00000000-0008-0000-0200-000024000000}"/>
            </a:ext>
          </a:extLst>
        </xdr:cNvPr>
        <xdr:cNvSpPr/>
      </xdr:nvSpPr>
      <xdr:spPr>
        <a:xfrm>
          <a:off x="3363044" y="39134944"/>
          <a:ext cx="5590455" cy="1550413"/>
        </a:xfrm>
        <a:prstGeom prst="wedgeRoundRectCallout">
          <a:avLst>
            <a:gd name="adj1" fmla="val -64802"/>
            <a:gd name="adj2" fmla="val 50786"/>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Inputs to the floors and subfloor walls building fabric table:</a:t>
          </a:r>
        </a:p>
        <a:p>
          <a:pPr algn="l"/>
          <a:r>
            <a:rPr lang="en-AU" sz="1400" b="0" baseline="0">
              <a:latin typeface="Arial" panose="020B0604020202020204" pitchFamily="34" charset="0"/>
              <a:ea typeface="Inter" panose="020B0502030000000004" pitchFamily="34" charset="0"/>
              <a:cs typeface="Arial" panose="020B0604020202020204" pitchFamily="34" charset="0"/>
            </a:rPr>
            <a:t>The user is first required to select an option from the yellow highlighted 'Floor type' cell. After the Floor type is selected, the configuration of the yellow and patterned cells may shift. The user is required to then only fill out the yellow highlighted cells (working left to right) and leaving all the patterened cells blank.</a:t>
          </a:r>
        </a:p>
      </xdr:txBody>
    </xdr:sp>
    <xdr:clientData/>
  </xdr:twoCellAnchor>
  <xdr:twoCellAnchor>
    <xdr:from>
      <xdr:col>1</xdr:col>
      <xdr:colOff>9121188</xdr:colOff>
      <xdr:row>207</xdr:row>
      <xdr:rowOff>169368</xdr:rowOff>
    </xdr:from>
    <xdr:to>
      <xdr:col>4</xdr:col>
      <xdr:colOff>666749</xdr:colOff>
      <xdr:row>214</xdr:row>
      <xdr:rowOff>122464</xdr:rowOff>
    </xdr:to>
    <xdr:sp macro="" textlink="">
      <xdr:nvSpPr>
        <xdr:cNvPr id="37" name="Rounded Rectangular Callout 22">
          <a:extLst>
            <a:ext uri="{FF2B5EF4-FFF2-40B4-BE49-F238E27FC236}">
              <a16:creationId xmlns:a16="http://schemas.microsoft.com/office/drawing/2014/main" id="{00000000-0008-0000-0200-000025000000}"/>
            </a:ext>
          </a:extLst>
        </xdr:cNvPr>
        <xdr:cNvSpPr/>
      </xdr:nvSpPr>
      <xdr:spPr>
        <a:xfrm>
          <a:off x="9325295" y="39004154"/>
          <a:ext cx="3315740" cy="1245774"/>
        </a:xfrm>
        <a:prstGeom prst="wedgeRoundRectCallout">
          <a:avLst>
            <a:gd name="adj1" fmla="val 31766"/>
            <a:gd name="adj2" fmla="val 61890"/>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Requirements table:</a:t>
          </a:r>
        </a:p>
        <a:p>
          <a:pPr algn="l"/>
          <a:r>
            <a:rPr lang="en-AU" sz="1400" b="0" baseline="0">
              <a:latin typeface="Arial" panose="020B0604020202020204" pitchFamily="34" charset="0"/>
              <a:ea typeface="Inter" panose="020B0502030000000004" pitchFamily="34" charset="0"/>
              <a:cs typeface="Arial" panose="020B0604020202020204" pitchFamily="34" charset="0"/>
            </a:rPr>
            <a:t>This requirement table provides the user if there are any additional requirements that need to be made to each individual floor / subfloor wall.</a:t>
          </a:r>
        </a:p>
      </xdr:txBody>
    </xdr:sp>
    <xdr:clientData/>
  </xdr:twoCellAnchor>
  <xdr:twoCellAnchor editAs="oneCell">
    <xdr:from>
      <xdr:col>1</xdr:col>
      <xdr:colOff>0</xdr:colOff>
      <xdr:row>245</xdr:row>
      <xdr:rowOff>0</xdr:rowOff>
    </xdr:from>
    <xdr:to>
      <xdr:col>2</xdr:col>
      <xdr:colOff>483330</xdr:colOff>
      <xdr:row>253</xdr:row>
      <xdr:rowOff>67235</xdr:rowOff>
    </xdr:to>
    <xdr:pic>
      <xdr:nvPicPr>
        <xdr:cNvPr id="38" name="Picture 37">
          <a:extLst>
            <a:ext uri="{FF2B5EF4-FFF2-40B4-BE49-F238E27FC236}">
              <a16:creationId xmlns:a16="http://schemas.microsoft.com/office/drawing/2014/main" id="{00000000-0008-0000-0200-000026000000}"/>
            </a:ext>
          </a:extLst>
        </xdr:cNvPr>
        <xdr:cNvPicPr>
          <a:picLocks noChangeAspect="1"/>
        </xdr:cNvPicPr>
      </xdr:nvPicPr>
      <xdr:blipFill>
        <a:blip xmlns:r="http://schemas.openxmlformats.org/officeDocument/2006/relationships" r:embed="rId8"/>
        <a:stretch>
          <a:fillRect/>
        </a:stretch>
      </xdr:blipFill>
      <xdr:spPr>
        <a:xfrm>
          <a:off x="201706" y="46089794"/>
          <a:ext cx="10893595" cy="1501588"/>
        </a:xfrm>
        <a:prstGeom prst="rect">
          <a:avLst/>
        </a:prstGeom>
      </xdr:spPr>
    </xdr:pic>
    <xdr:clientData/>
  </xdr:twoCellAnchor>
  <xdr:twoCellAnchor>
    <xdr:from>
      <xdr:col>1</xdr:col>
      <xdr:colOff>3339353</xdr:colOff>
      <xdr:row>242</xdr:row>
      <xdr:rowOff>123265</xdr:rowOff>
    </xdr:from>
    <xdr:to>
      <xdr:col>1</xdr:col>
      <xdr:colOff>6585857</xdr:colOff>
      <xdr:row>247</xdr:row>
      <xdr:rowOff>81642</xdr:rowOff>
    </xdr:to>
    <xdr:sp macro="" textlink="">
      <xdr:nvSpPr>
        <xdr:cNvPr id="39" name="Rounded Rectangular Callout 22">
          <a:extLst>
            <a:ext uri="{FF2B5EF4-FFF2-40B4-BE49-F238E27FC236}">
              <a16:creationId xmlns:a16="http://schemas.microsoft.com/office/drawing/2014/main" id="{00000000-0008-0000-0200-000027000000}"/>
            </a:ext>
          </a:extLst>
        </xdr:cNvPr>
        <xdr:cNvSpPr/>
      </xdr:nvSpPr>
      <xdr:spPr>
        <a:xfrm>
          <a:off x="3543460" y="45203729"/>
          <a:ext cx="3246504" cy="842842"/>
        </a:xfrm>
        <a:prstGeom prst="wedgeRoundRectCallout">
          <a:avLst>
            <a:gd name="adj1" fmla="val -46318"/>
            <a:gd name="adj2" fmla="val 92259"/>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Not Applicable check box:</a:t>
          </a:r>
        </a:p>
        <a:p>
          <a:pPr algn="l"/>
          <a:r>
            <a:rPr lang="en-AU" sz="1400" b="0" baseline="0">
              <a:latin typeface="Arial" panose="020B0604020202020204" pitchFamily="34" charset="0"/>
              <a:ea typeface="Inter" panose="020B0502030000000004" pitchFamily="34" charset="0"/>
              <a:cs typeface="Arial" panose="020B0604020202020204" pitchFamily="34" charset="0"/>
            </a:rPr>
            <a:t>This should only be selected if one of the following comments apply.</a:t>
          </a:r>
        </a:p>
      </xdr:txBody>
    </xdr:sp>
    <xdr:clientData/>
  </xdr:twoCellAnchor>
  <xdr:twoCellAnchor>
    <xdr:from>
      <xdr:col>1</xdr:col>
      <xdr:colOff>5040246</xdr:colOff>
      <xdr:row>263</xdr:row>
      <xdr:rowOff>217714</xdr:rowOff>
    </xdr:from>
    <xdr:to>
      <xdr:col>1</xdr:col>
      <xdr:colOff>8572500</xdr:colOff>
      <xdr:row>268</xdr:row>
      <xdr:rowOff>122463</xdr:rowOff>
    </xdr:to>
    <xdr:sp macro="" textlink="">
      <xdr:nvSpPr>
        <xdr:cNvPr id="9" name="Rounded Rectangular Callout 22">
          <a:extLst>
            <a:ext uri="{FF2B5EF4-FFF2-40B4-BE49-F238E27FC236}">
              <a16:creationId xmlns:a16="http://schemas.microsoft.com/office/drawing/2014/main" id="{00000000-0008-0000-0200-000009000000}"/>
            </a:ext>
          </a:extLst>
        </xdr:cNvPr>
        <xdr:cNvSpPr/>
      </xdr:nvSpPr>
      <xdr:spPr>
        <a:xfrm>
          <a:off x="5244353" y="49121785"/>
          <a:ext cx="3532254" cy="1061357"/>
        </a:xfrm>
        <a:prstGeom prst="wedgeRoundRectCallout">
          <a:avLst>
            <a:gd name="adj1" fmla="val -20332"/>
            <a:gd name="adj2" fmla="val 83657"/>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Yellow input cells:</a:t>
          </a:r>
        </a:p>
        <a:p>
          <a:pPr algn="l"/>
          <a:r>
            <a:rPr lang="en-AU" sz="1400" b="0" baseline="0">
              <a:latin typeface="Arial" panose="020B0604020202020204" pitchFamily="34" charset="0"/>
              <a:ea typeface="Inter" panose="020B0502030000000004" pitchFamily="34" charset="0"/>
              <a:cs typeface="Arial" panose="020B0604020202020204" pitchFamily="34" charset="0"/>
            </a:rPr>
            <a:t>These cells are the first inputs that the user should fill in. They are either going to be drop-down boxes or free text cells.</a:t>
          </a:r>
        </a:p>
      </xdr:txBody>
    </xdr:sp>
    <xdr:clientData/>
  </xdr:twoCellAnchor>
  <xdr:twoCellAnchor>
    <xdr:from>
      <xdr:col>1</xdr:col>
      <xdr:colOff>5434854</xdr:colOff>
      <xdr:row>289</xdr:row>
      <xdr:rowOff>109654</xdr:rowOff>
    </xdr:from>
    <xdr:to>
      <xdr:col>1</xdr:col>
      <xdr:colOff>8382000</xdr:colOff>
      <xdr:row>294</xdr:row>
      <xdr:rowOff>190500</xdr:rowOff>
    </xdr:to>
    <xdr:sp macro="" textlink="">
      <xdr:nvSpPr>
        <xdr:cNvPr id="10" name="Rounded Rectangular Callout 22">
          <a:extLst>
            <a:ext uri="{FF2B5EF4-FFF2-40B4-BE49-F238E27FC236}">
              <a16:creationId xmlns:a16="http://schemas.microsoft.com/office/drawing/2014/main" id="{00000000-0008-0000-0200-00000A000000}"/>
            </a:ext>
          </a:extLst>
        </xdr:cNvPr>
        <xdr:cNvSpPr/>
      </xdr:nvSpPr>
      <xdr:spPr>
        <a:xfrm>
          <a:off x="5638961" y="55028083"/>
          <a:ext cx="2947146" cy="1237453"/>
        </a:xfrm>
        <a:prstGeom prst="wedgeRoundRectCallout">
          <a:avLst>
            <a:gd name="adj1" fmla="val -110445"/>
            <a:gd name="adj2" fmla="val -36896"/>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Climate zone selection:</a:t>
          </a:r>
        </a:p>
        <a:p>
          <a:pPr algn="l"/>
          <a:r>
            <a:rPr lang="en-AU" sz="1400" b="0" baseline="0">
              <a:latin typeface="Arial" panose="020B0604020202020204" pitchFamily="34" charset="0"/>
              <a:ea typeface="Inter" panose="020B0502030000000004" pitchFamily="34" charset="0"/>
              <a:cs typeface="Arial" panose="020B0604020202020204" pitchFamily="34" charset="0"/>
            </a:rPr>
            <a:t>Clicking on the 'ABC Climate Zone Map' link will allow the user to search for the climate zone that their building is located in.</a:t>
          </a:r>
        </a:p>
      </xdr:txBody>
    </xdr:sp>
    <xdr:clientData/>
  </xdr:twoCellAnchor>
  <xdr:twoCellAnchor>
    <xdr:from>
      <xdr:col>1</xdr:col>
      <xdr:colOff>4808924</xdr:colOff>
      <xdr:row>279</xdr:row>
      <xdr:rowOff>55226</xdr:rowOff>
    </xdr:from>
    <xdr:to>
      <xdr:col>1</xdr:col>
      <xdr:colOff>8313963</xdr:colOff>
      <xdr:row>283</xdr:row>
      <xdr:rowOff>190499</xdr:rowOff>
    </xdr:to>
    <xdr:sp macro="" textlink="">
      <xdr:nvSpPr>
        <xdr:cNvPr id="11" name="Rounded Rectangular Callout 22">
          <a:extLst>
            <a:ext uri="{FF2B5EF4-FFF2-40B4-BE49-F238E27FC236}">
              <a16:creationId xmlns:a16="http://schemas.microsoft.com/office/drawing/2014/main" id="{00000000-0008-0000-0200-00000B000000}"/>
            </a:ext>
          </a:extLst>
        </xdr:cNvPr>
        <xdr:cNvSpPr/>
      </xdr:nvSpPr>
      <xdr:spPr>
        <a:xfrm>
          <a:off x="5013031" y="52660440"/>
          <a:ext cx="3505039" cy="1060559"/>
        </a:xfrm>
        <a:prstGeom prst="wedgeRoundRectCallout">
          <a:avLst>
            <a:gd name="adj1" fmla="val -69123"/>
            <a:gd name="adj2" fmla="val 39773"/>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Development selection:</a:t>
          </a:r>
        </a:p>
        <a:p>
          <a:pPr algn="l"/>
          <a:r>
            <a:rPr lang="en-AU" sz="1400" b="0" baseline="0">
              <a:latin typeface="Arial" panose="020B0604020202020204" pitchFamily="34" charset="0"/>
              <a:ea typeface="Inter" panose="020B0502030000000004" pitchFamily="34" charset="0"/>
              <a:cs typeface="Arial" panose="020B0604020202020204" pitchFamily="34" charset="0"/>
            </a:rPr>
            <a:t>These user should select the type of development that is being proposed. While 1.3 is only selected if it applies. </a:t>
          </a:r>
        </a:p>
      </xdr:txBody>
    </xdr:sp>
    <xdr:clientData/>
  </xdr:twoCellAnchor>
  <xdr:twoCellAnchor>
    <xdr:from>
      <xdr:col>1</xdr:col>
      <xdr:colOff>4150180</xdr:colOff>
      <xdr:row>299</xdr:row>
      <xdr:rowOff>218512</xdr:rowOff>
    </xdr:from>
    <xdr:to>
      <xdr:col>1</xdr:col>
      <xdr:colOff>6749144</xdr:colOff>
      <xdr:row>306</xdr:row>
      <xdr:rowOff>122464</xdr:rowOff>
    </xdr:to>
    <xdr:sp macro="" textlink="">
      <xdr:nvSpPr>
        <xdr:cNvPr id="30" name="Rounded Rectangular Callout 22">
          <a:extLst>
            <a:ext uri="{FF2B5EF4-FFF2-40B4-BE49-F238E27FC236}">
              <a16:creationId xmlns:a16="http://schemas.microsoft.com/office/drawing/2014/main" id="{00000000-0008-0000-0200-00001E000000}"/>
            </a:ext>
          </a:extLst>
        </xdr:cNvPr>
        <xdr:cNvSpPr/>
      </xdr:nvSpPr>
      <xdr:spPr>
        <a:xfrm>
          <a:off x="4354287" y="57450155"/>
          <a:ext cx="2598964" cy="1523202"/>
        </a:xfrm>
        <a:prstGeom prst="wedgeRoundRectCallout">
          <a:avLst>
            <a:gd name="adj1" fmla="val -77015"/>
            <a:gd name="adj2" fmla="val 48617"/>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Calculator links:</a:t>
          </a:r>
        </a:p>
        <a:p>
          <a:pPr algn="l"/>
          <a:r>
            <a:rPr lang="en-AU" sz="1400" b="0" baseline="0">
              <a:latin typeface="Arial" panose="020B0604020202020204" pitchFamily="34" charset="0"/>
              <a:ea typeface="Inter" panose="020B0502030000000004" pitchFamily="34" charset="0"/>
              <a:cs typeface="Arial" panose="020B0604020202020204" pitchFamily="34" charset="0"/>
            </a:rPr>
            <a:t>The user either needs to click on the calculator symbol or the blue coloured text which will take them to the relevant calculator.</a:t>
          </a:r>
        </a:p>
      </xdr:txBody>
    </xdr:sp>
    <xdr:clientData/>
  </xdr:twoCellAnchor>
  <xdr:twoCellAnchor>
    <xdr:from>
      <xdr:col>1</xdr:col>
      <xdr:colOff>5864679</xdr:colOff>
      <xdr:row>338</xdr:row>
      <xdr:rowOff>204904</xdr:rowOff>
    </xdr:from>
    <xdr:to>
      <xdr:col>1</xdr:col>
      <xdr:colOff>9252857</xdr:colOff>
      <xdr:row>345</xdr:row>
      <xdr:rowOff>176891</xdr:rowOff>
    </xdr:to>
    <xdr:sp macro="" textlink="">
      <xdr:nvSpPr>
        <xdr:cNvPr id="40" name="Rounded Rectangular Callout 22">
          <a:extLst>
            <a:ext uri="{FF2B5EF4-FFF2-40B4-BE49-F238E27FC236}">
              <a16:creationId xmlns:a16="http://schemas.microsoft.com/office/drawing/2014/main" id="{00000000-0008-0000-0200-000028000000}"/>
            </a:ext>
          </a:extLst>
        </xdr:cNvPr>
        <xdr:cNvSpPr/>
      </xdr:nvSpPr>
      <xdr:spPr>
        <a:xfrm>
          <a:off x="6068786" y="66458083"/>
          <a:ext cx="3388178" cy="1591237"/>
        </a:xfrm>
        <a:prstGeom prst="wedgeRoundRectCallout">
          <a:avLst>
            <a:gd name="adj1" fmla="val -113160"/>
            <a:gd name="adj2" fmla="val 33225"/>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Calculator applicability:</a:t>
          </a:r>
        </a:p>
        <a:p>
          <a:pPr algn="l"/>
          <a:r>
            <a:rPr lang="en-AU" sz="1400" b="0" baseline="0">
              <a:latin typeface="Arial" panose="020B0604020202020204" pitchFamily="34" charset="0"/>
              <a:ea typeface="Inter" panose="020B0502030000000004" pitchFamily="34" charset="0"/>
              <a:cs typeface="Arial" panose="020B0604020202020204" pitchFamily="34" charset="0"/>
            </a:rPr>
            <a:t>Depending on the climate zone of the building there may be specific calculators that are not required to be completed. If this is the case this message will appear on the home tab. </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176119</xdr:colOff>
      <xdr:row>0</xdr:row>
      <xdr:rowOff>186690</xdr:rowOff>
    </xdr:from>
    <xdr:to>
      <xdr:col>16</xdr:col>
      <xdr:colOff>207197</xdr:colOff>
      <xdr:row>5</xdr:row>
      <xdr:rowOff>49228</xdr:rowOff>
    </xdr:to>
    <xdr:grpSp>
      <xdr:nvGrpSpPr>
        <xdr:cNvPr id="9" name="Group 8">
          <a:extLst>
            <a:ext uri="{FF2B5EF4-FFF2-40B4-BE49-F238E27FC236}">
              <a16:creationId xmlns:a16="http://schemas.microsoft.com/office/drawing/2014/main" id="{00000000-0008-0000-0300-000009000000}"/>
            </a:ext>
          </a:extLst>
        </xdr:cNvPr>
        <xdr:cNvGrpSpPr/>
      </xdr:nvGrpSpPr>
      <xdr:grpSpPr>
        <a:xfrm>
          <a:off x="179294" y="183515"/>
          <a:ext cx="13085812" cy="728447"/>
          <a:chOff x="247650" y="186690"/>
          <a:chExt cx="13481564" cy="778298"/>
        </a:xfrm>
      </xdr:grpSpPr>
      <xdr:grpSp>
        <xdr:nvGrpSpPr>
          <xdr:cNvPr id="2" name="Group 1">
            <a:extLst>
              <a:ext uri="{FF2B5EF4-FFF2-40B4-BE49-F238E27FC236}">
                <a16:creationId xmlns:a16="http://schemas.microsoft.com/office/drawing/2014/main" id="{00000000-0008-0000-0300-000002000000}"/>
              </a:ext>
            </a:extLst>
          </xdr:cNvPr>
          <xdr:cNvGrpSpPr/>
        </xdr:nvGrpSpPr>
        <xdr:grpSpPr>
          <a:xfrm>
            <a:off x="840105" y="186690"/>
            <a:ext cx="12892919" cy="782108"/>
            <a:chOff x="815423" y="438150"/>
            <a:chExt cx="10640147" cy="814493"/>
          </a:xfrm>
        </xdr:grpSpPr>
        <xdr:sp macro="" textlink="">
          <xdr:nvSpPr>
            <xdr:cNvPr id="3" name="TextBox 31">
              <a:extLst>
                <a:ext uri="{FF2B5EF4-FFF2-40B4-BE49-F238E27FC236}">
                  <a16:creationId xmlns:a16="http://schemas.microsoft.com/office/drawing/2014/main" id="{00000000-0008-0000-0300-000003000000}"/>
                </a:ext>
              </a:extLst>
            </xdr:cNvPr>
            <xdr:cNvSpPr txBox="1"/>
          </xdr:nvSpPr>
          <xdr:spPr>
            <a:xfrm>
              <a:off x="815423" y="619125"/>
              <a:ext cx="10640147" cy="633518"/>
            </a:xfrm>
            <a:prstGeom prst="rect">
              <a:avLst/>
            </a:prstGeom>
            <a:noFill/>
          </xdr:spPr>
          <xdr:txBody>
            <a:bodyPr wrap="square" rtlCol="0">
              <a:noAutofit/>
            </a:bodyPr>
            <a:lstStyle/>
            <a:p>
              <a:pPr algn="l"/>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13.2 BUILDING</a:t>
              </a:r>
              <a:r>
                <a:rPr lang="en-US" sz="40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t> FABRIC</a:t>
              </a:r>
              <a:endPar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sp macro="" textlink="Name">
          <xdr:nvSpPr>
            <xdr:cNvPr id="4" name="TextBox 31">
              <a:extLst>
                <a:ext uri="{FF2B5EF4-FFF2-40B4-BE49-F238E27FC236}">
                  <a16:creationId xmlns:a16="http://schemas.microsoft.com/office/drawing/2014/main" id="{00000000-0008-0000-0300-000004000000}"/>
                </a:ext>
              </a:extLst>
            </xdr:cNvPr>
            <xdr:cNvSpPr txBox="1"/>
          </xdr:nvSpPr>
          <xdr:spPr>
            <a:xfrm>
              <a:off x="815423" y="438150"/>
              <a:ext cx="10640147" cy="24765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2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pPr algn="l"/>
                <a:t>Housing Energy Efficiency Calculator</a:t>
              </a:fld>
              <a:endParaRPr lang="en-AU" sz="1200" b="0" spc="1190" baseline="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grpSp>
      <xdr:pic>
        <xdr:nvPicPr>
          <xdr:cNvPr id="8" name="Picture 7" descr="A white arrow in a circle&#10;&#10;Description automatically generated">
            <a:hlinkClick xmlns:r="http://schemas.openxmlformats.org/officeDocument/2006/relationships" r:id="rId1"/>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2">
            <a:biLevel thresh="25000"/>
            <a:extLst>
              <a:ext uri="{BEBA8EAE-BF5A-486C-A8C5-ECC9F3942E4B}">
                <a14:imgProps xmlns:a14="http://schemas.microsoft.com/office/drawing/2010/main">
                  <a14:imgLayer r:embed="rId3">
                    <a14:imgEffect>
                      <a14:brightnessContrast bright="-40000" contrast="-40000"/>
                    </a14:imgEffect>
                  </a14:imgLayer>
                </a14:imgProps>
              </a:ext>
            </a:extLst>
          </a:blip>
          <a:stretch>
            <a:fillRect/>
          </a:stretch>
        </xdr:blipFill>
        <xdr:spPr>
          <a:xfrm>
            <a:off x="247650" y="354261"/>
            <a:ext cx="459789" cy="443155"/>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9</xdr:col>
          <xdr:colOff>298450</xdr:colOff>
          <xdr:row>16</xdr:row>
          <xdr:rowOff>12700</xdr:rowOff>
        </xdr:from>
        <xdr:to>
          <xdr:col>9</xdr:col>
          <xdr:colOff>514350</xdr:colOff>
          <xdr:row>17</xdr:row>
          <xdr:rowOff>31750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9</xdr:col>
      <xdr:colOff>246407</xdr:colOff>
      <xdr:row>97</xdr:row>
      <xdr:rowOff>69274</xdr:rowOff>
    </xdr:from>
    <xdr:to>
      <xdr:col>15</xdr:col>
      <xdr:colOff>449694</xdr:colOff>
      <xdr:row>100</xdr:row>
      <xdr:rowOff>87170</xdr:rowOff>
    </xdr:to>
    <xdr:sp macro="" textlink="">
      <xdr:nvSpPr>
        <xdr:cNvPr id="5" name="TextBox 4">
          <a:extLst>
            <a:ext uri="{FF2B5EF4-FFF2-40B4-BE49-F238E27FC236}">
              <a16:creationId xmlns:a16="http://schemas.microsoft.com/office/drawing/2014/main" id="{00000000-0008-0000-0300-000005000000}"/>
            </a:ext>
          </a:extLst>
        </xdr:cNvPr>
        <xdr:cNvSpPr txBox="1"/>
      </xdr:nvSpPr>
      <xdr:spPr>
        <a:xfrm>
          <a:off x="4945407" y="34417001"/>
          <a:ext cx="10352320" cy="5310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171450" marR="0" lvl="0" indent="-171450" defTabSz="914400" eaLnBrk="1" fontAlgn="auto" latinLnBrk="0" hangingPunct="1">
            <a:lnSpc>
              <a:spcPct val="100000"/>
            </a:lnSpc>
            <a:spcBef>
              <a:spcPts val="0"/>
            </a:spcBef>
            <a:spcAft>
              <a:spcPts val="600"/>
            </a:spcAft>
            <a:buClrTx/>
            <a:buSzTx/>
            <a:buFont typeface="Arial" panose="020B0604020202020204" pitchFamily="34" charset="0"/>
            <a:buChar char="•"/>
            <a:tabLst/>
            <a:defRPr/>
          </a:pPr>
          <a:r>
            <a:rPr lang="en-AU" sz="1200">
              <a:solidFill>
                <a:schemeClr val="dk1"/>
              </a:solidFill>
              <a:effectLst/>
              <a:latin typeface="Arial" panose="020B0604020202020204" pitchFamily="34" charset="0"/>
              <a:ea typeface="+mn-ea"/>
              <a:cs typeface="Arial" panose="020B0604020202020204" pitchFamily="34" charset="0"/>
            </a:rPr>
            <a:t>Class 10a has an external fabric that achieves the required level of thermal performance for a Class 1 building; or</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AU" sz="1200">
              <a:solidFill>
                <a:schemeClr val="dk1"/>
              </a:solidFill>
              <a:effectLst/>
              <a:latin typeface="Arial" panose="020B0604020202020204" pitchFamily="34" charset="0"/>
              <a:ea typeface="+mn-ea"/>
              <a:cs typeface="Arial" panose="020B0604020202020204" pitchFamily="34" charset="0"/>
            </a:rPr>
            <a:t>Class 10a is separated from the Class 1 building with construction having the required level of thermal performance for the Class 1 building.</a:t>
          </a:r>
        </a:p>
      </xdr:txBody>
    </xdr:sp>
    <xdr:clientData/>
  </xdr:twoCellAnchor>
  <mc:AlternateContent xmlns:mc="http://schemas.openxmlformats.org/markup-compatibility/2006">
    <mc:Choice xmlns:a14="http://schemas.microsoft.com/office/drawing/2010/main" Requires="a14">
      <xdr:twoCellAnchor editAs="oneCell">
        <xdr:from>
          <xdr:col>9</xdr:col>
          <xdr:colOff>0</xdr:colOff>
          <xdr:row>97</xdr:row>
          <xdr:rowOff>114300</xdr:rowOff>
        </xdr:from>
        <xdr:to>
          <xdr:col>9</xdr:col>
          <xdr:colOff>190500</xdr:colOff>
          <xdr:row>99</xdr:row>
          <xdr:rowOff>0</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00000000-0008-0000-03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260350</xdr:colOff>
          <xdr:row>32</xdr:row>
          <xdr:rowOff>171450</xdr:rowOff>
        </xdr:from>
        <xdr:to>
          <xdr:col>9</xdr:col>
          <xdr:colOff>469900</xdr:colOff>
          <xdr:row>33</xdr:row>
          <xdr:rowOff>203200</xdr:rowOff>
        </xdr:to>
        <xdr:sp macro="" textlink="">
          <xdr:nvSpPr>
            <xdr:cNvPr id="2079" name="Check Box 31" hidden="1">
              <a:extLst>
                <a:ext uri="{63B3BB69-23CF-44E3-9099-C40C66FF867C}">
                  <a14:compatExt spid="_x0000_s2079"/>
                </a:ext>
                <a:ext uri="{FF2B5EF4-FFF2-40B4-BE49-F238E27FC236}">
                  <a16:creationId xmlns:a16="http://schemas.microsoft.com/office/drawing/2014/main" id="{00000000-0008-0000-03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260350</xdr:colOff>
          <xdr:row>70</xdr:row>
          <xdr:rowOff>171450</xdr:rowOff>
        </xdr:from>
        <xdr:to>
          <xdr:col>9</xdr:col>
          <xdr:colOff>469900</xdr:colOff>
          <xdr:row>71</xdr:row>
          <xdr:rowOff>209550</xdr:rowOff>
        </xdr:to>
        <xdr:sp macro="" textlink="">
          <xdr:nvSpPr>
            <xdr:cNvPr id="2082" name="Check Box 34" hidden="1">
              <a:extLst>
                <a:ext uri="{63B3BB69-23CF-44E3-9099-C40C66FF867C}">
                  <a14:compatExt spid="_x0000_s2082"/>
                </a:ext>
                <a:ext uri="{FF2B5EF4-FFF2-40B4-BE49-F238E27FC236}">
                  <a16:creationId xmlns:a16="http://schemas.microsoft.com/office/drawing/2014/main" id="{00000000-0008-0000-03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98</xdr:row>
          <xdr:rowOff>171450</xdr:rowOff>
        </xdr:from>
        <xdr:to>
          <xdr:col>9</xdr:col>
          <xdr:colOff>190500</xdr:colOff>
          <xdr:row>100</xdr:row>
          <xdr:rowOff>19050</xdr:rowOff>
        </xdr:to>
        <xdr:sp macro="" textlink="">
          <xdr:nvSpPr>
            <xdr:cNvPr id="2089" name="Check Box 41" hidden="1">
              <a:extLst>
                <a:ext uri="{63B3BB69-23CF-44E3-9099-C40C66FF867C}">
                  <a14:compatExt spid="_x0000_s2089"/>
                </a:ext>
                <a:ext uri="{FF2B5EF4-FFF2-40B4-BE49-F238E27FC236}">
                  <a16:creationId xmlns:a16="http://schemas.microsoft.com/office/drawing/2014/main" id="{00000000-0008-0000-0300-00002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editAs="absolute">
    <xdr:from>
      <xdr:col>1</xdr:col>
      <xdr:colOff>27940</xdr:colOff>
      <xdr:row>1</xdr:row>
      <xdr:rowOff>7158</xdr:rowOff>
    </xdr:from>
    <xdr:to>
      <xdr:col>7</xdr:col>
      <xdr:colOff>970962</xdr:colOff>
      <xdr:row>5</xdr:row>
      <xdr:rowOff>63941</xdr:rowOff>
    </xdr:to>
    <xdr:grpSp>
      <xdr:nvGrpSpPr>
        <xdr:cNvPr id="12" name="Group 11">
          <a:extLst>
            <a:ext uri="{FF2B5EF4-FFF2-40B4-BE49-F238E27FC236}">
              <a16:creationId xmlns:a16="http://schemas.microsoft.com/office/drawing/2014/main" id="{00000000-0008-0000-0400-00000C000000}"/>
            </a:ext>
          </a:extLst>
        </xdr:cNvPr>
        <xdr:cNvGrpSpPr/>
      </xdr:nvGrpSpPr>
      <xdr:grpSpPr>
        <a:xfrm>
          <a:off x="227511" y="188587"/>
          <a:ext cx="13262022" cy="782497"/>
          <a:chOff x="247650" y="186690"/>
          <a:chExt cx="13487227" cy="782108"/>
        </a:xfrm>
      </xdr:grpSpPr>
      <xdr:grpSp>
        <xdr:nvGrpSpPr>
          <xdr:cNvPr id="13" name="Group 12">
            <a:extLst>
              <a:ext uri="{FF2B5EF4-FFF2-40B4-BE49-F238E27FC236}">
                <a16:creationId xmlns:a16="http://schemas.microsoft.com/office/drawing/2014/main" id="{00000000-0008-0000-0400-00000D000000}"/>
              </a:ext>
            </a:extLst>
          </xdr:cNvPr>
          <xdr:cNvGrpSpPr/>
        </xdr:nvGrpSpPr>
        <xdr:grpSpPr>
          <a:xfrm>
            <a:off x="836545" y="186690"/>
            <a:ext cx="12898332" cy="782108"/>
            <a:chOff x="812485" y="438150"/>
            <a:chExt cx="10644614" cy="814493"/>
          </a:xfrm>
        </xdr:grpSpPr>
        <xdr:sp macro="" textlink="">
          <xdr:nvSpPr>
            <xdr:cNvPr id="15" name="TextBox 31">
              <a:extLst>
                <a:ext uri="{FF2B5EF4-FFF2-40B4-BE49-F238E27FC236}">
                  <a16:creationId xmlns:a16="http://schemas.microsoft.com/office/drawing/2014/main" id="{00000000-0008-0000-0400-00000F000000}"/>
                </a:ext>
              </a:extLst>
            </xdr:cNvPr>
            <xdr:cNvSpPr txBox="1"/>
          </xdr:nvSpPr>
          <xdr:spPr>
            <a:xfrm>
              <a:off x="812485" y="619125"/>
              <a:ext cx="10644614" cy="633518"/>
            </a:xfrm>
            <a:prstGeom prst="rect">
              <a:avLst/>
            </a:prstGeom>
            <a:noFill/>
          </xdr:spPr>
          <xdr:txBody>
            <a:bodyPr wrap="square" rtlCol="0">
              <a:noAutofit/>
            </a:bodyPr>
            <a:lstStyle/>
            <a:p>
              <a:pPr algn="l"/>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LIST</a:t>
              </a:r>
            </a:p>
          </xdr:txBody>
        </xdr:sp>
        <xdr:sp macro="" textlink="Name">
          <xdr:nvSpPr>
            <xdr:cNvPr id="16" name="TextBox 31">
              <a:extLst>
                <a:ext uri="{FF2B5EF4-FFF2-40B4-BE49-F238E27FC236}">
                  <a16:creationId xmlns:a16="http://schemas.microsoft.com/office/drawing/2014/main" id="{00000000-0008-0000-0400-000010000000}"/>
                </a:ext>
              </a:extLst>
            </xdr:cNvPr>
            <xdr:cNvSpPr txBox="1"/>
          </xdr:nvSpPr>
          <xdr:spPr>
            <a:xfrm>
              <a:off x="815423" y="438150"/>
              <a:ext cx="10640147" cy="24765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1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pPr algn="l"/>
                <a:t>Housing Energy Efficiency Calculator</a:t>
              </a:fld>
              <a:endParaRPr lang="en-AU" sz="1100" b="0" spc="1190" baseline="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grpSp>
      <xdr:pic>
        <xdr:nvPicPr>
          <xdr:cNvPr id="14" name="Picture 13" descr="A white arrow in a circle&#10;&#10;Description automatically generated">
            <a:hlinkClick xmlns:r="http://schemas.openxmlformats.org/officeDocument/2006/relationships" r:id="rId1"/>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2">
            <a:biLevel thresh="25000"/>
            <a:extLst>
              <a:ext uri="{BEBA8EAE-BF5A-486C-A8C5-ECC9F3942E4B}">
                <a14:imgProps xmlns:a14="http://schemas.microsoft.com/office/drawing/2010/main">
                  <a14:imgLayer r:embed="rId3">
                    <a14:imgEffect>
                      <a14:brightnessContrast bright="-40000" contrast="-40000"/>
                    </a14:imgEffect>
                  </a14:imgLayer>
                </a14:imgProps>
              </a:ext>
            </a:extLst>
          </a:blip>
          <a:stretch>
            <a:fillRect/>
          </a:stretch>
        </xdr:blipFill>
        <xdr:spPr>
          <a:xfrm>
            <a:off x="247650" y="354261"/>
            <a:ext cx="459789" cy="443155"/>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262128</xdr:colOff>
      <xdr:row>0</xdr:row>
      <xdr:rowOff>195072</xdr:rowOff>
    </xdr:from>
    <xdr:to>
      <xdr:col>7</xdr:col>
      <xdr:colOff>2893701</xdr:colOff>
      <xdr:row>5</xdr:row>
      <xdr:rowOff>63053</xdr:rowOff>
    </xdr:to>
    <xdr:grpSp>
      <xdr:nvGrpSpPr>
        <xdr:cNvPr id="2" name="Group 6">
          <a:extLst>
            <a:ext uri="{FF2B5EF4-FFF2-40B4-BE49-F238E27FC236}">
              <a16:creationId xmlns:a16="http://schemas.microsoft.com/office/drawing/2014/main" id="{00000000-0008-0000-0500-000002000000}"/>
            </a:ext>
          </a:extLst>
        </xdr:cNvPr>
        <xdr:cNvGrpSpPr/>
      </xdr:nvGrpSpPr>
      <xdr:grpSpPr>
        <a:xfrm>
          <a:off x="4861342" y="176022"/>
          <a:ext cx="12138430" cy="794174"/>
          <a:chOff x="247650" y="186690"/>
          <a:chExt cx="13481564" cy="778298"/>
        </a:xfrm>
      </xdr:grpSpPr>
      <xdr:grpSp>
        <xdr:nvGrpSpPr>
          <xdr:cNvPr id="3" name="Group 7">
            <a:extLst>
              <a:ext uri="{FF2B5EF4-FFF2-40B4-BE49-F238E27FC236}">
                <a16:creationId xmlns:a16="http://schemas.microsoft.com/office/drawing/2014/main" id="{00000000-0008-0000-0500-000003000000}"/>
              </a:ext>
            </a:extLst>
          </xdr:cNvPr>
          <xdr:cNvGrpSpPr/>
        </xdr:nvGrpSpPr>
        <xdr:grpSpPr>
          <a:xfrm>
            <a:off x="840105" y="186690"/>
            <a:ext cx="12892919" cy="782108"/>
            <a:chOff x="815423" y="438150"/>
            <a:chExt cx="10640147" cy="814493"/>
          </a:xfrm>
        </xdr:grpSpPr>
        <xdr:sp macro="" textlink="">
          <xdr:nvSpPr>
            <xdr:cNvPr id="5" name="TextBox 31">
              <a:extLst>
                <a:ext uri="{FF2B5EF4-FFF2-40B4-BE49-F238E27FC236}">
                  <a16:creationId xmlns:a16="http://schemas.microsoft.com/office/drawing/2014/main" id="{00000000-0008-0000-0500-000005000000}"/>
                </a:ext>
              </a:extLst>
            </xdr:cNvPr>
            <xdr:cNvSpPr txBox="1"/>
          </xdr:nvSpPr>
          <xdr:spPr>
            <a:xfrm>
              <a:off x="815423" y="619125"/>
              <a:ext cx="10640147" cy="633518"/>
            </a:xfrm>
            <a:prstGeom prst="rect">
              <a:avLst/>
            </a:prstGeom>
            <a:noFill/>
          </xdr:spPr>
          <xdr:txBody>
            <a:bodyPr wrap="square" rtlCol="0">
              <a:noAutofit/>
            </a:bodyPr>
            <a:lstStyle/>
            <a:p>
              <a:pPr algn="l"/>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13.2 BUILDING FABRIC TABLES</a:t>
              </a:r>
            </a:p>
          </xdr:txBody>
        </xdr:sp>
        <xdr:sp macro="" textlink="Name">
          <xdr:nvSpPr>
            <xdr:cNvPr id="6" name="TextBox 31">
              <a:extLst>
                <a:ext uri="{FF2B5EF4-FFF2-40B4-BE49-F238E27FC236}">
                  <a16:creationId xmlns:a16="http://schemas.microsoft.com/office/drawing/2014/main" id="{00000000-0008-0000-0500-000006000000}"/>
                </a:ext>
              </a:extLst>
            </xdr:cNvPr>
            <xdr:cNvSpPr txBox="1"/>
          </xdr:nvSpPr>
          <xdr:spPr>
            <a:xfrm>
              <a:off x="815423" y="438150"/>
              <a:ext cx="10640147" cy="24765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1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pPr algn="l"/>
                <a:t>Housing Energy Efficiency Calculator</a:t>
              </a:fld>
              <a:endParaRPr lang="en-AU" sz="1100" b="0" spc="1190" baseline="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grpSp>
      <xdr:pic>
        <xdr:nvPicPr>
          <xdr:cNvPr id="4" name="Picture 8" descr="A white arrow in a circle&#10;&#10;Description automatically generated">
            <a:hlinkClick xmlns:r="http://schemas.openxmlformats.org/officeDocument/2006/relationships" r:id="rId1"/>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biLevel thresh="25000"/>
            <a:extLst>
              <a:ext uri="{BEBA8EAE-BF5A-486C-A8C5-ECC9F3942E4B}">
                <a14:imgProps xmlns:a14="http://schemas.microsoft.com/office/drawing/2010/main">
                  <a14:imgLayer r:embed="rId3">
                    <a14:imgEffect>
                      <a14:brightnessContrast bright="-40000" contrast="-40000"/>
                    </a14:imgEffect>
                  </a14:imgLayer>
                </a14:imgProps>
              </a:ext>
            </a:extLst>
          </a:blip>
          <a:stretch>
            <a:fillRect/>
          </a:stretch>
        </xdr:blipFill>
        <xdr:spPr>
          <a:xfrm>
            <a:off x="247650" y="354261"/>
            <a:ext cx="459789" cy="443155"/>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7938</xdr:colOff>
      <xdr:row>0</xdr:row>
      <xdr:rowOff>500062</xdr:rowOff>
    </xdr:from>
    <xdr:to>
      <xdr:col>9</xdr:col>
      <xdr:colOff>123561</xdr:colOff>
      <xdr:row>0</xdr:row>
      <xdr:rowOff>1276883</xdr:rowOff>
    </xdr:to>
    <xdr:grpSp>
      <xdr:nvGrpSpPr>
        <xdr:cNvPr id="21" name="Group 20">
          <a:extLst>
            <a:ext uri="{FF2B5EF4-FFF2-40B4-BE49-F238E27FC236}">
              <a16:creationId xmlns:a16="http://schemas.microsoft.com/office/drawing/2014/main" id="{00000000-0008-0000-0600-000015000000}"/>
            </a:ext>
          </a:extLst>
        </xdr:cNvPr>
        <xdr:cNvGrpSpPr/>
      </xdr:nvGrpSpPr>
      <xdr:grpSpPr>
        <a:xfrm>
          <a:off x="246997" y="500062"/>
          <a:ext cx="12793211" cy="776821"/>
          <a:chOff x="246063" y="1047750"/>
          <a:chExt cx="12815623" cy="776821"/>
        </a:xfrm>
      </xdr:grpSpPr>
      <xdr:sp macro="" textlink="">
        <xdr:nvSpPr>
          <xdr:cNvPr id="18" name="TextBox 31">
            <a:extLst>
              <a:ext uri="{FF2B5EF4-FFF2-40B4-BE49-F238E27FC236}">
                <a16:creationId xmlns:a16="http://schemas.microsoft.com/office/drawing/2014/main" id="{00000000-0008-0000-0600-000012000000}"/>
              </a:ext>
            </a:extLst>
          </xdr:cNvPr>
          <xdr:cNvSpPr txBox="1"/>
        </xdr:nvSpPr>
        <xdr:spPr>
          <a:xfrm>
            <a:off x="809094" y="1220355"/>
            <a:ext cx="12252592" cy="604216"/>
          </a:xfrm>
          <a:prstGeom prst="rect">
            <a:avLst/>
          </a:prstGeom>
          <a:noFill/>
        </xdr:spPr>
        <xdr:txBody>
          <a:bodyPr wrap="square" rtlCol="0">
            <a:noAutofit/>
          </a:bodyPr>
          <a:lstStyle/>
          <a:p>
            <a:pPr algn="l"/>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13.3 EXTERNAL</a:t>
            </a:r>
            <a:r>
              <a:rPr lang="en-US" sz="40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t> </a:t>
            </a:r>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GLAZING</a:t>
            </a:r>
          </a:p>
          <a:p>
            <a:pPr algn="l"/>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HELP GUIDE</a:t>
            </a:r>
          </a:p>
          <a:p>
            <a:pPr algn="l"/>
            <a:endPar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sp macro="" textlink="Name">
        <xdr:nvSpPr>
          <xdr:cNvPr id="19" name="TextBox 31">
            <a:extLst>
              <a:ext uri="{FF2B5EF4-FFF2-40B4-BE49-F238E27FC236}">
                <a16:creationId xmlns:a16="http://schemas.microsoft.com/office/drawing/2014/main" id="{00000000-0008-0000-0600-000013000000}"/>
              </a:ext>
            </a:extLst>
          </xdr:cNvPr>
          <xdr:cNvSpPr txBox="1"/>
        </xdr:nvSpPr>
        <xdr:spPr>
          <a:xfrm>
            <a:off x="809094" y="1047750"/>
            <a:ext cx="12252592" cy="236196"/>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2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pPr algn="l"/>
              <a:t>Housing Energy Efficiency Calculator</a:t>
            </a:fld>
            <a:endParaRPr lang="en-AU" sz="1200" b="0" spc="1190" baseline="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pic>
        <xdr:nvPicPr>
          <xdr:cNvPr id="20" name="Picture 19" descr="A white arrow in a circle&#10;&#10;Description automatically generated">
            <a:hlinkClick xmlns:r="http://schemas.openxmlformats.org/officeDocument/2006/relationships" r:id="rId1"/>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2">
            <a:biLevel thresh="25000"/>
            <a:extLst>
              <a:ext uri="{BEBA8EAE-BF5A-486C-A8C5-ECC9F3942E4B}">
                <a14:imgProps xmlns:a14="http://schemas.microsoft.com/office/drawing/2010/main">
                  <a14:imgLayer r:embed="rId3">
                    <a14:imgEffect>
                      <a14:brightnessContrast bright="-40000" contrast="-40000"/>
                    </a14:imgEffect>
                  </a14:imgLayer>
                </a14:imgProps>
              </a:ext>
            </a:extLst>
          </a:blip>
          <a:stretch>
            <a:fillRect/>
          </a:stretch>
        </xdr:blipFill>
        <xdr:spPr>
          <a:xfrm>
            <a:off x="246063" y="1214188"/>
            <a:ext cx="436954" cy="440159"/>
          </a:xfrm>
          <a:prstGeom prst="rect">
            <a:avLst/>
          </a:prstGeom>
        </xdr:spPr>
      </xdr:pic>
    </xdr:grpSp>
    <xdr:clientData/>
  </xdr:twoCellAnchor>
  <xdr:twoCellAnchor editAs="oneCell">
    <xdr:from>
      <xdr:col>4</xdr:col>
      <xdr:colOff>47626</xdr:colOff>
      <xdr:row>160</xdr:row>
      <xdr:rowOff>38100</xdr:rowOff>
    </xdr:from>
    <xdr:to>
      <xdr:col>4</xdr:col>
      <xdr:colOff>5706264</xdr:colOff>
      <xdr:row>175</xdr:row>
      <xdr:rowOff>86231</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4"/>
        <a:stretch>
          <a:fillRect/>
        </a:stretch>
      </xdr:blipFill>
      <xdr:spPr>
        <a:xfrm>
          <a:off x="790576" y="18107025"/>
          <a:ext cx="5658638" cy="3483480"/>
        </a:xfrm>
        <a:prstGeom prst="rect">
          <a:avLst/>
        </a:prstGeom>
      </xdr:spPr>
    </xdr:pic>
    <xdr:clientData/>
  </xdr:twoCellAnchor>
  <xdr:twoCellAnchor editAs="oneCell">
    <xdr:from>
      <xdr:col>4</xdr:col>
      <xdr:colOff>0</xdr:colOff>
      <xdr:row>20</xdr:row>
      <xdr:rowOff>0</xdr:rowOff>
    </xdr:from>
    <xdr:to>
      <xdr:col>12</xdr:col>
      <xdr:colOff>315483</xdr:colOff>
      <xdr:row>45</xdr:row>
      <xdr:rowOff>48080</xdr:rowOff>
    </xdr:to>
    <xdr:pic>
      <xdr:nvPicPr>
        <xdr:cNvPr id="39" name="Picture 1">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5"/>
        <a:stretch>
          <a:fillRect/>
        </a:stretch>
      </xdr:blipFill>
      <xdr:spPr>
        <a:xfrm>
          <a:off x="739588" y="9737912"/>
          <a:ext cx="14417339" cy="5644672"/>
        </a:xfrm>
        <a:prstGeom prst="rect">
          <a:avLst/>
        </a:prstGeom>
      </xdr:spPr>
    </xdr:pic>
    <xdr:clientData/>
  </xdr:twoCellAnchor>
  <xdr:twoCellAnchor>
    <xdr:from>
      <xdr:col>4</xdr:col>
      <xdr:colOff>3833432</xdr:colOff>
      <xdr:row>22</xdr:row>
      <xdr:rowOff>185279</xdr:rowOff>
    </xdr:from>
    <xdr:to>
      <xdr:col>4</xdr:col>
      <xdr:colOff>9143999</xdr:colOff>
      <xdr:row>29</xdr:row>
      <xdr:rowOff>156882</xdr:rowOff>
    </xdr:to>
    <xdr:sp macro="" textlink="">
      <xdr:nvSpPr>
        <xdr:cNvPr id="2" name="Rounded Rectangular Callout 17">
          <a:extLst>
            <a:ext uri="{FF2B5EF4-FFF2-40B4-BE49-F238E27FC236}">
              <a16:creationId xmlns:a16="http://schemas.microsoft.com/office/drawing/2014/main" id="{00000000-0008-0000-0600-000002000000}"/>
            </a:ext>
          </a:extLst>
        </xdr:cNvPr>
        <xdr:cNvSpPr/>
      </xdr:nvSpPr>
      <xdr:spPr>
        <a:xfrm>
          <a:off x="4573020" y="10371426"/>
          <a:ext cx="5310567" cy="1540427"/>
        </a:xfrm>
        <a:prstGeom prst="wedgeRoundRectCallout">
          <a:avLst>
            <a:gd name="adj1" fmla="val -73811"/>
            <a:gd name="adj2" fmla="val 5185"/>
            <a:gd name="adj3" fmla="val 16667"/>
          </a:avLst>
        </a:prstGeom>
        <a:ln w="952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a:latin typeface="Arial" panose="020B0604020202020204" pitchFamily="34" charset="0"/>
              <a:ea typeface="Inter" panose="020B0502030000000004" pitchFamily="34" charset="0"/>
              <a:cs typeface="Arial" panose="020B0604020202020204" pitchFamily="34" charset="0"/>
            </a:rPr>
            <a:t>To change the number of rows</a:t>
          </a:r>
          <a:r>
            <a:rPr lang="en-AU" sz="1400" b="1" baseline="0">
              <a:latin typeface="Arial" panose="020B0604020202020204" pitchFamily="34" charset="0"/>
              <a:ea typeface="Inter" panose="020B0502030000000004" pitchFamily="34" charset="0"/>
              <a:cs typeface="Arial" panose="020B0604020202020204" pitchFamily="34" charset="0"/>
            </a:rPr>
            <a:t> displayed (step 1 of 2):</a:t>
          </a:r>
        </a:p>
        <a:p>
          <a:pPr algn="l"/>
          <a:r>
            <a:rPr lang="en-AU" sz="1400" b="0" baseline="0">
              <a:latin typeface="Arial" panose="020B0604020202020204" pitchFamily="34" charset="0"/>
              <a:ea typeface="Inter" panose="020B0502030000000004" pitchFamily="34" charset="0"/>
              <a:cs typeface="Arial" panose="020B0604020202020204" pitchFamily="34" charset="0"/>
            </a:rPr>
            <a:t>Input the required number of rows here and press Enter. Note the advice in red to the right of the number.</a:t>
          </a:r>
        </a:p>
        <a:p>
          <a:pPr algn="l"/>
          <a:endParaRPr lang="en-AU" sz="1400" b="0" baseline="0">
            <a:latin typeface="Arial" panose="020B0604020202020204" pitchFamily="34" charset="0"/>
            <a:ea typeface="Inter" panose="020B0502030000000004" pitchFamily="34" charset="0"/>
            <a:cs typeface="Arial" panose="020B0604020202020204" pitchFamily="34" charset="0"/>
          </a:endParaRPr>
        </a:p>
        <a:p>
          <a:pPr algn="l"/>
          <a:r>
            <a:rPr lang="en-AU" sz="1400" b="0" baseline="0">
              <a:latin typeface="Arial" panose="020B0604020202020204" pitchFamily="34" charset="0"/>
              <a:ea typeface="Inter" panose="020B0502030000000004" pitchFamily="34" charset="0"/>
              <a:cs typeface="Arial" panose="020B0604020202020204" pitchFamily="34" charset="0"/>
            </a:rPr>
            <a:t>(This cell will not accept numbers that would cause rows with data to be hidden).</a:t>
          </a:r>
        </a:p>
      </xdr:txBody>
    </xdr:sp>
    <xdr:clientData/>
  </xdr:twoCellAnchor>
  <xdr:twoCellAnchor>
    <xdr:from>
      <xdr:col>4</xdr:col>
      <xdr:colOff>2724849</xdr:colOff>
      <xdr:row>33</xdr:row>
      <xdr:rowOff>199787</xdr:rowOff>
    </xdr:from>
    <xdr:to>
      <xdr:col>4</xdr:col>
      <xdr:colOff>7776882</xdr:colOff>
      <xdr:row>39</xdr:row>
      <xdr:rowOff>100853</xdr:rowOff>
    </xdr:to>
    <xdr:sp macro="" textlink="">
      <xdr:nvSpPr>
        <xdr:cNvPr id="3" name="Rounded Rectangular Callout 18">
          <a:extLst>
            <a:ext uri="{FF2B5EF4-FFF2-40B4-BE49-F238E27FC236}">
              <a16:creationId xmlns:a16="http://schemas.microsoft.com/office/drawing/2014/main" id="{00000000-0008-0000-0600-000003000000}"/>
            </a:ext>
          </a:extLst>
        </xdr:cNvPr>
        <xdr:cNvSpPr/>
      </xdr:nvSpPr>
      <xdr:spPr>
        <a:xfrm>
          <a:off x="3464437" y="12851228"/>
          <a:ext cx="5052033" cy="1245772"/>
        </a:xfrm>
        <a:prstGeom prst="wedgeRoundRectCallout">
          <a:avLst>
            <a:gd name="adj1" fmla="val -94245"/>
            <a:gd name="adj2" fmla="val 24121"/>
            <a:gd name="adj3" fmla="val 16667"/>
          </a:avLst>
        </a:prstGeom>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a:latin typeface="Arial" panose="020B0604020202020204" pitchFamily="34" charset="0"/>
              <a:ea typeface="Inter" panose="020B0502030000000004" pitchFamily="34" charset="0"/>
              <a:cs typeface="Arial" panose="020B0604020202020204" pitchFamily="34" charset="0"/>
            </a:rPr>
            <a:t>To change the number of rows</a:t>
          </a:r>
          <a:r>
            <a:rPr lang="en-AU" sz="1400" b="1" baseline="0">
              <a:latin typeface="Arial" panose="020B0604020202020204" pitchFamily="34" charset="0"/>
              <a:ea typeface="Inter" panose="020B0502030000000004" pitchFamily="34" charset="0"/>
              <a:cs typeface="Arial" panose="020B0604020202020204" pitchFamily="34" charset="0"/>
            </a:rPr>
            <a:t> displayed (step 2 of 2):</a:t>
          </a:r>
        </a:p>
        <a:p>
          <a:pPr algn="l"/>
          <a:r>
            <a:rPr lang="en-AU" sz="1400" b="0" baseline="0">
              <a:latin typeface="Arial" panose="020B0604020202020204" pitchFamily="34" charset="0"/>
              <a:ea typeface="Inter" panose="020B0502030000000004" pitchFamily="34" charset="0"/>
              <a:cs typeface="Arial" panose="020B0604020202020204" pitchFamily="34" charset="0"/>
            </a:rPr>
            <a:t>Click the arrow in the blue filled cell and then select the only number in the drop down list.</a:t>
          </a:r>
        </a:p>
        <a:p>
          <a:pPr algn="l"/>
          <a:endParaRPr lang="en-AU" sz="1400" b="0" baseline="0">
            <a:latin typeface="Arial" panose="020B0604020202020204" pitchFamily="34" charset="0"/>
            <a:ea typeface="Inter" panose="020B0502030000000004" pitchFamily="34" charset="0"/>
            <a:cs typeface="Arial" panose="020B0604020202020204" pitchFamily="34" charset="0"/>
          </a:endParaRPr>
        </a:p>
        <a:p>
          <a:pPr algn="l"/>
          <a:r>
            <a:rPr lang="en-AU" sz="1400" b="0" baseline="0">
              <a:latin typeface="Arial" panose="020B0604020202020204" pitchFamily="34" charset="0"/>
              <a:ea typeface="Inter" panose="020B0502030000000004" pitchFamily="34" charset="0"/>
              <a:cs typeface="Arial" panose="020B0604020202020204" pitchFamily="34" charset="0"/>
            </a:rPr>
            <a:t>(This number will always match the number set in step 1.)</a:t>
          </a:r>
          <a:endParaRPr lang="en-AU" sz="1400" b="0">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editAs="oneCell">
    <xdr:from>
      <xdr:col>4</xdr:col>
      <xdr:colOff>0</xdr:colOff>
      <xdr:row>56</xdr:row>
      <xdr:rowOff>51027</xdr:rowOff>
    </xdr:from>
    <xdr:to>
      <xdr:col>11</xdr:col>
      <xdr:colOff>617426</xdr:colOff>
      <xdr:row>80</xdr:row>
      <xdr:rowOff>163317</xdr:rowOff>
    </xdr:to>
    <xdr:pic>
      <xdr:nvPicPr>
        <xdr:cNvPr id="9" name="Picture 8">
          <a:extLst>
            <a:ext uri="{FF2B5EF4-FFF2-40B4-BE49-F238E27FC236}">
              <a16:creationId xmlns:a16="http://schemas.microsoft.com/office/drawing/2014/main" id="{00000000-0008-0000-0600-000009000000}"/>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31941" t="20181" r="37531" b="31385"/>
        <a:stretch/>
      </xdr:blipFill>
      <xdr:spPr bwMode="auto">
        <a:xfrm>
          <a:off x="738188" y="20017808"/>
          <a:ext cx="14107207" cy="55415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423525</xdr:colOff>
      <xdr:row>54</xdr:row>
      <xdr:rowOff>77742</xdr:rowOff>
    </xdr:from>
    <xdr:to>
      <xdr:col>11</xdr:col>
      <xdr:colOff>504265</xdr:colOff>
      <xdr:row>63</xdr:row>
      <xdr:rowOff>67236</xdr:rowOff>
    </xdr:to>
    <xdr:sp macro="" textlink="">
      <xdr:nvSpPr>
        <xdr:cNvPr id="10" name="Rounded Rectangular Callout 24">
          <a:extLst>
            <a:ext uri="{FF2B5EF4-FFF2-40B4-BE49-F238E27FC236}">
              <a16:creationId xmlns:a16="http://schemas.microsoft.com/office/drawing/2014/main" id="{00000000-0008-0000-0600-00000A000000}"/>
            </a:ext>
          </a:extLst>
        </xdr:cNvPr>
        <xdr:cNvSpPr/>
      </xdr:nvSpPr>
      <xdr:spPr>
        <a:xfrm>
          <a:off x="12077643" y="19856124"/>
          <a:ext cx="2635681" cy="2006553"/>
        </a:xfrm>
        <a:custGeom>
          <a:avLst/>
          <a:gdLst>
            <a:gd name="connsiteX0" fmla="*/ 0 w 2643385"/>
            <a:gd name="connsiteY0" fmla="*/ 106108 h 636636"/>
            <a:gd name="connsiteX1" fmla="*/ 106108 w 2643385"/>
            <a:gd name="connsiteY1" fmla="*/ 0 h 636636"/>
            <a:gd name="connsiteX2" fmla="*/ 440564 w 2643385"/>
            <a:gd name="connsiteY2" fmla="*/ 0 h 636636"/>
            <a:gd name="connsiteX3" fmla="*/ 440564 w 2643385"/>
            <a:gd name="connsiteY3" fmla="*/ 0 h 636636"/>
            <a:gd name="connsiteX4" fmla="*/ 1101410 w 2643385"/>
            <a:gd name="connsiteY4" fmla="*/ 0 h 636636"/>
            <a:gd name="connsiteX5" fmla="*/ 2537277 w 2643385"/>
            <a:gd name="connsiteY5" fmla="*/ 0 h 636636"/>
            <a:gd name="connsiteX6" fmla="*/ 2643385 w 2643385"/>
            <a:gd name="connsiteY6" fmla="*/ 106108 h 636636"/>
            <a:gd name="connsiteX7" fmla="*/ 2643385 w 2643385"/>
            <a:gd name="connsiteY7" fmla="*/ 371371 h 636636"/>
            <a:gd name="connsiteX8" fmla="*/ 2643385 w 2643385"/>
            <a:gd name="connsiteY8" fmla="*/ 371371 h 636636"/>
            <a:gd name="connsiteX9" fmla="*/ 2643385 w 2643385"/>
            <a:gd name="connsiteY9" fmla="*/ 530530 h 636636"/>
            <a:gd name="connsiteX10" fmla="*/ 2643385 w 2643385"/>
            <a:gd name="connsiteY10" fmla="*/ 530528 h 636636"/>
            <a:gd name="connsiteX11" fmla="*/ 2537277 w 2643385"/>
            <a:gd name="connsiteY11" fmla="*/ 636636 h 636636"/>
            <a:gd name="connsiteX12" fmla="*/ 1101410 w 2643385"/>
            <a:gd name="connsiteY12" fmla="*/ 636636 h 636636"/>
            <a:gd name="connsiteX13" fmla="*/ 759735 w 2643385"/>
            <a:gd name="connsiteY13" fmla="*/ 1320542 h 636636"/>
            <a:gd name="connsiteX14" fmla="*/ 440564 w 2643385"/>
            <a:gd name="connsiteY14" fmla="*/ 636636 h 636636"/>
            <a:gd name="connsiteX15" fmla="*/ 106108 w 2643385"/>
            <a:gd name="connsiteY15" fmla="*/ 636636 h 636636"/>
            <a:gd name="connsiteX16" fmla="*/ 0 w 2643385"/>
            <a:gd name="connsiteY16" fmla="*/ 530528 h 636636"/>
            <a:gd name="connsiteX17" fmla="*/ 0 w 2643385"/>
            <a:gd name="connsiteY17" fmla="*/ 530530 h 636636"/>
            <a:gd name="connsiteX18" fmla="*/ 0 w 2643385"/>
            <a:gd name="connsiteY18" fmla="*/ 371371 h 636636"/>
            <a:gd name="connsiteX19" fmla="*/ 0 w 2643385"/>
            <a:gd name="connsiteY19" fmla="*/ 371371 h 636636"/>
            <a:gd name="connsiteX20" fmla="*/ 0 w 2643385"/>
            <a:gd name="connsiteY20" fmla="*/ 106108 h 636636"/>
            <a:gd name="connsiteX0" fmla="*/ 0 w 2643385"/>
            <a:gd name="connsiteY0" fmla="*/ 106108 h 1320542"/>
            <a:gd name="connsiteX1" fmla="*/ 106108 w 2643385"/>
            <a:gd name="connsiteY1" fmla="*/ 0 h 1320542"/>
            <a:gd name="connsiteX2" fmla="*/ 440564 w 2643385"/>
            <a:gd name="connsiteY2" fmla="*/ 0 h 1320542"/>
            <a:gd name="connsiteX3" fmla="*/ 440564 w 2643385"/>
            <a:gd name="connsiteY3" fmla="*/ 0 h 1320542"/>
            <a:gd name="connsiteX4" fmla="*/ 1101410 w 2643385"/>
            <a:gd name="connsiteY4" fmla="*/ 0 h 1320542"/>
            <a:gd name="connsiteX5" fmla="*/ 2537277 w 2643385"/>
            <a:gd name="connsiteY5" fmla="*/ 0 h 1320542"/>
            <a:gd name="connsiteX6" fmla="*/ 2643385 w 2643385"/>
            <a:gd name="connsiteY6" fmla="*/ 106108 h 1320542"/>
            <a:gd name="connsiteX7" fmla="*/ 2643385 w 2643385"/>
            <a:gd name="connsiteY7" fmla="*/ 371371 h 1320542"/>
            <a:gd name="connsiteX8" fmla="*/ 2643385 w 2643385"/>
            <a:gd name="connsiteY8" fmla="*/ 371371 h 1320542"/>
            <a:gd name="connsiteX9" fmla="*/ 2643385 w 2643385"/>
            <a:gd name="connsiteY9" fmla="*/ 530530 h 1320542"/>
            <a:gd name="connsiteX10" fmla="*/ 2643385 w 2643385"/>
            <a:gd name="connsiteY10" fmla="*/ 530528 h 1320542"/>
            <a:gd name="connsiteX11" fmla="*/ 2537277 w 2643385"/>
            <a:gd name="connsiteY11" fmla="*/ 636636 h 1320542"/>
            <a:gd name="connsiteX12" fmla="*/ 1101410 w 2643385"/>
            <a:gd name="connsiteY12" fmla="*/ 636636 h 1320542"/>
            <a:gd name="connsiteX13" fmla="*/ 759735 w 2643385"/>
            <a:gd name="connsiteY13" fmla="*/ 1320542 h 1320542"/>
            <a:gd name="connsiteX14" fmla="*/ 664681 w 2643385"/>
            <a:gd name="connsiteY14" fmla="*/ 659048 h 1320542"/>
            <a:gd name="connsiteX15" fmla="*/ 106108 w 2643385"/>
            <a:gd name="connsiteY15" fmla="*/ 636636 h 1320542"/>
            <a:gd name="connsiteX16" fmla="*/ 0 w 2643385"/>
            <a:gd name="connsiteY16" fmla="*/ 530528 h 1320542"/>
            <a:gd name="connsiteX17" fmla="*/ 0 w 2643385"/>
            <a:gd name="connsiteY17" fmla="*/ 530530 h 1320542"/>
            <a:gd name="connsiteX18" fmla="*/ 0 w 2643385"/>
            <a:gd name="connsiteY18" fmla="*/ 371371 h 1320542"/>
            <a:gd name="connsiteX19" fmla="*/ 0 w 2643385"/>
            <a:gd name="connsiteY19" fmla="*/ 371371 h 1320542"/>
            <a:gd name="connsiteX20" fmla="*/ 0 w 2643385"/>
            <a:gd name="connsiteY20" fmla="*/ 106108 h 13205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2643385" h="1320542">
              <a:moveTo>
                <a:pt x="0" y="106108"/>
              </a:moveTo>
              <a:cubicBezTo>
                <a:pt x="0" y="47506"/>
                <a:pt x="47506" y="0"/>
                <a:pt x="106108" y="0"/>
              </a:cubicBezTo>
              <a:lnTo>
                <a:pt x="440564" y="0"/>
              </a:lnTo>
              <a:lnTo>
                <a:pt x="440564" y="0"/>
              </a:lnTo>
              <a:lnTo>
                <a:pt x="1101410" y="0"/>
              </a:lnTo>
              <a:lnTo>
                <a:pt x="2537277" y="0"/>
              </a:lnTo>
              <a:cubicBezTo>
                <a:pt x="2595879" y="0"/>
                <a:pt x="2643385" y="47506"/>
                <a:pt x="2643385" y="106108"/>
              </a:cubicBezTo>
              <a:lnTo>
                <a:pt x="2643385" y="371371"/>
              </a:lnTo>
              <a:lnTo>
                <a:pt x="2643385" y="371371"/>
              </a:lnTo>
              <a:lnTo>
                <a:pt x="2643385" y="530530"/>
              </a:lnTo>
              <a:lnTo>
                <a:pt x="2643385" y="530528"/>
              </a:lnTo>
              <a:cubicBezTo>
                <a:pt x="2643385" y="589130"/>
                <a:pt x="2595879" y="636636"/>
                <a:pt x="2537277" y="636636"/>
              </a:cubicBezTo>
              <a:lnTo>
                <a:pt x="1101410" y="636636"/>
              </a:lnTo>
              <a:lnTo>
                <a:pt x="759735" y="1320542"/>
              </a:lnTo>
              <a:lnTo>
                <a:pt x="664681" y="659048"/>
              </a:lnTo>
              <a:cubicBezTo>
                <a:pt x="553196" y="659048"/>
                <a:pt x="217593" y="636636"/>
                <a:pt x="106108" y="636636"/>
              </a:cubicBezTo>
              <a:cubicBezTo>
                <a:pt x="47506" y="636636"/>
                <a:pt x="0" y="589130"/>
                <a:pt x="0" y="530528"/>
              </a:cubicBezTo>
              <a:lnTo>
                <a:pt x="0" y="530530"/>
              </a:lnTo>
              <a:lnTo>
                <a:pt x="0" y="371371"/>
              </a:lnTo>
              <a:lnTo>
                <a:pt x="0" y="371371"/>
              </a:lnTo>
              <a:lnTo>
                <a:pt x="0" y="106108"/>
              </a:lnTo>
              <a:close/>
            </a:path>
          </a:pathLst>
        </a:cu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Glazing allowances:</a:t>
          </a:r>
        </a:p>
        <a:p>
          <a:pPr algn="l"/>
          <a:r>
            <a:rPr lang="en-AU" sz="1400" b="0" baseline="0">
              <a:latin typeface="Arial" panose="020B0604020202020204" pitchFamily="34" charset="0"/>
              <a:ea typeface="Inter" panose="020B0502030000000004" pitchFamily="34" charset="0"/>
              <a:cs typeface="Arial" panose="020B0604020202020204" pitchFamily="34" charset="0"/>
            </a:rPr>
            <a:t>The calculator provides these details once necessary information have been given</a:t>
          </a:r>
          <a:r>
            <a:rPr lang="en-AU" sz="1800" b="0" baseline="0">
              <a:latin typeface="Arial" panose="020B0604020202020204" pitchFamily="34" charset="0"/>
              <a:ea typeface="Inter" panose="020B0502030000000004" pitchFamily="34" charset="0"/>
              <a:cs typeface="Arial" panose="020B0604020202020204" pitchFamily="34" charset="0"/>
            </a:rPr>
            <a:t>.</a:t>
          </a:r>
        </a:p>
        <a:p>
          <a:pPr algn="l"/>
          <a:r>
            <a:rPr lang="en-AU" sz="1800" b="0" baseline="0">
              <a:latin typeface="Inter" panose="020B0502030000000004" pitchFamily="34" charset="0"/>
              <a:ea typeface="Inter" panose="020B0502030000000004" pitchFamily="34" charset="0"/>
            </a:rPr>
            <a:t> </a:t>
          </a:r>
          <a:endParaRPr lang="en-AU" sz="1800" b="0">
            <a:latin typeface="Inter" panose="020B0502030000000004" pitchFamily="34" charset="0"/>
            <a:ea typeface="Inter" panose="020B0502030000000004" pitchFamily="34" charset="0"/>
          </a:endParaRPr>
        </a:p>
      </xdr:txBody>
    </xdr:sp>
    <xdr:clientData/>
  </xdr:twoCellAnchor>
  <xdr:twoCellAnchor>
    <xdr:from>
      <xdr:col>4</xdr:col>
      <xdr:colOff>8201708</xdr:colOff>
      <xdr:row>64</xdr:row>
      <xdr:rowOff>166688</xdr:rowOff>
    </xdr:from>
    <xdr:to>
      <xdr:col>8</xdr:col>
      <xdr:colOff>100853</xdr:colOff>
      <xdr:row>72</xdr:row>
      <xdr:rowOff>67235</xdr:rowOff>
    </xdr:to>
    <xdr:sp macro="" textlink="">
      <xdr:nvSpPr>
        <xdr:cNvPr id="11" name="Rounded Rectangular Callout 25">
          <a:extLst>
            <a:ext uri="{FF2B5EF4-FFF2-40B4-BE49-F238E27FC236}">
              <a16:creationId xmlns:a16="http://schemas.microsoft.com/office/drawing/2014/main" id="{00000000-0008-0000-0600-00000B000000}"/>
            </a:ext>
          </a:extLst>
        </xdr:cNvPr>
        <xdr:cNvSpPr/>
      </xdr:nvSpPr>
      <xdr:spPr>
        <a:xfrm>
          <a:off x="8941296" y="22186247"/>
          <a:ext cx="3452410" cy="1693488"/>
        </a:xfrm>
        <a:prstGeom prst="wedgeRoundRectCallout">
          <a:avLst>
            <a:gd name="adj1" fmla="val 64740"/>
            <a:gd name="adj2" fmla="val 44263"/>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Calculated outcomes:</a:t>
          </a:r>
        </a:p>
        <a:p>
          <a:pPr algn="l"/>
          <a:r>
            <a:rPr lang="en-AU" sz="1400" b="0" baseline="0">
              <a:latin typeface="Arial" panose="020B0604020202020204" pitchFamily="34" charset="0"/>
              <a:ea typeface="Inter" panose="020B0502030000000004" pitchFamily="34" charset="0"/>
              <a:cs typeface="Arial" panose="020B0604020202020204" pitchFamily="34" charset="0"/>
            </a:rPr>
            <a:t>Outcomes for the glazing design appear here (unless the calculator identifies input issues).</a:t>
          </a:r>
        </a:p>
        <a:p>
          <a:pPr algn="l"/>
          <a:r>
            <a:rPr lang="en-AU" sz="1400" b="0" baseline="0">
              <a:latin typeface="Arial" panose="020B0604020202020204" pitchFamily="34" charset="0"/>
              <a:ea typeface="Inter" panose="020B0502030000000004" pitchFamily="34" charset="0"/>
              <a:cs typeface="Arial" panose="020B0604020202020204" pitchFamily="34" charset="0"/>
            </a:rPr>
            <a:t>The column headings, a tick and green cell fill indicate passes. A cross and red cell fill highilight failures.</a:t>
          </a:r>
        </a:p>
        <a:p>
          <a:pPr algn="l"/>
          <a:r>
            <a:rPr lang="en-AU" sz="1800" b="0" baseline="0">
              <a:latin typeface="Inter" panose="020B0502030000000004" pitchFamily="34" charset="0"/>
              <a:ea typeface="Inter" panose="020B0502030000000004" pitchFamily="34" charset="0"/>
            </a:rPr>
            <a:t> </a:t>
          </a:r>
          <a:endParaRPr lang="en-AU" sz="1800" b="0">
            <a:latin typeface="Inter" panose="020B0502030000000004" pitchFamily="34" charset="0"/>
            <a:ea typeface="Inter" panose="020B0502030000000004" pitchFamily="34" charset="0"/>
          </a:endParaRPr>
        </a:p>
      </xdr:txBody>
    </xdr:sp>
    <xdr:clientData/>
  </xdr:twoCellAnchor>
  <xdr:twoCellAnchor>
    <xdr:from>
      <xdr:col>4</xdr:col>
      <xdr:colOff>6185647</xdr:colOff>
      <xdr:row>77</xdr:row>
      <xdr:rowOff>66336</xdr:rowOff>
    </xdr:from>
    <xdr:to>
      <xdr:col>4</xdr:col>
      <xdr:colOff>9656765</xdr:colOff>
      <xdr:row>82</xdr:row>
      <xdr:rowOff>212912</xdr:rowOff>
    </xdr:to>
    <xdr:sp macro="" textlink="">
      <xdr:nvSpPr>
        <xdr:cNvPr id="12" name="Rounded Rectangular Callout 31">
          <a:extLst>
            <a:ext uri="{FF2B5EF4-FFF2-40B4-BE49-F238E27FC236}">
              <a16:creationId xmlns:a16="http://schemas.microsoft.com/office/drawing/2014/main" id="{00000000-0008-0000-0600-00000C000000}"/>
            </a:ext>
          </a:extLst>
        </xdr:cNvPr>
        <xdr:cNvSpPr/>
      </xdr:nvSpPr>
      <xdr:spPr>
        <a:xfrm>
          <a:off x="6925235" y="24999424"/>
          <a:ext cx="3471118" cy="1267164"/>
        </a:xfrm>
        <a:prstGeom prst="wedgeRoundRectCallout">
          <a:avLst>
            <a:gd name="adj1" fmla="val 62070"/>
            <a:gd name="adj2" fmla="val -67217"/>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Messages within the glazing elements table:</a:t>
          </a:r>
        </a:p>
        <a:p>
          <a:pPr algn="l"/>
          <a:r>
            <a:rPr lang="en-AU" sz="1400" b="0" baseline="0">
              <a:latin typeface="Arial" panose="020B0604020202020204" pitchFamily="34" charset="0"/>
              <a:ea typeface="Inter" panose="020B0502030000000004" pitchFamily="34" charset="0"/>
              <a:cs typeface="Arial" panose="020B0604020202020204" pitchFamily="34" charset="0"/>
            </a:rPr>
            <a:t>Each message here refers to the individual row in which it apears. The text will alert you to what your issues is. </a:t>
          </a:r>
          <a:endParaRPr lang="en-AU" sz="1400" b="0">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xdr:from>
      <xdr:col>4</xdr:col>
      <xdr:colOff>5137699</xdr:colOff>
      <xdr:row>62</xdr:row>
      <xdr:rowOff>15407</xdr:rowOff>
    </xdr:from>
    <xdr:to>
      <xdr:col>4</xdr:col>
      <xdr:colOff>7508063</xdr:colOff>
      <xdr:row>67</xdr:row>
      <xdr:rowOff>201706</xdr:rowOff>
    </xdr:to>
    <xdr:sp macro="" textlink="">
      <xdr:nvSpPr>
        <xdr:cNvPr id="13" name="Rounded Rectangular Callout 22">
          <a:extLst>
            <a:ext uri="{FF2B5EF4-FFF2-40B4-BE49-F238E27FC236}">
              <a16:creationId xmlns:a16="http://schemas.microsoft.com/office/drawing/2014/main" id="{00000000-0008-0000-0600-00000D000000}"/>
            </a:ext>
          </a:extLst>
        </xdr:cNvPr>
        <xdr:cNvSpPr/>
      </xdr:nvSpPr>
      <xdr:spPr>
        <a:xfrm>
          <a:off x="5877287" y="21586731"/>
          <a:ext cx="2370364" cy="1306887"/>
        </a:xfrm>
        <a:prstGeom prst="wedgeRoundRectCallout">
          <a:avLst>
            <a:gd name="adj1" fmla="val -28751"/>
            <a:gd name="adj2" fmla="val 102770"/>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Cell tips:</a:t>
          </a:r>
        </a:p>
        <a:p>
          <a:pPr algn="l"/>
          <a:r>
            <a:rPr lang="en-AU" sz="1400" b="0" baseline="0">
              <a:latin typeface="Arial" panose="020B0604020202020204" pitchFamily="34" charset="0"/>
              <a:ea typeface="Inter" panose="020B0502030000000004" pitchFamily="34" charset="0"/>
              <a:cs typeface="Arial" panose="020B0604020202020204" pitchFamily="34" charset="0"/>
            </a:rPr>
            <a:t>Cells with red triangles have popup tips with advice on explanations about inputs or outcomes.</a:t>
          </a:r>
        </a:p>
        <a:p>
          <a:pPr algn="l"/>
          <a:r>
            <a:rPr lang="en-AU" sz="1800" b="0" baseline="0">
              <a:latin typeface="Inter" panose="020B0502030000000004" pitchFamily="34" charset="0"/>
              <a:ea typeface="Inter" panose="020B0502030000000004" pitchFamily="34" charset="0"/>
            </a:rPr>
            <a:t> </a:t>
          </a:r>
          <a:endParaRPr lang="en-AU" sz="1800" b="0">
            <a:latin typeface="Inter" panose="020B0502030000000004" pitchFamily="34" charset="0"/>
            <a:ea typeface="Inter" panose="020B0502030000000004" pitchFamily="34" charset="0"/>
          </a:endParaRPr>
        </a:p>
      </xdr:txBody>
    </xdr:sp>
    <xdr:clientData/>
  </xdr:twoCellAnchor>
  <xdr:twoCellAnchor>
    <xdr:from>
      <xdr:col>6</xdr:col>
      <xdr:colOff>117363</xdr:colOff>
      <xdr:row>77</xdr:row>
      <xdr:rowOff>79941</xdr:rowOff>
    </xdr:from>
    <xdr:to>
      <xdr:col>11</xdr:col>
      <xdr:colOff>369793</xdr:colOff>
      <xdr:row>83</xdr:row>
      <xdr:rowOff>100853</xdr:rowOff>
    </xdr:to>
    <xdr:sp macro="" textlink="">
      <xdr:nvSpPr>
        <xdr:cNvPr id="14" name="Rounded Rectangular Callout 23">
          <a:extLst>
            <a:ext uri="{FF2B5EF4-FFF2-40B4-BE49-F238E27FC236}">
              <a16:creationId xmlns:a16="http://schemas.microsoft.com/office/drawing/2014/main" id="{00000000-0008-0000-0600-00000E000000}"/>
            </a:ext>
          </a:extLst>
        </xdr:cNvPr>
        <xdr:cNvSpPr/>
      </xdr:nvSpPr>
      <xdr:spPr>
        <a:xfrm>
          <a:off x="11132745" y="25013029"/>
          <a:ext cx="3446107" cy="1365618"/>
        </a:xfrm>
        <a:prstGeom prst="wedgeRoundRectCallout">
          <a:avLst>
            <a:gd name="adj1" fmla="val -32606"/>
            <a:gd name="adj2" fmla="val -80217"/>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Calculation data:</a:t>
          </a:r>
        </a:p>
        <a:p>
          <a:pPr algn="l"/>
          <a:r>
            <a:rPr lang="en-AU" sz="1400" b="0" baseline="0">
              <a:latin typeface="Arial" panose="020B0604020202020204" pitchFamily="34" charset="0"/>
              <a:ea typeface="Inter" panose="020B0502030000000004" pitchFamily="34" charset="0"/>
              <a:cs typeface="Arial" panose="020B0604020202020204" pitchFamily="34" charset="0"/>
            </a:rPr>
            <a:t>These columns show results of user inputs to the left. These results are for information and cannot be modified except by changing the inputs.</a:t>
          </a:r>
        </a:p>
        <a:p>
          <a:pPr algn="l"/>
          <a:r>
            <a:rPr lang="en-AU" sz="1800" b="0" baseline="0">
              <a:latin typeface="Inter" panose="020B0502030000000004" pitchFamily="34" charset="0"/>
              <a:ea typeface="Inter" panose="020B0502030000000004" pitchFamily="34" charset="0"/>
            </a:rPr>
            <a:t> </a:t>
          </a:r>
          <a:endParaRPr lang="en-AU" sz="1800" b="0">
            <a:latin typeface="Inter" panose="020B0502030000000004" pitchFamily="34" charset="0"/>
            <a:ea typeface="Inter" panose="020B0502030000000004" pitchFamily="34" charset="0"/>
          </a:endParaRPr>
        </a:p>
      </xdr:txBody>
    </xdr:sp>
    <xdr:clientData/>
  </xdr:twoCellAnchor>
  <xdr:twoCellAnchor>
    <xdr:from>
      <xdr:col>4</xdr:col>
      <xdr:colOff>10208</xdr:colOff>
      <xdr:row>56</xdr:row>
      <xdr:rowOff>0</xdr:rowOff>
    </xdr:from>
    <xdr:to>
      <xdr:col>4</xdr:col>
      <xdr:colOff>3451412</xdr:colOff>
      <xdr:row>59</xdr:row>
      <xdr:rowOff>123264</xdr:rowOff>
    </xdr:to>
    <xdr:sp macro="" textlink="">
      <xdr:nvSpPr>
        <xdr:cNvPr id="15" name="Rounded Rectangular Callout 20">
          <a:extLst>
            <a:ext uri="{FF2B5EF4-FFF2-40B4-BE49-F238E27FC236}">
              <a16:creationId xmlns:a16="http://schemas.microsoft.com/office/drawing/2014/main" id="{00000000-0008-0000-0600-00000F000000}"/>
            </a:ext>
          </a:extLst>
        </xdr:cNvPr>
        <xdr:cNvSpPr/>
      </xdr:nvSpPr>
      <xdr:spPr>
        <a:xfrm>
          <a:off x="749796" y="20226618"/>
          <a:ext cx="3441204" cy="795617"/>
        </a:xfrm>
        <a:prstGeom prst="wedgeRoundRectCallout">
          <a:avLst>
            <a:gd name="adj1" fmla="val -21436"/>
            <a:gd name="adj2" fmla="val 95416"/>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a:latin typeface="Arial" panose="020B0604020202020204" pitchFamily="34" charset="0"/>
              <a:ea typeface="Inter" panose="020B0502030000000004" pitchFamily="34" charset="0"/>
              <a:cs typeface="Arial" panose="020B0604020202020204" pitchFamily="34" charset="0"/>
            </a:rPr>
            <a:t>Inputs above the glazing table:</a:t>
          </a:r>
        </a:p>
        <a:p>
          <a:pPr algn="l"/>
          <a:r>
            <a:rPr lang="en-AU" sz="1400" b="0">
              <a:latin typeface="Arial" panose="020B0604020202020204" pitchFamily="34" charset="0"/>
              <a:ea typeface="Inter" panose="020B0502030000000004" pitchFamily="34" charset="0"/>
              <a:cs typeface="Arial" panose="020B0604020202020204" pitchFamily="34" charset="0"/>
            </a:rPr>
            <a:t>Upper</a:t>
          </a:r>
          <a:r>
            <a:rPr lang="en-AU" sz="1400" b="0" baseline="0">
              <a:latin typeface="Arial" panose="020B0604020202020204" pitchFamily="34" charset="0"/>
              <a:ea typeface="Inter" panose="020B0502030000000004" pitchFamily="34" charset="0"/>
              <a:cs typeface="Arial" panose="020B0604020202020204" pitchFamily="34" charset="0"/>
            </a:rPr>
            <a:t> inputs should be copmleted before listing glazing elements.</a:t>
          </a:r>
          <a:endParaRPr lang="en-AU" sz="1400" b="0">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xdr:from>
      <xdr:col>4</xdr:col>
      <xdr:colOff>4577405</xdr:colOff>
      <xdr:row>54</xdr:row>
      <xdr:rowOff>201707</xdr:rowOff>
    </xdr:from>
    <xdr:to>
      <xdr:col>4</xdr:col>
      <xdr:colOff>8718176</xdr:colOff>
      <xdr:row>61</xdr:row>
      <xdr:rowOff>145676</xdr:rowOff>
    </xdr:to>
    <xdr:sp macro="" textlink="">
      <xdr:nvSpPr>
        <xdr:cNvPr id="16" name="Rounded Rectangular Callout 21">
          <a:extLst>
            <a:ext uri="{FF2B5EF4-FFF2-40B4-BE49-F238E27FC236}">
              <a16:creationId xmlns:a16="http://schemas.microsoft.com/office/drawing/2014/main" id="{00000000-0008-0000-0600-000010000000}"/>
            </a:ext>
          </a:extLst>
        </xdr:cNvPr>
        <xdr:cNvSpPr/>
      </xdr:nvSpPr>
      <xdr:spPr>
        <a:xfrm>
          <a:off x="5316993" y="19980089"/>
          <a:ext cx="4140771" cy="1512793"/>
        </a:xfrm>
        <a:prstGeom prst="wedgeRoundRectCallout">
          <a:avLst>
            <a:gd name="adj1" fmla="val -103705"/>
            <a:gd name="adj2" fmla="val 72035"/>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a:latin typeface="Arial" panose="020B0604020202020204" pitchFamily="34" charset="0"/>
              <a:ea typeface="Inter" panose="020B0502030000000004" pitchFamily="34" charset="0"/>
              <a:cs typeface="Arial" panose="020B0604020202020204" pitchFamily="34" charset="0"/>
            </a:rPr>
            <a:t>Areas of each floor type for all storeys:</a:t>
          </a:r>
        </a:p>
        <a:p>
          <a:pPr algn="l"/>
          <a:r>
            <a:rPr lang="en-AU" sz="1400" b="0">
              <a:latin typeface="Arial" panose="020B0604020202020204" pitchFamily="34" charset="0"/>
              <a:ea typeface="Inter" panose="020B0502030000000004" pitchFamily="34" charset="0"/>
              <a:cs typeface="Arial" panose="020B0604020202020204" pitchFamily="34" charset="0"/>
            </a:rPr>
            <a:t>An</a:t>
          </a:r>
          <a:r>
            <a:rPr lang="en-AU" sz="1400" b="0" baseline="0">
              <a:latin typeface="Arial" panose="020B0604020202020204" pitchFamily="34" charset="0"/>
              <a:ea typeface="Inter" panose="020B0502030000000004" pitchFamily="34" charset="0"/>
              <a:cs typeface="Arial" panose="020B0604020202020204" pitchFamily="34" charset="0"/>
            </a:rPr>
            <a:t> area must be given for at least on type of floor consturction but a second floor type on the same storey can also be entered. (i.e slab on ground and raised timber floor sections on ground floor of house).</a:t>
          </a:r>
        </a:p>
      </xdr:txBody>
    </xdr:sp>
    <xdr:clientData/>
  </xdr:twoCellAnchor>
  <xdr:twoCellAnchor>
    <xdr:from>
      <xdr:col>4</xdr:col>
      <xdr:colOff>484857</xdr:colOff>
      <xdr:row>76</xdr:row>
      <xdr:rowOff>59130</xdr:rowOff>
    </xdr:from>
    <xdr:to>
      <xdr:col>4</xdr:col>
      <xdr:colOff>3718251</xdr:colOff>
      <xdr:row>83</xdr:row>
      <xdr:rowOff>179294</xdr:rowOff>
    </xdr:to>
    <xdr:sp macro="" textlink="">
      <xdr:nvSpPr>
        <xdr:cNvPr id="36" name="Rounded Rectangular Callout 27">
          <a:extLst>
            <a:ext uri="{FF2B5EF4-FFF2-40B4-BE49-F238E27FC236}">
              <a16:creationId xmlns:a16="http://schemas.microsoft.com/office/drawing/2014/main" id="{00000000-0008-0000-0600-000024000000}"/>
            </a:ext>
          </a:extLst>
        </xdr:cNvPr>
        <xdr:cNvSpPr/>
      </xdr:nvSpPr>
      <xdr:spPr>
        <a:xfrm>
          <a:off x="1224445" y="24768101"/>
          <a:ext cx="3233394" cy="1688987"/>
        </a:xfrm>
        <a:prstGeom prst="wedgeRoundRectCallout">
          <a:avLst>
            <a:gd name="adj1" fmla="val 29594"/>
            <a:gd name="adj2" fmla="val -67287"/>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Glazing area:</a:t>
          </a:r>
        </a:p>
        <a:p>
          <a:pPr algn="l"/>
          <a:r>
            <a:rPr lang="en-AU" sz="1400" b="0" baseline="0">
              <a:latin typeface="Arial" panose="020B0604020202020204" pitchFamily="34" charset="0"/>
              <a:ea typeface="Inter" panose="020B0502030000000004" pitchFamily="34" charset="0"/>
              <a:cs typeface="Arial" panose="020B0604020202020204" pitchFamily="34" charset="0"/>
            </a:rPr>
            <a:t>Window glazing size can be defined either by using height and width or height and area.  The calculator will use whichever combination provides the greater area. The unused cell will be greyed out.</a:t>
          </a:r>
        </a:p>
        <a:p>
          <a:pPr algn="l"/>
          <a:r>
            <a:rPr lang="en-AU" sz="1800" b="0" baseline="0">
              <a:latin typeface="Arial" panose="020B0604020202020204" pitchFamily="34" charset="0"/>
              <a:ea typeface="Inter" panose="020B0502030000000004" pitchFamily="34" charset="0"/>
              <a:cs typeface="Arial" panose="020B0604020202020204" pitchFamily="34" charset="0"/>
            </a:rPr>
            <a:t> </a:t>
          </a:r>
          <a:endParaRPr lang="en-AU" sz="1800" b="0">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editAs="oneCell">
    <xdr:from>
      <xdr:col>3</xdr:col>
      <xdr:colOff>23813</xdr:colOff>
      <xdr:row>94</xdr:row>
      <xdr:rowOff>178593</xdr:rowOff>
    </xdr:from>
    <xdr:to>
      <xdr:col>11</xdr:col>
      <xdr:colOff>492293</xdr:colOff>
      <xdr:row>115</xdr:row>
      <xdr:rowOff>57407</xdr:rowOff>
    </xdr:to>
    <xdr:pic>
      <xdr:nvPicPr>
        <xdr:cNvPr id="23" name="Picture 22">
          <a:extLst>
            <a:ext uri="{FF2B5EF4-FFF2-40B4-BE49-F238E27FC236}">
              <a16:creationId xmlns:a16="http://schemas.microsoft.com/office/drawing/2014/main" id="{00000000-0008-0000-0600-00001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02469" y="30301406"/>
          <a:ext cx="14017793" cy="46294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23813</xdr:colOff>
      <xdr:row>105</xdr:row>
      <xdr:rowOff>103239</xdr:rowOff>
    </xdr:from>
    <xdr:to>
      <xdr:col>11</xdr:col>
      <xdr:colOff>504229</xdr:colOff>
      <xdr:row>117</xdr:row>
      <xdr:rowOff>66549</xdr:rowOff>
    </xdr:to>
    <xdr:pic>
      <xdr:nvPicPr>
        <xdr:cNvPr id="37" name="Picture 23">
          <a:extLst>
            <a:ext uri="{FF2B5EF4-FFF2-40B4-BE49-F238E27FC236}">
              <a16:creationId xmlns:a16="http://schemas.microsoft.com/office/drawing/2014/main" id="{00000000-0008-0000-0600-000025000000}"/>
            </a:ext>
          </a:extLst>
        </xdr:cNvPr>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84" t="41399"/>
        <a:stretch/>
      </xdr:blipFill>
      <xdr:spPr bwMode="auto">
        <a:xfrm>
          <a:off x="702469" y="32714458"/>
          <a:ext cx="14013536" cy="2712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8369392</xdr:colOff>
      <xdr:row>103</xdr:row>
      <xdr:rowOff>79139</xdr:rowOff>
    </xdr:from>
    <xdr:to>
      <xdr:col>7</xdr:col>
      <xdr:colOff>358587</xdr:colOff>
      <xdr:row>108</xdr:row>
      <xdr:rowOff>11205</xdr:rowOff>
    </xdr:to>
    <xdr:sp macro="" textlink="">
      <xdr:nvSpPr>
        <xdr:cNvPr id="25" name="Rounded Rectangular Callout 32">
          <a:extLst>
            <a:ext uri="{FF2B5EF4-FFF2-40B4-BE49-F238E27FC236}">
              <a16:creationId xmlns:a16="http://schemas.microsoft.com/office/drawing/2014/main" id="{00000000-0008-0000-0600-000019000000}"/>
            </a:ext>
          </a:extLst>
        </xdr:cNvPr>
        <xdr:cNvSpPr/>
      </xdr:nvSpPr>
      <xdr:spPr>
        <a:xfrm>
          <a:off x="9108980" y="32632227"/>
          <a:ext cx="2903725" cy="1052654"/>
        </a:xfrm>
        <a:prstGeom prst="wedgeRoundRectCallout">
          <a:avLst>
            <a:gd name="adj1" fmla="val 69562"/>
            <a:gd name="adj2" fmla="val 185384"/>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#DIV0 message within the coutcomes section:</a:t>
          </a:r>
        </a:p>
        <a:p>
          <a:pPr algn="l"/>
          <a:r>
            <a:rPr lang="en-AU" sz="1400" b="0" baseline="0">
              <a:latin typeface="Arial" panose="020B0604020202020204" pitchFamily="34" charset="0"/>
              <a:ea typeface="Inter" panose="020B0502030000000004" pitchFamily="34" charset="0"/>
              <a:cs typeface="Arial" panose="020B0604020202020204" pitchFamily="34" charset="0"/>
            </a:rPr>
            <a:t>This indicates that the area of floors has not been entered.</a:t>
          </a:r>
        </a:p>
      </xdr:txBody>
    </xdr:sp>
    <xdr:clientData/>
  </xdr:twoCellAnchor>
  <xdr:twoCellAnchor>
    <xdr:from>
      <xdr:col>4</xdr:col>
      <xdr:colOff>2882714</xdr:colOff>
      <xdr:row>94</xdr:row>
      <xdr:rowOff>23112</xdr:rowOff>
    </xdr:from>
    <xdr:to>
      <xdr:col>4</xdr:col>
      <xdr:colOff>6376147</xdr:colOff>
      <xdr:row>98</xdr:row>
      <xdr:rowOff>179295</xdr:rowOff>
    </xdr:to>
    <xdr:sp macro="" textlink="">
      <xdr:nvSpPr>
        <xdr:cNvPr id="26" name="Rounded Rectangular Callout 29">
          <a:extLst>
            <a:ext uri="{FF2B5EF4-FFF2-40B4-BE49-F238E27FC236}">
              <a16:creationId xmlns:a16="http://schemas.microsoft.com/office/drawing/2014/main" id="{00000000-0008-0000-0600-00001A000000}"/>
            </a:ext>
          </a:extLst>
        </xdr:cNvPr>
        <xdr:cNvSpPr/>
      </xdr:nvSpPr>
      <xdr:spPr>
        <a:xfrm>
          <a:off x="3622302" y="30559141"/>
          <a:ext cx="3493433" cy="1052654"/>
        </a:xfrm>
        <a:prstGeom prst="wedgeRoundRectCallout">
          <a:avLst>
            <a:gd name="adj1" fmla="val -43623"/>
            <a:gd name="adj2" fmla="val 75546"/>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400" b="1" baseline="0">
              <a:latin typeface="Arial" panose="020B0604020202020204" pitchFamily="34" charset="0"/>
              <a:ea typeface="Inter" panose="020B0502030000000004" pitchFamily="34" charset="0"/>
              <a:cs typeface="Arial" panose="020B0604020202020204" pitchFamily="34" charset="0"/>
            </a:rPr>
            <a:t>Message above the glazing elements table:</a:t>
          </a:r>
        </a:p>
        <a:p>
          <a:pPr algn="l"/>
          <a:r>
            <a:rPr lang="en-AU" sz="1400" b="0" baseline="0">
              <a:latin typeface="Arial" panose="020B0604020202020204" pitchFamily="34" charset="0"/>
              <a:ea typeface="Inter" panose="020B0502030000000004" pitchFamily="34" charset="0"/>
              <a:cs typeface="Arial" panose="020B0604020202020204" pitchFamily="34" charset="0"/>
            </a:rPr>
            <a:t>Red text highlight inputs missing after glazing elements have been listed.</a:t>
          </a:r>
        </a:p>
        <a:p>
          <a:pPr algn="l"/>
          <a:r>
            <a:rPr lang="en-AU" sz="1800" b="0" baseline="0">
              <a:latin typeface="Inter" panose="020B0502030000000004" pitchFamily="34" charset="0"/>
              <a:ea typeface="Inter" panose="020B0502030000000004" pitchFamily="34" charset="0"/>
            </a:rPr>
            <a:t> </a:t>
          </a:r>
          <a:endParaRPr lang="en-AU" sz="1800" b="0">
            <a:latin typeface="Inter" panose="020B0502030000000004" pitchFamily="34" charset="0"/>
            <a:ea typeface="Inter" panose="020B0502030000000004" pitchFamily="34" charset="0"/>
          </a:endParaRPr>
        </a:p>
      </xdr:txBody>
    </xdr:sp>
    <xdr:clientData/>
  </xdr:twoCellAnchor>
  <xdr:twoCellAnchor>
    <xdr:from>
      <xdr:col>4</xdr:col>
      <xdr:colOff>122266</xdr:colOff>
      <xdr:row>64</xdr:row>
      <xdr:rowOff>200305</xdr:rowOff>
    </xdr:from>
    <xdr:to>
      <xdr:col>4</xdr:col>
      <xdr:colOff>3485029</xdr:colOff>
      <xdr:row>70</xdr:row>
      <xdr:rowOff>168088</xdr:rowOff>
    </xdr:to>
    <xdr:sp macro="" textlink="">
      <xdr:nvSpPr>
        <xdr:cNvPr id="4" name="Rounded Rectangular Callout 25">
          <a:extLst>
            <a:ext uri="{FF2B5EF4-FFF2-40B4-BE49-F238E27FC236}">
              <a16:creationId xmlns:a16="http://schemas.microsoft.com/office/drawing/2014/main" id="{00000000-0008-0000-0600-000004000000}"/>
            </a:ext>
          </a:extLst>
        </xdr:cNvPr>
        <xdr:cNvSpPr/>
      </xdr:nvSpPr>
      <xdr:spPr>
        <a:xfrm>
          <a:off x="861854" y="22219864"/>
          <a:ext cx="3362763" cy="1312489"/>
        </a:xfrm>
        <a:prstGeom prst="wedgeRoundRectCallout">
          <a:avLst>
            <a:gd name="adj1" fmla="val -2514"/>
            <a:gd name="adj2" fmla="val 75448"/>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lang="en-AU" sz="1400" b="1" baseline="0">
              <a:solidFill>
                <a:schemeClr val="dk1"/>
              </a:solidFill>
              <a:effectLst/>
              <a:latin typeface="+mn-lt"/>
              <a:ea typeface="+mn-ea"/>
              <a:cs typeface="+mn-cs"/>
            </a:rPr>
            <a:t>Inputs to the glazing elements table:</a:t>
          </a:r>
          <a:endParaRPr lang="en-AU" sz="1800">
            <a:effectLst/>
          </a:endParaRPr>
        </a:p>
        <a:p>
          <a:r>
            <a:rPr lang="en-AU" sz="1400" b="0" baseline="0">
              <a:solidFill>
                <a:schemeClr val="dk1"/>
              </a:solidFill>
              <a:effectLst/>
              <a:latin typeface="+mn-lt"/>
              <a:ea typeface="+mn-ea"/>
              <a:cs typeface="+mn-cs"/>
            </a:rPr>
            <a:t>Rows remain hatched until the facing sector input has been given. Yellow filled cells in each row except inputs. </a:t>
          </a:r>
          <a:endParaRPr lang="en-AU" sz="1800">
            <a:effectLs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18</xdr:col>
      <xdr:colOff>52006</xdr:colOff>
      <xdr:row>25</xdr:row>
      <xdr:rowOff>22412</xdr:rowOff>
    </xdr:from>
    <xdr:to>
      <xdr:col>25</xdr:col>
      <xdr:colOff>24264</xdr:colOff>
      <xdr:row>26</xdr:row>
      <xdr:rowOff>12370</xdr:rowOff>
    </xdr:to>
    <xdr:sp macro="" textlink="BB26">
      <xdr:nvSpPr>
        <xdr:cNvPr id="2" name="Text Box 853">
          <a:extLst>
            <a:ext uri="{FF2B5EF4-FFF2-40B4-BE49-F238E27FC236}">
              <a16:creationId xmlns:a16="http://schemas.microsoft.com/office/drawing/2014/main" id="{00000000-0008-0000-0700-000002000000}"/>
            </a:ext>
          </a:extLst>
        </xdr:cNvPr>
        <xdr:cNvSpPr txBox="1">
          <a:spLocks noChangeArrowheads="1" noTextEdit="1"/>
        </xdr:cNvSpPr>
      </xdr:nvSpPr>
      <xdr:spPr bwMode="auto">
        <a:xfrm>
          <a:off x="17558956" y="9899837"/>
          <a:ext cx="7820858" cy="218558"/>
        </a:xfrm>
        <a:prstGeom prst="rect">
          <a:avLst/>
        </a:prstGeom>
        <a:noFill/>
        <a:ln w="9525" algn="ctr">
          <a:noFill/>
          <a:miter lim="800000"/>
          <a:headEnd/>
          <a:tailEnd/>
        </a:ln>
        <a:effectLst/>
      </xdr:spPr>
      <xdr:txBody>
        <a:bodyPr anchor="ctr"/>
        <a:lstStyle/>
        <a:p>
          <a:pPr algn="l" rtl="0">
            <a:defRPr sz="1000"/>
          </a:pPr>
          <a:fld id="{20C5ACEA-35CC-4FBE-B6D1-245123BCAB3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10447</xdr:colOff>
      <xdr:row>19</xdr:row>
      <xdr:rowOff>6412</xdr:rowOff>
    </xdr:from>
    <xdr:to>
      <xdr:col>25</xdr:col>
      <xdr:colOff>14306</xdr:colOff>
      <xdr:row>20</xdr:row>
      <xdr:rowOff>6412</xdr:rowOff>
    </xdr:to>
    <xdr:sp macro="" textlink="BB20">
      <xdr:nvSpPr>
        <xdr:cNvPr id="3" name="Text Box 858">
          <a:extLst>
            <a:ext uri="{FF2B5EF4-FFF2-40B4-BE49-F238E27FC236}">
              <a16:creationId xmlns:a16="http://schemas.microsoft.com/office/drawing/2014/main" id="{00000000-0008-0000-0700-000003000000}"/>
            </a:ext>
          </a:extLst>
        </xdr:cNvPr>
        <xdr:cNvSpPr txBox="1">
          <a:spLocks noChangeArrowheads="1" noTextEdit="1"/>
        </xdr:cNvSpPr>
      </xdr:nvSpPr>
      <xdr:spPr bwMode="auto">
        <a:xfrm>
          <a:off x="17517397" y="8416987"/>
          <a:ext cx="7852459" cy="247650"/>
        </a:xfrm>
        <a:prstGeom prst="rect">
          <a:avLst/>
        </a:prstGeom>
        <a:noFill/>
        <a:ln w="9525" algn="ctr">
          <a:noFill/>
          <a:miter lim="800000"/>
          <a:headEnd/>
          <a:tailEnd/>
        </a:ln>
        <a:effectLst/>
      </xdr:spPr>
      <xdr:txBody>
        <a:bodyPr anchor="ctr"/>
        <a:lstStyle/>
        <a:p>
          <a:pPr algn="l" rtl="0">
            <a:defRPr sz="1000"/>
          </a:pPr>
          <a:fld id="{E681A87D-BC07-44C1-BA3A-F177546308D3}"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27730</xdr:colOff>
      <xdr:row>20</xdr:row>
      <xdr:rowOff>25587</xdr:rowOff>
    </xdr:from>
    <xdr:to>
      <xdr:col>24</xdr:col>
      <xdr:colOff>1344706</xdr:colOff>
      <xdr:row>21</xdr:row>
      <xdr:rowOff>0</xdr:rowOff>
    </xdr:to>
    <xdr:sp macro="" textlink="BB21">
      <xdr:nvSpPr>
        <xdr:cNvPr id="4" name="Text Box 859">
          <a:extLst>
            <a:ext uri="{FF2B5EF4-FFF2-40B4-BE49-F238E27FC236}">
              <a16:creationId xmlns:a16="http://schemas.microsoft.com/office/drawing/2014/main" id="{00000000-0008-0000-0700-000004000000}"/>
            </a:ext>
          </a:extLst>
        </xdr:cNvPr>
        <xdr:cNvSpPr txBox="1">
          <a:spLocks noChangeArrowheads="1" noTextEdit="1"/>
        </xdr:cNvSpPr>
      </xdr:nvSpPr>
      <xdr:spPr bwMode="auto">
        <a:xfrm>
          <a:off x="17534680" y="8683812"/>
          <a:ext cx="7822551" cy="222063"/>
        </a:xfrm>
        <a:prstGeom prst="rect">
          <a:avLst/>
        </a:prstGeom>
        <a:noFill/>
        <a:ln w="9525" algn="ctr">
          <a:noFill/>
          <a:miter lim="800000"/>
          <a:headEnd/>
          <a:tailEnd/>
        </a:ln>
        <a:effectLst/>
      </xdr:spPr>
      <xdr:txBody>
        <a:bodyPr anchor="ctr"/>
        <a:lstStyle/>
        <a:p>
          <a:pPr algn="l" rtl="0">
            <a:defRPr sz="1000"/>
          </a:pPr>
          <a:fld id="{396CCECA-03C0-485B-B57E-82D1D7C63FF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19039</xdr:colOff>
      <xdr:row>21</xdr:row>
      <xdr:rowOff>37110</xdr:rowOff>
    </xdr:from>
    <xdr:to>
      <xdr:col>24</xdr:col>
      <xdr:colOff>1362766</xdr:colOff>
      <xdr:row>21</xdr:row>
      <xdr:rowOff>210292</xdr:rowOff>
    </xdr:to>
    <xdr:sp macro="" textlink="BB22">
      <xdr:nvSpPr>
        <xdr:cNvPr id="5" name="Text Box 860">
          <a:extLst>
            <a:ext uri="{FF2B5EF4-FFF2-40B4-BE49-F238E27FC236}">
              <a16:creationId xmlns:a16="http://schemas.microsoft.com/office/drawing/2014/main" id="{00000000-0008-0000-0700-000005000000}"/>
            </a:ext>
          </a:extLst>
        </xdr:cNvPr>
        <xdr:cNvSpPr txBox="1">
          <a:spLocks noChangeArrowheads="1" noTextEdit="1"/>
        </xdr:cNvSpPr>
      </xdr:nvSpPr>
      <xdr:spPr bwMode="auto">
        <a:xfrm>
          <a:off x="17525989" y="8942985"/>
          <a:ext cx="7830252" cy="173182"/>
        </a:xfrm>
        <a:prstGeom prst="rect">
          <a:avLst/>
        </a:prstGeom>
        <a:noFill/>
        <a:ln w="9525" algn="ctr">
          <a:noFill/>
          <a:miter lim="800000"/>
          <a:headEnd/>
          <a:tailEnd/>
        </a:ln>
        <a:effectLst/>
      </xdr:spPr>
      <xdr:txBody>
        <a:bodyPr anchor="ctr"/>
        <a:lstStyle/>
        <a:p>
          <a:pPr algn="l" rtl="0">
            <a:defRPr sz="1000"/>
          </a:pPr>
          <a:fld id="{00D6AE0C-88F1-46E9-A85C-BEAC61FFA371}"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21</xdr:row>
      <xdr:rowOff>152400</xdr:rowOff>
    </xdr:from>
    <xdr:to>
      <xdr:col>24</xdr:col>
      <xdr:colOff>1293018</xdr:colOff>
      <xdr:row>22</xdr:row>
      <xdr:rowOff>195068</xdr:rowOff>
    </xdr:to>
    <xdr:sp macro="" textlink="BB23">
      <xdr:nvSpPr>
        <xdr:cNvPr id="6" name="Text Box 861">
          <a:extLst>
            <a:ext uri="{FF2B5EF4-FFF2-40B4-BE49-F238E27FC236}">
              <a16:creationId xmlns:a16="http://schemas.microsoft.com/office/drawing/2014/main" id="{00000000-0008-0000-0700-000006000000}"/>
            </a:ext>
          </a:extLst>
        </xdr:cNvPr>
        <xdr:cNvSpPr txBox="1">
          <a:spLocks noChangeArrowheads="1" noTextEdit="1"/>
        </xdr:cNvSpPr>
      </xdr:nvSpPr>
      <xdr:spPr bwMode="auto">
        <a:xfrm>
          <a:off x="17540370" y="9058275"/>
          <a:ext cx="7812798" cy="290318"/>
        </a:xfrm>
        <a:prstGeom prst="rect">
          <a:avLst/>
        </a:prstGeom>
        <a:noFill/>
        <a:ln w="9525" algn="ctr">
          <a:noFill/>
          <a:miter lim="800000"/>
          <a:headEnd/>
          <a:tailEnd/>
        </a:ln>
        <a:effectLst/>
      </xdr:spPr>
      <xdr:txBody>
        <a:bodyPr anchor="ctr"/>
        <a:lstStyle/>
        <a:p>
          <a:pPr algn="l" rtl="0">
            <a:defRPr sz="1000"/>
          </a:pPr>
          <a:fld id="{735E1BC8-A41F-4F80-9E8F-64FC78B84223}"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23</xdr:row>
      <xdr:rowOff>0</xdr:rowOff>
    </xdr:from>
    <xdr:to>
      <xdr:col>25</xdr:col>
      <xdr:colOff>339</xdr:colOff>
      <xdr:row>24</xdr:row>
      <xdr:rowOff>42668</xdr:rowOff>
    </xdr:to>
    <xdr:sp macro="" textlink="BB24">
      <xdr:nvSpPr>
        <xdr:cNvPr id="7" name="Text Box 863">
          <a:extLst>
            <a:ext uri="{FF2B5EF4-FFF2-40B4-BE49-F238E27FC236}">
              <a16:creationId xmlns:a16="http://schemas.microsoft.com/office/drawing/2014/main" id="{00000000-0008-0000-0700-000007000000}"/>
            </a:ext>
          </a:extLst>
        </xdr:cNvPr>
        <xdr:cNvSpPr txBox="1">
          <a:spLocks noChangeArrowheads="1" noTextEdit="1"/>
        </xdr:cNvSpPr>
      </xdr:nvSpPr>
      <xdr:spPr bwMode="auto">
        <a:xfrm>
          <a:off x="17573027" y="8273143"/>
          <a:ext cx="7831848" cy="287596"/>
        </a:xfrm>
        <a:prstGeom prst="rect">
          <a:avLst/>
        </a:prstGeom>
        <a:noFill/>
        <a:ln w="9525" algn="ctr">
          <a:noFill/>
          <a:miter lim="800000"/>
          <a:headEnd/>
          <a:tailEnd/>
        </a:ln>
        <a:effectLst/>
      </xdr:spPr>
      <xdr:txBody>
        <a:bodyPr anchor="ctr"/>
        <a:lstStyle/>
        <a:p>
          <a:pPr algn="l" rtl="0">
            <a:defRPr sz="1000"/>
          </a:pPr>
          <a:fld id="{2D9D296C-6ABF-47B7-B644-01F34B04D03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24</xdr:row>
      <xdr:rowOff>0</xdr:rowOff>
    </xdr:from>
    <xdr:to>
      <xdr:col>24</xdr:col>
      <xdr:colOff>1654968</xdr:colOff>
      <xdr:row>25</xdr:row>
      <xdr:rowOff>42668</xdr:rowOff>
    </xdr:to>
    <xdr:sp macro="" textlink="BB25">
      <xdr:nvSpPr>
        <xdr:cNvPr id="8" name="Text Box 864">
          <a:extLst>
            <a:ext uri="{FF2B5EF4-FFF2-40B4-BE49-F238E27FC236}">
              <a16:creationId xmlns:a16="http://schemas.microsoft.com/office/drawing/2014/main" id="{00000000-0008-0000-0700-000008000000}"/>
            </a:ext>
          </a:extLst>
        </xdr:cNvPr>
        <xdr:cNvSpPr txBox="1">
          <a:spLocks noChangeArrowheads="1" noTextEdit="1"/>
        </xdr:cNvSpPr>
      </xdr:nvSpPr>
      <xdr:spPr bwMode="auto">
        <a:xfrm>
          <a:off x="17540370" y="9648825"/>
          <a:ext cx="7812798" cy="271268"/>
        </a:xfrm>
        <a:prstGeom prst="rect">
          <a:avLst/>
        </a:prstGeom>
        <a:noFill/>
        <a:ln w="9525" algn="ctr">
          <a:noFill/>
          <a:miter lim="800000"/>
          <a:headEnd/>
          <a:tailEnd/>
        </a:ln>
        <a:effectLst/>
      </xdr:spPr>
      <xdr:txBody>
        <a:bodyPr anchor="ctr"/>
        <a:lstStyle/>
        <a:p>
          <a:pPr algn="l" rtl="0">
            <a:defRPr sz="1000"/>
          </a:pPr>
          <a:fld id="{BDC40D3F-6F00-4276-B580-271EDF0AED9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26</xdr:row>
      <xdr:rowOff>0</xdr:rowOff>
    </xdr:from>
    <xdr:to>
      <xdr:col>24</xdr:col>
      <xdr:colOff>1654968</xdr:colOff>
      <xdr:row>27</xdr:row>
      <xdr:rowOff>42668</xdr:rowOff>
    </xdr:to>
    <xdr:sp macro="" textlink="BB27">
      <xdr:nvSpPr>
        <xdr:cNvPr id="9" name="Text Box 865">
          <a:extLst>
            <a:ext uri="{FF2B5EF4-FFF2-40B4-BE49-F238E27FC236}">
              <a16:creationId xmlns:a16="http://schemas.microsoft.com/office/drawing/2014/main" id="{00000000-0008-0000-0700-000009000000}"/>
            </a:ext>
          </a:extLst>
        </xdr:cNvPr>
        <xdr:cNvSpPr txBox="1">
          <a:spLocks noChangeArrowheads="1" noTextEdit="1"/>
        </xdr:cNvSpPr>
      </xdr:nvSpPr>
      <xdr:spPr bwMode="auto">
        <a:xfrm>
          <a:off x="17540370" y="10106025"/>
          <a:ext cx="7812798" cy="271268"/>
        </a:xfrm>
        <a:prstGeom prst="rect">
          <a:avLst/>
        </a:prstGeom>
        <a:noFill/>
        <a:ln w="9525" algn="ctr">
          <a:noFill/>
          <a:miter lim="800000"/>
          <a:headEnd/>
          <a:tailEnd/>
        </a:ln>
        <a:effectLst/>
      </xdr:spPr>
      <xdr:txBody>
        <a:bodyPr anchor="ctr"/>
        <a:lstStyle/>
        <a:p>
          <a:pPr algn="l" rtl="0">
            <a:defRPr sz="1000"/>
          </a:pPr>
          <a:fld id="{B85610E5-01A7-4EDC-813C-793968C77B8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27</xdr:row>
      <xdr:rowOff>0</xdr:rowOff>
    </xdr:from>
    <xdr:to>
      <xdr:col>24</xdr:col>
      <xdr:colOff>1654968</xdr:colOff>
      <xdr:row>27</xdr:row>
      <xdr:rowOff>193650</xdr:rowOff>
    </xdr:to>
    <xdr:sp macro="" textlink="BB28">
      <xdr:nvSpPr>
        <xdr:cNvPr id="10" name="Text Box 866">
          <a:extLst>
            <a:ext uri="{FF2B5EF4-FFF2-40B4-BE49-F238E27FC236}">
              <a16:creationId xmlns:a16="http://schemas.microsoft.com/office/drawing/2014/main" id="{00000000-0008-0000-0700-00000A000000}"/>
            </a:ext>
          </a:extLst>
        </xdr:cNvPr>
        <xdr:cNvSpPr txBox="1">
          <a:spLocks noChangeArrowheads="1" noTextEdit="1"/>
        </xdr:cNvSpPr>
      </xdr:nvSpPr>
      <xdr:spPr bwMode="auto">
        <a:xfrm>
          <a:off x="17540370" y="10334625"/>
          <a:ext cx="7812798" cy="193650"/>
        </a:xfrm>
        <a:prstGeom prst="rect">
          <a:avLst/>
        </a:prstGeom>
        <a:noFill/>
        <a:ln w="9525" algn="ctr">
          <a:noFill/>
          <a:miter lim="800000"/>
          <a:headEnd/>
          <a:tailEnd/>
        </a:ln>
        <a:effectLst/>
      </xdr:spPr>
      <xdr:txBody>
        <a:bodyPr anchor="ctr"/>
        <a:lstStyle/>
        <a:p>
          <a:pPr algn="l" rtl="0">
            <a:defRPr sz="1000"/>
          </a:pPr>
          <a:fld id="{25781157-3FE1-45F7-A367-ABA73AE0EAEA}"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27</xdr:row>
      <xdr:rowOff>222663</xdr:rowOff>
    </xdr:from>
    <xdr:to>
      <xdr:col>25</xdr:col>
      <xdr:colOff>3679</xdr:colOff>
      <xdr:row>29</xdr:row>
      <xdr:rowOff>12370</xdr:rowOff>
    </xdr:to>
    <xdr:sp macro="" textlink="BB29">
      <xdr:nvSpPr>
        <xdr:cNvPr id="11" name="Text Box 867">
          <a:extLst>
            <a:ext uri="{FF2B5EF4-FFF2-40B4-BE49-F238E27FC236}">
              <a16:creationId xmlns:a16="http://schemas.microsoft.com/office/drawing/2014/main" id="{00000000-0008-0000-0700-00000B000000}"/>
            </a:ext>
          </a:extLst>
        </xdr:cNvPr>
        <xdr:cNvSpPr txBox="1">
          <a:spLocks noChangeArrowheads="1" noTextEdit="1"/>
        </xdr:cNvSpPr>
      </xdr:nvSpPr>
      <xdr:spPr bwMode="auto">
        <a:xfrm>
          <a:off x="17540370" y="10557288"/>
          <a:ext cx="7818859" cy="246907"/>
        </a:xfrm>
        <a:prstGeom prst="rect">
          <a:avLst/>
        </a:prstGeom>
        <a:noFill/>
        <a:ln w="9525" algn="ctr">
          <a:noFill/>
          <a:miter lim="800000"/>
          <a:headEnd/>
          <a:tailEnd/>
        </a:ln>
        <a:effectLst/>
      </xdr:spPr>
      <xdr:txBody>
        <a:bodyPr anchor="ctr"/>
        <a:lstStyle/>
        <a:p>
          <a:pPr algn="l" rtl="0">
            <a:defRPr sz="1000"/>
          </a:pPr>
          <a:fld id="{C239FF02-DA86-45EE-8738-33AB37162755}"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29</xdr:row>
      <xdr:rowOff>0</xdr:rowOff>
    </xdr:from>
    <xdr:to>
      <xdr:col>24</xdr:col>
      <xdr:colOff>1293018</xdr:colOff>
      <xdr:row>30</xdr:row>
      <xdr:rowOff>42668</xdr:rowOff>
    </xdr:to>
    <xdr:sp macro="" textlink="BB30">
      <xdr:nvSpPr>
        <xdr:cNvPr id="12" name="Text Box 869">
          <a:extLst>
            <a:ext uri="{FF2B5EF4-FFF2-40B4-BE49-F238E27FC236}">
              <a16:creationId xmlns:a16="http://schemas.microsoft.com/office/drawing/2014/main" id="{00000000-0008-0000-0700-00000C000000}"/>
            </a:ext>
          </a:extLst>
        </xdr:cNvPr>
        <xdr:cNvSpPr txBox="1">
          <a:spLocks noChangeArrowheads="1" noTextEdit="1"/>
        </xdr:cNvSpPr>
      </xdr:nvSpPr>
      <xdr:spPr bwMode="auto">
        <a:xfrm>
          <a:off x="17611375" y="10771909"/>
          <a:ext cx="7823188" cy="267804"/>
        </a:xfrm>
        <a:prstGeom prst="rect">
          <a:avLst/>
        </a:prstGeom>
        <a:noFill/>
        <a:ln w="9525" algn="ctr">
          <a:noFill/>
          <a:miter lim="800000"/>
          <a:headEnd/>
          <a:tailEnd/>
        </a:ln>
        <a:effectLst/>
      </xdr:spPr>
      <xdr:txBody>
        <a:bodyPr anchor="ctr"/>
        <a:lstStyle/>
        <a:p>
          <a:pPr algn="l" rtl="0">
            <a:defRPr sz="1000"/>
          </a:pPr>
          <a:fld id="{AB8A0D23-19F7-4B37-AC57-32B8E1474F5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30</xdr:row>
      <xdr:rowOff>0</xdr:rowOff>
    </xdr:from>
    <xdr:to>
      <xdr:col>24</xdr:col>
      <xdr:colOff>1654968</xdr:colOff>
      <xdr:row>31</xdr:row>
      <xdr:rowOff>42668</xdr:rowOff>
    </xdr:to>
    <xdr:sp macro="" textlink="BB31">
      <xdr:nvSpPr>
        <xdr:cNvPr id="13" name="Text Box 870">
          <a:extLst>
            <a:ext uri="{FF2B5EF4-FFF2-40B4-BE49-F238E27FC236}">
              <a16:creationId xmlns:a16="http://schemas.microsoft.com/office/drawing/2014/main" id="{00000000-0008-0000-0700-00000D000000}"/>
            </a:ext>
          </a:extLst>
        </xdr:cNvPr>
        <xdr:cNvSpPr txBox="1">
          <a:spLocks noChangeArrowheads="1" noTextEdit="1"/>
        </xdr:cNvSpPr>
      </xdr:nvSpPr>
      <xdr:spPr bwMode="auto">
        <a:xfrm>
          <a:off x="17540370" y="11020425"/>
          <a:ext cx="7812798" cy="271268"/>
        </a:xfrm>
        <a:prstGeom prst="rect">
          <a:avLst/>
        </a:prstGeom>
        <a:noFill/>
        <a:ln w="9525" algn="ctr">
          <a:noFill/>
          <a:miter lim="800000"/>
          <a:headEnd/>
          <a:tailEnd/>
        </a:ln>
        <a:effectLst/>
      </xdr:spPr>
      <xdr:txBody>
        <a:bodyPr anchor="ctr"/>
        <a:lstStyle/>
        <a:p>
          <a:pPr algn="l" rtl="0">
            <a:defRPr sz="1000"/>
          </a:pPr>
          <a:fld id="{7EF59823-CDD8-49DA-8E16-8252229271E3}"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17</xdr:col>
      <xdr:colOff>922420</xdr:colOff>
      <xdr:row>31</xdr:row>
      <xdr:rowOff>0</xdr:rowOff>
    </xdr:from>
    <xdr:to>
      <xdr:col>24</xdr:col>
      <xdr:colOff>1305718</xdr:colOff>
      <xdr:row>32</xdr:row>
      <xdr:rowOff>42668</xdr:rowOff>
    </xdr:to>
    <xdr:sp macro="" textlink="BB32">
      <xdr:nvSpPr>
        <xdr:cNvPr id="14" name="Text Box 871">
          <a:extLst>
            <a:ext uri="{FF2B5EF4-FFF2-40B4-BE49-F238E27FC236}">
              <a16:creationId xmlns:a16="http://schemas.microsoft.com/office/drawing/2014/main" id="{00000000-0008-0000-0700-00000E000000}"/>
            </a:ext>
          </a:extLst>
        </xdr:cNvPr>
        <xdr:cNvSpPr txBox="1">
          <a:spLocks noChangeArrowheads="1" noTextEdit="1"/>
        </xdr:cNvSpPr>
      </xdr:nvSpPr>
      <xdr:spPr bwMode="auto">
        <a:xfrm>
          <a:off x="17505445" y="11249025"/>
          <a:ext cx="7850898" cy="271268"/>
        </a:xfrm>
        <a:prstGeom prst="rect">
          <a:avLst/>
        </a:prstGeom>
        <a:noFill/>
        <a:ln w="9525" algn="ctr">
          <a:noFill/>
          <a:miter lim="800000"/>
          <a:headEnd/>
          <a:tailEnd/>
        </a:ln>
        <a:effectLst/>
      </xdr:spPr>
      <xdr:txBody>
        <a:bodyPr anchor="ctr"/>
        <a:lstStyle/>
        <a:p>
          <a:pPr algn="l" rtl="0">
            <a:defRPr sz="1000"/>
          </a:pPr>
          <a:fld id="{B54BA183-6065-402A-889E-4D03CBBFE6F1}"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32</xdr:row>
      <xdr:rowOff>0</xdr:rowOff>
    </xdr:from>
    <xdr:to>
      <xdr:col>24</xdr:col>
      <xdr:colOff>1654968</xdr:colOff>
      <xdr:row>33</xdr:row>
      <xdr:rowOff>42668</xdr:rowOff>
    </xdr:to>
    <xdr:sp macro="" textlink="BB33">
      <xdr:nvSpPr>
        <xdr:cNvPr id="15" name="Text Box 872">
          <a:extLst>
            <a:ext uri="{FF2B5EF4-FFF2-40B4-BE49-F238E27FC236}">
              <a16:creationId xmlns:a16="http://schemas.microsoft.com/office/drawing/2014/main" id="{00000000-0008-0000-0700-00000F000000}"/>
            </a:ext>
          </a:extLst>
        </xdr:cNvPr>
        <xdr:cNvSpPr txBox="1">
          <a:spLocks noChangeArrowheads="1" noTextEdit="1"/>
        </xdr:cNvSpPr>
      </xdr:nvSpPr>
      <xdr:spPr bwMode="auto">
        <a:xfrm>
          <a:off x="17540370" y="11477625"/>
          <a:ext cx="7812798" cy="271268"/>
        </a:xfrm>
        <a:prstGeom prst="rect">
          <a:avLst/>
        </a:prstGeom>
        <a:noFill/>
        <a:ln w="9525" algn="ctr">
          <a:noFill/>
          <a:miter lim="800000"/>
          <a:headEnd/>
          <a:tailEnd/>
        </a:ln>
        <a:effectLst/>
      </xdr:spPr>
      <xdr:txBody>
        <a:bodyPr anchor="ctr"/>
        <a:lstStyle/>
        <a:p>
          <a:pPr algn="l" rtl="0">
            <a:defRPr sz="1000"/>
          </a:pPr>
          <a:fld id="{51E29C2D-A47E-4E86-A147-39B09649778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33</xdr:row>
      <xdr:rowOff>0</xdr:rowOff>
    </xdr:from>
    <xdr:to>
      <xdr:col>24</xdr:col>
      <xdr:colOff>1654968</xdr:colOff>
      <xdr:row>34</xdr:row>
      <xdr:rowOff>42668</xdr:rowOff>
    </xdr:to>
    <xdr:sp macro="" textlink="BB34">
      <xdr:nvSpPr>
        <xdr:cNvPr id="16" name="Text Box 873">
          <a:extLst>
            <a:ext uri="{FF2B5EF4-FFF2-40B4-BE49-F238E27FC236}">
              <a16:creationId xmlns:a16="http://schemas.microsoft.com/office/drawing/2014/main" id="{00000000-0008-0000-0700-000010000000}"/>
            </a:ext>
          </a:extLst>
        </xdr:cNvPr>
        <xdr:cNvSpPr txBox="1">
          <a:spLocks noChangeArrowheads="1" noTextEdit="1"/>
        </xdr:cNvSpPr>
      </xdr:nvSpPr>
      <xdr:spPr bwMode="auto">
        <a:xfrm>
          <a:off x="17540370" y="11706225"/>
          <a:ext cx="7812798" cy="271268"/>
        </a:xfrm>
        <a:prstGeom prst="rect">
          <a:avLst/>
        </a:prstGeom>
        <a:noFill/>
        <a:ln w="9525" algn="ctr">
          <a:noFill/>
          <a:miter lim="800000"/>
          <a:headEnd/>
          <a:tailEnd/>
        </a:ln>
        <a:effectLst/>
      </xdr:spPr>
      <xdr:txBody>
        <a:bodyPr anchor="ctr"/>
        <a:lstStyle/>
        <a:p>
          <a:pPr algn="l" rtl="0">
            <a:defRPr sz="1000"/>
          </a:pPr>
          <a:fld id="{CAF1CB61-A7DC-442F-9418-2D4E41171FE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34</xdr:row>
      <xdr:rowOff>0</xdr:rowOff>
    </xdr:from>
    <xdr:to>
      <xdr:col>24</xdr:col>
      <xdr:colOff>1654968</xdr:colOff>
      <xdr:row>34</xdr:row>
      <xdr:rowOff>193650</xdr:rowOff>
    </xdr:to>
    <xdr:sp macro="" textlink="BB35">
      <xdr:nvSpPr>
        <xdr:cNvPr id="17" name="Text Box 874">
          <a:extLst>
            <a:ext uri="{FF2B5EF4-FFF2-40B4-BE49-F238E27FC236}">
              <a16:creationId xmlns:a16="http://schemas.microsoft.com/office/drawing/2014/main" id="{00000000-0008-0000-0700-000011000000}"/>
            </a:ext>
          </a:extLst>
        </xdr:cNvPr>
        <xdr:cNvSpPr txBox="1">
          <a:spLocks noChangeArrowheads="1" noTextEdit="1"/>
        </xdr:cNvSpPr>
      </xdr:nvSpPr>
      <xdr:spPr bwMode="auto">
        <a:xfrm>
          <a:off x="17540370" y="11934825"/>
          <a:ext cx="7812798" cy="193650"/>
        </a:xfrm>
        <a:prstGeom prst="rect">
          <a:avLst/>
        </a:prstGeom>
        <a:noFill/>
        <a:ln w="9525" algn="ctr">
          <a:noFill/>
          <a:miter lim="800000"/>
          <a:headEnd/>
          <a:tailEnd/>
        </a:ln>
        <a:effectLst/>
      </xdr:spPr>
      <xdr:txBody>
        <a:bodyPr anchor="ctr"/>
        <a:lstStyle/>
        <a:p>
          <a:pPr algn="l" rtl="0">
            <a:defRPr sz="1000"/>
          </a:pPr>
          <a:fld id="{D8E38C16-46C5-4FFA-A377-383DF356496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35</xdr:row>
      <xdr:rowOff>0</xdr:rowOff>
    </xdr:from>
    <xdr:to>
      <xdr:col>25</xdr:col>
      <xdr:colOff>3679</xdr:colOff>
      <xdr:row>36</xdr:row>
      <xdr:rowOff>1</xdr:rowOff>
    </xdr:to>
    <xdr:sp macro="" textlink="BB36">
      <xdr:nvSpPr>
        <xdr:cNvPr id="18" name="Text Box 875">
          <a:extLst>
            <a:ext uri="{FF2B5EF4-FFF2-40B4-BE49-F238E27FC236}">
              <a16:creationId xmlns:a16="http://schemas.microsoft.com/office/drawing/2014/main" id="{00000000-0008-0000-0700-000012000000}"/>
            </a:ext>
          </a:extLst>
        </xdr:cNvPr>
        <xdr:cNvSpPr txBox="1">
          <a:spLocks noChangeArrowheads="1" noTextEdit="1"/>
        </xdr:cNvSpPr>
      </xdr:nvSpPr>
      <xdr:spPr bwMode="auto">
        <a:xfrm>
          <a:off x="17540370" y="12182475"/>
          <a:ext cx="7818859" cy="247651"/>
        </a:xfrm>
        <a:prstGeom prst="rect">
          <a:avLst/>
        </a:prstGeom>
        <a:noFill/>
        <a:ln w="9525" algn="ctr">
          <a:noFill/>
          <a:miter lim="800000"/>
          <a:headEnd/>
          <a:tailEnd/>
        </a:ln>
        <a:effectLst/>
      </xdr:spPr>
      <xdr:txBody>
        <a:bodyPr anchor="ctr"/>
        <a:lstStyle/>
        <a:p>
          <a:pPr algn="l" rtl="0">
            <a:defRPr sz="1000"/>
          </a:pPr>
          <a:fld id="{96023F13-AC0D-4995-A147-4C355786CF2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36</xdr:row>
      <xdr:rowOff>0</xdr:rowOff>
    </xdr:from>
    <xdr:to>
      <xdr:col>24</xdr:col>
      <xdr:colOff>1654968</xdr:colOff>
      <xdr:row>37</xdr:row>
      <xdr:rowOff>42668</xdr:rowOff>
    </xdr:to>
    <xdr:sp macro="" textlink="BB37">
      <xdr:nvSpPr>
        <xdr:cNvPr id="19" name="Text Box 876">
          <a:extLst>
            <a:ext uri="{FF2B5EF4-FFF2-40B4-BE49-F238E27FC236}">
              <a16:creationId xmlns:a16="http://schemas.microsoft.com/office/drawing/2014/main" id="{00000000-0008-0000-0700-000013000000}"/>
            </a:ext>
          </a:extLst>
        </xdr:cNvPr>
        <xdr:cNvSpPr txBox="1">
          <a:spLocks noChangeArrowheads="1" noTextEdit="1"/>
        </xdr:cNvSpPr>
      </xdr:nvSpPr>
      <xdr:spPr bwMode="auto">
        <a:xfrm>
          <a:off x="17540370" y="12430125"/>
          <a:ext cx="7812798" cy="290318"/>
        </a:xfrm>
        <a:prstGeom prst="rect">
          <a:avLst/>
        </a:prstGeom>
        <a:noFill/>
        <a:ln w="9525" algn="ctr">
          <a:noFill/>
          <a:miter lim="800000"/>
          <a:headEnd/>
          <a:tailEnd/>
        </a:ln>
        <a:effectLst/>
      </xdr:spPr>
      <xdr:txBody>
        <a:bodyPr anchor="ctr"/>
        <a:lstStyle/>
        <a:p>
          <a:pPr algn="l" rtl="0">
            <a:defRPr sz="1000"/>
          </a:pPr>
          <a:fld id="{D5D7C003-E56A-48E3-BF7F-4792E6E7D6F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37</xdr:row>
      <xdr:rowOff>0</xdr:rowOff>
    </xdr:from>
    <xdr:to>
      <xdr:col>24</xdr:col>
      <xdr:colOff>1654968</xdr:colOff>
      <xdr:row>38</xdr:row>
      <xdr:rowOff>42668</xdr:rowOff>
    </xdr:to>
    <xdr:sp macro="" textlink="BB38">
      <xdr:nvSpPr>
        <xdr:cNvPr id="20" name="Text Box 877">
          <a:extLst>
            <a:ext uri="{FF2B5EF4-FFF2-40B4-BE49-F238E27FC236}">
              <a16:creationId xmlns:a16="http://schemas.microsoft.com/office/drawing/2014/main" id="{00000000-0008-0000-0700-000014000000}"/>
            </a:ext>
          </a:extLst>
        </xdr:cNvPr>
        <xdr:cNvSpPr txBox="1">
          <a:spLocks noChangeArrowheads="1" noTextEdit="1"/>
        </xdr:cNvSpPr>
      </xdr:nvSpPr>
      <xdr:spPr bwMode="auto">
        <a:xfrm>
          <a:off x="17540370" y="12677775"/>
          <a:ext cx="7812798" cy="290318"/>
        </a:xfrm>
        <a:prstGeom prst="rect">
          <a:avLst/>
        </a:prstGeom>
        <a:noFill/>
        <a:ln w="9525" algn="ctr">
          <a:noFill/>
          <a:miter lim="800000"/>
          <a:headEnd/>
          <a:tailEnd/>
        </a:ln>
        <a:effectLst/>
      </xdr:spPr>
      <xdr:txBody>
        <a:bodyPr anchor="ctr"/>
        <a:lstStyle/>
        <a:p>
          <a:pPr algn="l" rtl="0">
            <a:defRPr sz="1000"/>
          </a:pPr>
          <a:fld id="{83002C24-D17A-46B7-B3AB-BBD6D99B00B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38</xdr:row>
      <xdr:rowOff>0</xdr:rowOff>
    </xdr:from>
    <xdr:to>
      <xdr:col>24</xdr:col>
      <xdr:colOff>1654968</xdr:colOff>
      <xdr:row>39</xdr:row>
      <xdr:rowOff>42668</xdr:rowOff>
    </xdr:to>
    <xdr:sp macro="" textlink="BB39">
      <xdr:nvSpPr>
        <xdr:cNvPr id="21" name="Text Box 878">
          <a:extLst>
            <a:ext uri="{FF2B5EF4-FFF2-40B4-BE49-F238E27FC236}">
              <a16:creationId xmlns:a16="http://schemas.microsoft.com/office/drawing/2014/main" id="{00000000-0008-0000-0700-000015000000}"/>
            </a:ext>
          </a:extLst>
        </xdr:cNvPr>
        <xdr:cNvSpPr txBox="1">
          <a:spLocks noChangeArrowheads="1" noTextEdit="1"/>
        </xdr:cNvSpPr>
      </xdr:nvSpPr>
      <xdr:spPr bwMode="auto">
        <a:xfrm>
          <a:off x="17540370" y="12925425"/>
          <a:ext cx="7812798" cy="290318"/>
        </a:xfrm>
        <a:prstGeom prst="rect">
          <a:avLst/>
        </a:prstGeom>
        <a:noFill/>
        <a:ln w="9525" algn="ctr">
          <a:noFill/>
          <a:miter lim="800000"/>
          <a:headEnd/>
          <a:tailEnd/>
        </a:ln>
        <a:effectLst/>
      </xdr:spPr>
      <xdr:txBody>
        <a:bodyPr anchor="ctr"/>
        <a:lstStyle/>
        <a:p>
          <a:pPr algn="l" rtl="0">
            <a:defRPr sz="1000"/>
          </a:pPr>
          <a:fld id="{369D69B7-64EE-4E45-97BD-1D920D15F1AD}"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39</xdr:row>
      <xdr:rowOff>0</xdr:rowOff>
    </xdr:from>
    <xdr:to>
      <xdr:col>24</xdr:col>
      <xdr:colOff>1654968</xdr:colOff>
      <xdr:row>40</xdr:row>
      <xdr:rowOff>42668</xdr:rowOff>
    </xdr:to>
    <xdr:sp macro="" textlink="BB40">
      <xdr:nvSpPr>
        <xdr:cNvPr id="22" name="Text Box 879">
          <a:extLst>
            <a:ext uri="{FF2B5EF4-FFF2-40B4-BE49-F238E27FC236}">
              <a16:creationId xmlns:a16="http://schemas.microsoft.com/office/drawing/2014/main" id="{00000000-0008-0000-0700-000016000000}"/>
            </a:ext>
          </a:extLst>
        </xdr:cNvPr>
        <xdr:cNvSpPr txBox="1">
          <a:spLocks noChangeArrowheads="1" noTextEdit="1"/>
        </xdr:cNvSpPr>
      </xdr:nvSpPr>
      <xdr:spPr bwMode="auto">
        <a:xfrm>
          <a:off x="17540370" y="13173075"/>
          <a:ext cx="7812798" cy="290318"/>
        </a:xfrm>
        <a:prstGeom prst="rect">
          <a:avLst/>
        </a:prstGeom>
        <a:noFill/>
        <a:ln w="9525" algn="ctr">
          <a:noFill/>
          <a:miter lim="800000"/>
          <a:headEnd/>
          <a:tailEnd/>
        </a:ln>
        <a:effectLst/>
      </xdr:spPr>
      <xdr:txBody>
        <a:bodyPr anchor="ctr"/>
        <a:lstStyle/>
        <a:p>
          <a:pPr algn="l" rtl="0">
            <a:defRPr sz="1000"/>
          </a:pPr>
          <a:fld id="{40C7FD9F-F54C-49F3-9940-50404A199C32}"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40</xdr:row>
      <xdr:rowOff>0</xdr:rowOff>
    </xdr:from>
    <xdr:to>
      <xdr:col>24</xdr:col>
      <xdr:colOff>1654968</xdr:colOff>
      <xdr:row>41</xdr:row>
      <xdr:rowOff>42668</xdr:rowOff>
    </xdr:to>
    <xdr:sp macro="" textlink="BB41">
      <xdr:nvSpPr>
        <xdr:cNvPr id="23" name="Text Box 880">
          <a:extLst>
            <a:ext uri="{FF2B5EF4-FFF2-40B4-BE49-F238E27FC236}">
              <a16:creationId xmlns:a16="http://schemas.microsoft.com/office/drawing/2014/main" id="{00000000-0008-0000-0700-000017000000}"/>
            </a:ext>
          </a:extLst>
        </xdr:cNvPr>
        <xdr:cNvSpPr txBox="1">
          <a:spLocks noChangeArrowheads="1" noTextEdit="1"/>
        </xdr:cNvSpPr>
      </xdr:nvSpPr>
      <xdr:spPr bwMode="auto">
        <a:xfrm>
          <a:off x="17540370" y="13420725"/>
          <a:ext cx="7812798" cy="290318"/>
        </a:xfrm>
        <a:prstGeom prst="rect">
          <a:avLst/>
        </a:prstGeom>
        <a:noFill/>
        <a:ln w="9525" algn="ctr">
          <a:noFill/>
          <a:miter lim="800000"/>
          <a:headEnd/>
          <a:tailEnd/>
        </a:ln>
        <a:effectLst/>
      </xdr:spPr>
      <xdr:txBody>
        <a:bodyPr anchor="ctr"/>
        <a:lstStyle/>
        <a:p>
          <a:pPr algn="l" rtl="0">
            <a:defRPr sz="1000"/>
          </a:pPr>
          <a:fld id="{2653CA6B-3731-4FCE-ACD4-2910CAE5F04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41</xdr:row>
      <xdr:rowOff>0</xdr:rowOff>
    </xdr:from>
    <xdr:to>
      <xdr:col>24</xdr:col>
      <xdr:colOff>1654968</xdr:colOff>
      <xdr:row>41</xdr:row>
      <xdr:rowOff>193650</xdr:rowOff>
    </xdr:to>
    <xdr:sp macro="" textlink="BB42">
      <xdr:nvSpPr>
        <xdr:cNvPr id="24" name="Text Box 881">
          <a:extLst>
            <a:ext uri="{FF2B5EF4-FFF2-40B4-BE49-F238E27FC236}">
              <a16:creationId xmlns:a16="http://schemas.microsoft.com/office/drawing/2014/main" id="{00000000-0008-0000-0700-000018000000}"/>
            </a:ext>
          </a:extLst>
        </xdr:cNvPr>
        <xdr:cNvSpPr txBox="1">
          <a:spLocks noChangeArrowheads="1" noTextEdit="1"/>
        </xdr:cNvSpPr>
      </xdr:nvSpPr>
      <xdr:spPr bwMode="auto">
        <a:xfrm>
          <a:off x="17540370" y="13668375"/>
          <a:ext cx="7812798" cy="193650"/>
        </a:xfrm>
        <a:prstGeom prst="rect">
          <a:avLst/>
        </a:prstGeom>
        <a:noFill/>
        <a:ln w="9525" algn="ctr">
          <a:noFill/>
          <a:miter lim="800000"/>
          <a:headEnd/>
          <a:tailEnd/>
        </a:ln>
        <a:effectLst/>
      </xdr:spPr>
      <xdr:txBody>
        <a:bodyPr anchor="ctr"/>
        <a:lstStyle/>
        <a:p>
          <a:pPr algn="l" rtl="0">
            <a:defRPr sz="1000"/>
          </a:pPr>
          <a:fld id="{3132D1C1-E1D3-4D28-AF77-0C1551BD60E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41</xdr:row>
      <xdr:rowOff>222662</xdr:rowOff>
    </xdr:from>
    <xdr:to>
      <xdr:col>25</xdr:col>
      <xdr:colOff>3679</xdr:colOff>
      <xdr:row>43</xdr:row>
      <xdr:rowOff>1</xdr:rowOff>
    </xdr:to>
    <xdr:sp macro="" textlink="BB43">
      <xdr:nvSpPr>
        <xdr:cNvPr id="25" name="Text Box 882">
          <a:extLst>
            <a:ext uri="{FF2B5EF4-FFF2-40B4-BE49-F238E27FC236}">
              <a16:creationId xmlns:a16="http://schemas.microsoft.com/office/drawing/2014/main" id="{00000000-0008-0000-0700-000019000000}"/>
            </a:ext>
          </a:extLst>
        </xdr:cNvPr>
        <xdr:cNvSpPr txBox="1">
          <a:spLocks noChangeArrowheads="1" noTextEdit="1"/>
        </xdr:cNvSpPr>
      </xdr:nvSpPr>
      <xdr:spPr bwMode="auto">
        <a:xfrm>
          <a:off x="17540370" y="13891037"/>
          <a:ext cx="7818859" cy="272639"/>
        </a:xfrm>
        <a:prstGeom prst="rect">
          <a:avLst/>
        </a:prstGeom>
        <a:noFill/>
        <a:ln w="9525" algn="ctr">
          <a:noFill/>
          <a:miter lim="800000"/>
          <a:headEnd/>
          <a:tailEnd/>
        </a:ln>
        <a:effectLst/>
      </xdr:spPr>
      <xdr:txBody>
        <a:bodyPr anchor="ctr"/>
        <a:lstStyle/>
        <a:p>
          <a:pPr algn="l" rtl="0">
            <a:defRPr sz="1000"/>
          </a:pPr>
          <a:fld id="{1B19951D-3AA5-42A2-B141-D7915D8FB15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43</xdr:row>
      <xdr:rowOff>0</xdr:rowOff>
    </xdr:from>
    <xdr:to>
      <xdr:col>24</xdr:col>
      <xdr:colOff>1654968</xdr:colOff>
      <xdr:row>44</xdr:row>
      <xdr:rowOff>42668</xdr:rowOff>
    </xdr:to>
    <xdr:sp macro="" textlink="BB44">
      <xdr:nvSpPr>
        <xdr:cNvPr id="26" name="Text Box 883">
          <a:extLst>
            <a:ext uri="{FF2B5EF4-FFF2-40B4-BE49-F238E27FC236}">
              <a16:creationId xmlns:a16="http://schemas.microsoft.com/office/drawing/2014/main" id="{00000000-0008-0000-0700-00001A000000}"/>
            </a:ext>
          </a:extLst>
        </xdr:cNvPr>
        <xdr:cNvSpPr txBox="1">
          <a:spLocks noChangeArrowheads="1" noTextEdit="1"/>
        </xdr:cNvSpPr>
      </xdr:nvSpPr>
      <xdr:spPr bwMode="auto">
        <a:xfrm>
          <a:off x="17540370" y="14163675"/>
          <a:ext cx="7812798" cy="290318"/>
        </a:xfrm>
        <a:prstGeom prst="rect">
          <a:avLst/>
        </a:prstGeom>
        <a:noFill/>
        <a:ln w="9525" algn="ctr">
          <a:noFill/>
          <a:miter lim="800000"/>
          <a:headEnd/>
          <a:tailEnd/>
        </a:ln>
        <a:effectLst/>
      </xdr:spPr>
      <xdr:txBody>
        <a:bodyPr anchor="ctr"/>
        <a:lstStyle/>
        <a:p>
          <a:pPr algn="l" rtl="0">
            <a:defRPr sz="1000"/>
          </a:pPr>
          <a:fld id="{8BE21A75-E992-4691-8D91-7C678F86EDED}"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44</xdr:row>
      <xdr:rowOff>0</xdr:rowOff>
    </xdr:from>
    <xdr:to>
      <xdr:col>24</xdr:col>
      <xdr:colOff>1654968</xdr:colOff>
      <xdr:row>45</xdr:row>
      <xdr:rowOff>42668</xdr:rowOff>
    </xdr:to>
    <xdr:sp macro="" textlink="BB45">
      <xdr:nvSpPr>
        <xdr:cNvPr id="27" name="Text Box 884">
          <a:extLst>
            <a:ext uri="{FF2B5EF4-FFF2-40B4-BE49-F238E27FC236}">
              <a16:creationId xmlns:a16="http://schemas.microsoft.com/office/drawing/2014/main" id="{00000000-0008-0000-0700-00001B000000}"/>
            </a:ext>
          </a:extLst>
        </xdr:cNvPr>
        <xdr:cNvSpPr txBox="1">
          <a:spLocks noChangeArrowheads="1" noTextEdit="1"/>
        </xdr:cNvSpPr>
      </xdr:nvSpPr>
      <xdr:spPr bwMode="auto">
        <a:xfrm>
          <a:off x="17540370" y="14411325"/>
          <a:ext cx="7812798" cy="290318"/>
        </a:xfrm>
        <a:prstGeom prst="rect">
          <a:avLst/>
        </a:prstGeom>
        <a:noFill/>
        <a:ln w="9525" algn="ctr">
          <a:noFill/>
          <a:miter lim="800000"/>
          <a:headEnd/>
          <a:tailEnd/>
        </a:ln>
        <a:effectLst/>
      </xdr:spPr>
      <xdr:txBody>
        <a:bodyPr anchor="ctr"/>
        <a:lstStyle/>
        <a:p>
          <a:pPr algn="l" rtl="0">
            <a:defRPr sz="1000"/>
          </a:pPr>
          <a:fld id="{F55ADF57-E675-43D4-A78A-C1F6817705A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45</xdr:row>
      <xdr:rowOff>0</xdr:rowOff>
    </xdr:from>
    <xdr:to>
      <xdr:col>24</xdr:col>
      <xdr:colOff>1654968</xdr:colOff>
      <xdr:row>46</xdr:row>
      <xdr:rowOff>42668</xdr:rowOff>
    </xdr:to>
    <xdr:sp macro="" textlink="BB46">
      <xdr:nvSpPr>
        <xdr:cNvPr id="28" name="Text Box 885">
          <a:extLst>
            <a:ext uri="{FF2B5EF4-FFF2-40B4-BE49-F238E27FC236}">
              <a16:creationId xmlns:a16="http://schemas.microsoft.com/office/drawing/2014/main" id="{00000000-0008-0000-0700-00001C000000}"/>
            </a:ext>
          </a:extLst>
        </xdr:cNvPr>
        <xdr:cNvSpPr txBox="1">
          <a:spLocks noChangeArrowheads="1" noTextEdit="1"/>
        </xdr:cNvSpPr>
      </xdr:nvSpPr>
      <xdr:spPr bwMode="auto">
        <a:xfrm>
          <a:off x="17540370" y="14658975"/>
          <a:ext cx="7812798" cy="290318"/>
        </a:xfrm>
        <a:prstGeom prst="rect">
          <a:avLst/>
        </a:prstGeom>
        <a:noFill/>
        <a:ln w="9525" algn="ctr">
          <a:noFill/>
          <a:miter lim="800000"/>
          <a:headEnd/>
          <a:tailEnd/>
        </a:ln>
        <a:effectLst/>
      </xdr:spPr>
      <xdr:txBody>
        <a:bodyPr anchor="ctr"/>
        <a:lstStyle/>
        <a:p>
          <a:pPr algn="l" rtl="0">
            <a:defRPr sz="1000"/>
          </a:pPr>
          <a:fld id="{4D8E096C-48A0-41E1-BC8D-B29E747B87E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46</xdr:row>
      <xdr:rowOff>0</xdr:rowOff>
    </xdr:from>
    <xdr:to>
      <xdr:col>24</xdr:col>
      <xdr:colOff>1654968</xdr:colOff>
      <xdr:row>47</xdr:row>
      <xdr:rowOff>42668</xdr:rowOff>
    </xdr:to>
    <xdr:sp macro="" textlink="BB47">
      <xdr:nvSpPr>
        <xdr:cNvPr id="29" name="Text Box 886">
          <a:extLst>
            <a:ext uri="{FF2B5EF4-FFF2-40B4-BE49-F238E27FC236}">
              <a16:creationId xmlns:a16="http://schemas.microsoft.com/office/drawing/2014/main" id="{00000000-0008-0000-0700-00001D000000}"/>
            </a:ext>
          </a:extLst>
        </xdr:cNvPr>
        <xdr:cNvSpPr txBox="1">
          <a:spLocks noChangeArrowheads="1" noTextEdit="1"/>
        </xdr:cNvSpPr>
      </xdr:nvSpPr>
      <xdr:spPr bwMode="auto">
        <a:xfrm>
          <a:off x="17540370" y="14906625"/>
          <a:ext cx="7812798" cy="290318"/>
        </a:xfrm>
        <a:prstGeom prst="rect">
          <a:avLst/>
        </a:prstGeom>
        <a:noFill/>
        <a:ln w="9525" algn="ctr">
          <a:noFill/>
          <a:miter lim="800000"/>
          <a:headEnd/>
          <a:tailEnd/>
        </a:ln>
        <a:effectLst/>
      </xdr:spPr>
      <xdr:txBody>
        <a:bodyPr anchor="ctr"/>
        <a:lstStyle/>
        <a:p>
          <a:pPr algn="l" rtl="0">
            <a:defRPr sz="1000"/>
          </a:pPr>
          <a:fld id="{7CB90432-4699-4918-9D7C-0A056AC3022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47</xdr:row>
      <xdr:rowOff>0</xdr:rowOff>
    </xdr:from>
    <xdr:to>
      <xdr:col>24</xdr:col>
      <xdr:colOff>1654968</xdr:colOff>
      <xdr:row>48</xdr:row>
      <xdr:rowOff>42668</xdr:rowOff>
    </xdr:to>
    <xdr:sp macro="" textlink="BB48">
      <xdr:nvSpPr>
        <xdr:cNvPr id="30" name="Text Box 887">
          <a:extLst>
            <a:ext uri="{FF2B5EF4-FFF2-40B4-BE49-F238E27FC236}">
              <a16:creationId xmlns:a16="http://schemas.microsoft.com/office/drawing/2014/main" id="{00000000-0008-0000-0700-00001E000000}"/>
            </a:ext>
          </a:extLst>
        </xdr:cNvPr>
        <xdr:cNvSpPr txBox="1">
          <a:spLocks noChangeArrowheads="1" noTextEdit="1"/>
        </xdr:cNvSpPr>
      </xdr:nvSpPr>
      <xdr:spPr bwMode="auto">
        <a:xfrm>
          <a:off x="17540370" y="15154275"/>
          <a:ext cx="7812798" cy="290318"/>
        </a:xfrm>
        <a:prstGeom prst="rect">
          <a:avLst/>
        </a:prstGeom>
        <a:noFill/>
        <a:ln w="9525" algn="ctr">
          <a:noFill/>
          <a:miter lim="800000"/>
          <a:headEnd/>
          <a:tailEnd/>
        </a:ln>
        <a:effectLst/>
      </xdr:spPr>
      <xdr:txBody>
        <a:bodyPr anchor="ctr"/>
        <a:lstStyle/>
        <a:p>
          <a:pPr algn="l" rtl="0">
            <a:defRPr sz="1000"/>
          </a:pPr>
          <a:fld id="{15643799-DAD4-4CC4-9F63-C88E5854B58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48</xdr:row>
      <xdr:rowOff>0</xdr:rowOff>
    </xdr:from>
    <xdr:to>
      <xdr:col>24</xdr:col>
      <xdr:colOff>1654968</xdr:colOff>
      <xdr:row>49</xdr:row>
      <xdr:rowOff>42668</xdr:rowOff>
    </xdr:to>
    <xdr:sp macro="" textlink="BB49">
      <xdr:nvSpPr>
        <xdr:cNvPr id="31" name="Text Box 888">
          <a:extLst>
            <a:ext uri="{FF2B5EF4-FFF2-40B4-BE49-F238E27FC236}">
              <a16:creationId xmlns:a16="http://schemas.microsoft.com/office/drawing/2014/main" id="{00000000-0008-0000-0700-00001F000000}"/>
            </a:ext>
          </a:extLst>
        </xdr:cNvPr>
        <xdr:cNvSpPr txBox="1">
          <a:spLocks noChangeArrowheads="1" noTextEdit="1"/>
        </xdr:cNvSpPr>
      </xdr:nvSpPr>
      <xdr:spPr bwMode="auto">
        <a:xfrm>
          <a:off x="17540370" y="15401925"/>
          <a:ext cx="7812798" cy="290318"/>
        </a:xfrm>
        <a:prstGeom prst="rect">
          <a:avLst/>
        </a:prstGeom>
        <a:noFill/>
        <a:ln w="9525" algn="ctr">
          <a:noFill/>
          <a:miter lim="800000"/>
          <a:headEnd/>
          <a:tailEnd/>
        </a:ln>
        <a:effectLst/>
      </xdr:spPr>
      <xdr:txBody>
        <a:bodyPr anchor="ctr"/>
        <a:lstStyle/>
        <a:p>
          <a:pPr algn="l" rtl="0">
            <a:defRPr sz="1000"/>
          </a:pPr>
          <a:fld id="{A9741060-6F61-472F-AFE3-EB4EAF9C113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49</xdr:row>
      <xdr:rowOff>0</xdr:rowOff>
    </xdr:from>
    <xdr:to>
      <xdr:col>24</xdr:col>
      <xdr:colOff>1654968</xdr:colOff>
      <xdr:row>49</xdr:row>
      <xdr:rowOff>193650</xdr:rowOff>
    </xdr:to>
    <xdr:sp macro="" textlink="BB50">
      <xdr:nvSpPr>
        <xdr:cNvPr id="32" name="Text Box 889">
          <a:extLst>
            <a:ext uri="{FF2B5EF4-FFF2-40B4-BE49-F238E27FC236}">
              <a16:creationId xmlns:a16="http://schemas.microsoft.com/office/drawing/2014/main" id="{00000000-0008-0000-0700-000020000000}"/>
            </a:ext>
          </a:extLst>
        </xdr:cNvPr>
        <xdr:cNvSpPr txBox="1">
          <a:spLocks noChangeArrowheads="1" noTextEdit="1"/>
        </xdr:cNvSpPr>
      </xdr:nvSpPr>
      <xdr:spPr bwMode="auto">
        <a:xfrm>
          <a:off x="17540370" y="15649575"/>
          <a:ext cx="7812798" cy="193650"/>
        </a:xfrm>
        <a:prstGeom prst="rect">
          <a:avLst/>
        </a:prstGeom>
        <a:noFill/>
        <a:ln w="9525" algn="ctr">
          <a:noFill/>
          <a:miter lim="800000"/>
          <a:headEnd/>
          <a:tailEnd/>
        </a:ln>
        <a:effectLst/>
      </xdr:spPr>
      <xdr:txBody>
        <a:bodyPr anchor="ctr"/>
        <a:lstStyle/>
        <a:p>
          <a:pPr algn="l" rtl="0">
            <a:defRPr sz="1000"/>
          </a:pPr>
          <a:fld id="{1B852575-2182-4127-9830-BE2334A39A3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49</xdr:row>
      <xdr:rowOff>222661</xdr:rowOff>
    </xdr:from>
    <xdr:to>
      <xdr:col>25</xdr:col>
      <xdr:colOff>3679</xdr:colOff>
      <xdr:row>50</xdr:row>
      <xdr:rowOff>247402</xdr:rowOff>
    </xdr:to>
    <xdr:sp macro="" textlink="BB51">
      <xdr:nvSpPr>
        <xdr:cNvPr id="33" name="Text Box 890">
          <a:extLst>
            <a:ext uri="{FF2B5EF4-FFF2-40B4-BE49-F238E27FC236}">
              <a16:creationId xmlns:a16="http://schemas.microsoft.com/office/drawing/2014/main" id="{00000000-0008-0000-0700-000021000000}"/>
            </a:ext>
          </a:extLst>
        </xdr:cNvPr>
        <xdr:cNvSpPr txBox="1">
          <a:spLocks noChangeArrowheads="1" noTextEdit="1"/>
        </xdr:cNvSpPr>
      </xdr:nvSpPr>
      <xdr:spPr bwMode="auto">
        <a:xfrm>
          <a:off x="17540370" y="15872236"/>
          <a:ext cx="7818859" cy="272391"/>
        </a:xfrm>
        <a:prstGeom prst="rect">
          <a:avLst/>
        </a:prstGeom>
        <a:noFill/>
        <a:ln w="9525" algn="ctr">
          <a:noFill/>
          <a:miter lim="800000"/>
          <a:headEnd/>
          <a:tailEnd/>
        </a:ln>
        <a:effectLst/>
      </xdr:spPr>
      <xdr:txBody>
        <a:bodyPr anchor="ctr"/>
        <a:lstStyle/>
        <a:p>
          <a:pPr algn="l" rtl="0">
            <a:defRPr sz="1000"/>
          </a:pPr>
          <a:fld id="{A11C3BDE-ECDF-48A2-B0D6-440019D27CCD}"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51</xdr:row>
      <xdr:rowOff>0</xdr:rowOff>
    </xdr:from>
    <xdr:to>
      <xdr:col>24</xdr:col>
      <xdr:colOff>1654968</xdr:colOff>
      <xdr:row>52</xdr:row>
      <xdr:rowOff>42668</xdr:rowOff>
    </xdr:to>
    <xdr:sp macro="" textlink="BB52">
      <xdr:nvSpPr>
        <xdr:cNvPr id="34" name="Text Box 891">
          <a:extLst>
            <a:ext uri="{FF2B5EF4-FFF2-40B4-BE49-F238E27FC236}">
              <a16:creationId xmlns:a16="http://schemas.microsoft.com/office/drawing/2014/main" id="{00000000-0008-0000-0700-000022000000}"/>
            </a:ext>
          </a:extLst>
        </xdr:cNvPr>
        <xdr:cNvSpPr txBox="1">
          <a:spLocks noChangeArrowheads="1" noTextEdit="1"/>
        </xdr:cNvSpPr>
      </xdr:nvSpPr>
      <xdr:spPr bwMode="auto">
        <a:xfrm>
          <a:off x="17540370" y="16144875"/>
          <a:ext cx="7812798" cy="290318"/>
        </a:xfrm>
        <a:prstGeom prst="rect">
          <a:avLst/>
        </a:prstGeom>
        <a:noFill/>
        <a:ln w="9525" algn="ctr">
          <a:noFill/>
          <a:miter lim="800000"/>
          <a:headEnd/>
          <a:tailEnd/>
        </a:ln>
        <a:effectLst/>
      </xdr:spPr>
      <xdr:txBody>
        <a:bodyPr anchor="ctr"/>
        <a:lstStyle/>
        <a:p>
          <a:pPr algn="l" rtl="0">
            <a:defRPr sz="1000"/>
          </a:pPr>
          <a:fld id="{927FF264-5649-4BD9-8A94-0C0263F1FCF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52</xdr:row>
      <xdr:rowOff>0</xdr:rowOff>
    </xdr:from>
    <xdr:to>
      <xdr:col>24</xdr:col>
      <xdr:colOff>1654968</xdr:colOff>
      <xdr:row>53</xdr:row>
      <xdr:rowOff>42668</xdr:rowOff>
    </xdr:to>
    <xdr:sp macro="" textlink="BB53">
      <xdr:nvSpPr>
        <xdr:cNvPr id="35" name="Text Box 892">
          <a:extLst>
            <a:ext uri="{FF2B5EF4-FFF2-40B4-BE49-F238E27FC236}">
              <a16:creationId xmlns:a16="http://schemas.microsoft.com/office/drawing/2014/main" id="{00000000-0008-0000-0700-000023000000}"/>
            </a:ext>
          </a:extLst>
        </xdr:cNvPr>
        <xdr:cNvSpPr txBox="1">
          <a:spLocks noChangeArrowheads="1" noTextEdit="1"/>
        </xdr:cNvSpPr>
      </xdr:nvSpPr>
      <xdr:spPr bwMode="auto">
        <a:xfrm>
          <a:off x="17540370" y="16392525"/>
          <a:ext cx="7812798" cy="290318"/>
        </a:xfrm>
        <a:prstGeom prst="rect">
          <a:avLst/>
        </a:prstGeom>
        <a:noFill/>
        <a:ln w="9525" algn="ctr">
          <a:noFill/>
          <a:miter lim="800000"/>
          <a:headEnd/>
          <a:tailEnd/>
        </a:ln>
        <a:effectLst/>
      </xdr:spPr>
      <xdr:txBody>
        <a:bodyPr anchor="ctr"/>
        <a:lstStyle/>
        <a:p>
          <a:pPr algn="l" rtl="0">
            <a:defRPr sz="1000"/>
          </a:pPr>
          <a:fld id="{F18C52DC-0348-4E82-8127-7920F752741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53</xdr:row>
      <xdr:rowOff>0</xdr:rowOff>
    </xdr:from>
    <xdr:to>
      <xdr:col>24</xdr:col>
      <xdr:colOff>1654968</xdr:colOff>
      <xdr:row>54</xdr:row>
      <xdr:rowOff>42668</xdr:rowOff>
    </xdr:to>
    <xdr:sp macro="" textlink="BB54">
      <xdr:nvSpPr>
        <xdr:cNvPr id="36" name="Text Box 893">
          <a:extLst>
            <a:ext uri="{FF2B5EF4-FFF2-40B4-BE49-F238E27FC236}">
              <a16:creationId xmlns:a16="http://schemas.microsoft.com/office/drawing/2014/main" id="{00000000-0008-0000-0700-000024000000}"/>
            </a:ext>
          </a:extLst>
        </xdr:cNvPr>
        <xdr:cNvSpPr txBox="1">
          <a:spLocks noChangeArrowheads="1" noTextEdit="1"/>
        </xdr:cNvSpPr>
      </xdr:nvSpPr>
      <xdr:spPr bwMode="auto">
        <a:xfrm>
          <a:off x="17540370" y="16640175"/>
          <a:ext cx="7812798" cy="290318"/>
        </a:xfrm>
        <a:prstGeom prst="rect">
          <a:avLst/>
        </a:prstGeom>
        <a:noFill/>
        <a:ln w="9525" algn="ctr">
          <a:noFill/>
          <a:miter lim="800000"/>
          <a:headEnd/>
          <a:tailEnd/>
        </a:ln>
        <a:effectLst/>
      </xdr:spPr>
      <xdr:txBody>
        <a:bodyPr anchor="ctr"/>
        <a:lstStyle/>
        <a:p>
          <a:pPr algn="l" rtl="0">
            <a:defRPr sz="1000"/>
          </a:pPr>
          <a:fld id="{E2855E11-544B-4CC9-BC2F-503670D7534A}"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54</xdr:row>
      <xdr:rowOff>0</xdr:rowOff>
    </xdr:from>
    <xdr:to>
      <xdr:col>24</xdr:col>
      <xdr:colOff>1654968</xdr:colOff>
      <xdr:row>55</xdr:row>
      <xdr:rowOff>42668</xdr:rowOff>
    </xdr:to>
    <xdr:sp macro="" textlink="BB55">
      <xdr:nvSpPr>
        <xdr:cNvPr id="37" name="Text Box 894">
          <a:extLst>
            <a:ext uri="{FF2B5EF4-FFF2-40B4-BE49-F238E27FC236}">
              <a16:creationId xmlns:a16="http://schemas.microsoft.com/office/drawing/2014/main" id="{00000000-0008-0000-0700-000025000000}"/>
            </a:ext>
          </a:extLst>
        </xdr:cNvPr>
        <xdr:cNvSpPr txBox="1">
          <a:spLocks noChangeArrowheads="1" noTextEdit="1"/>
        </xdr:cNvSpPr>
      </xdr:nvSpPr>
      <xdr:spPr bwMode="auto">
        <a:xfrm>
          <a:off x="17540370" y="16887825"/>
          <a:ext cx="7812798" cy="290318"/>
        </a:xfrm>
        <a:prstGeom prst="rect">
          <a:avLst/>
        </a:prstGeom>
        <a:noFill/>
        <a:ln w="9525" algn="ctr">
          <a:noFill/>
          <a:miter lim="800000"/>
          <a:headEnd/>
          <a:tailEnd/>
        </a:ln>
        <a:effectLst/>
      </xdr:spPr>
      <xdr:txBody>
        <a:bodyPr anchor="ctr"/>
        <a:lstStyle/>
        <a:p>
          <a:pPr algn="l" rtl="0">
            <a:defRPr sz="1000"/>
          </a:pPr>
          <a:fld id="{F6BB8C87-B4CF-4B0C-ADD8-2E99B464517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55</xdr:row>
      <xdr:rowOff>0</xdr:rowOff>
    </xdr:from>
    <xdr:to>
      <xdr:col>24</xdr:col>
      <xdr:colOff>1654968</xdr:colOff>
      <xdr:row>56</xdr:row>
      <xdr:rowOff>42668</xdr:rowOff>
    </xdr:to>
    <xdr:sp macro="" textlink="BB56">
      <xdr:nvSpPr>
        <xdr:cNvPr id="38" name="Text Box 895">
          <a:extLst>
            <a:ext uri="{FF2B5EF4-FFF2-40B4-BE49-F238E27FC236}">
              <a16:creationId xmlns:a16="http://schemas.microsoft.com/office/drawing/2014/main" id="{00000000-0008-0000-0700-000026000000}"/>
            </a:ext>
          </a:extLst>
        </xdr:cNvPr>
        <xdr:cNvSpPr txBox="1">
          <a:spLocks noChangeArrowheads="1" noTextEdit="1"/>
        </xdr:cNvSpPr>
      </xdr:nvSpPr>
      <xdr:spPr bwMode="auto">
        <a:xfrm>
          <a:off x="17540370" y="17135475"/>
          <a:ext cx="7812798" cy="290318"/>
        </a:xfrm>
        <a:prstGeom prst="rect">
          <a:avLst/>
        </a:prstGeom>
        <a:noFill/>
        <a:ln w="9525" algn="ctr">
          <a:noFill/>
          <a:miter lim="800000"/>
          <a:headEnd/>
          <a:tailEnd/>
        </a:ln>
        <a:effectLst/>
      </xdr:spPr>
      <xdr:txBody>
        <a:bodyPr anchor="ctr"/>
        <a:lstStyle/>
        <a:p>
          <a:pPr algn="l" rtl="0">
            <a:defRPr sz="1000"/>
          </a:pPr>
          <a:fld id="{BEDF2EB2-0F40-44C7-B967-E64262C57506}"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56</xdr:row>
      <xdr:rowOff>0</xdr:rowOff>
    </xdr:from>
    <xdr:to>
      <xdr:col>24</xdr:col>
      <xdr:colOff>1654968</xdr:colOff>
      <xdr:row>56</xdr:row>
      <xdr:rowOff>193650</xdr:rowOff>
    </xdr:to>
    <xdr:sp macro="" textlink="BB57">
      <xdr:nvSpPr>
        <xdr:cNvPr id="39" name="Text Box 896">
          <a:extLst>
            <a:ext uri="{FF2B5EF4-FFF2-40B4-BE49-F238E27FC236}">
              <a16:creationId xmlns:a16="http://schemas.microsoft.com/office/drawing/2014/main" id="{00000000-0008-0000-0700-000027000000}"/>
            </a:ext>
          </a:extLst>
        </xdr:cNvPr>
        <xdr:cNvSpPr txBox="1">
          <a:spLocks noChangeArrowheads="1" noTextEdit="1"/>
        </xdr:cNvSpPr>
      </xdr:nvSpPr>
      <xdr:spPr bwMode="auto">
        <a:xfrm>
          <a:off x="17540370" y="17383125"/>
          <a:ext cx="7812798" cy="193650"/>
        </a:xfrm>
        <a:prstGeom prst="rect">
          <a:avLst/>
        </a:prstGeom>
        <a:noFill/>
        <a:ln w="9525" algn="ctr">
          <a:noFill/>
          <a:miter lim="800000"/>
          <a:headEnd/>
          <a:tailEnd/>
        </a:ln>
        <a:effectLst/>
      </xdr:spPr>
      <xdr:txBody>
        <a:bodyPr anchor="ctr"/>
        <a:lstStyle/>
        <a:p>
          <a:pPr algn="l" rtl="0">
            <a:defRPr sz="1000"/>
          </a:pPr>
          <a:fld id="{772CBD04-DF93-4152-A36A-4F35E5A5CF1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98</xdr:row>
      <xdr:rowOff>0</xdr:rowOff>
    </xdr:from>
    <xdr:to>
      <xdr:col>24</xdr:col>
      <xdr:colOff>1654968</xdr:colOff>
      <xdr:row>98</xdr:row>
      <xdr:rowOff>190939</xdr:rowOff>
    </xdr:to>
    <xdr:sp macro="" textlink="BB99">
      <xdr:nvSpPr>
        <xdr:cNvPr id="40" name="Text Box 899">
          <a:extLst>
            <a:ext uri="{FF2B5EF4-FFF2-40B4-BE49-F238E27FC236}">
              <a16:creationId xmlns:a16="http://schemas.microsoft.com/office/drawing/2014/main" id="{00000000-0008-0000-0700-000028000000}"/>
            </a:ext>
          </a:extLst>
        </xdr:cNvPr>
        <xdr:cNvSpPr txBox="1">
          <a:spLocks noChangeArrowheads="1" noTextEdit="1"/>
        </xdr:cNvSpPr>
      </xdr:nvSpPr>
      <xdr:spPr bwMode="auto">
        <a:xfrm>
          <a:off x="17540370" y="27784425"/>
          <a:ext cx="7812798" cy="190939"/>
        </a:xfrm>
        <a:prstGeom prst="rect">
          <a:avLst/>
        </a:prstGeom>
        <a:noFill/>
        <a:ln w="9525" algn="ctr">
          <a:noFill/>
          <a:miter lim="800000"/>
          <a:headEnd/>
          <a:tailEnd/>
        </a:ln>
        <a:effectLst/>
      </xdr:spPr>
      <xdr:txBody>
        <a:bodyPr anchor="ctr"/>
        <a:lstStyle/>
        <a:p>
          <a:pPr algn="l" rtl="0">
            <a:defRPr sz="1000"/>
          </a:pPr>
          <a:fld id="{D9197331-C341-49B7-AD87-17A6B9B52861}"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xdr:col>
      <xdr:colOff>0</xdr:colOff>
      <xdr:row>14</xdr:row>
      <xdr:rowOff>321128</xdr:rowOff>
    </xdr:from>
    <xdr:to>
      <xdr:col>6</xdr:col>
      <xdr:colOff>4330</xdr:colOff>
      <xdr:row>14</xdr:row>
      <xdr:rowOff>321128</xdr:rowOff>
    </xdr:to>
    <xdr:sp macro="" textlink="">
      <xdr:nvSpPr>
        <xdr:cNvPr id="41" name="Line 974">
          <a:extLst>
            <a:ext uri="{FF2B5EF4-FFF2-40B4-BE49-F238E27FC236}">
              <a16:creationId xmlns:a16="http://schemas.microsoft.com/office/drawing/2014/main" id="{00000000-0008-0000-0700-000029000000}"/>
            </a:ext>
          </a:extLst>
        </xdr:cNvPr>
        <xdr:cNvSpPr>
          <a:spLocks noChangeShapeType="1"/>
        </xdr:cNvSpPr>
      </xdr:nvSpPr>
      <xdr:spPr bwMode="auto">
        <a:xfrm>
          <a:off x="114300" y="5959928"/>
          <a:ext cx="4281055" cy="0"/>
        </a:xfrm>
        <a:prstGeom prst="line">
          <a:avLst/>
        </a:prstGeom>
        <a:noFill/>
        <a:ln w="9525">
          <a:solidFill>
            <a:srgbClr val="969696"/>
          </a:solidFill>
          <a:round/>
          <a:headEnd/>
          <a:tailEnd/>
        </a:ln>
      </xdr:spPr>
    </xdr:sp>
    <xdr:clientData/>
  </xdr:twoCellAnchor>
  <xdr:twoCellAnchor>
    <xdr:from>
      <xdr:col>18</xdr:col>
      <xdr:colOff>33420</xdr:colOff>
      <xdr:row>57</xdr:row>
      <xdr:rowOff>0</xdr:rowOff>
    </xdr:from>
    <xdr:to>
      <xdr:col>24</xdr:col>
      <xdr:colOff>1654968</xdr:colOff>
      <xdr:row>58</xdr:row>
      <xdr:rowOff>47625</xdr:rowOff>
    </xdr:to>
    <xdr:sp macro="" textlink="BB58">
      <xdr:nvSpPr>
        <xdr:cNvPr id="42" name="Text Box 896">
          <a:extLst>
            <a:ext uri="{FF2B5EF4-FFF2-40B4-BE49-F238E27FC236}">
              <a16:creationId xmlns:a16="http://schemas.microsoft.com/office/drawing/2014/main" id="{00000000-0008-0000-0700-00002A000000}"/>
            </a:ext>
          </a:extLst>
        </xdr:cNvPr>
        <xdr:cNvSpPr txBox="1">
          <a:spLocks noChangeArrowheads="1" noTextEdit="1"/>
        </xdr:cNvSpPr>
      </xdr:nvSpPr>
      <xdr:spPr bwMode="auto">
        <a:xfrm>
          <a:off x="17540370" y="17630775"/>
          <a:ext cx="7812798" cy="295275"/>
        </a:xfrm>
        <a:prstGeom prst="rect">
          <a:avLst/>
        </a:prstGeom>
        <a:noFill/>
        <a:ln w="9525" algn="ctr">
          <a:noFill/>
          <a:miter lim="800000"/>
          <a:headEnd/>
          <a:tailEnd/>
        </a:ln>
        <a:effectLst/>
      </xdr:spPr>
      <xdr:txBody>
        <a:bodyPr anchor="ctr"/>
        <a:lstStyle/>
        <a:p>
          <a:pPr algn="l" rtl="0">
            <a:defRPr sz="1000"/>
          </a:pPr>
          <a:fld id="{C035084C-14B7-4D1C-B7E9-D5643BBC848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58</xdr:row>
      <xdr:rowOff>0</xdr:rowOff>
    </xdr:from>
    <xdr:to>
      <xdr:col>24</xdr:col>
      <xdr:colOff>1654968</xdr:colOff>
      <xdr:row>59</xdr:row>
      <xdr:rowOff>47625</xdr:rowOff>
    </xdr:to>
    <xdr:sp macro="" textlink="BB59">
      <xdr:nvSpPr>
        <xdr:cNvPr id="43" name="Text Box 896">
          <a:extLst>
            <a:ext uri="{FF2B5EF4-FFF2-40B4-BE49-F238E27FC236}">
              <a16:creationId xmlns:a16="http://schemas.microsoft.com/office/drawing/2014/main" id="{00000000-0008-0000-0700-00002B000000}"/>
            </a:ext>
          </a:extLst>
        </xdr:cNvPr>
        <xdr:cNvSpPr txBox="1">
          <a:spLocks noChangeArrowheads="1" noTextEdit="1"/>
        </xdr:cNvSpPr>
      </xdr:nvSpPr>
      <xdr:spPr bwMode="auto">
        <a:xfrm>
          <a:off x="17540370" y="17878425"/>
          <a:ext cx="7812798" cy="295275"/>
        </a:xfrm>
        <a:prstGeom prst="rect">
          <a:avLst/>
        </a:prstGeom>
        <a:noFill/>
        <a:ln w="9525" algn="ctr">
          <a:noFill/>
          <a:miter lim="800000"/>
          <a:headEnd/>
          <a:tailEnd/>
        </a:ln>
        <a:effectLst/>
      </xdr:spPr>
      <xdr:txBody>
        <a:bodyPr anchor="ctr"/>
        <a:lstStyle/>
        <a:p>
          <a:pPr algn="l" rtl="0">
            <a:defRPr sz="1000"/>
          </a:pPr>
          <a:fld id="{D988B978-9D15-4881-944C-0B9FEF0B61D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59</xdr:row>
      <xdr:rowOff>0</xdr:rowOff>
    </xdr:from>
    <xdr:to>
      <xdr:col>24</xdr:col>
      <xdr:colOff>1654968</xdr:colOff>
      <xdr:row>60</xdr:row>
      <xdr:rowOff>47625</xdr:rowOff>
    </xdr:to>
    <xdr:sp macro="" textlink="BB60">
      <xdr:nvSpPr>
        <xdr:cNvPr id="44" name="Text Box 896">
          <a:extLst>
            <a:ext uri="{FF2B5EF4-FFF2-40B4-BE49-F238E27FC236}">
              <a16:creationId xmlns:a16="http://schemas.microsoft.com/office/drawing/2014/main" id="{00000000-0008-0000-0700-00002C000000}"/>
            </a:ext>
          </a:extLst>
        </xdr:cNvPr>
        <xdr:cNvSpPr txBox="1">
          <a:spLocks noChangeArrowheads="1" noTextEdit="1"/>
        </xdr:cNvSpPr>
      </xdr:nvSpPr>
      <xdr:spPr bwMode="auto">
        <a:xfrm>
          <a:off x="17540370" y="18126075"/>
          <a:ext cx="7812798" cy="295275"/>
        </a:xfrm>
        <a:prstGeom prst="rect">
          <a:avLst/>
        </a:prstGeom>
        <a:noFill/>
        <a:ln w="9525" algn="ctr">
          <a:noFill/>
          <a:miter lim="800000"/>
          <a:headEnd/>
          <a:tailEnd/>
        </a:ln>
        <a:effectLst/>
      </xdr:spPr>
      <xdr:txBody>
        <a:bodyPr anchor="ctr"/>
        <a:lstStyle/>
        <a:p>
          <a:pPr algn="l" rtl="0">
            <a:defRPr sz="1000"/>
          </a:pPr>
          <a:fld id="{773A93AA-687F-4414-A9DC-321BB770EDF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60</xdr:row>
      <xdr:rowOff>0</xdr:rowOff>
    </xdr:from>
    <xdr:to>
      <xdr:col>24</xdr:col>
      <xdr:colOff>1654968</xdr:colOff>
      <xdr:row>61</xdr:row>
      <xdr:rowOff>47625</xdr:rowOff>
    </xdr:to>
    <xdr:sp macro="" textlink="BB61">
      <xdr:nvSpPr>
        <xdr:cNvPr id="45" name="Text Box 896">
          <a:extLst>
            <a:ext uri="{FF2B5EF4-FFF2-40B4-BE49-F238E27FC236}">
              <a16:creationId xmlns:a16="http://schemas.microsoft.com/office/drawing/2014/main" id="{00000000-0008-0000-0700-00002D000000}"/>
            </a:ext>
          </a:extLst>
        </xdr:cNvPr>
        <xdr:cNvSpPr txBox="1">
          <a:spLocks noChangeArrowheads="1" noTextEdit="1"/>
        </xdr:cNvSpPr>
      </xdr:nvSpPr>
      <xdr:spPr bwMode="auto">
        <a:xfrm>
          <a:off x="17540370" y="18373725"/>
          <a:ext cx="7812798" cy="295275"/>
        </a:xfrm>
        <a:prstGeom prst="rect">
          <a:avLst/>
        </a:prstGeom>
        <a:noFill/>
        <a:ln w="9525" algn="ctr">
          <a:noFill/>
          <a:miter lim="800000"/>
          <a:headEnd/>
          <a:tailEnd/>
        </a:ln>
        <a:effectLst/>
      </xdr:spPr>
      <xdr:txBody>
        <a:bodyPr anchor="ctr"/>
        <a:lstStyle/>
        <a:p>
          <a:pPr algn="l" rtl="0">
            <a:defRPr sz="1000"/>
          </a:pPr>
          <a:fld id="{53EBDBE5-2859-4475-A96F-A713BEE90B2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61</xdr:row>
      <xdr:rowOff>0</xdr:rowOff>
    </xdr:from>
    <xdr:to>
      <xdr:col>24</xdr:col>
      <xdr:colOff>1654968</xdr:colOff>
      <xdr:row>62</xdr:row>
      <xdr:rowOff>47625</xdr:rowOff>
    </xdr:to>
    <xdr:sp macro="" textlink="BB62">
      <xdr:nvSpPr>
        <xdr:cNvPr id="46" name="Text Box 896">
          <a:extLst>
            <a:ext uri="{FF2B5EF4-FFF2-40B4-BE49-F238E27FC236}">
              <a16:creationId xmlns:a16="http://schemas.microsoft.com/office/drawing/2014/main" id="{00000000-0008-0000-0700-00002E000000}"/>
            </a:ext>
          </a:extLst>
        </xdr:cNvPr>
        <xdr:cNvSpPr txBox="1">
          <a:spLocks noChangeArrowheads="1" noTextEdit="1"/>
        </xdr:cNvSpPr>
      </xdr:nvSpPr>
      <xdr:spPr bwMode="auto">
        <a:xfrm>
          <a:off x="17540370" y="18621375"/>
          <a:ext cx="7812798" cy="295275"/>
        </a:xfrm>
        <a:prstGeom prst="rect">
          <a:avLst/>
        </a:prstGeom>
        <a:noFill/>
        <a:ln w="9525" algn="ctr">
          <a:noFill/>
          <a:miter lim="800000"/>
          <a:headEnd/>
          <a:tailEnd/>
        </a:ln>
        <a:effectLst/>
      </xdr:spPr>
      <xdr:txBody>
        <a:bodyPr anchor="ctr"/>
        <a:lstStyle/>
        <a:p>
          <a:pPr algn="l" rtl="0">
            <a:defRPr sz="1000"/>
          </a:pPr>
          <a:fld id="{2197D0D2-3055-41A9-B5E3-672108A1B101}"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62</xdr:row>
      <xdr:rowOff>0</xdr:rowOff>
    </xdr:from>
    <xdr:to>
      <xdr:col>24</xdr:col>
      <xdr:colOff>1654968</xdr:colOff>
      <xdr:row>63</xdr:row>
      <xdr:rowOff>47625</xdr:rowOff>
    </xdr:to>
    <xdr:sp macro="" textlink="BB63">
      <xdr:nvSpPr>
        <xdr:cNvPr id="47" name="Text Box 896">
          <a:extLst>
            <a:ext uri="{FF2B5EF4-FFF2-40B4-BE49-F238E27FC236}">
              <a16:creationId xmlns:a16="http://schemas.microsoft.com/office/drawing/2014/main" id="{00000000-0008-0000-0700-00002F000000}"/>
            </a:ext>
          </a:extLst>
        </xdr:cNvPr>
        <xdr:cNvSpPr txBox="1">
          <a:spLocks noChangeArrowheads="1" noTextEdit="1"/>
        </xdr:cNvSpPr>
      </xdr:nvSpPr>
      <xdr:spPr bwMode="auto">
        <a:xfrm>
          <a:off x="17540370" y="18869025"/>
          <a:ext cx="7812798" cy="295275"/>
        </a:xfrm>
        <a:prstGeom prst="rect">
          <a:avLst/>
        </a:prstGeom>
        <a:noFill/>
        <a:ln w="9525" algn="ctr">
          <a:noFill/>
          <a:miter lim="800000"/>
          <a:headEnd/>
          <a:tailEnd/>
        </a:ln>
        <a:effectLst/>
      </xdr:spPr>
      <xdr:txBody>
        <a:bodyPr anchor="ctr"/>
        <a:lstStyle/>
        <a:p>
          <a:pPr algn="l" rtl="0">
            <a:defRPr sz="1000"/>
          </a:pPr>
          <a:fld id="{825684CB-A26B-4575-9C25-85A89041FE0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63</xdr:row>
      <xdr:rowOff>0</xdr:rowOff>
    </xdr:from>
    <xdr:to>
      <xdr:col>24</xdr:col>
      <xdr:colOff>1654968</xdr:colOff>
      <xdr:row>64</xdr:row>
      <xdr:rowOff>47625</xdr:rowOff>
    </xdr:to>
    <xdr:sp macro="" textlink="BB64">
      <xdr:nvSpPr>
        <xdr:cNvPr id="48" name="Text Box 896">
          <a:extLst>
            <a:ext uri="{FF2B5EF4-FFF2-40B4-BE49-F238E27FC236}">
              <a16:creationId xmlns:a16="http://schemas.microsoft.com/office/drawing/2014/main" id="{00000000-0008-0000-0700-000030000000}"/>
            </a:ext>
          </a:extLst>
        </xdr:cNvPr>
        <xdr:cNvSpPr txBox="1">
          <a:spLocks noChangeArrowheads="1" noTextEdit="1"/>
        </xdr:cNvSpPr>
      </xdr:nvSpPr>
      <xdr:spPr bwMode="auto">
        <a:xfrm>
          <a:off x="17540370" y="19116675"/>
          <a:ext cx="7812798" cy="295275"/>
        </a:xfrm>
        <a:prstGeom prst="rect">
          <a:avLst/>
        </a:prstGeom>
        <a:noFill/>
        <a:ln w="9525" algn="ctr">
          <a:noFill/>
          <a:miter lim="800000"/>
          <a:headEnd/>
          <a:tailEnd/>
        </a:ln>
        <a:effectLst/>
      </xdr:spPr>
      <xdr:txBody>
        <a:bodyPr anchor="ctr"/>
        <a:lstStyle/>
        <a:p>
          <a:pPr algn="l" rtl="0">
            <a:defRPr sz="1000"/>
          </a:pPr>
          <a:fld id="{BE6E2DD9-2DF5-47C9-9005-63385ABB693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64</xdr:row>
      <xdr:rowOff>0</xdr:rowOff>
    </xdr:from>
    <xdr:to>
      <xdr:col>24</xdr:col>
      <xdr:colOff>1654968</xdr:colOff>
      <xdr:row>65</xdr:row>
      <xdr:rowOff>47625</xdr:rowOff>
    </xdr:to>
    <xdr:sp macro="" textlink="BB65">
      <xdr:nvSpPr>
        <xdr:cNvPr id="49" name="Text Box 896">
          <a:extLst>
            <a:ext uri="{FF2B5EF4-FFF2-40B4-BE49-F238E27FC236}">
              <a16:creationId xmlns:a16="http://schemas.microsoft.com/office/drawing/2014/main" id="{00000000-0008-0000-0700-000031000000}"/>
            </a:ext>
          </a:extLst>
        </xdr:cNvPr>
        <xdr:cNvSpPr txBox="1">
          <a:spLocks noChangeArrowheads="1" noTextEdit="1"/>
        </xdr:cNvSpPr>
      </xdr:nvSpPr>
      <xdr:spPr bwMode="auto">
        <a:xfrm>
          <a:off x="17540370" y="19364325"/>
          <a:ext cx="7812798" cy="295275"/>
        </a:xfrm>
        <a:prstGeom prst="rect">
          <a:avLst/>
        </a:prstGeom>
        <a:noFill/>
        <a:ln w="9525" algn="ctr">
          <a:noFill/>
          <a:miter lim="800000"/>
          <a:headEnd/>
          <a:tailEnd/>
        </a:ln>
        <a:effectLst/>
      </xdr:spPr>
      <xdr:txBody>
        <a:bodyPr anchor="ctr"/>
        <a:lstStyle/>
        <a:p>
          <a:pPr algn="l" rtl="0">
            <a:defRPr sz="1000"/>
          </a:pPr>
          <a:fld id="{F673821A-21DC-42D3-B658-88B3DCF1669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65</xdr:row>
      <xdr:rowOff>0</xdr:rowOff>
    </xdr:from>
    <xdr:to>
      <xdr:col>24</xdr:col>
      <xdr:colOff>1654968</xdr:colOff>
      <xdr:row>66</xdr:row>
      <xdr:rowOff>47625</xdr:rowOff>
    </xdr:to>
    <xdr:sp macro="" textlink="BB66">
      <xdr:nvSpPr>
        <xdr:cNvPr id="50" name="Text Box 896">
          <a:extLst>
            <a:ext uri="{FF2B5EF4-FFF2-40B4-BE49-F238E27FC236}">
              <a16:creationId xmlns:a16="http://schemas.microsoft.com/office/drawing/2014/main" id="{00000000-0008-0000-0700-000032000000}"/>
            </a:ext>
          </a:extLst>
        </xdr:cNvPr>
        <xdr:cNvSpPr txBox="1">
          <a:spLocks noChangeArrowheads="1" noTextEdit="1"/>
        </xdr:cNvSpPr>
      </xdr:nvSpPr>
      <xdr:spPr bwMode="auto">
        <a:xfrm>
          <a:off x="17540370" y="19611975"/>
          <a:ext cx="7812798" cy="295275"/>
        </a:xfrm>
        <a:prstGeom prst="rect">
          <a:avLst/>
        </a:prstGeom>
        <a:noFill/>
        <a:ln w="9525" algn="ctr">
          <a:noFill/>
          <a:miter lim="800000"/>
          <a:headEnd/>
          <a:tailEnd/>
        </a:ln>
        <a:effectLst/>
      </xdr:spPr>
      <xdr:txBody>
        <a:bodyPr anchor="ctr"/>
        <a:lstStyle/>
        <a:p>
          <a:pPr algn="l" rtl="0">
            <a:defRPr sz="1000"/>
          </a:pPr>
          <a:fld id="{ED7268BF-FF23-4C1D-970C-7D5D0754B7C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66</xdr:row>
      <xdr:rowOff>0</xdr:rowOff>
    </xdr:from>
    <xdr:to>
      <xdr:col>24</xdr:col>
      <xdr:colOff>1654968</xdr:colOff>
      <xdr:row>67</xdr:row>
      <xdr:rowOff>47625</xdr:rowOff>
    </xdr:to>
    <xdr:sp macro="" textlink="BB67">
      <xdr:nvSpPr>
        <xdr:cNvPr id="51" name="Text Box 896">
          <a:extLst>
            <a:ext uri="{FF2B5EF4-FFF2-40B4-BE49-F238E27FC236}">
              <a16:creationId xmlns:a16="http://schemas.microsoft.com/office/drawing/2014/main" id="{00000000-0008-0000-0700-000033000000}"/>
            </a:ext>
          </a:extLst>
        </xdr:cNvPr>
        <xdr:cNvSpPr txBox="1">
          <a:spLocks noChangeArrowheads="1" noTextEdit="1"/>
        </xdr:cNvSpPr>
      </xdr:nvSpPr>
      <xdr:spPr bwMode="auto">
        <a:xfrm>
          <a:off x="17540370" y="19859625"/>
          <a:ext cx="7812798" cy="295275"/>
        </a:xfrm>
        <a:prstGeom prst="rect">
          <a:avLst/>
        </a:prstGeom>
        <a:noFill/>
        <a:ln w="9525" algn="ctr">
          <a:noFill/>
          <a:miter lim="800000"/>
          <a:headEnd/>
          <a:tailEnd/>
        </a:ln>
        <a:effectLst/>
      </xdr:spPr>
      <xdr:txBody>
        <a:bodyPr anchor="ctr"/>
        <a:lstStyle/>
        <a:p>
          <a:pPr algn="l" rtl="0">
            <a:defRPr sz="1000"/>
          </a:pPr>
          <a:fld id="{A936BA47-6253-4B9A-9BCB-6D4C55B3E1B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67</xdr:row>
      <xdr:rowOff>0</xdr:rowOff>
    </xdr:from>
    <xdr:to>
      <xdr:col>24</xdr:col>
      <xdr:colOff>1654968</xdr:colOff>
      <xdr:row>68</xdr:row>
      <xdr:rowOff>47625</xdr:rowOff>
    </xdr:to>
    <xdr:sp macro="" textlink="BB68">
      <xdr:nvSpPr>
        <xdr:cNvPr id="52" name="Text Box 896">
          <a:extLst>
            <a:ext uri="{FF2B5EF4-FFF2-40B4-BE49-F238E27FC236}">
              <a16:creationId xmlns:a16="http://schemas.microsoft.com/office/drawing/2014/main" id="{00000000-0008-0000-0700-000034000000}"/>
            </a:ext>
          </a:extLst>
        </xdr:cNvPr>
        <xdr:cNvSpPr txBox="1">
          <a:spLocks noChangeArrowheads="1" noTextEdit="1"/>
        </xdr:cNvSpPr>
      </xdr:nvSpPr>
      <xdr:spPr bwMode="auto">
        <a:xfrm>
          <a:off x="17540370" y="20107275"/>
          <a:ext cx="7812798" cy="295275"/>
        </a:xfrm>
        <a:prstGeom prst="rect">
          <a:avLst/>
        </a:prstGeom>
        <a:noFill/>
        <a:ln w="9525" algn="ctr">
          <a:noFill/>
          <a:miter lim="800000"/>
          <a:headEnd/>
          <a:tailEnd/>
        </a:ln>
        <a:effectLst/>
      </xdr:spPr>
      <xdr:txBody>
        <a:bodyPr anchor="ctr"/>
        <a:lstStyle/>
        <a:p>
          <a:pPr algn="l" rtl="0">
            <a:defRPr sz="1000"/>
          </a:pPr>
          <a:fld id="{FB96D5F0-384F-4008-943F-ED7787BE724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68</xdr:row>
      <xdr:rowOff>0</xdr:rowOff>
    </xdr:from>
    <xdr:to>
      <xdr:col>24</xdr:col>
      <xdr:colOff>1654968</xdr:colOff>
      <xdr:row>69</xdr:row>
      <xdr:rowOff>47625</xdr:rowOff>
    </xdr:to>
    <xdr:sp macro="" textlink="BB69">
      <xdr:nvSpPr>
        <xdr:cNvPr id="53" name="Text Box 896">
          <a:extLst>
            <a:ext uri="{FF2B5EF4-FFF2-40B4-BE49-F238E27FC236}">
              <a16:creationId xmlns:a16="http://schemas.microsoft.com/office/drawing/2014/main" id="{00000000-0008-0000-0700-000035000000}"/>
            </a:ext>
          </a:extLst>
        </xdr:cNvPr>
        <xdr:cNvSpPr txBox="1">
          <a:spLocks noChangeArrowheads="1" noTextEdit="1"/>
        </xdr:cNvSpPr>
      </xdr:nvSpPr>
      <xdr:spPr bwMode="auto">
        <a:xfrm>
          <a:off x="17540370" y="20354925"/>
          <a:ext cx="7812798" cy="295275"/>
        </a:xfrm>
        <a:prstGeom prst="rect">
          <a:avLst/>
        </a:prstGeom>
        <a:noFill/>
        <a:ln w="9525" algn="ctr">
          <a:noFill/>
          <a:miter lim="800000"/>
          <a:headEnd/>
          <a:tailEnd/>
        </a:ln>
        <a:effectLst/>
      </xdr:spPr>
      <xdr:txBody>
        <a:bodyPr anchor="ctr"/>
        <a:lstStyle/>
        <a:p>
          <a:pPr algn="l" rtl="0">
            <a:defRPr sz="1000"/>
          </a:pPr>
          <a:fld id="{12A84663-2CB3-48D0-AC41-111238334BB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69</xdr:row>
      <xdr:rowOff>0</xdr:rowOff>
    </xdr:from>
    <xdr:to>
      <xdr:col>24</xdr:col>
      <xdr:colOff>1654968</xdr:colOff>
      <xdr:row>70</xdr:row>
      <xdr:rowOff>47625</xdr:rowOff>
    </xdr:to>
    <xdr:sp macro="" textlink="BB70">
      <xdr:nvSpPr>
        <xdr:cNvPr id="54" name="Text Box 896">
          <a:extLst>
            <a:ext uri="{FF2B5EF4-FFF2-40B4-BE49-F238E27FC236}">
              <a16:creationId xmlns:a16="http://schemas.microsoft.com/office/drawing/2014/main" id="{00000000-0008-0000-0700-000036000000}"/>
            </a:ext>
          </a:extLst>
        </xdr:cNvPr>
        <xdr:cNvSpPr txBox="1">
          <a:spLocks noChangeArrowheads="1" noTextEdit="1"/>
        </xdr:cNvSpPr>
      </xdr:nvSpPr>
      <xdr:spPr bwMode="auto">
        <a:xfrm>
          <a:off x="17540370" y="20602575"/>
          <a:ext cx="7812798" cy="295275"/>
        </a:xfrm>
        <a:prstGeom prst="rect">
          <a:avLst/>
        </a:prstGeom>
        <a:noFill/>
        <a:ln w="9525" algn="ctr">
          <a:noFill/>
          <a:miter lim="800000"/>
          <a:headEnd/>
          <a:tailEnd/>
        </a:ln>
        <a:effectLst/>
      </xdr:spPr>
      <xdr:txBody>
        <a:bodyPr anchor="ctr"/>
        <a:lstStyle/>
        <a:p>
          <a:pPr algn="l" rtl="0">
            <a:defRPr sz="1000"/>
          </a:pPr>
          <a:fld id="{5CAA243F-0557-4864-ACF3-7DFC3A7E166A}"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70</xdr:row>
      <xdr:rowOff>0</xdr:rowOff>
    </xdr:from>
    <xdr:to>
      <xdr:col>24</xdr:col>
      <xdr:colOff>1654968</xdr:colOff>
      <xdr:row>71</xdr:row>
      <xdr:rowOff>47625</xdr:rowOff>
    </xdr:to>
    <xdr:sp macro="" textlink="BB71">
      <xdr:nvSpPr>
        <xdr:cNvPr id="55" name="Text Box 896">
          <a:extLst>
            <a:ext uri="{FF2B5EF4-FFF2-40B4-BE49-F238E27FC236}">
              <a16:creationId xmlns:a16="http://schemas.microsoft.com/office/drawing/2014/main" id="{00000000-0008-0000-0700-000037000000}"/>
            </a:ext>
          </a:extLst>
        </xdr:cNvPr>
        <xdr:cNvSpPr txBox="1">
          <a:spLocks noChangeArrowheads="1" noTextEdit="1"/>
        </xdr:cNvSpPr>
      </xdr:nvSpPr>
      <xdr:spPr bwMode="auto">
        <a:xfrm>
          <a:off x="17540370" y="20850225"/>
          <a:ext cx="7812798" cy="295275"/>
        </a:xfrm>
        <a:prstGeom prst="rect">
          <a:avLst/>
        </a:prstGeom>
        <a:noFill/>
        <a:ln w="9525" algn="ctr">
          <a:noFill/>
          <a:miter lim="800000"/>
          <a:headEnd/>
          <a:tailEnd/>
        </a:ln>
        <a:effectLst/>
      </xdr:spPr>
      <xdr:txBody>
        <a:bodyPr anchor="ctr"/>
        <a:lstStyle/>
        <a:p>
          <a:pPr algn="l" rtl="0">
            <a:defRPr sz="1000"/>
          </a:pPr>
          <a:fld id="{9FA38E94-EC80-4A77-B5A3-E9C7D387413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71</xdr:row>
      <xdr:rowOff>0</xdr:rowOff>
    </xdr:from>
    <xdr:to>
      <xdr:col>24</xdr:col>
      <xdr:colOff>1654968</xdr:colOff>
      <xdr:row>72</xdr:row>
      <xdr:rowOff>47625</xdr:rowOff>
    </xdr:to>
    <xdr:sp macro="" textlink="BB72">
      <xdr:nvSpPr>
        <xdr:cNvPr id="56" name="Text Box 896">
          <a:extLst>
            <a:ext uri="{FF2B5EF4-FFF2-40B4-BE49-F238E27FC236}">
              <a16:creationId xmlns:a16="http://schemas.microsoft.com/office/drawing/2014/main" id="{00000000-0008-0000-0700-000038000000}"/>
            </a:ext>
          </a:extLst>
        </xdr:cNvPr>
        <xdr:cNvSpPr txBox="1">
          <a:spLocks noChangeArrowheads="1" noTextEdit="1"/>
        </xdr:cNvSpPr>
      </xdr:nvSpPr>
      <xdr:spPr bwMode="auto">
        <a:xfrm>
          <a:off x="17540370" y="21097875"/>
          <a:ext cx="7812798" cy="295275"/>
        </a:xfrm>
        <a:prstGeom prst="rect">
          <a:avLst/>
        </a:prstGeom>
        <a:noFill/>
        <a:ln w="9525" algn="ctr">
          <a:noFill/>
          <a:miter lim="800000"/>
          <a:headEnd/>
          <a:tailEnd/>
        </a:ln>
        <a:effectLst/>
      </xdr:spPr>
      <xdr:txBody>
        <a:bodyPr anchor="ctr"/>
        <a:lstStyle/>
        <a:p>
          <a:pPr algn="l" rtl="0">
            <a:defRPr sz="1000"/>
          </a:pPr>
          <a:fld id="{204EE93E-B1FC-4DC4-8A40-B8CAC702330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72</xdr:row>
      <xdr:rowOff>0</xdr:rowOff>
    </xdr:from>
    <xdr:to>
      <xdr:col>24</xdr:col>
      <xdr:colOff>1654968</xdr:colOff>
      <xdr:row>73</xdr:row>
      <xdr:rowOff>47625</xdr:rowOff>
    </xdr:to>
    <xdr:sp macro="" textlink="BB73">
      <xdr:nvSpPr>
        <xdr:cNvPr id="57" name="Text Box 896">
          <a:extLst>
            <a:ext uri="{FF2B5EF4-FFF2-40B4-BE49-F238E27FC236}">
              <a16:creationId xmlns:a16="http://schemas.microsoft.com/office/drawing/2014/main" id="{00000000-0008-0000-0700-000039000000}"/>
            </a:ext>
          </a:extLst>
        </xdr:cNvPr>
        <xdr:cNvSpPr txBox="1">
          <a:spLocks noChangeArrowheads="1" noTextEdit="1"/>
        </xdr:cNvSpPr>
      </xdr:nvSpPr>
      <xdr:spPr bwMode="auto">
        <a:xfrm>
          <a:off x="17540370" y="21345525"/>
          <a:ext cx="7812798" cy="295275"/>
        </a:xfrm>
        <a:prstGeom prst="rect">
          <a:avLst/>
        </a:prstGeom>
        <a:noFill/>
        <a:ln w="9525" algn="ctr">
          <a:noFill/>
          <a:miter lim="800000"/>
          <a:headEnd/>
          <a:tailEnd/>
        </a:ln>
        <a:effectLst/>
      </xdr:spPr>
      <xdr:txBody>
        <a:bodyPr anchor="ctr"/>
        <a:lstStyle/>
        <a:p>
          <a:pPr algn="l" rtl="0">
            <a:defRPr sz="1000"/>
          </a:pPr>
          <a:fld id="{48C7E900-AE1D-4516-96A0-2FF09A34957D}"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73</xdr:row>
      <xdr:rowOff>0</xdr:rowOff>
    </xdr:from>
    <xdr:to>
      <xdr:col>24</xdr:col>
      <xdr:colOff>1654968</xdr:colOff>
      <xdr:row>74</xdr:row>
      <xdr:rowOff>47625</xdr:rowOff>
    </xdr:to>
    <xdr:sp macro="" textlink="BB74">
      <xdr:nvSpPr>
        <xdr:cNvPr id="58" name="Text Box 896">
          <a:extLst>
            <a:ext uri="{FF2B5EF4-FFF2-40B4-BE49-F238E27FC236}">
              <a16:creationId xmlns:a16="http://schemas.microsoft.com/office/drawing/2014/main" id="{00000000-0008-0000-0700-00003A000000}"/>
            </a:ext>
          </a:extLst>
        </xdr:cNvPr>
        <xdr:cNvSpPr txBox="1">
          <a:spLocks noChangeArrowheads="1" noTextEdit="1"/>
        </xdr:cNvSpPr>
      </xdr:nvSpPr>
      <xdr:spPr bwMode="auto">
        <a:xfrm>
          <a:off x="17540370" y="21593175"/>
          <a:ext cx="7812798" cy="295275"/>
        </a:xfrm>
        <a:prstGeom prst="rect">
          <a:avLst/>
        </a:prstGeom>
        <a:noFill/>
        <a:ln w="9525" algn="ctr">
          <a:noFill/>
          <a:miter lim="800000"/>
          <a:headEnd/>
          <a:tailEnd/>
        </a:ln>
        <a:effectLst/>
      </xdr:spPr>
      <xdr:txBody>
        <a:bodyPr anchor="ctr"/>
        <a:lstStyle/>
        <a:p>
          <a:pPr algn="l" rtl="0">
            <a:defRPr sz="1000"/>
          </a:pPr>
          <a:fld id="{9794EBAB-14E8-44C3-A817-DF6A0A1B731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74</xdr:row>
      <xdr:rowOff>0</xdr:rowOff>
    </xdr:from>
    <xdr:to>
      <xdr:col>24</xdr:col>
      <xdr:colOff>1654968</xdr:colOff>
      <xdr:row>75</xdr:row>
      <xdr:rowOff>47625</xdr:rowOff>
    </xdr:to>
    <xdr:sp macro="" textlink="BB75">
      <xdr:nvSpPr>
        <xdr:cNvPr id="59" name="Text Box 896">
          <a:extLst>
            <a:ext uri="{FF2B5EF4-FFF2-40B4-BE49-F238E27FC236}">
              <a16:creationId xmlns:a16="http://schemas.microsoft.com/office/drawing/2014/main" id="{00000000-0008-0000-0700-00003B000000}"/>
            </a:ext>
          </a:extLst>
        </xdr:cNvPr>
        <xdr:cNvSpPr txBox="1">
          <a:spLocks noChangeArrowheads="1" noTextEdit="1"/>
        </xdr:cNvSpPr>
      </xdr:nvSpPr>
      <xdr:spPr bwMode="auto">
        <a:xfrm>
          <a:off x="17540370" y="21840825"/>
          <a:ext cx="7812798" cy="295275"/>
        </a:xfrm>
        <a:prstGeom prst="rect">
          <a:avLst/>
        </a:prstGeom>
        <a:noFill/>
        <a:ln w="9525" algn="ctr">
          <a:noFill/>
          <a:miter lim="800000"/>
          <a:headEnd/>
          <a:tailEnd/>
        </a:ln>
        <a:effectLst/>
      </xdr:spPr>
      <xdr:txBody>
        <a:bodyPr anchor="ctr"/>
        <a:lstStyle/>
        <a:p>
          <a:pPr algn="l" rtl="0">
            <a:defRPr sz="1000"/>
          </a:pPr>
          <a:fld id="{31EC8AD4-A5ED-4B9E-93CC-5232A6BF1C22}"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75</xdr:row>
      <xdr:rowOff>0</xdr:rowOff>
    </xdr:from>
    <xdr:to>
      <xdr:col>24</xdr:col>
      <xdr:colOff>1654968</xdr:colOff>
      <xdr:row>76</xdr:row>
      <xdr:rowOff>47625</xdr:rowOff>
    </xdr:to>
    <xdr:sp macro="" textlink="BB76">
      <xdr:nvSpPr>
        <xdr:cNvPr id="60" name="Text Box 896">
          <a:extLst>
            <a:ext uri="{FF2B5EF4-FFF2-40B4-BE49-F238E27FC236}">
              <a16:creationId xmlns:a16="http://schemas.microsoft.com/office/drawing/2014/main" id="{00000000-0008-0000-0700-00003C000000}"/>
            </a:ext>
          </a:extLst>
        </xdr:cNvPr>
        <xdr:cNvSpPr txBox="1">
          <a:spLocks noChangeArrowheads="1" noTextEdit="1"/>
        </xdr:cNvSpPr>
      </xdr:nvSpPr>
      <xdr:spPr bwMode="auto">
        <a:xfrm>
          <a:off x="17540370" y="22088475"/>
          <a:ext cx="7812798" cy="295275"/>
        </a:xfrm>
        <a:prstGeom prst="rect">
          <a:avLst/>
        </a:prstGeom>
        <a:noFill/>
        <a:ln w="9525" algn="ctr">
          <a:noFill/>
          <a:miter lim="800000"/>
          <a:headEnd/>
          <a:tailEnd/>
        </a:ln>
        <a:effectLst/>
      </xdr:spPr>
      <xdr:txBody>
        <a:bodyPr anchor="ctr"/>
        <a:lstStyle/>
        <a:p>
          <a:pPr algn="l" rtl="0">
            <a:defRPr sz="1000"/>
          </a:pPr>
          <a:fld id="{227B3F19-204E-46C3-A5A2-0E30923ABAAD}"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76</xdr:row>
      <xdr:rowOff>0</xdr:rowOff>
    </xdr:from>
    <xdr:to>
      <xdr:col>24</xdr:col>
      <xdr:colOff>1654968</xdr:colOff>
      <xdr:row>77</xdr:row>
      <xdr:rowOff>47625</xdr:rowOff>
    </xdr:to>
    <xdr:sp macro="" textlink="BB77">
      <xdr:nvSpPr>
        <xdr:cNvPr id="61" name="Text Box 896">
          <a:extLst>
            <a:ext uri="{FF2B5EF4-FFF2-40B4-BE49-F238E27FC236}">
              <a16:creationId xmlns:a16="http://schemas.microsoft.com/office/drawing/2014/main" id="{00000000-0008-0000-0700-00003D000000}"/>
            </a:ext>
          </a:extLst>
        </xdr:cNvPr>
        <xdr:cNvSpPr txBox="1">
          <a:spLocks noChangeArrowheads="1" noTextEdit="1"/>
        </xdr:cNvSpPr>
      </xdr:nvSpPr>
      <xdr:spPr bwMode="auto">
        <a:xfrm>
          <a:off x="17540370" y="22336125"/>
          <a:ext cx="7812798" cy="295275"/>
        </a:xfrm>
        <a:prstGeom prst="rect">
          <a:avLst/>
        </a:prstGeom>
        <a:noFill/>
        <a:ln w="9525" algn="ctr">
          <a:noFill/>
          <a:miter lim="800000"/>
          <a:headEnd/>
          <a:tailEnd/>
        </a:ln>
        <a:effectLst/>
      </xdr:spPr>
      <xdr:txBody>
        <a:bodyPr anchor="ctr"/>
        <a:lstStyle/>
        <a:p>
          <a:pPr algn="l" rtl="0">
            <a:defRPr sz="1000"/>
          </a:pPr>
          <a:fld id="{795D69DE-F57F-407A-BAAB-501C31497C2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77</xdr:row>
      <xdr:rowOff>0</xdr:rowOff>
    </xdr:from>
    <xdr:to>
      <xdr:col>24</xdr:col>
      <xdr:colOff>1654968</xdr:colOff>
      <xdr:row>78</xdr:row>
      <xdr:rowOff>47625</xdr:rowOff>
    </xdr:to>
    <xdr:sp macro="" textlink="BB78">
      <xdr:nvSpPr>
        <xdr:cNvPr id="62" name="Text Box 896">
          <a:extLst>
            <a:ext uri="{FF2B5EF4-FFF2-40B4-BE49-F238E27FC236}">
              <a16:creationId xmlns:a16="http://schemas.microsoft.com/office/drawing/2014/main" id="{00000000-0008-0000-0700-00003E000000}"/>
            </a:ext>
          </a:extLst>
        </xdr:cNvPr>
        <xdr:cNvSpPr txBox="1">
          <a:spLocks noChangeArrowheads="1" noTextEdit="1"/>
        </xdr:cNvSpPr>
      </xdr:nvSpPr>
      <xdr:spPr bwMode="auto">
        <a:xfrm>
          <a:off x="17540370" y="22583775"/>
          <a:ext cx="7812798" cy="295275"/>
        </a:xfrm>
        <a:prstGeom prst="rect">
          <a:avLst/>
        </a:prstGeom>
        <a:noFill/>
        <a:ln w="9525" algn="ctr">
          <a:noFill/>
          <a:miter lim="800000"/>
          <a:headEnd/>
          <a:tailEnd/>
        </a:ln>
        <a:effectLst/>
      </xdr:spPr>
      <xdr:txBody>
        <a:bodyPr anchor="ctr"/>
        <a:lstStyle/>
        <a:p>
          <a:pPr algn="l" rtl="0">
            <a:defRPr sz="1000"/>
          </a:pPr>
          <a:fld id="{BEB011EA-BED1-471E-985B-E13737CB5596}"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78</xdr:row>
      <xdr:rowOff>0</xdr:rowOff>
    </xdr:from>
    <xdr:to>
      <xdr:col>24</xdr:col>
      <xdr:colOff>1654968</xdr:colOff>
      <xdr:row>79</xdr:row>
      <xdr:rowOff>47625</xdr:rowOff>
    </xdr:to>
    <xdr:sp macro="" textlink="BB79">
      <xdr:nvSpPr>
        <xdr:cNvPr id="63" name="Text Box 896">
          <a:extLst>
            <a:ext uri="{FF2B5EF4-FFF2-40B4-BE49-F238E27FC236}">
              <a16:creationId xmlns:a16="http://schemas.microsoft.com/office/drawing/2014/main" id="{00000000-0008-0000-0700-00003F000000}"/>
            </a:ext>
          </a:extLst>
        </xdr:cNvPr>
        <xdr:cNvSpPr txBox="1">
          <a:spLocks noChangeArrowheads="1" noTextEdit="1"/>
        </xdr:cNvSpPr>
      </xdr:nvSpPr>
      <xdr:spPr bwMode="auto">
        <a:xfrm>
          <a:off x="17540370" y="22831425"/>
          <a:ext cx="7812798" cy="295275"/>
        </a:xfrm>
        <a:prstGeom prst="rect">
          <a:avLst/>
        </a:prstGeom>
        <a:noFill/>
        <a:ln w="9525" algn="ctr">
          <a:noFill/>
          <a:miter lim="800000"/>
          <a:headEnd/>
          <a:tailEnd/>
        </a:ln>
        <a:effectLst/>
      </xdr:spPr>
      <xdr:txBody>
        <a:bodyPr anchor="ctr"/>
        <a:lstStyle/>
        <a:p>
          <a:pPr algn="l" rtl="0">
            <a:defRPr sz="1000"/>
          </a:pPr>
          <a:fld id="{C761C3B9-CE95-4EB2-8858-93BB532A6A05}"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79</xdr:row>
      <xdr:rowOff>0</xdr:rowOff>
    </xdr:from>
    <xdr:to>
      <xdr:col>24</xdr:col>
      <xdr:colOff>1654968</xdr:colOff>
      <xdr:row>80</xdr:row>
      <xdr:rowOff>47625</xdr:rowOff>
    </xdr:to>
    <xdr:sp macro="" textlink="BB80">
      <xdr:nvSpPr>
        <xdr:cNvPr id="64" name="Text Box 896">
          <a:extLst>
            <a:ext uri="{FF2B5EF4-FFF2-40B4-BE49-F238E27FC236}">
              <a16:creationId xmlns:a16="http://schemas.microsoft.com/office/drawing/2014/main" id="{00000000-0008-0000-0700-000040000000}"/>
            </a:ext>
          </a:extLst>
        </xdr:cNvPr>
        <xdr:cNvSpPr txBox="1">
          <a:spLocks noChangeArrowheads="1" noTextEdit="1"/>
        </xdr:cNvSpPr>
      </xdr:nvSpPr>
      <xdr:spPr bwMode="auto">
        <a:xfrm>
          <a:off x="17540370" y="23079075"/>
          <a:ext cx="7812798" cy="295275"/>
        </a:xfrm>
        <a:prstGeom prst="rect">
          <a:avLst/>
        </a:prstGeom>
        <a:noFill/>
        <a:ln w="9525" algn="ctr">
          <a:noFill/>
          <a:miter lim="800000"/>
          <a:headEnd/>
          <a:tailEnd/>
        </a:ln>
        <a:effectLst/>
      </xdr:spPr>
      <xdr:txBody>
        <a:bodyPr anchor="ctr"/>
        <a:lstStyle/>
        <a:p>
          <a:pPr algn="l" rtl="0">
            <a:defRPr sz="1000"/>
          </a:pPr>
          <a:fld id="{F27915FC-C321-404D-85D1-984123CD8BF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80</xdr:row>
      <xdr:rowOff>0</xdr:rowOff>
    </xdr:from>
    <xdr:to>
      <xdr:col>24</xdr:col>
      <xdr:colOff>1654968</xdr:colOff>
      <xdr:row>81</xdr:row>
      <xdr:rowOff>47625</xdr:rowOff>
    </xdr:to>
    <xdr:sp macro="" textlink="BB81">
      <xdr:nvSpPr>
        <xdr:cNvPr id="65" name="Text Box 896">
          <a:extLst>
            <a:ext uri="{FF2B5EF4-FFF2-40B4-BE49-F238E27FC236}">
              <a16:creationId xmlns:a16="http://schemas.microsoft.com/office/drawing/2014/main" id="{00000000-0008-0000-0700-000041000000}"/>
            </a:ext>
          </a:extLst>
        </xdr:cNvPr>
        <xdr:cNvSpPr txBox="1">
          <a:spLocks noChangeArrowheads="1" noTextEdit="1"/>
        </xdr:cNvSpPr>
      </xdr:nvSpPr>
      <xdr:spPr bwMode="auto">
        <a:xfrm>
          <a:off x="17540370" y="23326725"/>
          <a:ext cx="7812798" cy="295275"/>
        </a:xfrm>
        <a:prstGeom prst="rect">
          <a:avLst/>
        </a:prstGeom>
        <a:noFill/>
        <a:ln w="9525" algn="ctr">
          <a:noFill/>
          <a:miter lim="800000"/>
          <a:headEnd/>
          <a:tailEnd/>
        </a:ln>
        <a:effectLst/>
      </xdr:spPr>
      <xdr:txBody>
        <a:bodyPr anchor="ctr"/>
        <a:lstStyle/>
        <a:p>
          <a:pPr algn="l" rtl="0">
            <a:defRPr sz="1000"/>
          </a:pPr>
          <a:fld id="{64AA9C9C-0F48-4231-AEAF-20FA0E3AD032}"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81</xdr:row>
      <xdr:rowOff>0</xdr:rowOff>
    </xdr:from>
    <xdr:to>
      <xdr:col>24</xdr:col>
      <xdr:colOff>1654968</xdr:colOff>
      <xdr:row>82</xdr:row>
      <xdr:rowOff>47625</xdr:rowOff>
    </xdr:to>
    <xdr:sp macro="" textlink="BB82">
      <xdr:nvSpPr>
        <xdr:cNvPr id="66" name="Text Box 896">
          <a:extLst>
            <a:ext uri="{FF2B5EF4-FFF2-40B4-BE49-F238E27FC236}">
              <a16:creationId xmlns:a16="http://schemas.microsoft.com/office/drawing/2014/main" id="{00000000-0008-0000-0700-000042000000}"/>
            </a:ext>
          </a:extLst>
        </xdr:cNvPr>
        <xdr:cNvSpPr txBox="1">
          <a:spLocks noChangeArrowheads="1" noTextEdit="1"/>
        </xdr:cNvSpPr>
      </xdr:nvSpPr>
      <xdr:spPr bwMode="auto">
        <a:xfrm>
          <a:off x="17540370" y="23574375"/>
          <a:ext cx="7812798" cy="295275"/>
        </a:xfrm>
        <a:prstGeom prst="rect">
          <a:avLst/>
        </a:prstGeom>
        <a:noFill/>
        <a:ln w="9525" algn="ctr">
          <a:noFill/>
          <a:miter lim="800000"/>
          <a:headEnd/>
          <a:tailEnd/>
        </a:ln>
        <a:effectLst/>
      </xdr:spPr>
      <xdr:txBody>
        <a:bodyPr anchor="ctr"/>
        <a:lstStyle/>
        <a:p>
          <a:pPr algn="l" rtl="0">
            <a:defRPr sz="1000"/>
          </a:pPr>
          <a:fld id="{9FB368E2-6D03-444D-BC51-EF1D27F3446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82</xdr:row>
      <xdr:rowOff>0</xdr:rowOff>
    </xdr:from>
    <xdr:to>
      <xdr:col>24</xdr:col>
      <xdr:colOff>1654968</xdr:colOff>
      <xdr:row>83</xdr:row>
      <xdr:rowOff>47625</xdr:rowOff>
    </xdr:to>
    <xdr:sp macro="" textlink="BB83">
      <xdr:nvSpPr>
        <xdr:cNvPr id="67" name="Text Box 896">
          <a:extLst>
            <a:ext uri="{FF2B5EF4-FFF2-40B4-BE49-F238E27FC236}">
              <a16:creationId xmlns:a16="http://schemas.microsoft.com/office/drawing/2014/main" id="{00000000-0008-0000-0700-000043000000}"/>
            </a:ext>
          </a:extLst>
        </xdr:cNvPr>
        <xdr:cNvSpPr txBox="1">
          <a:spLocks noChangeArrowheads="1" noTextEdit="1"/>
        </xdr:cNvSpPr>
      </xdr:nvSpPr>
      <xdr:spPr bwMode="auto">
        <a:xfrm>
          <a:off x="17540370" y="23822025"/>
          <a:ext cx="7812798" cy="295275"/>
        </a:xfrm>
        <a:prstGeom prst="rect">
          <a:avLst/>
        </a:prstGeom>
        <a:noFill/>
        <a:ln w="9525" algn="ctr">
          <a:noFill/>
          <a:miter lim="800000"/>
          <a:headEnd/>
          <a:tailEnd/>
        </a:ln>
        <a:effectLst/>
      </xdr:spPr>
      <xdr:txBody>
        <a:bodyPr anchor="ctr"/>
        <a:lstStyle/>
        <a:p>
          <a:pPr algn="l" rtl="0">
            <a:defRPr sz="1000"/>
          </a:pPr>
          <a:fld id="{7F5A97A8-6E37-49DE-90DF-99957754B98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83</xdr:row>
      <xdr:rowOff>0</xdr:rowOff>
    </xdr:from>
    <xdr:to>
      <xdr:col>24</xdr:col>
      <xdr:colOff>1654968</xdr:colOff>
      <xdr:row>84</xdr:row>
      <xdr:rowOff>47625</xdr:rowOff>
    </xdr:to>
    <xdr:sp macro="" textlink="BB84">
      <xdr:nvSpPr>
        <xdr:cNvPr id="68" name="Text Box 896">
          <a:extLst>
            <a:ext uri="{FF2B5EF4-FFF2-40B4-BE49-F238E27FC236}">
              <a16:creationId xmlns:a16="http://schemas.microsoft.com/office/drawing/2014/main" id="{00000000-0008-0000-0700-000044000000}"/>
            </a:ext>
          </a:extLst>
        </xdr:cNvPr>
        <xdr:cNvSpPr txBox="1">
          <a:spLocks noChangeArrowheads="1" noTextEdit="1"/>
        </xdr:cNvSpPr>
      </xdr:nvSpPr>
      <xdr:spPr bwMode="auto">
        <a:xfrm>
          <a:off x="17540370" y="24069675"/>
          <a:ext cx="7812798" cy="295275"/>
        </a:xfrm>
        <a:prstGeom prst="rect">
          <a:avLst/>
        </a:prstGeom>
        <a:noFill/>
        <a:ln w="9525" algn="ctr">
          <a:noFill/>
          <a:miter lim="800000"/>
          <a:headEnd/>
          <a:tailEnd/>
        </a:ln>
        <a:effectLst/>
      </xdr:spPr>
      <xdr:txBody>
        <a:bodyPr anchor="ctr"/>
        <a:lstStyle/>
        <a:p>
          <a:pPr algn="l" rtl="0">
            <a:defRPr sz="1000"/>
          </a:pPr>
          <a:fld id="{5506A16C-A886-4CEE-8BE9-FE210DA7E30A}"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84</xdr:row>
      <xdr:rowOff>0</xdr:rowOff>
    </xdr:from>
    <xdr:to>
      <xdr:col>24</xdr:col>
      <xdr:colOff>1654968</xdr:colOff>
      <xdr:row>85</xdr:row>
      <xdr:rowOff>47625</xdr:rowOff>
    </xdr:to>
    <xdr:sp macro="" textlink="BB85">
      <xdr:nvSpPr>
        <xdr:cNvPr id="69" name="Text Box 896">
          <a:extLst>
            <a:ext uri="{FF2B5EF4-FFF2-40B4-BE49-F238E27FC236}">
              <a16:creationId xmlns:a16="http://schemas.microsoft.com/office/drawing/2014/main" id="{00000000-0008-0000-0700-000045000000}"/>
            </a:ext>
          </a:extLst>
        </xdr:cNvPr>
        <xdr:cNvSpPr txBox="1">
          <a:spLocks noChangeArrowheads="1" noTextEdit="1"/>
        </xdr:cNvSpPr>
      </xdr:nvSpPr>
      <xdr:spPr bwMode="auto">
        <a:xfrm>
          <a:off x="17540370" y="24317325"/>
          <a:ext cx="7812798" cy="295275"/>
        </a:xfrm>
        <a:prstGeom prst="rect">
          <a:avLst/>
        </a:prstGeom>
        <a:noFill/>
        <a:ln w="9525" algn="ctr">
          <a:noFill/>
          <a:miter lim="800000"/>
          <a:headEnd/>
          <a:tailEnd/>
        </a:ln>
        <a:effectLst/>
      </xdr:spPr>
      <xdr:txBody>
        <a:bodyPr anchor="ctr"/>
        <a:lstStyle/>
        <a:p>
          <a:pPr algn="l" rtl="0">
            <a:defRPr sz="1000"/>
          </a:pPr>
          <a:fld id="{514004E3-F5C3-42D8-9DD9-C95AC3B2FF95}"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85</xdr:row>
      <xdr:rowOff>0</xdr:rowOff>
    </xdr:from>
    <xdr:to>
      <xdr:col>24</xdr:col>
      <xdr:colOff>1654968</xdr:colOff>
      <xdr:row>86</xdr:row>
      <xdr:rowOff>47625</xdr:rowOff>
    </xdr:to>
    <xdr:sp macro="" textlink="BB86">
      <xdr:nvSpPr>
        <xdr:cNvPr id="70" name="Text Box 896">
          <a:extLst>
            <a:ext uri="{FF2B5EF4-FFF2-40B4-BE49-F238E27FC236}">
              <a16:creationId xmlns:a16="http://schemas.microsoft.com/office/drawing/2014/main" id="{00000000-0008-0000-0700-000046000000}"/>
            </a:ext>
          </a:extLst>
        </xdr:cNvPr>
        <xdr:cNvSpPr txBox="1">
          <a:spLocks noChangeArrowheads="1" noTextEdit="1"/>
        </xdr:cNvSpPr>
      </xdr:nvSpPr>
      <xdr:spPr bwMode="auto">
        <a:xfrm>
          <a:off x="17540370" y="24564975"/>
          <a:ext cx="7812798" cy="295275"/>
        </a:xfrm>
        <a:prstGeom prst="rect">
          <a:avLst/>
        </a:prstGeom>
        <a:noFill/>
        <a:ln w="9525" algn="ctr">
          <a:noFill/>
          <a:miter lim="800000"/>
          <a:headEnd/>
          <a:tailEnd/>
        </a:ln>
        <a:effectLst/>
      </xdr:spPr>
      <xdr:txBody>
        <a:bodyPr anchor="ctr"/>
        <a:lstStyle/>
        <a:p>
          <a:pPr algn="l" rtl="0">
            <a:defRPr sz="1000"/>
          </a:pPr>
          <a:fld id="{51873C84-A031-4264-AAA3-3364BF75F45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86</xdr:row>
      <xdr:rowOff>0</xdr:rowOff>
    </xdr:from>
    <xdr:to>
      <xdr:col>24</xdr:col>
      <xdr:colOff>1654968</xdr:colOff>
      <xdr:row>87</xdr:row>
      <xdr:rowOff>47625</xdr:rowOff>
    </xdr:to>
    <xdr:sp macro="" textlink="BB87">
      <xdr:nvSpPr>
        <xdr:cNvPr id="71" name="Text Box 896">
          <a:extLst>
            <a:ext uri="{FF2B5EF4-FFF2-40B4-BE49-F238E27FC236}">
              <a16:creationId xmlns:a16="http://schemas.microsoft.com/office/drawing/2014/main" id="{00000000-0008-0000-0700-000047000000}"/>
            </a:ext>
          </a:extLst>
        </xdr:cNvPr>
        <xdr:cNvSpPr txBox="1">
          <a:spLocks noChangeArrowheads="1" noTextEdit="1"/>
        </xdr:cNvSpPr>
      </xdr:nvSpPr>
      <xdr:spPr bwMode="auto">
        <a:xfrm>
          <a:off x="17540370" y="24812625"/>
          <a:ext cx="7812798" cy="295275"/>
        </a:xfrm>
        <a:prstGeom prst="rect">
          <a:avLst/>
        </a:prstGeom>
        <a:noFill/>
        <a:ln w="9525" algn="ctr">
          <a:noFill/>
          <a:miter lim="800000"/>
          <a:headEnd/>
          <a:tailEnd/>
        </a:ln>
        <a:effectLst/>
      </xdr:spPr>
      <xdr:txBody>
        <a:bodyPr anchor="ctr"/>
        <a:lstStyle/>
        <a:p>
          <a:pPr algn="l" rtl="0">
            <a:defRPr sz="1000"/>
          </a:pPr>
          <a:fld id="{BC992979-9574-4875-8108-60B2BAB48F1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87</xdr:row>
      <xdr:rowOff>0</xdr:rowOff>
    </xdr:from>
    <xdr:to>
      <xdr:col>24</xdr:col>
      <xdr:colOff>1654968</xdr:colOff>
      <xdr:row>88</xdr:row>
      <xdr:rowOff>47625</xdr:rowOff>
    </xdr:to>
    <xdr:sp macro="" textlink="BB88">
      <xdr:nvSpPr>
        <xdr:cNvPr id="72" name="Text Box 896">
          <a:extLst>
            <a:ext uri="{FF2B5EF4-FFF2-40B4-BE49-F238E27FC236}">
              <a16:creationId xmlns:a16="http://schemas.microsoft.com/office/drawing/2014/main" id="{00000000-0008-0000-0700-000048000000}"/>
            </a:ext>
          </a:extLst>
        </xdr:cNvPr>
        <xdr:cNvSpPr txBox="1">
          <a:spLocks noChangeArrowheads="1" noTextEdit="1"/>
        </xdr:cNvSpPr>
      </xdr:nvSpPr>
      <xdr:spPr bwMode="auto">
        <a:xfrm>
          <a:off x="17540370" y="25060275"/>
          <a:ext cx="7812798" cy="295275"/>
        </a:xfrm>
        <a:prstGeom prst="rect">
          <a:avLst/>
        </a:prstGeom>
        <a:noFill/>
        <a:ln w="9525" algn="ctr">
          <a:noFill/>
          <a:miter lim="800000"/>
          <a:headEnd/>
          <a:tailEnd/>
        </a:ln>
        <a:effectLst/>
      </xdr:spPr>
      <xdr:txBody>
        <a:bodyPr anchor="ctr"/>
        <a:lstStyle/>
        <a:p>
          <a:pPr algn="l" rtl="0">
            <a:defRPr sz="1000"/>
          </a:pPr>
          <a:fld id="{D20C5C48-DF7E-466A-B1F1-436AAE96415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88</xdr:row>
      <xdr:rowOff>0</xdr:rowOff>
    </xdr:from>
    <xdr:to>
      <xdr:col>24</xdr:col>
      <xdr:colOff>1654968</xdr:colOff>
      <xdr:row>89</xdr:row>
      <xdr:rowOff>47625</xdr:rowOff>
    </xdr:to>
    <xdr:sp macro="" textlink="BB89">
      <xdr:nvSpPr>
        <xdr:cNvPr id="73" name="Text Box 896">
          <a:extLst>
            <a:ext uri="{FF2B5EF4-FFF2-40B4-BE49-F238E27FC236}">
              <a16:creationId xmlns:a16="http://schemas.microsoft.com/office/drawing/2014/main" id="{00000000-0008-0000-0700-000049000000}"/>
            </a:ext>
          </a:extLst>
        </xdr:cNvPr>
        <xdr:cNvSpPr txBox="1">
          <a:spLocks noChangeArrowheads="1" noTextEdit="1"/>
        </xdr:cNvSpPr>
      </xdr:nvSpPr>
      <xdr:spPr bwMode="auto">
        <a:xfrm>
          <a:off x="17540370" y="25307925"/>
          <a:ext cx="7812798" cy="295275"/>
        </a:xfrm>
        <a:prstGeom prst="rect">
          <a:avLst/>
        </a:prstGeom>
        <a:noFill/>
        <a:ln w="9525" algn="ctr">
          <a:noFill/>
          <a:miter lim="800000"/>
          <a:headEnd/>
          <a:tailEnd/>
        </a:ln>
        <a:effectLst/>
      </xdr:spPr>
      <xdr:txBody>
        <a:bodyPr anchor="ctr"/>
        <a:lstStyle/>
        <a:p>
          <a:pPr algn="l" rtl="0">
            <a:defRPr sz="1000"/>
          </a:pPr>
          <a:fld id="{94CA46CE-F6EB-4BED-A644-1274DF9F62A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89</xdr:row>
      <xdr:rowOff>0</xdr:rowOff>
    </xdr:from>
    <xdr:to>
      <xdr:col>24</xdr:col>
      <xdr:colOff>1654968</xdr:colOff>
      <xdr:row>90</xdr:row>
      <xdr:rowOff>47625</xdr:rowOff>
    </xdr:to>
    <xdr:sp macro="" textlink="BB90">
      <xdr:nvSpPr>
        <xdr:cNvPr id="74" name="Text Box 896">
          <a:extLst>
            <a:ext uri="{FF2B5EF4-FFF2-40B4-BE49-F238E27FC236}">
              <a16:creationId xmlns:a16="http://schemas.microsoft.com/office/drawing/2014/main" id="{00000000-0008-0000-0700-00004A000000}"/>
            </a:ext>
          </a:extLst>
        </xdr:cNvPr>
        <xdr:cNvSpPr txBox="1">
          <a:spLocks noChangeArrowheads="1" noTextEdit="1"/>
        </xdr:cNvSpPr>
      </xdr:nvSpPr>
      <xdr:spPr bwMode="auto">
        <a:xfrm>
          <a:off x="17540370" y="25555575"/>
          <a:ext cx="7812798" cy="295275"/>
        </a:xfrm>
        <a:prstGeom prst="rect">
          <a:avLst/>
        </a:prstGeom>
        <a:noFill/>
        <a:ln w="9525" algn="ctr">
          <a:noFill/>
          <a:miter lim="800000"/>
          <a:headEnd/>
          <a:tailEnd/>
        </a:ln>
        <a:effectLst/>
      </xdr:spPr>
      <xdr:txBody>
        <a:bodyPr anchor="ctr"/>
        <a:lstStyle/>
        <a:p>
          <a:pPr algn="l" rtl="0">
            <a:defRPr sz="1000"/>
          </a:pPr>
          <a:fld id="{00A573AB-746F-47C9-A521-D6F88B385FB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90</xdr:row>
      <xdr:rowOff>0</xdr:rowOff>
    </xdr:from>
    <xdr:to>
      <xdr:col>24</xdr:col>
      <xdr:colOff>1654968</xdr:colOff>
      <xdr:row>91</xdr:row>
      <xdr:rowOff>47625</xdr:rowOff>
    </xdr:to>
    <xdr:sp macro="" textlink="BB91">
      <xdr:nvSpPr>
        <xdr:cNvPr id="75" name="Text Box 896">
          <a:extLst>
            <a:ext uri="{FF2B5EF4-FFF2-40B4-BE49-F238E27FC236}">
              <a16:creationId xmlns:a16="http://schemas.microsoft.com/office/drawing/2014/main" id="{00000000-0008-0000-0700-00004B000000}"/>
            </a:ext>
          </a:extLst>
        </xdr:cNvPr>
        <xdr:cNvSpPr txBox="1">
          <a:spLocks noChangeArrowheads="1" noTextEdit="1"/>
        </xdr:cNvSpPr>
      </xdr:nvSpPr>
      <xdr:spPr bwMode="auto">
        <a:xfrm>
          <a:off x="17540370" y="25803225"/>
          <a:ext cx="7812798" cy="295275"/>
        </a:xfrm>
        <a:prstGeom prst="rect">
          <a:avLst/>
        </a:prstGeom>
        <a:noFill/>
        <a:ln w="9525" algn="ctr">
          <a:noFill/>
          <a:miter lim="800000"/>
          <a:headEnd/>
          <a:tailEnd/>
        </a:ln>
        <a:effectLst/>
      </xdr:spPr>
      <xdr:txBody>
        <a:bodyPr anchor="ctr"/>
        <a:lstStyle/>
        <a:p>
          <a:pPr algn="l" rtl="0">
            <a:defRPr sz="1000"/>
          </a:pPr>
          <a:fld id="{B9D98D46-B500-47FA-B4EF-5FCC82AA61B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91</xdr:row>
      <xdr:rowOff>0</xdr:rowOff>
    </xdr:from>
    <xdr:to>
      <xdr:col>24</xdr:col>
      <xdr:colOff>1654968</xdr:colOff>
      <xdr:row>92</xdr:row>
      <xdr:rowOff>47625</xdr:rowOff>
    </xdr:to>
    <xdr:sp macro="" textlink="BB92">
      <xdr:nvSpPr>
        <xdr:cNvPr id="76" name="Text Box 896">
          <a:extLst>
            <a:ext uri="{FF2B5EF4-FFF2-40B4-BE49-F238E27FC236}">
              <a16:creationId xmlns:a16="http://schemas.microsoft.com/office/drawing/2014/main" id="{00000000-0008-0000-0700-00004C000000}"/>
            </a:ext>
          </a:extLst>
        </xdr:cNvPr>
        <xdr:cNvSpPr txBox="1">
          <a:spLocks noChangeArrowheads="1" noTextEdit="1"/>
        </xdr:cNvSpPr>
      </xdr:nvSpPr>
      <xdr:spPr bwMode="auto">
        <a:xfrm>
          <a:off x="17540370" y="26050875"/>
          <a:ext cx="7812798" cy="295275"/>
        </a:xfrm>
        <a:prstGeom prst="rect">
          <a:avLst/>
        </a:prstGeom>
        <a:noFill/>
        <a:ln w="9525" algn="ctr">
          <a:noFill/>
          <a:miter lim="800000"/>
          <a:headEnd/>
          <a:tailEnd/>
        </a:ln>
        <a:effectLst/>
      </xdr:spPr>
      <xdr:txBody>
        <a:bodyPr anchor="ctr"/>
        <a:lstStyle/>
        <a:p>
          <a:pPr algn="l" rtl="0">
            <a:defRPr sz="1000"/>
          </a:pPr>
          <a:fld id="{4AFB83D1-3DDC-4B3A-9768-A734B07AE76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92</xdr:row>
      <xdr:rowOff>0</xdr:rowOff>
    </xdr:from>
    <xdr:to>
      <xdr:col>24</xdr:col>
      <xdr:colOff>1654968</xdr:colOff>
      <xdr:row>93</xdr:row>
      <xdr:rowOff>47625</xdr:rowOff>
    </xdr:to>
    <xdr:sp macro="" textlink="BB93">
      <xdr:nvSpPr>
        <xdr:cNvPr id="77" name="Text Box 896">
          <a:extLst>
            <a:ext uri="{FF2B5EF4-FFF2-40B4-BE49-F238E27FC236}">
              <a16:creationId xmlns:a16="http://schemas.microsoft.com/office/drawing/2014/main" id="{00000000-0008-0000-0700-00004D000000}"/>
            </a:ext>
          </a:extLst>
        </xdr:cNvPr>
        <xdr:cNvSpPr txBox="1">
          <a:spLocks noChangeArrowheads="1" noTextEdit="1"/>
        </xdr:cNvSpPr>
      </xdr:nvSpPr>
      <xdr:spPr bwMode="auto">
        <a:xfrm>
          <a:off x="17540370" y="26298525"/>
          <a:ext cx="7812798" cy="295275"/>
        </a:xfrm>
        <a:prstGeom prst="rect">
          <a:avLst/>
        </a:prstGeom>
        <a:noFill/>
        <a:ln w="9525" algn="ctr">
          <a:noFill/>
          <a:miter lim="800000"/>
          <a:headEnd/>
          <a:tailEnd/>
        </a:ln>
        <a:effectLst/>
      </xdr:spPr>
      <xdr:txBody>
        <a:bodyPr anchor="ctr"/>
        <a:lstStyle/>
        <a:p>
          <a:pPr algn="l" rtl="0">
            <a:defRPr sz="1000"/>
          </a:pPr>
          <a:fld id="{180353D1-13DB-434C-BD4A-4C5FC2F2FDB3}"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93</xdr:row>
      <xdr:rowOff>0</xdr:rowOff>
    </xdr:from>
    <xdr:to>
      <xdr:col>24</xdr:col>
      <xdr:colOff>1654968</xdr:colOff>
      <xdr:row>94</xdr:row>
      <xdr:rowOff>47625</xdr:rowOff>
    </xdr:to>
    <xdr:sp macro="" textlink="BB94">
      <xdr:nvSpPr>
        <xdr:cNvPr id="78" name="Text Box 896">
          <a:extLst>
            <a:ext uri="{FF2B5EF4-FFF2-40B4-BE49-F238E27FC236}">
              <a16:creationId xmlns:a16="http://schemas.microsoft.com/office/drawing/2014/main" id="{00000000-0008-0000-0700-00004E000000}"/>
            </a:ext>
          </a:extLst>
        </xdr:cNvPr>
        <xdr:cNvSpPr txBox="1">
          <a:spLocks noChangeArrowheads="1" noTextEdit="1"/>
        </xdr:cNvSpPr>
      </xdr:nvSpPr>
      <xdr:spPr bwMode="auto">
        <a:xfrm>
          <a:off x="17540370" y="26546175"/>
          <a:ext cx="7812798" cy="295275"/>
        </a:xfrm>
        <a:prstGeom prst="rect">
          <a:avLst/>
        </a:prstGeom>
        <a:noFill/>
        <a:ln w="9525" algn="ctr">
          <a:noFill/>
          <a:miter lim="800000"/>
          <a:headEnd/>
          <a:tailEnd/>
        </a:ln>
        <a:effectLst/>
      </xdr:spPr>
      <xdr:txBody>
        <a:bodyPr anchor="ctr"/>
        <a:lstStyle/>
        <a:p>
          <a:pPr algn="l" rtl="0">
            <a:defRPr sz="1000"/>
          </a:pPr>
          <a:fld id="{69C271CE-1079-4FA3-8014-95E5AE23AC4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94</xdr:row>
      <xdr:rowOff>0</xdr:rowOff>
    </xdr:from>
    <xdr:to>
      <xdr:col>24</xdr:col>
      <xdr:colOff>1654968</xdr:colOff>
      <xdr:row>95</xdr:row>
      <xdr:rowOff>47625</xdr:rowOff>
    </xdr:to>
    <xdr:sp macro="" textlink="BB95">
      <xdr:nvSpPr>
        <xdr:cNvPr id="79" name="Text Box 896">
          <a:extLst>
            <a:ext uri="{FF2B5EF4-FFF2-40B4-BE49-F238E27FC236}">
              <a16:creationId xmlns:a16="http://schemas.microsoft.com/office/drawing/2014/main" id="{00000000-0008-0000-0700-00004F000000}"/>
            </a:ext>
          </a:extLst>
        </xdr:cNvPr>
        <xdr:cNvSpPr txBox="1">
          <a:spLocks noChangeArrowheads="1" noTextEdit="1"/>
        </xdr:cNvSpPr>
      </xdr:nvSpPr>
      <xdr:spPr bwMode="auto">
        <a:xfrm>
          <a:off x="17540370" y="26793825"/>
          <a:ext cx="7812798" cy="295275"/>
        </a:xfrm>
        <a:prstGeom prst="rect">
          <a:avLst/>
        </a:prstGeom>
        <a:noFill/>
        <a:ln w="9525" algn="ctr">
          <a:noFill/>
          <a:miter lim="800000"/>
          <a:headEnd/>
          <a:tailEnd/>
        </a:ln>
        <a:effectLst/>
      </xdr:spPr>
      <xdr:txBody>
        <a:bodyPr anchor="ctr"/>
        <a:lstStyle/>
        <a:p>
          <a:pPr algn="l" rtl="0">
            <a:defRPr sz="1000"/>
          </a:pPr>
          <a:fld id="{7E8AAE10-3079-42EC-A2E0-26D34AFBD85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95</xdr:row>
      <xdr:rowOff>0</xdr:rowOff>
    </xdr:from>
    <xdr:to>
      <xdr:col>24</xdr:col>
      <xdr:colOff>1654968</xdr:colOff>
      <xdr:row>96</xdr:row>
      <xdr:rowOff>47625</xdr:rowOff>
    </xdr:to>
    <xdr:sp macro="" textlink="BB96">
      <xdr:nvSpPr>
        <xdr:cNvPr id="80" name="Text Box 896">
          <a:extLst>
            <a:ext uri="{FF2B5EF4-FFF2-40B4-BE49-F238E27FC236}">
              <a16:creationId xmlns:a16="http://schemas.microsoft.com/office/drawing/2014/main" id="{00000000-0008-0000-0700-000050000000}"/>
            </a:ext>
          </a:extLst>
        </xdr:cNvPr>
        <xdr:cNvSpPr txBox="1">
          <a:spLocks noChangeArrowheads="1" noTextEdit="1"/>
        </xdr:cNvSpPr>
      </xdr:nvSpPr>
      <xdr:spPr bwMode="auto">
        <a:xfrm>
          <a:off x="17540370" y="27041475"/>
          <a:ext cx="7812798" cy="295275"/>
        </a:xfrm>
        <a:prstGeom prst="rect">
          <a:avLst/>
        </a:prstGeom>
        <a:noFill/>
        <a:ln w="9525" algn="ctr">
          <a:noFill/>
          <a:miter lim="800000"/>
          <a:headEnd/>
          <a:tailEnd/>
        </a:ln>
        <a:effectLst/>
      </xdr:spPr>
      <xdr:txBody>
        <a:bodyPr anchor="ctr"/>
        <a:lstStyle/>
        <a:p>
          <a:pPr algn="l" rtl="0">
            <a:defRPr sz="1000"/>
          </a:pPr>
          <a:fld id="{4E12B1A1-6D0B-4476-ACEA-A754206647F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96</xdr:row>
      <xdr:rowOff>0</xdr:rowOff>
    </xdr:from>
    <xdr:to>
      <xdr:col>24</xdr:col>
      <xdr:colOff>1654968</xdr:colOff>
      <xdr:row>97</xdr:row>
      <xdr:rowOff>47625</xdr:rowOff>
    </xdr:to>
    <xdr:sp macro="" textlink="BB97">
      <xdr:nvSpPr>
        <xdr:cNvPr id="81" name="Text Box 896">
          <a:extLst>
            <a:ext uri="{FF2B5EF4-FFF2-40B4-BE49-F238E27FC236}">
              <a16:creationId xmlns:a16="http://schemas.microsoft.com/office/drawing/2014/main" id="{00000000-0008-0000-0700-000051000000}"/>
            </a:ext>
          </a:extLst>
        </xdr:cNvPr>
        <xdr:cNvSpPr txBox="1">
          <a:spLocks noChangeArrowheads="1" noTextEdit="1"/>
        </xdr:cNvSpPr>
      </xdr:nvSpPr>
      <xdr:spPr bwMode="auto">
        <a:xfrm>
          <a:off x="17540370" y="27289125"/>
          <a:ext cx="7812798" cy="295275"/>
        </a:xfrm>
        <a:prstGeom prst="rect">
          <a:avLst/>
        </a:prstGeom>
        <a:noFill/>
        <a:ln w="9525" algn="ctr">
          <a:noFill/>
          <a:miter lim="800000"/>
          <a:headEnd/>
          <a:tailEnd/>
        </a:ln>
        <a:effectLst/>
      </xdr:spPr>
      <xdr:txBody>
        <a:bodyPr anchor="ctr"/>
        <a:lstStyle/>
        <a:p>
          <a:pPr algn="l" rtl="0">
            <a:defRPr sz="1000"/>
          </a:pPr>
          <a:fld id="{42CA08D9-01F6-4CCB-A8F8-28F6BF53BB5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18</xdr:col>
      <xdr:colOff>33420</xdr:colOff>
      <xdr:row>97</xdr:row>
      <xdr:rowOff>0</xdr:rowOff>
    </xdr:from>
    <xdr:to>
      <xdr:col>24</xdr:col>
      <xdr:colOff>1654968</xdr:colOff>
      <xdr:row>98</xdr:row>
      <xdr:rowOff>47625</xdr:rowOff>
    </xdr:to>
    <xdr:sp macro="" textlink="BB98">
      <xdr:nvSpPr>
        <xdr:cNvPr id="82" name="Text Box 896">
          <a:extLst>
            <a:ext uri="{FF2B5EF4-FFF2-40B4-BE49-F238E27FC236}">
              <a16:creationId xmlns:a16="http://schemas.microsoft.com/office/drawing/2014/main" id="{00000000-0008-0000-0700-000052000000}"/>
            </a:ext>
          </a:extLst>
        </xdr:cNvPr>
        <xdr:cNvSpPr txBox="1">
          <a:spLocks noChangeArrowheads="1" noTextEdit="1"/>
        </xdr:cNvSpPr>
      </xdr:nvSpPr>
      <xdr:spPr bwMode="auto">
        <a:xfrm>
          <a:off x="17540370" y="27536775"/>
          <a:ext cx="7812798" cy="295275"/>
        </a:xfrm>
        <a:prstGeom prst="rect">
          <a:avLst/>
        </a:prstGeom>
        <a:noFill/>
        <a:ln w="9525" algn="ctr">
          <a:noFill/>
          <a:miter lim="800000"/>
          <a:headEnd/>
          <a:tailEnd/>
        </a:ln>
        <a:effectLst/>
      </xdr:spPr>
      <xdr:txBody>
        <a:bodyPr anchor="ctr"/>
        <a:lstStyle/>
        <a:p>
          <a:pPr algn="l" rtl="0">
            <a:defRPr sz="1000"/>
          </a:pPr>
          <a:fld id="{CA032C80-2711-4720-A7A2-E084E04E4F1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0</xdr:col>
      <xdr:colOff>107204</xdr:colOff>
      <xdr:row>2</xdr:row>
      <xdr:rowOff>25587</xdr:rowOff>
    </xdr:from>
    <xdr:to>
      <xdr:col>8</xdr:col>
      <xdr:colOff>11206</xdr:colOff>
      <xdr:row>3</xdr:row>
      <xdr:rowOff>2053</xdr:rowOff>
    </xdr:to>
    <xdr:sp macro="" textlink="">
      <xdr:nvSpPr>
        <xdr:cNvPr id="84" name="TextBox 83">
          <a:extLst>
            <a:ext uri="{FF2B5EF4-FFF2-40B4-BE49-F238E27FC236}">
              <a16:creationId xmlns:a16="http://schemas.microsoft.com/office/drawing/2014/main" id="{00000000-0008-0000-0700-000054000000}"/>
            </a:ext>
          </a:extLst>
        </xdr:cNvPr>
        <xdr:cNvSpPr txBox="1"/>
      </xdr:nvSpPr>
      <xdr:spPr>
        <a:xfrm>
          <a:off x="107204" y="2549712"/>
          <a:ext cx="6085727" cy="538441"/>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AU" sz="1400">
              <a:solidFill>
                <a:schemeClr val="bg1"/>
              </a:solidFill>
              <a:latin typeface="Arial" panose="020B0604020202020204" pitchFamily="34" charset="0"/>
              <a:cs typeface="Arial" panose="020B0604020202020204" pitchFamily="34" charset="0"/>
            </a:rPr>
            <a:t>1. Enter building name</a:t>
          </a:r>
          <a:r>
            <a:rPr lang="en-AU" sz="1400" baseline="0">
              <a:solidFill>
                <a:schemeClr val="bg1"/>
              </a:solidFill>
              <a:latin typeface="Arial" panose="020B0604020202020204" pitchFamily="34" charset="0"/>
              <a:cs typeface="Arial" panose="020B0604020202020204" pitchFamily="34" charset="0"/>
            </a:rPr>
            <a:t> and description below - identifying the particular part(s) covered by this assessment.</a:t>
          </a:r>
          <a:endParaRPr lang="en-AU" sz="1400">
            <a:solidFill>
              <a:schemeClr val="bg1"/>
            </a:solidFill>
            <a:latin typeface="Arial" panose="020B0604020202020204" pitchFamily="34" charset="0"/>
            <a:cs typeface="Arial" panose="020B0604020202020204" pitchFamily="34" charset="0"/>
          </a:endParaRPr>
        </a:p>
      </xdr:txBody>
    </xdr:sp>
    <xdr:clientData/>
  </xdr:twoCellAnchor>
  <xdr:twoCellAnchor editAs="absolute">
    <xdr:from>
      <xdr:col>2</xdr:col>
      <xdr:colOff>136072</xdr:colOff>
      <xdr:row>0</xdr:row>
      <xdr:rowOff>285751</xdr:rowOff>
    </xdr:from>
    <xdr:to>
      <xdr:col>13</xdr:col>
      <xdr:colOff>1010074</xdr:colOff>
      <xdr:row>1</xdr:row>
      <xdr:rowOff>741288</xdr:rowOff>
    </xdr:to>
    <xdr:grpSp>
      <xdr:nvGrpSpPr>
        <xdr:cNvPr id="92" name="Group 91">
          <a:extLst>
            <a:ext uri="{FF2B5EF4-FFF2-40B4-BE49-F238E27FC236}">
              <a16:creationId xmlns:a16="http://schemas.microsoft.com/office/drawing/2014/main" id="{00000000-0008-0000-0700-00005C000000}"/>
            </a:ext>
          </a:extLst>
        </xdr:cNvPr>
        <xdr:cNvGrpSpPr/>
      </xdr:nvGrpSpPr>
      <xdr:grpSpPr>
        <a:xfrm>
          <a:off x="408215" y="285751"/>
          <a:ext cx="12848288" cy="768501"/>
          <a:chOff x="247650" y="186690"/>
          <a:chExt cx="13481564" cy="778298"/>
        </a:xfrm>
      </xdr:grpSpPr>
      <xdr:grpSp>
        <xdr:nvGrpSpPr>
          <xdr:cNvPr id="93" name="Group 92">
            <a:extLst>
              <a:ext uri="{FF2B5EF4-FFF2-40B4-BE49-F238E27FC236}">
                <a16:creationId xmlns:a16="http://schemas.microsoft.com/office/drawing/2014/main" id="{00000000-0008-0000-0700-00005D000000}"/>
              </a:ext>
            </a:extLst>
          </xdr:cNvPr>
          <xdr:cNvGrpSpPr/>
        </xdr:nvGrpSpPr>
        <xdr:grpSpPr>
          <a:xfrm>
            <a:off x="840105" y="186690"/>
            <a:ext cx="12892919" cy="782108"/>
            <a:chOff x="815423" y="438150"/>
            <a:chExt cx="10640147" cy="814493"/>
          </a:xfrm>
        </xdr:grpSpPr>
        <xdr:sp macro="" textlink="">
          <xdr:nvSpPr>
            <xdr:cNvPr id="95" name="TextBox 31">
              <a:extLst>
                <a:ext uri="{FF2B5EF4-FFF2-40B4-BE49-F238E27FC236}">
                  <a16:creationId xmlns:a16="http://schemas.microsoft.com/office/drawing/2014/main" id="{00000000-0008-0000-0700-00005F000000}"/>
                </a:ext>
              </a:extLst>
            </xdr:cNvPr>
            <xdr:cNvSpPr txBox="1"/>
          </xdr:nvSpPr>
          <xdr:spPr>
            <a:xfrm>
              <a:off x="815423" y="619125"/>
              <a:ext cx="10640147" cy="633518"/>
            </a:xfrm>
            <a:prstGeom prst="rect">
              <a:avLst/>
            </a:prstGeom>
            <a:noFill/>
          </xdr:spPr>
          <xdr:txBody>
            <a:bodyPr wrap="square" rtlCol="0">
              <a:noAutofit/>
            </a:bodyPr>
            <a:lstStyle/>
            <a:p>
              <a:pPr algn="l"/>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13.3 EXTERNAL GLAZING</a:t>
              </a:r>
            </a:p>
            <a:p>
              <a:pPr algn="l"/>
              <a:endPar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sp macro="" textlink="Name">
          <xdr:nvSpPr>
            <xdr:cNvPr id="96" name="TextBox 31">
              <a:extLst>
                <a:ext uri="{FF2B5EF4-FFF2-40B4-BE49-F238E27FC236}">
                  <a16:creationId xmlns:a16="http://schemas.microsoft.com/office/drawing/2014/main" id="{00000000-0008-0000-0700-000060000000}"/>
                </a:ext>
              </a:extLst>
            </xdr:cNvPr>
            <xdr:cNvSpPr txBox="1"/>
          </xdr:nvSpPr>
          <xdr:spPr>
            <a:xfrm>
              <a:off x="815423" y="438150"/>
              <a:ext cx="10640147" cy="24765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2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pPr algn="l"/>
                <a:t>Housing Energy Efficiency Calculator</a:t>
              </a:fld>
              <a:endParaRPr lang="en-AU" sz="1200" b="0" spc="1190" baseline="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grpSp>
      <xdr:pic>
        <xdr:nvPicPr>
          <xdr:cNvPr id="94" name="Picture 93" descr="A white arrow in a circle&#10;&#10;Description automatically generated">
            <a:hlinkClick xmlns:r="http://schemas.openxmlformats.org/officeDocument/2006/relationships" r:id="rId1"/>
            <a:extLst>
              <a:ext uri="{FF2B5EF4-FFF2-40B4-BE49-F238E27FC236}">
                <a16:creationId xmlns:a16="http://schemas.microsoft.com/office/drawing/2014/main" id="{00000000-0008-0000-0700-00005E000000}"/>
              </a:ext>
            </a:extLst>
          </xdr:cNvPr>
          <xdr:cNvPicPr>
            <a:picLocks noChangeAspect="1"/>
          </xdr:cNvPicPr>
        </xdr:nvPicPr>
        <xdr:blipFill>
          <a:blip xmlns:r="http://schemas.openxmlformats.org/officeDocument/2006/relationships" r:embed="rId2">
            <a:biLevel thresh="25000"/>
            <a:extLst>
              <a:ext uri="{BEBA8EAE-BF5A-486C-A8C5-ECC9F3942E4B}">
                <a14:imgProps xmlns:a14="http://schemas.microsoft.com/office/drawing/2010/main">
                  <a14:imgLayer r:embed="rId3">
                    <a14:imgEffect>
                      <a14:brightnessContrast bright="-40000" contrast="-40000"/>
                    </a14:imgEffect>
                  </a14:imgLayer>
                </a14:imgProps>
              </a:ext>
            </a:extLst>
          </a:blip>
          <a:stretch>
            <a:fillRect/>
          </a:stretch>
        </xdr:blipFill>
        <xdr:spPr>
          <a:xfrm>
            <a:off x="247650" y="354261"/>
            <a:ext cx="459789" cy="443155"/>
          </a:xfrm>
          <a:prstGeom prst="rect">
            <a:avLst/>
          </a:prstGeom>
        </xdr:spPr>
      </xdr:pic>
    </xdr:grpSp>
    <xdr:clientData/>
  </xdr:twoCellAnchor>
  <xdr:twoCellAnchor>
    <xdr:from>
      <xdr:col>11</xdr:col>
      <xdr:colOff>925286</xdr:colOff>
      <xdr:row>1</xdr:row>
      <xdr:rowOff>352549</xdr:rowOff>
    </xdr:from>
    <xdr:to>
      <xdr:col>13</xdr:col>
      <xdr:colOff>530679</xdr:colOff>
      <xdr:row>1</xdr:row>
      <xdr:rowOff>1004456</xdr:rowOff>
    </xdr:to>
    <xdr:sp macro="" textlink="">
      <xdr:nvSpPr>
        <xdr:cNvPr id="83" name="Rectangle 82">
          <a:hlinkClick xmlns:r="http://schemas.openxmlformats.org/officeDocument/2006/relationships" r:id="rId4"/>
          <a:extLst>
            <a:ext uri="{FF2B5EF4-FFF2-40B4-BE49-F238E27FC236}">
              <a16:creationId xmlns:a16="http://schemas.microsoft.com/office/drawing/2014/main" id="{00000000-0008-0000-0700-000053000000}"/>
            </a:ext>
          </a:extLst>
        </xdr:cNvPr>
        <xdr:cNvSpPr/>
      </xdr:nvSpPr>
      <xdr:spPr>
        <a:xfrm>
          <a:off x="10606150" y="681594"/>
          <a:ext cx="2168484" cy="651907"/>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AU" sz="1200" b="1" i="1">
              <a:solidFill>
                <a:sysClr val="windowText" lastClr="000000"/>
              </a:solidFill>
            </a:rPr>
            <a:t>Click</a:t>
          </a:r>
          <a:r>
            <a:rPr lang="en-AU" sz="1200" b="1" i="1" baseline="0">
              <a:solidFill>
                <a:sysClr val="windowText" lastClr="000000"/>
              </a:solidFill>
            </a:rPr>
            <a:t> to view Part 13.3 of</a:t>
          </a:r>
          <a:r>
            <a:rPr lang="en-AU" sz="1200" b="1" i="1">
              <a:solidFill>
                <a:sysClr val="windowText" lastClr="000000"/>
              </a:solidFill>
            </a:rPr>
            <a:t> National Construction Code</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29</xdr:row>
      <xdr:rowOff>0</xdr:rowOff>
    </xdr:from>
    <xdr:to>
      <xdr:col>1</xdr:col>
      <xdr:colOff>10372725</xdr:colOff>
      <xdr:row>43</xdr:row>
      <xdr:rowOff>161510</xdr:rowOff>
    </xdr:to>
    <xdr:pic>
      <xdr:nvPicPr>
        <xdr:cNvPr id="15" name="Picture 14">
          <a:extLst>
            <a:ext uri="{FF2B5EF4-FFF2-40B4-BE49-F238E27FC236}">
              <a16:creationId xmlns:a16="http://schemas.microsoft.com/office/drawing/2014/main" id="{00000000-0008-0000-1300-00000F000000}"/>
            </a:ext>
          </a:extLst>
        </xdr:cNvPr>
        <xdr:cNvPicPr>
          <a:picLocks noChangeAspect="1"/>
        </xdr:cNvPicPr>
      </xdr:nvPicPr>
      <xdr:blipFill>
        <a:blip xmlns:r="http://schemas.openxmlformats.org/officeDocument/2006/relationships" r:embed="rId1"/>
        <a:stretch>
          <a:fillRect/>
        </a:stretch>
      </xdr:blipFill>
      <xdr:spPr>
        <a:xfrm>
          <a:off x="201706" y="6958853"/>
          <a:ext cx="10372725" cy="2671628"/>
        </a:xfrm>
        <a:prstGeom prst="rect">
          <a:avLst/>
        </a:prstGeom>
      </xdr:spPr>
    </xdr:pic>
    <xdr:clientData/>
  </xdr:twoCellAnchor>
  <xdr:twoCellAnchor editAs="oneCell">
    <xdr:from>
      <xdr:col>1</xdr:col>
      <xdr:colOff>0</xdr:colOff>
      <xdr:row>0</xdr:row>
      <xdr:rowOff>114300</xdr:rowOff>
    </xdr:from>
    <xdr:to>
      <xdr:col>6</xdr:col>
      <xdr:colOff>569653</xdr:colOff>
      <xdr:row>0</xdr:row>
      <xdr:rowOff>924681</xdr:rowOff>
    </xdr:to>
    <xdr:grpSp>
      <xdr:nvGrpSpPr>
        <xdr:cNvPr id="2" name="Group 1">
          <a:extLst>
            <a:ext uri="{FF2B5EF4-FFF2-40B4-BE49-F238E27FC236}">
              <a16:creationId xmlns:a16="http://schemas.microsoft.com/office/drawing/2014/main" id="{00000000-0008-0000-1300-000002000000}"/>
            </a:ext>
          </a:extLst>
        </xdr:cNvPr>
        <xdr:cNvGrpSpPr/>
      </xdr:nvGrpSpPr>
      <xdr:grpSpPr>
        <a:xfrm>
          <a:off x="199571" y="114300"/>
          <a:ext cx="13623439" cy="810381"/>
          <a:chOff x="612322" y="489858"/>
          <a:chExt cx="13874104" cy="807206"/>
        </a:xfrm>
      </xdr:grpSpPr>
      <xdr:sp macro="" textlink="">
        <xdr:nvSpPr>
          <xdr:cNvPr id="3" name="TextBox 31">
            <a:extLst>
              <a:ext uri="{FF2B5EF4-FFF2-40B4-BE49-F238E27FC236}">
                <a16:creationId xmlns:a16="http://schemas.microsoft.com/office/drawing/2014/main" id="{00000000-0008-0000-1300-000003000000}"/>
              </a:ext>
            </a:extLst>
          </xdr:cNvPr>
          <xdr:cNvSpPr txBox="1"/>
        </xdr:nvSpPr>
        <xdr:spPr>
          <a:xfrm>
            <a:off x="1221855" y="665339"/>
            <a:ext cx="13264571" cy="614284"/>
          </a:xfrm>
          <a:prstGeom prst="rect">
            <a:avLst/>
          </a:prstGeom>
          <a:noFill/>
        </xdr:spPr>
        <xdr:txBody>
          <a:bodyPr wrap="square" rtlCol="0">
            <a:noAutofit/>
          </a:bodyPr>
          <a:lstStyle/>
          <a:p>
            <a:pPr algn="l"/>
            <a:r>
              <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rPr>
              <a:t>13.4 BUILDING SEALING</a:t>
            </a:r>
            <a:endParaRPr lang="en-US" sz="40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endParaRPr>
          </a:p>
          <a:p>
            <a:pPr algn="l"/>
            <a:r>
              <a:rPr lang="en-US" sz="40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t>HELP GUIDE</a:t>
            </a:r>
            <a:endParaRPr lang="en-US" sz="4000" b="0" i="0" u="none" strike="noStrike" spc="119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sp macro="" textlink="Name">
        <xdr:nvSpPr>
          <xdr:cNvPr id="4" name="TextBox 31">
            <a:extLst>
              <a:ext uri="{FF2B5EF4-FFF2-40B4-BE49-F238E27FC236}">
                <a16:creationId xmlns:a16="http://schemas.microsoft.com/office/drawing/2014/main" id="{00000000-0008-0000-1300-000004000000}"/>
              </a:ext>
            </a:extLst>
          </xdr:cNvPr>
          <xdr:cNvSpPr txBox="1"/>
        </xdr:nvSpPr>
        <xdr:spPr>
          <a:xfrm>
            <a:off x="1221855" y="489858"/>
            <a:ext cx="13264571" cy="24013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fld id="{68FE61AA-18D6-4641-AAB6-F48BFA177548}" type="TxLink">
              <a:rPr lang="en-US" sz="1200" b="0" i="0" u="none" strike="noStrike" spc="1190" baseline="0">
                <a:solidFill>
                  <a:schemeClr val="bg1"/>
                </a:solidFill>
                <a:latin typeface="Arial" panose="020B0604020202020204" pitchFamily="34" charset="0"/>
                <a:ea typeface="Verdana" panose="020B0604030504040204" pitchFamily="34" charset="0"/>
                <a:cs typeface="Arial" panose="020B0604020202020204" pitchFamily="34" charset="0"/>
              </a:rPr>
              <a:pPr algn="l"/>
              <a:t>Housing Energy Efficiency Calculator</a:t>
            </a:fld>
            <a:endParaRPr lang="en-AU" sz="1200" b="0" spc="1190" baseline="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pic>
        <xdr:nvPicPr>
          <xdr:cNvPr id="5" name="Picture 4" descr="A white arrow in a circle&#10;&#10;Description automatically generated">
            <a:hlinkClick xmlns:r="http://schemas.openxmlformats.org/officeDocument/2006/relationships" r:id="rId2"/>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3">
            <a:biLevel thresh="25000"/>
            <a:extLst>
              <a:ext uri="{BEBA8EAE-BF5A-486C-A8C5-ECC9F3942E4B}">
                <a14:imgProps xmlns:a14="http://schemas.microsoft.com/office/drawing/2010/main">
                  <a14:imgLayer r:embed="rId4">
                    <a14:imgEffect>
                      <a14:brightnessContrast bright="-40000" contrast="-40000"/>
                    </a14:imgEffect>
                  </a14:imgLayer>
                </a14:imgProps>
              </a:ext>
            </a:extLst>
          </a:blip>
          <a:stretch>
            <a:fillRect/>
          </a:stretch>
        </xdr:blipFill>
        <xdr:spPr>
          <a:xfrm>
            <a:off x="612322" y="849570"/>
            <a:ext cx="473043" cy="447494"/>
          </a:xfrm>
          <a:prstGeom prst="rect">
            <a:avLst/>
          </a:prstGeom>
        </xdr:spPr>
      </xdr:pic>
    </xdr:grpSp>
    <xdr:clientData/>
  </xdr:twoCellAnchor>
  <xdr:twoCellAnchor editAs="oneCell">
    <xdr:from>
      <xdr:col>1</xdr:col>
      <xdr:colOff>0</xdr:colOff>
      <xdr:row>8</xdr:row>
      <xdr:rowOff>0</xdr:rowOff>
    </xdr:from>
    <xdr:to>
      <xdr:col>1</xdr:col>
      <xdr:colOff>10372725</xdr:colOff>
      <xdr:row>22</xdr:row>
      <xdr:rowOff>161510</xdr:rowOff>
    </xdr:to>
    <xdr:pic>
      <xdr:nvPicPr>
        <xdr:cNvPr id="6" name="Picture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1"/>
        <a:stretch>
          <a:fillRect/>
        </a:stretch>
      </xdr:blipFill>
      <xdr:spPr>
        <a:xfrm>
          <a:off x="201706" y="3148853"/>
          <a:ext cx="10372725" cy="2671628"/>
        </a:xfrm>
        <a:prstGeom prst="rect">
          <a:avLst/>
        </a:prstGeom>
      </xdr:spPr>
    </xdr:pic>
    <xdr:clientData/>
  </xdr:twoCellAnchor>
  <xdr:twoCellAnchor>
    <xdr:from>
      <xdr:col>1</xdr:col>
      <xdr:colOff>6264647</xdr:colOff>
      <xdr:row>6</xdr:row>
      <xdr:rowOff>133491</xdr:rowOff>
    </xdr:from>
    <xdr:to>
      <xdr:col>2</xdr:col>
      <xdr:colOff>23812</xdr:colOff>
      <xdr:row>15</xdr:row>
      <xdr:rowOff>27214</xdr:rowOff>
    </xdr:to>
    <xdr:sp macro="" textlink="">
      <xdr:nvSpPr>
        <xdr:cNvPr id="7" name="Rounded Rectangular Callout 17">
          <a:extLst>
            <a:ext uri="{FF2B5EF4-FFF2-40B4-BE49-F238E27FC236}">
              <a16:creationId xmlns:a16="http://schemas.microsoft.com/office/drawing/2014/main" id="{00000000-0008-0000-1300-000007000000}"/>
            </a:ext>
          </a:extLst>
        </xdr:cNvPr>
        <xdr:cNvSpPr/>
      </xdr:nvSpPr>
      <xdr:spPr>
        <a:xfrm>
          <a:off x="6468754" y="2868527"/>
          <a:ext cx="4168629" cy="1540187"/>
        </a:xfrm>
        <a:prstGeom prst="wedgeRoundRectCallout">
          <a:avLst>
            <a:gd name="adj1" fmla="val -145984"/>
            <a:gd name="adj2" fmla="val 49695"/>
            <a:gd name="adj3" fmla="val 16667"/>
          </a:avLst>
        </a:prstGeom>
        <a:ln w="952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200" b="1">
              <a:latin typeface="Arial" panose="020B0604020202020204" pitchFamily="34" charset="0"/>
              <a:ea typeface="Inter" panose="020B0502030000000004" pitchFamily="34" charset="0"/>
              <a:cs typeface="Arial" panose="020B0604020202020204" pitchFamily="34" charset="0"/>
            </a:rPr>
            <a:t>To change the number of rows</a:t>
          </a:r>
          <a:r>
            <a:rPr lang="en-AU" sz="1200" b="1" baseline="0">
              <a:latin typeface="Arial" panose="020B0604020202020204" pitchFamily="34" charset="0"/>
              <a:ea typeface="Inter" panose="020B0502030000000004" pitchFamily="34" charset="0"/>
              <a:cs typeface="Arial" panose="020B0604020202020204" pitchFamily="34" charset="0"/>
            </a:rPr>
            <a:t> displayed (step 1 of 2):</a:t>
          </a:r>
        </a:p>
        <a:p>
          <a:pPr algn="l"/>
          <a:r>
            <a:rPr lang="en-AU" sz="1200" b="0" baseline="0">
              <a:latin typeface="Arial" panose="020B0604020202020204" pitchFamily="34" charset="0"/>
              <a:ea typeface="Inter" panose="020B0502030000000004" pitchFamily="34" charset="0"/>
              <a:cs typeface="Arial" panose="020B0604020202020204" pitchFamily="34" charset="0"/>
            </a:rPr>
            <a:t>Input the required number of rows here and press Enter. Note the advice in red to the right of the number.</a:t>
          </a:r>
        </a:p>
        <a:p>
          <a:pPr algn="l"/>
          <a:endParaRPr lang="en-AU" sz="1200" b="0" baseline="0">
            <a:latin typeface="Arial" panose="020B0604020202020204" pitchFamily="34" charset="0"/>
            <a:ea typeface="Inter" panose="020B0502030000000004" pitchFamily="34" charset="0"/>
            <a:cs typeface="Arial" panose="020B0604020202020204" pitchFamily="34" charset="0"/>
          </a:endParaRPr>
        </a:p>
        <a:p>
          <a:pPr algn="l"/>
          <a:r>
            <a:rPr lang="en-AU" sz="1200" b="0" baseline="0">
              <a:latin typeface="Arial" panose="020B0604020202020204" pitchFamily="34" charset="0"/>
              <a:ea typeface="Inter" panose="020B0502030000000004" pitchFamily="34" charset="0"/>
              <a:cs typeface="Arial" panose="020B0604020202020204" pitchFamily="34" charset="0"/>
            </a:rPr>
            <a:t>(This cell will not accept numbers that would cause rows with data to be hidden).</a:t>
          </a:r>
        </a:p>
      </xdr:txBody>
    </xdr:sp>
    <xdr:clientData/>
  </xdr:twoCellAnchor>
  <xdr:twoCellAnchor>
    <xdr:from>
      <xdr:col>1</xdr:col>
      <xdr:colOff>2992530</xdr:colOff>
      <xdr:row>17</xdr:row>
      <xdr:rowOff>150720</xdr:rowOff>
    </xdr:from>
    <xdr:to>
      <xdr:col>1</xdr:col>
      <xdr:colOff>7102930</xdr:colOff>
      <xdr:row>24</xdr:row>
      <xdr:rowOff>71438</xdr:rowOff>
    </xdr:to>
    <xdr:sp macro="" textlink="">
      <xdr:nvSpPr>
        <xdr:cNvPr id="8" name="AutoShape 3642">
          <a:extLst>
            <a:ext uri="{FF2B5EF4-FFF2-40B4-BE49-F238E27FC236}">
              <a16:creationId xmlns:a16="http://schemas.microsoft.com/office/drawing/2014/main" id="{00000000-0008-0000-1300-000008000000}"/>
            </a:ext>
          </a:extLst>
        </xdr:cNvPr>
        <xdr:cNvSpPr>
          <a:spLocks noChangeArrowheads="1"/>
        </xdr:cNvSpPr>
      </xdr:nvSpPr>
      <xdr:spPr bwMode="auto">
        <a:xfrm>
          <a:off x="3196637" y="4886006"/>
          <a:ext cx="4110400" cy="1158968"/>
        </a:xfrm>
        <a:prstGeom prst="wedgeRoundRectCallout">
          <a:avLst>
            <a:gd name="adj1" fmla="val -83512"/>
            <a:gd name="adj2" fmla="val -52681"/>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200" b="1" i="0" u="none" strike="noStrike" baseline="0">
              <a:solidFill>
                <a:srgbClr val="000000"/>
              </a:solidFill>
              <a:latin typeface="Arial"/>
              <a:cs typeface="Arial"/>
            </a:rPr>
            <a:t>To change the number of rows displayed (step 2 of 2):</a:t>
          </a:r>
        </a:p>
        <a:p>
          <a:pPr algn="l" rtl="0">
            <a:defRPr sz="1000"/>
          </a:pPr>
          <a:endParaRPr lang="en-AU" sz="700" b="1" i="0" u="none" strike="noStrike" baseline="0">
            <a:solidFill>
              <a:srgbClr val="000000"/>
            </a:solidFill>
            <a:latin typeface="Arial"/>
            <a:cs typeface="Arial"/>
          </a:endParaRPr>
        </a:p>
        <a:p>
          <a:pPr algn="l" rtl="0">
            <a:defRPr sz="1000"/>
          </a:pPr>
          <a:r>
            <a:rPr lang="en-AU" sz="1200" b="0" i="0" u="none" strike="noStrike" baseline="0">
              <a:solidFill>
                <a:srgbClr val="000000"/>
              </a:solidFill>
              <a:latin typeface="Arial"/>
              <a:cs typeface="Arial"/>
            </a:rPr>
            <a:t>Click the arrow in the blue filled heading above and then select the only number in the drop down list. (This number will always match the number input for step 1.)</a:t>
          </a:r>
        </a:p>
      </xdr:txBody>
    </xdr:sp>
    <xdr:clientData/>
  </xdr:twoCellAnchor>
  <xdr:twoCellAnchor>
    <xdr:from>
      <xdr:col>1</xdr:col>
      <xdr:colOff>5849474</xdr:colOff>
      <xdr:row>29</xdr:row>
      <xdr:rowOff>108857</xdr:rowOff>
    </xdr:from>
    <xdr:to>
      <xdr:col>1</xdr:col>
      <xdr:colOff>8113062</xdr:colOff>
      <xdr:row>35</xdr:row>
      <xdr:rowOff>156880</xdr:rowOff>
    </xdr:to>
    <xdr:sp macro="" textlink="">
      <xdr:nvSpPr>
        <xdr:cNvPr id="13" name="Rounded Rectangular Callout 22">
          <a:extLst>
            <a:ext uri="{FF2B5EF4-FFF2-40B4-BE49-F238E27FC236}">
              <a16:creationId xmlns:a16="http://schemas.microsoft.com/office/drawing/2014/main" id="{00000000-0008-0000-1300-00000D000000}"/>
            </a:ext>
          </a:extLst>
        </xdr:cNvPr>
        <xdr:cNvSpPr/>
      </xdr:nvSpPr>
      <xdr:spPr>
        <a:xfrm>
          <a:off x="6053581" y="7021286"/>
          <a:ext cx="2263588" cy="1109380"/>
        </a:xfrm>
        <a:prstGeom prst="wedgeRoundRectCallout">
          <a:avLst>
            <a:gd name="adj1" fmla="val -51951"/>
            <a:gd name="adj2" fmla="val 89578"/>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200" b="1" baseline="0">
              <a:latin typeface="Arial" panose="020B0604020202020204" pitchFamily="34" charset="0"/>
              <a:ea typeface="Inter" panose="020B0502030000000004" pitchFamily="34" charset="0"/>
              <a:cs typeface="Arial" panose="020B0604020202020204" pitchFamily="34" charset="0"/>
            </a:rPr>
            <a:t>Cell tips:</a:t>
          </a:r>
        </a:p>
        <a:p>
          <a:pPr algn="l"/>
          <a:r>
            <a:rPr lang="en-AU" sz="1200" b="0" baseline="0">
              <a:latin typeface="Arial" panose="020B0604020202020204" pitchFamily="34" charset="0"/>
              <a:ea typeface="Inter" panose="020B0502030000000004" pitchFamily="34" charset="0"/>
              <a:cs typeface="Arial" panose="020B0604020202020204" pitchFamily="34" charset="0"/>
            </a:rPr>
            <a:t>Cells with red triangles have popup tips with advice on explanations about inputs or outcomes.</a:t>
          </a:r>
        </a:p>
        <a:p>
          <a:pPr algn="l"/>
          <a:r>
            <a:rPr lang="en-AU" sz="1600" b="0" baseline="0">
              <a:latin typeface="Inter" panose="020B0502030000000004" pitchFamily="34" charset="0"/>
              <a:ea typeface="Inter" panose="020B0502030000000004" pitchFamily="34" charset="0"/>
            </a:rPr>
            <a:t> </a:t>
          </a:r>
          <a:endParaRPr lang="en-AU" sz="1600" b="0">
            <a:latin typeface="Inter" panose="020B0502030000000004" pitchFamily="34" charset="0"/>
            <a:ea typeface="Inter" panose="020B0502030000000004" pitchFamily="34" charset="0"/>
          </a:endParaRPr>
        </a:p>
      </xdr:txBody>
    </xdr:sp>
    <xdr:clientData/>
  </xdr:twoCellAnchor>
  <xdr:twoCellAnchor>
    <xdr:from>
      <xdr:col>1</xdr:col>
      <xdr:colOff>3214487</xdr:colOff>
      <xdr:row>28</xdr:row>
      <xdr:rowOff>104053</xdr:rowOff>
    </xdr:from>
    <xdr:to>
      <xdr:col>1</xdr:col>
      <xdr:colOff>5332398</xdr:colOff>
      <xdr:row>35</xdr:row>
      <xdr:rowOff>163284</xdr:rowOff>
    </xdr:to>
    <xdr:sp macro="" textlink="">
      <xdr:nvSpPr>
        <xdr:cNvPr id="14" name="Rounded Rectangular Callout 22">
          <a:extLst>
            <a:ext uri="{FF2B5EF4-FFF2-40B4-BE49-F238E27FC236}">
              <a16:creationId xmlns:a16="http://schemas.microsoft.com/office/drawing/2014/main" id="{00000000-0008-0000-1300-00000E000000}"/>
            </a:ext>
          </a:extLst>
        </xdr:cNvPr>
        <xdr:cNvSpPr/>
      </xdr:nvSpPr>
      <xdr:spPr>
        <a:xfrm>
          <a:off x="3418594" y="6839589"/>
          <a:ext cx="2117911" cy="1297481"/>
        </a:xfrm>
        <a:prstGeom prst="wedgeRoundRectCallout">
          <a:avLst>
            <a:gd name="adj1" fmla="val -37733"/>
            <a:gd name="adj2" fmla="val 85813"/>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200" b="1" baseline="0">
              <a:latin typeface="Arial" panose="020B0604020202020204" pitchFamily="34" charset="0"/>
              <a:ea typeface="Inter" panose="020B0502030000000004" pitchFamily="34" charset="0"/>
              <a:cs typeface="Arial" panose="020B0604020202020204" pitchFamily="34" charset="0"/>
            </a:rPr>
            <a:t>Linked Columns:</a:t>
          </a:r>
        </a:p>
        <a:p>
          <a:pPr algn="l"/>
          <a:r>
            <a:rPr lang="en-AU" sz="1200" b="0" baseline="0">
              <a:latin typeface="Arial" panose="020B0604020202020204" pitchFamily="34" charset="0"/>
              <a:ea typeface="Inter" panose="020B0502030000000004" pitchFamily="34" charset="0"/>
              <a:cs typeface="Arial" panose="020B0604020202020204" pitchFamily="34" charset="0"/>
            </a:rPr>
            <a:t>These rows are linked from 13.2.4 (Building Fabric: Roof Lights). This means that there is no user input needed here.</a:t>
          </a:r>
        </a:p>
      </xdr:txBody>
    </xdr:sp>
    <xdr:clientData/>
  </xdr:twoCellAnchor>
  <xdr:twoCellAnchor>
    <xdr:from>
      <xdr:col>1</xdr:col>
      <xdr:colOff>8169088</xdr:colOff>
      <xdr:row>28</xdr:row>
      <xdr:rowOff>136071</xdr:rowOff>
    </xdr:from>
    <xdr:to>
      <xdr:col>2</xdr:col>
      <xdr:colOff>134471</xdr:colOff>
      <xdr:row>36</xdr:row>
      <xdr:rowOff>67235</xdr:rowOff>
    </xdr:to>
    <xdr:sp macro="" textlink="">
      <xdr:nvSpPr>
        <xdr:cNvPr id="16" name="Rounded Rectangular Callout 22">
          <a:extLst>
            <a:ext uri="{FF2B5EF4-FFF2-40B4-BE49-F238E27FC236}">
              <a16:creationId xmlns:a16="http://schemas.microsoft.com/office/drawing/2014/main" id="{00000000-0008-0000-1300-000010000000}"/>
            </a:ext>
          </a:extLst>
        </xdr:cNvPr>
        <xdr:cNvSpPr/>
      </xdr:nvSpPr>
      <xdr:spPr>
        <a:xfrm>
          <a:off x="8373195" y="6871607"/>
          <a:ext cx="2374847" cy="1346307"/>
        </a:xfrm>
        <a:prstGeom prst="wedgeRoundRectCallout">
          <a:avLst>
            <a:gd name="adj1" fmla="val -20301"/>
            <a:gd name="adj2" fmla="val 74720"/>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200" b="1" baseline="0">
              <a:latin typeface="Arial" panose="020B0604020202020204" pitchFamily="34" charset="0"/>
              <a:ea typeface="Inter" panose="020B0502030000000004" pitchFamily="34" charset="0"/>
              <a:cs typeface="Arial" panose="020B0604020202020204" pitchFamily="34" charset="0"/>
            </a:rPr>
            <a:t>Sealing requirement check:</a:t>
          </a:r>
        </a:p>
        <a:p>
          <a:pPr algn="l"/>
          <a:r>
            <a:rPr lang="en-AU" sz="1200" b="0" baseline="0">
              <a:latin typeface="Arial" panose="020B0604020202020204" pitchFamily="34" charset="0"/>
              <a:ea typeface="Inter" panose="020B0502030000000004" pitchFamily="34" charset="0"/>
              <a:cs typeface="Arial" panose="020B0604020202020204" pitchFamily="34" charset="0"/>
            </a:rPr>
            <a:t>If the calculated column 'Sealing Requirement' produces "Yes" in the relevant row than the corresponding box should be checked.</a:t>
          </a:r>
        </a:p>
      </xdr:txBody>
    </xdr:sp>
    <xdr:clientData/>
  </xdr:twoCellAnchor>
  <xdr:twoCellAnchor editAs="oneCell">
    <xdr:from>
      <xdr:col>1</xdr:col>
      <xdr:colOff>0</xdr:colOff>
      <xdr:row>52</xdr:row>
      <xdr:rowOff>0</xdr:rowOff>
    </xdr:from>
    <xdr:to>
      <xdr:col>1</xdr:col>
      <xdr:colOff>10387854</xdr:colOff>
      <xdr:row>72</xdr:row>
      <xdr:rowOff>103356</xdr:rowOff>
    </xdr:to>
    <xdr:pic>
      <xdr:nvPicPr>
        <xdr:cNvPr id="17" name="Picture 16">
          <a:extLst>
            <a:ext uri="{FF2B5EF4-FFF2-40B4-BE49-F238E27FC236}">
              <a16:creationId xmlns:a16="http://schemas.microsoft.com/office/drawing/2014/main" id="{00000000-0008-0000-1300-000011000000}"/>
            </a:ext>
          </a:extLst>
        </xdr:cNvPr>
        <xdr:cNvPicPr>
          <a:picLocks noChangeAspect="1"/>
        </xdr:cNvPicPr>
      </xdr:nvPicPr>
      <xdr:blipFill>
        <a:blip xmlns:r="http://schemas.openxmlformats.org/officeDocument/2006/relationships" r:embed="rId5"/>
        <a:stretch>
          <a:fillRect/>
        </a:stretch>
      </xdr:blipFill>
      <xdr:spPr>
        <a:xfrm>
          <a:off x="201706" y="11172265"/>
          <a:ext cx="10387854" cy="3689238"/>
        </a:xfrm>
        <a:prstGeom prst="rect">
          <a:avLst/>
        </a:prstGeom>
      </xdr:spPr>
    </xdr:pic>
    <xdr:clientData/>
  </xdr:twoCellAnchor>
  <xdr:twoCellAnchor>
    <xdr:from>
      <xdr:col>1</xdr:col>
      <xdr:colOff>7328647</xdr:colOff>
      <xdr:row>56</xdr:row>
      <xdr:rowOff>0</xdr:rowOff>
    </xdr:from>
    <xdr:to>
      <xdr:col>2</xdr:col>
      <xdr:colOff>560294</xdr:colOff>
      <xdr:row>65</xdr:row>
      <xdr:rowOff>67236</xdr:rowOff>
    </xdr:to>
    <xdr:sp macro="" textlink="">
      <xdr:nvSpPr>
        <xdr:cNvPr id="18" name="Rounded Rectangular Callout 17">
          <a:extLst>
            <a:ext uri="{FF2B5EF4-FFF2-40B4-BE49-F238E27FC236}">
              <a16:creationId xmlns:a16="http://schemas.microsoft.com/office/drawing/2014/main" id="{00000000-0008-0000-1300-000012000000}"/>
            </a:ext>
          </a:extLst>
        </xdr:cNvPr>
        <xdr:cNvSpPr/>
      </xdr:nvSpPr>
      <xdr:spPr>
        <a:xfrm>
          <a:off x="7532754" y="11797393"/>
          <a:ext cx="3641111" cy="1659272"/>
        </a:xfrm>
        <a:prstGeom prst="wedgeRoundRectCallout">
          <a:avLst>
            <a:gd name="adj1" fmla="val -176797"/>
            <a:gd name="adj2" fmla="val 34138"/>
            <a:gd name="adj3" fmla="val 16667"/>
          </a:avLst>
        </a:prstGeom>
        <a:ln w="952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200" b="1">
              <a:latin typeface="Arial" panose="020B0604020202020204" pitchFamily="34" charset="0"/>
              <a:ea typeface="Inter" panose="020B0502030000000004" pitchFamily="34" charset="0"/>
              <a:cs typeface="Arial" panose="020B0604020202020204" pitchFamily="34" charset="0"/>
            </a:rPr>
            <a:t>To change the number of rows</a:t>
          </a:r>
          <a:r>
            <a:rPr lang="en-AU" sz="1200" b="1" baseline="0">
              <a:latin typeface="Arial" panose="020B0604020202020204" pitchFamily="34" charset="0"/>
              <a:ea typeface="Inter" panose="020B0502030000000004" pitchFamily="34" charset="0"/>
              <a:cs typeface="Arial" panose="020B0604020202020204" pitchFamily="34" charset="0"/>
            </a:rPr>
            <a:t> displayed (step 1 of 2):</a:t>
          </a:r>
        </a:p>
        <a:p>
          <a:pPr algn="l"/>
          <a:r>
            <a:rPr lang="en-AU" sz="1200" b="0" baseline="0">
              <a:latin typeface="Arial" panose="020B0604020202020204" pitchFamily="34" charset="0"/>
              <a:ea typeface="Inter" panose="020B0502030000000004" pitchFamily="34" charset="0"/>
              <a:cs typeface="Arial" panose="020B0604020202020204" pitchFamily="34" charset="0"/>
            </a:rPr>
            <a:t>Input the required number of rows here and press Enter. Note the advice in red to the right of the number.</a:t>
          </a:r>
        </a:p>
        <a:p>
          <a:pPr algn="l"/>
          <a:endParaRPr lang="en-AU" sz="1200" b="0" baseline="0">
            <a:latin typeface="Arial" panose="020B0604020202020204" pitchFamily="34" charset="0"/>
            <a:ea typeface="Inter" panose="020B0502030000000004" pitchFamily="34" charset="0"/>
            <a:cs typeface="Arial" panose="020B0604020202020204" pitchFamily="34" charset="0"/>
          </a:endParaRPr>
        </a:p>
        <a:p>
          <a:pPr algn="l"/>
          <a:r>
            <a:rPr lang="en-AU" sz="1200" b="0" baseline="0">
              <a:latin typeface="Arial" panose="020B0604020202020204" pitchFamily="34" charset="0"/>
              <a:ea typeface="Inter" panose="020B0502030000000004" pitchFamily="34" charset="0"/>
              <a:cs typeface="Arial" panose="020B0604020202020204" pitchFamily="34" charset="0"/>
            </a:rPr>
            <a:t>(This cell will not accept numbers that would cause rows with data to be hidden).</a:t>
          </a:r>
        </a:p>
      </xdr:txBody>
    </xdr:sp>
    <xdr:clientData/>
  </xdr:twoCellAnchor>
  <xdr:twoCellAnchor>
    <xdr:from>
      <xdr:col>1</xdr:col>
      <xdr:colOff>3866029</xdr:colOff>
      <xdr:row>67</xdr:row>
      <xdr:rowOff>108857</xdr:rowOff>
    </xdr:from>
    <xdr:to>
      <xdr:col>1</xdr:col>
      <xdr:colOff>7339853</xdr:colOff>
      <xdr:row>75</xdr:row>
      <xdr:rowOff>13607</xdr:rowOff>
    </xdr:to>
    <xdr:sp macro="" textlink="">
      <xdr:nvSpPr>
        <xdr:cNvPr id="19" name="AutoShape 3642">
          <a:extLst>
            <a:ext uri="{FF2B5EF4-FFF2-40B4-BE49-F238E27FC236}">
              <a16:creationId xmlns:a16="http://schemas.microsoft.com/office/drawing/2014/main" id="{00000000-0008-0000-1300-000013000000}"/>
            </a:ext>
          </a:extLst>
        </xdr:cNvPr>
        <xdr:cNvSpPr>
          <a:spLocks noChangeArrowheads="1"/>
        </xdr:cNvSpPr>
      </xdr:nvSpPr>
      <xdr:spPr bwMode="auto">
        <a:xfrm>
          <a:off x="4070136" y="13852071"/>
          <a:ext cx="3473824" cy="1319893"/>
        </a:xfrm>
        <a:prstGeom prst="wedgeRoundRectCallout">
          <a:avLst>
            <a:gd name="adj1" fmla="val -116491"/>
            <a:gd name="adj2" fmla="val -45412"/>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200" b="1" i="0" u="none" strike="noStrike" baseline="0">
              <a:solidFill>
                <a:srgbClr val="000000"/>
              </a:solidFill>
              <a:latin typeface="Arial"/>
              <a:cs typeface="Arial"/>
            </a:rPr>
            <a:t>To change the number of rows displayed (step 2 of 2):</a:t>
          </a:r>
        </a:p>
        <a:p>
          <a:pPr algn="l" rtl="0">
            <a:defRPr sz="1000"/>
          </a:pPr>
          <a:endParaRPr lang="en-AU" sz="700" b="1" i="0" u="none" strike="noStrike" baseline="0">
            <a:solidFill>
              <a:srgbClr val="000000"/>
            </a:solidFill>
            <a:latin typeface="Arial"/>
            <a:cs typeface="Arial"/>
          </a:endParaRPr>
        </a:p>
        <a:p>
          <a:pPr algn="l" rtl="0">
            <a:defRPr sz="1000"/>
          </a:pPr>
          <a:r>
            <a:rPr lang="en-AU" sz="1200" b="0" i="0" u="none" strike="noStrike" baseline="0">
              <a:solidFill>
                <a:srgbClr val="000000"/>
              </a:solidFill>
              <a:latin typeface="Arial"/>
              <a:cs typeface="Arial"/>
            </a:rPr>
            <a:t>Click the arrow in the blue filled heading above and then select the only number in the drop down list. (This number will always match the number input for step 1.)</a:t>
          </a:r>
        </a:p>
      </xdr:txBody>
    </xdr:sp>
    <xdr:clientData/>
  </xdr:twoCellAnchor>
  <xdr:twoCellAnchor editAs="oneCell">
    <xdr:from>
      <xdr:col>1</xdr:col>
      <xdr:colOff>0</xdr:colOff>
      <xdr:row>79</xdr:row>
      <xdr:rowOff>0</xdr:rowOff>
    </xdr:from>
    <xdr:to>
      <xdr:col>1</xdr:col>
      <xdr:colOff>10387854</xdr:colOff>
      <xdr:row>99</xdr:row>
      <xdr:rowOff>103355</xdr:rowOff>
    </xdr:to>
    <xdr:pic>
      <xdr:nvPicPr>
        <xdr:cNvPr id="20" name="Picture 19">
          <a:extLst>
            <a:ext uri="{FF2B5EF4-FFF2-40B4-BE49-F238E27FC236}">
              <a16:creationId xmlns:a16="http://schemas.microsoft.com/office/drawing/2014/main" id="{00000000-0008-0000-1300-000014000000}"/>
            </a:ext>
          </a:extLst>
        </xdr:cNvPr>
        <xdr:cNvPicPr>
          <a:picLocks noChangeAspect="1"/>
        </xdr:cNvPicPr>
      </xdr:nvPicPr>
      <xdr:blipFill>
        <a:blip xmlns:r="http://schemas.openxmlformats.org/officeDocument/2006/relationships" r:embed="rId5"/>
        <a:stretch>
          <a:fillRect/>
        </a:stretch>
      </xdr:blipFill>
      <xdr:spPr>
        <a:xfrm>
          <a:off x="201706" y="16058029"/>
          <a:ext cx="10387854" cy="3689238"/>
        </a:xfrm>
        <a:prstGeom prst="rect">
          <a:avLst/>
        </a:prstGeom>
      </xdr:spPr>
    </xdr:pic>
    <xdr:clientData/>
  </xdr:twoCellAnchor>
  <xdr:twoCellAnchor>
    <xdr:from>
      <xdr:col>1</xdr:col>
      <xdr:colOff>8068235</xdr:colOff>
      <xdr:row>83</xdr:row>
      <xdr:rowOff>149678</xdr:rowOff>
    </xdr:from>
    <xdr:to>
      <xdr:col>2</xdr:col>
      <xdr:colOff>33618</xdr:colOff>
      <xdr:row>91</xdr:row>
      <xdr:rowOff>13608</xdr:rowOff>
    </xdr:to>
    <xdr:sp macro="" textlink="">
      <xdr:nvSpPr>
        <xdr:cNvPr id="22" name="Rounded Rectangular Callout 22">
          <a:extLst>
            <a:ext uri="{FF2B5EF4-FFF2-40B4-BE49-F238E27FC236}">
              <a16:creationId xmlns:a16="http://schemas.microsoft.com/office/drawing/2014/main" id="{00000000-0008-0000-1300-000016000000}"/>
            </a:ext>
          </a:extLst>
        </xdr:cNvPr>
        <xdr:cNvSpPr/>
      </xdr:nvSpPr>
      <xdr:spPr>
        <a:xfrm>
          <a:off x="8272342" y="16777607"/>
          <a:ext cx="2374847" cy="1279072"/>
        </a:xfrm>
        <a:prstGeom prst="wedgeRoundRectCallout">
          <a:avLst>
            <a:gd name="adj1" fmla="val -34348"/>
            <a:gd name="adj2" fmla="val 80951"/>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200" b="1" baseline="0">
              <a:latin typeface="Arial" panose="020B0604020202020204" pitchFamily="34" charset="0"/>
              <a:ea typeface="Inter" panose="020B0502030000000004" pitchFamily="34" charset="0"/>
              <a:cs typeface="Arial" panose="020B0604020202020204" pitchFamily="34" charset="0"/>
            </a:rPr>
            <a:t>Sealing requirement check:</a:t>
          </a:r>
        </a:p>
        <a:p>
          <a:pPr algn="l"/>
          <a:r>
            <a:rPr lang="en-AU" sz="1200" b="0" baseline="0">
              <a:latin typeface="Arial" panose="020B0604020202020204" pitchFamily="34" charset="0"/>
              <a:ea typeface="Inter" panose="020B0502030000000004" pitchFamily="34" charset="0"/>
              <a:cs typeface="Arial" panose="020B0604020202020204" pitchFamily="34" charset="0"/>
            </a:rPr>
            <a:t>If the calculated column 'Sealing Requirement' produces "Yes" in the relevant row then the corresponding box should be checked.</a:t>
          </a:r>
        </a:p>
      </xdr:txBody>
    </xdr:sp>
    <xdr:clientData/>
  </xdr:twoCellAnchor>
  <xdr:twoCellAnchor editAs="oneCell">
    <xdr:from>
      <xdr:col>1</xdr:col>
      <xdr:colOff>1</xdr:colOff>
      <xdr:row>109</xdr:row>
      <xdr:rowOff>0</xdr:rowOff>
    </xdr:from>
    <xdr:to>
      <xdr:col>2</xdr:col>
      <xdr:colOff>56030</xdr:colOff>
      <xdr:row>122</xdr:row>
      <xdr:rowOff>6785</xdr:rowOff>
    </xdr:to>
    <xdr:pic>
      <xdr:nvPicPr>
        <xdr:cNvPr id="23" name="Picture 22">
          <a:extLst>
            <a:ext uri="{FF2B5EF4-FFF2-40B4-BE49-F238E27FC236}">
              <a16:creationId xmlns:a16="http://schemas.microsoft.com/office/drawing/2014/main" id="{00000000-0008-0000-1300-000017000000}"/>
            </a:ext>
          </a:extLst>
        </xdr:cNvPr>
        <xdr:cNvPicPr>
          <a:picLocks noChangeAspect="1"/>
        </xdr:cNvPicPr>
      </xdr:nvPicPr>
      <xdr:blipFill>
        <a:blip xmlns:r="http://schemas.openxmlformats.org/officeDocument/2006/relationships" r:embed="rId6"/>
        <a:stretch>
          <a:fillRect/>
        </a:stretch>
      </xdr:blipFill>
      <xdr:spPr>
        <a:xfrm>
          <a:off x="201707" y="21526500"/>
          <a:ext cx="10466294" cy="2337609"/>
        </a:xfrm>
        <a:prstGeom prst="rect">
          <a:avLst/>
        </a:prstGeom>
      </xdr:spPr>
    </xdr:pic>
    <xdr:clientData/>
  </xdr:twoCellAnchor>
  <xdr:twoCellAnchor>
    <xdr:from>
      <xdr:col>1</xdr:col>
      <xdr:colOff>3440207</xdr:colOff>
      <xdr:row>109</xdr:row>
      <xdr:rowOff>22412</xdr:rowOff>
    </xdr:from>
    <xdr:to>
      <xdr:col>1</xdr:col>
      <xdr:colOff>7987393</xdr:colOff>
      <xdr:row>116</xdr:row>
      <xdr:rowOff>68036</xdr:rowOff>
    </xdr:to>
    <xdr:sp macro="" textlink="">
      <xdr:nvSpPr>
        <xdr:cNvPr id="12" name="Rounded Rectangular Callout 17">
          <a:extLst>
            <a:ext uri="{FF2B5EF4-FFF2-40B4-BE49-F238E27FC236}">
              <a16:creationId xmlns:a16="http://schemas.microsoft.com/office/drawing/2014/main" id="{00000000-0008-0000-1300-00000C000000}"/>
            </a:ext>
          </a:extLst>
        </xdr:cNvPr>
        <xdr:cNvSpPr/>
      </xdr:nvSpPr>
      <xdr:spPr>
        <a:xfrm>
          <a:off x="3644314" y="21358412"/>
          <a:ext cx="4547186" cy="1283874"/>
        </a:xfrm>
        <a:prstGeom prst="wedgeRoundRectCallout">
          <a:avLst>
            <a:gd name="adj1" fmla="val -76689"/>
            <a:gd name="adj2" fmla="val 13397"/>
            <a:gd name="adj3" fmla="val 16667"/>
          </a:avLst>
        </a:prstGeom>
        <a:ln w="952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200" b="1">
              <a:latin typeface="Arial" panose="020B0604020202020204" pitchFamily="34" charset="0"/>
              <a:ea typeface="Inter" panose="020B0502030000000004" pitchFamily="34" charset="0"/>
              <a:cs typeface="Arial" panose="020B0604020202020204" pitchFamily="34" charset="0"/>
            </a:rPr>
            <a:t>To change the number of rows</a:t>
          </a:r>
          <a:r>
            <a:rPr lang="en-AU" sz="1200" b="1" baseline="0">
              <a:latin typeface="Arial" panose="020B0604020202020204" pitchFamily="34" charset="0"/>
              <a:ea typeface="Inter" panose="020B0502030000000004" pitchFamily="34" charset="0"/>
              <a:cs typeface="Arial" panose="020B0604020202020204" pitchFamily="34" charset="0"/>
            </a:rPr>
            <a:t> displayed (step 1 of 2):</a:t>
          </a:r>
        </a:p>
        <a:p>
          <a:pPr algn="l"/>
          <a:r>
            <a:rPr lang="en-AU" sz="1200" b="0" baseline="0">
              <a:latin typeface="Arial" panose="020B0604020202020204" pitchFamily="34" charset="0"/>
              <a:ea typeface="Inter" panose="020B0502030000000004" pitchFamily="34" charset="0"/>
              <a:cs typeface="Arial" panose="020B0604020202020204" pitchFamily="34" charset="0"/>
            </a:rPr>
            <a:t>Input the required number of rows here and press Enter. Note the advice in red to the right of the number.</a:t>
          </a:r>
        </a:p>
        <a:p>
          <a:pPr algn="l"/>
          <a:endParaRPr lang="en-AU" sz="1200" b="0" baseline="0">
            <a:latin typeface="Arial" panose="020B0604020202020204" pitchFamily="34" charset="0"/>
            <a:ea typeface="Inter" panose="020B0502030000000004" pitchFamily="34" charset="0"/>
            <a:cs typeface="Arial" panose="020B0604020202020204" pitchFamily="34" charset="0"/>
          </a:endParaRPr>
        </a:p>
        <a:p>
          <a:pPr algn="l"/>
          <a:r>
            <a:rPr lang="en-AU" sz="1200" b="0" baseline="0">
              <a:latin typeface="Arial" panose="020B0604020202020204" pitchFamily="34" charset="0"/>
              <a:ea typeface="Inter" panose="020B0502030000000004" pitchFamily="34" charset="0"/>
              <a:cs typeface="Arial" panose="020B0604020202020204" pitchFamily="34" charset="0"/>
            </a:rPr>
            <a:t>(This cell will not accept numbers that would cause rows with data to be hidden).</a:t>
          </a:r>
        </a:p>
      </xdr:txBody>
    </xdr:sp>
    <xdr:clientData/>
  </xdr:twoCellAnchor>
  <xdr:twoCellAnchor>
    <xdr:from>
      <xdr:col>1</xdr:col>
      <xdr:colOff>2308410</xdr:colOff>
      <xdr:row>118</xdr:row>
      <xdr:rowOff>56030</xdr:rowOff>
    </xdr:from>
    <xdr:to>
      <xdr:col>1</xdr:col>
      <xdr:colOff>6789963</xdr:colOff>
      <xdr:row>123</xdr:row>
      <xdr:rowOff>149679</xdr:rowOff>
    </xdr:to>
    <xdr:sp macro="" textlink="">
      <xdr:nvSpPr>
        <xdr:cNvPr id="39" name="AutoShape 3642">
          <a:extLst>
            <a:ext uri="{FF2B5EF4-FFF2-40B4-BE49-F238E27FC236}">
              <a16:creationId xmlns:a16="http://schemas.microsoft.com/office/drawing/2014/main" id="{00000000-0008-0000-1300-000027000000}"/>
            </a:ext>
          </a:extLst>
        </xdr:cNvPr>
        <xdr:cNvSpPr>
          <a:spLocks noChangeArrowheads="1"/>
        </xdr:cNvSpPr>
      </xdr:nvSpPr>
      <xdr:spPr bwMode="auto">
        <a:xfrm>
          <a:off x="2512517" y="22984066"/>
          <a:ext cx="4481553" cy="978113"/>
        </a:xfrm>
        <a:prstGeom prst="wedgeRoundRectCallout">
          <a:avLst>
            <a:gd name="adj1" fmla="val -73495"/>
            <a:gd name="adj2" fmla="val -73059"/>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200" b="1" i="0" u="none" strike="noStrike" baseline="0">
              <a:solidFill>
                <a:srgbClr val="000000"/>
              </a:solidFill>
              <a:latin typeface="Arial"/>
              <a:cs typeface="Arial"/>
            </a:rPr>
            <a:t>To change the number of rows displayed (step 2 of 2):</a:t>
          </a:r>
        </a:p>
        <a:p>
          <a:pPr algn="l" rtl="0">
            <a:defRPr sz="1000"/>
          </a:pPr>
          <a:endParaRPr lang="en-AU" sz="700" b="1" i="0" u="none" strike="noStrike" baseline="0">
            <a:solidFill>
              <a:srgbClr val="000000"/>
            </a:solidFill>
            <a:latin typeface="Arial"/>
            <a:cs typeface="Arial"/>
          </a:endParaRPr>
        </a:p>
        <a:p>
          <a:pPr algn="l" rtl="0">
            <a:defRPr sz="1000"/>
          </a:pPr>
          <a:r>
            <a:rPr lang="en-AU" sz="1200" b="0" i="0" u="none" strike="noStrike" baseline="0">
              <a:solidFill>
                <a:srgbClr val="000000"/>
              </a:solidFill>
              <a:latin typeface="Arial"/>
              <a:cs typeface="Arial"/>
            </a:rPr>
            <a:t>Click the arrow in the blue filled heading above and then select the only number in the drop down list. (This number will always match the number input for step 1.)</a:t>
          </a:r>
        </a:p>
      </xdr:txBody>
    </xdr:sp>
    <xdr:clientData/>
  </xdr:twoCellAnchor>
  <xdr:twoCellAnchor editAs="oneCell">
    <xdr:from>
      <xdr:col>1</xdr:col>
      <xdr:colOff>0</xdr:colOff>
      <xdr:row>130</xdr:row>
      <xdr:rowOff>0</xdr:rowOff>
    </xdr:from>
    <xdr:to>
      <xdr:col>2</xdr:col>
      <xdr:colOff>56029</xdr:colOff>
      <xdr:row>143</xdr:row>
      <xdr:rowOff>6785</xdr:rowOff>
    </xdr:to>
    <xdr:pic>
      <xdr:nvPicPr>
        <xdr:cNvPr id="28" name="Picture 27">
          <a:extLst>
            <a:ext uri="{FF2B5EF4-FFF2-40B4-BE49-F238E27FC236}">
              <a16:creationId xmlns:a16="http://schemas.microsoft.com/office/drawing/2014/main" id="{00000000-0008-0000-1300-00001C000000}"/>
            </a:ext>
          </a:extLst>
        </xdr:cNvPr>
        <xdr:cNvPicPr>
          <a:picLocks noChangeAspect="1"/>
        </xdr:cNvPicPr>
      </xdr:nvPicPr>
      <xdr:blipFill>
        <a:blip xmlns:r="http://schemas.openxmlformats.org/officeDocument/2006/relationships" r:embed="rId6"/>
        <a:stretch>
          <a:fillRect/>
        </a:stretch>
      </xdr:blipFill>
      <xdr:spPr>
        <a:xfrm>
          <a:off x="201706" y="25336500"/>
          <a:ext cx="10466294" cy="2337609"/>
        </a:xfrm>
        <a:prstGeom prst="rect">
          <a:avLst/>
        </a:prstGeom>
      </xdr:spPr>
    </xdr:pic>
    <xdr:clientData/>
  </xdr:twoCellAnchor>
  <xdr:twoCellAnchor>
    <xdr:from>
      <xdr:col>1</xdr:col>
      <xdr:colOff>4231821</xdr:colOff>
      <xdr:row>129</xdr:row>
      <xdr:rowOff>131268</xdr:rowOff>
    </xdr:from>
    <xdr:to>
      <xdr:col>1</xdr:col>
      <xdr:colOff>7062106</xdr:colOff>
      <xdr:row>134</xdr:row>
      <xdr:rowOff>163286</xdr:rowOff>
    </xdr:to>
    <xdr:sp macro="" textlink="">
      <xdr:nvSpPr>
        <xdr:cNvPr id="41" name="Rounded Rectangular Callout 22">
          <a:extLst>
            <a:ext uri="{FF2B5EF4-FFF2-40B4-BE49-F238E27FC236}">
              <a16:creationId xmlns:a16="http://schemas.microsoft.com/office/drawing/2014/main" id="{00000000-0008-0000-1300-000029000000}"/>
            </a:ext>
          </a:extLst>
        </xdr:cNvPr>
        <xdr:cNvSpPr/>
      </xdr:nvSpPr>
      <xdr:spPr>
        <a:xfrm>
          <a:off x="4435928" y="25059554"/>
          <a:ext cx="2830285" cy="916482"/>
        </a:xfrm>
        <a:prstGeom prst="wedgeRoundRectCallout">
          <a:avLst>
            <a:gd name="adj1" fmla="val -6702"/>
            <a:gd name="adj2" fmla="val 63942"/>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200" b="1" baseline="0">
              <a:latin typeface="Arial" panose="020B0604020202020204" pitchFamily="34" charset="0"/>
              <a:ea typeface="Inter" panose="020B0502030000000004" pitchFamily="34" charset="0"/>
              <a:cs typeface="Arial" panose="020B0604020202020204" pitchFamily="34" charset="0"/>
            </a:rPr>
            <a:t>Cell tips:</a:t>
          </a:r>
        </a:p>
        <a:p>
          <a:pPr algn="l"/>
          <a:r>
            <a:rPr lang="en-AU" sz="1200" b="0" baseline="0">
              <a:latin typeface="Arial" panose="020B0604020202020204" pitchFamily="34" charset="0"/>
              <a:ea typeface="Inter" panose="020B0502030000000004" pitchFamily="34" charset="0"/>
              <a:cs typeface="Arial" panose="020B0604020202020204" pitchFamily="34" charset="0"/>
            </a:rPr>
            <a:t>Cells with red triangles have popup tips with advice on explanations about inputs or outcomes.</a:t>
          </a:r>
        </a:p>
        <a:p>
          <a:pPr algn="l"/>
          <a:r>
            <a:rPr lang="en-AU" sz="1600" b="0" baseline="0">
              <a:latin typeface="Inter" panose="020B0502030000000004" pitchFamily="34" charset="0"/>
              <a:ea typeface="Inter" panose="020B0502030000000004" pitchFamily="34" charset="0"/>
            </a:rPr>
            <a:t> </a:t>
          </a:r>
          <a:endParaRPr lang="en-AU" sz="1600" b="0">
            <a:latin typeface="Inter" panose="020B0502030000000004" pitchFamily="34" charset="0"/>
            <a:ea typeface="Inter" panose="020B0502030000000004" pitchFamily="34" charset="0"/>
          </a:endParaRPr>
        </a:p>
      </xdr:txBody>
    </xdr:sp>
    <xdr:clientData/>
  </xdr:twoCellAnchor>
  <xdr:twoCellAnchor>
    <xdr:from>
      <xdr:col>1</xdr:col>
      <xdr:colOff>7551964</xdr:colOff>
      <xdr:row>128</xdr:row>
      <xdr:rowOff>108858</xdr:rowOff>
    </xdr:from>
    <xdr:to>
      <xdr:col>1</xdr:col>
      <xdr:colOff>10359039</xdr:colOff>
      <xdr:row>134</xdr:row>
      <xdr:rowOff>136072</xdr:rowOff>
    </xdr:to>
    <xdr:sp macro="" textlink="">
      <xdr:nvSpPr>
        <xdr:cNvPr id="30" name="Rounded Rectangular Callout 22">
          <a:extLst>
            <a:ext uri="{FF2B5EF4-FFF2-40B4-BE49-F238E27FC236}">
              <a16:creationId xmlns:a16="http://schemas.microsoft.com/office/drawing/2014/main" id="{00000000-0008-0000-1300-00001E000000}"/>
            </a:ext>
          </a:extLst>
        </xdr:cNvPr>
        <xdr:cNvSpPr/>
      </xdr:nvSpPr>
      <xdr:spPr>
        <a:xfrm>
          <a:off x="7756071" y="24805822"/>
          <a:ext cx="2807075" cy="1143000"/>
        </a:xfrm>
        <a:prstGeom prst="wedgeRoundRectCallout">
          <a:avLst>
            <a:gd name="adj1" fmla="val -15625"/>
            <a:gd name="adj2" fmla="val 66386"/>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200" b="1" baseline="0">
              <a:latin typeface="Arial" panose="020B0604020202020204" pitchFamily="34" charset="0"/>
              <a:ea typeface="Inter" panose="020B0502030000000004" pitchFamily="34" charset="0"/>
              <a:cs typeface="Arial" panose="020B0604020202020204" pitchFamily="34" charset="0"/>
            </a:rPr>
            <a:t>Sealing requirement check:</a:t>
          </a:r>
        </a:p>
        <a:p>
          <a:pPr algn="l"/>
          <a:r>
            <a:rPr lang="en-AU" sz="1200" b="0" baseline="0">
              <a:latin typeface="Arial" panose="020B0604020202020204" pitchFamily="34" charset="0"/>
              <a:ea typeface="Inter" panose="020B0502030000000004" pitchFamily="34" charset="0"/>
              <a:cs typeface="Arial" panose="020B0604020202020204" pitchFamily="34" charset="0"/>
            </a:rPr>
            <a:t>If the calculated column 'Sealing Requirement' produces "Yes" in the relevant row than the corresponding box should be checked.</a:t>
          </a:r>
        </a:p>
      </xdr:txBody>
    </xdr:sp>
    <xdr:clientData/>
  </xdr:twoCellAnchor>
  <xdr:twoCellAnchor editAs="oneCell">
    <xdr:from>
      <xdr:col>1</xdr:col>
      <xdr:colOff>0</xdr:colOff>
      <xdr:row>154</xdr:row>
      <xdr:rowOff>1</xdr:rowOff>
    </xdr:from>
    <xdr:to>
      <xdr:col>1</xdr:col>
      <xdr:colOff>10400113</xdr:colOff>
      <xdr:row>174</xdr:row>
      <xdr:rowOff>67237</xdr:rowOff>
    </xdr:to>
    <xdr:pic>
      <xdr:nvPicPr>
        <xdr:cNvPr id="31" name="Picture 30">
          <a:extLst>
            <a:ext uri="{FF2B5EF4-FFF2-40B4-BE49-F238E27FC236}">
              <a16:creationId xmlns:a16="http://schemas.microsoft.com/office/drawing/2014/main" id="{00000000-0008-0000-1300-00001F000000}"/>
            </a:ext>
          </a:extLst>
        </xdr:cNvPr>
        <xdr:cNvPicPr>
          <a:picLocks noChangeAspect="1"/>
        </xdr:cNvPicPr>
      </xdr:nvPicPr>
      <xdr:blipFill>
        <a:blip xmlns:r="http://schemas.openxmlformats.org/officeDocument/2006/relationships" r:embed="rId7"/>
        <a:stretch>
          <a:fillRect/>
        </a:stretch>
      </xdr:blipFill>
      <xdr:spPr>
        <a:xfrm>
          <a:off x="201706" y="29729207"/>
          <a:ext cx="10400113" cy="3653118"/>
        </a:xfrm>
        <a:prstGeom prst="rect">
          <a:avLst/>
        </a:prstGeom>
      </xdr:spPr>
    </xdr:pic>
    <xdr:clientData/>
  </xdr:twoCellAnchor>
  <xdr:twoCellAnchor>
    <xdr:from>
      <xdr:col>1</xdr:col>
      <xdr:colOff>3619499</xdr:colOff>
      <xdr:row>154</xdr:row>
      <xdr:rowOff>123264</xdr:rowOff>
    </xdr:from>
    <xdr:to>
      <xdr:col>1</xdr:col>
      <xdr:colOff>7728856</xdr:colOff>
      <xdr:row>163</xdr:row>
      <xdr:rowOff>95249</xdr:rowOff>
    </xdr:to>
    <xdr:sp macro="" textlink="">
      <xdr:nvSpPr>
        <xdr:cNvPr id="11" name="Rounded Rectangular Callout 17">
          <a:extLst>
            <a:ext uri="{FF2B5EF4-FFF2-40B4-BE49-F238E27FC236}">
              <a16:creationId xmlns:a16="http://schemas.microsoft.com/office/drawing/2014/main" id="{00000000-0008-0000-1300-00000B000000}"/>
            </a:ext>
          </a:extLst>
        </xdr:cNvPr>
        <xdr:cNvSpPr/>
      </xdr:nvSpPr>
      <xdr:spPr>
        <a:xfrm>
          <a:off x="3823606" y="29582728"/>
          <a:ext cx="4109357" cy="1564021"/>
        </a:xfrm>
        <a:prstGeom prst="wedgeRoundRectCallout">
          <a:avLst>
            <a:gd name="adj1" fmla="val -80077"/>
            <a:gd name="adj2" fmla="val 72503"/>
            <a:gd name="adj3" fmla="val 16667"/>
          </a:avLst>
        </a:prstGeom>
        <a:ln w="952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200" b="1">
              <a:latin typeface="Arial" panose="020B0604020202020204" pitchFamily="34" charset="0"/>
              <a:ea typeface="Inter" panose="020B0502030000000004" pitchFamily="34" charset="0"/>
              <a:cs typeface="Arial" panose="020B0604020202020204" pitchFamily="34" charset="0"/>
            </a:rPr>
            <a:t>To change the number of rows</a:t>
          </a:r>
          <a:r>
            <a:rPr lang="en-AU" sz="1200" b="1" baseline="0">
              <a:latin typeface="Arial" panose="020B0604020202020204" pitchFamily="34" charset="0"/>
              <a:ea typeface="Inter" panose="020B0502030000000004" pitchFamily="34" charset="0"/>
              <a:cs typeface="Arial" panose="020B0604020202020204" pitchFamily="34" charset="0"/>
            </a:rPr>
            <a:t> displayed (step 1 of 2):</a:t>
          </a:r>
        </a:p>
        <a:p>
          <a:pPr algn="l"/>
          <a:r>
            <a:rPr lang="en-AU" sz="1200" b="0" baseline="0">
              <a:latin typeface="Arial" panose="020B0604020202020204" pitchFamily="34" charset="0"/>
              <a:ea typeface="Inter" panose="020B0502030000000004" pitchFamily="34" charset="0"/>
              <a:cs typeface="Arial" panose="020B0604020202020204" pitchFamily="34" charset="0"/>
            </a:rPr>
            <a:t>Input the required number of rows here and press Enter. Note the advice in red to the right of the number.</a:t>
          </a:r>
        </a:p>
        <a:p>
          <a:pPr algn="l"/>
          <a:endParaRPr lang="en-AU" sz="1200" b="0" baseline="0">
            <a:latin typeface="Arial" panose="020B0604020202020204" pitchFamily="34" charset="0"/>
            <a:ea typeface="Inter" panose="020B0502030000000004" pitchFamily="34" charset="0"/>
            <a:cs typeface="Arial" panose="020B0604020202020204" pitchFamily="34" charset="0"/>
          </a:endParaRPr>
        </a:p>
        <a:p>
          <a:pPr algn="l"/>
          <a:r>
            <a:rPr lang="en-AU" sz="1200" b="0" baseline="0">
              <a:latin typeface="Arial" panose="020B0604020202020204" pitchFamily="34" charset="0"/>
              <a:ea typeface="Inter" panose="020B0502030000000004" pitchFamily="34" charset="0"/>
              <a:cs typeface="Arial" panose="020B0604020202020204" pitchFamily="34" charset="0"/>
            </a:rPr>
            <a:t>(This cell will not accept numbers that would cause rows with data to be hidden)</a:t>
          </a:r>
        </a:p>
      </xdr:txBody>
    </xdr:sp>
    <xdr:clientData/>
  </xdr:twoCellAnchor>
  <xdr:twoCellAnchor>
    <xdr:from>
      <xdr:col>1</xdr:col>
      <xdr:colOff>3742765</xdr:colOff>
      <xdr:row>165</xdr:row>
      <xdr:rowOff>56029</xdr:rowOff>
    </xdr:from>
    <xdr:to>
      <xdr:col>1</xdr:col>
      <xdr:colOff>6817179</xdr:colOff>
      <xdr:row>172</xdr:row>
      <xdr:rowOff>163284</xdr:rowOff>
    </xdr:to>
    <xdr:sp macro="" textlink="">
      <xdr:nvSpPr>
        <xdr:cNvPr id="33" name="AutoShape 3642">
          <a:extLst>
            <a:ext uri="{FF2B5EF4-FFF2-40B4-BE49-F238E27FC236}">
              <a16:creationId xmlns:a16="http://schemas.microsoft.com/office/drawing/2014/main" id="{00000000-0008-0000-1300-000021000000}"/>
            </a:ext>
          </a:extLst>
        </xdr:cNvPr>
        <xdr:cNvSpPr>
          <a:spLocks noChangeArrowheads="1"/>
        </xdr:cNvSpPr>
      </xdr:nvSpPr>
      <xdr:spPr bwMode="auto">
        <a:xfrm>
          <a:off x="3946872" y="31461315"/>
          <a:ext cx="3074414" cy="1345505"/>
        </a:xfrm>
        <a:prstGeom prst="wedgeRoundRectCallout">
          <a:avLst>
            <a:gd name="adj1" fmla="val -126725"/>
            <a:gd name="adj2" fmla="val -3694"/>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200" b="1" i="0" u="none" strike="noStrike" baseline="0">
              <a:solidFill>
                <a:srgbClr val="000000"/>
              </a:solidFill>
              <a:latin typeface="Arial"/>
              <a:cs typeface="Arial"/>
            </a:rPr>
            <a:t>To change the number of rows displayed (step 2 of 2):</a:t>
          </a:r>
        </a:p>
        <a:p>
          <a:pPr algn="l" rtl="0">
            <a:defRPr sz="1000"/>
          </a:pPr>
          <a:endParaRPr lang="en-AU" sz="700" b="1" i="0" u="none" strike="noStrike" baseline="0">
            <a:solidFill>
              <a:srgbClr val="000000"/>
            </a:solidFill>
            <a:latin typeface="Arial"/>
            <a:cs typeface="Arial"/>
          </a:endParaRPr>
        </a:p>
        <a:p>
          <a:pPr algn="l" rtl="0">
            <a:defRPr sz="1000"/>
          </a:pPr>
          <a:r>
            <a:rPr lang="en-AU" sz="1200" b="0" i="0" u="none" strike="noStrike" baseline="0">
              <a:solidFill>
                <a:srgbClr val="000000"/>
              </a:solidFill>
              <a:latin typeface="Arial"/>
              <a:cs typeface="Arial"/>
            </a:rPr>
            <a:t>Click the arrow in the blue filled heading above and then select the only number in the drop down list. (This number will always match the number input for step 1.)</a:t>
          </a:r>
        </a:p>
      </xdr:txBody>
    </xdr:sp>
    <xdr:clientData/>
  </xdr:twoCellAnchor>
  <xdr:twoCellAnchor editAs="oneCell">
    <xdr:from>
      <xdr:col>1</xdr:col>
      <xdr:colOff>0</xdr:colOff>
      <xdr:row>183</xdr:row>
      <xdr:rowOff>0</xdr:rowOff>
    </xdr:from>
    <xdr:to>
      <xdr:col>1</xdr:col>
      <xdr:colOff>10400113</xdr:colOff>
      <xdr:row>203</xdr:row>
      <xdr:rowOff>67236</xdr:rowOff>
    </xdr:to>
    <xdr:pic>
      <xdr:nvPicPr>
        <xdr:cNvPr id="35" name="Picture 34">
          <a:extLst>
            <a:ext uri="{FF2B5EF4-FFF2-40B4-BE49-F238E27FC236}">
              <a16:creationId xmlns:a16="http://schemas.microsoft.com/office/drawing/2014/main" id="{00000000-0008-0000-1300-000023000000}"/>
            </a:ext>
          </a:extLst>
        </xdr:cNvPr>
        <xdr:cNvPicPr>
          <a:picLocks noChangeAspect="1"/>
        </xdr:cNvPicPr>
      </xdr:nvPicPr>
      <xdr:blipFill>
        <a:blip xmlns:r="http://schemas.openxmlformats.org/officeDocument/2006/relationships" r:embed="rId7"/>
        <a:stretch>
          <a:fillRect/>
        </a:stretch>
      </xdr:blipFill>
      <xdr:spPr>
        <a:xfrm>
          <a:off x="201706" y="34973559"/>
          <a:ext cx="10400113" cy="3653118"/>
        </a:xfrm>
        <a:prstGeom prst="rect">
          <a:avLst/>
        </a:prstGeom>
      </xdr:spPr>
    </xdr:pic>
    <xdr:clientData/>
  </xdr:twoCellAnchor>
  <xdr:twoCellAnchor>
    <xdr:from>
      <xdr:col>1</xdr:col>
      <xdr:colOff>4078140</xdr:colOff>
      <xdr:row>187</xdr:row>
      <xdr:rowOff>63234</xdr:rowOff>
    </xdr:from>
    <xdr:to>
      <xdr:col>1</xdr:col>
      <xdr:colOff>6885213</xdr:colOff>
      <xdr:row>192</xdr:row>
      <xdr:rowOff>108858</xdr:rowOff>
    </xdr:to>
    <xdr:sp macro="" textlink="">
      <xdr:nvSpPr>
        <xdr:cNvPr id="36" name="Rounded Rectangular Callout 22">
          <a:extLst>
            <a:ext uri="{FF2B5EF4-FFF2-40B4-BE49-F238E27FC236}">
              <a16:creationId xmlns:a16="http://schemas.microsoft.com/office/drawing/2014/main" id="{00000000-0008-0000-1300-000024000000}"/>
            </a:ext>
          </a:extLst>
        </xdr:cNvPr>
        <xdr:cNvSpPr/>
      </xdr:nvSpPr>
      <xdr:spPr>
        <a:xfrm>
          <a:off x="4282247" y="35414591"/>
          <a:ext cx="2807073" cy="930088"/>
        </a:xfrm>
        <a:prstGeom prst="wedgeRoundRectCallout">
          <a:avLst>
            <a:gd name="adj1" fmla="val 14788"/>
            <a:gd name="adj2" fmla="val 101930"/>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200" b="1" baseline="0">
              <a:latin typeface="Arial" panose="020B0604020202020204" pitchFamily="34" charset="0"/>
              <a:ea typeface="Inter" panose="020B0502030000000004" pitchFamily="34" charset="0"/>
              <a:cs typeface="Arial" panose="020B0604020202020204" pitchFamily="34" charset="0"/>
            </a:rPr>
            <a:t>Cell tips:</a:t>
          </a:r>
        </a:p>
        <a:p>
          <a:pPr algn="l"/>
          <a:r>
            <a:rPr lang="en-AU" sz="1200" b="0" baseline="0">
              <a:latin typeface="Arial" panose="020B0604020202020204" pitchFamily="34" charset="0"/>
              <a:ea typeface="Inter" panose="020B0502030000000004" pitchFamily="34" charset="0"/>
              <a:cs typeface="Arial" panose="020B0604020202020204" pitchFamily="34" charset="0"/>
            </a:rPr>
            <a:t>Cells with red triangles have popup tips with advice on explanations about inputs or outcomes.</a:t>
          </a:r>
        </a:p>
        <a:p>
          <a:pPr algn="l"/>
          <a:r>
            <a:rPr lang="en-AU" sz="1600" b="0" baseline="0">
              <a:latin typeface="Inter" panose="020B0502030000000004" pitchFamily="34" charset="0"/>
              <a:ea typeface="Inter" panose="020B0502030000000004" pitchFamily="34" charset="0"/>
            </a:rPr>
            <a:t> </a:t>
          </a:r>
          <a:endParaRPr lang="en-AU" sz="1600" b="0">
            <a:latin typeface="Inter" panose="020B0502030000000004" pitchFamily="34" charset="0"/>
            <a:ea typeface="Inter" panose="020B0502030000000004" pitchFamily="34" charset="0"/>
          </a:endParaRPr>
        </a:p>
      </xdr:txBody>
    </xdr:sp>
    <xdr:clientData/>
  </xdr:twoCellAnchor>
  <xdr:twoCellAnchor>
    <xdr:from>
      <xdr:col>1</xdr:col>
      <xdr:colOff>8157882</xdr:colOff>
      <xdr:row>187</xdr:row>
      <xdr:rowOff>56029</xdr:rowOff>
    </xdr:from>
    <xdr:to>
      <xdr:col>2</xdr:col>
      <xdr:colOff>149679</xdr:colOff>
      <xdr:row>194</xdr:row>
      <xdr:rowOff>95250</xdr:rowOff>
    </xdr:to>
    <xdr:sp macro="" textlink="">
      <xdr:nvSpPr>
        <xdr:cNvPr id="37" name="Rounded Rectangular Callout 22">
          <a:extLst>
            <a:ext uri="{FF2B5EF4-FFF2-40B4-BE49-F238E27FC236}">
              <a16:creationId xmlns:a16="http://schemas.microsoft.com/office/drawing/2014/main" id="{00000000-0008-0000-1300-000025000000}"/>
            </a:ext>
          </a:extLst>
        </xdr:cNvPr>
        <xdr:cNvSpPr/>
      </xdr:nvSpPr>
      <xdr:spPr>
        <a:xfrm>
          <a:off x="8361989" y="35407386"/>
          <a:ext cx="2401261" cy="1277471"/>
        </a:xfrm>
        <a:prstGeom prst="wedgeRoundRectCallout">
          <a:avLst>
            <a:gd name="adj1" fmla="val -43557"/>
            <a:gd name="adj2" fmla="val 73330"/>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200" b="1" baseline="0">
              <a:latin typeface="Arial" panose="020B0604020202020204" pitchFamily="34" charset="0"/>
              <a:ea typeface="Inter" panose="020B0502030000000004" pitchFamily="34" charset="0"/>
              <a:cs typeface="Arial" panose="020B0604020202020204" pitchFamily="34" charset="0"/>
            </a:rPr>
            <a:t>Sealing requirement check:</a:t>
          </a:r>
        </a:p>
        <a:p>
          <a:pPr algn="l"/>
          <a:r>
            <a:rPr lang="en-AU" sz="1200" b="0" baseline="0">
              <a:latin typeface="Arial" panose="020B0604020202020204" pitchFamily="34" charset="0"/>
              <a:ea typeface="Inter" panose="020B0502030000000004" pitchFamily="34" charset="0"/>
              <a:cs typeface="Arial" panose="020B0604020202020204" pitchFamily="34" charset="0"/>
            </a:rPr>
            <a:t>If the calculated column 'Sealing Requirement' produces "Yes" in the relevant row than the corresponding box should be checked.</a:t>
          </a:r>
        </a:p>
      </xdr:txBody>
    </xdr:sp>
    <xdr:clientData/>
  </xdr:twoCellAnchor>
  <xdr:twoCellAnchor editAs="oneCell">
    <xdr:from>
      <xdr:col>1</xdr:col>
      <xdr:colOff>0</xdr:colOff>
      <xdr:row>210</xdr:row>
      <xdr:rowOff>0</xdr:rowOff>
    </xdr:from>
    <xdr:to>
      <xdr:col>1</xdr:col>
      <xdr:colOff>10364834</xdr:colOff>
      <xdr:row>219</xdr:row>
      <xdr:rowOff>56029</xdr:rowOff>
    </xdr:to>
    <xdr:pic>
      <xdr:nvPicPr>
        <xdr:cNvPr id="38" name="Picture 37">
          <a:extLst>
            <a:ext uri="{FF2B5EF4-FFF2-40B4-BE49-F238E27FC236}">
              <a16:creationId xmlns:a16="http://schemas.microsoft.com/office/drawing/2014/main" id="{00000000-0008-0000-1300-000026000000}"/>
            </a:ext>
          </a:extLst>
        </xdr:cNvPr>
        <xdr:cNvPicPr>
          <a:picLocks noChangeAspect="1"/>
        </xdr:cNvPicPr>
      </xdr:nvPicPr>
      <xdr:blipFill>
        <a:blip xmlns:r="http://schemas.openxmlformats.org/officeDocument/2006/relationships" r:embed="rId8"/>
        <a:stretch>
          <a:fillRect/>
        </a:stretch>
      </xdr:blipFill>
      <xdr:spPr>
        <a:xfrm>
          <a:off x="201706" y="39814500"/>
          <a:ext cx="10364834" cy="1669676"/>
        </a:xfrm>
        <a:prstGeom prst="rect">
          <a:avLst/>
        </a:prstGeom>
      </xdr:spPr>
    </xdr:pic>
    <xdr:clientData/>
  </xdr:twoCellAnchor>
  <xdr:twoCellAnchor>
    <xdr:from>
      <xdr:col>1</xdr:col>
      <xdr:colOff>4829734</xdr:colOff>
      <xdr:row>207</xdr:row>
      <xdr:rowOff>123264</xdr:rowOff>
    </xdr:from>
    <xdr:to>
      <xdr:col>1</xdr:col>
      <xdr:colOff>7715249</xdr:colOff>
      <xdr:row>211</xdr:row>
      <xdr:rowOff>149678</xdr:rowOff>
    </xdr:to>
    <xdr:sp macro="" textlink="">
      <xdr:nvSpPr>
        <xdr:cNvPr id="40" name="Rounded Rectangular Callout 22">
          <a:extLst>
            <a:ext uri="{FF2B5EF4-FFF2-40B4-BE49-F238E27FC236}">
              <a16:creationId xmlns:a16="http://schemas.microsoft.com/office/drawing/2014/main" id="{00000000-0008-0000-1300-000028000000}"/>
            </a:ext>
          </a:extLst>
        </xdr:cNvPr>
        <xdr:cNvSpPr/>
      </xdr:nvSpPr>
      <xdr:spPr>
        <a:xfrm>
          <a:off x="5033841" y="39012478"/>
          <a:ext cx="2885515" cy="733986"/>
        </a:xfrm>
        <a:prstGeom prst="wedgeRoundRectCallout">
          <a:avLst>
            <a:gd name="adj1" fmla="val -45773"/>
            <a:gd name="adj2" fmla="val 104482"/>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AU" sz="1200" b="1" baseline="0">
              <a:latin typeface="Arial" panose="020B0604020202020204" pitchFamily="34" charset="0"/>
              <a:ea typeface="Inter" panose="020B0502030000000004" pitchFamily="34" charset="0"/>
              <a:cs typeface="Arial" panose="020B0604020202020204" pitchFamily="34" charset="0"/>
            </a:rPr>
            <a:t>Sealing requirement check:</a:t>
          </a:r>
        </a:p>
        <a:p>
          <a:pPr algn="l"/>
          <a:r>
            <a:rPr lang="en-AU" sz="1200" b="0" baseline="0">
              <a:latin typeface="Arial" panose="020B0604020202020204" pitchFamily="34" charset="0"/>
              <a:ea typeface="Inter" panose="020B0502030000000004" pitchFamily="34" charset="0"/>
              <a:cs typeface="Arial" panose="020B0604020202020204" pitchFamily="34" charset="0"/>
            </a:rPr>
            <a:t>For 13.4.7: This box should be ticked if the requirements below are met.</a:t>
          </a:r>
        </a:p>
      </xdr:txBody>
    </xdr:sp>
    <xdr:clientData/>
  </xdr:twoCellAnchor>
  <xdr:twoCellAnchor>
    <xdr:from>
      <xdr:col>1</xdr:col>
      <xdr:colOff>4870557</xdr:colOff>
      <xdr:row>83</xdr:row>
      <xdr:rowOff>69635</xdr:rowOff>
    </xdr:from>
    <xdr:to>
      <xdr:col>1</xdr:col>
      <xdr:colOff>6994073</xdr:colOff>
      <xdr:row>89</xdr:row>
      <xdr:rowOff>81643</xdr:rowOff>
    </xdr:to>
    <xdr:sp macro="" textlink="">
      <xdr:nvSpPr>
        <xdr:cNvPr id="9" name="Rounded Rectangular Callout 22">
          <a:extLst>
            <a:ext uri="{FF2B5EF4-FFF2-40B4-BE49-F238E27FC236}">
              <a16:creationId xmlns:a16="http://schemas.microsoft.com/office/drawing/2014/main" id="{00000000-0008-0000-1300-000009000000}"/>
            </a:ext>
          </a:extLst>
        </xdr:cNvPr>
        <xdr:cNvSpPr/>
      </xdr:nvSpPr>
      <xdr:spPr>
        <a:xfrm>
          <a:off x="5074664" y="16697564"/>
          <a:ext cx="2123516" cy="1073365"/>
        </a:xfrm>
        <a:prstGeom prst="wedgeRoundRectCallout">
          <a:avLst>
            <a:gd name="adj1" fmla="val 38437"/>
            <a:gd name="adj2" fmla="val 90350"/>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lang="en-AU" sz="1200" b="1" baseline="0">
              <a:solidFill>
                <a:schemeClr val="dk1"/>
              </a:solidFill>
              <a:effectLst/>
              <a:latin typeface="+mn-lt"/>
              <a:ea typeface="+mn-ea"/>
              <a:cs typeface="+mn-cs"/>
            </a:rPr>
            <a:t>Cell tips:</a:t>
          </a:r>
          <a:endParaRPr lang="en-AU" sz="1400">
            <a:effectLst/>
          </a:endParaRPr>
        </a:p>
        <a:p>
          <a:r>
            <a:rPr lang="en-AU" sz="1200" b="0" baseline="0">
              <a:solidFill>
                <a:schemeClr val="dk1"/>
              </a:solidFill>
              <a:effectLst/>
              <a:latin typeface="+mn-lt"/>
              <a:ea typeface="+mn-ea"/>
              <a:cs typeface="+mn-cs"/>
            </a:rPr>
            <a:t>Cells with red triangles have popup tips with advice on explanations about inputs or outcomes.</a:t>
          </a:r>
          <a:endParaRPr lang="en-AU" sz="1400">
            <a:effectLst/>
          </a:endParaRPr>
        </a:p>
      </xdr:txBody>
    </xdr:sp>
    <xdr:clientData/>
  </xdr:twoCellAnchor>
</xdr:wsDr>
</file>

<file path=xl/persons/person.xml><?xml version="1.0" encoding="utf-8"?>
<personList xmlns="http://schemas.microsoft.com/office/spreadsheetml/2018/threadedcomments" xmlns:x="http://schemas.openxmlformats.org/spreadsheetml/2006/main">
  <person displayName="tony isaacs" id="{9AD54B70-1413-44DF-8676-E24FCB5BDFBC}" userId="44ea598ef6e2e6ee" providerId="Windows Live"/>
  <person displayName="Jacob Bauer" id="{72BA078A-4D52-49F1-A3CB-622819FCC074}" userId="S::jacob@35south.com.au::72ade996-00fb-4036-bf5f-d588b758d7bc" providerId="AD"/>
</personList>
</file>

<file path=xl/richData/_rels/richValueRel.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20.png"/><Relationship Id="rId1" Type="http://schemas.openxmlformats.org/officeDocument/2006/relationships/image" Target="../media/image12.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
  <rv s="0">
    <v>0</v>
    <v>5</v>
  </rv>
  <rv s="0">
    <v>1</v>
    <v>5</v>
  </rv>
  <rv s="0">
    <v>2</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65A6FCE-23F4-4E36-93CD-E19C688F27FB}" name="Table2" displayName="Table2" ref="B28:E30" totalsRowShown="0" headerRowDxfId="1694" dataDxfId="1692" headerRowBorderDxfId="1693" tableBorderDxfId="1691" totalsRowBorderDxfId="1690">
  <autoFilter ref="B28:E30" xr:uid="{165A6FCE-23F4-4E36-93CD-E19C688F27FB}"/>
  <tableColumns count="4">
    <tableColumn id="4" xr3:uid="{9FA0FC7D-28DE-4FC3-A010-9497BD7C7601}" name="Filter Blanks" dataDxfId="1689">
      <calculatedColumnFormula>IF(Table2[[#This Row],[Roof Type]]="","","I")</calculatedColumnFormula>
    </tableColumn>
    <tableColumn id="1" xr3:uid="{F40FAE79-817E-4619-9849-89F02C61FF23}" name="Roof Type" dataDxfId="1688">
      <calculatedColumnFormula>IF(Table18[[#This Row],[Roof Type]]=0,"",Table18[[#This Row],[Roof Type]])</calculatedColumnFormula>
    </tableColumn>
    <tableColumn id="2" xr3:uid="{E49E327C-B1BA-4B77-BFFA-F321B1AD28C2}" name=" Additional insulation required (R-Value) " dataDxfId="1687">
      <calculatedColumnFormula>IF(Table18[[#This Row],[Minimum R-Value Required]]=0,"",Table18[[#This Row],[Minimum R-Value Required]])</calculatedColumnFormula>
    </tableColumn>
    <tableColumn id="3" xr3:uid="{BECA046B-0951-45A1-BE3B-127BFE47195C}" name="Other specifications" dataDxfId="1686"/>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03000000}" name="Table68" displayName="Table68" ref="J82:U92" totalsRowShown="0" headerRowDxfId="1570" dataDxfId="1568" headerRowBorderDxfId="1569" tableBorderDxfId="1567" totalsRowBorderDxfId="1566">
  <autoFilter ref="J82:U92" xr:uid="{00000000-0009-0000-0100-000044000000}">
    <filterColumn colId="0">
      <filters>
        <filter val="8"/>
      </filters>
    </filterColumn>
  </autoFilter>
  <tableColumns count="12">
    <tableColumn id="1" xr3:uid="{00000000-0010-0000-0300-000001000000}" name="Rows" dataDxfId="1565">
      <calculatedColumnFormula>IF(ISBLANK($K$77),"1",IF(ISBLANK(A83),"-",IF(A83&lt;=$K$77,$K$77,"-")))</calculatedColumnFormula>
    </tableColumn>
    <tableColumn id="2" xr3:uid="{00000000-0010-0000-0300-000002000000}" name="#" dataDxfId="1564"/>
    <tableColumn id="3" xr3:uid="{00000000-0010-0000-0300-000003000000}" name="Floor type" dataDxfId="1563"/>
    <tableColumn id="16" xr3:uid="{00000000-0010-0000-0300-000010000000}" name="In-Slab or In-Screed Heating or Cooling" dataDxfId="1562"/>
    <tableColumn id="14" xr3:uid="{00000000-0010-0000-0300-00000E000000}" name="Frame Material" dataDxfId="1561"/>
    <tableColumn id="6" xr3:uid="{00000000-0010-0000-0300-000006000000}" name="Subfloor Wall Height (mm)" dataDxfId="1560"/>
    <tableColumn id="4" xr3:uid="{00000000-0010-0000-0300-000004000000}" name="Reflective Insulation Facing Down Over the Subfloor Space" dataDxfId="1559"/>
    <tableColumn id="9" xr3:uid="{00000000-0010-0000-0300-000009000000}" name="Minimum Subfloor Wall Insulation R-Value" dataDxfId="1558"/>
    <tableColumn id="12" xr3:uid="{00000000-0010-0000-0300-00000C000000}" name="Thermal Bridging Option" dataDxfId="1557"/>
    <tableColumn id="5" xr3:uid="{00000000-0010-0000-0300-000005000000}" name="Floor Covering" dataDxfId="1556"/>
    <tableColumn id="7" xr3:uid="{00000000-0010-0000-0300-000007000000}" name="Direction of Heat Flow Required" dataDxfId="1555">
      <calculatedColumnFormula>IF(Table68[[#This Row],[Floor type]]="","",IF(AND(OR(Table68[[#This Row],[Floor type]]=D_List!$R$11,Table68[[#This Row],[Floor type]]=D_List!$R$12),Table68[[#This Row],[Frame Material]]="Metal",Table68[[#This Row],[Thermal Bridging Option]]="(a) Minimum Total R-Value of floor"),
INDEX(Floor_direction_of_heat_flow[Direction of heat flow],MATCH(Selection_ClimateZone,Floor_direction_of_heat_flow[Climate zone],0)),""))</calculatedColumnFormula>
    </tableColumn>
    <tableColumn id="8" xr3:uid="{82E1C178-5EA7-471B-8AB7-D23E5CAB670D}" name="Requirement" dataDxfId="1554">
      <calculatedColumnFormula array="1">IF(Table68[[#This Row],[Floor type]]="","",
IFERROR(IF(Table68[[#This Row],[Floor type]]=D_List!$R$9,IF(Table68[[#This Row],[In-Slab or In-Screed Heating or Cooling]]="Yes",D_List!$S$9,IF(Table68[[#This Row],[In-Slab or In-Screed Heating or Cooling]]&lt;&gt;"",
IF(Selection_ClimateZone&gt;5,INDEX(Table211[Requirement],MATCH(Selection_ClimateZone,Table211[Climate zone],0)),"No additional insulation requirements"),"Please complete all fields")),
IF(Table68[[#This Row],[Floor type]]=D_List!$R$12,"No additional insulation requirements",
IF(Table68[[#This Row],[Floor type]]=D_List!$R$10,
IF(Table68[[#This Row],[Frame Material]]="","Please complete frame material",
IF(Table68[[#This Row],[Frame Material]]="Timber",CONCATENATE("Floor insulation with minimum R-value of ",$X83),
IF(OR(Selection_ClimateZone=2,Selection_ClimateZone=3),"No additional insulation requirements",TRIM(MID(Table68[[#This Row],[Thermal Bridging Option]],4,500))&amp;" of "&amp;INDEX($AB83:$AD83,1,AJ83))
)),
IF(Table68[[#This Row],[Floor type]]=D_List!$R$11,
IF(Table68[[#This Row],[Frame Material]]="","Please complete frame material",
IF(Table68[[#This Row],[Frame Material]]="Timber",CONCATENATE(IF(Selection_ClimateZone&lt;=3,"Subfloor wall insulation with minimum R-Value of ","Floor insulation with minimum R-value of "),$Y83),
IF(OR(Selection_ClimateZone=2,Selection_ClimateZone=3),"No additional insulation requirements",TRIM(MID(Table68[[#This Row],[Thermal Bridging Option]],4,500))&amp;" of "&amp;INDEX($AF83:$AH83,1,AJ83))
)))))),
"Review inputs, combination not permitted"))</calculatedColumnFormula>
    </tableColumn>
  </tableColumns>
  <tableStyleInfo name="TableStyleLight9"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5A000000}" name="Table71" displayName="Table71" ref="F25:N35" totalsRowShown="0" headerRowDxfId="781" dataDxfId="780" tableBorderDxfId="779">
  <autoFilter ref="F25:N35" xr:uid="{00000000-0009-0000-0100-000047000000}">
    <filterColumn colId="0">
      <filters>
        <filter val="3"/>
      </filters>
    </filterColumn>
  </autoFilter>
  <tableColumns count="9">
    <tableColumn id="1" xr3:uid="{00000000-0010-0000-5A00-000001000000}" name="Rows" dataDxfId="778">
      <calculatedColumnFormula>IF(ISBLANK(RowsRequiredCeilingFans),"1",IF(ISBLANK(B26),"-",IF(B26&lt;=RowsRequiredCeilingFans,RowsRequiredCeilingFans,"-")))</calculatedColumnFormula>
    </tableColumn>
    <tableColumn id="2" xr3:uid="{00000000-0010-0000-5A00-000002000000}" name="#" dataDxfId="777"/>
    <tableColumn id="3" xr3:uid="{00000000-0010-0000-5A00-000003000000}" name="Room Descirption" dataDxfId="776"/>
    <tableColumn id="4" xr3:uid="{00000000-0010-0000-5A00-000004000000}" name="Room Type (habitable)" dataDxfId="775"/>
    <tableColumn id="5" xr3:uid="{00000000-0010-0000-5A00-000005000000}" name="Size of room (m²)" dataDxfId="774"/>
    <tableColumn id="6" xr3:uid="{00000000-0010-0000-5A00-000006000000}" name="Number of fans" dataDxfId="773"/>
    <tableColumn id="7" xr3:uid="{00000000-0010-0000-5A00-000007000000}" name="Diameter of fans (mm)" dataDxfId="772"/>
    <tableColumn id="8" xr3:uid="{00000000-0010-0000-5A00-000008000000}" name="Minimum number and diameter (mm) of ceiling fans required" dataDxfId="771">
      <calculatedColumnFormula array="1">IF(OR(J26="",I26=""),"",INDEX(Minimum_ceiling_fan_requirements_in_climate_zones_1_2_3_5[[Minimum number and diameter (mm) of ceiling fans required in a bedroom in climate zones 1, 2 and 3]:[Minimum number and diameter (mm) of ceiling fans required in a habitable room other than a bedroom in climate zones 1, 2, 3 and 5 (NSW and Qld)]],P26,Q26))</calculatedColumnFormula>
    </tableColumn>
    <tableColumn id="9" xr3:uid="{00000000-0010-0000-5A00-000009000000}" name="Note" dataDxfId="770">
      <calculatedColumnFormula>IF(OR(J26="",K26="",L26="",I26=""),"",IF(AND(K26&gt;=S26,L26&gt;=T26),"Room Ceiling Requirement Satisfied","Room Ceiling Requirement Not Satisfied - Please Review"))</calculatedColumnFormula>
    </tableColumn>
  </tableColumns>
  <tableStyleInfo name="TableStyleLight9"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5B000000}" name="Minimum_ceiling_fan_requirements_in_climate_zones_1_2_3_5" displayName="Minimum_ceiling_fan_requirements_in_climate_zones_1_2_3_5" ref="B13:D20" totalsRowShown="0" headerRowBorderDxfId="706" tableBorderDxfId="705" totalsRowBorderDxfId="704">
  <autoFilter ref="B13:D20" xr:uid="{00000000-0009-0000-0100-0000B2000000}">
    <filterColumn colId="0" hiddenButton="1"/>
    <filterColumn colId="1" hiddenButton="1"/>
    <filterColumn colId="2" hiddenButton="1"/>
  </autoFilter>
  <tableColumns count="3">
    <tableColumn id="1" xr3:uid="{00000000-0010-0000-5B00-000001000000}" name="Size of room (m²)" dataDxfId="703"/>
    <tableColumn id="2" xr3:uid="{00000000-0010-0000-5B00-000002000000}" name="Minimum number and diameter (mm) of ceiling fans required in a bedroom in climate zones 1, 2 and 3" dataDxfId="702"/>
    <tableColumn id="3" xr3:uid="{00000000-0010-0000-5B00-000003000000}" name="Minimum number and diameter (mm) of ceiling fans required in a habitable room other than a bedroom in climate zones 1, 2, 3 and 5 (NSW and Qld)" dataDxfId="701"/>
  </tableColumns>
  <tableStyleInfo name="TableStyleLight9"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5C000000}" name="Maximum_conductance_to_solar_heat_gain_ratio_Cu_divided_by_Cshgc" displayName="Maximum_conductance_to_solar_heat_gain_ratio_Cu_divided_by_Cshgc" ref="B13:D21" totalsRowShown="0" dataDxfId="700">
  <autoFilter ref="B13:D21" xr:uid="{00000000-0009-0000-0100-000078000000}">
    <filterColumn colId="0" hiddenButton="1"/>
    <filterColumn colId="1" hiddenButton="1"/>
    <filterColumn colId="2" hiddenButton="1"/>
  </autoFilter>
  <tableColumns count="3">
    <tableColumn id="1" xr3:uid="{00000000-0010-0000-5C00-000001000000}" name="Climate zone" dataDxfId="699"/>
    <tableColumn id="2" xr3:uid="{00000000-0010-0000-5C00-000002000000}" name="Floor in direct contact with the ground" dataDxfId="698"/>
    <tableColumn id="3" xr3:uid="{00000000-0010-0000-5C00-000003000000}" name="Suspended floor" dataDxfId="697"/>
  </tableColumns>
  <tableStyleInfo name="TableStyleLight9"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5D000000}" name="Orientation_sector_winter_exposure_factor_Ew_floor_in_direct_contact_with_the_ground_climate_zone_2" displayName="Orientation_sector_winter_exposure_factor_Ew_floor_in_direct_contact_with_the_ground_climate_zone_2" ref="B25:J38" totalsRowShown="0" dataDxfId="696">
  <autoFilter ref="B25:J38" xr:uid="{00000000-0009-0000-0100-000079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5D00-000001000000}" name="P/H" dataDxfId="695"/>
    <tableColumn id="2" xr3:uid="{00000000-0010-0000-5D00-000002000000}" name="North" dataDxfId="694"/>
    <tableColumn id="3" xr3:uid="{00000000-0010-0000-5D00-000003000000}" name="North east" dataDxfId="693"/>
    <tableColumn id="4" xr3:uid="{00000000-0010-0000-5D00-000004000000}" name="East" dataDxfId="692"/>
    <tableColumn id="5" xr3:uid="{00000000-0010-0000-5D00-000005000000}" name="South east" dataDxfId="691"/>
    <tableColumn id="6" xr3:uid="{00000000-0010-0000-5D00-000006000000}" name="South" dataDxfId="690"/>
    <tableColumn id="7" xr3:uid="{00000000-0010-0000-5D00-000007000000}" name="South west" dataDxfId="689"/>
    <tableColumn id="8" xr3:uid="{00000000-0010-0000-5D00-000008000000}" name="West" dataDxfId="688"/>
    <tableColumn id="9" xr3:uid="{00000000-0010-0000-5D00-000009000000}" name="North west" dataDxfId="687"/>
  </tableColumns>
  <tableStyleInfo name="TableStyleLight9"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5E000000}" name="Orientation_sector_winter_exposure_factor_Ew_suspended_floor_climate_zone_2" displayName="Orientation_sector_winter_exposure_factor_Ew_suspended_floor_climate_zone_2" ref="B42:J55" totalsRowShown="0" dataDxfId="686">
  <autoFilter ref="B42:J55" xr:uid="{00000000-0009-0000-0100-00007A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5E00-000001000000}" name="P/H" dataDxfId="685"/>
    <tableColumn id="2" xr3:uid="{00000000-0010-0000-5E00-000002000000}" name="North" dataDxfId="684"/>
    <tableColumn id="3" xr3:uid="{00000000-0010-0000-5E00-000003000000}" name="North east" dataDxfId="683"/>
    <tableColumn id="4" xr3:uid="{00000000-0010-0000-5E00-000004000000}" name="East" dataDxfId="682"/>
    <tableColumn id="5" xr3:uid="{00000000-0010-0000-5E00-000005000000}" name="South east" dataDxfId="681"/>
    <tableColumn id="6" xr3:uid="{00000000-0010-0000-5E00-000006000000}" name="South" dataDxfId="680"/>
    <tableColumn id="7" xr3:uid="{00000000-0010-0000-5E00-000007000000}" name="South west" dataDxfId="679"/>
    <tableColumn id="8" xr3:uid="{00000000-0010-0000-5E00-000008000000}" name="West" dataDxfId="678"/>
    <tableColumn id="9" xr3:uid="{00000000-0010-0000-5E00-000009000000}" name="North west" dataDxfId="677"/>
  </tableColumns>
  <tableStyleInfo name="TableStyleLight9"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5F000000}" name="Orientation_sector_winter_exposure_factor_Ew_floor_in_direct_contact_with_the_ground_climate_zone_3" displayName="Orientation_sector_winter_exposure_factor_Ew_floor_in_direct_contact_with_the_ground_climate_zone_3" ref="B59:J72" totalsRowShown="0" dataDxfId="676">
  <autoFilter ref="B59:J72" xr:uid="{00000000-0009-0000-0100-00007B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5F00-000001000000}" name="P/H" dataDxfId="675"/>
    <tableColumn id="2" xr3:uid="{00000000-0010-0000-5F00-000002000000}" name="North" dataDxfId="674"/>
    <tableColumn id="3" xr3:uid="{00000000-0010-0000-5F00-000003000000}" name="North east" dataDxfId="673"/>
    <tableColumn id="4" xr3:uid="{00000000-0010-0000-5F00-000004000000}" name="East" dataDxfId="672"/>
    <tableColumn id="5" xr3:uid="{00000000-0010-0000-5F00-000005000000}" name="South east" dataDxfId="671"/>
    <tableColumn id="6" xr3:uid="{00000000-0010-0000-5F00-000006000000}" name="South" dataDxfId="670"/>
    <tableColumn id="7" xr3:uid="{00000000-0010-0000-5F00-000007000000}" name="South west" dataDxfId="669"/>
    <tableColumn id="8" xr3:uid="{00000000-0010-0000-5F00-000008000000}" name="West" dataDxfId="668"/>
    <tableColumn id="9" xr3:uid="{00000000-0010-0000-5F00-000009000000}" name="North west" dataDxfId="667"/>
  </tableColumns>
  <tableStyleInfo name="TableStyleLight9"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60000000}" name="Orientation_sector_winter_exposure_factor_Ew_suspended_floor_climate_zone_3" displayName="Orientation_sector_winter_exposure_factor_Ew_suspended_floor_climate_zone_3" ref="B76:J89" totalsRowShown="0" dataDxfId="666">
  <autoFilter ref="B76:J89" xr:uid="{00000000-0009-0000-0100-00007C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6000-000001000000}" name="P/H" dataDxfId="665"/>
    <tableColumn id="2" xr3:uid="{00000000-0010-0000-6000-000002000000}" name="North" dataDxfId="664"/>
    <tableColumn id="3" xr3:uid="{00000000-0010-0000-6000-000003000000}" name="North east" dataDxfId="663"/>
    <tableColumn id="4" xr3:uid="{00000000-0010-0000-6000-000004000000}" name="East" dataDxfId="662"/>
    <tableColumn id="5" xr3:uid="{00000000-0010-0000-6000-000005000000}" name="South east" dataDxfId="661"/>
    <tableColumn id="6" xr3:uid="{00000000-0010-0000-6000-000006000000}" name="South" dataDxfId="660"/>
    <tableColumn id="7" xr3:uid="{00000000-0010-0000-6000-000007000000}" name="South west" dataDxfId="659"/>
    <tableColumn id="8" xr3:uid="{00000000-0010-0000-6000-000008000000}" name="West" dataDxfId="658"/>
    <tableColumn id="9" xr3:uid="{00000000-0010-0000-6000-000009000000}" name="North west" dataDxfId="657"/>
  </tableColumns>
  <tableStyleInfo name="TableStyleLight9"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61000000}" name="Orientation_sector_winter_exposure_factor_Ew_floor_in_direct_contact_with_the_ground_climate_zone_4" displayName="Orientation_sector_winter_exposure_factor_Ew_floor_in_direct_contact_with_the_ground_climate_zone_4" ref="B93:J106" totalsRowShown="0" dataDxfId="656">
  <autoFilter ref="B93:J106" xr:uid="{00000000-0009-0000-0100-00007D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6100-000001000000}" name="P/H" dataDxfId="655"/>
    <tableColumn id="2" xr3:uid="{00000000-0010-0000-6100-000002000000}" name="North" dataDxfId="654"/>
    <tableColumn id="3" xr3:uid="{00000000-0010-0000-6100-000003000000}" name="North east" dataDxfId="653"/>
    <tableColumn id="4" xr3:uid="{00000000-0010-0000-6100-000004000000}" name="East" dataDxfId="652"/>
    <tableColumn id="5" xr3:uid="{00000000-0010-0000-6100-000005000000}" name="South east" dataDxfId="651"/>
    <tableColumn id="6" xr3:uid="{00000000-0010-0000-6100-000006000000}" name="South" dataDxfId="650"/>
    <tableColumn id="7" xr3:uid="{00000000-0010-0000-6100-000007000000}" name="South west" dataDxfId="649"/>
    <tableColumn id="8" xr3:uid="{00000000-0010-0000-6100-000008000000}" name="West" dataDxfId="648"/>
    <tableColumn id="9" xr3:uid="{00000000-0010-0000-6100-000009000000}" name="North west" dataDxfId="647"/>
  </tableColumns>
  <tableStyleInfo name="TableStyleLight9"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62000000}" name="Orientation_sector_winter_exposure_factor_Ew_suspended_floor_climate_zone_4" displayName="Orientation_sector_winter_exposure_factor_Ew_suspended_floor_climate_zone_4" ref="B110:J123" totalsRowShown="0" dataDxfId="646">
  <autoFilter ref="B110:J123" xr:uid="{00000000-0009-0000-0100-00007E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6200-000001000000}" name="P/H" dataDxfId="645"/>
    <tableColumn id="2" xr3:uid="{00000000-0010-0000-6200-000002000000}" name="North" dataDxfId="644"/>
    <tableColumn id="3" xr3:uid="{00000000-0010-0000-6200-000003000000}" name="North east" dataDxfId="643"/>
    <tableColumn id="4" xr3:uid="{00000000-0010-0000-6200-000004000000}" name="East" dataDxfId="642"/>
    <tableColumn id="5" xr3:uid="{00000000-0010-0000-6200-000005000000}" name="South east" dataDxfId="641"/>
    <tableColumn id="6" xr3:uid="{00000000-0010-0000-6200-000006000000}" name="South" dataDxfId="640"/>
    <tableColumn id="7" xr3:uid="{00000000-0010-0000-6200-000007000000}" name="South west" dataDxfId="639"/>
    <tableColumn id="8" xr3:uid="{00000000-0010-0000-6200-000008000000}" name="West" dataDxfId="638"/>
    <tableColumn id="9" xr3:uid="{00000000-0010-0000-6200-000009000000}" name="North west" dataDxfId="637"/>
  </tableColumns>
  <tableStyleInfo name="TableStyleLight9"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63000000}" name="Orientation_sector_winter_exposure_factor_Ew_floor_in_direct_contact_with_the_ground_climate_zone_5_lightweight_wall" displayName="Orientation_sector_winter_exposure_factor_Ew_floor_in_direct_contact_with_the_ground_climate_zone_5_lightweight_wall" ref="B127:J140" totalsRowShown="0" dataDxfId="636">
  <autoFilter ref="B127:J140" xr:uid="{00000000-0009-0000-0100-00007F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6300-000001000000}" name="P/H" dataDxfId="635"/>
    <tableColumn id="2" xr3:uid="{00000000-0010-0000-6300-000002000000}" name="North" dataDxfId="634"/>
    <tableColumn id="3" xr3:uid="{00000000-0010-0000-6300-000003000000}" name="North east" dataDxfId="633"/>
    <tableColumn id="4" xr3:uid="{00000000-0010-0000-6300-000004000000}" name="East" dataDxfId="632"/>
    <tableColumn id="5" xr3:uid="{00000000-0010-0000-6300-000005000000}" name="South east" dataDxfId="631"/>
    <tableColumn id="6" xr3:uid="{00000000-0010-0000-6300-000006000000}" name="South" dataDxfId="630"/>
    <tableColumn id="7" xr3:uid="{00000000-0010-0000-6300-000007000000}" name="South west" dataDxfId="629"/>
    <tableColumn id="8" xr3:uid="{00000000-0010-0000-6300-000008000000}" name="West" dataDxfId="628"/>
    <tableColumn id="9" xr3:uid="{00000000-0010-0000-6300-000009000000}" name="North west" dataDxfId="627"/>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3E000000}" name="List_ClimateZone" displayName="List_ClimateZone" ref="D8:D16" totalsRowShown="0" headerRowDxfId="1553" dataDxfId="1552">
  <autoFilter ref="D8:D16" xr:uid="{00000000-0009-0000-0100-000001000000}"/>
  <tableColumns count="1">
    <tableColumn id="1" xr3:uid="{00000000-0010-0000-3E00-000001000000}" name="Climate Zones" dataDxfId="1551"/>
  </tableColumns>
  <tableStyleInfo name="TableStyleLight8"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64000000}" name="Orientation_sector_winter_exposure_factor_Ew_floor_in_direct_contact_with_the_ground_climate_zone_5_concrete_or_masonry_wall" displayName="Orientation_sector_winter_exposure_factor_Ew_floor_in_direct_contact_with_the_ground_climate_zone_5_concrete_or_masonry_wall" ref="B144:J157" totalsRowShown="0" dataDxfId="626">
  <autoFilter ref="B144:J157" xr:uid="{00000000-0009-0000-0100-000080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6400-000001000000}" name="P/H" dataDxfId="625"/>
    <tableColumn id="2" xr3:uid="{00000000-0010-0000-6400-000002000000}" name="North" dataDxfId="624"/>
    <tableColumn id="3" xr3:uid="{00000000-0010-0000-6400-000003000000}" name="North east" dataDxfId="623"/>
    <tableColumn id="4" xr3:uid="{00000000-0010-0000-6400-000004000000}" name="East" dataDxfId="622"/>
    <tableColumn id="5" xr3:uid="{00000000-0010-0000-6400-000005000000}" name="South east" dataDxfId="621"/>
    <tableColumn id="6" xr3:uid="{00000000-0010-0000-6400-000006000000}" name="South" dataDxfId="620"/>
    <tableColumn id="7" xr3:uid="{00000000-0010-0000-6400-000007000000}" name="South west" dataDxfId="619"/>
    <tableColumn id="8" xr3:uid="{00000000-0010-0000-6400-000008000000}" name="West" dataDxfId="618"/>
    <tableColumn id="9" xr3:uid="{00000000-0010-0000-6400-000009000000}" name="North west" dataDxfId="617"/>
  </tableColumns>
  <tableStyleInfo name="TableStyleLight9"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65000000}" name="Orientation_sector_winter_exposure_factor_Ew_suspended_floor_climate_zone_5_lightweight_wall" displayName="Orientation_sector_winter_exposure_factor_Ew_suspended_floor_climate_zone_5_lightweight_wall" ref="B161:J174" totalsRowShown="0" dataDxfId="616">
  <autoFilter ref="B161:J174" xr:uid="{00000000-0009-0000-0100-00008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6500-000001000000}" name="P/H" dataDxfId="615"/>
    <tableColumn id="2" xr3:uid="{00000000-0010-0000-6500-000002000000}" name="North" dataDxfId="614"/>
    <tableColumn id="3" xr3:uid="{00000000-0010-0000-6500-000003000000}" name="North east" dataDxfId="613"/>
    <tableColumn id="4" xr3:uid="{00000000-0010-0000-6500-000004000000}" name="East" dataDxfId="612"/>
    <tableColumn id="5" xr3:uid="{00000000-0010-0000-6500-000005000000}" name="South east" dataDxfId="611"/>
    <tableColumn id="6" xr3:uid="{00000000-0010-0000-6500-000006000000}" name="South" dataDxfId="610"/>
    <tableColumn id="7" xr3:uid="{00000000-0010-0000-6500-000007000000}" name="South west" dataDxfId="609"/>
    <tableColumn id="8" xr3:uid="{00000000-0010-0000-6500-000008000000}" name="West" dataDxfId="608"/>
    <tableColumn id="9" xr3:uid="{00000000-0010-0000-6500-000009000000}" name="North west" dataDxfId="607"/>
  </tableColumns>
  <tableStyleInfo name="TableStyleLight9"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66000000}" name="Orientation_sector_winter_exposure_factor_Ew_suspended_floor_climate_zone_5_concrete_or_masonry_wall" displayName="Orientation_sector_winter_exposure_factor_Ew_suspended_floor_climate_zone_5_concrete_or_masonry_wall" ref="B178:J191" totalsRowShown="0" dataDxfId="606">
  <autoFilter ref="B178:J191" xr:uid="{00000000-0009-0000-0100-00008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6600-000001000000}" name="P/H" dataDxfId="605"/>
    <tableColumn id="2" xr3:uid="{00000000-0010-0000-6600-000002000000}" name="North" dataDxfId="604"/>
    <tableColumn id="3" xr3:uid="{00000000-0010-0000-6600-000003000000}" name="North east" dataDxfId="603"/>
    <tableColumn id="4" xr3:uid="{00000000-0010-0000-6600-000004000000}" name="East" dataDxfId="602"/>
    <tableColumn id="5" xr3:uid="{00000000-0010-0000-6600-000005000000}" name="South east" dataDxfId="601"/>
    <tableColumn id="6" xr3:uid="{00000000-0010-0000-6600-000006000000}" name="South" dataDxfId="600"/>
    <tableColumn id="7" xr3:uid="{00000000-0010-0000-6600-000007000000}" name="South west" dataDxfId="599"/>
    <tableColumn id="8" xr3:uid="{00000000-0010-0000-6600-000008000000}" name="West" dataDxfId="598"/>
    <tableColumn id="9" xr3:uid="{00000000-0010-0000-6600-000009000000}" name="North west" dataDxfId="597"/>
  </tableColumns>
  <tableStyleInfo name="TableStyleLight9"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67000000}" name="Orientation_sector_winter_exposure_factor_Ew_floor_in_direct_contact_with_the_ground_climate_zone_6" displayName="Orientation_sector_winter_exposure_factor_Ew_floor_in_direct_contact_with_the_ground_climate_zone_6" ref="B195:J208" totalsRowShown="0" dataDxfId="596">
  <autoFilter ref="B195:J208" xr:uid="{00000000-0009-0000-0100-00008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6700-000001000000}" name="P/H" dataDxfId="595"/>
    <tableColumn id="2" xr3:uid="{00000000-0010-0000-6700-000002000000}" name="North" dataDxfId="594"/>
    <tableColumn id="3" xr3:uid="{00000000-0010-0000-6700-000003000000}" name="North east" dataDxfId="593"/>
    <tableColumn id="4" xr3:uid="{00000000-0010-0000-6700-000004000000}" name="East" dataDxfId="592"/>
    <tableColumn id="5" xr3:uid="{00000000-0010-0000-6700-000005000000}" name="South east" dataDxfId="591"/>
    <tableColumn id="6" xr3:uid="{00000000-0010-0000-6700-000006000000}" name="South" dataDxfId="590"/>
    <tableColumn id="7" xr3:uid="{00000000-0010-0000-6700-000007000000}" name="South west" dataDxfId="589"/>
    <tableColumn id="8" xr3:uid="{00000000-0010-0000-6700-000008000000}" name="West" dataDxfId="588"/>
    <tableColumn id="9" xr3:uid="{00000000-0010-0000-6700-000009000000}" name="North west" dataDxfId="587"/>
  </tableColumns>
  <tableStyleInfo name="TableStyleLight9"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68000000}" name="Orientation_sector_winter_exposure_factor_Ew_suspended_floor_climate_zone_6" displayName="Orientation_sector_winter_exposure_factor_Ew_suspended_floor_climate_zone_6" ref="B212:J225" totalsRowShown="0" dataDxfId="586">
  <autoFilter ref="B212:J225" xr:uid="{00000000-0009-0000-0100-000084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6800-000001000000}" name="P/H" dataDxfId="585"/>
    <tableColumn id="2" xr3:uid="{00000000-0010-0000-6800-000002000000}" name="North" dataDxfId="584"/>
    <tableColumn id="3" xr3:uid="{00000000-0010-0000-6800-000003000000}" name="North east" dataDxfId="583"/>
    <tableColumn id="4" xr3:uid="{00000000-0010-0000-6800-000004000000}" name="East" dataDxfId="582"/>
    <tableColumn id="5" xr3:uid="{00000000-0010-0000-6800-000005000000}" name="South east" dataDxfId="581"/>
    <tableColumn id="6" xr3:uid="{00000000-0010-0000-6800-000006000000}" name="South" dataDxfId="580"/>
    <tableColumn id="7" xr3:uid="{00000000-0010-0000-6800-000007000000}" name="South west" dataDxfId="579"/>
    <tableColumn id="8" xr3:uid="{00000000-0010-0000-6800-000008000000}" name="West" dataDxfId="578"/>
    <tableColumn id="9" xr3:uid="{00000000-0010-0000-6800-000009000000}" name="North west" dataDxfId="577"/>
  </tableColumns>
  <tableStyleInfo name="TableStyleLight9"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69000000}" name="Orientation_sector_winter_exposure_factor_Ew_floor_in_direct_contact_with_the_ground_climate_zone_7" displayName="Orientation_sector_winter_exposure_factor_Ew_floor_in_direct_contact_with_the_ground_climate_zone_7" ref="B229:J242" totalsRowShown="0" dataDxfId="576">
  <autoFilter ref="B229:J242" xr:uid="{00000000-0009-0000-0100-00008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6900-000001000000}" name="P/H" dataDxfId="575"/>
    <tableColumn id="2" xr3:uid="{00000000-0010-0000-6900-000002000000}" name="North" dataDxfId="574"/>
    <tableColumn id="3" xr3:uid="{00000000-0010-0000-6900-000003000000}" name="North east" dataDxfId="573"/>
    <tableColumn id="4" xr3:uid="{00000000-0010-0000-6900-000004000000}" name="East" dataDxfId="572"/>
    <tableColumn id="5" xr3:uid="{00000000-0010-0000-6900-000005000000}" name="South east" dataDxfId="571"/>
    <tableColumn id="6" xr3:uid="{00000000-0010-0000-6900-000006000000}" name="South" dataDxfId="570"/>
    <tableColumn id="7" xr3:uid="{00000000-0010-0000-6900-000007000000}" name="South west" dataDxfId="569"/>
    <tableColumn id="8" xr3:uid="{00000000-0010-0000-6900-000008000000}" name="West" dataDxfId="568"/>
    <tableColumn id="9" xr3:uid="{00000000-0010-0000-6900-000009000000}" name="North west" dataDxfId="567"/>
  </tableColumns>
  <tableStyleInfo name="TableStyleLight9"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6A000000}" name="Orientation_sector_winter_exposure_factor_Ew_suspended_floor_climate_zone_7" displayName="Orientation_sector_winter_exposure_factor_Ew_suspended_floor_climate_zone_7" ref="B246:J259" totalsRowShown="0" dataDxfId="566">
  <autoFilter ref="B246:J259" xr:uid="{00000000-0009-0000-0100-000086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6A00-000001000000}" name="P/H" dataDxfId="565"/>
    <tableColumn id="2" xr3:uid="{00000000-0010-0000-6A00-000002000000}" name="North" dataDxfId="564"/>
    <tableColumn id="3" xr3:uid="{00000000-0010-0000-6A00-000003000000}" name="North east" dataDxfId="563"/>
    <tableColumn id="4" xr3:uid="{00000000-0010-0000-6A00-000004000000}" name="East" dataDxfId="562"/>
    <tableColumn id="5" xr3:uid="{00000000-0010-0000-6A00-000005000000}" name="South east" dataDxfId="561"/>
    <tableColumn id="6" xr3:uid="{00000000-0010-0000-6A00-000006000000}" name="South" dataDxfId="560"/>
    <tableColumn id="7" xr3:uid="{00000000-0010-0000-6A00-000007000000}" name="South west" dataDxfId="559"/>
    <tableColumn id="8" xr3:uid="{00000000-0010-0000-6A00-000008000000}" name="West" dataDxfId="558"/>
    <tableColumn id="9" xr3:uid="{00000000-0010-0000-6A00-000009000000}" name="North east2" dataDxfId="557"/>
  </tableColumns>
  <tableStyleInfo name="TableStyleLight9"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6B000000}" name="Orientation_sector_winter_exposure_factor_Ew_floor_in_direct_contact_with_the_ground_climate_zone_8" displayName="Orientation_sector_winter_exposure_factor_Ew_floor_in_direct_contact_with_the_ground_climate_zone_8" ref="B263:J276" totalsRowShown="0" dataDxfId="556">
  <autoFilter ref="B263:J276" xr:uid="{00000000-0009-0000-0100-000087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6B00-000001000000}" name="P/H" dataDxfId="555"/>
    <tableColumn id="2" xr3:uid="{00000000-0010-0000-6B00-000002000000}" name="North" dataDxfId="554"/>
    <tableColumn id="3" xr3:uid="{00000000-0010-0000-6B00-000003000000}" name="North east" dataDxfId="553"/>
    <tableColumn id="4" xr3:uid="{00000000-0010-0000-6B00-000004000000}" name="East" dataDxfId="552"/>
    <tableColumn id="5" xr3:uid="{00000000-0010-0000-6B00-000005000000}" name="South east" dataDxfId="551"/>
    <tableColumn id="6" xr3:uid="{00000000-0010-0000-6B00-000006000000}" name="South" dataDxfId="550"/>
    <tableColumn id="7" xr3:uid="{00000000-0010-0000-6B00-000007000000}" name="South west" dataDxfId="549"/>
    <tableColumn id="8" xr3:uid="{00000000-0010-0000-6B00-000008000000}" name="West" dataDxfId="548"/>
    <tableColumn id="9" xr3:uid="{00000000-0010-0000-6B00-000009000000}" name="North west" dataDxfId="547"/>
  </tableColumns>
  <tableStyleInfo name="TableStyleLight9"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6C000000}" name="Orientation_sector_winter_exposure_factor_Ew_suspended_floor_climate_zone_8" displayName="Orientation_sector_winter_exposure_factor_Ew_suspended_floor_climate_zone_8" ref="B280:J293" totalsRowShown="0" dataDxfId="546">
  <autoFilter ref="B280:J293" xr:uid="{00000000-0009-0000-0100-000088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6C00-000001000000}" name="P/H" dataDxfId="545"/>
    <tableColumn id="2" xr3:uid="{00000000-0010-0000-6C00-000002000000}" name="North" dataDxfId="544"/>
    <tableColumn id="3" xr3:uid="{00000000-0010-0000-6C00-000003000000}" name="North east" dataDxfId="543"/>
    <tableColumn id="4" xr3:uid="{00000000-0010-0000-6C00-000004000000}" name="East" dataDxfId="542"/>
    <tableColumn id="5" xr3:uid="{00000000-0010-0000-6C00-000005000000}" name="South east" dataDxfId="541"/>
    <tableColumn id="6" xr3:uid="{00000000-0010-0000-6C00-000006000000}" name="South" dataDxfId="540"/>
    <tableColumn id="7" xr3:uid="{00000000-0010-0000-6C00-000007000000}" name="South west" dataDxfId="539"/>
    <tableColumn id="8" xr3:uid="{00000000-0010-0000-6C00-000008000000}" name="West" dataDxfId="538"/>
    <tableColumn id="9" xr3:uid="{00000000-0010-0000-6C00-000009000000}" name="North west" dataDxfId="537"/>
  </tableColumns>
  <tableStyleInfo name="TableStyleLight9"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6D000000}" name="Bedroom_conductance_factor_BC" displayName="Bedroom_conductance_factor_BC" ref="B297:D305" totalsRowShown="0" dataDxfId="536">
  <autoFilter ref="B297:D305" xr:uid="{00000000-0009-0000-0100-000089000000}">
    <filterColumn colId="0" hiddenButton="1"/>
    <filterColumn colId="1" hiddenButton="1"/>
    <filterColumn colId="2" hiddenButton="1"/>
  </autoFilter>
  <tableColumns count="3">
    <tableColumn id="1" xr3:uid="{00000000-0010-0000-6D00-000001000000}" name="Climate zone" dataDxfId="535"/>
    <tableColumn id="2" xr3:uid="{00000000-0010-0000-6D00-000002000000}" name="Floor in direct contact with the ground" dataDxfId="534"/>
    <tableColumn id="3" xr3:uid="{00000000-0010-0000-6D00-000003000000}" name="Suspended floor" dataDxfId="533"/>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3F000000}" name="Table8" displayName="Table8" ref="Y8:AA11" totalsRowShown="0" headerRowDxfId="1550" dataDxfId="1549">
  <autoFilter ref="Y8:AA11" xr:uid="{00000000-0009-0000-0100-000008000000}"/>
  <tableColumns count="3">
    <tableColumn id="1" xr3:uid="{00000000-0010-0000-3F00-000001000000}" name="Development Type" dataDxfId="1548"/>
    <tableColumn id="3" xr3:uid="{00000000-0010-0000-3F00-000003000000}" name="Short Text" dataDxfId="1547"/>
    <tableColumn id="2" xr3:uid="{00000000-0010-0000-3F00-000002000000}" name="Index" dataDxfId="1546"/>
  </tableColumns>
  <tableStyleInfo name="TableStyleLight9"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6E000000}" name="Orientation_sector_conductance_factor_OC_climate_zone_2" displayName="Orientation_sector_conductance_factor_OC_climate_zone_2" ref="B309:J311" totalsRowShown="0" headerRowDxfId="532" dataDxfId="531">
  <autoFilter ref="B309:J311" xr:uid="{00000000-0009-0000-0100-00008A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6E00-000001000000}" name="Floor type" dataDxfId="530"/>
    <tableColumn id="2" xr3:uid="{00000000-0010-0000-6E00-000002000000}" name="North" dataDxfId="529"/>
    <tableColumn id="3" xr3:uid="{00000000-0010-0000-6E00-000003000000}" name="North east" dataDxfId="528"/>
    <tableColumn id="4" xr3:uid="{00000000-0010-0000-6E00-000004000000}" name="East" dataDxfId="527"/>
    <tableColumn id="5" xr3:uid="{00000000-0010-0000-6E00-000005000000}" name="South east" dataDxfId="526"/>
    <tableColumn id="6" xr3:uid="{00000000-0010-0000-6E00-000006000000}" name="South" dataDxfId="525"/>
    <tableColumn id="7" xr3:uid="{00000000-0010-0000-6E00-000007000000}" name="South west" dataDxfId="524"/>
    <tableColumn id="8" xr3:uid="{00000000-0010-0000-6E00-000008000000}" name="West" dataDxfId="523"/>
    <tableColumn id="9" xr3:uid="{00000000-0010-0000-6E00-000009000000}" name="North east2" dataDxfId="522"/>
  </tableColumns>
  <tableStyleInfo name="TableStyleLight9"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6F000000}" name="Orientation_sector_conductance_factor_OC_climate_zone_3" displayName="Orientation_sector_conductance_factor_OC_climate_zone_3" ref="B315:J317" totalsRowShown="0" headerRowDxfId="521" dataDxfId="520">
  <autoFilter ref="B315:J317" xr:uid="{00000000-0009-0000-0100-00008B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6F00-000001000000}" name="Floor type" dataDxfId="519"/>
    <tableColumn id="2" xr3:uid="{00000000-0010-0000-6F00-000002000000}" name="North" dataDxfId="518"/>
    <tableColumn id="3" xr3:uid="{00000000-0010-0000-6F00-000003000000}" name="North east" dataDxfId="517"/>
    <tableColumn id="4" xr3:uid="{00000000-0010-0000-6F00-000004000000}" name="East" dataDxfId="516"/>
    <tableColumn id="5" xr3:uid="{00000000-0010-0000-6F00-000005000000}" name="South east" dataDxfId="515"/>
    <tableColumn id="6" xr3:uid="{00000000-0010-0000-6F00-000006000000}" name="South" dataDxfId="514"/>
    <tableColumn id="7" xr3:uid="{00000000-0010-0000-6F00-000007000000}" name="South west" dataDxfId="513"/>
    <tableColumn id="8" xr3:uid="{00000000-0010-0000-6F00-000008000000}" name="West" dataDxfId="512"/>
    <tableColumn id="9" xr3:uid="{00000000-0010-0000-6F00-000009000000}" name="North west" dataDxfId="511"/>
  </tableColumns>
  <tableStyleInfo name="TableStyleLight9"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70000000}" name="Orientation_sector_conductance_factor_OC_climate_zone_4" displayName="Orientation_sector_conductance_factor_OC_climate_zone_4" ref="B321:J323" totalsRowShown="0" headerRowDxfId="510" dataDxfId="509">
  <autoFilter ref="B321:J323" xr:uid="{00000000-0009-0000-0100-00008C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7000-000001000000}" name="Floor type" dataDxfId="508"/>
    <tableColumn id="2" xr3:uid="{00000000-0010-0000-7000-000002000000}" name="North" dataDxfId="507"/>
    <tableColumn id="3" xr3:uid="{00000000-0010-0000-7000-000003000000}" name="North east" dataDxfId="506"/>
    <tableColumn id="4" xr3:uid="{00000000-0010-0000-7000-000004000000}" name="East" dataDxfId="505"/>
    <tableColumn id="5" xr3:uid="{00000000-0010-0000-7000-000005000000}" name="South east" dataDxfId="504"/>
    <tableColumn id="6" xr3:uid="{00000000-0010-0000-7000-000006000000}" name="South" dataDxfId="503"/>
    <tableColumn id="7" xr3:uid="{00000000-0010-0000-7000-000007000000}" name="South west" dataDxfId="502"/>
    <tableColumn id="8" xr3:uid="{00000000-0010-0000-7000-000008000000}" name="West" dataDxfId="501"/>
    <tableColumn id="9" xr3:uid="{00000000-0010-0000-7000-000009000000}" name="North west" dataDxfId="500"/>
  </tableColumns>
  <tableStyleInfo name="TableStyleLight9"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0000000-000C-0000-FFFF-FFFF71000000}" name="Orientation_sector_conductance_factor_OC_climate_zone_5" displayName="Orientation_sector_conductance_factor_OC_climate_zone_5" ref="B327:K331" totalsRowShown="0" headerRowDxfId="499" dataDxfId="498">
  <autoFilter ref="B327:K331" xr:uid="{00000000-0009-0000-0100-00008D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7100-000001000000}" name="Wall construction" dataDxfId="497"/>
    <tableColumn id="2" xr3:uid="{00000000-0010-0000-7100-000002000000}" name="Floor type" dataDxfId="496"/>
    <tableColumn id="3" xr3:uid="{00000000-0010-0000-7100-000003000000}" name="North" dataDxfId="495"/>
    <tableColumn id="4" xr3:uid="{00000000-0010-0000-7100-000004000000}" name="North east" dataDxfId="494"/>
    <tableColumn id="5" xr3:uid="{00000000-0010-0000-7100-000005000000}" name="East" dataDxfId="493"/>
    <tableColumn id="6" xr3:uid="{00000000-0010-0000-7100-000006000000}" name="South east" dataDxfId="492"/>
    <tableColumn id="7" xr3:uid="{00000000-0010-0000-7100-000007000000}" name="South" dataDxfId="491"/>
    <tableColumn id="8" xr3:uid="{00000000-0010-0000-7100-000008000000}" name="South west" dataDxfId="490"/>
    <tableColumn id="9" xr3:uid="{00000000-0010-0000-7100-000009000000}" name="West" dataDxfId="489"/>
    <tableColumn id="10" xr3:uid="{00000000-0010-0000-7100-00000A000000}" name="North west" dataDxfId="488"/>
  </tableColumns>
  <tableStyleInfo name="TableStyleLight9"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72000000}" name="Orientation_sector_conductance_factor_OC_climate_zone_6" displayName="Orientation_sector_conductance_factor_OC_climate_zone_6" ref="B335:J337" totalsRowShown="0" headerRowDxfId="487" dataDxfId="485" headerRowBorderDxfId="486" tableBorderDxfId="484" totalsRowBorderDxfId="483">
  <autoFilter ref="B335:J337" xr:uid="{00000000-0009-0000-0100-00008E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7200-000001000000}" name="Floor type" dataDxfId="482"/>
    <tableColumn id="2" xr3:uid="{00000000-0010-0000-7200-000002000000}" name="North" dataDxfId="481"/>
    <tableColumn id="3" xr3:uid="{00000000-0010-0000-7200-000003000000}" name="North east" dataDxfId="480"/>
    <tableColumn id="4" xr3:uid="{00000000-0010-0000-7200-000004000000}" name="East" dataDxfId="479"/>
    <tableColumn id="5" xr3:uid="{00000000-0010-0000-7200-000005000000}" name="South east" dataDxfId="478"/>
    <tableColumn id="6" xr3:uid="{00000000-0010-0000-7200-000006000000}" name="South" dataDxfId="477"/>
    <tableColumn id="7" xr3:uid="{00000000-0010-0000-7200-000007000000}" name="South west" dataDxfId="476"/>
    <tableColumn id="8" xr3:uid="{00000000-0010-0000-7200-000008000000}" name="West" dataDxfId="475"/>
    <tableColumn id="9" xr3:uid="{00000000-0010-0000-7200-000009000000}" name="North west" dataDxfId="474"/>
  </tableColumns>
  <tableStyleInfo name="TableStyleLight9"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73000000}" name="Orientation_sector_conductance_factor_OC_climate_zone_7" displayName="Orientation_sector_conductance_factor_OC_climate_zone_7" ref="B341:J343" totalsRowShown="0" headerRowDxfId="473" dataDxfId="471" headerRowBorderDxfId="472" tableBorderDxfId="470" totalsRowBorderDxfId="469">
  <autoFilter ref="B341:J343" xr:uid="{00000000-0009-0000-0100-00008F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7300-000001000000}" name="Floor type" dataDxfId="468"/>
    <tableColumn id="2" xr3:uid="{00000000-0010-0000-7300-000002000000}" name="North" dataDxfId="467"/>
    <tableColumn id="3" xr3:uid="{00000000-0010-0000-7300-000003000000}" name="North east" dataDxfId="466"/>
    <tableColumn id="4" xr3:uid="{00000000-0010-0000-7300-000004000000}" name="East" dataDxfId="465"/>
    <tableColumn id="5" xr3:uid="{00000000-0010-0000-7300-000005000000}" name="South east" dataDxfId="464"/>
    <tableColumn id="6" xr3:uid="{00000000-0010-0000-7300-000006000000}" name="South" dataDxfId="463"/>
    <tableColumn id="7" xr3:uid="{00000000-0010-0000-7300-000007000000}" name="South west" dataDxfId="462"/>
    <tableColumn id="8" xr3:uid="{00000000-0010-0000-7300-000008000000}" name="West" dataDxfId="461"/>
    <tableColumn id="9" xr3:uid="{00000000-0010-0000-7300-000009000000}" name="North west" dataDxfId="460"/>
  </tableColumns>
  <tableStyleInfo name="TableStyleLight9"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74000000}" name="Orientation_sector_conductance_factor_OC_climate_zone_8" displayName="Orientation_sector_conductance_factor_OC_climate_zone_8" ref="B347:J349" totalsRowShown="0" headerRowDxfId="459" dataDxfId="457" headerRowBorderDxfId="458" tableBorderDxfId="456" totalsRowBorderDxfId="455">
  <autoFilter ref="B347:J349" xr:uid="{00000000-0009-0000-0100-000090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7400-000001000000}" name="Floor type" dataDxfId="454"/>
    <tableColumn id="2" xr3:uid="{00000000-0010-0000-7400-000002000000}" name="North" dataDxfId="453"/>
    <tableColumn id="3" xr3:uid="{00000000-0010-0000-7400-000003000000}" name="North east" dataDxfId="452"/>
    <tableColumn id="4" xr3:uid="{00000000-0010-0000-7400-000004000000}" name="East" dataDxfId="451"/>
    <tableColumn id="5" xr3:uid="{00000000-0010-0000-7400-000005000000}" name="South east" dataDxfId="450"/>
    <tableColumn id="6" xr3:uid="{00000000-0010-0000-7400-000006000000}" name="South" dataDxfId="449"/>
    <tableColumn id="7" xr3:uid="{00000000-0010-0000-7400-000007000000}" name="South west" dataDxfId="448"/>
    <tableColumn id="8" xr3:uid="{00000000-0010-0000-7400-000008000000}" name="West" dataDxfId="447"/>
    <tableColumn id="9" xr3:uid="{00000000-0010-0000-7400-000009000000}" name="North west" dataDxfId="446"/>
  </tableColumns>
  <tableStyleInfo name="TableStyleLight9"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75000000}" name="Winter_solar_heat_gain_factors_climate_zone_2" displayName="Winter_solar_heat_gain_factors_climate_zone_2" ref="B353:D360" totalsRowShown="0" headerRowDxfId="445" dataDxfId="443" headerRowBorderDxfId="444" tableBorderDxfId="442" totalsRowBorderDxfId="441">
  <autoFilter ref="B353:D360" xr:uid="{00000000-0009-0000-0100-000091000000}">
    <filterColumn colId="0" hiddenButton="1"/>
    <filterColumn colId="1" hiddenButton="1"/>
    <filterColumn colId="2" hiddenButton="1"/>
  </autoFilter>
  <tableColumns count="3">
    <tableColumn id="1" xr3:uid="{00000000-0010-0000-7500-000001000000}" name="Type of factor" dataDxfId="440"/>
    <tableColumn id="2" xr3:uid="{00000000-0010-0000-7500-000002000000}" name="Factor for a floor in direct contact with the ground" dataDxfId="439"/>
    <tableColumn id="3" xr3:uid="{00000000-0010-0000-7500-000003000000}" name="Factor for a suspended floor" dataDxfId="438"/>
  </tableColumns>
  <tableStyleInfo name="TableStyleLight9"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00000000-000C-0000-FFFF-FFFF76000000}" name="Winter_solar_heat_gain_factors_climate_zone_3" displayName="Winter_solar_heat_gain_factors_climate_zone_3" ref="B364:D371" totalsRowShown="0" headerRowBorderDxfId="437" tableBorderDxfId="436" totalsRowBorderDxfId="435">
  <autoFilter ref="B364:D371" xr:uid="{00000000-0009-0000-0100-000092000000}">
    <filterColumn colId="0" hiddenButton="1"/>
    <filterColumn colId="1" hiddenButton="1"/>
    <filterColumn colId="2" hiddenButton="1"/>
  </autoFilter>
  <tableColumns count="3">
    <tableColumn id="1" xr3:uid="{00000000-0010-0000-7600-000001000000}" name="Type of factor" dataDxfId="434"/>
    <tableColumn id="2" xr3:uid="{00000000-0010-0000-7600-000002000000}" name="Factor for a floor in direct contact with the ground" dataDxfId="433"/>
    <tableColumn id="3" xr3:uid="{00000000-0010-0000-7600-000003000000}" name="Factor for a suspended floor" dataDxfId="432"/>
  </tableColumns>
  <tableStyleInfo name="TableStyleLight9"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00000000-000C-0000-FFFF-FFFF77000000}" name="Winter_solar_heat_gain_factors_climate_zone_4" displayName="Winter_solar_heat_gain_factors_climate_zone_4" ref="B375:D382" totalsRowShown="0" headerRowBorderDxfId="431" tableBorderDxfId="430" totalsRowBorderDxfId="429">
  <autoFilter ref="B375:D382" xr:uid="{00000000-0009-0000-0100-000093000000}">
    <filterColumn colId="0" hiddenButton="1"/>
    <filterColumn colId="1" hiddenButton="1"/>
    <filterColumn colId="2" hiddenButton="1"/>
  </autoFilter>
  <tableColumns count="3">
    <tableColumn id="1" xr3:uid="{00000000-0010-0000-7700-000001000000}" name="Type of factor" dataDxfId="428"/>
    <tableColumn id="2" xr3:uid="{00000000-0010-0000-7700-000002000000}" name="Factor for a floor in direct contact with the ground" dataDxfId="427"/>
    <tableColumn id="3" xr3:uid="{00000000-0010-0000-7700-000003000000}" name="Factor for a suspended floor" dataDxfId="426"/>
  </tableColumns>
  <tableStyleInfo name="TableStyleLight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40000000}" name="Table65" displayName="Table65" ref="AC8:AC11" totalsRowShown="0" headerRowDxfId="1545" dataDxfId="1544">
  <autoFilter ref="AC8:AC11" xr:uid="{00000000-0009-0000-0100-000041000000}"/>
  <tableColumns count="1">
    <tableColumn id="1" xr3:uid="{00000000-0010-0000-4000-000001000000}" name="Type [new dwelling/renovation/existing]" dataDxfId="1543"/>
  </tableColumns>
  <tableStyleInfo name="TableStyleLight9"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78000000}" name="Winter_solar_heat_gain_factors_climate_zone_5_lightweight_or_masonry_veneer_wall" displayName="Winter_solar_heat_gain_factors_climate_zone_5_lightweight_or_masonry_veneer_wall" ref="B386:D393" totalsRowShown="0" headerRowBorderDxfId="425" tableBorderDxfId="424" totalsRowBorderDxfId="423">
  <autoFilter ref="B386:D393" xr:uid="{00000000-0009-0000-0100-000094000000}">
    <filterColumn colId="0" hiddenButton="1"/>
    <filterColumn colId="1" hiddenButton="1"/>
    <filterColumn colId="2" hiddenButton="1"/>
  </autoFilter>
  <tableColumns count="3">
    <tableColumn id="1" xr3:uid="{00000000-0010-0000-7800-000001000000}" name="Type of factor" dataDxfId="422"/>
    <tableColumn id="2" xr3:uid="{00000000-0010-0000-7800-000002000000}" name="Factor for a floor in direct contact with the ground" dataDxfId="421"/>
    <tableColumn id="3" xr3:uid="{00000000-0010-0000-7800-000003000000}" name="Factor for a suspended floor" dataDxfId="420"/>
  </tableColumns>
  <tableStyleInfo name="TableStyleLight9"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79000000}" name="Winter_solar_heat_gain_factors_climate_zone_5_concrete_or_masonry_wall" displayName="Winter_solar_heat_gain_factors_climate_zone_5_concrete_or_masonry_wall" ref="B397:D404" totalsRowShown="0" headerRowBorderDxfId="419" tableBorderDxfId="418" totalsRowBorderDxfId="417">
  <autoFilter ref="B397:D404" xr:uid="{00000000-0009-0000-0100-000095000000}">
    <filterColumn colId="0" hiddenButton="1"/>
    <filterColumn colId="1" hiddenButton="1"/>
    <filterColumn colId="2" hiddenButton="1"/>
  </autoFilter>
  <tableColumns count="3">
    <tableColumn id="1" xr3:uid="{00000000-0010-0000-7900-000001000000}" name="Type of factor" dataDxfId="416"/>
    <tableColumn id="2" xr3:uid="{00000000-0010-0000-7900-000002000000}" name="Factor for a floor in direct contact with the ground" dataDxfId="415"/>
    <tableColumn id="3" xr3:uid="{00000000-0010-0000-7900-000003000000}" name="Factor for a suspended floor" dataDxfId="414"/>
  </tableColumns>
  <tableStyleInfo name="TableStyleLight9"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7A000000}" name="Winter_solar_heat_gain_factors_climate_zone_6" displayName="Winter_solar_heat_gain_factors_climate_zone_6" ref="B408:D415" totalsRowShown="0" headerRowBorderDxfId="413" tableBorderDxfId="412" totalsRowBorderDxfId="411">
  <autoFilter ref="B408:D415" xr:uid="{00000000-0009-0000-0100-000096000000}">
    <filterColumn colId="0" hiddenButton="1"/>
    <filterColumn colId="1" hiddenButton="1"/>
    <filterColumn colId="2" hiddenButton="1"/>
  </autoFilter>
  <tableColumns count="3">
    <tableColumn id="1" xr3:uid="{00000000-0010-0000-7A00-000001000000}" name="Type of factor" dataDxfId="410"/>
    <tableColumn id="2" xr3:uid="{00000000-0010-0000-7A00-000002000000}" name="Factor for a floor in direct contact with the ground" dataDxfId="409"/>
    <tableColumn id="3" xr3:uid="{00000000-0010-0000-7A00-000003000000}" name="Factor for a suspended floor" dataDxfId="408"/>
  </tableColumns>
  <tableStyleInfo name="TableStyleLight9"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7B000000}" name="Winter_solar_heat_gain_factors_climate_zone_7" displayName="Winter_solar_heat_gain_factors_climate_zone_7" ref="B419:D426" totalsRowShown="0" headerRowBorderDxfId="407" tableBorderDxfId="406" totalsRowBorderDxfId="405">
  <autoFilter ref="B419:D426" xr:uid="{00000000-0009-0000-0100-000097000000}">
    <filterColumn colId="0" hiddenButton="1"/>
    <filterColumn colId="1" hiddenButton="1"/>
    <filterColumn colId="2" hiddenButton="1"/>
  </autoFilter>
  <tableColumns count="3">
    <tableColumn id="1" xr3:uid="{00000000-0010-0000-7B00-000001000000}" name="Type of factor" dataDxfId="404"/>
    <tableColumn id="2" xr3:uid="{00000000-0010-0000-7B00-000002000000}" name="Factor for a floor in direct contact with the ground" dataDxfId="403"/>
    <tableColumn id="3" xr3:uid="{00000000-0010-0000-7B00-000003000000}" name="Factor for a suspended floor" dataDxfId="402"/>
  </tableColumns>
  <tableStyleInfo name="TableStyleLight9"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7C000000}" name="Winter_solar_heat_gain_factors_climate_zone_8" displayName="Winter_solar_heat_gain_factors_climate_zone_8" ref="B430:D437" totalsRowShown="0" headerRowBorderDxfId="401" tableBorderDxfId="400" totalsRowBorderDxfId="399">
  <autoFilter ref="B430:D437" xr:uid="{00000000-0009-0000-0100-000098000000}">
    <filterColumn colId="0" hiddenButton="1"/>
    <filterColumn colId="1" hiddenButton="1"/>
    <filterColumn colId="2" hiddenButton="1"/>
  </autoFilter>
  <tableColumns count="3">
    <tableColumn id="1" xr3:uid="{00000000-0010-0000-7C00-000001000000}" name="Type of factor" dataDxfId="398"/>
    <tableColumn id="2" xr3:uid="{00000000-0010-0000-7C00-000002000000}" name="Factor for a floor in direct contact with the ground" dataDxfId="397"/>
    <tableColumn id="3" xr3:uid="{00000000-0010-0000-7C00-000003000000}" name="Factor for a suspended floor" dataDxfId="396"/>
  </tableColumns>
  <tableStyleInfo name="TableStyleLight9"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7D000000}" name="Constant_for_solar_heat_gain_coefficient_Cshgc_climate_zones_1_to_7" displayName="Constant_for_solar_heat_gain_coefficient_Cshgc_climate_zones_1_to_7" ref="B443:K452" headerRowCount="0" totalsRowShown="0" headerRowDxfId="395" dataDxfId="393" headerRowBorderDxfId="394" tableBorderDxfId="392" totalsRowBorderDxfId="391">
  <tableColumns count="10">
    <tableColumn id="1" xr3:uid="{00000000-0010-0000-7D00-000001000000}" name="Column1" headerRowDxfId="390" dataDxfId="389"/>
    <tableColumn id="2" xr3:uid="{00000000-0010-0000-7D00-000002000000}" name="Column2" headerRowDxfId="388" dataDxfId="387"/>
    <tableColumn id="3" xr3:uid="{00000000-0010-0000-7D00-000003000000}" name="Column3" headerRowDxfId="386" dataDxfId="385"/>
    <tableColumn id="4" xr3:uid="{00000000-0010-0000-7D00-000004000000}" name="Column4" headerRowDxfId="384" dataDxfId="383"/>
    <tableColumn id="5" xr3:uid="{00000000-0010-0000-7D00-000005000000}" name="Column5" headerRowDxfId="382" dataDxfId="381"/>
    <tableColumn id="6" xr3:uid="{00000000-0010-0000-7D00-000006000000}" name="Column6" headerRowDxfId="380" dataDxfId="379"/>
    <tableColumn id="7" xr3:uid="{00000000-0010-0000-7D00-000007000000}" name="Column7" headerRowDxfId="378" dataDxfId="377"/>
    <tableColumn id="8" xr3:uid="{00000000-0010-0000-7D00-000008000000}" name="Column8" headerRowDxfId="376" dataDxfId="375"/>
    <tableColumn id="9" xr3:uid="{00000000-0010-0000-7D00-000009000000}" name="Column9" headerRowDxfId="374" dataDxfId="373"/>
    <tableColumn id="10" xr3:uid="{00000000-0010-0000-7D00-00000A000000}" name="Column10" headerRowDxfId="372" dataDxfId="371"/>
  </tableColumns>
  <tableStyleInfo name="TableStyleLight9"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7E000000}" name="Orientation_sector_summer_exposure_factor_Es_floor_in_direct_contact_with_the_ground_climate_zone_1" displayName="Orientation_sector_summer_exposure_factor_Es_floor_in_direct_contact_with_the_ground_climate_zone_1" ref="B456:J469" totalsRowShown="0" headerRowDxfId="370" dataDxfId="368" headerRowBorderDxfId="369" tableBorderDxfId="367" totalsRowBorderDxfId="366">
  <autoFilter ref="B456:J469" xr:uid="{00000000-0009-0000-0100-00009A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7E00-000001000000}" name="P/H" dataDxfId="365"/>
    <tableColumn id="2" xr3:uid="{00000000-0010-0000-7E00-000002000000}" name="North" dataDxfId="364"/>
    <tableColumn id="3" xr3:uid="{00000000-0010-0000-7E00-000003000000}" name="North east" dataDxfId="363"/>
    <tableColumn id="4" xr3:uid="{00000000-0010-0000-7E00-000004000000}" name="East" dataDxfId="362"/>
    <tableColumn id="5" xr3:uid="{00000000-0010-0000-7E00-000005000000}" name="South east" dataDxfId="361"/>
    <tableColumn id="6" xr3:uid="{00000000-0010-0000-7E00-000006000000}" name="South" dataDxfId="360"/>
    <tableColumn id="7" xr3:uid="{00000000-0010-0000-7E00-000007000000}" name="South west" dataDxfId="359"/>
    <tableColumn id="8" xr3:uid="{00000000-0010-0000-7E00-000008000000}" name="West" dataDxfId="358"/>
    <tableColumn id="9" xr3:uid="{00000000-0010-0000-7E00-000009000000}" name="North west" dataDxfId="357"/>
  </tableColumns>
  <tableStyleInfo name="TableStyleLight9"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7F000000}" name="Orientation_sector_summer_exposure_factor_Es_suspended_floor_climate_zone_1" displayName="Orientation_sector_summer_exposure_factor_Es_suspended_floor_climate_zone_1" ref="B473:J486" totalsRowShown="0" headerRowDxfId="356" dataDxfId="354" headerRowBorderDxfId="355" tableBorderDxfId="353" totalsRowBorderDxfId="352">
  <autoFilter ref="B473:J486" xr:uid="{00000000-0009-0000-0100-00009B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7F00-000001000000}" name="P/H" dataDxfId="351"/>
    <tableColumn id="2" xr3:uid="{00000000-0010-0000-7F00-000002000000}" name="North" dataDxfId="350"/>
    <tableColumn id="3" xr3:uid="{00000000-0010-0000-7F00-000003000000}" name="North east" dataDxfId="349"/>
    <tableColumn id="4" xr3:uid="{00000000-0010-0000-7F00-000004000000}" name="East" dataDxfId="348"/>
    <tableColumn id="5" xr3:uid="{00000000-0010-0000-7F00-000005000000}" name="South East" dataDxfId="347"/>
    <tableColumn id="6" xr3:uid="{00000000-0010-0000-7F00-000006000000}" name="South" dataDxfId="346"/>
    <tableColumn id="7" xr3:uid="{00000000-0010-0000-7F00-000007000000}" name="South west" dataDxfId="345"/>
    <tableColumn id="8" xr3:uid="{00000000-0010-0000-7F00-000008000000}" name="West" dataDxfId="344"/>
    <tableColumn id="9" xr3:uid="{00000000-0010-0000-7F00-000009000000}" name="North west" dataDxfId="343"/>
  </tableColumns>
  <tableStyleInfo name="TableStyleLight9"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80000000}" name="Orientation_sector_summer_exposure_factor_Es_floor_in_direct_contact_with_the_ground_climate_zone_2" displayName="Orientation_sector_summer_exposure_factor_Es_floor_in_direct_contact_with_the_ground_climate_zone_2" ref="B490:J503" totalsRowShown="0" headerRowDxfId="342" dataDxfId="340" headerRowBorderDxfId="341" tableBorderDxfId="339" totalsRowBorderDxfId="338">
  <autoFilter ref="B490:J503" xr:uid="{00000000-0009-0000-0100-00009C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8000-000001000000}" name="P/H" dataDxfId="337"/>
    <tableColumn id="2" xr3:uid="{00000000-0010-0000-8000-000002000000}" name="North" dataDxfId="336"/>
    <tableColumn id="3" xr3:uid="{00000000-0010-0000-8000-000003000000}" name="North east" dataDxfId="335"/>
    <tableColumn id="4" xr3:uid="{00000000-0010-0000-8000-000004000000}" name="East" dataDxfId="334"/>
    <tableColumn id="5" xr3:uid="{00000000-0010-0000-8000-000005000000}" name="South east" dataDxfId="333"/>
    <tableColumn id="6" xr3:uid="{00000000-0010-0000-8000-000006000000}" name="South" dataDxfId="332"/>
    <tableColumn id="7" xr3:uid="{00000000-0010-0000-8000-000007000000}" name="South west" dataDxfId="331"/>
    <tableColumn id="8" xr3:uid="{00000000-0010-0000-8000-000008000000}" name="West" dataDxfId="330"/>
    <tableColumn id="9" xr3:uid="{00000000-0010-0000-8000-000009000000}" name="North west" dataDxfId="329"/>
  </tableColumns>
  <tableStyleInfo name="TableStyleLight9"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81000000}" name="Orientation_sector_summer_exposure_factor_Es_suspended_floor_climate_zone_2" displayName="Orientation_sector_summer_exposure_factor_Es_suspended_floor_climate_zone_2" ref="B507:J520" totalsRowShown="0" headerRowDxfId="328" dataDxfId="326" headerRowBorderDxfId="327" tableBorderDxfId="325" totalsRowBorderDxfId="324">
  <autoFilter ref="B507:J520" xr:uid="{00000000-0009-0000-0100-00009D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8100-000001000000}" name="P/H" dataDxfId="323"/>
    <tableColumn id="2" xr3:uid="{00000000-0010-0000-8100-000002000000}" name="North" dataDxfId="322"/>
    <tableColumn id="3" xr3:uid="{00000000-0010-0000-8100-000003000000}" name="North east" dataDxfId="321"/>
    <tableColumn id="4" xr3:uid="{00000000-0010-0000-8100-000004000000}" name="East" dataDxfId="320"/>
    <tableColumn id="5" xr3:uid="{00000000-0010-0000-8100-000005000000}" name="South east" dataDxfId="319"/>
    <tableColumn id="6" xr3:uid="{00000000-0010-0000-8100-000006000000}" name="South" dataDxfId="318"/>
    <tableColumn id="7" xr3:uid="{00000000-0010-0000-8100-000007000000}" name="South west" dataDxfId="317"/>
    <tableColumn id="8" xr3:uid="{00000000-0010-0000-8100-000008000000}" name="West" dataDxfId="316"/>
    <tableColumn id="9" xr3:uid="{00000000-0010-0000-8100-000009000000}" name="North west" dataDxfId="315"/>
  </tableColumns>
  <tableStyleInfo name="TableStyleLight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41000000}" name="Table66" displayName="Table66" ref="B20:B23" totalsRowShown="0" headerRowDxfId="1542" dataDxfId="1541">
  <autoFilter ref="B20:B23" xr:uid="{00000000-0009-0000-0100-000042000000}"/>
  <tableColumns count="1">
    <tableColumn id="1" xr3:uid="{00000000-0010-0000-4100-000001000000}" name="13.4 Applicable Climate Zone - No Conditions" dataDxfId="1540"/>
  </tableColumns>
  <tableStyleInfo name="TableStyleLight9"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82000000}" name="Orientation_sector_summer_exposure_factor_Es_floor_in_direct_contact_with_the_ground_climate_zone_3" displayName="Orientation_sector_summer_exposure_factor_Es_floor_in_direct_contact_with_the_ground_climate_zone_3" ref="B524:J537" totalsRowShown="0" headerRowDxfId="314" dataDxfId="312" headerRowBorderDxfId="313" tableBorderDxfId="311" totalsRowBorderDxfId="310">
  <autoFilter ref="B524:J537" xr:uid="{00000000-0009-0000-0100-00009E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8200-000001000000}" name="P/H" dataDxfId="309"/>
    <tableColumn id="2" xr3:uid="{00000000-0010-0000-8200-000002000000}" name="North" dataDxfId="308"/>
    <tableColumn id="3" xr3:uid="{00000000-0010-0000-8200-000003000000}" name="North east" dataDxfId="307"/>
    <tableColumn id="4" xr3:uid="{00000000-0010-0000-8200-000004000000}" name="East" dataDxfId="306"/>
    <tableColumn id="5" xr3:uid="{00000000-0010-0000-8200-000005000000}" name="South east" dataDxfId="305"/>
    <tableColumn id="6" xr3:uid="{00000000-0010-0000-8200-000006000000}" name="South" dataDxfId="304"/>
    <tableColumn id="7" xr3:uid="{00000000-0010-0000-8200-000007000000}" name="South west" dataDxfId="303"/>
    <tableColumn id="8" xr3:uid="{00000000-0010-0000-8200-000008000000}" name="West" dataDxfId="302"/>
    <tableColumn id="9" xr3:uid="{00000000-0010-0000-8200-000009000000}" name="North west" dataDxfId="301"/>
  </tableColumns>
  <tableStyleInfo name="TableStyleLight9"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83000000}" name="Orientation_sector_summer_exposure_factor_Es_suspended_floor_climate_zone_3" displayName="Orientation_sector_summer_exposure_factor_Es_suspended_floor_climate_zone_3" ref="B541:J554" totalsRowShown="0" headerRowDxfId="300" dataDxfId="298" headerRowBorderDxfId="299" tableBorderDxfId="297" totalsRowBorderDxfId="296">
  <autoFilter ref="B541:J554" xr:uid="{00000000-0009-0000-0100-00009F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8300-000001000000}" name="P/H" dataDxfId="295"/>
    <tableColumn id="2" xr3:uid="{00000000-0010-0000-8300-000002000000}" name="North" dataDxfId="294"/>
    <tableColumn id="3" xr3:uid="{00000000-0010-0000-8300-000003000000}" name="North east" dataDxfId="293"/>
    <tableColumn id="4" xr3:uid="{00000000-0010-0000-8300-000004000000}" name="East" dataDxfId="292"/>
    <tableColumn id="5" xr3:uid="{00000000-0010-0000-8300-000005000000}" name="South east" dataDxfId="291"/>
    <tableColumn id="6" xr3:uid="{00000000-0010-0000-8300-000006000000}" name="South" dataDxfId="290"/>
    <tableColumn id="7" xr3:uid="{00000000-0010-0000-8300-000007000000}" name="South west" dataDxfId="289"/>
    <tableColumn id="8" xr3:uid="{00000000-0010-0000-8300-000008000000}" name="West" dataDxfId="288"/>
    <tableColumn id="9" xr3:uid="{00000000-0010-0000-8300-000009000000}" name="North west" dataDxfId="287"/>
  </tableColumns>
  <tableStyleInfo name="TableStyleLight9"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84000000}" name="Orientation_sector_summer_exposure_factor_Es_floor_in_direct_contact_with_the_ground_climate_zone_4" displayName="Orientation_sector_summer_exposure_factor_Es_floor_in_direct_contact_with_the_ground_climate_zone_4" ref="B558:J571" totalsRowShown="0" headerRowDxfId="286" dataDxfId="284" headerRowBorderDxfId="285" tableBorderDxfId="283" totalsRowBorderDxfId="282">
  <autoFilter ref="B558:J571" xr:uid="{00000000-0009-0000-0100-0000A0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8400-000001000000}" name="P/H" dataDxfId="281"/>
    <tableColumn id="2" xr3:uid="{00000000-0010-0000-8400-000002000000}" name="North" dataDxfId="280"/>
    <tableColumn id="3" xr3:uid="{00000000-0010-0000-8400-000003000000}" name="North east" dataDxfId="279"/>
    <tableColumn id="4" xr3:uid="{00000000-0010-0000-8400-000004000000}" name="East" dataDxfId="278"/>
    <tableColumn id="5" xr3:uid="{00000000-0010-0000-8400-000005000000}" name="South east" dataDxfId="277"/>
    <tableColumn id="6" xr3:uid="{00000000-0010-0000-8400-000006000000}" name="South" dataDxfId="276"/>
    <tableColumn id="7" xr3:uid="{00000000-0010-0000-8400-000007000000}" name="South west" dataDxfId="275"/>
    <tableColumn id="8" xr3:uid="{00000000-0010-0000-8400-000008000000}" name="West" dataDxfId="274"/>
    <tableColumn id="9" xr3:uid="{00000000-0010-0000-8400-000009000000}" name="North west" dataDxfId="273"/>
  </tableColumns>
  <tableStyleInfo name="TableStyleLight9"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85000000}" name="Orientation_sector_summer_exposure_factor_Es_suspended_floor_climate_zone_4" displayName="Orientation_sector_summer_exposure_factor_Es_suspended_floor_climate_zone_4" ref="B575:J588" totalsRowShown="0" headerRowDxfId="272" dataDxfId="270" headerRowBorderDxfId="271" tableBorderDxfId="269" totalsRowBorderDxfId="268">
  <autoFilter ref="B575:J588" xr:uid="{00000000-0009-0000-0100-0000A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8500-000001000000}" name="P/H" dataDxfId="267"/>
    <tableColumn id="2" xr3:uid="{00000000-0010-0000-8500-000002000000}" name="North" dataDxfId="266"/>
    <tableColumn id="3" xr3:uid="{00000000-0010-0000-8500-000003000000}" name="North east" dataDxfId="265"/>
    <tableColumn id="4" xr3:uid="{00000000-0010-0000-8500-000004000000}" name="East" dataDxfId="264"/>
    <tableColumn id="5" xr3:uid="{00000000-0010-0000-8500-000005000000}" name="South east" dataDxfId="263"/>
    <tableColumn id="6" xr3:uid="{00000000-0010-0000-8500-000006000000}" name="South" dataDxfId="262"/>
    <tableColumn id="7" xr3:uid="{00000000-0010-0000-8500-000007000000}" name="South west" dataDxfId="261"/>
    <tableColumn id="8" xr3:uid="{00000000-0010-0000-8500-000008000000}" name="West" dataDxfId="260"/>
    <tableColumn id="9" xr3:uid="{00000000-0010-0000-8500-000009000000}" name="North west" dataDxfId="259"/>
  </tableColumns>
  <tableStyleInfo name="TableStyleLight9"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00000000-000C-0000-FFFF-FFFF86000000}" name="Orientation_sector_summer_exposure_factor_Es_floor_in_direct_contact_with_the_ground_climate_zone_5_lightweight_or_masonry_veneer_wall" displayName="Orientation_sector_summer_exposure_factor_Es_floor_in_direct_contact_with_the_ground_climate_zone_5_lightweight_or_masonry_veneer_wall" ref="B592:J605" totalsRowShown="0" headerRowDxfId="258" dataDxfId="256" headerRowBorderDxfId="257" tableBorderDxfId="255" totalsRowBorderDxfId="254">
  <autoFilter ref="B592:J605" xr:uid="{00000000-0009-0000-0100-0000A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8600-000001000000}" name="P/H" dataDxfId="253"/>
    <tableColumn id="2" xr3:uid="{00000000-0010-0000-8600-000002000000}" name="North" dataDxfId="252"/>
    <tableColumn id="3" xr3:uid="{00000000-0010-0000-8600-000003000000}" name="North east" dataDxfId="251"/>
    <tableColumn id="4" xr3:uid="{00000000-0010-0000-8600-000004000000}" name="East" dataDxfId="250"/>
    <tableColumn id="5" xr3:uid="{00000000-0010-0000-8600-000005000000}" name="South east" dataDxfId="249"/>
    <tableColumn id="6" xr3:uid="{00000000-0010-0000-8600-000006000000}" name="South" dataDxfId="248"/>
    <tableColumn id="7" xr3:uid="{00000000-0010-0000-8600-000007000000}" name="South west" dataDxfId="247"/>
    <tableColumn id="8" xr3:uid="{00000000-0010-0000-8600-000008000000}" name="West" dataDxfId="246"/>
    <tableColumn id="9" xr3:uid="{00000000-0010-0000-8600-000009000000}" name="North west" dataDxfId="245"/>
  </tableColumns>
  <tableStyleInfo name="TableStyleLight9"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00000000-000C-0000-FFFF-FFFF87000000}" name="Orientation_sector_summer_exposure_factor_Es_floor_in_direct_contact_with_the_ground_climate_zone_5_concrete_or_masonry_wall" displayName="Orientation_sector_summer_exposure_factor_Es_floor_in_direct_contact_with_the_ground_climate_zone_5_concrete_or_masonry_wall" ref="B609:J622" totalsRowShown="0" headerRowDxfId="244" dataDxfId="242" headerRowBorderDxfId="243" tableBorderDxfId="241" totalsRowBorderDxfId="240">
  <autoFilter ref="B609:J622" xr:uid="{00000000-0009-0000-0100-0000A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8700-000001000000}" name="P/H" dataDxfId="239"/>
    <tableColumn id="2" xr3:uid="{00000000-0010-0000-8700-000002000000}" name="North" dataDxfId="238"/>
    <tableColumn id="3" xr3:uid="{00000000-0010-0000-8700-000003000000}" name="North east" dataDxfId="237"/>
    <tableColumn id="4" xr3:uid="{00000000-0010-0000-8700-000004000000}" name="East" dataDxfId="236"/>
    <tableColumn id="5" xr3:uid="{00000000-0010-0000-8700-000005000000}" name="South east" dataDxfId="235"/>
    <tableColumn id="6" xr3:uid="{00000000-0010-0000-8700-000006000000}" name="South" dataDxfId="234"/>
    <tableColumn id="7" xr3:uid="{00000000-0010-0000-8700-000007000000}" name="South west" dataDxfId="233"/>
    <tableColumn id="8" xr3:uid="{00000000-0010-0000-8700-000008000000}" name="West" dataDxfId="232"/>
    <tableColumn id="9" xr3:uid="{00000000-0010-0000-8700-000009000000}" name="North west" dataDxfId="231"/>
  </tableColumns>
  <tableStyleInfo name="TableStyleLight9"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00000000-000C-0000-FFFF-FFFF88000000}" name="Orientation_sector_summer_exposure_factor_Es_suspended_floor_climate_zone_5_lightweight_or_masonry_veneer_wall" displayName="Orientation_sector_summer_exposure_factor_Es_suspended_floor_climate_zone_5_lightweight_or_masonry_veneer_wall" ref="B626:J639" totalsRowShown="0" headerRowDxfId="230" dataDxfId="228" headerRowBorderDxfId="229" tableBorderDxfId="227" totalsRowBorderDxfId="226">
  <autoFilter ref="B626:J639" xr:uid="{00000000-0009-0000-0100-0000A4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8800-000001000000}" name="P/H" dataDxfId="225"/>
    <tableColumn id="2" xr3:uid="{00000000-0010-0000-8800-000002000000}" name="North" dataDxfId="224"/>
    <tableColumn id="3" xr3:uid="{00000000-0010-0000-8800-000003000000}" name="North east" dataDxfId="223"/>
    <tableColumn id="4" xr3:uid="{00000000-0010-0000-8800-000004000000}" name="East" dataDxfId="222"/>
    <tableColumn id="5" xr3:uid="{00000000-0010-0000-8800-000005000000}" name="South East" dataDxfId="221"/>
    <tableColumn id="6" xr3:uid="{00000000-0010-0000-8800-000006000000}" name="South" dataDxfId="220"/>
    <tableColumn id="7" xr3:uid="{00000000-0010-0000-8800-000007000000}" name="South west" dataDxfId="219"/>
    <tableColumn id="8" xr3:uid="{00000000-0010-0000-8800-000008000000}" name="West" dataDxfId="218"/>
    <tableColumn id="9" xr3:uid="{00000000-0010-0000-8800-000009000000}" name="North west" dataDxfId="217"/>
  </tableColumns>
  <tableStyleInfo name="TableStyleLight9"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00000000-000C-0000-FFFF-FFFF89000000}" name="Orientation_sector_summer_exposure_factor_Es_suspended_floor_climate_zone_5_concrete_or_masonry_wall" displayName="Orientation_sector_summer_exposure_factor_Es_suspended_floor_climate_zone_5_concrete_or_masonry_wall" ref="B643:J656" totalsRowShown="0" headerRowDxfId="216" dataDxfId="214" headerRowBorderDxfId="215" tableBorderDxfId="213" totalsRowBorderDxfId="212">
  <autoFilter ref="B643:J656" xr:uid="{00000000-0009-0000-0100-0000A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8900-000001000000}" name="P/H" dataDxfId="211"/>
    <tableColumn id="2" xr3:uid="{00000000-0010-0000-8900-000002000000}" name="North" dataDxfId="210"/>
    <tableColumn id="3" xr3:uid="{00000000-0010-0000-8900-000003000000}" name="North east" dataDxfId="209"/>
    <tableColumn id="4" xr3:uid="{00000000-0010-0000-8900-000004000000}" name="East" dataDxfId="208"/>
    <tableColumn id="5" xr3:uid="{00000000-0010-0000-8900-000005000000}" name="South east" dataDxfId="207"/>
    <tableColumn id="6" xr3:uid="{00000000-0010-0000-8900-000006000000}" name="South" dataDxfId="206"/>
    <tableColumn id="7" xr3:uid="{00000000-0010-0000-8900-000007000000}" name="South west" dataDxfId="205"/>
    <tableColumn id="8" xr3:uid="{00000000-0010-0000-8900-000008000000}" name="West" dataDxfId="204"/>
    <tableColumn id="9" xr3:uid="{00000000-0010-0000-8900-000009000000}" name="North west" dataDxfId="203"/>
  </tableColumns>
  <tableStyleInfo name="TableStyleLight9"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00000000-000C-0000-FFFF-FFFF8A000000}" name="Orientation_sector_summer_exposure_factor_Es_floor_in_direct_contact_with_the_ground_climate_zone_6" displayName="Orientation_sector_summer_exposure_factor_Es_floor_in_direct_contact_with_the_ground_climate_zone_6" ref="B660:J673" totalsRowShown="0" headerRowDxfId="202" dataDxfId="200" headerRowBorderDxfId="201" tableBorderDxfId="199" totalsRowBorderDxfId="198">
  <autoFilter ref="B660:J673" xr:uid="{00000000-0009-0000-0100-0000A6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8A00-000001000000}" name="P/H" dataDxfId="197"/>
    <tableColumn id="2" xr3:uid="{00000000-0010-0000-8A00-000002000000}" name="North" dataDxfId="196"/>
    <tableColumn id="3" xr3:uid="{00000000-0010-0000-8A00-000003000000}" name="North east" dataDxfId="195"/>
    <tableColumn id="4" xr3:uid="{00000000-0010-0000-8A00-000004000000}" name="East" dataDxfId="194"/>
    <tableColumn id="5" xr3:uid="{00000000-0010-0000-8A00-000005000000}" name="South east" dataDxfId="193"/>
    <tableColumn id="6" xr3:uid="{00000000-0010-0000-8A00-000006000000}" name="South" dataDxfId="192"/>
    <tableColumn id="7" xr3:uid="{00000000-0010-0000-8A00-000007000000}" name="South west" dataDxfId="191"/>
    <tableColumn id="8" xr3:uid="{00000000-0010-0000-8A00-000008000000}" name="West" dataDxfId="190"/>
    <tableColumn id="9" xr3:uid="{00000000-0010-0000-8A00-000009000000}" name="North west" dataDxfId="189"/>
  </tableColumns>
  <tableStyleInfo name="TableStyleLight9"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00000000-000C-0000-FFFF-FFFF8B000000}" name="Orientation_sector_summer_exposure_factor_Es_suspended_floor_climate_zone_6" displayName="Orientation_sector_summer_exposure_factor_Es_suspended_floor_climate_zone_6" ref="B677:J690" totalsRowShown="0" headerRowDxfId="188" dataDxfId="186" headerRowBorderDxfId="187" tableBorderDxfId="185" totalsRowBorderDxfId="184">
  <autoFilter ref="B677:J690" xr:uid="{00000000-0009-0000-0100-0000A7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8B00-000001000000}" name="P/H" dataDxfId="183"/>
    <tableColumn id="2" xr3:uid="{00000000-0010-0000-8B00-000002000000}" name="North" dataDxfId="182"/>
    <tableColumn id="3" xr3:uid="{00000000-0010-0000-8B00-000003000000}" name="North east" dataDxfId="181"/>
    <tableColumn id="4" xr3:uid="{00000000-0010-0000-8B00-000004000000}" name="East" dataDxfId="180"/>
    <tableColumn id="5" xr3:uid="{00000000-0010-0000-8B00-000005000000}" name="South east" dataDxfId="179"/>
    <tableColumn id="6" xr3:uid="{00000000-0010-0000-8B00-000006000000}" name="South" dataDxfId="178"/>
    <tableColumn id="7" xr3:uid="{00000000-0010-0000-8B00-000007000000}" name="South west" dataDxfId="177"/>
    <tableColumn id="8" xr3:uid="{00000000-0010-0000-8B00-000008000000}" name="West" dataDxfId="176"/>
    <tableColumn id="9" xr3:uid="{00000000-0010-0000-8B00-000009000000}" name="North west" dataDxfId="175"/>
  </tableColumns>
  <tableStyleInfo name="TableStyleLight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2000000}" name="Piping_R_Value" displayName="Piping_R_Value" ref="AI8:AM16" totalsRowShown="0" headerRowDxfId="1539" dataDxfId="1538" tableBorderDxfId="1537">
  <autoFilter ref="AI8:AM16" xr:uid="{00000000-0009-0000-0100-000049000000}"/>
  <tableColumns count="5">
    <tableColumn id="1" xr3:uid="{00000000-0010-0000-4200-000001000000}" name="Climate Zones" dataDxfId="1536"/>
    <tableColumn id="2" xr3:uid="{00000000-0010-0000-4200-000002000000}" name=" Piping referred to in 3" dataDxfId="1535"/>
    <tableColumn id="3" xr3:uid="{00000000-0010-0000-4200-000003000000}" name=" Piping referred to in 4" dataDxfId="1534"/>
    <tableColumn id="4" xr3:uid="{00000000-0010-0000-4200-000004000000}" name="heating-only system or cooling-only system" dataDxfId="1533"/>
    <tableColumn id="5" xr3:uid="{00000000-0010-0000-4200-000005000000}" name="Combined heating and refrigerated cooling system" dataDxfId="1532"/>
  </tableColumns>
  <tableStyleInfo name="TableStyleLight9"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00000000-000C-0000-FFFF-FFFF8C000000}" name="Orientation_sector_summer_exposure_factor_Es_floor_in_direct_contact_with_the_ground_climate_zone_7" displayName="Orientation_sector_summer_exposure_factor_Es_floor_in_direct_contact_with_the_ground_climate_zone_7" ref="B694:J707" totalsRowShown="0" headerRowDxfId="174" dataDxfId="172" headerRowBorderDxfId="173" tableBorderDxfId="171" totalsRowBorderDxfId="170">
  <autoFilter ref="B694:J707" xr:uid="{00000000-0009-0000-0100-0000A8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8C00-000001000000}" name="P/H" dataDxfId="169"/>
    <tableColumn id="2" xr3:uid="{00000000-0010-0000-8C00-000002000000}" name="North" dataDxfId="168"/>
    <tableColumn id="3" xr3:uid="{00000000-0010-0000-8C00-000003000000}" name="North east" dataDxfId="167"/>
    <tableColumn id="4" xr3:uid="{00000000-0010-0000-8C00-000004000000}" name="East" dataDxfId="166"/>
    <tableColumn id="5" xr3:uid="{00000000-0010-0000-8C00-000005000000}" name="South east" dataDxfId="165"/>
    <tableColumn id="6" xr3:uid="{00000000-0010-0000-8C00-000006000000}" name="South" dataDxfId="164"/>
    <tableColumn id="7" xr3:uid="{00000000-0010-0000-8C00-000007000000}" name="South west" dataDxfId="163"/>
    <tableColumn id="8" xr3:uid="{00000000-0010-0000-8C00-000008000000}" name="West" dataDxfId="162"/>
    <tableColumn id="9" xr3:uid="{00000000-0010-0000-8C00-000009000000}" name="North west" dataDxfId="161"/>
  </tableColumns>
  <tableStyleInfo name="TableStyleLight9"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00000000-000C-0000-FFFF-FFFF8D000000}" name="Orientation_sector_summer_exposure_factor_Es_suspended_floor_climate_zone_7" displayName="Orientation_sector_summer_exposure_factor_Es_suspended_floor_climate_zone_7" ref="B711:J724" totalsRowShown="0" headerRowDxfId="160" dataDxfId="158" headerRowBorderDxfId="159" tableBorderDxfId="157" totalsRowBorderDxfId="156">
  <autoFilter ref="B711:J724" xr:uid="{00000000-0009-0000-0100-0000A9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8D00-000001000000}" name="P/H" dataDxfId="155"/>
    <tableColumn id="2" xr3:uid="{00000000-0010-0000-8D00-000002000000}" name="North" dataDxfId="154"/>
    <tableColumn id="3" xr3:uid="{00000000-0010-0000-8D00-000003000000}" name="North east" dataDxfId="153"/>
    <tableColumn id="4" xr3:uid="{00000000-0010-0000-8D00-000004000000}" name="East" dataDxfId="152"/>
    <tableColumn id="5" xr3:uid="{00000000-0010-0000-8D00-000005000000}" name="South east" dataDxfId="151"/>
    <tableColumn id="6" xr3:uid="{00000000-0010-0000-8D00-000006000000}" name="South" dataDxfId="150"/>
    <tableColumn id="7" xr3:uid="{00000000-0010-0000-8D00-000007000000}" name="South west" dataDxfId="149"/>
    <tableColumn id="8" xr3:uid="{00000000-0010-0000-8D00-000008000000}" name="West" dataDxfId="148"/>
    <tableColumn id="9" xr3:uid="{00000000-0010-0000-8D00-000009000000}" name="North west" dataDxfId="147"/>
  </tableColumns>
  <tableStyleInfo name="TableStyleLight9"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8E000000}" name="Summer_solar_heat_gain_factors_climate_zone_1" displayName="Summer_solar_heat_gain_factors_climate_zone_1" ref="B728:D734" totalsRowShown="0" headerRowDxfId="146" headerRowBorderDxfId="145" tableBorderDxfId="144" totalsRowBorderDxfId="143">
  <autoFilter ref="B728:D734" xr:uid="{00000000-0009-0000-0100-0000AA000000}">
    <filterColumn colId="0" hiddenButton="1"/>
    <filterColumn colId="1" hiddenButton="1"/>
    <filterColumn colId="2" hiddenButton="1"/>
  </autoFilter>
  <tableColumns count="3">
    <tableColumn id="1" xr3:uid="{00000000-0010-0000-8E00-000001000000}" name="Type of factor" dataDxfId="142"/>
    <tableColumn id="2" xr3:uid="{00000000-0010-0000-8E00-000002000000}" name="Factor for a floor in direct contact with the ground" dataDxfId="141"/>
    <tableColumn id="3" xr3:uid="{00000000-0010-0000-8E00-000003000000}" name="Factor for a suspended floor" dataDxfId="140"/>
  </tableColumns>
  <tableStyleInfo name="TableStyleLight9"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0000000-000C-0000-FFFF-FFFF8F000000}" name="Summer_solar_heat_gain_factors_climate_zone_2" displayName="Summer_solar_heat_gain_factors_climate_zone_2" ref="B738:D744" totalsRowShown="0" headerRowDxfId="139" headerRowBorderDxfId="138" tableBorderDxfId="137" totalsRowBorderDxfId="136">
  <autoFilter ref="B738:D744" xr:uid="{00000000-0009-0000-0100-0000AB000000}">
    <filterColumn colId="0" hiddenButton="1"/>
    <filterColumn colId="1" hiddenButton="1"/>
    <filterColumn colId="2" hiddenButton="1"/>
  </autoFilter>
  <tableColumns count="3">
    <tableColumn id="1" xr3:uid="{00000000-0010-0000-8F00-000001000000}" name="Type of factor" dataDxfId="135"/>
    <tableColumn id="2" xr3:uid="{00000000-0010-0000-8F00-000002000000}" name="Factor for a floor in direct contact with the ground" dataDxfId="134"/>
    <tableColumn id="3" xr3:uid="{00000000-0010-0000-8F00-000003000000}" name="Factor for a suspended floor" dataDxfId="133"/>
  </tableColumns>
  <tableStyleInfo name="TableStyleLight9"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00000000-000C-0000-FFFF-FFFF90000000}" name="Summer_solar_heat_gain_factors_climate_zone_3" displayName="Summer_solar_heat_gain_factors_climate_zone_3" ref="B748:D754" totalsRowShown="0" headerRowDxfId="132" headerRowBorderDxfId="131" tableBorderDxfId="130" totalsRowBorderDxfId="129">
  <autoFilter ref="B748:D754" xr:uid="{00000000-0009-0000-0100-0000AC000000}">
    <filterColumn colId="0" hiddenButton="1"/>
    <filterColumn colId="1" hiddenButton="1"/>
    <filterColumn colId="2" hiddenButton="1"/>
  </autoFilter>
  <tableColumns count="3">
    <tableColumn id="1" xr3:uid="{00000000-0010-0000-9000-000001000000}" name="Type of factor" dataDxfId="128"/>
    <tableColumn id="2" xr3:uid="{00000000-0010-0000-9000-000002000000}" name="Factor for a floor in direct contact with the ground" dataDxfId="127"/>
    <tableColumn id="3" xr3:uid="{00000000-0010-0000-9000-000003000000}" name="Factor for a suspended floor" dataDxfId="126"/>
  </tableColumns>
  <tableStyleInfo name="TableStyleLight9"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00000000-000C-0000-FFFF-FFFF91000000}" name="Summer_solar_heat_gain_factors_climate_zone_4" displayName="Summer_solar_heat_gain_factors_climate_zone_4" ref="B758:D764" totalsRowShown="0" headerRowDxfId="125" headerRowBorderDxfId="124" tableBorderDxfId="123" totalsRowBorderDxfId="122">
  <autoFilter ref="B758:D764" xr:uid="{00000000-0009-0000-0100-0000AD000000}">
    <filterColumn colId="0" hiddenButton="1"/>
    <filterColumn colId="1" hiddenButton="1"/>
    <filterColumn colId="2" hiddenButton="1"/>
  </autoFilter>
  <tableColumns count="3">
    <tableColumn id="1" xr3:uid="{00000000-0010-0000-9100-000001000000}" name="Type factor" dataDxfId="121"/>
    <tableColumn id="2" xr3:uid="{00000000-0010-0000-9100-000002000000}" name="Factor for a floor in direct contact with the ground" dataDxfId="120"/>
    <tableColumn id="3" xr3:uid="{00000000-0010-0000-9100-000003000000}" name="Factor for a suspended floor" dataDxfId="119"/>
  </tableColumns>
  <tableStyleInfo name="TableStyleLight9"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00000000-000C-0000-FFFF-FFFF92000000}" name="Summer_solar_heat_gain_factors_climate_zone_5_lightweight_or_masonry_veneer_wall" displayName="Summer_solar_heat_gain_factors_climate_zone_5_lightweight_or_masonry_veneer_wall" ref="B768:D774" totalsRowShown="0" headerRowDxfId="118" headerRowBorderDxfId="117" tableBorderDxfId="116" totalsRowBorderDxfId="115">
  <autoFilter ref="B768:D774" xr:uid="{00000000-0009-0000-0100-0000AE000000}">
    <filterColumn colId="0" hiddenButton="1"/>
    <filterColumn colId="1" hiddenButton="1"/>
    <filterColumn colId="2" hiddenButton="1"/>
  </autoFilter>
  <tableColumns count="3">
    <tableColumn id="1" xr3:uid="{00000000-0010-0000-9200-000001000000}" name="Type of factor" dataDxfId="114"/>
    <tableColumn id="2" xr3:uid="{00000000-0010-0000-9200-000002000000}" name="Factor for a floor in direct contact with the ground" dataDxfId="113"/>
    <tableColumn id="3" xr3:uid="{00000000-0010-0000-9200-000003000000}" name="Factor for a suspended floor" dataDxfId="112"/>
  </tableColumns>
  <tableStyleInfo name="TableStyleLight9"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00000000-000C-0000-FFFF-FFFF93000000}" name="Summer_solar_heat_gain_factors_climate_zone_5_concrete_or_masonry_wall" displayName="Summer_solar_heat_gain_factors_climate_zone_5_concrete_or_masonry_wall" ref="B778:D784" totalsRowShown="0" headerRowDxfId="111" headerRowBorderDxfId="110" tableBorderDxfId="109" totalsRowBorderDxfId="108">
  <autoFilter ref="B778:D784" xr:uid="{00000000-0009-0000-0100-0000AF000000}">
    <filterColumn colId="0" hiddenButton="1"/>
    <filterColumn colId="1" hiddenButton="1"/>
    <filterColumn colId="2" hiddenButton="1"/>
  </autoFilter>
  <tableColumns count="3">
    <tableColumn id="1" xr3:uid="{00000000-0010-0000-9300-000001000000}" name="Type of factor" dataDxfId="107"/>
    <tableColumn id="2" xr3:uid="{00000000-0010-0000-9300-000002000000}" name="Factor for a floor in direct contact with the ground" dataDxfId="106"/>
    <tableColumn id="3" xr3:uid="{00000000-0010-0000-9300-000003000000}" name="Factor for a suspended floor" dataDxfId="105"/>
  </tableColumns>
  <tableStyleInfo name="TableStyleLight9"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94000000}" name="Summer_solar_heat_gain_factors_climate_zone_6" displayName="Summer_solar_heat_gain_factors_climate_zone_6" ref="B788:D794" totalsRowShown="0" headerRowDxfId="104" headerRowBorderDxfId="103" tableBorderDxfId="102" totalsRowBorderDxfId="101">
  <autoFilter ref="B788:D794" xr:uid="{00000000-0009-0000-0100-0000B0000000}">
    <filterColumn colId="0" hiddenButton="1"/>
    <filterColumn colId="1" hiddenButton="1"/>
    <filterColumn colId="2" hiddenButton="1"/>
  </autoFilter>
  <tableColumns count="3">
    <tableColumn id="1" xr3:uid="{00000000-0010-0000-9400-000001000000}" name="Type of factor" dataDxfId="100"/>
    <tableColumn id="2" xr3:uid="{00000000-0010-0000-9400-000002000000}" name="Factor for a floor in direct contact with the ground" dataDxfId="99"/>
    <tableColumn id="3" xr3:uid="{00000000-0010-0000-9400-000003000000}" name="Factor for suspended floor" dataDxfId="98"/>
  </tableColumns>
  <tableStyleInfo name="TableStyleLight9"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95000000}" name="Summer_solar_heat_gain_factors_climate_zone_7" displayName="Summer_solar_heat_gain_factors_climate_zone_7" ref="B798:D804" totalsRowShown="0" headerRowDxfId="97" headerRowBorderDxfId="96" tableBorderDxfId="95" totalsRowBorderDxfId="94">
  <autoFilter ref="B798:D804" xr:uid="{00000000-0009-0000-0100-0000B1000000}">
    <filterColumn colId="0" hiddenButton="1"/>
    <filterColumn colId="1" hiddenButton="1"/>
    <filterColumn colId="2" hiddenButton="1"/>
  </autoFilter>
  <tableColumns count="3">
    <tableColumn id="1" xr3:uid="{00000000-0010-0000-9500-000001000000}" name="Type of factor" dataDxfId="93"/>
    <tableColumn id="2" xr3:uid="{00000000-0010-0000-9500-000002000000}" name="Factor for a floor in direct contact with the ground" dataDxfId="92"/>
    <tableColumn id="3" xr3:uid="{00000000-0010-0000-9500-000003000000}" name="Factor for a suspended floor" dataDxfId="91"/>
  </tableColumns>
  <tableStyleInfo name="TableStyleLight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3000000}" name="Table70" displayName="Table70" ref="AO8:AO16" totalsRowShown="0" headerRowDxfId="1531" dataDxfId="1529" headerRowBorderDxfId="1530" tableBorderDxfId="1528" totalsRowBorderDxfId="1527">
  <autoFilter ref="AO8:AO16" xr:uid="{00000000-0009-0000-0100-000046000000}"/>
  <sortState xmlns:xlrd2="http://schemas.microsoft.com/office/spreadsheetml/2017/richdata2" ref="AO9:AO15">
    <sortCondition ref="AO9:AO15"/>
  </sortState>
  <tableColumns count="1">
    <tableColumn id="1" xr3:uid="{00000000-0010-0000-4300-000001000000}" name="State" dataDxfId="1526"/>
  </tableColumns>
  <tableStyleInfo name="TableStyleLight9"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96000000}" name="Floor_area_adjustment_factor" displayName="Floor_area_adjustment_factor" ref="B13:I25" headerRowCount="0" totalsRowShown="0" headerRowDxfId="90" dataDxfId="88" headerRowBorderDxfId="89" tableBorderDxfId="87" totalsRowBorderDxfId="86">
  <tableColumns count="8">
    <tableColumn id="1" xr3:uid="{00000000-0010-0000-9600-000001000000}" name="Column1" headerRowDxfId="85" dataDxfId="84"/>
    <tableColumn id="2" xr3:uid="{00000000-0010-0000-9600-000002000000}" name="Column2" headerRowDxfId="83" dataDxfId="82"/>
    <tableColumn id="3" xr3:uid="{00000000-0010-0000-9600-000003000000}" name="Column3" headerRowDxfId="81" dataDxfId="80"/>
    <tableColumn id="4" xr3:uid="{00000000-0010-0000-9600-000004000000}" name="Column4" headerRowDxfId="79" dataDxfId="78"/>
    <tableColumn id="5" xr3:uid="{00000000-0010-0000-9600-000005000000}" name="Column5" headerRowDxfId="77" dataDxfId="76"/>
    <tableColumn id="6" xr3:uid="{00000000-0010-0000-9600-000006000000}" name="Column6" headerRowDxfId="75" dataDxfId="74"/>
    <tableColumn id="7" xr3:uid="{00000000-0010-0000-9600-000007000000}" name="Column7" headerRowDxfId="73" dataDxfId="72"/>
    <tableColumn id="8" xr3:uid="{00000000-0010-0000-9600-000008000000}" name="Column8" headerRowDxfId="71" dataDxfId="70"/>
  </tableColumns>
  <tableStyleInfo name="TableStyleLight9"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97000000}" name="Energy_factor_Ef" displayName="Energy_factor_Ef" ref="B29:J37" totalsRowShown="0" headerRowDxfId="69" dataDxfId="67" headerRowBorderDxfId="68" tableBorderDxfId="66" totalsRowBorderDxfId="65">
  <autoFilter ref="B29:J37" xr:uid="{00000000-0009-0000-0100-0000B4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9700-000001000000}" name="Climate zone" dataDxfId="64"/>
    <tableColumn id="2" xr3:uid="{00000000-0010-0000-9700-000002000000}" name="ACT" dataDxfId="63"/>
    <tableColumn id="3" xr3:uid="{00000000-0010-0000-9700-000003000000}" name="NSW" dataDxfId="62"/>
    <tableColumn id="4" xr3:uid="{00000000-0010-0000-9700-000004000000}" name="NT" dataDxfId="61"/>
    <tableColumn id="5" xr3:uid="{00000000-0010-0000-9700-000005000000}" name="Qld" dataDxfId="60"/>
    <tableColumn id="6" xr3:uid="{00000000-0010-0000-9700-000006000000}" name="SA" dataDxfId="59"/>
    <tableColumn id="7" xr3:uid="{00000000-0010-0000-9700-000007000000}" name="Tas" dataDxfId="58"/>
    <tableColumn id="8" xr3:uid="{00000000-0010-0000-9700-000008000000}" name="Vic" dataDxfId="57"/>
    <tableColumn id="9" xr3:uid="{00000000-0010-0000-9700-000009000000}" name="WA" dataDxfId="56"/>
  </tableColumns>
  <tableStyleInfo name="TableStyleLight9"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98000000}" name="Swimming_pool_pump_factor_Fp_kW_per_1000_litres_annum" displayName="Swimming_pool_pump_factor_Fp_kW_per_1000_litres_annum" ref="B41:J60" totalsRowShown="0" headerRowDxfId="55" dataDxfId="53" headerRowBorderDxfId="54" tableBorderDxfId="52" totalsRowBorderDxfId="51">
  <autoFilter ref="B41:J60" xr:uid="{00000000-0009-0000-0100-0000B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9800-000001000000}" name="Pool pump GEMS star rating" dataDxfId="50"/>
    <tableColumn id="2" xr3:uid="{00000000-0010-0000-9800-000002000000}" name="ACT" dataDxfId="49"/>
    <tableColumn id="3" xr3:uid="{00000000-0010-0000-9800-000003000000}" name="NSW" dataDxfId="48"/>
    <tableColumn id="4" xr3:uid="{00000000-0010-0000-9800-000004000000}" name="NT" dataDxfId="47"/>
    <tableColumn id="5" xr3:uid="{00000000-0010-0000-9800-000005000000}" name="Qld" dataDxfId="46"/>
    <tableColumn id="6" xr3:uid="{00000000-0010-0000-9800-000006000000}" name="SA" dataDxfId="45"/>
    <tableColumn id="7" xr3:uid="{00000000-0010-0000-9800-000007000000}" name="Tas" dataDxfId="44"/>
    <tableColumn id="8" xr3:uid="{00000000-0010-0000-9800-000008000000}" name="Vic" dataDxfId="43"/>
    <tableColumn id="9" xr3:uid="{00000000-0010-0000-9800-000009000000}" name="WA" dataDxfId="42"/>
  </tableColumns>
  <tableStyleInfo name="TableStyleLight9"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99000000}" name="Spa_pump_factor_Fs_kW_per_100_litres_annum" displayName="Spa_pump_factor_Fs_kW_per_100_litres_annum" ref="B64:J65" totalsRowShown="0" headerRowDxfId="41" dataDxfId="39" headerRowBorderDxfId="40" tableBorderDxfId="38" totalsRowBorderDxfId="37">
  <autoFilter ref="B64:J65" xr:uid="{00000000-0009-0000-0100-0000B6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9900-000001000000}" name="Spa pump GEMS star rating" dataDxfId="36"/>
    <tableColumn id="2" xr3:uid="{00000000-0010-0000-9900-000002000000}" name="ACT" dataDxfId="35"/>
    <tableColumn id="3" xr3:uid="{00000000-0010-0000-9900-000003000000}" name="NSW" dataDxfId="34"/>
    <tableColumn id="4" xr3:uid="{00000000-0010-0000-9900-000004000000}" name="NT" dataDxfId="33"/>
    <tableColumn id="5" xr3:uid="{00000000-0010-0000-9900-000005000000}" name="Qld" dataDxfId="32"/>
    <tableColumn id="6" xr3:uid="{00000000-0010-0000-9900-000006000000}" name="SA" dataDxfId="31"/>
    <tableColumn id="7" xr3:uid="{00000000-0010-0000-9900-000007000000}" name="Tas" dataDxfId="30"/>
    <tableColumn id="8" xr3:uid="{00000000-0010-0000-9900-000008000000}" name="Vic" dataDxfId="29"/>
    <tableColumn id="9" xr3:uid="{00000000-0010-0000-9900-000009000000}" name="WA" dataDxfId="28"/>
  </tableColumns>
  <tableStyleInfo name="TableStyleLight9"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9A000000}" name="R_Value_of_insulation_fused_for_smaller_diameter_piping" displayName="R_Value_of_insulation_fused_for_smaller_diameter_piping" ref="B13:C18" totalsRowShown="0" headerRowDxfId="27" dataDxfId="25" headerRowBorderDxfId="26" tableBorderDxfId="24" totalsRowBorderDxfId="23">
  <autoFilter ref="B13:C18" xr:uid="{00000000-0009-0000-0100-0000B7000000}">
    <filterColumn colId="0" hiddenButton="1"/>
    <filterColumn colId="1" hiddenButton="1"/>
  </autoFilter>
  <tableColumns count="2">
    <tableColumn id="1" xr3:uid="{00000000-0010-0000-9A00-000001000000}" name="Insulation" dataDxfId="22"/>
    <tableColumn id="2" xr3:uid="{00000000-0010-0000-9A00-000002000000}" name="R-Value" dataDxfId="21"/>
  </tableColumns>
  <tableStyleInfo name="TableStyleLight9"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9B000000}" name="R_Values_for_typical_ductwork_insulation_materials_flexible_ductwork" displayName="R_Values_for_typical_ductwork_insulation_materials_flexible_ductwork" ref="B24:C29" totalsRowShown="0" headerRowDxfId="20" dataDxfId="18" headerRowBorderDxfId="19" tableBorderDxfId="17" totalsRowBorderDxfId="16">
  <autoFilter ref="B24:C29" xr:uid="{00000000-0009-0000-0100-0000B8000000}">
    <filterColumn colId="0" hiddenButton="1"/>
    <filterColumn colId="1" hiddenButton="1"/>
  </autoFilter>
  <tableColumns count="2">
    <tableColumn id="1" xr3:uid="{00000000-0010-0000-9B00-000001000000}" name="Insulating material and thickness" dataDxfId="15"/>
    <tableColumn id="2" xr3:uid="{00000000-0010-0000-9B00-000002000000}" name="R-Value" dataDxfId="14"/>
  </tableColumns>
  <tableStyleInfo name="TableStyleLight9"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9C000000}" name="R_Value_for_typical_ductwork_insulation_materials_sheetmetal_ductwork_external_insulation" displayName="R_Value_for_typical_ductwork_insulation_materials_sheetmetal_ductwork_external_insulation" ref="B33:C37" totalsRowShown="0" headerRowDxfId="13" dataDxfId="11" headerRowBorderDxfId="12" tableBorderDxfId="10" totalsRowBorderDxfId="9">
  <autoFilter ref="B33:C37" xr:uid="{00000000-0009-0000-0100-0000B9000000}">
    <filterColumn colId="0" hiddenButton="1"/>
    <filterColumn colId="1" hiddenButton="1"/>
  </autoFilter>
  <tableColumns count="2">
    <tableColumn id="1" xr3:uid="{00000000-0010-0000-9C00-000001000000}" name="Insulating material and thickness" dataDxfId="8"/>
    <tableColumn id="2" xr3:uid="{00000000-0010-0000-9C00-000002000000}" name="R-Value" dataDxfId="7"/>
  </tableColumns>
  <tableStyleInfo name="TableStyleLight9"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9D000000}" name="R_Value_for_typical_ductwork_insulation_materials_sheetmetal_ductwork_internal_insulation" displayName="R_Value_for_typical_ductwork_insulation_materials_sheetmetal_ductwork_internal_insulation" ref="B41:C44" totalsRowShown="0" headerRowDxfId="6" dataDxfId="4" headerRowBorderDxfId="5" tableBorderDxfId="3" totalsRowBorderDxfId="2">
  <autoFilter ref="B41:C44" xr:uid="{00000000-0009-0000-0100-0000BA000000}">
    <filterColumn colId="0" hiddenButton="1"/>
    <filterColumn colId="1" hiddenButton="1"/>
  </autoFilter>
  <tableColumns count="2">
    <tableColumn id="1" xr3:uid="{00000000-0010-0000-9D00-000001000000}" name="Insulating material and thickness" dataDxfId="1"/>
    <tableColumn id="2" xr3:uid="{00000000-0010-0000-9D00-000002000000}" name="R-Value" dataDxfId="0"/>
  </tableColumns>
  <tableStyleInfo name="TableStyleLight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44000000}" name="Table63" displayName="Table63" ref="AQ8:AQ9" totalsRowShown="0" headerRowDxfId="1525" dataDxfId="1523" headerRowBorderDxfId="1524" tableBorderDxfId="1522" totalsRowBorderDxfId="1521">
  <autoFilter ref="AQ8:AQ9" xr:uid="{00000000-0009-0000-0100-00003F000000}"/>
  <tableColumns count="1">
    <tableColumn id="1" xr3:uid="{00000000-0010-0000-4400-000001000000}" name="1" dataDxfId="1520"/>
  </tableColumns>
  <tableStyleInfo name="TableStyleLight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45000000}" name="Table64" displayName="Table64" ref="AR8:AR10" totalsRowShown="0" headerRowDxfId="1519" dataDxfId="1517" headerRowBorderDxfId="1518" tableBorderDxfId="1516" totalsRowBorderDxfId="1515">
  <autoFilter ref="AR8:AR10" xr:uid="{00000000-0009-0000-0100-000040000000}"/>
  <tableColumns count="1">
    <tableColumn id="1" xr3:uid="{00000000-0010-0000-4500-000001000000}" name="2" dataDxfId="1514"/>
  </tableColumns>
  <tableStyleInfo name="TableStyleLight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46000000}" name="Table76" displayName="Table76" ref="AS8:AS10" totalsRowShown="0" headerRowDxfId="1513" dataDxfId="1511" headerRowBorderDxfId="1512" tableBorderDxfId="1510" totalsRowBorderDxfId="1509">
  <autoFilter ref="AS8:AS10" xr:uid="{00000000-0009-0000-0100-00004C000000}"/>
  <tableColumns count="1">
    <tableColumn id="1" xr3:uid="{00000000-0010-0000-4600-000001000000}" name="3" dataDxfId="1508"/>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D32C69D-5AE5-4DC8-A809-F6C0CE50E6D5}" name="Table3" displayName="Table3" ref="B34:F44" totalsRowShown="0" headerRowDxfId="1685" dataDxfId="1683" headerRowBorderDxfId="1684" tableBorderDxfId="1682" totalsRowBorderDxfId="1681">
  <autoFilter ref="B34:F44" xr:uid="{1D32C69D-5AE5-4DC8-A809-F6C0CE50E6D5}"/>
  <tableColumns count="5">
    <tableColumn id="2" xr3:uid="{1A2260AC-6A81-4A53-A75A-E1376AB4BBED}" name="Filter Blanks" dataDxfId="1680">
      <calculatedColumnFormula>IF(Table3[[#This Row],[Room]]="","","I")</calculatedColumnFormula>
    </tableColumn>
    <tableColumn id="1" xr3:uid="{D10E2303-AAA6-4B50-A0D2-858655CD2F11}" name="Room" dataDxfId="1679">
      <calculatedColumnFormula>IF('13.2 Building Fabric'!L44=0,"",'13.2 Building Fabric'!L44)</calculatedColumnFormula>
    </tableColumn>
    <tableColumn id="4" xr3:uid="{6B3DD2D0-100B-4840-A43B-F967D88568C0}" name="Total Area of Roof lights " dataDxfId="1678">
      <calculatedColumnFormula>IF('13.2 Building Fabric'!O44=0,"",'13.2 Building Fabric'!O44)</calculatedColumnFormula>
    </tableColumn>
    <tableColumn id="6" xr3:uid="{22231B3B-1795-48BD-B6B0-F01620715747}" name="Total System SHGC*" dataDxfId="1677">
      <calculatedColumnFormula>IF('13.2 Building Fabric'!Q44=0,"",'13.2 Building Fabric'!Q44)</calculatedColumnFormula>
    </tableColumn>
    <tableColumn id="7" xr3:uid="{FBD963FB-1307-4473-A36C-141DB0769DE3}" name="Total System U-Value**" dataDxfId="1676">
      <calculatedColumnFormula>IF('13.2 Building Fabric'!R44=0,"",'13.2 Building Fabric'!R44)</calculatedColumnFormula>
    </tableColumn>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7000000}" name="Table77" displayName="Table77" ref="AT8:AT9" totalsRowShown="0" headerRowDxfId="1507" dataDxfId="1505" headerRowBorderDxfId="1506" tableBorderDxfId="1504" totalsRowBorderDxfId="1503">
  <autoFilter ref="AT8:AT9" xr:uid="{00000000-0009-0000-0100-00004D000000}"/>
  <tableColumns count="1">
    <tableColumn id="1" xr3:uid="{00000000-0010-0000-4700-000001000000}" name="4" dataDxfId="1502"/>
  </tableColumns>
  <tableStyleInfo name="TableStyleLight9"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48000000}" name="Table78" displayName="Table78" ref="AU8:AU9" totalsRowShown="0" headerRowDxfId="1501" dataDxfId="1499" headerRowBorderDxfId="1500" tableBorderDxfId="1498" totalsRowBorderDxfId="1497">
  <autoFilter ref="AU8:AU9" xr:uid="{00000000-0009-0000-0100-00004E000000}"/>
  <tableColumns count="1">
    <tableColumn id="1" xr3:uid="{00000000-0010-0000-4800-000001000000}" name="5" dataDxfId="1496"/>
  </tableColumns>
  <tableStyleInfo name="TableStyleLight9"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49000000}" name="Table79" displayName="Table79" ref="AV8:AV9" totalsRowShown="0" headerRowDxfId="1495" dataDxfId="1493" headerRowBorderDxfId="1494" tableBorderDxfId="1492" totalsRowBorderDxfId="1491">
  <autoFilter ref="AV8:AV9" xr:uid="{00000000-0009-0000-0100-00004F000000}"/>
  <tableColumns count="1">
    <tableColumn id="1" xr3:uid="{00000000-0010-0000-4900-000001000000}" name="6" dataDxfId="1490"/>
  </tableColumns>
  <tableStyleInfo name="TableStyleLight9"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4A000000}" name="Table80" displayName="Table80" ref="AW8:AW9" totalsRowShown="0" headerRowDxfId="1489" dataDxfId="1487" headerRowBorderDxfId="1488" tableBorderDxfId="1486" totalsRowBorderDxfId="1485">
  <autoFilter ref="AW8:AW9" xr:uid="{00000000-0009-0000-0100-000050000000}"/>
  <tableColumns count="1">
    <tableColumn id="1" xr3:uid="{00000000-0010-0000-4A00-000001000000}" name="7" dataDxfId="1484"/>
  </tableColumns>
  <tableStyleInfo name="TableStyleLight9"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4B000000}" name="Table81" displayName="Table81" ref="AX8:AX9" totalsRowShown="0" headerRowDxfId="1483" dataDxfId="1481" headerRowBorderDxfId="1482" tableBorderDxfId="1480" totalsRowBorderDxfId="1479">
  <autoFilter ref="AX8:AX9" xr:uid="{00000000-0009-0000-0100-000051000000}"/>
  <tableColumns count="1">
    <tableColumn id="1" xr3:uid="{00000000-0010-0000-4B00-000001000000}" name="8" dataDxfId="1478"/>
  </tableColumns>
  <tableStyleInfo name="TableStyleLight9"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4C000000}" name="Table206" displayName="Table206" ref="R8:S12" totalsRowShown="0" headerRowDxfId="1477" dataDxfId="1476" tableBorderDxfId="1475">
  <autoFilter ref="R8:S12" xr:uid="{00000000-0009-0000-0100-0000CE000000}"/>
  <tableColumns count="2">
    <tableColumn id="1" xr3:uid="{00000000-0010-0000-4C00-000001000000}" name="Floors and Subfloor Walls" dataDxfId="1474"/>
    <tableColumn id="2" xr3:uid="{00000000-0010-0000-4C00-000002000000}" name="Requirement" dataDxfId="1473"/>
  </tableColumns>
  <tableStyleInfo name="TableStyleLight9"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D000000}" name="Table207" displayName="Table207" ref="R19:R22" totalsRowShown="0" headerRowDxfId="1472" dataDxfId="1471" tableBorderDxfId="1470">
  <autoFilter ref="R19:R22" xr:uid="{00000000-0009-0000-0100-0000CF000000}"/>
  <tableColumns count="1">
    <tableColumn id="1" xr3:uid="{00000000-0010-0000-4D00-000001000000}" name="Concrete Slab Options" dataDxfId="1469"/>
  </tableColumns>
  <tableStyleInfo name="TableStyleLight9"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E000000}" name="Table207211" displayName="Table207211" ref="R37:R39" totalsRowShown="0" headerRowDxfId="1468" dataDxfId="1467" tableBorderDxfId="1466">
  <autoFilter ref="R37:R39" xr:uid="{00000000-0009-0000-0100-0000D2000000}"/>
  <tableColumns count="1">
    <tableColumn id="1" xr3:uid="{00000000-0010-0000-4E00-000001000000}" name="Frame Options" dataDxfId="1465"/>
  </tableColumns>
  <tableStyleInfo name="TableStyleLight9"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F000000}" name="Table209" displayName="Table209" ref="AZ8:AZ13" totalsRowShown="0" headerRowDxfId="1464" dataDxfId="1463">
  <autoFilter ref="AZ8:AZ13" xr:uid="{00000000-0009-0000-0100-0000D1000000}"/>
  <tableColumns count="1">
    <tableColumn id="1" xr3:uid="{00000000-0010-0000-4F00-000001000000}" name="Subfloor wall height (mm)" dataDxfId="1462"/>
  </tableColumns>
  <tableStyleInfo name="TableStyleLight9"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50000000}" name="Table212" displayName="Table212" ref="BB8:BB13" totalsRowShown="0" headerRowDxfId="1461" dataDxfId="1459" headerRowBorderDxfId="1460">
  <autoFilter ref="BB8:BB13" xr:uid="{00000000-0009-0000-0100-0000D4000000}"/>
  <sortState xmlns:xlrd2="http://schemas.microsoft.com/office/spreadsheetml/2017/richdata2" ref="BB9:BB13">
    <sortCondition ref="BB8:BB13"/>
  </sortState>
  <tableColumns count="1">
    <tableColumn id="1" xr3:uid="{00000000-0010-0000-5000-000001000000}" name="4" dataDxfId="1458"/>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8553115-402E-4830-BAF9-2587C61F3F5F}" name="Table5" displayName="Table5" ref="B48:D52" totalsRowShown="0" headerRowDxfId="1675" headerRowBorderDxfId="1674" tableBorderDxfId="1673" totalsRowBorderDxfId="1672">
  <autoFilter ref="B48:D52" xr:uid="{A8553115-402E-4830-BAF9-2587C61F3F5F}"/>
  <tableColumns count="3">
    <tableColumn id="3" xr3:uid="{A76F7619-C862-4CCC-9CAB-03BDB3E8841C}" name="Filter Blanks" dataDxfId="1671">
      <calculatedColumnFormula>IF(Table5[[#This Row],[Wall Type]]="","","I")</calculatedColumnFormula>
    </tableColumn>
    <tableColumn id="1" xr3:uid="{17E58DF2-890C-4A87-B288-D65BB7AECC0C}" name="Wall Type" dataDxfId="1670">
      <calculatedColumnFormula>IF('13.2 Building Fabric'!L65=0,"",'13.2 Building Fabric'!L65)</calculatedColumnFormula>
    </tableColumn>
    <tableColumn id="2" xr3:uid="{EBD15691-CE31-46B0-ADB7-279AC39376E5}" name="Minimum External Walls R-Value" dataDxfId="1669">
      <calculatedColumnFormula>IF('13.2 Building Fabric'!R65=0,"",'13.2 Building Fabric'!R65)</calculatedColumnFormula>
    </tableColumn>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51000000}" name="Table213" displayName="Table213" ref="BC8:BC10" totalsRowShown="0" headerRowDxfId="1457" dataDxfId="1455" headerRowBorderDxfId="1456">
  <autoFilter ref="BC8:BC10" xr:uid="{00000000-0009-0000-0100-0000D5000000}"/>
  <tableColumns count="1">
    <tableColumn id="1" xr3:uid="{00000000-0010-0000-5100-000001000000}" name="5" dataDxfId="1454"/>
  </tableColumns>
  <tableStyleInfo name="TableStyleLight9"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52000000}" name="Table214" displayName="Table214" ref="BD8:BD10" totalsRowShown="0" headerRowDxfId="1453" dataDxfId="1451" headerRowBorderDxfId="1452">
  <autoFilter ref="BD8:BD10" xr:uid="{00000000-0009-0000-0100-0000D6000000}"/>
  <tableColumns count="1">
    <tableColumn id="1" xr3:uid="{00000000-0010-0000-5200-000001000000}" name="6" dataDxfId="1450"/>
  </tableColumns>
  <tableStyleInfo name="TableStyleLight9"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53000000}" name="Table215" displayName="Table215" ref="BE8:BE10" totalsRowShown="0" headerRowDxfId="1449" dataDxfId="1447" headerRowBorderDxfId="1448">
  <autoFilter ref="BE8:BE10" xr:uid="{00000000-0009-0000-0100-0000D7000000}"/>
  <tableColumns count="1">
    <tableColumn id="1" xr3:uid="{00000000-0010-0000-5300-000001000000}" name="7" dataDxfId="1446"/>
  </tableColumns>
  <tableStyleInfo name="TableStyleLight9"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54000000}" name="Table216" displayName="Table216" ref="BF8:BF10" totalsRowShown="0" headerRowDxfId="1445" dataDxfId="1443" headerRowBorderDxfId="1444">
  <autoFilter ref="BF8:BF10" xr:uid="{00000000-0009-0000-0100-0000D8000000}"/>
  <tableColumns count="1">
    <tableColumn id="1" xr3:uid="{00000000-0010-0000-5400-000001000000}" name="8" dataDxfId="1442"/>
  </tableColumns>
  <tableStyleInfo name="TableStyleLight9"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B917548-59FD-427A-B97E-7878D161D91A}" name="TB_Metal_Pitched" displayName="TB_Metal_Pitched" ref="F28:F29" totalsRowShown="0" headerRowDxfId="1441" dataDxfId="1439" headerRowBorderDxfId="1440" tableBorderDxfId="1438" totalsRowBorderDxfId="1437">
  <autoFilter ref="F28:F29" xr:uid="{2B917548-59FD-427A-B97E-7878D161D91A}"/>
  <tableColumns count="1">
    <tableColumn id="1" xr3:uid="{C044C032-D812-4370-AF26-FEFBC3B8BB69}" name="Metal-framed pitched roof with horizontal ceiling" dataDxfId="1436"/>
  </tableColumns>
  <tableStyleInfo name="TableStyleLight9"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5486501A-64F1-4CC1-AC4B-5FF250A925D7}" name="TB_Metal_Flat" displayName="TB_Metal_Flat" ref="F31:F34" totalsRowShown="0" headerRowDxfId="1435" dataDxfId="1433" headerRowBorderDxfId="1434" tableBorderDxfId="1432" totalsRowBorderDxfId="1431">
  <autoFilter ref="F31:F34" xr:uid="{5486501A-64F1-4CC1-AC4B-5FF250A925D7}"/>
  <tableColumns count="1">
    <tableColumn id="1" xr3:uid="{9ACFCFA7-A2F6-42FA-8C18-B290B1F05046}" name="Metal-framed flat, skillion or cathedral roof" dataDxfId="1430"/>
  </tableColumns>
  <tableStyleInfo name="TableStyleLight9"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E06E1C47-E502-4653-8FA5-863DB89AFFB8}" name="TB_Concrete" displayName="TB_Concrete" ref="H30:H33" totalsRowShown="0" headerRowDxfId="1429" dataDxfId="1428" tableBorderDxfId="1427">
  <autoFilter ref="H30:H33" xr:uid="{E06E1C47-E502-4653-8FA5-863DB89AFFB8}"/>
  <tableColumns count="1">
    <tableColumn id="1" xr3:uid="{7B432BFD-93E8-42F1-A4B4-079B9E925CF3}" name="Concrete block walls with internal lining fixed to a metal frame - Thermal Bridging Options" dataDxfId="1426"/>
  </tableColumns>
  <tableStyleInfo name="TableStyleLight9"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7BC3238-902F-49F8-9FA0-3453B0735A48}" name="TB_Lightweight" displayName="TB_Lightweight" ref="H35:H37" totalsRowShown="0" headerRowDxfId="1425" dataDxfId="1424" tableBorderDxfId="1423">
  <autoFilter ref="H35:H37" xr:uid="{67BC3238-902F-49F8-9FA0-3453B0735A48}"/>
  <tableColumns count="1">
    <tableColumn id="1" xr3:uid="{076F1261-3365-48CB-BA61-FE3EFAB35769}" name="Lightweight metal-framed walls - Thermal Bridging Options" dataDxfId="1422"/>
  </tableColumns>
  <tableStyleInfo name="TableStyleLight9"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7B6F8A83-A2FA-447F-AB89-29EECEF2C945}" name="TB_MasonryVeener" displayName="TB_MasonryVeener" ref="H40:H42" totalsRowShown="0" headerRowDxfId="1421" dataDxfId="1420" tableBorderDxfId="1419">
  <autoFilter ref="H40:H42" xr:uid="{7B6F8A83-A2FA-447F-AB89-29EECEF2C945}"/>
  <tableColumns count="1">
    <tableColumn id="1" xr3:uid="{E762FE6A-2E34-49E5-8AD8-CCB8A81F2A47}" name="Masonry veneer metal-framed walls - Thermal Bridging Options" dataDxfId="1418"/>
  </tableColumns>
  <tableStyleInfo name="TableStyleLight9"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04000000}" name="Pitched_roof_with_horizontal_ceiling_minimum_R_Value_for_ceiling_insulation_climate_zone_1_single_storey_dwelling83" displayName="Pitched_roof_with_horizontal_ceiling_minimum_R_Value_for_ceiling_insulation_climate_zone_1_single_storey_dwelling83" ref="F13:M25" totalsRowShown="0" headerRowDxfId="1417" dataDxfId="1416">
  <autoFilter ref="F13:M25" xr:uid="{00000000-0009-0000-0100-00005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400-000001000000}" name="Roof ventilation" dataDxfId="1415"/>
    <tableColumn id="2" xr3:uid="{00000000-0010-0000-0400-000002000000}" name="Reflective insulation under-roof" dataDxfId="1414"/>
    <tableColumn id="3" xr3:uid="{00000000-0010-0000-0400-000003000000}" name="Under-roof insulation R-Value" dataDxfId="1413"/>
    <tableColumn id="6" xr3:uid="{00000000-0010-0000-0400-000006000000}" name="SA ≤ 0.23" dataDxfId="1412"/>
    <tableColumn id="7" xr3:uid="{00000000-0010-0000-0400-000007000000}" name="0.23 &lt; SA ≤ 0.32" dataDxfId="1411"/>
    <tableColumn id="8" xr3:uid="{00000000-0010-0000-0400-000008000000}" name="0.32 &lt; SA ≤ 0.42" dataDxfId="1410"/>
    <tableColumn id="9" xr3:uid="{00000000-0010-0000-0400-000009000000}" name="0.42 &lt; SA ≤ 0.53" dataDxfId="1409"/>
    <tableColumn id="10" xr3:uid="{00000000-0010-0000-0400-00000A000000}" name="0.53 &lt; SA ≤ 0.64" dataDxfId="1408"/>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3CAD88F4-13EB-46CD-8EED-AB9A951F70D6}" name="Table58" displayName="Table58" ref="B56:D66" totalsRowShown="0" headerRowDxfId="1668" headerRowBorderDxfId="1667" tableBorderDxfId="1666" totalsRowBorderDxfId="1665">
  <autoFilter ref="B56:D66" xr:uid="{3CAD88F4-13EB-46CD-8EED-AB9A951F70D6}">
    <filterColumn colId="0">
      <customFilters>
        <customFilter operator="notEqual" val=" "/>
      </customFilters>
    </filterColumn>
  </autoFilter>
  <tableColumns count="3">
    <tableColumn id="3" xr3:uid="{F2FDB680-2F14-439A-907C-969A4E752106}" name="Filter Blanks" dataDxfId="1664">
      <calculatedColumnFormula>IF(Table58[[#This Row],[Wall Type]]="","","I")</calculatedColumnFormula>
    </tableColumn>
    <tableColumn id="1" xr3:uid="{D14D7C31-0014-4546-8729-F418758F73B1}" name="Wall Type" dataDxfId="1663">
      <calculatedColumnFormula>CONCATENATE(IF('13.2 Building Fabric'!L83="","",'13.2 Building Fabric'!L83),
IF(OR('13.2 Building Fabric'!L83=D_List!$R$10,'13.2 Building Fabric'!L83=D_List!$R$11),IF('13.2 Building Fabric'!N83="",""," ("&amp;'13.2 Building Fabric'!N83)&amp;")",""))</calculatedColumnFormula>
    </tableColumn>
    <tableColumn id="2" xr3:uid="{C1D06283-47BF-4C1F-AB14-9C8027873731}" name="Requirement" dataDxfId="1662">
      <calculatedColumnFormula>IF('13.2 Building Fabric'!U83="","",'13.2 Building Fabric'!U83)&amp;IF('13.2 Building Fabric'!T83="","",", heat flow direction ("&amp;'13.2 Building Fabric'!T83&amp;")")</calculatedColumnFormula>
    </tableColumn>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05000000}" name="Pitched_roof_with_horizontal_ceiling_minimum_R_Value_for_ceiling_insulation_climate_zone_1_two_or_more_storey_dwelling84" displayName="Pitched_roof_with_horizontal_ceiling_minimum_R_Value_for_ceiling_insulation_climate_zone_1_two_or_more_storey_dwelling84" ref="F29:M45" totalsRowShown="0" headerRowDxfId="1407" dataDxfId="1406">
  <autoFilter ref="F29:M45" xr:uid="{00000000-0009-0000-0100-00005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500-000001000000}" name="Roof ventilation" dataDxfId="1405"/>
    <tableColumn id="2" xr3:uid="{00000000-0010-0000-0500-000002000000}" name="Reflective insulation under-roof" dataDxfId="1404"/>
    <tableColumn id="3" xr3:uid="{00000000-0010-0000-0500-000003000000}" name="Under-roof insulation R-Value" dataDxfId="1403"/>
    <tableColumn id="6" xr3:uid="{00000000-0010-0000-0500-000006000000}" name="SA ≤ 0.23" dataDxfId="1402"/>
    <tableColumn id="7" xr3:uid="{00000000-0010-0000-0500-000007000000}" name="0.23 &lt; SA ≤ 0.32" dataDxfId="1401"/>
    <tableColumn id="8" xr3:uid="{00000000-0010-0000-0500-000008000000}" name="0.32 &lt; SA ≤ 0.42" dataDxfId="1400"/>
    <tableColumn id="9" xr3:uid="{00000000-0010-0000-0500-000009000000}" name="0.42 &lt; SA ≤ 0.53" dataDxfId="1399"/>
    <tableColumn id="10" xr3:uid="{00000000-0010-0000-0500-00000A000000}" name="0.53 &lt; SA ≤ 0.64" dataDxfId="1398"/>
  </tableColumns>
  <tableStyleInfo name="TableStyleLight9"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06000000}" name="Pitched_roof_with_horizontal_ceiling_minimum_R_Value_for_ceiling_insulation_climate_zone_2685" displayName="Pitched_roof_with_horizontal_ceiling_minimum_R_Value_for_ceiling_insulation_climate_zone_2685" ref="F49:L56" totalsRowShown="0" headerRowDxfId="1397" dataDxfId="1396">
  <autoFilter ref="F49:L56" xr:uid="{00000000-0009-0000-0100-000054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0600-000001000000}" name="Roof ventilation" dataDxfId="1395"/>
    <tableColumn id="2" xr3:uid="{00000000-0010-0000-0600-000002000000}" name="Reflective insulation under-roof" dataDxfId="1394"/>
    <tableColumn id="3" xr3:uid="{00000000-0010-0000-0600-000003000000}" name="Under-roof insulation R-Value" dataDxfId="1393"/>
    <tableColumn id="6" xr3:uid="{00000000-0010-0000-0600-000006000000}" name="SA ≤ 0.23" dataDxfId="1392"/>
    <tableColumn id="7" xr3:uid="{00000000-0010-0000-0600-000007000000}" name="0.23 &lt; SA ≤ 0.32" dataDxfId="1391"/>
    <tableColumn id="8" xr3:uid="{00000000-0010-0000-0600-000008000000}" name="0.32 &lt; SA ≤ 0.42" dataDxfId="1390"/>
    <tableColumn id="9" xr3:uid="{00000000-0010-0000-0600-000009000000}" name="0.42 &lt; SA ≤  0.64" dataDxfId="1389"/>
  </tableColumns>
  <tableStyleInfo name="TableStyleLight9"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07000000}" name="Pitched_roof_with_horizontal_ceiling_minimum_R_Value_for_ceiling_insulation_climate_zone_3886" displayName="Pitched_roof_with_horizontal_ceiling_minimum_R_Value_for_ceiling_insulation_climate_zone_3886" ref="F60:M80" totalsRowShown="0" headerRowDxfId="1388" dataDxfId="1387">
  <autoFilter ref="F60:M80" xr:uid="{00000000-0009-0000-0100-00005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700-000001000000}" name="Roof ventilation" dataDxfId="1386"/>
    <tableColumn id="2" xr3:uid="{00000000-0010-0000-0700-000002000000}" name="Reflective insulation under-roof" dataDxfId="1385"/>
    <tableColumn id="3" xr3:uid="{00000000-0010-0000-0700-000003000000}" name="Under-roof insulation R-Value" dataDxfId="1384"/>
    <tableColumn id="6" xr3:uid="{00000000-0010-0000-0700-000006000000}" name="SA ≤ 0.23" dataDxfId="1383"/>
    <tableColumn id="7" xr3:uid="{00000000-0010-0000-0700-000007000000}" name="0.23 &lt; SA ≤ 0.32" dataDxfId="1382"/>
    <tableColumn id="8" xr3:uid="{00000000-0010-0000-0700-000008000000}" name="0.32 &lt; SA ≤ 0.42" dataDxfId="1381"/>
    <tableColumn id="9" xr3:uid="{00000000-0010-0000-0700-000009000000}" name="0.42 &lt; SA ≤ 0.53" dataDxfId="1380"/>
    <tableColumn id="10" xr3:uid="{00000000-0010-0000-0700-00000A000000}" name="0.53 &lt; SA ≤ 0 .64" dataDxfId="1379"/>
  </tableColumns>
  <tableStyleInfo name="TableStyleLight9"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08000000}" name="Pitched_roof_with_horizontal_ceiling_minimum_R_Value_for_ceiling_insulation_climate_zone_41087" displayName="Pitched_roof_with_horizontal_ceiling_minimum_R_Value_for_ceiling_insulation_climate_zone_41087" ref="F84:J90" totalsRowShown="0" headerRowDxfId="1378" dataDxfId="1377">
  <autoFilter ref="F84:J90" xr:uid="{00000000-0009-0000-0100-000056000000}">
    <filterColumn colId="0" hiddenButton="1"/>
    <filterColumn colId="1" hiddenButton="1"/>
    <filterColumn colId="2" hiddenButton="1"/>
    <filterColumn colId="3" hiddenButton="1"/>
    <filterColumn colId="4" hiddenButton="1"/>
  </autoFilter>
  <tableColumns count="5">
    <tableColumn id="1" xr3:uid="{00000000-0010-0000-0800-000001000000}" name="Roof ventilation" dataDxfId="1376"/>
    <tableColumn id="2" xr3:uid="{00000000-0010-0000-0800-000002000000}" name="Reflective insulation under-roof" dataDxfId="1375"/>
    <tableColumn id="3" xr3:uid="{00000000-0010-0000-0800-000003000000}" name="Under-roof insulation R-Value" dataDxfId="1374"/>
    <tableColumn id="6" xr3:uid="{00000000-0010-0000-0800-000006000000}" name="SA ≤ 0.23" dataDxfId="1373"/>
    <tableColumn id="7" xr3:uid="{00000000-0010-0000-0800-000007000000}" name="0.23 &lt; SA ≤ 0.64" dataDxfId="1372"/>
  </tableColumns>
  <tableStyleInfo name="TableStyleLight9"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09000000}" name="Pitched_roof_with_horizontal_ceiling_minimum_R_Value_for_ceiling_insulation_climate_zone_588" displayName="Pitched_roof_with_horizontal_ceiling_minimum_R_Value_for_ceiling_insulation_climate_zone_588" ref="F94:J102" totalsRowShown="0" headerRowDxfId="1371" dataDxfId="1370">
  <autoFilter ref="F94:J102" xr:uid="{00000000-0009-0000-0100-000057000000}">
    <filterColumn colId="0" hiddenButton="1"/>
    <filterColumn colId="1" hiddenButton="1"/>
    <filterColumn colId="2" hiddenButton="1"/>
    <filterColumn colId="3" hiddenButton="1"/>
    <filterColumn colId="4" hiddenButton="1"/>
  </autoFilter>
  <tableColumns count="5">
    <tableColumn id="1" xr3:uid="{00000000-0010-0000-0900-000001000000}" name="Roof ventilation" dataDxfId="1369"/>
    <tableColumn id="2" xr3:uid="{00000000-0010-0000-0900-000002000000}" name="Reflective insulation under-roof" dataDxfId="1368"/>
    <tableColumn id="3" xr3:uid="{00000000-0010-0000-0900-000003000000}" name="Under-roof insulation R-Value" dataDxfId="1367"/>
    <tableColumn id="6" xr3:uid="{00000000-0010-0000-0900-000006000000}" name="SA ≤ 0.42" dataDxfId="1366"/>
    <tableColumn id="7" xr3:uid="{00000000-0010-0000-0900-000007000000}" name="0.42 &lt; SA ≤ 0.64" dataDxfId="1365"/>
  </tableColumns>
  <tableStyleInfo name="TableStyleLight9"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0A000000}" name="Pitched_roof_with_horizontal_ceiling_minimum_R_Value_for_ceiling_insulation_climate_zone_689" displayName="Pitched_roof_with_horizontal_ceiling_minimum_R_Value_for_ceiling_insulation_climate_zone_689" ref="F106:J114" totalsRowShown="0" headerRowDxfId="1364" dataDxfId="1363">
  <autoFilter ref="F106:J114" xr:uid="{00000000-0009-0000-0100-000058000000}">
    <filterColumn colId="0" hiddenButton="1"/>
    <filterColumn colId="1" hiddenButton="1"/>
    <filterColumn colId="2" hiddenButton="1"/>
    <filterColumn colId="3" hiddenButton="1"/>
    <filterColumn colId="4" hiddenButton="1"/>
  </autoFilter>
  <tableColumns count="5">
    <tableColumn id="1" xr3:uid="{00000000-0010-0000-0A00-000001000000}" name="Roof ventilation" dataDxfId="1362"/>
    <tableColumn id="2" xr3:uid="{00000000-0010-0000-0A00-000002000000}" name="Reflective insulation under-roof" dataDxfId="1361"/>
    <tableColumn id="3" xr3:uid="{00000000-0010-0000-0A00-000003000000}" name="Under-roof insulation R-Value" dataDxfId="1360"/>
    <tableColumn id="6" xr3:uid="{00000000-0010-0000-0A00-000006000000}" name="0.23 ≤ SA ≤ 0.64" dataDxfId="1359"/>
    <tableColumn id="7" xr3:uid="{00000000-0010-0000-0A00-000007000000}" name="0.64 &lt; SA ≤ 0.96" dataDxfId="1358"/>
  </tableColumns>
  <tableStyleInfo name="TableStyleLight9"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0B000000}" name="Pitched_roof_with_horizontal_ceiling_minimum_R_Value_for_ceiling_insulation_climate_zone_790" displayName="Pitched_roof_with_horizontal_ceiling_minimum_R_Value_for_ceiling_insulation_climate_zone_790" ref="F118:P129" totalsRowShown="0" headerRowDxfId="1357" dataDxfId="1356">
  <autoFilter ref="F118:P129" xr:uid="{00000000-0009-0000-0100-000059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0B00-000001000000}" name="Roof ventilation" dataDxfId="1355"/>
    <tableColumn id="2" xr3:uid="{00000000-0010-0000-0B00-000002000000}" name="Reflective insulation under-roof" dataDxfId="1354"/>
    <tableColumn id="3" xr3:uid="{00000000-0010-0000-0B00-000003000000}" name="Under-roof insulation R-Value" dataDxfId="1353"/>
    <tableColumn id="6" xr3:uid="{00000000-0010-0000-0B00-000006000000}" name="SA ≤ 0.23" dataDxfId="1352"/>
    <tableColumn id="7" xr3:uid="{00000000-0010-0000-0B00-000007000000}" name="0.23 &lt; SA ≤ 0.32" dataDxfId="1351"/>
    <tableColumn id="8" xr3:uid="{00000000-0010-0000-0B00-000008000000}" name="0.32 &lt; SA ≤ 0.42" dataDxfId="1350"/>
    <tableColumn id="9" xr3:uid="{00000000-0010-0000-0B00-000009000000}" name="0.42 &lt; SA ≤ 0.53" dataDxfId="1349"/>
    <tableColumn id="10" xr3:uid="{00000000-0010-0000-0B00-00000A000000}" name="0.53 &lt; SA ≤ 0.64" dataDxfId="1348"/>
    <tableColumn id="11" xr3:uid="{00000000-0010-0000-0B00-00000B000000}" name="0.64 &lt; SA ≤ 0.73" dataDxfId="1347"/>
    <tableColumn id="12" xr3:uid="{00000000-0010-0000-0B00-00000C000000}" name="0.73 &lt; SA ≤ 0.85" dataDxfId="1346"/>
    <tableColumn id="13" xr3:uid="{00000000-0010-0000-0B00-00000D000000}" name="0.85 &lt; SA ≤ 0.96" dataDxfId="1345"/>
  </tableColumns>
  <tableStyleInfo name="TableStyleLight9"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0C000000}" name="Pitched_roof_with_horizontal_ceiling_minimum_R_Value_for_ceiling_insulation_climate_zone_891" displayName="Pitched_roof_with_horizontal_ceiling_minimum_R_Value_for_ceiling_insulation_climate_zone_891" ref="F133:P147" totalsRowShown="0" headerRowDxfId="1344" dataDxfId="1343">
  <autoFilter ref="F133:P147" xr:uid="{00000000-0009-0000-0100-00005A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0C00-000001000000}" name="Roof ventilation" dataDxfId="1342"/>
    <tableColumn id="2" xr3:uid="{00000000-0010-0000-0C00-000002000000}" name="Reflective insulation under-roof" dataDxfId="1341"/>
    <tableColumn id="3" xr3:uid="{00000000-0010-0000-0C00-000003000000}" name="Under-roof insulation R-Value" dataDxfId="1340"/>
    <tableColumn id="6" xr3:uid="{00000000-0010-0000-0C00-000006000000}" name="SA ≤ 0.23" dataDxfId="1339"/>
    <tableColumn id="7" xr3:uid="{00000000-0010-0000-0C00-000007000000}" name="0.23 &lt; SA ≤ 0.32" dataDxfId="1338"/>
    <tableColumn id="8" xr3:uid="{00000000-0010-0000-0C00-000008000000}" name="0.32 &lt; SA ≤ 0.42" dataDxfId="1337"/>
    <tableColumn id="9" xr3:uid="{00000000-0010-0000-0C00-000009000000}" name="0.42 &lt; SA ≤ 0.53" dataDxfId="1336"/>
    <tableColumn id="10" xr3:uid="{00000000-0010-0000-0C00-00000A000000}" name="0.53 &lt; SA ≤ 0.64" dataDxfId="1335"/>
    <tableColumn id="11" xr3:uid="{00000000-0010-0000-0C00-00000B000000}" name="0.64 &lt; SA ≤ 0.73" dataDxfId="1334"/>
    <tableColumn id="12" xr3:uid="{00000000-0010-0000-0C00-00000C000000}" name="0.73 &lt; SA ≤ 0.85" dataDxfId="1333"/>
    <tableColumn id="13" xr3:uid="{00000000-0010-0000-0C00-00000D000000}" name="0.85 &lt; SA ≤ 0.96" dataDxfId="1332"/>
  </tableColumns>
  <tableStyleInfo name="TableStyleLight9"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0D000000}" name="Flat_skillion_or_cathedral_roof_minimum_R_Value_for_ceiling_insulation_climate_zone_1_single_storey_dwelling92" displayName="Flat_skillion_or_cathedral_roof_minimum_R_Value_for_ceiling_insulation_climate_zone_1_single_storey_dwelling92" ref="F151:K153" totalsRowShown="0" headerRowDxfId="1331" dataDxfId="1330">
  <autoFilter ref="F151:K153" xr:uid="{00000000-0009-0000-0100-00005B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D00-000001000000}" name="Reflective insulation under-roof" dataDxfId="1329"/>
    <tableColumn id="2" xr3:uid="{00000000-0010-0000-0D00-000002000000}" name="SA ≤ 0.23" dataDxfId="1328"/>
    <tableColumn id="3" xr3:uid="{00000000-0010-0000-0D00-000003000000}" name="0.23 &lt; SA ≤ 0.32" dataDxfId="1327"/>
    <tableColumn id="4" xr3:uid="{00000000-0010-0000-0D00-000004000000}" name="0.32 &lt; SA ≤ 0.42" dataDxfId="1326"/>
    <tableColumn id="5" xr3:uid="{00000000-0010-0000-0D00-000005000000}" name="0.42 &lt; SA ≤ 0.53" dataDxfId="1325"/>
    <tableColumn id="6" xr3:uid="{00000000-0010-0000-0D00-000006000000}" name="0.53 &lt; SA ≤ 0.64" dataDxfId="1324"/>
  </tableColumns>
  <tableStyleInfo name="TableStyleLight9"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0E000000}" name="Flat_skillion_or_cathedral_roof_minimum_R_Value_for_ceiling_insulation_climate_zone_1_two_or_more_storey_dwelling93" displayName="Flat_skillion_or_cathedral_roof_minimum_R_Value_for_ceiling_insulation_climate_zone_1_two_or_more_storey_dwelling93" ref="F157:K159" totalsRowShown="0" headerRowDxfId="1323" dataDxfId="1322">
  <autoFilter ref="F157:K159" xr:uid="{00000000-0009-0000-0100-00005C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E00-000001000000}" name="Reflective insulation under-roof" dataDxfId="1321"/>
    <tableColumn id="2" xr3:uid="{00000000-0010-0000-0E00-000002000000}" name="SA ≤ 0.23" dataDxfId="1320"/>
    <tableColumn id="3" xr3:uid="{00000000-0010-0000-0E00-000003000000}" name="0.23 &lt; SA ≤ 0.32" dataDxfId="1319"/>
    <tableColumn id="4" xr3:uid="{00000000-0010-0000-0E00-000004000000}" name="0.32 &lt; SA ≤ 0.42" dataDxfId="1318"/>
    <tableColumn id="5" xr3:uid="{00000000-0010-0000-0E00-000005000000}" name="0.42 &lt; SA ≤ 0.53" dataDxfId="1317"/>
    <tableColumn id="6" xr3:uid="{00000000-0010-0000-0E00-000006000000}" name="0.53 &lt; SA ≤ 0.64" dataDxfId="1316"/>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B2A484BA-15A1-4408-B711-47B3F47FCF4D}" name="Table10" displayName="Table10" ref="B73:H153" totalsRowShown="0" headerRowDxfId="1661" dataDxfId="1659" headerRowBorderDxfId="1660" tableBorderDxfId="1658" totalsRowBorderDxfId="1657">
  <autoFilter ref="B73:H153" xr:uid="{B2A484BA-15A1-4408-B711-47B3F47FCF4D}"/>
  <tableColumns count="7">
    <tableColumn id="7" xr3:uid="{418B93FE-E21C-4A57-90F7-7D7EBE671614}" name="Filter Blanks" dataDxfId="1656">
      <calculatedColumnFormula>IF(OR(Table10[[#This Row],[Window/glazed door no.]]&lt;&gt;"",Table10[[#This Row],[Facing sector]]&lt;&gt;"",Table10[[#This Row],[Height
(m)]]&lt;&gt;"",Table10[[#This Row],[Width
(m)]]&lt;&gt;""),"I","")</calculatedColumnFormula>
    </tableColumn>
    <tableColumn id="1" xr3:uid="{E9E1915E-E4B7-46F3-A888-1E31BA40F3ED}" name="Window/glazed door no." dataDxfId="1655">
      <calculatedColumnFormula>IF('13.3 External Glazing'!D20="","",'13.3 External Glazing'!D20)</calculatedColumnFormula>
    </tableColumn>
    <tableColumn id="2" xr3:uid="{7F02FE92-F4D7-4D62-A4DE-B48381EF958B}" name="Facing sector" dataDxfId="1654">
      <calculatedColumnFormula>IF('13.3 External Glazing'!F20="","",'13.3 External Glazing'!F20)</calculatedColumnFormula>
    </tableColumn>
    <tableColumn id="3" xr3:uid="{FFC7A816-1A3D-45A4-90D6-4C5905B0A723}" name="Height_x000a_(m)" dataDxfId="1653">
      <calculatedColumnFormula>IF('13.3 External Glazing'!G20="","",'13.3 External Glazing'!G20)</calculatedColumnFormula>
    </tableColumn>
    <tableColumn id="4" xr3:uid="{1CAC4A03-1EEB-4FB9-88D9-92193468B54C}" name="Width_x000a_(m)" dataDxfId="1652">
      <calculatedColumnFormula>IF('13.3 External Glazing'!H20="","",'13.3 External Glazing'!H20)</calculatedColumnFormula>
    </tableColumn>
    <tableColumn id="5" xr3:uid="{BFE89930-98D5-4058-840E-E7668280D003}" name="Performance" dataDxfId="1651">
      <calculatedColumnFormula>CONCATENATE(IF('13.3 External Glazing'!O20="","","Total system U-Value of "&amp;'13.3 External Glazing'!O20&amp;", "),
IF('13.3 External Glazing'!P20="","","Total system SHGC of "&amp;'13.3 External Glazing'!P20))</calculatedColumnFormula>
    </tableColumn>
    <tableColumn id="6" xr3:uid="{B4CF6CC2-7E30-4388-A946-25FA74FAB684}" name=" Shading (Dimension within 10%) " dataDxfId="1650">
      <calculatedColumnFormula>CONCATENATE(IF('13.3 External Glazing'!Q20="","","P:"&amp;'13.3 External Glazing'!Q20&amp;", "),
IF('13.3 External Glazing'!P20="","","H:"&amp;'13.3 External Glazing'!P20))</calculatedColumnFormula>
    </tableColumn>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0F000000}" name="Flat_skillion_or_cathedral_roof_minimum_R_Value_for_ceiling_insulation_climate_zone_294" displayName="Flat_skillion_or_cathedral_roof_minimum_R_Value_for_ceiling_insulation_climate_zone_294" ref="F163:K165" totalsRowShown="0" headerRowDxfId="1315" dataDxfId="1314">
  <autoFilter ref="F163:K165" xr:uid="{00000000-0009-0000-0100-00005D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F00-000001000000}" name="Reflective insulation under-roof" dataDxfId="1313"/>
    <tableColumn id="2" xr3:uid="{00000000-0010-0000-0F00-000002000000}" name="SA ≤ 0.23" dataDxfId="1312"/>
    <tableColumn id="3" xr3:uid="{00000000-0010-0000-0F00-000003000000}" name="0.23 &lt; SA ≤ 0.32" dataDxfId="1311"/>
    <tableColumn id="4" xr3:uid="{00000000-0010-0000-0F00-000004000000}" name="0.32 &lt; SA ≤ 0.42" dataDxfId="1310"/>
    <tableColumn id="5" xr3:uid="{00000000-0010-0000-0F00-000005000000}" name="0.42 &lt; SA ≤ 0.53" dataDxfId="1309"/>
    <tableColumn id="6" xr3:uid="{00000000-0010-0000-0F00-000006000000}" name="0.53 &lt; SA ≤ 0.64" dataDxfId="1308"/>
  </tableColumns>
  <tableStyleInfo name="TableStyleLight9"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10000000}" name="Flat_skillion_or_cathedral_roof_minimum_R_Value_for_ceiling_insulation_climate_zone_395" displayName="Flat_skillion_or_cathedral_roof_minimum_R_Value_for_ceiling_insulation_climate_zone_395" ref="F169:K171" totalsRowShown="0" headerRowDxfId="1307" dataDxfId="1306">
  <autoFilter ref="F169:K171" xr:uid="{00000000-0009-0000-0100-00005E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1000-000001000000}" name="Reflective insulation under-roof" dataDxfId="1305"/>
    <tableColumn id="2" xr3:uid="{00000000-0010-0000-1000-000002000000}" name="SA ≤ 0.23" dataDxfId="1304"/>
    <tableColumn id="3" xr3:uid="{00000000-0010-0000-1000-000003000000}" name="0.23 &lt; SA ≤ 0.32" dataDxfId="1303"/>
    <tableColumn id="4" xr3:uid="{00000000-0010-0000-1000-000004000000}" name="0.32 &lt; SA ≤ 0.42" dataDxfId="1302"/>
    <tableColumn id="5" xr3:uid="{00000000-0010-0000-1000-000005000000}" name="0.42 &lt; SA ≤ 0.53" dataDxfId="1301"/>
    <tableColumn id="6" xr3:uid="{00000000-0010-0000-1000-000006000000}" name="0.53 &lt; SA ≤ 0.64" dataDxfId="1300"/>
  </tableColumns>
  <tableStyleInfo name="TableStyleLight9"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11000000}" name="Flat_skillion_or_cathedral_roof_minimum_R_Value_for_ceiling_insulation_climate_zone_42096" displayName="Flat_skillion_or_cathedral_roof_minimum_R_Value_for_ceiling_insulation_climate_zone_42096" ref="F175:G177" totalsRowShown="0" headerRowDxfId="1299" dataDxfId="1298">
  <autoFilter ref="F175:G177" xr:uid="{00000000-0009-0000-0100-00005F000000}">
    <filterColumn colId="0" hiddenButton="1"/>
    <filterColumn colId="1" hiddenButton="1"/>
  </autoFilter>
  <tableColumns count="2">
    <tableColumn id="1" xr3:uid="{00000000-0010-0000-1100-000001000000}" name="Reflective insulation under-roof" dataDxfId="1297"/>
    <tableColumn id="2" xr3:uid="{00000000-0010-0000-1100-000002000000}" name="SA ≤ 0.64" dataDxfId="1296"/>
  </tableColumns>
  <tableStyleInfo name="TableStyleLight9"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12000000}" name="Flat_skillion_or_cathedral_roof_minimum_R_Value_for_ceiling_insulation_climate_zone_597" displayName="Flat_skillion_or_cathedral_roof_minimum_R_Value_for_ceiling_insulation_climate_zone_597" ref="F181:G183" totalsRowShown="0" headerRowDxfId="1295" dataDxfId="1294">
  <autoFilter ref="F181:G183" xr:uid="{00000000-0009-0000-0100-000060000000}">
    <filterColumn colId="0" hiddenButton="1"/>
    <filterColumn colId="1" hiddenButton="1"/>
  </autoFilter>
  <tableColumns count="2">
    <tableColumn id="1" xr3:uid="{00000000-0010-0000-1200-000001000000}" name="Reflective insulation under-roof" dataDxfId="1293"/>
    <tableColumn id="2" xr3:uid="{00000000-0010-0000-1200-000002000000}" name="SA ≤ 0.64" dataDxfId="1292"/>
  </tableColumns>
  <tableStyleInfo name="TableStyleLight9"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13000000}" name="Flat_skillion_or_cathedral_roof_minimum_R_Value_for_ceiling_insulation_climate_zone_698" displayName="Flat_skillion_or_cathedral_roof_minimum_R_Value_for_ceiling_insulation_climate_zone_698" ref="F187:I189" totalsRowShown="0" headerRowDxfId="1291" dataDxfId="1290">
  <autoFilter ref="F187:I189" xr:uid="{00000000-0009-0000-0100-000061000000}">
    <filterColumn colId="0" hiddenButton="1"/>
    <filterColumn colId="1" hiddenButton="1"/>
    <filterColumn colId="2" hiddenButton="1"/>
    <filterColumn colId="3" hiddenButton="1"/>
  </autoFilter>
  <tableColumns count="4">
    <tableColumn id="1" xr3:uid="{00000000-0010-0000-1300-000001000000}" name="Reflective insulation under-roof" dataDxfId="1289"/>
    <tableColumn id="2" xr3:uid="{00000000-0010-0000-1300-000002000000}" name="0.23 ≤ SA &lt; 0.64" dataDxfId="1288"/>
    <tableColumn id="3" xr3:uid="{00000000-0010-0000-1300-000003000000}" name="SA = 0.64" dataDxfId="1287"/>
    <tableColumn id="4" xr3:uid="{00000000-0010-0000-1300-000004000000}" name="0.64 &lt; SA ≤ 0.96" dataDxfId="1286"/>
  </tableColumns>
  <tableStyleInfo name="TableStyleLight9"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14000000}" name="Flat_skillion_or_cathedral_roof_minimum_R_Value_for_ceiling_insulation_climate_zone_799" displayName="Flat_skillion_or_cathedral_roof_minimum_R_Value_for_ceiling_insulation_climate_zone_799" ref="F193:N195" totalsRowShown="0" headerRowDxfId="1285" dataDxfId="1284">
  <autoFilter ref="F193:N195" xr:uid="{00000000-0009-0000-0100-00006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1400-000001000000}" name="Reflective insulation under-roof" dataDxfId="1283"/>
    <tableColumn id="2" xr3:uid="{00000000-0010-0000-1400-000002000000}" name="SA ≤ 0.23" dataDxfId="1282"/>
    <tableColumn id="3" xr3:uid="{00000000-0010-0000-1400-000003000000}" name="0.23 &lt; SA ≤ 0.32" dataDxfId="1281"/>
    <tableColumn id="4" xr3:uid="{00000000-0010-0000-1400-000004000000}" name="0.32 &lt; SA ≤ 0.42" dataDxfId="1280"/>
    <tableColumn id="5" xr3:uid="{00000000-0010-0000-1400-000005000000}" name="0.42 &lt; SA ≤ 0.53" dataDxfId="1279"/>
    <tableColumn id="6" xr3:uid="{00000000-0010-0000-1400-000006000000}" name="0.53 &lt; SA ≤ 0.64" dataDxfId="1278"/>
    <tableColumn id="7" xr3:uid="{00000000-0010-0000-1400-000007000000}" name="0.64 &lt; SA ≤ 0.73" dataDxfId="1277"/>
    <tableColumn id="8" xr3:uid="{00000000-0010-0000-1400-000008000000}" name="0.73 &lt; SA ≤ 0.85" dataDxfId="1276"/>
    <tableColumn id="9" xr3:uid="{00000000-0010-0000-1400-000009000000}" name="0.85 &lt; SA ≤ 0.96" dataDxfId="1275"/>
  </tableColumns>
  <tableStyleInfo name="TableStyleLight9"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15000000}" name="Flat_skillion_or_cathedral_roof_minimum_R_Value_for_ceiling_insulation_climate_zone_8100" displayName="Flat_skillion_or_cathedral_roof_minimum_R_Value_for_ceiling_insulation_climate_zone_8100" ref="F199:N201" totalsRowShown="0" headerRowDxfId="1274" dataDxfId="1273">
  <autoFilter ref="F199:N201" xr:uid="{00000000-0009-0000-0100-00006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1500-000001000000}" name="Reflective insulation under-roof" dataDxfId="1272"/>
    <tableColumn id="2" xr3:uid="{00000000-0010-0000-1500-000002000000}" name="SA ≤ 0.23" dataDxfId="1271"/>
    <tableColumn id="3" xr3:uid="{00000000-0010-0000-1500-000003000000}" name="0.23 &lt; SA ≤ 0.32" dataDxfId="1270"/>
    <tableColumn id="4" xr3:uid="{00000000-0010-0000-1500-000004000000}" name="0.32 &lt; SA ≤ 0.42" dataDxfId="1269"/>
    <tableColumn id="5" xr3:uid="{00000000-0010-0000-1500-000005000000}" name="0.42 &lt; SA ≤ 0.53" dataDxfId="1268"/>
    <tableColumn id="6" xr3:uid="{00000000-0010-0000-1500-000006000000}" name="0.53 &lt; SA ≤ 0.64" dataDxfId="1267"/>
    <tableColumn id="7" xr3:uid="{00000000-0010-0000-1500-000007000000}" name="0.64 &lt; SA .0 .73" dataDxfId="1266"/>
    <tableColumn id="8" xr3:uid="{00000000-0010-0000-1500-000008000000}" name="0.73 &lt; SA ≤ 0.85" dataDxfId="1265"/>
    <tableColumn id="9" xr3:uid="{00000000-0010-0000-1500-000009000000}" name="0.85 &lt; SA ≤ 0.96" dataDxfId="1264"/>
  </tableColumns>
  <tableStyleInfo name="TableStyleLight9"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16000000}" name="Metal_framed_pitched_roof_with_horizontal_ceiling_minimum_Total_R_Value_of_ceiling_to_account_for_thermal_bridging101" displayName="Metal_framed_pitched_roof_with_horizontal_ceiling_minimum_Total_R_Value_of_ceiling_to_account_for_thermal_bridging101" ref="F205:G215" totalsRowShown="0" headerRowDxfId="1263" dataDxfId="1262">
  <autoFilter ref="F205:G215" xr:uid="{00000000-0009-0000-0100-000064000000}">
    <filterColumn colId="0" hiddenButton="1"/>
    <filterColumn colId="1" hiddenButton="1"/>
  </autoFilter>
  <tableColumns count="2">
    <tableColumn id="1" xr3:uid="{00000000-0010-0000-1600-000001000000}" name="Minimum ceiling insulation R-Value from Tables 13.2.3a to 13.2.3i as applicable" dataDxfId="1261"/>
    <tableColumn id="2" xr3:uid="{00000000-0010-0000-1600-000002000000}" name="Minimum ceiling Total R-Value" dataDxfId="1260"/>
  </tableColumns>
  <tableStyleInfo name="TableStyleLight9"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17000000}" name="Metal_framed_flat_skillion_or_cathedral_roof_minimum_Total_R_Value_of_ceiling_to_account_for_thermal_bridging102" displayName="Metal_framed_flat_skillion_or_cathedral_roof_minimum_Total_R_Value_of_ceiling_to_account_for_thermal_bridging102" ref="F219:H230" totalsRowShown="0" headerRowDxfId="1259" dataDxfId="1258">
  <autoFilter ref="F219:H230" xr:uid="{00000000-0009-0000-0100-000065000000}">
    <filterColumn colId="0" hiddenButton="1"/>
    <filterColumn colId="1" hiddenButton="1"/>
    <filterColumn colId="2" hiddenButton="1"/>
  </autoFilter>
  <tableColumns count="3">
    <tableColumn id="1" xr3:uid="{00000000-0010-0000-1700-000001000000}" name="Minimum ceiling insulation R-Value from Tables 13.2.3j to 13.2.3r" dataDxfId="1257"/>
    <tableColumn id="2" xr3:uid="{00000000-0010-0000-1700-000002000000}" name="Minimum Total R-Value to account for thermal bridging – heat flow down" dataDxfId="1256"/>
    <tableColumn id="3" xr3:uid="{00000000-0010-0000-1700-000003000000}" name="Minimum Total R-Value to account for thermal bridging – heat flow up" dataDxfId="1255"/>
  </tableColumns>
  <tableStyleInfo name="TableStyleLight9"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18000000}" name="Metal_framed_flat_skillion_or_cathedral_roof_thermal_bridging_mitigation103" displayName="Metal_framed_flat_skillion_or_cathedral_roof_thermal_bridging_mitigation103" ref="F234:H245" totalsRowShown="0" headerRowDxfId="1254" dataDxfId="1253">
  <autoFilter ref="F234:H245" xr:uid="{00000000-0009-0000-0100-000066000000}">
    <filterColumn colId="0" hiddenButton="1"/>
    <filterColumn colId="1" hiddenButton="1"/>
    <filterColumn colId="2" hiddenButton="1"/>
  </autoFilter>
  <tableColumns count="3">
    <tableColumn id="1" xr3:uid="{00000000-0010-0000-1800-000001000000}" name="Minimum ceiling insulation R-Value from Tables 13.2.3j to 13.2.3r" dataDxfId="1252"/>
    <tableColumn id="2" xr3:uid="{00000000-0010-0000-1800-000002000000}" name="Option 1 – increase insulation between roof frame members to specified minimum R-Value" dataDxfId="1251"/>
    <tableColumn id="3" xr3:uid="{00000000-0010-0000-1800-000003000000}" name="Option 2 – add a layer of continuous insulation with specified minimum R- Value above or below the roof frame members" dataDxfId="1250"/>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5E738A1-3FF0-4225-9D1F-A80419FC1647}" name="Table9" displayName="Table9" ref="B181:G191" totalsRowShown="0" headerRowDxfId="1649" dataDxfId="1647" headerRowBorderDxfId="1648" tableBorderDxfId="1646" totalsRowBorderDxfId="1645">
  <autoFilter ref="B181:G191" xr:uid="{F5E738A1-3FF0-4225-9D1F-A80419FC1647}">
    <filterColumn colId="0">
      <customFilters>
        <customFilter operator="notEqual" val=" "/>
      </customFilters>
    </filterColumn>
  </autoFilter>
  <tableColumns count="6">
    <tableColumn id="1" xr3:uid="{94F48B66-A615-410E-B8D1-67D3F5A4E6AD}" name="Filter Blanks" dataDxfId="1644">
      <calculatedColumnFormula>IF(Table9[[#This Row],[Room (habitable)]]&lt;&gt;"","I","")</calculatedColumnFormula>
    </tableColumn>
    <tableColumn id="2" xr3:uid="{4CD6529C-5B1C-45FE-87FE-EE144FC71150}" name="Ceiling #" dataDxfId="1643">
      <calculatedColumnFormula>IF('13.5 Ceiling Fans'!G26="","",'13.5 Ceiling Fans'!G26)</calculatedColumnFormula>
    </tableColumn>
    <tableColumn id="3" xr3:uid="{5BA26491-54E1-46DF-89A6-79590B8E78F4}" name="Room (habitable)" dataDxfId="1642">
      <calculatedColumnFormula>IF('13.5 Ceiling Fans'!I26="","",'13.5 Ceiling Fans'!I26)</calculatedColumnFormula>
    </tableColumn>
    <tableColumn id="4" xr3:uid="{9EC704CD-7C84-4898-A1E5-7604B2C7D326}" name="Size of room (m²)" dataDxfId="1641">
      <calculatedColumnFormula>IF('13.5 Ceiling Fans'!J26="","",'13.5 Ceiling Fans'!J26)</calculatedColumnFormula>
    </tableColumn>
    <tableColumn id="5" xr3:uid="{20BF77A3-783B-4FF3-A58F-700254FF6F6B}" name="Number of fans" dataDxfId="1640">
      <calculatedColumnFormula>IF('13.5 Ceiling Fans'!K26="","",'13.5 Ceiling Fans'!K26)</calculatedColumnFormula>
    </tableColumn>
    <tableColumn id="6" xr3:uid="{A99F8E3D-5074-4C65-9C37-B4D29505BFE7}" name="Diameter of fans (mm)" dataDxfId="1639">
      <calculatedColumnFormula>IF('13.5 Ceiling Fans'!L26="","",'13.5 Ceiling Fans'!L26)</calculatedColumnFormula>
    </tableColumn>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19000000}" name="Direction_of_heat_flow104" displayName="Direction_of_heat_flow104" ref="F249:G258" totalsRowShown="0" headerRowDxfId="1249" dataDxfId="1248">
  <autoFilter ref="F249:G258" xr:uid="{00000000-0009-0000-0100-000067000000}">
    <filterColumn colId="0" hiddenButton="1"/>
    <filterColumn colId="1" hiddenButton="1"/>
  </autoFilter>
  <tableColumns count="2">
    <tableColumn id="1" xr3:uid="{00000000-0010-0000-1900-000001000000}" name="Climate zone" dataDxfId="1247"/>
    <tableColumn id="2" xr3:uid="{00000000-0010-0000-1900-000002000000}" name="Direction of heat flow" dataDxfId="1246"/>
  </tableColumns>
  <tableStyleInfo name="TableStyleLight9"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1A000000}" name="Adjusted_minimum_R_Value_of_ceiling_insulation_required_to_compensate_for_loss_of_ceiling_insulation_area105" displayName="Adjusted_minimum_R_Value_of_ceiling_insulation_required_to_compensate_for_loss_of_ceiling_insulation_area105" ref="F262:P270" headerRowCount="0" totalsRowShown="0" headerRowDxfId="1245" dataDxfId="1243" headerRowBorderDxfId="1244" tableBorderDxfId="1242" totalsRowBorderDxfId="1241">
  <tableColumns count="11">
    <tableColumn id="1" xr3:uid="{00000000-0010-0000-1A00-000001000000}" name="Column1" headerRowDxfId="1240" dataDxfId="1239"/>
    <tableColumn id="4" xr3:uid="{00000000-0010-0000-1A00-000004000000}" name="Column4" headerRowDxfId="1238" dataDxfId="1237"/>
    <tableColumn id="5" xr3:uid="{00000000-0010-0000-1A00-000005000000}" name="Column5" headerRowDxfId="1236" dataDxfId="1235"/>
    <tableColumn id="6" xr3:uid="{00000000-0010-0000-1A00-000006000000}" name="Column6" headerRowDxfId="1234" dataDxfId="1233"/>
    <tableColumn id="7" xr3:uid="{00000000-0010-0000-1A00-000007000000}" name="Column7" headerRowDxfId="1232" dataDxfId="1231"/>
    <tableColumn id="8" xr3:uid="{00000000-0010-0000-1A00-000008000000}" name="Column8" headerRowDxfId="1230" dataDxfId="1229"/>
    <tableColumn id="9" xr3:uid="{00000000-0010-0000-1A00-000009000000}" name="Column9" headerRowDxfId="1228" dataDxfId="1227"/>
    <tableColumn id="10" xr3:uid="{00000000-0010-0000-1A00-00000A000000}" name="Column10" headerRowDxfId="1226" dataDxfId="1225"/>
    <tableColumn id="11" xr3:uid="{00000000-0010-0000-1A00-00000B000000}" name="Column11" headerRowDxfId="1224" dataDxfId="1223"/>
    <tableColumn id="12" xr3:uid="{00000000-0010-0000-1A00-00000C000000}" name="Column12" headerRowDxfId="1222" dataDxfId="1221"/>
    <tableColumn id="13" xr3:uid="{00000000-0010-0000-1A00-00000D000000}" name="Column13" headerRowDxfId="1220" dataDxfId="1219"/>
  </tableColumns>
  <tableStyleInfo name="TableStyleLight9"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1B000000}" name="Total_R_Value_for_roofs_constructed_with_insulated_sandwich_panels106" displayName="Total_R_Value_for_roofs_constructed_with_insulated_sandwich_panels106" ref="F274:N285" totalsRowShown="0" headerRowDxfId="1218" dataDxfId="1217">
  <autoFilter ref="F274:N285" xr:uid="{00000000-0009-0000-0100-000069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1B00-000001000000}" name="Climate zone" dataDxfId="1216"/>
    <tableColumn id="2" xr3:uid="{00000000-0010-0000-1B00-000002000000}" name="SA ≤ 0.23" dataDxfId="1215"/>
    <tableColumn id="3" xr3:uid="{00000000-0010-0000-1B00-000003000000}" name="0.23 &lt; SA ≤ 0.32" dataDxfId="1214"/>
    <tableColumn id="4" xr3:uid="{00000000-0010-0000-1B00-000004000000}" name="0.32 &lt; SA ≤ 0.42" dataDxfId="1213"/>
    <tableColumn id="5" xr3:uid="{00000000-0010-0000-1B00-000005000000}" name="0.42 &lt; SA ≤ 0.53" dataDxfId="1212"/>
    <tableColumn id="6" xr3:uid="{00000000-0010-0000-1B00-000006000000}" name="0.53 &lt; SA ≤ 0.64" dataDxfId="1211"/>
    <tableColumn id="7" xr3:uid="{00000000-0010-0000-1B00-000007000000}" name="0.64 &lt; SA ≤ 0.73" dataDxfId="1210"/>
    <tableColumn id="8" xr3:uid="{00000000-0010-0000-1B00-000008000000}" name="0.73 &lt; SA ≤ 0.85" dataDxfId="1209"/>
    <tableColumn id="9" xr3:uid="{00000000-0010-0000-1B00-000009000000}" name="0.85 &lt; SA ≤ 0.96" dataDxfId="1208"/>
  </tableColumns>
  <tableStyleInfo name="TableStyleLight9"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1C000000}" name="Roof_lights_Total_System_SHGC107" displayName="Roof_lights_Total_System_SHGC107" ref="F290:H293" totalsRowShown="0" headerRowDxfId="1207" dataDxfId="1206">
  <autoFilter ref="F290:H293" xr:uid="{00000000-0009-0000-0100-00006A000000}">
    <filterColumn colId="0" hiddenButton="1"/>
    <filterColumn colId="1" hiddenButton="1"/>
    <filterColumn colId="2" hiddenButton="1"/>
  </autoFilter>
  <tableColumns count="3">
    <tableColumn id="1" xr3:uid="{00000000-0010-0000-1C00-000001000000}" name="Roof light shaft index Note 1" dataDxfId="1205"/>
    <tableColumn id="2" xr3:uid="{00000000-0010-0000-1C00-000002000000}" name="Total area of roof lights up to 3.5% of the floor area of the room or space" dataDxfId="1204"/>
    <tableColumn id="3" xr3:uid="{00000000-0010-0000-1C00-000003000000}" name="Total area of roof lights more than 3.5% and up to 5% of the floor area of the room or space" dataDxfId="1203"/>
  </tableColumns>
  <tableStyleInfo name="TableStyleLight9"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1D000000}" name="Concrete_block_walls_minimum_insulation_R_Value_climate_zone_1108" displayName="Concrete_block_walls_minimum_insulation_R_Value_climate_zone_1108" ref="F299:K345" headerRowCount="0" totalsRowShown="0" headerRowDxfId="1202" dataDxfId="1200" headerRowBorderDxfId="1201" tableBorderDxfId="1199" totalsRowBorderDxfId="1198">
  <tableColumns count="6">
    <tableColumn id="1" xr3:uid="{00000000-0010-0000-1D00-000001000000}" name="Column1" headerRowDxfId="1197" dataDxfId="1196"/>
    <tableColumn id="4" xr3:uid="{00000000-0010-0000-1D00-000004000000}" name="Column4" headerRowDxfId="1195" dataDxfId="1194"/>
    <tableColumn id="7" xr3:uid="{00000000-0010-0000-1D00-000007000000}" name="Column7" headerRowDxfId="1193" dataDxfId="1192"/>
    <tableColumn id="8" xr3:uid="{00000000-0010-0000-1D00-000008000000}" name="Column8" headerRowDxfId="1191" dataDxfId="1190"/>
    <tableColumn id="9" xr3:uid="{00000000-0010-0000-1D00-000009000000}" name="Column9" headerRowDxfId="1189" dataDxfId="1188"/>
    <tableColumn id="10" xr3:uid="{00000000-0010-0000-1D00-00000A000000}" name="Column10" headerRowDxfId="1187" dataDxfId="1186"/>
  </tableColumns>
  <tableStyleInfo name="TableStyleLight9"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1E000000}" name="Lightweight_walls_minimum_insulation_R_Value_Climate_Zone_1109" displayName="Lightweight_walls_minimum_insulation_R_Value_Climate_Zone_1109" ref="F349:K395" headerRowCount="0" totalsRowShown="0" headerRowDxfId="1185" dataDxfId="1184" tableBorderDxfId="1183">
  <tableColumns count="6">
    <tableColumn id="1" xr3:uid="{00000000-0010-0000-1E00-000001000000}" name="Column1" headerRowDxfId="1182" dataDxfId="1181"/>
    <tableColumn id="4" xr3:uid="{00000000-0010-0000-1E00-000004000000}" name="Column4" headerRowDxfId="1180" dataDxfId="1179"/>
    <tableColumn id="7" xr3:uid="{00000000-0010-0000-1E00-000007000000}" name="Column7" headerRowDxfId="1178" dataDxfId="1177"/>
    <tableColumn id="8" xr3:uid="{00000000-0010-0000-1E00-000008000000}" name="Column8" headerRowDxfId="1176" dataDxfId="1175"/>
    <tableColumn id="9" xr3:uid="{00000000-0010-0000-1E00-000009000000}" name="Column9" headerRowDxfId="1174" dataDxfId="1173"/>
    <tableColumn id="10" xr3:uid="{00000000-0010-0000-1E00-00000A000000}" name="Column10" headerRowDxfId="1172" dataDxfId="1171"/>
  </tableColumns>
  <tableStyleInfo name="TableStyleLight9"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1F000000}" name="Masonry_veneer_wall_minimum_insulation_R_Value_climate_zone_2110" displayName="Masonry_veneer_wall_minimum_insulation_R_Value_climate_zone_2110" ref="F399:K424" headerRowCount="0" totalsRowShown="0" headerRowDxfId="1170" dataDxfId="1169" tableBorderDxfId="1168">
  <tableColumns count="6">
    <tableColumn id="1" xr3:uid="{00000000-0010-0000-1F00-000001000000}" name="Column1" headerRowDxfId="1167" dataDxfId="1166"/>
    <tableColumn id="6" xr3:uid="{00000000-0010-0000-1F00-000006000000}" name="Column6" headerRowDxfId="1165" dataDxfId="1164"/>
    <tableColumn id="7" xr3:uid="{00000000-0010-0000-1F00-000007000000}" name="Column7" headerRowDxfId="1163" dataDxfId="1162"/>
    <tableColumn id="8" xr3:uid="{00000000-0010-0000-1F00-000008000000}" name="Column8" headerRowDxfId="1161" dataDxfId="1160"/>
    <tableColumn id="9" xr3:uid="{00000000-0010-0000-1F00-000009000000}" name="Column9" headerRowDxfId="1159" dataDxfId="1158"/>
    <tableColumn id="10" xr3:uid="{00000000-0010-0000-1F00-00000A000000}" name="Column10" headerRowDxfId="1157" dataDxfId="1156"/>
  </tableColumns>
  <tableStyleInfo name="TableStyleLight9"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20000000}" name="Masonry_cavity_wall_minimum_insulation_R_Value_climate_zone_2111" displayName="Masonry_cavity_wall_minimum_insulation_R_Value_climate_zone_2111" ref="F428:K453" headerRowCount="0" totalsRowShown="0" headerRowDxfId="1155" dataDxfId="1154" tableBorderDxfId="1153">
  <tableColumns count="6">
    <tableColumn id="1" xr3:uid="{00000000-0010-0000-2000-000001000000}" name="Column1" headerRowDxfId="1152" dataDxfId="1151"/>
    <tableColumn id="2" xr3:uid="{00000000-0010-0000-2000-000002000000}" name="Column2" headerRowDxfId="1150" dataDxfId="1149"/>
    <tableColumn id="7" xr3:uid="{00000000-0010-0000-2000-000007000000}" name="Column7" headerRowDxfId="1148" dataDxfId="1147"/>
    <tableColumn id="8" xr3:uid="{00000000-0010-0000-2000-000008000000}" name="Column8" headerRowDxfId="1146" dataDxfId="1145"/>
    <tableColumn id="9" xr3:uid="{00000000-0010-0000-2000-000009000000}" name="Column9" headerRowDxfId="1144" dataDxfId="1143"/>
    <tableColumn id="10" xr3:uid="{00000000-0010-0000-2000-00000A000000}" name="Column10" headerRowDxfId="1142" dataDxfId="1141"/>
  </tableColumns>
  <tableStyleInfo name="TableStyleLight9"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21000000}" name="Concrete_block_wall_minimum_insulation_R_Value_climate_zone_3112" displayName="Concrete_block_wall_minimum_insulation_R_Value_climate_zone_3112" ref="F457:H458" totalsRowShown="0" headerRowDxfId="1140" dataDxfId="1139">
  <autoFilter ref="F457:H458" xr:uid="{00000000-0009-0000-0100-00006F000000}">
    <filterColumn colId="0" hiddenButton="1"/>
    <filterColumn colId="1" hiddenButton="1"/>
    <filterColumn colId="2" hiddenButton="1"/>
  </autoFilter>
  <tableColumns count="3">
    <tableColumn id="1" xr3:uid="{00000000-0010-0000-2100-000001000000}" name="SA" dataDxfId="1138"/>
    <tableColumn id="2" xr3:uid="{00000000-0010-0000-2100-000002000000}" name="Overhang (mm)" dataDxfId="1137"/>
    <tableColumn id="3" xr3:uid="{00000000-0010-0000-2100-000003000000}" name="R-Value" dataDxfId="1136"/>
  </tableColumns>
  <tableStyleInfo name="TableStyleLight9"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22000000}" name="Lightweight_wall_minimum_insulation_R_Value_Climate_Zone_3113" displayName="Lightweight_wall_minimum_insulation_R_Value_Climate_Zone_3113" ref="F462:K508" headerRowCount="0" totalsRowShown="0" headerRowDxfId="1135" dataDxfId="1134" tableBorderDxfId="1133">
  <tableColumns count="6">
    <tableColumn id="1" xr3:uid="{00000000-0010-0000-2200-000001000000}" name="Column1" headerRowDxfId="1132" dataDxfId="1131"/>
    <tableColumn id="2" xr3:uid="{00000000-0010-0000-2200-000002000000}" name="Column2" headerRowDxfId="1130" dataDxfId="1129"/>
    <tableColumn id="7" xr3:uid="{00000000-0010-0000-2200-000007000000}" name="Column7" headerRowDxfId="1128" dataDxfId="1127"/>
    <tableColumn id="8" xr3:uid="{00000000-0010-0000-2200-000008000000}" name="Column8" headerRowDxfId="1126" dataDxfId="1125"/>
    <tableColumn id="9" xr3:uid="{00000000-0010-0000-2200-000009000000}" name="Column9" headerRowDxfId="1124" dataDxfId="1123"/>
    <tableColumn id="10" xr3:uid="{00000000-0010-0000-2200-00000A000000}" name="Column10" headerRowDxfId="1122" dataDxfId="1121"/>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0000000}" name="Table18" displayName="Table18" ref="J28:U30" totalsRowShown="0" headerRowDxfId="1610" dataDxfId="1609" tableBorderDxfId="1608">
  <autoFilter ref="J28:U30" xr:uid="{00000000-0009-0000-0100-000012000000}"/>
  <tableColumns count="12">
    <tableColumn id="12" xr3:uid="{00000000-0010-0000-0000-00000C000000}" name="Rows" dataDxfId="1607">
      <calculatedColumnFormula>IF(ISBLANK(A29),"-",IF(A29&lt;=RowsRequiredCeilings,RowsRequiredCeilings,"-"))</calculatedColumnFormula>
    </tableColumn>
    <tableColumn id="1" xr3:uid="{00000000-0010-0000-0000-000001000000}" name="#" dataDxfId="1606"/>
    <tableColumn id="2" xr3:uid="{00000000-0010-0000-0000-000002000000}" name="Roof Type" dataDxfId="1605"/>
    <tableColumn id="3" xr3:uid="{00000000-0010-0000-0000-000003000000}" name="Roof Ventilation" dataDxfId="1604"/>
    <tableColumn id="4" xr3:uid="{00000000-0010-0000-0000-000004000000}" name="Reflective Insulation Under Roof" dataDxfId="1603"/>
    <tableColumn id="5" xr3:uid="{00000000-0010-0000-0000-000005000000}" name="Under Roof Insulation R-Value" dataDxfId="1602"/>
    <tableColumn id="6" xr3:uid="{00000000-0010-0000-0000-000006000000}" name="Solar Absorptance _x000a_(Value between 0 and 1)" dataDxfId="1601"/>
    <tableColumn id="9" xr3:uid="{00000000-0010-0000-0000-000009000000}" name="Direction of Heat Flow" dataDxfId="1600"/>
    <tableColumn id="8" xr3:uid="{00000000-0010-0000-0000-000008000000}" name="Thermal Bridging Calculation" dataDxfId="1599"/>
    <tableColumn id="7" xr3:uid="{00000000-0010-0000-0000-000007000000}" name="Percentage of Ceiling Area Uninsulated" dataDxfId="1598" dataCellStyle="Percent"/>
    <tableColumn id="10" xr3:uid="{00000000-0010-0000-0000-00000A000000}" name="Minimum R-Value Required" dataDxfId="1597"/>
    <tableColumn id="11" xr3:uid="{93D55E23-B8D0-4D7C-A933-E0D76A4DCA6B}" name="Additional Requirements" dataDxfId="1596"/>
  </tableColumns>
  <tableStyleInfo name="TableStyleLight9"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23000000}" name="Masonry_veneer_wall_minimum_insulation_R_Value_climate_zone_4114" displayName="Masonry_veneer_wall_minimum_insulation_R_Value_climate_zone_4114" ref="F512:K534" headerRowCount="0" totalsRowShown="0" headerRowDxfId="1120" dataDxfId="1119">
  <tableColumns count="6">
    <tableColumn id="1" xr3:uid="{00000000-0010-0000-2300-000001000000}" name="Column1" headerRowDxfId="1118" dataDxfId="1117"/>
    <tableColumn id="2" xr3:uid="{00000000-0010-0000-2300-000002000000}" name="Column2" headerRowDxfId="1116" dataDxfId="1115"/>
    <tableColumn id="7" xr3:uid="{00000000-0010-0000-2300-000007000000}" name="Column7" headerRowDxfId="1114" dataDxfId="1113"/>
    <tableColumn id="8" xr3:uid="{00000000-0010-0000-2300-000008000000}" name="Column8" headerRowDxfId="1112" dataDxfId="1111"/>
    <tableColumn id="9" xr3:uid="{00000000-0010-0000-2300-000009000000}" name="Column9" headerRowDxfId="1110" dataDxfId="1109"/>
    <tableColumn id="10" xr3:uid="{00000000-0010-0000-2300-00000A000000}" name="Column10" headerRowDxfId="1108" dataDxfId="1107"/>
  </tableColumns>
  <tableStyleInfo name="TableStyleLight9"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24000000}" name="Masonry_cavity_wall_minimum_insulation_R_Value_climate_zone_4115" displayName="Masonry_cavity_wall_minimum_insulation_R_Value_climate_zone_4115" ref="F538:K563" headerRowCount="0" totalsRowShown="0" headerRowDxfId="1106" dataDxfId="1105">
  <tableColumns count="6">
    <tableColumn id="1" xr3:uid="{00000000-0010-0000-2400-000001000000}" name="Column1" headerRowDxfId="1104" dataDxfId="1103"/>
    <tableColumn id="2" xr3:uid="{00000000-0010-0000-2400-000002000000}" name="Column2" headerRowDxfId="1102" dataDxfId="1101"/>
    <tableColumn id="7" xr3:uid="{00000000-0010-0000-2400-000007000000}" name="Column7" headerRowDxfId="1100" dataDxfId="1099"/>
    <tableColumn id="8" xr3:uid="{00000000-0010-0000-2400-000008000000}" name="Column8" headerRowDxfId="1098" dataDxfId="1097"/>
    <tableColumn id="9" xr3:uid="{00000000-0010-0000-2400-000009000000}" name="Column9" headerRowDxfId="1096" dataDxfId="1095"/>
    <tableColumn id="10" xr3:uid="{00000000-0010-0000-2400-00000A000000}" name="Column10" headerRowDxfId="1094" dataDxfId="1093"/>
  </tableColumns>
  <tableStyleInfo name="TableStyleLight9"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25000000}" name="Masonry_veneer_wall_minimum_insulation_R_Value_climate_zone_5116" displayName="Masonry_veneer_wall_minimum_insulation_R_Value_climate_zone_5116" ref="F567:K589" headerRowCount="0" totalsRowShown="0" headerRowDxfId="1092" dataDxfId="1091">
  <tableColumns count="6">
    <tableColumn id="1" xr3:uid="{00000000-0010-0000-2500-000001000000}" name="Column1" headerRowDxfId="1090" dataDxfId="1089"/>
    <tableColumn id="2" xr3:uid="{00000000-0010-0000-2500-000002000000}" name="Column2" headerRowDxfId="1088" dataDxfId="1087"/>
    <tableColumn id="7" xr3:uid="{00000000-0010-0000-2500-000007000000}" name="Column7" headerRowDxfId="1086" dataDxfId="1085"/>
    <tableColumn id="8" xr3:uid="{00000000-0010-0000-2500-000008000000}" name="Column8" headerRowDxfId="1084" dataDxfId="1083"/>
    <tableColumn id="9" xr3:uid="{00000000-0010-0000-2500-000009000000}" name="Column9" headerRowDxfId="1082" dataDxfId="1081"/>
    <tableColumn id="10" xr3:uid="{00000000-0010-0000-2500-00000A000000}" name="Column10" headerRowDxfId="1080" dataDxfId="1079"/>
  </tableColumns>
  <tableStyleInfo name="TableStyleLight9"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26000000}" name="Masonry_cavity_wall_minimum_insulation_R_Value_climate_zone_5117" displayName="Masonry_cavity_wall_minimum_insulation_R_Value_climate_zone_5117" ref="F593:K615" headerRowCount="0" totalsRowShown="0" headerRowDxfId="1078" dataDxfId="1077">
  <tableColumns count="6">
    <tableColumn id="1" xr3:uid="{00000000-0010-0000-2600-000001000000}" name="Column1" headerRowDxfId="1076" dataDxfId="1075"/>
    <tableColumn id="2" xr3:uid="{00000000-0010-0000-2600-000002000000}" name="Column2" headerRowDxfId="1074" dataDxfId="1073"/>
    <tableColumn id="7" xr3:uid="{00000000-0010-0000-2600-000007000000}" name="Column7" headerRowDxfId="1072" dataDxfId="1071"/>
    <tableColumn id="8" xr3:uid="{00000000-0010-0000-2600-000008000000}" name="Column8" headerRowDxfId="1070" dataDxfId="1069"/>
    <tableColumn id="9" xr3:uid="{00000000-0010-0000-2600-000009000000}" name="Column9" headerRowDxfId="1068" dataDxfId="1067"/>
    <tableColumn id="10" xr3:uid="{00000000-0010-0000-2600-00000A000000}" name="Column10" headerRowDxfId="1066" dataDxfId="1065"/>
  </tableColumns>
  <tableStyleInfo name="TableStyleLight9"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27000000}" name="Masonry_veneer_wall_minimum_insulation_R_Value_climate_zone_6118" displayName="Masonry_veneer_wall_minimum_insulation_R_Value_climate_zone_6118" ref="F619:K640" headerRowCount="0" totalsRowShown="0" headerRowDxfId="1064" dataDxfId="1063">
  <tableColumns count="6">
    <tableColumn id="1" xr3:uid="{00000000-0010-0000-2700-000001000000}" name="Column1" headerRowDxfId="1062" dataDxfId="1061"/>
    <tableColumn id="2" xr3:uid="{00000000-0010-0000-2700-000002000000}" name="Column2" headerRowDxfId="1060" dataDxfId="1059"/>
    <tableColumn id="7" xr3:uid="{00000000-0010-0000-2700-000007000000}" name="Column7" headerRowDxfId="1058" dataDxfId="1057"/>
    <tableColumn id="8" xr3:uid="{00000000-0010-0000-2700-000008000000}" name="Column8" headerRowDxfId="1056" dataDxfId="1055"/>
    <tableColumn id="9" xr3:uid="{00000000-0010-0000-2700-000009000000}" name="Column9" headerRowDxfId="1054" dataDxfId="1053"/>
    <tableColumn id="10" xr3:uid="{00000000-0010-0000-2700-00000A000000}" name="Column10" headerRowDxfId="1052" dataDxfId="1051"/>
  </tableColumns>
  <tableStyleInfo name="TableStyleLight9"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28000000}" name="Masonry_cavity_wall_minimum_insulation_R_Value_climate_zone_6119" displayName="Masonry_cavity_wall_minimum_insulation_R_Value_climate_zone_6119" ref="F644:K669" headerRowCount="0" totalsRowShown="0" headerRowDxfId="1050" dataDxfId="1049">
  <tableColumns count="6">
    <tableColumn id="1" xr3:uid="{00000000-0010-0000-2800-000001000000}" name="Column1" headerRowDxfId="1048" dataDxfId="1047"/>
    <tableColumn id="2" xr3:uid="{00000000-0010-0000-2800-000002000000}" name="Column2" headerRowDxfId="1046" dataDxfId="1045"/>
    <tableColumn id="7" xr3:uid="{00000000-0010-0000-2800-000007000000}" name="Column7" headerRowDxfId="1044" dataDxfId="1043"/>
    <tableColumn id="8" xr3:uid="{00000000-0010-0000-2800-000008000000}" name="Column8" headerRowDxfId="1042" dataDxfId="1041"/>
    <tableColumn id="9" xr3:uid="{00000000-0010-0000-2800-000009000000}" name="Column9" headerRowDxfId="1040" dataDxfId="1039"/>
    <tableColumn id="10" xr3:uid="{00000000-0010-0000-2800-00000A000000}" name="Column10" headerRowDxfId="1038" dataDxfId="1037"/>
  </tableColumns>
  <tableStyleInfo name="TableStyleLight9"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29000000}" name="Masonry_veneer_wall_minimum_insulation_R_Value_climate_zone_7120" displayName="Masonry_veneer_wall_minimum_insulation_R_Value_climate_zone_7120" ref="F673:K698" headerRowCount="0" totalsRowShown="0" headerRowDxfId="1036" dataDxfId="1035">
  <tableColumns count="6">
    <tableColumn id="1" xr3:uid="{00000000-0010-0000-2900-000001000000}" name="Column1" headerRowDxfId="1034" dataDxfId="1033"/>
    <tableColumn id="2" xr3:uid="{00000000-0010-0000-2900-000002000000}" name="Column2" headerRowDxfId="1032" dataDxfId="1031"/>
    <tableColumn id="7" xr3:uid="{00000000-0010-0000-2900-000007000000}" name="Column7" headerRowDxfId="1030" dataDxfId="1029"/>
    <tableColumn id="8" xr3:uid="{00000000-0010-0000-2900-000008000000}" name="Column8" headerRowDxfId="1028" dataDxfId="1027"/>
    <tableColumn id="9" xr3:uid="{00000000-0010-0000-2900-000009000000}" name="Column9" headerRowDxfId="1026" dataDxfId="1025"/>
    <tableColumn id="10" xr3:uid="{00000000-0010-0000-2900-00000A000000}" name="Column10" headerRowDxfId="1024" dataDxfId="1023"/>
  </tableColumns>
  <tableStyleInfo name="TableStyleLight9"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2A000000}" name="Masonry_cavity_wall_minimum_insulation_R_Value_climate_zone_7188" displayName="Masonry_cavity_wall_minimum_insulation_R_Value_climate_zone_7188" ref="F702:K709" headerRowCount="0" totalsRowShown="0" headerRowDxfId="1022" dataDxfId="1021">
  <tableColumns count="6">
    <tableColumn id="1" xr3:uid="{00000000-0010-0000-2A00-000001000000}" name="Column1" headerRowDxfId="1020" dataDxfId="1019"/>
    <tableColumn id="2" xr3:uid="{00000000-0010-0000-2A00-000002000000}" name="Column2" headerRowDxfId="1018" dataDxfId="1017"/>
    <tableColumn id="7" xr3:uid="{00000000-0010-0000-2A00-000007000000}" name="Column7" headerRowDxfId="1016" dataDxfId="1015"/>
    <tableColumn id="8" xr3:uid="{00000000-0010-0000-2A00-000008000000}" name="Column8" headerRowDxfId="1014" dataDxfId="1013"/>
    <tableColumn id="9" xr3:uid="{00000000-0010-0000-2A00-000009000000}" name="Column9" headerRowDxfId="1012" dataDxfId="1011"/>
    <tableColumn id="10" xr3:uid="{00000000-0010-0000-2A00-00000A000000}" name="Column10" headerRowDxfId="1010" dataDxfId="1009"/>
  </tableColumns>
  <tableStyleInfo name="TableStyleLight9"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2B000000}" name="Lightweight_wall_minimum_insulation_R_Value_Climate_Zone_8189" displayName="Lightweight_wall_minimum_insulation_R_Value_Climate_Zone_8189" ref="F713:K738" headerRowCount="0" totalsRowShown="0" headerRowDxfId="1008" dataDxfId="1007">
  <tableColumns count="6">
    <tableColumn id="1" xr3:uid="{00000000-0010-0000-2B00-000001000000}" name="Column1" headerRowDxfId="1006" dataDxfId="1005"/>
    <tableColumn id="2" xr3:uid="{00000000-0010-0000-2B00-000002000000}" name="Column2" headerRowDxfId="1004" dataDxfId="1003"/>
    <tableColumn id="7" xr3:uid="{00000000-0010-0000-2B00-000007000000}" name="Column7" headerRowDxfId="1002" dataDxfId="1001"/>
    <tableColumn id="8" xr3:uid="{00000000-0010-0000-2B00-000008000000}" name="Column8" headerRowDxfId="1000" dataDxfId="999"/>
    <tableColumn id="9" xr3:uid="{00000000-0010-0000-2B00-000009000000}" name="Column9" headerRowDxfId="998" dataDxfId="997"/>
    <tableColumn id="10" xr3:uid="{00000000-0010-0000-2B00-00000A000000}" name="Column10" headerRowDxfId="996" dataDxfId="995"/>
  </tableColumns>
  <tableStyleInfo name="TableStyleLight9"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2C000000}" name="Concrete_block_walls_with_internal_lining_fixed_to_a_metal_frame_minimum_Total_R_Value_to_account_for_thermal_bridging190" displayName="Concrete_block_walls_with_internal_lining_fixed_to_a_metal_frame_minimum_Total_R_Value_to_account_for_thermal_bridging190" ref="F742:G749" totalsRowShown="0" headerRowDxfId="994" dataDxfId="993">
  <autoFilter ref="F742:G749" xr:uid="{00000000-0009-0000-0100-0000BD000000}">
    <filterColumn colId="0" hiddenButton="1"/>
    <filterColumn colId="1" hiddenButton="1"/>
  </autoFilter>
  <tableColumns count="2">
    <tableColumn id="1" xr3:uid="{00000000-0010-0000-2C00-000001000000}" name="Wall insulation R-Value from Tables 13.2.5a and 13.2.5e" dataDxfId="992"/>
    <tableColumn id="2" xr3:uid="{00000000-0010-0000-2C00-000002000000}" name="Minimum Total R-Value to account for thermal bridging" dataDxfId="991"/>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01000000}" name="Table67" displayName="Table67" ref="J64:S68" totalsRowShown="0" headerRowDxfId="1595" dataDxfId="1594" tableBorderDxfId="1593">
  <autoFilter ref="J64:S68" xr:uid="{00000000-0009-0000-0100-000043000000}"/>
  <tableColumns count="10">
    <tableColumn id="11" xr3:uid="{00000000-0010-0000-0100-00000B000000}" name="Rows" dataDxfId="1592">
      <calculatedColumnFormula>IF(ISBLANK(A43),"-",IF(A43&lt;=$K$59,$K$59,"-"))</calculatedColumnFormula>
    </tableColumn>
    <tableColumn id="1" xr3:uid="{00000000-0010-0000-0100-000001000000}" name="#" dataDxfId="1591"/>
    <tableColumn id="2" xr3:uid="{00000000-0010-0000-0100-000002000000}" name="Wall Type" dataDxfId="1590"/>
    <tableColumn id="3" xr3:uid="{00000000-0010-0000-0100-000003000000}" name="Solar Absorptance _x000a_(Value between 0 and 1)" dataDxfId="1589"/>
    <tableColumn id="4" xr3:uid="{00000000-0010-0000-0100-000004000000}" name="Overhang (mm)" dataDxfId="1588"/>
    <tableColumn id="5" xr3:uid="{00000000-0010-0000-0100-000005000000}" name="Wall Height (m)" dataDxfId="1587"/>
    <tableColumn id="7" xr3:uid="{00000000-0010-0000-0100-000007000000}" name="Thermal Bridging Calculation" dataDxfId="1586"/>
    <tableColumn id="8" xr3:uid="{00000000-0010-0000-0100-000008000000}" name="Reflective Airspace" dataDxfId="1585"/>
    <tableColumn id="6" xr3:uid="{00000000-0010-0000-0100-000006000000}" name="Minimum R-Value Required" dataDxfId="1584">
      <calculatedColumnFormula>IFERROR(
IF(Table67[[#This Row],[Wall Type]]="","",
D_Building_Fabric!Q$291),"Review inputs, combination not permitted")</calculatedColumnFormula>
    </tableColumn>
    <tableColumn id="9" xr3:uid="{E22ACCF6-A877-4B39-9AA2-BC9A8D92DADC}" name="Additional Requirements" dataDxfId="1583">
      <calculatedColumnFormula>IF(Table67[[#This Row],[Thermal Bridging Calculation]]=D_List!$H$23,"add " &amp; INDEX(D_Building_Fabric!$L$772:$L$778,
              MATCH(D_Building_Fabric!Q$293,
                   D_Building_Fabric!$J$772:$J$778,0)) &amp; "of continuous layer of insulation","")</calculatedColumnFormula>
    </tableColumn>
  </tableColumns>
  <tableStyleInfo name="TableStyleLight9"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2D000000}" name="Lightweight_metal_framed_walls_minimum_Total_R_Value_to_account_for_thermal_bridging191" displayName="Lightweight_metal_framed_walls_minimum_Total_R_Value_to_account_for_thermal_bridging191" ref="F753:G759" totalsRowShown="0" headerRowDxfId="990" dataDxfId="989">
  <autoFilter ref="F753:G759" xr:uid="{00000000-0009-0000-0100-0000BE000000}">
    <filterColumn colId="0" hiddenButton="1"/>
    <filterColumn colId="1" hiddenButton="1"/>
  </autoFilter>
  <tableColumns count="2">
    <tableColumn id="1" xr3:uid="{00000000-0010-0000-2D00-000001000000}" name="Wall insulation R-Value required in accordance with 13.2.5(2)" dataDxfId="988"/>
    <tableColumn id="3" xr3:uid="{00000000-0010-0000-2D00-000003000000}" name="Minimum Total R-Value to account for thermal bridging" dataDxfId="987"/>
  </tableColumns>
  <tableStyleInfo name="TableStyleLight9"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2E000000}" name="Masonry_veneer_metal_framed_walls_minimum_Total_R_Value_to_account_for_thermal_bridging192" displayName="Masonry_veneer_metal_framed_walls_minimum_Total_R_Value_to_account_for_thermal_bridging192" ref="F763:G768" totalsRowShown="0" headerRowDxfId="986" dataDxfId="985">
  <autoFilter ref="F763:G768" xr:uid="{00000000-0009-0000-0100-0000BF000000}">
    <filterColumn colId="0" hiddenButton="1"/>
    <filterColumn colId="1" hiddenButton="1"/>
  </autoFilter>
  <tableColumns count="2">
    <tableColumn id="1" xr3:uid="{00000000-0010-0000-2E00-000001000000}" name="Wall insulation from Tables 13.2.5c, 13.2.5g, 13.2.5i, 13.2.5k and 13.2.5m" dataDxfId="984"/>
    <tableColumn id="3" xr3:uid="{00000000-0010-0000-2E00-000003000000}" name="Minimum Total R-Value to account for thermal bridging" dataDxfId="983"/>
  </tableColumns>
  <tableStyleInfo name="TableStyleLight9"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2F000000}" name="Concrete_block_walls_with_internal_lining_fixed_to_a_metal_frame_thermal_bridging_mitigation193" displayName="Concrete_block_walls_with_internal_lining_fixed_to_a_metal_frame_thermal_bridging_mitigation193" ref="F772:H775" totalsRowShown="0" headerRowDxfId="982" dataDxfId="981">
  <autoFilter ref="F772:H775" xr:uid="{00000000-0009-0000-0100-0000C0000000}">
    <filterColumn colId="0" hiddenButton="1"/>
    <filterColumn colId="1" hiddenButton="1"/>
    <filterColumn colId="2" hiddenButton="1"/>
  </autoFilter>
  <tableColumns count="3">
    <tableColumn id="1" xr3:uid="{00000000-0010-0000-2F00-000001000000}" name="Wall insulation R-Values from Tables 13.2.5a to 13.2.5e" dataDxfId="980"/>
    <tableColumn id="2" xr3:uid="{00000000-0010-0000-2F00-000002000000}" name="Option 1 – increase insulation between wall framing to specified minimum R-Value" dataDxfId="979"/>
    <tableColumn id="3" xr3:uid="{00000000-0010-0000-2F00-000003000000}" name="Option 2 – add a layer of continuous insulation with specified minimum R- Value on the inside or outside of the wall framing" dataDxfId="978"/>
  </tableColumns>
  <tableStyleInfo name="TableStyleLight9"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30000000}" name="Lightweight_metal_framed_walls_thermal_bridging_mitigation194" displayName="Lightweight_metal_framed_walls_thermal_bridging_mitigation194" ref="F779:G782" totalsRowShown="0" headerRowDxfId="977" dataDxfId="976">
  <autoFilter ref="F779:G782" xr:uid="{00000000-0009-0000-0100-0000C1000000}">
    <filterColumn colId="0" hiddenButton="1"/>
    <filterColumn colId="1" hiddenButton="1"/>
  </autoFilter>
  <tableColumns count="2">
    <tableColumn id="1" xr3:uid="{00000000-0010-0000-3000-000001000000}" name="Wall insulation R-Value from Tables 13.2.5a to 13.2.5o" dataDxfId="975"/>
    <tableColumn id="2" xr3:uid="{00000000-0010-0000-3000-000002000000}" name="Thermal bridging mitigation" dataDxfId="974"/>
  </tableColumns>
  <tableStyleInfo name="TableStyleLight9"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31000000}" name="Masonry_veneer_metal_framed_walls_thermal_bridging_mitigation195" displayName="Masonry_veneer_metal_framed_walls_thermal_bridging_mitigation195" ref="F786:G787" totalsRowShown="0" headerRowDxfId="973" dataDxfId="972">
  <autoFilter ref="F786:G787" xr:uid="{00000000-0009-0000-0100-0000C2000000}">
    <filterColumn colId="0" hiddenButton="1"/>
    <filterColumn colId="1" hiddenButton="1"/>
  </autoFilter>
  <tableColumns count="2">
    <tableColumn id="1" xr3:uid="{00000000-0010-0000-3100-000001000000}" name="Wall insulation R-Value from Tables 13.2.5c, 13.2.5g, 13.2.5i, 13.2.5k and 13.2.5m" dataDxfId="971"/>
    <tableColumn id="2" xr3:uid="{00000000-0010-0000-3100-000002000000}" name="Thermal bridging mitigation options" dataDxfId="970"/>
  </tableColumns>
  <tableStyleInfo name="TableStyleLight9"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32000000}" name="Minimum_R_Value_of_floor_insulation_where_the_floor_is_over_an_unenclosed_space196" displayName="Minimum_R_Value_of_floor_insulation_where_the_floor_is_over_an_unenclosed_space196" ref="F795:H803" totalsRowShown="0" headerRowDxfId="969" dataDxfId="968">
  <autoFilter ref="F795:H803" xr:uid="{00000000-0009-0000-0100-0000C3000000}">
    <filterColumn colId="0" hiddenButton="1"/>
    <filterColumn colId="1" hiddenButton="1"/>
    <filterColumn colId="2" hiddenButton="1"/>
  </autoFilter>
  <tableColumns count="3">
    <tableColumn id="1" xr3:uid="{00000000-0010-0000-3200-000001000000}" name="Climate zone" dataDxfId="967"/>
    <tableColumn id="2" xr3:uid="{00000000-0010-0000-3200-000002000000}" name="R-Value" dataDxfId="966"/>
    <tableColumn id="3" xr3:uid="{00000000-0010-0000-3200-000003000000}" name="if used in conjunction with a reflective airspace" dataDxfId="965">
      <calculatedColumnFormula>Minimum_R_Value_of_floor_insulation_where_the_floor_is_over_an_unenclosed_space196[[#This Row],[R-Value]]</calculatedColumnFormula>
    </tableColumn>
  </tableColumns>
  <tableStyleInfo name="TableStyleLight9"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33000000}" name="Minimum_R_Value_of_subfloor_wall_insulation_where_the_floor_is_over_an_enclosed_subfloor_space_climate_zone_2197" displayName="Minimum_R_Value_of_subfloor_wall_insulation_where_the_floor_is_over_an_enclosed_subfloor_space_climate_zone_2197" ref="F807:H812" totalsRowShown="0" headerRowDxfId="964" dataDxfId="963">
  <autoFilter ref="F807:H812" xr:uid="{00000000-0009-0000-0100-0000C4000000}">
    <filterColumn colId="0" hiddenButton="1"/>
    <filterColumn colId="1" hiddenButton="1"/>
    <filterColumn colId="2" hiddenButton="1"/>
  </autoFilter>
  <tableColumns count="3">
    <tableColumn id="1" xr3:uid="{00000000-0010-0000-3300-000001000000}" name="Subfloor wall height (mm)" dataDxfId="962"/>
    <tableColumn id="3" xr3:uid="{00000000-0010-0000-3300-000003000000}" name="Column1" dataDxfId="961"/>
    <tableColumn id="2" xr3:uid="{00000000-0010-0000-3300-000002000000}" name="Minimum subfloor wall insulation R-Value" dataDxfId="960"/>
  </tableColumns>
  <tableStyleInfo name="TableStyleLight9"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34000000}" name="Minimum_R_Value_of_subfloor_wall_insulation_where_the_floor_is_over_an_enclosed_subfloor_space_climate_zone_3198" displayName="Minimum_R_Value_of_subfloor_wall_insulation_where_the_floor_is_over_an_enclosed_subfloor_space_climate_zone_3198" ref="F816:H821" totalsRowShown="0" headerRowDxfId="959" dataDxfId="958">
  <autoFilter ref="F816:H821" xr:uid="{00000000-0009-0000-0100-0000C5000000}">
    <filterColumn colId="0" hiddenButton="1"/>
    <filterColumn colId="1" hiddenButton="1"/>
    <filterColumn colId="2" hiddenButton="1"/>
  </autoFilter>
  <tableColumns count="3">
    <tableColumn id="1" xr3:uid="{00000000-0010-0000-3400-000001000000}" name="Subfloor wall height (mm)" dataDxfId="957"/>
    <tableColumn id="3" xr3:uid="{00000000-0010-0000-3400-000003000000}" name="Column1" dataDxfId="956"/>
    <tableColumn id="2" xr3:uid="{00000000-0010-0000-3400-000002000000}" name="Minimum subfloor wall insulation R-Value" dataDxfId="955"/>
  </tableColumns>
  <tableStyleInfo name="TableStyleLight9"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35000000}" name="Minimum_R_Value_of_subfloor_wall_insulation_where_the_floor_is_over_an_enclosed_subfloor_space_climate_zone_4199" displayName="Minimum_R_Value_of_subfloor_wall_insulation_where_the_floor_is_over_an_enclosed_subfloor_space_climate_zone_4199" ref="F825:I844" totalsRowShown="0" headerRowDxfId="954" dataDxfId="953">
  <autoFilter ref="F825:I844" xr:uid="{00000000-0009-0000-0100-0000C6000000}">
    <filterColumn colId="0" hiddenButton="1"/>
    <filterColumn colId="1" hiddenButton="1"/>
    <filterColumn colId="2" hiddenButton="1"/>
    <filterColumn colId="3" hiddenButton="1"/>
  </autoFilter>
  <tableColumns count="4">
    <tableColumn id="1" xr3:uid="{00000000-0010-0000-3500-000001000000}" name="Subfloor wall height (mm)" dataDxfId="952"/>
    <tableColumn id="2" xr3:uid="{00000000-0010-0000-3500-000002000000}" name="Reflective insulation facing down over the subfloor space" dataDxfId="951"/>
    <tableColumn id="3" xr3:uid="{00000000-0010-0000-3500-000003000000}" name="Minimum subfloor wall insulation R-Value" dataDxfId="950"/>
    <tableColumn id="4" xr3:uid="{00000000-0010-0000-3500-000004000000}" name="Minimum suspended floor insulation R-Value" dataDxfId="949"/>
  </tableColumns>
  <tableStyleInfo name="TableStyleLight9"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36000000}" name="Minimum_R_Value_of_subfloor_wall_insulation_where_the_floor_is_over_an_enclosed_subfloor_space_climate_zone_5200" displayName="Minimum_R_Value_of_subfloor_wall_insulation_where_the_floor_is_over_an_enclosed_subfloor_space_climate_zone_5200" ref="F848:I860" totalsRowShown="0" headerRowDxfId="948" dataDxfId="947">
  <autoFilter ref="F848:I860" xr:uid="{00000000-0009-0000-0100-0000C7000000}">
    <filterColumn colId="0" hiddenButton="1"/>
    <filterColumn colId="1" hiddenButton="1"/>
    <filterColumn colId="2" hiddenButton="1"/>
    <filterColumn colId="3" hiddenButton="1"/>
  </autoFilter>
  <tableColumns count="4">
    <tableColumn id="1" xr3:uid="{00000000-0010-0000-3600-000001000000}" name="Subfloor wall height (mm)" dataDxfId="946"/>
    <tableColumn id="2" xr3:uid="{00000000-0010-0000-3600-000002000000}" name="Reflective insulation facing down over the subfloor surface" dataDxfId="945"/>
    <tableColumn id="3" xr3:uid="{00000000-0010-0000-3600-000003000000}" name="Minimum subfloor wall insulation R-Value" dataDxfId="944"/>
    <tableColumn id="4" xr3:uid="{00000000-0010-0000-3600-000004000000}" name="Minimum suspended floor insulation R-Value" dataDxfId="943"/>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02000000}" name="Table69" displayName="Table69" ref="J43:R53" totalsRowShown="0" headerRowDxfId="1582" dataDxfId="1581" tableBorderDxfId="1580">
  <autoFilter ref="J43:R53" xr:uid="{00000000-0009-0000-0100-000045000000}">
    <filterColumn colId="0">
      <filters>
        <filter val="2"/>
      </filters>
    </filterColumn>
  </autoFilter>
  <tableColumns count="9">
    <tableColumn id="7" xr3:uid="{00000000-0010-0000-0200-000007000000}" name="Rows" dataDxfId="1579">
      <calculatedColumnFormula>IF(ISBLANK(A29),"-",IF(A29&lt;=$K$45,$K$45,"-"))</calculatedColumnFormula>
    </tableColumn>
    <tableColumn id="1" xr3:uid="{00000000-0010-0000-0200-000001000000}" name="#" dataDxfId="1578"/>
    <tableColumn id="2" xr3:uid="{00000000-0010-0000-0200-000002000000}" name="Room" dataDxfId="1577"/>
    <tableColumn id="3" xr3:uid="{00000000-0010-0000-0200-000003000000}" name="Room Size (m2)" dataDxfId="1576"/>
    <tableColumn id="8" xr3:uid="{00000000-0010-0000-0200-000008000000}" name="Roof Light Size (m²)" dataDxfId="1575"/>
    <tableColumn id="4" xr3:uid="{00000000-0010-0000-0200-000004000000}" name="Total Area of Roof Lights " dataDxfId="1574"/>
    <tableColumn id="5" xr3:uid="{00000000-0010-0000-0200-000005000000}" name="Roof Light Shaft Index" dataDxfId="1573"/>
    <tableColumn id="6" xr3:uid="{00000000-0010-0000-0200-000006000000}" name="Total System SHGC*" dataDxfId="1572">
      <calculatedColumnFormula>IFERROR(INDEX(Roof_lights_Total_System_SHGC107[[Total area of roof lights up to 3.5% of the floor area of the room or space]:[Total area of roof lights more than 3.5% and up to 5% of the floor area of the room or space]],MATCH(Table69[[#This Row],[Roof Light Shaft Index]],Roof_lights_Total_System_SHGC107[Roof light shaft index Note 1],0),MATCH(Table69[[#This Row],[Total Area of Roof Lights ]],D_List!$B$51:$B$52,0)),"")</calculatedColumnFormula>
    </tableColumn>
    <tableColumn id="9" xr3:uid="{00000000-0010-0000-0200-000009000000}" name="Total System U-Value**" dataDxfId="1571">
      <calculatedColumnFormula>IF(Table69[[#This Row],[Roof Light Size (m²)]]&lt;&gt;"","&lt;=3.9","")</calculatedColumnFormula>
    </tableColumn>
  </tableColumns>
  <tableStyleInfo name="TableStyleLight9"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37000000}" name="Minimum_R_Value_of_subfloor_wall_insulation_where_the_floor_is_over_an_enclosed_subfloor_space_climate_zone_6201" displayName="Minimum_R_Value_of_subfloor_wall_insulation_where_the_floor_is_over_an_enclosed_subfloor_space_climate_zone_6201" ref="F864:I876" totalsRowShown="0" headerRowDxfId="942" dataDxfId="941">
  <autoFilter ref="F864:I876" xr:uid="{00000000-0009-0000-0100-0000C8000000}">
    <filterColumn colId="0" hiddenButton="1"/>
    <filterColumn colId="1" hiddenButton="1"/>
    <filterColumn colId="2" hiddenButton="1"/>
    <filterColumn colId="3" hiddenButton="1"/>
  </autoFilter>
  <tableColumns count="4">
    <tableColumn id="1" xr3:uid="{00000000-0010-0000-3700-000001000000}" name="Subfloor wall height (mm)" dataDxfId="940"/>
    <tableColumn id="2" xr3:uid="{00000000-0010-0000-3700-000002000000}" name="Reflective insulation facing down over the subfloor area" dataDxfId="939"/>
    <tableColumn id="3" xr3:uid="{00000000-0010-0000-3700-000003000000}" name="Minimum subfloor wall insulation R-Value" dataDxfId="938"/>
    <tableColumn id="4" xr3:uid="{00000000-0010-0000-3700-000004000000}" name="Minimum suspended floor insulation R-Value" dataDxfId="937"/>
  </tableColumns>
  <tableStyleInfo name="TableStyleLight9"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38000000}" name="Minimum_R_Value_of_subfloor_wall_insulation_where_the_floor_is_over_an_enclosed_subfloor_space_climate_zone_7202" displayName="Minimum_R_Value_of_subfloor_wall_insulation_where_the_floor_is_over_an_enclosed_subfloor_space_climate_zone_7202" ref="F880:I891" totalsRowShown="0" headerRowDxfId="936" dataDxfId="935">
  <autoFilter ref="F880:I891" xr:uid="{00000000-0009-0000-0100-0000C9000000}">
    <filterColumn colId="0" hiddenButton="1"/>
    <filterColumn colId="1" hiddenButton="1"/>
    <filterColumn colId="2" hiddenButton="1"/>
    <filterColumn colId="3" hiddenButton="1"/>
  </autoFilter>
  <tableColumns count="4">
    <tableColumn id="1" xr3:uid="{00000000-0010-0000-3800-000001000000}" name="Subfloor wall height (mm)" dataDxfId="934"/>
    <tableColumn id="2" xr3:uid="{00000000-0010-0000-3800-000002000000}" name="Reflective insulation facing down over the subfloor space" dataDxfId="933"/>
    <tableColumn id="3" xr3:uid="{00000000-0010-0000-3800-000003000000}" name="Minimum subfloor wall insulation R-Value" dataDxfId="932"/>
    <tableColumn id="4" xr3:uid="{00000000-0010-0000-3800-000004000000}" name="Minimum suspended floor insulation R-Value" dataDxfId="931"/>
  </tableColumns>
  <tableStyleInfo name="TableStyleLight9"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39000000}" name="Minimum_R_Value_of_subfloor_wall_insulation_where_the_floor_is_over_an_enclosed_subfloor_space_climate_zone_8203" displayName="Minimum_R_Value_of_subfloor_wall_insulation_where_the_floor_is_over_an_enclosed_subfloor_space_climate_zone_8203" ref="F895:I906" totalsRowShown="0" headerRowDxfId="930" dataDxfId="929">
  <autoFilter ref="F895:I906" xr:uid="{00000000-0009-0000-0100-0000CA000000}">
    <filterColumn colId="0" hiddenButton="1"/>
    <filterColumn colId="1" hiddenButton="1"/>
    <filterColumn colId="2" hiddenButton="1"/>
    <filterColumn colId="3" hiddenButton="1"/>
  </autoFilter>
  <tableColumns count="4">
    <tableColumn id="1" xr3:uid="{00000000-0010-0000-3900-000001000000}" name="Subfloor wall height (mm)" dataDxfId="928"/>
    <tableColumn id="2" xr3:uid="{00000000-0010-0000-3900-000002000000}" name="Reflective insulation facing down over the subfloor space" dataDxfId="927"/>
    <tableColumn id="3" xr3:uid="{00000000-0010-0000-3900-000003000000}" name="Minimum subfloor wall insulation R-Value" dataDxfId="926"/>
    <tableColumn id="4" xr3:uid="{00000000-0010-0000-3900-000004000000}" name="Minimum suspended floor insulation R-Value" dataDxfId="925"/>
  </tableColumns>
  <tableStyleInfo name="TableStyleLight9"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3A000000}" name="Metal_framed_suspended_floor_minimum_Total_R_Value_for_floor_to_account_for_thermal_bridging204" displayName="Metal_framed_suspended_floor_minimum_Total_R_Value_for_floor_to_account_for_thermal_bridging204" ref="F910:H928" totalsRowShown="0" headerRowDxfId="924" dataDxfId="923">
  <autoFilter ref="F910:H928" xr:uid="{00000000-0009-0000-0100-0000CB000000}">
    <filterColumn colId="0" hiddenButton="1"/>
    <filterColumn colId="1" hiddenButton="1"/>
    <filterColumn colId="2" hiddenButton="1"/>
  </autoFilter>
  <tableColumns count="3">
    <tableColumn id="1" xr3:uid="{00000000-0010-0000-3A00-000001000000}" name="Floor insulation from Tables 13.2.6a and 13.2.6d to 13.2.6h as applicable" dataDxfId="922"/>
    <tableColumn id="2" xr3:uid="{00000000-0010-0000-3A00-000002000000}" name="Floor covering" dataDxfId="921"/>
    <tableColumn id="3" xr3:uid="{00000000-0010-0000-3A00-000003000000}" name="Minimum Total R-Value of floor" dataDxfId="920"/>
  </tableColumns>
  <tableStyleInfo name="TableStyleLight9"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3B000000}" name="Metal_framed_suspended_floor_thermal_bridging_mitigation205" displayName="Metal_framed_suspended_floor_thermal_bridging_mitigation205" ref="F932:H938" totalsRowShown="0" headerRowDxfId="919" dataDxfId="918">
  <autoFilter ref="F932:H938" xr:uid="{00000000-0009-0000-0100-0000CC000000}">
    <filterColumn colId="0" hiddenButton="1"/>
    <filterColumn colId="1" hiddenButton="1"/>
    <filterColumn colId="2" hiddenButton="1"/>
  </autoFilter>
  <tableColumns count="3">
    <tableColumn id="1" xr3:uid="{00000000-0010-0000-3B00-000001000000}" name="Floor insulation from Tables 13.2.6a and 13.2.6d to 13.2.6h as applicable" dataDxfId="917"/>
    <tableColumn id="2" xr3:uid="{00000000-0010-0000-3B00-000002000000}" name="Option 1 – increase insulation between floor framing to specified minimum R-Value" dataDxfId="916"/>
    <tableColumn id="3" xr3:uid="{00000000-0010-0000-3B00-000003000000}" name="Option 2– add a layer of continuous insulation product above or below the floor framing with specified R-Value" dataDxfId="915"/>
  </tableColumns>
  <tableStyleInfo name="TableStyleLight9"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3C000000}" name="Floor_direction_of_heat_flow" displayName="Floor_direction_of_heat_flow" ref="F942:G950" totalsRowShown="0" headerRowDxfId="914" dataDxfId="913">
  <autoFilter ref="F942:G950" xr:uid="{00000000-0009-0000-0100-0000CD000000}">
    <filterColumn colId="0" hiddenButton="1"/>
    <filterColumn colId="1" hiddenButton="1"/>
  </autoFilter>
  <tableColumns count="2">
    <tableColumn id="1" xr3:uid="{00000000-0010-0000-3C00-000001000000}" name="Climate zone" dataDxfId="912"/>
    <tableColumn id="2" xr3:uid="{00000000-0010-0000-3C00-000002000000}" name="Direction of heat flow" dataDxfId="911"/>
  </tableColumns>
  <tableStyleInfo name="TableStyleLight9"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3D000000}" name="Table211" displayName="Table211" ref="F954:G962" totalsRowShown="0" headerRowDxfId="910" tableBorderDxfId="909">
  <autoFilter ref="F954:G962" xr:uid="{00000000-0009-0000-0100-0000D3000000}"/>
  <tableColumns count="2">
    <tableColumn id="1" xr3:uid="{00000000-0010-0000-3D00-000001000000}" name="Climate zone" dataDxfId="908"/>
    <tableColumn id="2" xr3:uid="{00000000-0010-0000-3D00-000002000000}" name="Requirement" dataDxfId="907"/>
  </tableColumns>
  <tableStyleInfo name="TableStyleLight9"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55000000}" name="Table4" displayName="Table4" ref="F30:L40" totalsRowShown="0" headerRowDxfId="811" dataDxfId="810" tableBorderDxfId="809">
  <autoFilter ref="F30:L40" xr:uid="{00000000-0009-0000-0100-000004000000}">
    <filterColumn colId="0">
      <filters>
        <filter val="2"/>
      </filters>
    </filterColumn>
  </autoFilter>
  <tableColumns count="7">
    <tableColumn id="1" xr3:uid="{00000000-0010-0000-5500-000001000000}" name="Rows" dataDxfId="808">
      <calculatedColumnFormula>IF(ISBLANK(RowsRequiredRoofLights),"1",IF(ISBLANK(B31),"-",IF(B31&lt;=RowsRequiredRoofLights,RowsRequiredRoofLights,"-")))</calculatedColumnFormula>
    </tableColumn>
    <tableColumn id="2" xr3:uid="{00000000-0010-0000-5500-000002000000}" name="#" dataDxfId="807"/>
    <tableColumn id="3" xr3:uid="{00000000-0010-0000-5500-000003000000}" name="Room _x000a_(Linked to inputs from 13.2.4)" dataDxfId="806">
      <calculatedColumnFormula>IF('13.2 Building Fabric'!$L44="","",'13.2 Building Fabric'!$L44)</calculatedColumnFormula>
    </tableColumn>
    <tableColumn id="4" xr3:uid="{00000000-0010-0000-5500-000004000000}" name="Location of roof light" dataDxfId="805"/>
    <tableColumn id="5" xr3:uid="{00000000-0010-0000-5500-000005000000}" name="Number of Lights" dataDxfId="804"/>
    <tableColumn id="6" xr3:uid="{00000000-0010-0000-5500-000006000000}" name="Sealing Requirement" dataDxfId="803">
      <calculatedColumnFormula>IF(Table4[[#This Row],[Location of roof light]]="","",IF(OR(Table4[[#This Row],[Location of roof light]]="Conditioned Space",
AND(Table4[[#This Row],[Location of roof light]]="Habitable room",AND(Selection_ClimateZone&lt;&gt;1,Selection_ClimateZone&lt;&gt;2,Selection_ClimateZone&lt;&gt;3))),"Yes","No"))</calculatedColumnFormula>
    </tableColumn>
    <tableColumn id="7" xr3:uid="{00000000-0010-0000-5500-000007000000}" name="Meets sealing requirement?" dataDxfId="802"/>
  </tableColumns>
  <tableStyleInfo name="TableStyleLight9"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56000000}" name="Table473" displayName="Table473" ref="F53:K57" totalsRowShown="0" headerRowDxfId="801" dataDxfId="800" tableBorderDxfId="799">
  <autoFilter ref="F53:K57" xr:uid="{00000000-0009-0000-0100-000048000000}"/>
  <tableColumns count="6">
    <tableColumn id="1" xr3:uid="{00000000-0010-0000-5600-000001000000}" name="Rows" dataDxfId="798">
      <calculatedColumnFormula>IF(ISBLANK(RowsRequiredExtWindowsDoors),"1",IF(ISBLANK(B54),"-",IF(B54&lt;=RowsRequiredExtWindowsDoors,RowsRequiredExtWindowsDoors,"-")))</calculatedColumnFormula>
    </tableColumn>
    <tableColumn id="2" xr3:uid="{00000000-0010-0000-5600-000002000000}" name="#" dataDxfId="797"/>
    <tableColumn id="3" xr3:uid="{00000000-0010-0000-5600-000003000000}" name="Location Descirption" dataDxfId="796"/>
    <tableColumn id="4" xr3:uid="{00000000-0010-0000-5600-000004000000}" name="Location of external doors" dataDxfId="795"/>
    <tableColumn id="6" xr3:uid="{00000000-0010-0000-5600-000006000000}" name="Sealing Requirement" dataDxfId="794">
      <calculatedColumnFormula>IF(Table473[[#This Row],[Location of external doors]]="","",IF(OR(Table473[[#This Row],[Location of external doors]]="Conditioned Space",
AND(Table473[[#This Row],[Location of external doors]]="Habitable room",AND(Selection_ClimateZone&lt;&gt;1,Selection_ClimateZone&lt;&gt;2,Selection_ClimateZone&lt;&gt;3))),"Yes","No"))</calculatedColumnFormula>
    </tableColumn>
    <tableColumn id="7" xr3:uid="{00000000-0010-0000-5600-000007000000}" name="Meets sealing requirement?" dataDxfId="793"/>
  </tableColumns>
  <tableStyleInfo name="TableStyleLight9"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57000000}" name="Table4737" displayName="Table4737" ref="F66:L76" totalsRowShown="0" headerRowDxfId="792" dataDxfId="791" tableBorderDxfId="790">
  <autoFilter ref="F66:L76" xr:uid="{00000000-0009-0000-0100-000006000000}">
    <filterColumn colId="0">
      <filters>
        <filter val="5"/>
      </filters>
    </filterColumn>
  </autoFilter>
  <tableColumns count="7">
    <tableColumn id="1" xr3:uid="{00000000-0010-0000-5700-000001000000}" name="Rows" dataDxfId="789">
      <calculatedColumnFormula>IF(ISBLANK(RowsRequiredExhaust),"1",IF(ISBLANK(B67),"-",IF(B67&lt;=RowsRequiredExhaust,RowsRequiredExhaust,"-")))</calculatedColumnFormula>
    </tableColumn>
    <tableColumn id="2" xr3:uid="{00000000-0010-0000-5700-000002000000}" name="#" dataDxfId="788"/>
    <tableColumn id="3" xr3:uid="{00000000-0010-0000-5700-000003000000}" name="Location Descirption" dataDxfId="787"/>
    <tableColumn id="4" xr3:uid="{00000000-0010-0000-5700-000004000000}" name="Location of exhaust fan" dataDxfId="786"/>
    <tableColumn id="5" xr3:uid="{00000000-0010-0000-5700-000005000000}" name="Number of Exhausts" dataDxfId="785"/>
    <tableColumn id="6" xr3:uid="{00000000-0010-0000-5700-000006000000}" name="Sealing Requirement" dataDxfId="784">
      <calculatedColumnFormula>IF(Table4737[[#This Row],[Location of exhaust fan]]="","",IF(OR(Table4737[[#This Row],[Location of exhaust fan]]="Conditioned Space",
AND(Table4737[[#This Row],[Location of exhaust fan]]="Habitable room",AND(Selection_ClimateZone&lt;&gt;1,Selection_ClimateZone&lt;&gt;2,Selection_ClimateZone&lt;&gt;3))),"Yes","No"))</calculatedColumnFormula>
    </tableColumn>
    <tableColumn id="7" xr3:uid="{00000000-0010-0000-5700-000007000000}" name="Meets sealing requirement?" dataDxfId="783"/>
  </tableColumns>
  <tableStyleInfo name="TableStyleLight9" showFirstColumn="0" showLastColumn="0" showRowStripes="1" showColumnStripes="0"/>
</table>
</file>

<file path=xl/theme/theme1.xml><?xml version="1.0" encoding="utf-8"?>
<a:theme xmlns:a="http://schemas.openxmlformats.org/drawingml/2006/main" name="ABCB Office Theme">
  <a:themeElements>
    <a:clrScheme name="Custom 1">
      <a:dk1>
        <a:sysClr val="windowText" lastClr="000000"/>
      </a:dk1>
      <a:lt1>
        <a:sysClr val="window" lastClr="FFFFFF"/>
      </a:lt1>
      <a:dk2>
        <a:srgbClr val="44546A"/>
      </a:dk2>
      <a:lt2>
        <a:srgbClr val="E7E6E6"/>
      </a:lt2>
      <a:accent1>
        <a:srgbClr val="002E5D"/>
      </a:accent1>
      <a:accent2>
        <a:srgbClr val="485CC7"/>
      </a:accent2>
      <a:accent3>
        <a:srgbClr val="004680"/>
      </a:accent3>
      <a:accent4>
        <a:srgbClr val="62B5E5"/>
      </a:accent4>
      <a:accent5>
        <a:srgbClr val="E1523D"/>
      </a:accent5>
      <a:accent6>
        <a:srgbClr val="009B77"/>
      </a:accent6>
      <a:hlink>
        <a:srgbClr val="0563C1"/>
      </a:hlink>
      <a:folHlink>
        <a:srgbClr val="954F72"/>
      </a:folHlink>
    </a:clrScheme>
    <a:fontScheme name="Custom 2">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ABCB Office Theme" id="{7D4B2187-B6C8-4C7B-AFF6-2FCFEF8E10A5}" vid="{0FE16294-DBDF-4E70-8C91-99D0EF4C8835}"/>
    </a:ext>
  </a:extLst>
</a:theme>
</file>

<file path=xl/threadedComments/threadedComment1.xml><?xml version="1.0" encoding="utf-8"?>
<ThreadedComments xmlns="http://schemas.microsoft.com/office/spreadsheetml/2018/threadedcomments" xmlns:x="http://schemas.openxmlformats.org/spreadsheetml/2006/main">
  <threadedComment ref="BS19" dT="2022-04-25T07:59:55.79" personId="{9AD54B70-1413-44DF-8676-E24FCB5BDFBC}" id="{5F06BB21-01B3-4274-AB59-8D5A5784595F}">
    <text>TI: added BM to BP to stop entry of "device" at Q reducing winter heat gain. Sets P/H to zero. Ideally, would have both projection details and device details in a separate column. 
 25/4/22</text>
  </threadedComment>
  <threadedComment ref="CS19" dT="2022-04-25T07:59:01.54" personId="{9AD54B70-1413-44DF-8676-E24FCB5BDFBC}" id="{A1A7DDD9-EC1F-41EC-88BA-8E15B9B9C8B2}">
    <text>TI: fixed error in openability lookup, incomplete if statement, 22/4/22</text>
  </threadedComment>
</ThreadedComments>
</file>

<file path=xl/threadedComments/threadedComment2.xml><?xml version="1.0" encoding="utf-8"?>
<ThreadedComments xmlns="http://schemas.microsoft.com/office/spreadsheetml/2018/threadedcomments" xmlns:x="http://schemas.openxmlformats.org/spreadsheetml/2006/main">
  <threadedComment ref="J246" dT="2023-11-24T02:54:04.74" personId="{72BA078A-4D52-49F1-A3CB-622819FCC074}" id="{0EF264EF-E4AC-4AFA-BB53-BD523537D298}">
    <text>Should this be 'North West'</text>
  </threadedComment>
  <threadedComment ref="J309" dT="2023-11-24T02:50:57.23" personId="{72BA078A-4D52-49F1-A3CB-622819FCC074}" id="{B64D74DB-D17E-4865-9160-0479E6E3E607}">
    <text>Should this be 'North West'</text>
  </threadedComment>
</ThreadedComments>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748" row="8">
    <wetp:webextensionref xmlns:r="http://schemas.openxmlformats.org/officeDocument/2006/relationships" r:id="rId1"/>
  </wetp:taskpane>
</wetp:taskpanes>
</file>

<file path=xl/webextensions/webextension1.xml><?xml version="1.0" encoding="utf-8"?>
<we:webextension xmlns:we="http://schemas.microsoft.com/office/webextensions/webextension/2010/11" id="{2CD2D1E5-0C73-4ECB-9B39-2EE73AC865E0}">
  <we:reference id="wa200003696" version="1.3.0.0" store="en-US" storeType="OMEX"/>
  <we:alternateReferences>
    <we:reference id="wa200003696" version="1.3.0.0" store="" storeType="OMEX"/>
  </we:alternateReferences>
  <we:properties/>
  <we:bindings/>
  <we:snapshot xmlns:r="http://schemas.openxmlformats.org/officeDocument/2006/relationships"/>
  <we:extLst>
    <a:ext xmlns:a="http://schemas.openxmlformats.org/drawingml/2006/main" uri="{D87F86FE-615C-45B5-9D79-34F1136793EB}">
      <we:containsCustomFunctions/>
    </a:ext>
    <a:ext xmlns:a="http://schemas.openxmlformats.org/drawingml/2006/main" uri="{7C84B067-C214-45C3-A712-C9D94CD141B2}">
      <we:customFunctionIdList>
        <we:customFunctionIds>_xldudf_LABS_GENERATIVEAI</we:customFunctionIds>
      </we:customFunctionIdList>
    </a:ext>
  </we:extLst>
</we:webextension>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1.xml"/><Relationship Id="rId7" Type="http://schemas.openxmlformats.org/officeDocument/2006/relationships/ctrlProp" Target="../ctrlProps/ctrlProp3.xml"/><Relationship Id="rId2" Type="http://schemas.openxmlformats.org/officeDocument/2006/relationships/printerSettings" Target="../printerSettings/printerSettings1.bin"/><Relationship Id="rId1" Type="http://schemas.openxmlformats.org/officeDocument/2006/relationships/hyperlink" Target="https://www.abcb.gov.au/resources/climate-zone-map"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8" Type="http://schemas.openxmlformats.org/officeDocument/2006/relationships/table" Target="../tables/table5.xml"/><Relationship Id="rId3" Type="http://schemas.openxmlformats.org/officeDocument/2006/relationships/vmlDrawing" Target="../drawings/vmlDrawing2.vml"/><Relationship Id="rId7" Type="http://schemas.openxmlformats.org/officeDocument/2006/relationships/table" Target="../tables/table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3.xml"/><Relationship Id="rId5" Type="http://schemas.openxmlformats.org/officeDocument/2006/relationships/table" Target="../tables/table2.xml"/><Relationship Id="rId10" Type="http://schemas.openxmlformats.org/officeDocument/2006/relationships/comments" Target="../comments1.xml"/><Relationship Id="rId4" Type="http://schemas.openxmlformats.org/officeDocument/2006/relationships/table" Target="../tables/table1.xml"/><Relationship Id="rId9" Type="http://schemas.openxmlformats.org/officeDocument/2006/relationships/table" Target="../tables/table6.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1.xml.rels><?xml version="1.0" encoding="UTF-8" standalone="yes"?>
<Relationships xmlns="http://schemas.openxmlformats.org/package/2006/relationships"><Relationship Id="rId13" Type="http://schemas.openxmlformats.org/officeDocument/2006/relationships/ctrlProp" Target="../ctrlProps/ctrlProp17.xml"/><Relationship Id="rId18" Type="http://schemas.openxmlformats.org/officeDocument/2006/relationships/ctrlProp" Target="../ctrlProps/ctrlProp22.xml"/><Relationship Id="rId26" Type="http://schemas.openxmlformats.org/officeDocument/2006/relationships/ctrlProp" Target="../ctrlProps/ctrlProp30.xml"/><Relationship Id="rId21" Type="http://schemas.openxmlformats.org/officeDocument/2006/relationships/ctrlProp" Target="../ctrlProps/ctrlProp25.xml"/><Relationship Id="rId34" Type="http://schemas.openxmlformats.org/officeDocument/2006/relationships/table" Target="../tables/table97.xml"/><Relationship Id="rId7" Type="http://schemas.openxmlformats.org/officeDocument/2006/relationships/ctrlProp" Target="../ctrlProps/ctrlProp11.xml"/><Relationship Id="rId12" Type="http://schemas.openxmlformats.org/officeDocument/2006/relationships/ctrlProp" Target="../ctrlProps/ctrlProp16.xml"/><Relationship Id="rId17" Type="http://schemas.openxmlformats.org/officeDocument/2006/relationships/ctrlProp" Target="../ctrlProps/ctrlProp21.xml"/><Relationship Id="rId25" Type="http://schemas.openxmlformats.org/officeDocument/2006/relationships/ctrlProp" Target="../ctrlProps/ctrlProp29.xml"/><Relationship Id="rId33" Type="http://schemas.openxmlformats.org/officeDocument/2006/relationships/ctrlProp" Target="../ctrlProps/ctrlProp37.xml"/><Relationship Id="rId2" Type="http://schemas.openxmlformats.org/officeDocument/2006/relationships/hyperlink" Target="https://ncc.abcb.gov.au/editions/ncc-2022/adopted/housing-provisions/12-ancillary-provisions/part-124-heating-appliances-fireplaces-chimneys-and-flues" TargetMode="External"/><Relationship Id="rId16" Type="http://schemas.openxmlformats.org/officeDocument/2006/relationships/ctrlProp" Target="../ctrlProps/ctrlProp20.xml"/><Relationship Id="rId20" Type="http://schemas.openxmlformats.org/officeDocument/2006/relationships/ctrlProp" Target="../ctrlProps/ctrlProp24.xml"/><Relationship Id="rId29" Type="http://schemas.openxmlformats.org/officeDocument/2006/relationships/ctrlProp" Target="../ctrlProps/ctrlProp33.xml"/><Relationship Id="rId1" Type="http://schemas.openxmlformats.org/officeDocument/2006/relationships/hyperlink" Target="https://ncc.abcb.gov.au/editions/ncc-2022/adopted/housing-provisions/13-energy-efficiency/part-134-building-sealing" TargetMode="External"/><Relationship Id="rId6" Type="http://schemas.openxmlformats.org/officeDocument/2006/relationships/ctrlProp" Target="../ctrlProps/ctrlProp10.xml"/><Relationship Id="rId11" Type="http://schemas.openxmlformats.org/officeDocument/2006/relationships/ctrlProp" Target="../ctrlProps/ctrlProp15.xml"/><Relationship Id="rId24" Type="http://schemas.openxmlformats.org/officeDocument/2006/relationships/ctrlProp" Target="../ctrlProps/ctrlProp28.xml"/><Relationship Id="rId32" Type="http://schemas.openxmlformats.org/officeDocument/2006/relationships/ctrlProp" Target="../ctrlProps/ctrlProp36.xml"/><Relationship Id="rId37" Type="http://schemas.openxmlformats.org/officeDocument/2006/relationships/comments" Target="../comments4.xml"/><Relationship Id="rId5" Type="http://schemas.openxmlformats.org/officeDocument/2006/relationships/vmlDrawing" Target="../drawings/vmlDrawing5.vml"/><Relationship Id="rId15" Type="http://schemas.openxmlformats.org/officeDocument/2006/relationships/ctrlProp" Target="../ctrlProps/ctrlProp19.xml"/><Relationship Id="rId23" Type="http://schemas.openxmlformats.org/officeDocument/2006/relationships/ctrlProp" Target="../ctrlProps/ctrlProp27.xml"/><Relationship Id="rId28" Type="http://schemas.openxmlformats.org/officeDocument/2006/relationships/ctrlProp" Target="../ctrlProps/ctrlProp32.xml"/><Relationship Id="rId36" Type="http://schemas.openxmlformats.org/officeDocument/2006/relationships/table" Target="../tables/table99.xml"/><Relationship Id="rId10" Type="http://schemas.openxmlformats.org/officeDocument/2006/relationships/ctrlProp" Target="../ctrlProps/ctrlProp14.xml"/><Relationship Id="rId19" Type="http://schemas.openxmlformats.org/officeDocument/2006/relationships/ctrlProp" Target="../ctrlProps/ctrlProp23.xml"/><Relationship Id="rId31" Type="http://schemas.openxmlformats.org/officeDocument/2006/relationships/ctrlProp" Target="../ctrlProps/ctrlProp35.xml"/><Relationship Id="rId4" Type="http://schemas.openxmlformats.org/officeDocument/2006/relationships/drawing" Target="../drawings/drawing10.xml"/><Relationship Id="rId9" Type="http://schemas.openxmlformats.org/officeDocument/2006/relationships/ctrlProp" Target="../ctrlProps/ctrlProp13.xml"/><Relationship Id="rId14" Type="http://schemas.openxmlformats.org/officeDocument/2006/relationships/ctrlProp" Target="../ctrlProps/ctrlProp18.xml"/><Relationship Id="rId22" Type="http://schemas.openxmlformats.org/officeDocument/2006/relationships/ctrlProp" Target="../ctrlProps/ctrlProp26.xml"/><Relationship Id="rId27" Type="http://schemas.openxmlformats.org/officeDocument/2006/relationships/ctrlProp" Target="../ctrlProps/ctrlProp31.xml"/><Relationship Id="rId30" Type="http://schemas.openxmlformats.org/officeDocument/2006/relationships/ctrlProp" Target="../ctrlProps/ctrlProp34.xml"/><Relationship Id="rId35" Type="http://schemas.openxmlformats.org/officeDocument/2006/relationships/table" Target="../tables/table98.xml"/><Relationship Id="rId8" Type="http://schemas.openxmlformats.org/officeDocument/2006/relationships/ctrlProp" Target="../ctrlProps/ctrlProp12.xml"/><Relationship Id="rId3"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0.bin"/><Relationship Id="rId1" Type="http://schemas.openxmlformats.org/officeDocument/2006/relationships/hyperlink" Target="https://ncc.abcb.gov.au/editions/ncc-2022/adopted/housing-provisions/13-energy-efficiency/part-135-ceiling-fans" TargetMode="External"/><Relationship Id="rId4" Type="http://schemas.openxmlformats.org/officeDocument/2006/relationships/table" Target="../tables/table100.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2.bin"/><Relationship Id="rId1" Type="http://schemas.openxmlformats.org/officeDocument/2006/relationships/hyperlink" Target="https://www.abcb.gov.au/resources/climate-zone-map" TargetMode="External"/><Relationship Id="rId5" Type="http://schemas.openxmlformats.org/officeDocument/2006/relationships/comments" Target="../comments5.xml"/><Relationship Id="rId4" Type="http://schemas.openxmlformats.org/officeDocument/2006/relationships/vmlDrawing" Target="../drawings/vmlDrawing6.v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7.xml.rels><?xml version="1.0" encoding="UTF-8" standalone="yes"?>
<Relationships xmlns="http://schemas.openxmlformats.org/package/2006/relationships"><Relationship Id="rId8" Type="http://schemas.openxmlformats.org/officeDocument/2006/relationships/drawing" Target="../drawings/drawing16.xml"/><Relationship Id="rId3" Type="http://schemas.openxmlformats.org/officeDocument/2006/relationships/hyperlink" Target="https://ncc.abcb.gov.au/editions/ncc-2022/adopted/housing-provisions/13-energy-efficiency/part-137-services" TargetMode="External"/><Relationship Id="rId7" Type="http://schemas.openxmlformats.org/officeDocument/2006/relationships/printerSettings" Target="../printerSettings/printerSettings13.bin"/><Relationship Id="rId2" Type="http://schemas.openxmlformats.org/officeDocument/2006/relationships/hyperlink" Target="https://ncc.abcb.gov.au/editions/ncc-2022/adopted/housing-provisions/13-energy-efficiency/part-137-services" TargetMode="External"/><Relationship Id="rId1" Type="http://schemas.openxmlformats.org/officeDocument/2006/relationships/hyperlink" Target="https://ncc.abcb.gov.au/editions/ncc-2022/adopted/housing-provisions/13-energy-efficiency/part-137-services" TargetMode="External"/><Relationship Id="rId6" Type="http://schemas.openxmlformats.org/officeDocument/2006/relationships/hyperlink" Target="https://ncc.abcb.gov.au/editions/ncc-2022/adopted/housing-provisions/13-energy-efficiency/part-137-services" TargetMode="External"/><Relationship Id="rId11" Type="http://schemas.openxmlformats.org/officeDocument/2006/relationships/ctrlProp" Target="../ctrlProps/ctrlProp39.xml"/><Relationship Id="rId5" Type="http://schemas.openxmlformats.org/officeDocument/2006/relationships/hyperlink" Target="https://ncc.abcb.gov.au/editions/ncc-2022/adopted/housing-provisions/13-energy-efficiency/part-137-services" TargetMode="External"/><Relationship Id="rId10" Type="http://schemas.openxmlformats.org/officeDocument/2006/relationships/ctrlProp" Target="../ctrlProps/ctrlProp38.xml"/><Relationship Id="rId4" Type="http://schemas.openxmlformats.org/officeDocument/2006/relationships/hyperlink" Target="https://ncc.abcb.gov.au/editions/ncc-2022/adopted/housing-provisions/13-energy-efficiency/part-137-services" TargetMode="External"/><Relationship Id="rId9" Type="http://schemas.openxmlformats.org/officeDocument/2006/relationships/vmlDrawing" Target="../drawings/vmlDrawing7.v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8.xml"/><Relationship Id="rId1" Type="http://schemas.openxmlformats.org/officeDocument/2006/relationships/printerSettings" Target="../printerSettings/printerSettings15.bin"/><Relationship Id="rId4" Type="http://schemas.openxmlformats.org/officeDocument/2006/relationships/comments" Target="../comments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3.xml.rels><?xml version="1.0" encoding="UTF-8" standalone="yes"?>
<Relationships xmlns="http://schemas.openxmlformats.org/package/2006/relationships"><Relationship Id="rId2" Type="http://schemas.openxmlformats.org/officeDocument/2006/relationships/table" Target="../tables/table101.xml"/><Relationship Id="rId1" Type="http://schemas.openxmlformats.org/officeDocument/2006/relationships/drawing" Target="../drawings/drawing22.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table" Target="../tables/table9.xml"/><Relationship Id="rId3" Type="http://schemas.openxmlformats.org/officeDocument/2006/relationships/printerSettings" Target="../printerSettings/printerSettings3.bin"/><Relationship Id="rId7" Type="http://schemas.openxmlformats.org/officeDocument/2006/relationships/ctrlProp" Target="../ctrlProps/ctrlProp6.xml"/><Relationship Id="rId12" Type="http://schemas.openxmlformats.org/officeDocument/2006/relationships/table" Target="../tables/table8.xml"/><Relationship Id="rId2" Type="http://schemas.openxmlformats.org/officeDocument/2006/relationships/hyperlink" Target="https://ncc.abcb.gov.au/editions/ncc-2022/adopted/housing-provisions/10-health-and-amenity/part-108-condensation-management" TargetMode="External"/><Relationship Id="rId1" Type="http://schemas.openxmlformats.org/officeDocument/2006/relationships/hyperlink" Target="https://ncc.abcb.gov.au/editions/ncc-2022/adopted/housing-provisions/13-energy-efficiency/part-132-building-fabric" TargetMode="External"/><Relationship Id="rId6" Type="http://schemas.openxmlformats.org/officeDocument/2006/relationships/ctrlProp" Target="../ctrlProps/ctrlProp5.xml"/><Relationship Id="rId11" Type="http://schemas.openxmlformats.org/officeDocument/2006/relationships/table" Target="../tables/table7.xml"/><Relationship Id="rId5" Type="http://schemas.openxmlformats.org/officeDocument/2006/relationships/vmlDrawing" Target="../drawings/vmlDrawing3.vml"/><Relationship Id="rId15" Type="http://schemas.openxmlformats.org/officeDocument/2006/relationships/comments" Target="../comments2.xml"/><Relationship Id="rId10" Type="http://schemas.openxmlformats.org/officeDocument/2006/relationships/ctrlProp" Target="../ctrlProps/ctrlProp9.xml"/><Relationship Id="rId4" Type="http://schemas.openxmlformats.org/officeDocument/2006/relationships/drawing" Target="../drawings/drawing4.xml"/><Relationship Id="rId9" Type="http://schemas.openxmlformats.org/officeDocument/2006/relationships/ctrlProp" Target="../ctrlProps/ctrlProp8.xml"/><Relationship Id="rId14" Type="http://schemas.openxmlformats.org/officeDocument/2006/relationships/table" Target="../tables/table10.xml"/></Relationships>
</file>

<file path=xl/worksheets/_rels/sheet5.xml.rels><?xml version="1.0" encoding="UTF-8" standalone="yes"?>
<Relationships xmlns="http://schemas.openxmlformats.org/package/2006/relationships"><Relationship Id="rId8" Type="http://schemas.openxmlformats.org/officeDocument/2006/relationships/table" Target="../tables/table17.xml"/><Relationship Id="rId13" Type="http://schemas.openxmlformats.org/officeDocument/2006/relationships/table" Target="../tables/table22.xml"/><Relationship Id="rId18" Type="http://schemas.openxmlformats.org/officeDocument/2006/relationships/table" Target="../tables/table27.xml"/><Relationship Id="rId26" Type="http://schemas.openxmlformats.org/officeDocument/2006/relationships/table" Target="../tables/table35.xml"/><Relationship Id="rId3" Type="http://schemas.openxmlformats.org/officeDocument/2006/relationships/table" Target="../tables/table12.xml"/><Relationship Id="rId21" Type="http://schemas.openxmlformats.org/officeDocument/2006/relationships/table" Target="../tables/table30.xml"/><Relationship Id="rId7" Type="http://schemas.openxmlformats.org/officeDocument/2006/relationships/table" Target="../tables/table16.xml"/><Relationship Id="rId12" Type="http://schemas.openxmlformats.org/officeDocument/2006/relationships/table" Target="../tables/table21.xml"/><Relationship Id="rId17" Type="http://schemas.openxmlformats.org/officeDocument/2006/relationships/table" Target="../tables/table26.xml"/><Relationship Id="rId25" Type="http://schemas.openxmlformats.org/officeDocument/2006/relationships/table" Target="../tables/table34.xml"/><Relationship Id="rId2" Type="http://schemas.openxmlformats.org/officeDocument/2006/relationships/table" Target="../tables/table11.xml"/><Relationship Id="rId16" Type="http://schemas.openxmlformats.org/officeDocument/2006/relationships/table" Target="../tables/table25.xml"/><Relationship Id="rId20" Type="http://schemas.openxmlformats.org/officeDocument/2006/relationships/table" Target="../tables/table29.xml"/><Relationship Id="rId29" Type="http://schemas.openxmlformats.org/officeDocument/2006/relationships/table" Target="../tables/table38.xml"/><Relationship Id="rId1" Type="http://schemas.openxmlformats.org/officeDocument/2006/relationships/drawing" Target="../drawings/drawing5.xml"/><Relationship Id="rId6" Type="http://schemas.openxmlformats.org/officeDocument/2006/relationships/table" Target="../tables/table15.xml"/><Relationship Id="rId11" Type="http://schemas.openxmlformats.org/officeDocument/2006/relationships/table" Target="../tables/table20.xml"/><Relationship Id="rId24" Type="http://schemas.openxmlformats.org/officeDocument/2006/relationships/table" Target="../tables/table33.xml"/><Relationship Id="rId5" Type="http://schemas.openxmlformats.org/officeDocument/2006/relationships/table" Target="../tables/table14.xml"/><Relationship Id="rId15" Type="http://schemas.openxmlformats.org/officeDocument/2006/relationships/table" Target="../tables/table24.xml"/><Relationship Id="rId23" Type="http://schemas.openxmlformats.org/officeDocument/2006/relationships/table" Target="../tables/table32.xml"/><Relationship Id="rId28" Type="http://schemas.openxmlformats.org/officeDocument/2006/relationships/table" Target="../tables/table37.xml"/><Relationship Id="rId10" Type="http://schemas.openxmlformats.org/officeDocument/2006/relationships/table" Target="../tables/table19.xml"/><Relationship Id="rId19" Type="http://schemas.openxmlformats.org/officeDocument/2006/relationships/table" Target="../tables/table28.xml"/><Relationship Id="rId4" Type="http://schemas.openxmlformats.org/officeDocument/2006/relationships/table" Target="../tables/table13.xml"/><Relationship Id="rId9" Type="http://schemas.openxmlformats.org/officeDocument/2006/relationships/table" Target="../tables/table18.xml"/><Relationship Id="rId14" Type="http://schemas.openxmlformats.org/officeDocument/2006/relationships/table" Target="../tables/table23.xml"/><Relationship Id="rId22" Type="http://schemas.openxmlformats.org/officeDocument/2006/relationships/table" Target="../tables/table31.xml"/><Relationship Id="rId27" Type="http://schemas.openxmlformats.org/officeDocument/2006/relationships/table" Target="../tables/table36.xml"/></Relationships>
</file>

<file path=xl/worksheets/_rels/sheet6.xml.rels><?xml version="1.0" encoding="UTF-8" standalone="yes"?>
<Relationships xmlns="http://schemas.openxmlformats.org/package/2006/relationships"><Relationship Id="rId13" Type="http://schemas.openxmlformats.org/officeDocument/2006/relationships/table" Target="../tables/table50.xml"/><Relationship Id="rId18" Type="http://schemas.openxmlformats.org/officeDocument/2006/relationships/table" Target="../tables/table55.xml"/><Relationship Id="rId26" Type="http://schemas.openxmlformats.org/officeDocument/2006/relationships/table" Target="../tables/table63.xml"/><Relationship Id="rId39" Type="http://schemas.openxmlformats.org/officeDocument/2006/relationships/table" Target="../tables/table76.xml"/><Relationship Id="rId21" Type="http://schemas.openxmlformats.org/officeDocument/2006/relationships/table" Target="../tables/table58.xml"/><Relationship Id="rId34" Type="http://schemas.openxmlformats.org/officeDocument/2006/relationships/table" Target="../tables/table71.xml"/><Relationship Id="rId42" Type="http://schemas.openxmlformats.org/officeDocument/2006/relationships/table" Target="../tables/table79.xml"/><Relationship Id="rId47" Type="http://schemas.openxmlformats.org/officeDocument/2006/relationships/table" Target="../tables/table84.xml"/><Relationship Id="rId50" Type="http://schemas.openxmlformats.org/officeDocument/2006/relationships/table" Target="../tables/table87.xml"/><Relationship Id="rId55" Type="http://schemas.openxmlformats.org/officeDocument/2006/relationships/table" Target="../tables/table92.xml"/><Relationship Id="rId7" Type="http://schemas.openxmlformats.org/officeDocument/2006/relationships/table" Target="../tables/table44.xml"/><Relationship Id="rId2" Type="http://schemas.openxmlformats.org/officeDocument/2006/relationships/table" Target="../tables/table39.xml"/><Relationship Id="rId16" Type="http://schemas.openxmlformats.org/officeDocument/2006/relationships/table" Target="../tables/table53.xml"/><Relationship Id="rId29" Type="http://schemas.openxmlformats.org/officeDocument/2006/relationships/table" Target="../tables/table66.xml"/><Relationship Id="rId11" Type="http://schemas.openxmlformats.org/officeDocument/2006/relationships/table" Target="../tables/table48.xml"/><Relationship Id="rId24" Type="http://schemas.openxmlformats.org/officeDocument/2006/relationships/table" Target="../tables/table61.xml"/><Relationship Id="rId32" Type="http://schemas.openxmlformats.org/officeDocument/2006/relationships/table" Target="../tables/table69.xml"/><Relationship Id="rId37" Type="http://schemas.openxmlformats.org/officeDocument/2006/relationships/table" Target="../tables/table74.xml"/><Relationship Id="rId40" Type="http://schemas.openxmlformats.org/officeDocument/2006/relationships/table" Target="../tables/table77.xml"/><Relationship Id="rId45" Type="http://schemas.openxmlformats.org/officeDocument/2006/relationships/table" Target="../tables/table82.xml"/><Relationship Id="rId53" Type="http://schemas.openxmlformats.org/officeDocument/2006/relationships/table" Target="../tables/table90.xml"/><Relationship Id="rId58" Type="http://schemas.openxmlformats.org/officeDocument/2006/relationships/table" Target="../tables/table95.xml"/><Relationship Id="rId5" Type="http://schemas.openxmlformats.org/officeDocument/2006/relationships/table" Target="../tables/table42.xml"/><Relationship Id="rId19" Type="http://schemas.openxmlformats.org/officeDocument/2006/relationships/table" Target="../tables/table56.xml"/><Relationship Id="rId4" Type="http://schemas.openxmlformats.org/officeDocument/2006/relationships/table" Target="../tables/table41.xml"/><Relationship Id="rId9" Type="http://schemas.openxmlformats.org/officeDocument/2006/relationships/table" Target="../tables/table46.xml"/><Relationship Id="rId14" Type="http://schemas.openxmlformats.org/officeDocument/2006/relationships/table" Target="../tables/table51.xml"/><Relationship Id="rId22" Type="http://schemas.openxmlformats.org/officeDocument/2006/relationships/table" Target="../tables/table59.xml"/><Relationship Id="rId27" Type="http://schemas.openxmlformats.org/officeDocument/2006/relationships/table" Target="../tables/table64.xml"/><Relationship Id="rId30" Type="http://schemas.openxmlformats.org/officeDocument/2006/relationships/table" Target="../tables/table67.xml"/><Relationship Id="rId35" Type="http://schemas.openxmlformats.org/officeDocument/2006/relationships/table" Target="../tables/table72.xml"/><Relationship Id="rId43" Type="http://schemas.openxmlformats.org/officeDocument/2006/relationships/table" Target="../tables/table80.xml"/><Relationship Id="rId48" Type="http://schemas.openxmlformats.org/officeDocument/2006/relationships/table" Target="../tables/table85.xml"/><Relationship Id="rId56" Type="http://schemas.openxmlformats.org/officeDocument/2006/relationships/table" Target="../tables/table93.xml"/><Relationship Id="rId8" Type="http://schemas.openxmlformats.org/officeDocument/2006/relationships/table" Target="../tables/table45.xml"/><Relationship Id="rId51" Type="http://schemas.openxmlformats.org/officeDocument/2006/relationships/table" Target="../tables/table88.xml"/><Relationship Id="rId3" Type="http://schemas.openxmlformats.org/officeDocument/2006/relationships/table" Target="../tables/table40.xml"/><Relationship Id="rId12" Type="http://schemas.openxmlformats.org/officeDocument/2006/relationships/table" Target="../tables/table49.xml"/><Relationship Id="rId17" Type="http://schemas.openxmlformats.org/officeDocument/2006/relationships/table" Target="../tables/table54.xml"/><Relationship Id="rId25" Type="http://schemas.openxmlformats.org/officeDocument/2006/relationships/table" Target="../tables/table62.xml"/><Relationship Id="rId33" Type="http://schemas.openxmlformats.org/officeDocument/2006/relationships/table" Target="../tables/table70.xml"/><Relationship Id="rId38" Type="http://schemas.openxmlformats.org/officeDocument/2006/relationships/table" Target="../tables/table75.xml"/><Relationship Id="rId46" Type="http://schemas.openxmlformats.org/officeDocument/2006/relationships/table" Target="../tables/table83.xml"/><Relationship Id="rId59" Type="http://schemas.openxmlformats.org/officeDocument/2006/relationships/table" Target="../tables/table96.xml"/><Relationship Id="rId20" Type="http://schemas.openxmlformats.org/officeDocument/2006/relationships/table" Target="../tables/table57.xml"/><Relationship Id="rId41" Type="http://schemas.openxmlformats.org/officeDocument/2006/relationships/table" Target="../tables/table78.xml"/><Relationship Id="rId54" Type="http://schemas.openxmlformats.org/officeDocument/2006/relationships/table" Target="../tables/table91.xml"/><Relationship Id="rId1" Type="http://schemas.openxmlformats.org/officeDocument/2006/relationships/drawing" Target="../drawings/drawing6.xml"/><Relationship Id="rId6" Type="http://schemas.openxmlformats.org/officeDocument/2006/relationships/table" Target="../tables/table43.xml"/><Relationship Id="rId15" Type="http://schemas.openxmlformats.org/officeDocument/2006/relationships/table" Target="../tables/table52.xml"/><Relationship Id="rId23" Type="http://schemas.openxmlformats.org/officeDocument/2006/relationships/table" Target="../tables/table60.xml"/><Relationship Id="rId28" Type="http://schemas.openxmlformats.org/officeDocument/2006/relationships/table" Target="../tables/table65.xml"/><Relationship Id="rId36" Type="http://schemas.openxmlformats.org/officeDocument/2006/relationships/table" Target="../tables/table73.xml"/><Relationship Id="rId49" Type="http://schemas.openxmlformats.org/officeDocument/2006/relationships/table" Target="../tables/table86.xml"/><Relationship Id="rId57" Type="http://schemas.openxmlformats.org/officeDocument/2006/relationships/table" Target="../tables/table94.xml"/><Relationship Id="rId10" Type="http://schemas.openxmlformats.org/officeDocument/2006/relationships/table" Target="../tables/table47.xml"/><Relationship Id="rId31" Type="http://schemas.openxmlformats.org/officeDocument/2006/relationships/table" Target="../tables/table68.xml"/><Relationship Id="rId44" Type="http://schemas.openxmlformats.org/officeDocument/2006/relationships/table" Target="../tables/table81.xml"/><Relationship Id="rId52" Type="http://schemas.openxmlformats.org/officeDocument/2006/relationships/table" Target="../tables/table89.xml"/></Relationships>
</file>

<file path=xl/worksheets/_rels/sheet62.xml.rels><?xml version="1.0" encoding="UTF-8" standalone="yes"?>
<Relationships xmlns="http://schemas.openxmlformats.org/package/2006/relationships"><Relationship Id="rId13" Type="http://schemas.openxmlformats.org/officeDocument/2006/relationships/table" Target="../tables/table112.xml"/><Relationship Id="rId18" Type="http://schemas.openxmlformats.org/officeDocument/2006/relationships/table" Target="../tables/table117.xml"/><Relationship Id="rId26" Type="http://schemas.openxmlformats.org/officeDocument/2006/relationships/table" Target="../tables/table125.xml"/><Relationship Id="rId39" Type="http://schemas.openxmlformats.org/officeDocument/2006/relationships/table" Target="../tables/table138.xml"/><Relationship Id="rId21" Type="http://schemas.openxmlformats.org/officeDocument/2006/relationships/table" Target="../tables/table120.xml"/><Relationship Id="rId34" Type="http://schemas.openxmlformats.org/officeDocument/2006/relationships/table" Target="../tables/table133.xml"/><Relationship Id="rId42" Type="http://schemas.openxmlformats.org/officeDocument/2006/relationships/table" Target="../tables/table141.xml"/><Relationship Id="rId47" Type="http://schemas.openxmlformats.org/officeDocument/2006/relationships/table" Target="../tables/table146.xml"/><Relationship Id="rId50" Type="http://schemas.openxmlformats.org/officeDocument/2006/relationships/table" Target="../tables/table149.xml"/><Relationship Id="rId55" Type="http://schemas.openxmlformats.org/officeDocument/2006/relationships/table" Target="../tables/table154.xml"/><Relationship Id="rId7" Type="http://schemas.openxmlformats.org/officeDocument/2006/relationships/table" Target="../tables/table106.xml"/><Relationship Id="rId2" Type="http://schemas.openxmlformats.org/officeDocument/2006/relationships/vmlDrawing" Target="../drawings/vmlDrawing9.vml"/><Relationship Id="rId16" Type="http://schemas.openxmlformats.org/officeDocument/2006/relationships/table" Target="../tables/table115.xml"/><Relationship Id="rId29" Type="http://schemas.openxmlformats.org/officeDocument/2006/relationships/table" Target="../tables/table128.xml"/><Relationship Id="rId11" Type="http://schemas.openxmlformats.org/officeDocument/2006/relationships/table" Target="../tables/table110.xml"/><Relationship Id="rId24" Type="http://schemas.openxmlformats.org/officeDocument/2006/relationships/table" Target="../tables/table123.xml"/><Relationship Id="rId32" Type="http://schemas.openxmlformats.org/officeDocument/2006/relationships/table" Target="../tables/table131.xml"/><Relationship Id="rId37" Type="http://schemas.openxmlformats.org/officeDocument/2006/relationships/table" Target="../tables/table136.xml"/><Relationship Id="rId40" Type="http://schemas.openxmlformats.org/officeDocument/2006/relationships/table" Target="../tables/table139.xml"/><Relationship Id="rId45" Type="http://schemas.openxmlformats.org/officeDocument/2006/relationships/table" Target="../tables/table144.xml"/><Relationship Id="rId53" Type="http://schemas.openxmlformats.org/officeDocument/2006/relationships/table" Target="../tables/table152.xml"/><Relationship Id="rId58" Type="http://schemas.openxmlformats.org/officeDocument/2006/relationships/table" Target="../tables/table157.xml"/><Relationship Id="rId5" Type="http://schemas.openxmlformats.org/officeDocument/2006/relationships/table" Target="../tables/table104.xml"/><Relationship Id="rId61" Type="http://schemas.openxmlformats.org/officeDocument/2006/relationships/comments" Target="../comments7.xml"/><Relationship Id="rId19" Type="http://schemas.openxmlformats.org/officeDocument/2006/relationships/table" Target="../tables/table118.xml"/><Relationship Id="rId14" Type="http://schemas.openxmlformats.org/officeDocument/2006/relationships/table" Target="../tables/table113.xml"/><Relationship Id="rId22" Type="http://schemas.openxmlformats.org/officeDocument/2006/relationships/table" Target="../tables/table121.xml"/><Relationship Id="rId27" Type="http://schemas.openxmlformats.org/officeDocument/2006/relationships/table" Target="../tables/table126.xml"/><Relationship Id="rId30" Type="http://schemas.openxmlformats.org/officeDocument/2006/relationships/table" Target="../tables/table129.xml"/><Relationship Id="rId35" Type="http://schemas.openxmlformats.org/officeDocument/2006/relationships/table" Target="../tables/table134.xml"/><Relationship Id="rId43" Type="http://schemas.openxmlformats.org/officeDocument/2006/relationships/table" Target="../tables/table142.xml"/><Relationship Id="rId48" Type="http://schemas.openxmlformats.org/officeDocument/2006/relationships/table" Target="../tables/table147.xml"/><Relationship Id="rId56" Type="http://schemas.openxmlformats.org/officeDocument/2006/relationships/table" Target="../tables/table155.xml"/><Relationship Id="rId8" Type="http://schemas.openxmlformats.org/officeDocument/2006/relationships/table" Target="../tables/table107.xml"/><Relationship Id="rId51" Type="http://schemas.openxmlformats.org/officeDocument/2006/relationships/table" Target="../tables/table150.xml"/><Relationship Id="rId3" Type="http://schemas.openxmlformats.org/officeDocument/2006/relationships/table" Target="../tables/table102.xml"/><Relationship Id="rId12" Type="http://schemas.openxmlformats.org/officeDocument/2006/relationships/table" Target="../tables/table111.xml"/><Relationship Id="rId17" Type="http://schemas.openxmlformats.org/officeDocument/2006/relationships/table" Target="../tables/table116.xml"/><Relationship Id="rId25" Type="http://schemas.openxmlformats.org/officeDocument/2006/relationships/table" Target="../tables/table124.xml"/><Relationship Id="rId33" Type="http://schemas.openxmlformats.org/officeDocument/2006/relationships/table" Target="../tables/table132.xml"/><Relationship Id="rId38" Type="http://schemas.openxmlformats.org/officeDocument/2006/relationships/table" Target="../tables/table137.xml"/><Relationship Id="rId46" Type="http://schemas.openxmlformats.org/officeDocument/2006/relationships/table" Target="../tables/table145.xml"/><Relationship Id="rId59" Type="http://schemas.openxmlformats.org/officeDocument/2006/relationships/table" Target="../tables/table158.xml"/><Relationship Id="rId20" Type="http://schemas.openxmlformats.org/officeDocument/2006/relationships/table" Target="../tables/table119.xml"/><Relationship Id="rId41" Type="http://schemas.openxmlformats.org/officeDocument/2006/relationships/table" Target="../tables/table140.xml"/><Relationship Id="rId54" Type="http://schemas.openxmlformats.org/officeDocument/2006/relationships/table" Target="../tables/table153.xml"/><Relationship Id="rId62" Type="http://schemas.microsoft.com/office/2017/10/relationships/threadedComment" Target="../threadedComments/threadedComment2.xml"/><Relationship Id="rId1" Type="http://schemas.openxmlformats.org/officeDocument/2006/relationships/drawing" Target="../drawings/drawing23.xml"/><Relationship Id="rId6" Type="http://schemas.openxmlformats.org/officeDocument/2006/relationships/table" Target="../tables/table105.xml"/><Relationship Id="rId15" Type="http://schemas.openxmlformats.org/officeDocument/2006/relationships/table" Target="../tables/table114.xml"/><Relationship Id="rId23" Type="http://schemas.openxmlformats.org/officeDocument/2006/relationships/table" Target="../tables/table122.xml"/><Relationship Id="rId28" Type="http://schemas.openxmlformats.org/officeDocument/2006/relationships/table" Target="../tables/table127.xml"/><Relationship Id="rId36" Type="http://schemas.openxmlformats.org/officeDocument/2006/relationships/table" Target="../tables/table135.xml"/><Relationship Id="rId49" Type="http://schemas.openxmlformats.org/officeDocument/2006/relationships/table" Target="../tables/table148.xml"/><Relationship Id="rId57" Type="http://schemas.openxmlformats.org/officeDocument/2006/relationships/table" Target="../tables/table156.xml"/><Relationship Id="rId10" Type="http://schemas.openxmlformats.org/officeDocument/2006/relationships/table" Target="../tables/table109.xml"/><Relationship Id="rId31" Type="http://schemas.openxmlformats.org/officeDocument/2006/relationships/table" Target="../tables/table130.xml"/><Relationship Id="rId44" Type="http://schemas.openxmlformats.org/officeDocument/2006/relationships/table" Target="../tables/table143.xml"/><Relationship Id="rId52" Type="http://schemas.openxmlformats.org/officeDocument/2006/relationships/table" Target="../tables/table151.xml"/><Relationship Id="rId60" Type="http://schemas.openxmlformats.org/officeDocument/2006/relationships/table" Target="../tables/table159.xml"/><Relationship Id="rId4" Type="http://schemas.openxmlformats.org/officeDocument/2006/relationships/table" Target="../tables/table103.xml"/><Relationship Id="rId9" Type="http://schemas.openxmlformats.org/officeDocument/2006/relationships/table" Target="../tables/table108.xml"/></Relationships>
</file>

<file path=xl/worksheets/_rels/sheet63.xml.rels><?xml version="1.0" encoding="UTF-8" standalone="yes"?>
<Relationships xmlns="http://schemas.openxmlformats.org/package/2006/relationships"><Relationship Id="rId3" Type="http://schemas.openxmlformats.org/officeDocument/2006/relationships/table" Target="../tables/table161.xml"/><Relationship Id="rId2" Type="http://schemas.openxmlformats.org/officeDocument/2006/relationships/table" Target="../tables/table160.xml"/><Relationship Id="rId1" Type="http://schemas.openxmlformats.org/officeDocument/2006/relationships/drawing" Target="../drawings/drawing24.xml"/><Relationship Id="rId5" Type="http://schemas.openxmlformats.org/officeDocument/2006/relationships/table" Target="../tables/table163.xml"/><Relationship Id="rId4" Type="http://schemas.openxmlformats.org/officeDocument/2006/relationships/table" Target="../tables/table162.xml"/></Relationships>
</file>

<file path=xl/worksheets/_rels/sheet64.xml.rels><?xml version="1.0" encoding="UTF-8" standalone="yes"?>
<Relationships xmlns="http://schemas.openxmlformats.org/package/2006/relationships"><Relationship Id="rId3" Type="http://schemas.openxmlformats.org/officeDocument/2006/relationships/table" Target="../tables/table165.xml"/><Relationship Id="rId2" Type="http://schemas.openxmlformats.org/officeDocument/2006/relationships/table" Target="../tables/table164.xml"/><Relationship Id="rId1" Type="http://schemas.openxmlformats.org/officeDocument/2006/relationships/drawing" Target="../drawings/drawing25.xml"/><Relationship Id="rId5" Type="http://schemas.openxmlformats.org/officeDocument/2006/relationships/table" Target="../tables/table167.xml"/><Relationship Id="rId4" Type="http://schemas.openxmlformats.org/officeDocument/2006/relationships/table" Target="../tables/table166.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6.xml"/><Relationship Id="rId1" Type="http://schemas.openxmlformats.org/officeDocument/2006/relationships/printerSettings" Target="../printerSettings/printerSettings19.bin"/><Relationship Id="rId4" Type="http://schemas.openxmlformats.org/officeDocument/2006/relationships/comments" Target="../comments8.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5.bin"/><Relationship Id="rId5" Type="http://schemas.microsoft.com/office/2017/10/relationships/threadedComment" Target="../threadedComments/threadedComment1.xml"/><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9"/>
    <pageSetUpPr fitToPage="1"/>
  </sheetPr>
  <dimension ref="A1:XAZ190"/>
  <sheetViews>
    <sheetView showGridLines="0" tabSelected="1" zoomScale="70" zoomScaleNormal="70" workbookViewId="0">
      <selection activeCell="F43" sqref="F43"/>
    </sheetView>
  </sheetViews>
  <sheetFormatPr defaultColWidth="0" defaultRowHeight="14" zeroHeight="1" x14ac:dyDescent="0.3"/>
  <cols>
    <col min="1" max="1" width="9" customWidth="1"/>
    <col min="2" max="2" width="7.33203125" customWidth="1"/>
    <col min="3" max="3" width="18.5" customWidth="1"/>
    <col min="4" max="4" width="13" customWidth="1"/>
    <col min="5" max="26" width="9" customWidth="1"/>
    <col min="27" max="29" width="0" hidden="1" customWidth="1"/>
    <col min="30" max="16384" width="9" hidden="1"/>
  </cols>
  <sheetData>
    <row r="1" spans="1:26" x14ac:dyDescent="0.3">
      <c r="A1" s="1"/>
      <c r="B1" s="1"/>
      <c r="C1" s="1"/>
      <c r="D1" s="1"/>
      <c r="E1" s="1"/>
      <c r="F1" s="1"/>
      <c r="G1" s="1"/>
      <c r="H1" s="1"/>
      <c r="I1" s="1"/>
      <c r="J1" s="1"/>
      <c r="K1" s="1"/>
      <c r="L1" s="1"/>
      <c r="M1" s="1"/>
      <c r="N1" s="1"/>
      <c r="O1" s="1"/>
      <c r="P1" s="1"/>
      <c r="Q1" s="1"/>
      <c r="R1" s="1"/>
      <c r="S1" s="1"/>
      <c r="T1" s="1"/>
      <c r="U1" s="1"/>
      <c r="V1" s="1"/>
      <c r="W1" s="1"/>
      <c r="X1" s="1"/>
      <c r="Y1" s="1"/>
      <c r="Z1" s="1"/>
    </row>
    <row r="2" spans="1:26" x14ac:dyDescent="0.3">
      <c r="A2" s="1"/>
      <c r="B2" s="1"/>
      <c r="C2" s="1"/>
      <c r="D2" s="1"/>
      <c r="E2" s="1"/>
      <c r="F2" s="1"/>
      <c r="G2" s="1"/>
      <c r="H2" s="1"/>
      <c r="I2" s="1"/>
      <c r="J2" s="1"/>
      <c r="K2" s="1"/>
      <c r="L2" s="1"/>
      <c r="M2" s="1"/>
      <c r="N2" s="1"/>
      <c r="O2" s="1"/>
      <c r="P2" s="1"/>
      <c r="Q2" s="1"/>
      <c r="R2" s="1"/>
      <c r="S2" s="1"/>
      <c r="T2" s="1"/>
      <c r="U2" s="1"/>
      <c r="V2" s="1"/>
      <c r="W2" s="1"/>
      <c r="X2" s="1"/>
      <c r="Y2" s="1"/>
      <c r="Z2" s="1"/>
    </row>
    <row r="3" spans="1:26" x14ac:dyDescent="0.3">
      <c r="A3" s="1"/>
      <c r="B3" s="1"/>
      <c r="C3" s="1"/>
      <c r="D3" s="1"/>
      <c r="E3" s="1"/>
      <c r="F3" s="1"/>
      <c r="G3" s="1"/>
      <c r="H3" s="1"/>
      <c r="I3" s="1"/>
      <c r="J3" s="1"/>
      <c r="K3" s="1"/>
      <c r="L3" s="1"/>
      <c r="M3" s="1"/>
      <c r="N3" s="1"/>
      <c r="O3" s="1"/>
      <c r="P3" s="1"/>
      <c r="Q3" s="1"/>
      <c r="R3" s="1"/>
      <c r="S3" s="1"/>
      <c r="T3" s="1"/>
      <c r="U3" s="1"/>
      <c r="V3" s="1"/>
      <c r="W3" s="1"/>
      <c r="X3" s="1"/>
      <c r="Y3" s="1"/>
      <c r="Z3" s="1"/>
    </row>
    <row r="4" spans="1:26" x14ac:dyDescent="0.3">
      <c r="A4" s="1"/>
      <c r="B4" s="1"/>
      <c r="C4" s="1"/>
      <c r="D4" s="1"/>
      <c r="E4" s="1"/>
      <c r="F4" s="1"/>
      <c r="G4" s="1"/>
      <c r="H4" s="1"/>
      <c r="I4" s="1"/>
      <c r="J4" s="1"/>
      <c r="K4" s="1"/>
      <c r="L4" s="1"/>
      <c r="M4" s="1"/>
      <c r="N4" s="1"/>
      <c r="O4" s="1"/>
      <c r="P4" s="1"/>
      <c r="Q4" s="1"/>
      <c r="R4" s="1"/>
      <c r="S4" s="1"/>
      <c r="T4" s="1"/>
      <c r="U4" s="1"/>
      <c r="V4" s="1"/>
      <c r="W4" s="1"/>
      <c r="X4" s="1"/>
      <c r="Y4" s="1"/>
      <c r="Z4" s="1"/>
    </row>
    <row r="5" spans="1:26" x14ac:dyDescent="0.3">
      <c r="A5" s="1"/>
      <c r="B5" s="1"/>
      <c r="C5" s="1"/>
      <c r="D5" s="1"/>
      <c r="E5" s="1"/>
      <c r="F5" s="1"/>
      <c r="G5" s="1"/>
      <c r="H5" s="1"/>
      <c r="I5" s="1"/>
      <c r="J5" s="1"/>
      <c r="K5" s="1"/>
      <c r="L5" s="1"/>
      <c r="M5" s="1"/>
      <c r="N5" s="1"/>
      <c r="O5" s="1"/>
      <c r="P5" s="1"/>
      <c r="Q5" s="1"/>
      <c r="R5" s="1"/>
      <c r="S5" s="1"/>
      <c r="T5" s="1"/>
      <c r="U5" s="1"/>
      <c r="V5" s="1"/>
      <c r="W5" s="1"/>
      <c r="X5" s="1"/>
      <c r="Y5" s="1"/>
      <c r="Z5" s="1"/>
    </row>
    <row r="6" spans="1:26" x14ac:dyDescent="0.3">
      <c r="A6" s="1"/>
      <c r="B6" s="1"/>
      <c r="C6" s="1"/>
      <c r="D6" s="1"/>
      <c r="E6" s="1"/>
      <c r="F6" s="1"/>
      <c r="G6" s="1"/>
      <c r="H6" s="1"/>
      <c r="I6" s="1"/>
      <c r="J6" s="1"/>
      <c r="K6" s="1"/>
      <c r="L6" s="1"/>
      <c r="M6" s="1"/>
      <c r="N6" s="1"/>
      <c r="O6" s="1"/>
      <c r="P6" s="1"/>
      <c r="Q6" s="1"/>
      <c r="R6" s="1"/>
      <c r="S6" s="1"/>
      <c r="T6" s="1"/>
      <c r="U6" s="1"/>
      <c r="V6" s="1"/>
      <c r="W6" s="1"/>
      <c r="X6" s="1"/>
      <c r="Y6" s="1"/>
      <c r="Z6" s="1"/>
    </row>
    <row r="7" spans="1:26" x14ac:dyDescent="0.3">
      <c r="A7" s="1"/>
      <c r="B7" s="1"/>
      <c r="C7" s="1"/>
      <c r="D7" s="1"/>
      <c r="E7" s="1"/>
      <c r="F7" s="1"/>
      <c r="G7" s="1"/>
      <c r="H7" s="1"/>
      <c r="I7" s="1"/>
      <c r="J7" s="1"/>
      <c r="K7" s="1"/>
      <c r="L7" s="1"/>
      <c r="M7" s="1"/>
      <c r="N7" s="1"/>
      <c r="O7" s="1"/>
      <c r="P7" s="1"/>
      <c r="Q7" s="1"/>
      <c r="R7" s="1"/>
      <c r="S7" s="1"/>
      <c r="T7" s="1"/>
      <c r="U7" s="1"/>
      <c r="V7" s="1"/>
      <c r="W7" s="1"/>
      <c r="X7" s="1"/>
      <c r="Y7" s="1"/>
      <c r="Z7" s="1"/>
    </row>
    <row r="8" spans="1:26" x14ac:dyDescent="0.3">
      <c r="A8" s="1"/>
      <c r="B8" s="1"/>
      <c r="C8" s="1"/>
      <c r="D8" s="1"/>
      <c r="E8" s="1"/>
      <c r="F8" s="1"/>
      <c r="G8" s="1"/>
      <c r="H8" s="1"/>
      <c r="I8" s="1"/>
      <c r="J8" s="1"/>
      <c r="K8" s="1"/>
      <c r="L8" s="1"/>
      <c r="M8" s="1"/>
      <c r="N8" s="1"/>
      <c r="O8" s="1"/>
      <c r="P8" s="1"/>
      <c r="Q8" s="1"/>
      <c r="R8" s="1"/>
      <c r="S8" s="1"/>
      <c r="T8" s="1"/>
      <c r="U8" s="1"/>
      <c r="V8" s="1"/>
      <c r="W8" s="1"/>
      <c r="X8" s="1"/>
      <c r="Y8" s="1"/>
      <c r="Z8" s="1"/>
    </row>
    <row r="9" spans="1:26" x14ac:dyDescent="0.3">
      <c r="A9" s="1"/>
      <c r="B9" s="1"/>
      <c r="C9" s="1"/>
      <c r="D9" s="1"/>
      <c r="E9" s="1"/>
      <c r="F9" s="1"/>
      <c r="G9" s="1"/>
      <c r="H9" s="1"/>
      <c r="I9" s="1"/>
      <c r="J9" s="1"/>
      <c r="K9" s="1"/>
      <c r="L9" s="1"/>
      <c r="M9" s="1"/>
      <c r="N9" s="1"/>
      <c r="O9" s="1"/>
      <c r="P9" s="1"/>
      <c r="Q9" s="1"/>
      <c r="R9" s="1"/>
      <c r="S9" s="1"/>
      <c r="T9" s="1"/>
      <c r="U9" s="1"/>
      <c r="V9" s="1"/>
      <c r="W9" s="1"/>
      <c r="X9" s="1"/>
      <c r="Y9" s="1"/>
      <c r="Z9" s="1"/>
    </row>
    <row r="10" spans="1:26" x14ac:dyDescent="0.3">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x14ac:dyDescent="0.3">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3"/>
    <row r="13" spans="1:26" s="22" customFormat="1" ht="22.5" customHeight="1" x14ac:dyDescent="0.4">
      <c r="B13" s="730" t="s">
        <v>0</v>
      </c>
      <c r="F13" s="1534" t="str">
        <f>IF(Select_State="NSW","This calculator has not been designed for use in NSW, please refer to NCC 2022 NSW Part H6 Energy efficiency.",IF(Select_State="NT","This calculator has not been designed for use in NT, please refer to NCC 2022 NT Part H6 Energy efficiency.",""))</f>
        <v/>
      </c>
      <c r="G13" s="1534"/>
      <c r="H13" s="1534"/>
      <c r="I13" s="1534"/>
      <c r="J13" s="1534"/>
      <c r="K13" s="1534"/>
      <c r="L13" s="1534"/>
      <c r="M13" s="1534"/>
      <c r="N13" s="1534"/>
      <c r="O13" s="1534"/>
      <c r="P13" s="1534"/>
      <c r="Q13" s="1534"/>
      <c r="R13" s="730" t="s">
        <v>1</v>
      </c>
    </row>
    <row r="14" spans="1:26" s="22" customFormat="1" ht="14.25" customHeight="1" x14ac:dyDescent="0.3">
      <c r="B14" s="723"/>
      <c r="F14" s="1534"/>
      <c r="G14" s="1534"/>
      <c r="H14" s="1534"/>
      <c r="I14" s="1534"/>
      <c r="J14" s="1534"/>
      <c r="K14" s="1534"/>
      <c r="L14" s="1534"/>
      <c r="M14" s="1534"/>
      <c r="N14" s="1534"/>
      <c r="O14" s="1534"/>
      <c r="P14" s="1534"/>
      <c r="Q14" s="1534"/>
    </row>
    <row r="15" spans="1:26" s="22" customFormat="1" ht="18" x14ac:dyDescent="0.4">
      <c r="B15" s="825">
        <v>1.1000000000000001</v>
      </c>
      <c r="C15" s="783" t="s">
        <v>2</v>
      </c>
      <c r="R15" s="825" t="s">
        <v>3</v>
      </c>
    </row>
    <row r="16" spans="1:26" s="22" customFormat="1" ht="15.5" x14ac:dyDescent="0.35">
      <c r="C16" s="732"/>
    </row>
    <row r="17" spans="2:26" s="22" customFormat="1" ht="15.5" x14ac:dyDescent="0.35">
      <c r="C17" s="784" t="s">
        <v>4</v>
      </c>
      <c r="H17" s="1538"/>
      <c r="I17" s="1538"/>
      <c r="J17" s="1538"/>
      <c r="K17" s="1538"/>
      <c r="L17" s="1538"/>
      <c r="M17" s="1538"/>
      <c r="N17" s="1538"/>
      <c r="O17" s="1538"/>
    </row>
    <row r="18" spans="2:26" s="22" customFormat="1" ht="15.5" x14ac:dyDescent="0.35">
      <c r="C18" s="732"/>
      <c r="H18" s="784"/>
      <c r="I18" s="784"/>
      <c r="J18" s="784"/>
      <c r="K18" s="784"/>
      <c r="L18" s="784"/>
      <c r="M18" s="784"/>
      <c r="N18" s="784"/>
      <c r="O18" s="784"/>
    </row>
    <row r="19" spans="2:26" s="22" customFormat="1" ht="15.5" x14ac:dyDescent="0.35">
      <c r="C19" s="784" t="s">
        <v>5</v>
      </c>
      <c r="H19" s="784"/>
      <c r="I19" s="784"/>
      <c r="J19" s="784"/>
      <c r="K19" s="784"/>
      <c r="L19" s="784"/>
      <c r="M19" s="784"/>
      <c r="N19" s="784"/>
      <c r="O19" s="784"/>
    </row>
    <row r="20" spans="2:26" s="22" customFormat="1" ht="15.5" x14ac:dyDescent="0.35">
      <c r="C20" s="827" t="s">
        <v>6</v>
      </c>
      <c r="H20" s="1538"/>
      <c r="I20" s="1538"/>
      <c r="J20" s="1538"/>
      <c r="K20" s="1538"/>
      <c r="L20" s="1538"/>
      <c r="M20" s="1538"/>
      <c r="N20" s="1538"/>
      <c r="O20" s="1538"/>
    </row>
    <row r="21" spans="2:26" s="22" customFormat="1" ht="15" customHeight="1" x14ac:dyDescent="0.35">
      <c r="C21" s="827" t="s">
        <v>7</v>
      </c>
      <c r="H21" s="1538"/>
      <c r="I21" s="1538"/>
      <c r="J21" s="1538"/>
      <c r="K21" s="1538"/>
      <c r="L21" s="1538"/>
      <c r="M21" s="1538"/>
      <c r="N21" s="1538"/>
      <c r="O21" s="1538"/>
      <c r="R21" s="1543" t="s">
        <v>8</v>
      </c>
      <c r="S21" s="1543"/>
      <c r="T21" s="1543"/>
      <c r="U21" s="1543"/>
      <c r="V21" s="1543"/>
      <c r="W21" s="1543"/>
      <c r="X21" s="1543"/>
      <c r="Y21" s="1543"/>
      <c r="Z21" s="1543"/>
    </row>
    <row r="22" spans="2:26" s="22" customFormat="1" ht="15.5" x14ac:dyDescent="0.35">
      <c r="C22" s="827" t="s">
        <v>9</v>
      </c>
      <c r="H22" s="1538"/>
      <c r="I22" s="1538"/>
      <c r="J22" s="1538"/>
      <c r="K22" s="1538"/>
      <c r="L22" s="1538"/>
      <c r="M22" s="1538"/>
      <c r="N22" s="1538"/>
      <c r="O22" s="1538"/>
      <c r="R22" s="1543"/>
      <c r="S22" s="1543"/>
      <c r="T22" s="1543"/>
      <c r="U22" s="1543"/>
      <c r="V22" s="1543"/>
      <c r="W22" s="1543"/>
      <c r="X22" s="1543"/>
      <c r="Y22" s="1543"/>
      <c r="Z22" s="1543"/>
    </row>
    <row r="23" spans="2:26" s="22" customFormat="1" ht="15.5" x14ac:dyDescent="0.35">
      <c r="C23" s="827" t="s">
        <v>10</v>
      </c>
      <c r="H23" s="1538"/>
      <c r="I23" s="1538"/>
      <c r="J23" s="1538"/>
      <c r="K23" s="1538"/>
      <c r="L23" s="1538"/>
      <c r="M23" s="1538"/>
      <c r="N23" s="1538"/>
      <c r="O23" s="1538"/>
      <c r="R23" s="1543"/>
      <c r="S23" s="1543"/>
      <c r="T23" s="1543"/>
      <c r="U23" s="1543"/>
      <c r="V23" s="1543"/>
      <c r="W23" s="1543"/>
      <c r="X23" s="1543"/>
      <c r="Y23" s="1543"/>
      <c r="Z23" s="1543"/>
    </row>
    <row r="24" spans="2:26" s="22" customFormat="1" ht="15.5" x14ac:dyDescent="0.35">
      <c r="C24" s="784"/>
      <c r="H24" s="784"/>
      <c r="I24" s="784"/>
      <c r="J24" s="784"/>
      <c r="K24" s="784"/>
      <c r="L24" s="784"/>
      <c r="M24" s="784"/>
      <c r="N24" s="784"/>
      <c r="O24" s="784"/>
    </row>
    <row r="25" spans="2:26" s="22" customFormat="1" ht="18" x14ac:dyDescent="0.4">
      <c r="C25" s="784" t="s">
        <v>11</v>
      </c>
      <c r="H25" s="1538"/>
      <c r="I25" s="1538"/>
      <c r="J25" s="1538"/>
      <c r="K25" s="1538"/>
      <c r="L25" s="1538"/>
      <c r="M25" s="1538"/>
      <c r="N25" s="1538"/>
      <c r="O25" s="1538"/>
      <c r="R25" s="825" t="s">
        <v>12</v>
      </c>
    </row>
    <row r="26" spans="2:26" s="22" customFormat="1" ht="15.5" x14ac:dyDescent="0.35">
      <c r="C26" s="784"/>
      <c r="H26" s="784"/>
      <c r="I26" s="784"/>
      <c r="J26" s="784"/>
      <c r="K26" s="784"/>
      <c r="L26" s="784"/>
      <c r="M26" s="784"/>
      <c r="N26" s="784"/>
      <c r="O26" s="784"/>
    </row>
    <row r="27" spans="2:26" s="22" customFormat="1" ht="15.5" x14ac:dyDescent="0.35">
      <c r="C27" s="784" t="s">
        <v>13</v>
      </c>
      <c r="H27" s="1538"/>
      <c r="I27" s="1538"/>
      <c r="J27" s="1538"/>
      <c r="K27" s="1538"/>
      <c r="L27" s="1538"/>
      <c r="M27" s="1538"/>
      <c r="N27" s="1538"/>
      <c r="O27" s="1538"/>
    </row>
    <row r="28" spans="2:26" s="22" customFormat="1" x14ac:dyDescent="0.3"/>
    <row r="29" spans="2:26" s="22" customFormat="1" ht="18" x14ac:dyDescent="0.4">
      <c r="B29" s="825">
        <f>B15+0.1</f>
        <v>1.2000000000000002</v>
      </c>
      <c r="C29" s="783" t="s">
        <v>14</v>
      </c>
    </row>
    <row r="30" spans="2:26" s="22" customFormat="1" x14ac:dyDescent="0.3"/>
    <row r="31" spans="2:26" s="22" customFormat="1" ht="27.75" customHeight="1" x14ac:dyDescent="0.3">
      <c r="B31" s="1098">
        <v>1</v>
      </c>
    </row>
    <row r="32" spans="2:26" s="22" customFormat="1" ht="27.75" customHeight="1" x14ac:dyDescent="0.3">
      <c r="P32" s="22" t="s">
        <v>15</v>
      </c>
    </row>
    <row r="33" spans="2:12" s="22" customFormat="1" x14ac:dyDescent="0.3"/>
    <row r="34" spans="2:12" s="22" customFormat="1" x14ac:dyDescent="0.3"/>
    <row r="35" spans="2:12" s="22" customFormat="1" ht="18" x14ac:dyDescent="0.4">
      <c r="B35" s="825">
        <f>B29+0.1</f>
        <v>1.3000000000000003</v>
      </c>
      <c r="C35" s="783" t="s">
        <v>16</v>
      </c>
    </row>
    <row r="36" spans="2:12" s="22" customFormat="1" x14ac:dyDescent="0.3">
      <c r="C36" s="733"/>
    </row>
    <row r="37" spans="2:12" s="22" customFormat="1" x14ac:dyDescent="0.3"/>
    <row r="38" spans="2:12" s="22" customFormat="1" x14ac:dyDescent="0.3"/>
    <row r="39" spans="2:12" s="22" customFormat="1" ht="18" x14ac:dyDescent="0.4">
      <c r="B39" s="825">
        <f>B35+0.1</f>
        <v>1.4000000000000004</v>
      </c>
      <c r="C39" s="783" t="s">
        <v>17</v>
      </c>
    </row>
    <row r="40" spans="2:12" s="22" customFormat="1" ht="15.5" x14ac:dyDescent="0.35">
      <c r="B40" s="731"/>
    </row>
    <row r="41" spans="2:12" s="22" customFormat="1" ht="15.5" x14ac:dyDescent="0.35">
      <c r="C41" s="1542" t="s">
        <v>18</v>
      </c>
      <c r="D41" s="1542"/>
      <c r="E41" s="1542"/>
      <c r="F41" s="1542"/>
      <c r="G41" s="1542"/>
      <c r="H41" s="1542"/>
      <c r="I41" s="1542"/>
      <c r="J41" s="1542"/>
      <c r="K41" s="1542"/>
      <c r="L41" s="1542"/>
    </row>
    <row r="42" spans="2:12" s="22" customFormat="1" x14ac:dyDescent="0.3"/>
    <row r="43" spans="2:12" s="22" customFormat="1" ht="15.5" x14ac:dyDescent="0.35">
      <c r="C43" s="784" t="s">
        <v>19</v>
      </c>
      <c r="D43" s="1247">
        <v>5</v>
      </c>
      <c r="F43" s="734"/>
    </row>
    <row r="44" spans="2:12" s="22" customFormat="1" x14ac:dyDescent="0.3"/>
    <row r="45" spans="2:12" s="22" customFormat="1" ht="18" x14ac:dyDescent="0.4">
      <c r="B45" s="825">
        <f>B39+0.1</f>
        <v>1.5000000000000004</v>
      </c>
      <c r="C45" s="783" t="s">
        <v>20</v>
      </c>
    </row>
    <row r="46" spans="2:12" s="22" customFormat="1" x14ac:dyDescent="0.3"/>
    <row r="47" spans="2:12" s="22" customFormat="1" ht="15.5" x14ac:dyDescent="0.35">
      <c r="C47" s="784" t="s">
        <v>21</v>
      </c>
      <c r="D47" s="1539" t="s">
        <v>187</v>
      </c>
      <c r="E47" s="1540"/>
      <c r="F47" s="1540"/>
      <c r="G47" s="1541"/>
    </row>
    <row r="48" spans="2:12" s="22" customFormat="1" x14ac:dyDescent="0.3"/>
    <row r="49" spans="2:4" s="22" customFormat="1" ht="18" x14ac:dyDescent="0.4">
      <c r="B49" s="729" t="s">
        <v>23</v>
      </c>
    </row>
    <row r="50" spans="2:4" s="22" customFormat="1" x14ac:dyDescent="0.3"/>
    <row r="51" spans="2:4" s="22" customFormat="1" ht="18" x14ac:dyDescent="0.4">
      <c r="B51" s="825">
        <v>2.1</v>
      </c>
      <c r="C51" s="783" t="s">
        <v>24</v>
      </c>
    </row>
    <row r="52" spans="2:4" s="22" customFormat="1" x14ac:dyDescent="0.3"/>
    <row r="53" spans="2:4" s="22" customFormat="1" ht="15.5" x14ac:dyDescent="0.35">
      <c r="C53" s="784" t="str">
        <f>IF(Development_Type=3, "The provisions of 13.2 apply to "&amp;INDEX(Table8[Development Type],MATCH(D_List!$AA$14,Table8[Index],0)),
"The provisions of 13.2 apply to "&amp;INDEX(Table8[Development Type],MATCH(D_List!$AA$14,Table8[Index],0)))&amp;"."</f>
        <v>The provisions of 13.2 apply to a Class 1 building.</v>
      </c>
    </row>
    <row r="54" spans="2:4" s="22" customFormat="1" ht="15.5" x14ac:dyDescent="0.35">
      <c r="C54" s="784"/>
    </row>
    <row r="55" spans="2:4" s="22" customFormat="1" x14ac:dyDescent="0.3"/>
    <row r="56" spans="2:4" s="22" customFormat="1" ht="18" x14ac:dyDescent="0.4">
      <c r="B56" s="825">
        <v>2.2000000000000002</v>
      </c>
      <c r="C56" s="783" t="s">
        <v>25</v>
      </c>
    </row>
    <row r="57" spans="2:4" s="22" customFormat="1" ht="15.5" x14ac:dyDescent="0.35">
      <c r="C57" s="732"/>
    </row>
    <row r="58" spans="2:4" s="22" customFormat="1" x14ac:dyDescent="0.3">
      <c r="D58" s="734" t="str">
        <f>IF(D_List!$B$33="NOT APPLICABLE","","Go To 13.2 Building Fabric")</f>
        <v>Go To 13.2 Building Fabric</v>
      </c>
    </row>
    <row r="59" spans="2:4" s="22" customFormat="1" x14ac:dyDescent="0.3"/>
    <row r="60" spans="2:4" s="22" customFormat="1" x14ac:dyDescent="0.3"/>
    <row r="61" spans="2:4" s="22" customFormat="1" ht="18" x14ac:dyDescent="0.4">
      <c r="B61" s="729" t="s">
        <v>26</v>
      </c>
      <c r="C61" s="729"/>
    </row>
    <row r="62" spans="2:4" s="22" customFormat="1" x14ac:dyDescent="0.3"/>
    <row r="63" spans="2:4" s="22" customFormat="1" ht="18" x14ac:dyDescent="0.4">
      <c r="B63" s="825">
        <v>3.1</v>
      </c>
      <c r="C63" s="783" t="s">
        <v>24</v>
      </c>
    </row>
    <row r="64" spans="2:4" s="22" customFormat="1" x14ac:dyDescent="0.3"/>
    <row r="65" spans="2:10" s="22" customFormat="1" ht="15.5" x14ac:dyDescent="0.35">
      <c r="C65" s="784" t="str">
        <f>IF(Development_Type=3, "The provisions of Part 13.3 DO NOT APPLY to "&amp;INDEX(Table8[Development Type],MATCH(D_List!$AA$14,Table8[Index],0)),
"The provisions of Part 13.3 apply to "&amp;INDEX(Table8[Development Type],MATCH(D_List!$AA$14,Table8[Index],0)))&amp;"."</f>
        <v>The provisions of Part 13.3 apply to a Class 1 building.</v>
      </c>
    </row>
    <row r="66" spans="2:10" s="22" customFormat="1" ht="15.5" x14ac:dyDescent="0.35">
      <c r="C66" s="784"/>
    </row>
    <row r="67" spans="2:10" s="22" customFormat="1" x14ac:dyDescent="0.3"/>
    <row r="68" spans="2:10" s="22" customFormat="1" ht="18" x14ac:dyDescent="0.4">
      <c r="B68" s="825">
        <v>3.2</v>
      </c>
      <c r="C68" s="783" t="s">
        <v>25</v>
      </c>
    </row>
    <row r="69" spans="2:10" s="22" customFormat="1" x14ac:dyDescent="0.3"/>
    <row r="70" spans="2:10" s="22" customFormat="1" x14ac:dyDescent="0.3">
      <c r="D70" s="734" t="str">
        <f>IF(D_List!$B$34="NOT APPLICABLE","","Go To 13.3 External Glazing")</f>
        <v>Go To 13.3 External Glazing</v>
      </c>
    </row>
    <row r="71" spans="2:10" s="22" customFormat="1" x14ac:dyDescent="0.3"/>
    <row r="72" spans="2:10" s="22" customFormat="1" x14ac:dyDescent="0.3"/>
    <row r="73" spans="2:10" s="22" customFormat="1" ht="18" x14ac:dyDescent="0.4">
      <c r="B73" s="729" t="s">
        <v>27</v>
      </c>
    </row>
    <row r="74" spans="2:10" s="22" customFormat="1" x14ac:dyDescent="0.3"/>
    <row r="75" spans="2:10" s="22" customFormat="1" ht="18" x14ac:dyDescent="0.4">
      <c r="B75" s="825">
        <v>4.0999999999999996</v>
      </c>
      <c r="C75" s="783" t="s">
        <v>24</v>
      </c>
    </row>
    <row r="76" spans="2:10" s="22" customFormat="1" x14ac:dyDescent="0.3"/>
    <row r="77" spans="2:10" s="22" customFormat="1" ht="15.5" x14ac:dyDescent="0.35">
      <c r="C77" s="821" t="s">
        <v>28</v>
      </c>
      <c r="D77" s="784"/>
      <c r="E77" s="784"/>
      <c r="F77" s="784"/>
      <c r="G77" s="784"/>
      <c r="H77" s="784"/>
      <c r="I77" s="1247" t="s">
        <v>29</v>
      </c>
    </row>
    <row r="78" spans="2:10" s="22" customFormat="1" ht="15.5" x14ac:dyDescent="0.35">
      <c r="C78" s="784"/>
      <c r="D78" s="784"/>
      <c r="E78" s="784"/>
      <c r="F78" s="784"/>
      <c r="G78" s="784"/>
      <c r="H78" s="784"/>
      <c r="I78" s="784"/>
    </row>
    <row r="79" spans="2:10" s="22" customFormat="1" ht="15" customHeight="1" x14ac:dyDescent="0.3">
      <c r="C79" s="1246" t="str">
        <f>IF(AND(ISERROR(MATCH(Selection_ClimateZone,Table66[13.4 Applicable Climate Zone - No Conditions],0)),$I$77="Yes"), "Part 13.4 is NOT APPLICABLE",
"The provisions of Part 13.4 apply to "&amp;INDEX(Table8[Development Type],MATCH(D_List!$AA$14,Table8[Index],0))&amp;".")</f>
        <v>The provisions of Part 13.4 apply to a Class 1 building.</v>
      </c>
      <c r="D79" s="1245"/>
      <c r="E79" s="1245"/>
      <c r="F79" s="1245"/>
      <c r="G79" s="1245"/>
      <c r="H79" s="1245"/>
      <c r="I79" s="1245"/>
      <c r="J79" s="1245"/>
    </row>
    <row r="80" spans="2:10" s="22" customFormat="1" ht="15.5" x14ac:dyDescent="0.35">
      <c r="C80" s="784"/>
      <c r="D80" s="784"/>
      <c r="E80" s="784"/>
      <c r="F80" s="784"/>
      <c r="G80" s="784"/>
      <c r="H80" s="784"/>
      <c r="I80" s="784"/>
    </row>
    <row r="81" spans="2:4" s="22" customFormat="1" x14ac:dyDescent="0.3"/>
    <row r="82" spans="2:4" s="22" customFormat="1" ht="18" x14ac:dyDescent="0.4">
      <c r="B82" s="825">
        <v>4.2</v>
      </c>
      <c r="C82" s="783" t="s">
        <v>25</v>
      </c>
    </row>
    <row r="83" spans="2:4" s="22" customFormat="1" x14ac:dyDescent="0.3"/>
    <row r="84" spans="2:4" s="22" customFormat="1" x14ac:dyDescent="0.3">
      <c r="D84" s="734" t="str">
        <f>IF(D_List!$B$35="NOT APPLICABLE","","Go To 13.4 Building Sealing")</f>
        <v>Go To 13.4 Building Sealing</v>
      </c>
    </row>
    <row r="85" spans="2:4" s="22" customFormat="1" x14ac:dyDescent="0.3"/>
    <row r="86" spans="2:4" s="22" customFormat="1" x14ac:dyDescent="0.3"/>
    <row r="87" spans="2:4" s="22" customFormat="1" ht="18" x14ac:dyDescent="0.4">
      <c r="B87" s="729" t="s">
        <v>30</v>
      </c>
    </row>
    <row r="88" spans="2:4" s="22" customFormat="1" x14ac:dyDescent="0.3"/>
    <row r="89" spans="2:4" s="22" customFormat="1" ht="18" x14ac:dyDescent="0.4">
      <c r="B89" s="825">
        <v>5.0999999999999996</v>
      </c>
      <c r="C89" s="783" t="s">
        <v>24</v>
      </c>
    </row>
    <row r="90" spans="2:4" s="22" customFormat="1" x14ac:dyDescent="0.3"/>
    <row r="91" spans="2:4" s="22" customFormat="1" ht="15.5" x14ac:dyDescent="0.35">
      <c r="C91" s="784" t="str">
        <f>IF(OR(Development_Type&lt;&gt;1,'13.5 Ceiling Fans'!B19=FALSE), "The provisions of Part 13.5 DO NOT APPLY to "&amp;INDEX(Table8[Development Type],MATCH(D_List!$AA$14,Table8[Index],0)),
"The provisions of Part 13.5 apply to "&amp;INDEX(Table8[Development Type],MATCH(D_List!$AA$14,Table8[Index],0)))&amp;" in climate zone "&amp;Selection_ClimateZone&amp;"."</f>
        <v>The provisions of Part 13.5 DO NOT APPLY to a Class 1 building in climate zone 5.</v>
      </c>
    </row>
    <row r="92" spans="2:4" s="22" customFormat="1" ht="15.5" x14ac:dyDescent="0.35">
      <c r="C92" s="784"/>
    </row>
    <row r="93" spans="2:4" s="22" customFormat="1" x14ac:dyDescent="0.3"/>
    <row r="94" spans="2:4" s="22" customFormat="1" ht="18" x14ac:dyDescent="0.4">
      <c r="B94" s="825">
        <v>5.2</v>
      </c>
      <c r="C94" s="783" t="s">
        <v>25</v>
      </c>
    </row>
    <row r="95" spans="2:4" s="22" customFormat="1" x14ac:dyDescent="0.3"/>
    <row r="96" spans="2:4" s="22" customFormat="1" x14ac:dyDescent="0.3">
      <c r="D96" s="734" t="str">
        <f>IF(D_List!$B$36="NOT APPLICABLE","","Go To 13.5 Ceiling Fans")</f>
        <v/>
      </c>
    </row>
    <row r="97" spans="2:4" s="22" customFormat="1" x14ac:dyDescent="0.3"/>
    <row r="98" spans="2:4" s="22" customFormat="1" x14ac:dyDescent="0.3"/>
    <row r="99" spans="2:4" s="22" customFormat="1" ht="18" x14ac:dyDescent="0.4">
      <c r="B99" s="729" t="s">
        <v>31</v>
      </c>
    </row>
    <row r="100" spans="2:4" s="22" customFormat="1" x14ac:dyDescent="0.3"/>
    <row r="101" spans="2:4" s="22" customFormat="1" ht="18" x14ac:dyDescent="0.4">
      <c r="B101" s="825">
        <v>6.1</v>
      </c>
      <c r="C101" s="783" t="s">
        <v>24</v>
      </c>
    </row>
    <row r="102" spans="2:4" s="22" customFormat="1" x14ac:dyDescent="0.3"/>
    <row r="103" spans="2:4" s="22" customFormat="1" ht="15.5" x14ac:dyDescent="0.35">
      <c r="C103" s="784" t="str">
        <f>IF(Development_Type=3, "The provisions of Part 13.6 DO NOT APPLY to "&amp;INDEX(Table8[Development Type],MATCH(D_List!$AA$14,Table8[Index],0)),
"The provisions of Part 13.6 apply to "&amp;INDEX(Table8[Development Type],MATCH(D_List!$AA$14,Table8[Index],0)))&amp;"."</f>
        <v>The provisions of Part 13.6 apply to a Class 1 building.</v>
      </c>
    </row>
    <row r="104" spans="2:4" s="22" customFormat="1" ht="15.5" x14ac:dyDescent="0.35">
      <c r="C104" s="784"/>
    </row>
    <row r="105" spans="2:4" s="22" customFormat="1" x14ac:dyDescent="0.3"/>
    <row r="106" spans="2:4" s="22" customFormat="1" ht="18" x14ac:dyDescent="0.4">
      <c r="B106" s="825">
        <v>6.2</v>
      </c>
      <c r="C106" s="783" t="s">
        <v>25</v>
      </c>
    </row>
    <row r="107" spans="2:4" s="22" customFormat="1" x14ac:dyDescent="0.3"/>
    <row r="108" spans="2:4" s="22" customFormat="1" x14ac:dyDescent="0.3">
      <c r="D108" s="734" t="str">
        <f>IF(D_List!$B$37="NOT APPLICABLE","","Go To 13.6 Whole-of-Home")</f>
        <v>Go To 13.6 Whole-of-Home</v>
      </c>
    </row>
    <row r="109" spans="2:4" s="22" customFormat="1" x14ac:dyDescent="0.3"/>
    <row r="110" spans="2:4" s="22" customFormat="1" x14ac:dyDescent="0.3"/>
    <row r="111" spans="2:4" s="22" customFormat="1" ht="18" x14ac:dyDescent="0.4">
      <c r="B111" s="729" t="s">
        <v>32</v>
      </c>
    </row>
    <row r="112" spans="2:4" s="22" customFormat="1" x14ac:dyDescent="0.3"/>
    <row r="113" spans="2:16276" s="22" customFormat="1" ht="18" x14ac:dyDescent="0.4">
      <c r="B113" s="825">
        <v>7.1</v>
      </c>
      <c r="C113" s="783" t="s">
        <v>24</v>
      </c>
    </row>
    <row r="114" spans="2:16276" s="22" customFormat="1" x14ac:dyDescent="0.3"/>
    <row r="115" spans="2:16276" s="22" customFormat="1" ht="15.5" x14ac:dyDescent="0.35">
      <c r="C115" s="784" t="str">
        <f>IF(Development_Type=3, "The provisions of Part 13.7 DO NOT APPLY to "&amp;INDEX(Table8[Development Type],MATCH(D_List!$AA$14,Table8[Index],0)),
"The provisions of Part 13.7 apply to "&amp;INDEX(Table8[Development Type],MATCH(D_List!$AA$14,Table8[Index],0))&amp;
IF(D_List!B29=TRUE,D_List!B28,""))&amp;"."</f>
        <v>The provisions of Part 13.7 apply to a Class 1 building.</v>
      </c>
    </row>
    <row r="116" spans="2:16276" s="22" customFormat="1" ht="14.5" customHeight="1" x14ac:dyDescent="0.35">
      <c r="C116" s="784"/>
    </row>
    <row r="117" spans="2:16276" s="22" customFormat="1" ht="14.5" customHeight="1" x14ac:dyDescent="0.3"/>
    <row r="118" spans="2:16276" s="22" customFormat="1" ht="18" x14ac:dyDescent="0.4">
      <c r="B118" s="825">
        <v>7.2</v>
      </c>
      <c r="C118" s="783" t="s">
        <v>25</v>
      </c>
    </row>
    <row r="119" spans="2:16276" s="22" customFormat="1" x14ac:dyDescent="0.3"/>
    <row r="120" spans="2:16276" s="22" customFormat="1" x14ac:dyDescent="0.3">
      <c r="D120" s="734" t="str">
        <f>IF(D_List!$B$38="NOT APPLICABLE","","Go To 13.7 Services")</f>
        <v>Go To 13.7 Services</v>
      </c>
    </row>
    <row r="121" spans="2:16276" s="22" customFormat="1" x14ac:dyDescent="0.3"/>
    <row r="122" spans="2:16276" s="22" customFormat="1" x14ac:dyDescent="0.3"/>
    <row r="123" spans="2:16276" s="22" customFormat="1" x14ac:dyDescent="0.3"/>
    <row r="124" spans="2:16276" s="22" customFormat="1" x14ac:dyDescent="0.3"/>
    <row r="125" spans="2:16276" s="22" customFormat="1" x14ac:dyDescent="0.3"/>
    <row r="126" spans="2:16276" s="22" customFormat="1" ht="87.5" x14ac:dyDescent="0.35">
      <c r="B126" s="323" t="s">
        <v>33</v>
      </c>
      <c r="C126" s="324"/>
      <c r="D126" s="324"/>
      <c r="E126" s="324"/>
      <c r="F126" s="324"/>
      <c r="G126" s="324"/>
      <c r="H126" s="324"/>
      <c r="I126" s="324"/>
      <c r="J126" s="324"/>
      <c r="K126" s="324"/>
      <c r="L126" s="324"/>
      <c r="M126" s="324"/>
      <c r="N126" s="324"/>
      <c r="O126" s="324"/>
      <c r="P126" s="324"/>
      <c r="Q126" s="324"/>
      <c r="R126" s="324"/>
      <c r="S126" s="324"/>
      <c r="T126" s="324"/>
      <c r="U126" s="324"/>
      <c r="V126" s="324"/>
      <c r="W126" s="324"/>
      <c r="X126" s="325" t="s">
        <v>34</v>
      </c>
      <c r="Y126" s="326" t="s">
        <v>34</v>
      </c>
      <c r="AA126" s="140"/>
      <c r="AB126" s="140"/>
      <c r="AC126" s="140"/>
      <c r="AD126" s="140"/>
      <c r="AE126" s="140"/>
      <c r="AF126" s="140"/>
      <c r="AG126" s="140"/>
      <c r="AH126" s="140"/>
      <c r="AI126" s="140"/>
      <c r="AJ126" s="140"/>
      <c r="AK126" s="140"/>
      <c r="AL126" s="140"/>
      <c r="AM126" s="140"/>
      <c r="AN126" s="140"/>
      <c r="AO126" s="140"/>
      <c r="AP126" s="140"/>
      <c r="AQ126" s="140"/>
      <c r="AR126" s="140"/>
      <c r="AS126" s="140"/>
      <c r="AT126" s="140"/>
      <c r="AU126" s="140"/>
      <c r="AV126" s="140"/>
      <c r="AW126" s="140"/>
      <c r="AX126" s="140"/>
      <c r="AY126" s="140"/>
      <c r="AZ126" s="140"/>
      <c r="BA126" s="140"/>
      <c r="BB126" s="140"/>
      <c r="BC126" s="140"/>
      <c r="BD126" s="140"/>
      <c r="BE126" s="140"/>
      <c r="BF126" s="140"/>
      <c r="BG126" s="140"/>
      <c r="BH126" s="140"/>
      <c r="BI126" s="140"/>
      <c r="BJ126" s="140"/>
      <c r="BK126" s="140"/>
      <c r="BL126" s="140"/>
      <c r="BM126" s="140"/>
      <c r="BN126" s="140"/>
      <c r="BO126" s="140"/>
      <c r="BP126" s="140"/>
      <c r="BQ126" s="140"/>
      <c r="BR126" s="140"/>
      <c r="BS126" s="140"/>
      <c r="BT126" s="140"/>
      <c r="BU126" s="140"/>
      <c r="BV126" s="140"/>
      <c r="BW126" s="140"/>
      <c r="BX126" s="140"/>
      <c r="BY126" s="140"/>
      <c r="BZ126" s="140"/>
      <c r="CA126" s="140"/>
      <c r="CB126" s="140"/>
      <c r="CC126" s="140"/>
      <c r="CD126" s="140"/>
      <c r="CE126" s="140"/>
      <c r="CF126" s="140"/>
      <c r="CG126" s="140"/>
      <c r="CH126" s="140"/>
      <c r="CI126" s="140"/>
      <c r="CJ126" s="140"/>
      <c r="CK126" s="140"/>
      <c r="CL126" s="140"/>
      <c r="CM126" s="140"/>
      <c r="CN126" s="140"/>
      <c r="CO126" s="140"/>
      <c r="CP126" s="140"/>
      <c r="CQ126" s="140"/>
      <c r="CR126" s="140"/>
      <c r="CS126" s="140"/>
      <c r="CT126" s="140"/>
      <c r="CU126" s="140"/>
      <c r="CV126" s="140"/>
      <c r="CW126" s="140"/>
      <c r="CX126" s="140"/>
      <c r="CY126" s="140"/>
      <c r="CZ126" s="140"/>
      <c r="DA126" s="140"/>
      <c r="DB126" s="140"/>
      <c r="DC126" s="140"/>
      <c r="DD126" s="140"/>
      <c r="DE126" s="140"/>
      <c r="DF126" s="140"/>
      <c r="DG126" s="140"/>
      <c r="DH126" s="140"/>
      <c r="DI126" s="140"/>
      <c r="DJ126" s="140"/>
      <c r="DK126" s="140"/>
      <c r="DL126" s="140"/>
      <c r="DM126" s="140"/>
      <c r="DN126" s="140"/>
      <c r="DO126" s="140"/>
      <c r="DP126" s="140"/>
      <c r="DQ126" s="140"/>
      <c r="DR126" s="140"/>
      <c r="DS126" s="140"/>
      <c r="DT126" s="140"/>
      <c r="DU126" s="140"/>
      <c r="DV126" s="140"/>
      <c r="DW126" s="140"/>
      <c r="DX126" s="140"/>
      <c r="DY126" s="140"/>
      <c r="DZ126" s="140"/>
      <c r="EA126" s="140"/>
      <c r="EB126" s="140"/>
      <c r="EC126" s="140"/>
      <c r="ED126" s="140"/>
      <c r="EE126" s="140"/>
      <c r="EF126" s="140"/>
      <c r="EG126" s="140"/>
      <c r="EH126" s="140"/>
      <c r="EI126" s="140"/>
      <c r="EJ126" s="140"/>
      <c r="EK126" s="140"/>
      <c r="EL126" s="140"/>
      <c r="EM126" s="140"/>
      <c r="EN126" s="140"/>
      <c r="EO126" s="140"/>
      <c r="EP126" s="140"/>
      <c r="EQ126" s="140"/>
      <c r="ER126" s="140"/>
      <c r="ES126" s="140"/>
      <c r="ET126" s="140"/>
      <c r="EU126" s="140"/>
      <c r="EV126" s="140"/>
      <c r="EW126" s="140"/>
      <c r="EX126" s="140"/>
      <c r="EY126" s="140"/>
      <c r="EZ126" s="140"/>
      <c r="FA126" s="140"/>
      <c r="FB126" s="140"/>
      <c r="FC126" s="140"/>
      <c r="FD126" s="140"/>
      <c r="FE126" s="140"/>
      <c r="FF126" s="140"/>
      <c r="FG126" s="140"/>
      <c r="FH126" s="140"/>
      <c r="FI126" s="140"/>
      <c r="FJ126" s="140"/>
      <c r="FK126" s="140"/>
      <c r="FL126" s="140"/>
      <c r="FM126" s="140"/>
      <c r="FN126" s="140"/>
      <c r="FO126" s="140"/>
      <c r="FP126" s="140"/>
      <c r="FQ126" s="140"/>
      <c r="FR126" s="140"/>
      <c r="FS126" s="140"/>
      <c r="FT126" s="140"/>
      <c r="FU126" s="140"/>
      <c r="FV126" s="140"/>
      <c r="FW126" s="140"/>
      <c r="FX126" s="140"/>
      <c r="FY126" s="140"/>
      <c r="FZ126" s="140"/>
      <c r="GA126" s="140"/>
      <c r="GB126" s="140"/>
      <c r="GC126" s="140"/>
      <c r="GD126" s="140"/>
      <c r="GE126" s="140"/>
      <c r="GF126" s="140"/>
      <c r="GG126" s="140"/>
      <c r="GH126" s="140"/>
      <c r="GI126" s="140"/>
      <c r="GJ126" s="140"/>
      <c r="GK126" s="140"/>
      <c r="GL126" s="140"/>
      <c r="GM126" s="140"/>
      <c r="GN126" s="140"/>
      <c r="GO126" s="140"/>
      <c r="GP126" s="140"/>
      <c r="GQ126" s="140"/>
      <c r="GR126" s="140"/>
      <c r="GS126" s="140"/>
      <c r="GT126" s="140"/>
      <c r="GU126" s="140"/>
      <c r="GV126" s="140"/>
      <c r="GW126" s="140"/>
      <c r="GX126" s="140"/>
      <c r="GY126" s="140"/>
      <c r="GZ126" s="140"/>
      <c r="HA126" s="140"/>
      <c r="HB126" s="140"/>
      <c r="HC126" s="140"/>
      <c r="HD126" s="140"/>
      <c r="HE126" s="140"/>
      <c r="HF126" s="140"/>
      <c r="HG126" s="140"/>
      <c r="HH126" s="140"/>
      <c r="HI126" s="140"/>
      <c r="HJ126" s="140"/>
      <c r="HK126" s="140"/>
      <c r="HL126" s="140"/>
      <c r="HM126" s="140"/>
      <c r="HN126" s="140"/>
      <c r="HO126" s="140"/>
      <c r="HP126" s="140"/>
      <c r="HQ126" s="140"/>
      <c r="HR126" s="140"/>
      <c r="HS126" s="140"/>
      <c r="HT126" s="140"/>
      <c r="HU126" s="140"/>
      <c r="HV126" s="140"/>
      <c r="HW126" s="140"/>
      <c r="HX126" s="140"/>
      <c r="HY126" s="140"/>
      <c r="HZ126" s="140"/>
      <c r="IA126" s="140"/>
      <c r="IB126" s="140"/>
      <c r="IC126" s="140"/>
      <c r="ID126" s="140"/>
      <c r="IE126" s="140"/>
      <c r="IF126" s="140"/>
      <c r="IG126" s="140"/>
      <c r="IH126" s="140"/>
      <c r="II126" s="140"/>
      <c r="IJ126" s="140"/>
      <c r="IK126" s="140"/>
      <c r="IL126" s="140"/>
      <c r="IM126" s="140"/>
      <c r="IN126" s="140"/>
      <c r="IO126" s="140"/>
      <c r="IP126" s="140"/>
      <c r="IQ126" s="140"/>
      <c r="IR126" s="140"/>
      <c r="IS126" s="140"/>
      <c r="IT126" s="140"/>
      <c r="IU126" s="140"/>
      <c r="IV126" s="140"/>
      <c r="IW126" s="140"/>
      <c r="IX126" s="140"/>
      <c r="IY126" s="140"/>
      <c r="IZ126" s="140"/>
      <c r="JA126" s="140"/>
      <c r="JB126" s="140"/>
      <c r="JC126" s="140"/>
      <c r="JD126" s="140"/>
      <c r="JE126" s="140"/>
      <c r="JF126" s="140"/>
      <c r="JG126" s="140"/>
      <c r="JH126" s="140"/>
      <c r="JI126" s="140"/>
      <c r="JJ126" s="140"/>
      <c r="JK126" s="140"/>
      <c r="JL126" s="140"/>
      <c r="JM126" s="140"/>
      <c r="JN126" s="140"/>
      <c r="JO126" s="140"/>
      <c r="JP126" s="140"/>
      <c r="JQ126" s="140"/>
      <c r="JR126" s="140"/>
      <c r="JS126" s="140"/>
      <c r="JT126" s="140"/>
      <c r="JU126" s="140"/>
      <c r="JV126" s="140"/>
      <c r="JW126" s="140"/>
      <c r="JX126" s="140"/>
      <c r="JY126" s="140"/>
      <c r="JZ126" s="140"/>
      <c r="KA126" s="140"/>
      <c r="KB126" s="140"/>
      <c r="KC126" s="140"/>
      <c r="KD126" s="140"/>
      <c r="KE126" s="140"/>
      <c r="KF126" s="140"/>
      <c r="KG126" s="140"/>
      <c r="KH126" s="140"/>
      <c r="KI126" s="140"/>
      <c r="KJ126" s="140"/>
      <c r="KK126" s="140"/>
      <c r="KL126" s="140"/>
      <c r="KM126" s="140"/>
      <c r="KN126" s="140"/>
      <c r="KO126" s="140"/>
      <c r="KP126" s="140"/>
      <c r="KQ126" s="140"/>
      <c r="KR126" s="140"/>
      <c r="KS126" s="140"/>
      <c r="KT126" s="140"/>
      <c r="KU126" s="140"/>
      <c r="KV126" s="140"/>
      <c r="KW126" s="140"/>
      <c r="KX126" s="140"/>
      <c r="KY126" s="140"/>
      <c r="KZ126" s="140"/>
      <c r="LA126" s="140"/>
      <c r="LB126" s="140"/>
      <c r="LC126" s="140"/>
      <c r="LD126" s="140"/>
      <c r="LE126" s="140"/>
      <c r="LF126" s="140"/>
      <c r="LG126" s="140"/>
      <c r="LH126" s="140"/>
      <c r="LI126" s="140"/>
      <c r="LJ126" s="140"/>
      <c r="LK126" s="140"/>
      <c r="LL126" s="140"/>
      <c r="LM126" s="140"/>
      <c r="LN126" s="140"/>
      <c r="LO126" s="140"/>
      <c r="LP126" s="140"/>
      <c r="LQ126" s="140"/>
      <c r="LR126" s="140"/>
      <c r="LS126" s="140"/>
      <c r="LT126" s="140"/>
      <c r="LU126" s="140"/>
      <c r="LV126" s="140"/>
      <c r="LW126" s="140"/>
      <c r="LX126" s="140"/>
      <c r="LY126" s="140"/>
      <c r="LZ126" s="140"/>
      <c r="MA126" s="140"/>
      <c r="MB126" s="140"/>
      <c r="MC126" s="140"/>
      <c r="MD126" s="140"/>
      <c r="ME126" s="140"/>
      <c r="MF126" s="140"/>
      <c r="MG126" s="140"/>
      <c r="MH126" s="140"/>
      <c r="MI126" s="140"/>
      <c r="MJ126" s="140"/>
      <c r="MK126" s="140"/>
      <c r="ML126" s="140"/>
      <c r="MM126" s="140"/>
      <c r="MN126" s="140"/>
      <c r="MO126" s="140"/>
      <c r="MP126" s="140"/>
      <c r="MQ126" s="140"/>
      <c r="MR126" s="140"/>
      <c r="MS126" s="140"/>
      <c r="MT126" s="140"/>
      <c r="MU126" s="140"/>
      <c r="MV126" s="140"/>
      <c r="MW126" s="140"/>
      <c r="MX126" s="140"/>
      <c r="MY126" s="140"/>
      <c r="MZ126" s="140"/>
      <c r="NA126" s="140"/>
      <c r="NB126" s="140"/>
      <c r="NC126" s="140"/>
      <c r="ND126" s="140"/>
      <c r="NE126" s="140"/>
      <c r="NF126" s="140"/>
      <c r="NG126" s="140"/>
      <c r="NH126" s="140"/>
      <c r="NI126" s="140"/>
      <c r="NJ126" s="140"/>
      <c r="NK126" s="140"/>
      <c r="NL126" s="140"/>
      <c r="NM126" s="140"/>
      <c r="NN126" s="140"/>
      <c r="NO126" s="140"/>
      <c r="NP126" s="140"/>
      <c r="NQ126" s="140"/>
      <c r="NR126" s="140"/>
      <c r="NS126" s="140"/>
      <c r="NT126" s="140"/>
      <c r="NU126" s="140"/>
      <c r="NV126" s="140"/>
      <c r="NW126" s="140"/>
      <c r="NX126" s="140"/>
      <c r="NY126" s="140"/>
      <c r="NZ126" s="140"/>
      <c r="OA126" s="140"/>
      <c r="OB126" s="140"/>
      <c r="OC126" s="140"/>
      <c r="OD126" s="140"/>
      <c r="OE126" s="140"/>
      <c r="OF126" s="140"/>
      <c r="OG126" s="140"/>
      <c r="OH126" s="140"/>
      <c r="OI126" s="140"/>
      <c r="OJ126" s="140"/>
      <c r="OK126" s="140"/>
      <c r="OL126" s="140"/>
      <c r="OM126" s="140"/>
      <c r="ON126" s="140"/>
      <c r="OO126" s="140"/>
      <c r="OP126" s="140"/>
      <c r="OQ126" s="140"/>
      <c r="OR126" s="140"/>
      <c r="OS126" s="140"/>
      <c r="OT126" s="140"/>
      <c r="OU126" s="140"/>
      <c r="OV126" s="140"/>
      <c r="OW126" s="140"/>
      <c r="OX126" s="140"/>
      <c r="OY126" s="140"/>
      <c r="OZ126" s="140"/>
      <c r="PA126" s="140"/>
      <c r="PB126" s="140"/>
      <c r="PC126" s="140"/>
      <c r="PD126" s="140"/>
      <c r="PE126" s="140"/>
      <c r="PF126" s="140"/>
      <c r="PG126" s="140"/>
      <c r="PH126" s="140"/>
      <c r="PI126" s="140"/>
      <c r="PJ126" s="140"/>
      <c r="PK126" s="140"/>
      <c r="PL126" s="140"/>
      <c r="PM126" s="140"/>
      <c r="PN126" s="140"/>
      <c r="PO126" s="140"/>
      <c r="PP126" s="140"/>
      <c r="PQ126" s="140"/>
      <c r="PR126" s="140"/>
      <c r="PS126" s="140"/>
      <c r="PT126" s="140"/>
      <c r="PU126" s="140"/>
      <c r="PV126" s="140"/>
      <c r="PW126" s="140"/>
      <c r="PX126" s="140"/>
      <c r="PY126" s="140"/>
      <c r="PZ126" s="140"/>
      <c r="QA126" s="140"/>
      <c r="QB126" s="140"/>
      <c r="QC126" s="140"/>
      <c r="QD126" s="140"/>
      <c r="QE126" s="140"/>
      <c r="QF126" s="140"/>
      <c r="QG126" s="140"/>
      <c r="QH126" s="140"/>
      <c r="QI126" s="140"/>
      <c r="QJ126" s="140"/>
      <c r="QK126" s="140"/>
      <c r="QL126" s="140"/>
      <c r="QM126" s="140"/>
      <c r="QN126" s="140"/>
      <c r="QO126" s="140"/>
      <c r="QP126" s="140"/>
      <c r="QQ126" s="140"/>
      <c r="QR126" s="140"/>
      <c r="QS126" s="140"/>
      <c r="QT126" s="140"/>
      <c r="QU126" s="140"/>
      <c r="QV126" s="140"/>
      <c r="QW126" s="140"/>
      <c r="QX126" s="140"/>
      <c r="QY126" s="140"/>
      <c r="QZ126" s="140"/>
      <c r="RA126" s="140"/>
      <c r="RB126" s="140"/>
      <c r="RC126" s="140"/>
      <c r="RD126" s="140"/>
      <c r="RE126" s="140"/>
      <c r="RF126" s="140"/>
      <c r="RG126" s="140"/>
      <c r="RH126" s="140"/>
      <c r="RI126" s="140"/>
      <c r="RJ126" s="140"/>
      <c r="RK126" s="140"/>
      <c r="RL126" s="140"/>
      <c r="RM126" s="140"/>
      <c r="RN126" s="140"/>
      <c r="RO126" s="140"/>
      <c r="RP126" s="140"/>
      <c r="RQ126" s="140"/>
      <c r="RR126" s="140"/>
      <c r="RS126" s="140"/>
      <c r="RT126" s="140"/>
      <c r="RU126" s="140"/>
      <c r="RV126" s="140"/>
      <c r="RW126" s="140"/>
      <c r="RX126" s="140"/>
      <c r="RY126" s="140"/>
      <c r="RZ126" s="140"/>
      <c r="SA126" s="140"/>
      <c r="SB126" s="140"/>
      <c r="SC126" s="140"/>
      <c r="SD126" s="140"/>
      <c r="SE126" s="140"/>
      <c r="SF126" s="140"/>
      <c r="SG126" s="140"/>
      <c r="SH126" s="140"/>
      <c r="SI126" s="140"/>
      <c r="SJ126" s="140"/>
      <c r="SK126" s="140"/>
      <c r="SL126" s="140"/>
      <c r="SM126" s="140"/>
      <c r="SN126" s="140"/>
      <c r="SO126" s="140"/>
      <c r="SP126" s="140"/>
      <c r="SQ126" s="140"/>
      <c r="SR126" s="140"/>
      <c r="SS126" s="140"/>
      <c r="ST126" s="140"/>
      <c r="SU126" s="140"/>
      <c r="SV126" s="140"/>
      <c r="SW126" s="140"/>
      <c r="SX126" s="140"/>
      <c r="SY126" s="140"/>
      <c r="SZ126" s="140"/>
      <c r="TA126" s="140"/>
      <c r="TB126" s="140"/>
      <c r="TC126" s="140"/>
      <c r="TD126" s="140"/>
      <c r="TE126" s="140"/>
      <c r="TF126" s="140"/>
      <c r="TG126" s="140"/>
      <c r="TH126" s="140"/>
      <c r="TI126" s="140"/>
      <c r="TJ126" s="140"/>
      <c r="TK126" s="140"/>
      <c r="TL126" s="140"/>
      <c r="TM126" s="140"/>
      <c r="TN126" s="140"/>
      <c r="TO126" s="140"/>
      <c r="TP126" s="140"/>
      <c r="TQ126" s="140"/>
      <c r="TR126" s="140"/>
      <c r="TS126" s="140"/>
      <c r="TT126" s="140"/>
      <c r="TU126" s="140"/>
      <c r="TV126" s="140"/>
      <c r="TW126" s="140"/>
      <c r="TX126" s="140"/>
      <c r="TY126" s="140"/>
      <c r="TZ126" s="140"/>
      <c r="UA126" s="140"/>
      <c r="UB126" s="140"/>
      <c r="UC126" s="140"/>
      <c r="UD126" s="140"/>
      <c r="UE126" s="140"/>
      <c r="UF126" s="140"/>
      <c r="UG126" s="140"/>
      <c r="UH126" s="140"/>
      <c r="UI126" s="140"/>
      <c r="UJ126" s="140"/>
      <c r="UK126" s="140"/>
      <c r="UL126" s="140"/>
      <c r="UM126" s="140"/>
      <c r="UN126" s="140"/>
      <c r="UO126" s="140"/>
      <c r="UP126" s="140"/>
      <c r="UQ126" s="140"/>
      <c r="UR126" s="140"/>
      <c r="US126" s="140"/>
      <c r="UT126" s="140"/>
      <c r="UU126" s="140"/>
      <c r="UV126" s="140"/>
      <c r="UW126" s="140"/>
      <c r="UX126" s="140"/>
      <c r="UY126" s="140"/>
      <c r="UZ126" s="140"/>
      <c r="VA126" s="140"/>
      <c r="VB126" s="140"/>
      <c r="VC126" s="140"/>
      <c r="VD126" s="140"/>
      <c r="VE126" s="140"/>
      <c r="VF126" s="140"/>
      <c r="VG126" s="140"/>
      <c r="VH126" s="140"/>
      <c r="VI126" s="140"/>
      <c r="VJ126" s="140"/>
      <c r="VK126" s="140"/>
      <c r="VL126" s="140"/>
      <c r="VM126" s="140"/>
      <c r="VN126" s="140"/>
      <c r="VO126" s="140"/>
      <c r="VP126" s="140"/>
      <c r="VQ126" s="140"/>
      <c r="VR126" s="140"/>
      <c r="VS126" s="140"/>
      <c r="VT126" s="140"/>
      <c r="VU126" s="140"/>
      <c r="VV126" s="140"/>
      <c r="VW126" s="140"/>
      <c r="VX126" s="140"/>
      <c r="VY126" s="140"/>
      <c r="VZ126" s="140"/>
      <c r="WA126" s="140"/>
      <c r="WB126" s="140"/>
      <c r="WC126" s="140"/>
      <c r="WD126" s="140"/>
      <c r="WE126" s="140"/>
      <c r="WF126" s="140"/>
      <c r="WG126" s="140"/>
      <c r="WH126" s="140"/>
      <c r="WI126" s="140"/>
      <c r="WJ126" s="140"/>
      <c r="WK126" s="140"/>
      <c r="WL126" s="140"/>
      <c r="WM126" s="140"/>
      <c r="WN126" s="140"/>
      <c r="WO126" s="140"/>
      <c r="WP126" s="140"/>
      <c r="WQ126" s="140"/>
      <c r="WR126" s="140"/>
      <c r="WS126" s="140"/>
      <c r="WT126" s="140"/>
      <c r="WU126" s="140"/>
      <c r="WV126" s="140"/>
      <c r="WW126" s="140"/>
      <c r="WX126" s="140"/>
      <c r="WY126" s="140"/>
      <c r="WZ126" s="140"/>
      <c r="XA126" s="140"/>
      <c r="XB126" s="140"/>
      <c r="XC126" s="140"/>
      <c r="XD126" s="140"/>
      <c r="XE126" s="140"/>
      <c r="XF126" s="140"/>
      <c r="XG126" s="140"/>
      <c r="XH126" s="140"/>
      <c r="XI126" s="140"/>
      <c r="XJ126" s="140"/>
      <c r="XK126" s="140"/>
      <c r="XL126" s="140"/>
      <c r="XM126" s="140"/>
      <c r="XN126" s="140"/>
      <c r="XO126" s="140"/>
      <c r="XP126" s="140"/>
      <c r="XQ126" s="140"/>
      <c r="XR126" s="140"/>
      <c r="XS126" s="140"/>
      <c r="XT126" s="140"/>
      <c r="XU126" s="140"/>
      <c r="XV126" s="140"/>
      <c r="XW126" s="140"/>
      <c r="XX126" s="140"/>
      <c r="XY126" s="140"/>
      <c r="XZ126" s="140"/>
      <c r="YA126" s="140"/>
      <c r="YB126" s="140"/>
      <c r="YC126" s="140"/>
      <c r="YD126" s="140"/>
      <c r="YE126" s="140"/>
      <c r="YF126" s="140"/>
      <c r="YG126" s="140"/>
      <c r="YH126" s="140"/>
      <c r="YI126" s="140"/>
      <c r="YJ126" s="140"/>
      <c r="YK126" s="140"/>
      <c r="YL126" s="140"/>
      <c r="YM126" s="140"/>
      <c r="YN126" s="140"/>
      <c r="YO126" s="140"/>
      <c r="YP126" s="140"/>
      <c r="YQ126" s="140"/>
      <c r="YR126" s="140"/>
      <c r="YS126" s="140"/>
      <c r="YT126" s="140"/>
      <c r="YU126" s="140"/>
      <c r="YV126" s="140"/>
      <c r="YW126" s="140"/>
      <c r="YX126" s="140"/>
      <c r="YY126" s="140"/>
      <c r="YZ126" s="140"/>
      <c r="ZA126" s="140"/>
      <c r="ZB126" s="140"/>
      <c r="ZC126" s="140"/>
      <c r="ZD126" s="140"/>
      <c r="ZE126" s="140"/>
      <c r="ZF126" s="140"/>
      <c r="ZG126" s="140"/>
      <c r="ZH126" s="140"/>
      <c r="ZI126" s="140"/>
      <c r="ZJ126" s="140"/>
      <c r="ZK126" s="140"/>
      <c r="ZL126" s="140"/>
      <c r="ZM126" s="140"/>
      <c r="ZN126" s="140"/>
      <c r="ZO126" s="140"/>
      <c r="ZP126" s="140"/>
      <c r="ZQ126" s="140"/>
      <c r="ZR126" s="140"/>
      <c r="ZS126" s="140"/>
      <c r="ZT126" s="140"/>
      <c r="ZU126" s="140"/>
      <c r="ZV126" s="140"/>
      <c r="ZW126" s="140"/>
      <c r="ZX126" s="140"/>
      <c r="ZY126" s="140"/>
      <c r="ZZ126" s="140"/>
      <c r="AAA126" s="140"/>
      <c r="AAB126" s="140"/>
      <c r="AAC126" s="140"/>
      <c r="AAD126" s="140"/>
      <c r="AAE126" s="140"/>
      <c r="AAF126" s="140"/>
      <c r="AAG126" s="140"/>
      <c r="AAH126" s="140"/>
      <c r="AAI126" s="140"/>
      <c r="AAJ126" s="140"/>
      <c r="AAK126" s="140"/>
      <c r="AAL126" s="140"/>
      <c r="AAM126" s="140"/>
      <c r="AAN126" s="140"/>
      <c r="AAO126" s="140"/>
      <c r="AAP126" s="140"/>
      <c r="AAQ126" s="140"/>
      <c r="AAR126" s="140"/>
      <c r="AAS126" s="140"/>
      <c r="AAT126" s="140"/>
      <c r="AAU126" s="140"/>
      <c r="AAV126" s="140"/>
      <c r="AAW126" s="140"/>
      <c r="AAX126" s="140"/>
      <c r="AAY126" s="140"/>
      <c r="AAZ126" s="140"/>
      <c r="ABA126" s="140"/>
      <c r="ABB126" s="140"/>
      <c r="ABC126" s="140"/>
      <c r="ABD126" s="140"/>
      <c r="ABE126" s="140"/>
      <c r="ABF126" s="140"/>
      <c r="ABG126" s="140"/>
      <c r="ABH126" s="140"/>
      <c r="ABI126" s="140"/>
      <c r="ABJ126" s="140"/>
      <c r="ABK126" s="140"/>
      <c r="ABL126" s="140"/>
      <c r="ABM126" s="140"/>
      <c r="ABN126" s="140"/>
      <c r="ABO126" s="140"/>
      <c r="ABP126" s="140"/>
      <c r="ABQ126" s="140"/>
      <c r="ABR126" s="140"/>
      <c r="ABS126" s="140"/>
      <c r="ABT126" s="140"/>
      <c r="ABU126" s="140"/>
      <c r="ABV126" s="140"/>
      <c r="ABW126" s="140"/>
      <c r="ABX126" s="140"/>
      <c r="ABY126" s="140"/>
      <c r="ABZ126" s="140"/>
      <c r="ACA126" s="140"/>
      <c r="ACB126" s="140"/>
      <c r="ACC126" s="140"/>
      <c r="ACD126" s="140"/>
      <c r="ACE126" s="140"/>
      <c r="ACF126" s="140"/>
      <c r="ACG126" s="140"/>
      <c r="ACH126" s="140"/>
      <c r="ACI126" s="140"/>
      <c r="ACJ126" s="140"/>
      <c r="ACK126" s="140"/>
      <c r="ACL126" s="140"/>
      <c r="ACM126" s="140"/>
      <c r="ACN126" s="140"/>
      <c r="ACO126" s="140"/>
      <c r="ACP126" s="140"/>
      <c r="ACQ126" s="140"/>
      <c r="ACR126" s="140"/>
      <c r="ACS126" s="140"/>
      <c r="ACT126" s="140"/>
      <c r="ACU126" s="140"/>
      <c r="ACV126" s="140"/>
      <c r="ACW126" s="140"/>
      <c r="ACX126" s="140"/>
      <c r="ACY126" s="140"/>
      <c r="ACZ126" s="140"/>
      <c r="ADA126" s="140"/>
      <c r="ADB126" s="140"/>
      <c r="ADC126" s="140"/>
      <c r="ADD126" s="140"/>
      <c r="ADE126" s="140"/>
      <c r="ADF126" s="140"/>
      <c r="ADG126" s="140"/>
      <c r="ADH126" s="140"/>
      <c r="ADI126" s="140"/>
      <c r="ADJ126" s="140"/>
      <c r="ADK126" s="140"/>
      <c r="ADL126" s="140"/>
      <c r="ADM126" s="140"/>
      <c r="ADN126" s="140"/>
      <c r="ADO126" s="140"/>
      <c r="ADP126" s="140"/>
      <c r="ADQ126" s="140"/>
      <c r="ADR126" s="140"/>
      <c r="ADS126" s="140"/>
      <c r="ADT126" s="140"/>
      <c r="ADU126" s="140"/>
      <c r="ADV126" s="140"/>
      <c r="ADW126" s="140"/>
      <c r="ADX126" s="140"/>
      <c r="ADY126" s="140"/>
      <c r="ADZ126" s="140"/>
      <c r="AEA126" s="140"/>
      <c r="AEB126" s="140"/>
      <c r="AEC126" s="140"/>
      <c r="AED126" s="140"/>
      <c r="AEE126" s="140"/>
      <c r="AEF126" s="140"/>
      <c r="AEG126" s="140"/>
      <c r="AEH126" s="140"/>
      <c r="AEI126" s="140"/>
      <c r="AEJ126" s="140"/>
      <c r="AEK126" s="140"/>
      <c r="AEL126" s="140"/>
      <c r="AEM126" s="140"/>
      <c r="AEN126" s="140"/>
      <c r="AEO126" s="140"/>
      <c r="AEP126" s="140"/>
      <c r="AEQ126" s="140"/>
      <c r="AER126" s="140"/>
      <c r="AES126" s="140"/>
      <c r="AET126" s="140"/>
      <c r="AEU126" s="140"/>
      <c r="AEV126" s="140"/>
      <c r="AEW126" s="140"/>
      <c r="AEX126" s="140"/>
      <c r="AEY126" s="140"/>
      <c r="AEZ126" s="140"/>
      <c r="AFA126" s="140"/>
      <c r="AFB126" s="140"/>
      <c r="AFC126" s="140"/>
      <c r="AFD126" s="140"/>
      <c r="AFE126" s="140"/>
      <c r="AFF126" s="140"/>
      <c r="AFG126" s="140"/>
      <c r="AFH126" s="140"/>
      <c r="AFI126" s="140"/>
      <c r="AFJ126" s="140"/>
      <c r="AFK126" s="140"/>
      <c r="AFL126" s="140"/>
      <c r="AFM126" s="140"/>
      <c r="AFN126" s="140"/>
      <c r="AFO126" s="140"/>
      <c r="AFP126" s="140"/>
      <c r="AFQ126" s="140"/>
      <c r="AFR126" s="140"/>
      <c r="AFS126" s="140"/>
      <c r="AFT126" s="140"/>
      <c r="AFU126" s="140"/>
      <c r="AFV126" s="140"/>
      <c r="AFW126" s="140"/>
      <c r="AFX126" s="140"/>
      <c r="AFY126" s="140"/>
      <c r="AFZ126" s="140"/>
      <c r="AGA126" s="140"/>
      <c r="AGB126" s="140"/>
      <c r="AGC126" s="140"/>
      <c r="AGD126" s="140"/>
      <c r="AGE126" s="140"/>
      <c r="AGF126" s="140"/>
      <c r="AGG126" s="140"/>
      <c r="AGH126" s="140"/>
      <c r="AGI126" s="140"/>
      <c r="AGJ126" s="140"/>
      <c r="AGK126" s="140"/>
      <c r="AGL126" s="140"/>
      <c r="AGM126" s="140"/>
      <c r="AGN126" s="140"/>
      <c r="AGO126" s="140"/>
      <c r="AGP126" s="140"/>
      <c r="AGQ126" s="140"/>
      <c r="AGR126" s="140"/>
      <c r="AGS126" s="140"/>
      <c r="AGT126" s="140"/>
      <c r="AGU126" s="140"/>
      <c r="AGV126" s="140"/>
      <c r="AGW126" s="140"/>
      <c r="AGX126" s="140"/>
      <c r="AGY126" s="140"/>
      <c r="AGZ126" s="140"/>
      <c r="AHA126" s="140"/>
      <c r="AHB126" s="140"/>
      <c r="AHC126" s="140"/>
      <c r="AHD126" s="140"/>
      <c r="AHE126" s="140"/>
      <c r="AHF126" s="140"/>
      <c r="AHG126" s="140"/>
      <c r="AHH126" s="140"/>
      <c r="AHI126" s="140"/>
      <c r="AHJ126" s="140"/>
      <c r="AHK126" s="140"/>
      <c r="AHL126" s="140"/>
      <c r="AHM126" s="140"/>
      <c r="AHN126" s="140"/>
      <c r="AHO126" s="140"/>
      <c r="AHP126" s="140"/>
      <c r="AHQ126" s="140"/>
      <c r="AHR126" s="140"/>
      <c r="AHS126" s="140"/>
      <c r="AHT126" s="140"/>
      <c r="AHU126" s="140"/>
      <c r="AHV126" s="140"/>
      <c r="AHW126" s="140"/>
      <c r="AHX126" s="140"/>
      <c r="AHY126" s="140"/>
      <c r="AHZ126" s="140"/>
      <c r="AIA126" s="140"/>
      <c r="AIB126" s="140"/>
      <c r="AIC126" s="140"/>
      <c r="AID126" s="140"/>
      <c r="AIE126" s="140"/>
      <c r="AIF126" s="140"/>
      <c r="AIG126" s="140"/>
      <c r="AIH126" s="140"/>
      <c r="AII126" s="140"/>
      <c r="AIJ126" s="140"/>
      <c r="AIK126" s="140"/>
      <c r="AIL126" s="140"/>
      <c r="AIM126" s="140"/>
      <c r="AIN126" s="140"/>
      <c r="AIO126" s="140"/>
      <c r="AIP126" s="140"/>
      <c r="AIQ126" s="140"/>
      <c r="AIR126" s="140"/>
      <c r="AIS126" s="140"/>
      <c r="AIT126" s="140"/>
      <c r="AIU126" s="140"/>
      <c r="AIV126" s="140"/>
      <c r="AIW126" s="140"/>
      <c r="AIX126" s="140"/>
      <c r="AIY126" s="140"/>
      <c r="AIZ126" s="140"/>
      <c r="AJA126" s="140"/>
      <c r="AJB126" s="140"/>
      <c r="AJC126" s="140"/>
      <c r="AJD126" s="140"/>
      <c r="AJE126" s="140"/>
      <c r="AJF126" s="140"/>
      <c r="AJG126" s="140"/>
      <c r="AJH126" s="140"/>
      <c r="AJI126" s="140"/>
      <c r="AJJ126" s="140"/>
      <c r="AJK126" s="140"/>
      <c r="AJL126" s="140"/>
      <c r="AJM126" s="140"/>
      <c r="AJN126" s="140"/>
      <c r="AJO126" s="140"/>
      <c r="AJP126" s="140"/>
      <c r="AJQ126" s="140"/>
      <c r="AJR126" s="140"/>
      <c r="AJS126" s="140"/>
      <c r="AJT126" s="140"/>
      <c r="AJU126" s="140"/>
      <c r="AJV126" s="140"/>
      <c r="AJW126" s="140"/>
      <c r="AJX126" s="140"/>
      <c r="AJY126" s="140"/>
      <c r="AJZ126" s="140"/>
      <c r="AKA126" s="140"/>
      <c r="AKB126" s="140"/>
      <c r="AKC126" s="140"/>
      <c r="AKD126" s="140"/>
      <c r="AKE126" s="140"/>
      <c r="AKF126" s="140"/>
      <c r="AKG126" s="140"/>
      <c r="AKH126" s="140"/>
      <c r="AKI126" s="140"/>
      <c r="AKJ126" s="140"/>
      <c r="AKK126" s="140"/>
      <c r="AKL126" s="140"/>
      <c r="AKM126" s="140"/>
      <c r="AKN126" s="140"/>
      <c r="AKO126" s="140"/>
      <c r="AKP126" s="140"/>
      <c r="AKQ126" s="140"/>
      <c r="AKR126" s="140"/>
      <c r="AKS126" s="140"/>
      <c r="AKT126" s="140"/>
      <c r="AKU126" s="140"/>
      <c r="AKV126" s="140"/>
      <c r="AKW126" s="140"/>
      <c r="AKX126" s="140"/>
      <c r="AKY126" s="140"/>
      <c r="AKZ126" s="140"/>
      <c r="ALA126" s="140"/>
      <c r="ALB126" s="140"/>
      <c r="ALC126" s="140"/>
      <c r="ALD126" s="140"/>
      <c r="ALE126" s="140"/>
      <c r="ALF126" s="140"/>
      <c r="ALG126" s="140"/>
      <c r="ALH126" s="140"/>
      <c r="ALI126" s="140"/>
      <c r="ALJ126" s="140"/>
      <c r="ALK126" s="140"/>
      <c r="ALL126" s="140"/>
      <c r="ALM126" s="140"/>
      <c r="ALN126" s="140"/>
      <c r="ALO126" s="140"/>
      <c r="ALP126" s="140"/>
      <c r="ALQ126" s="140"/>
      <c r="ALR126" s="140"/>
      <c r="ALS126" s="140"/>
      <c r="ALT126" s="140"/>
      <c r="ALU126" s="140"/>
      <c r="ALV126" s="140"/>
      <c r="ALW126" s="140"/>
      <c r="ALX126" s="140"/>
      <c r="ALY126" s="140"/>
      <c r="ALZ126" s="140"/>
      <c r="AMA126" s="140"/>
      <c r="AMB126" s="140"/>
      <c r="AMC126" s="140"/>
      <c r="AMD126" s="140"/>
      <c r="AME126" s="140"/>
      <c r="AMF126" s="140"/>
      <c r="AMG126" s="140"/>
      <c r="AMH126" s="140"/>
      <c r="AMI126" s="140"/>
      <c r="AMJ126" s="140"/>
      <c r="AMK126" s="140"/>
      <c r="AML126" s="140"/>
      <c r="AMM126" s="140"/>
      <c r="AMN126" s="140"/>
      <c r="AMO126" s="140"/>
      <c r="AMP126" s="140"/>
      <c r="AMQ126" s="140"/>
      <c r="AMR126" s="140"/>
      <c r="AMS126" s="140"/>
      <c r="AMT126" s="140"/>
      <c r="AMU126" s="140"/>
      <c r="AMV126" s="140"/>
      <c r="AMW126" s="140"/>
      <c r="AMX126" s="140"/>
      <c r="AMY126" s="140"/>
      <c r="AMZ126" s="140"/>
      <c r="ANA126" s="140"/>
      <c r="ANB126" s="140"/>
      <c r="ANC126" s="140"/>
      <c r="AND126" s="140"/>
      <c r="ANE126" s="140"/>
      <c r="ANF126" s="140"/>
      <c r="ANG126" s="140"/>
      <c r="ANH126" s="140"/>
      <c r="ANI126" s="140"/>
      <c r="ANJ126" s="140"/>
      <c r="ANK126" s="140"/>
      <c r="ANL126" s="140"/>
      <c r="ANM126" s="140"/>
      <c r="ANN126" s="140"/>
      <c r="ANO126" s="140"/>
      <c r="ANP126" s="140"/>
      <c r="ANQ126" s="140"/>
      <c r="ANR126" s="140"/>
      <c r="ANS126" s="140"/>
      <c r="ANT126" s="140"/>
      <c r="ANU126" s="140"/>
      <c r="ANV126" s="140"/>
      <c r="ANW126" s="140"/>
      <c r="ANX126" s="140"/>
      <c r="ANY126" s="140"/>
      <c r="ANZ126" s="140"/>
      <c r="AOA126" s="140"/>
      <c r="AOB126" s="140"/>
      <c r="AOC126" s="140"/>
      <c r="AOD126" s="140"/>
      <c r="AOE126" s="140"/>
      <c r="AOF126" s="140"/>
      <c r="AOG126" s="140"/>
      <c r="AOH126" s="140"/>
      <c r="AOI126" s="140"/>
      <c r="AOJ126" s="140"/>
      <c r="AOK126" s="140"/>
      <c r="AOL126" s="140"/>
      <c r="AOM126" s="140"/>
      <c r="AON126" s="140"/>
      <c r="AOO126" s="140"/>
      <c r="AOP126" s="140"/>
      <c r="AOQ126" s="140"/>
      <c r="AOR126" s="140"/>
      <c r="AOS126" s="140"/>
      <c r="AOT126" s="140"/>
      <c r="AOU126" s="140"/>
      <c r="AOV126" s="140"/>
      <c r="AOW126" s="140"/>
      <c r="AOX126" s="140"/>
      <c r="AOY126" s="140"/>
      <c r="AOZ126" s="140"/>
      <c r="APA126" s="140"/>
      <c r="APB126" s="140"/>
      <c r="APC126" s="140"/>
      <c r="APD126" s="140"/>
      <c r="APE126" s="140"/>
      <c r="APF126" s="140"/>
      <c r="APG126" s="140"/>
      <c r="APH126" s="140"/>
      <c r="API126" s="140"/>
      <c r="APJ126" s="140"/>
      <c r="APK126" s="140"/>
      <c r="APL126" s="140"/>
      <c r="APM126" s="140"/>
      <c r="APN126" s="140"/>
      <c r="APO126" s="140"/>
      <c r="APP126" s="140"/>
      <c r="APQ126" s="140"/>
      <c r="APR126" s="140"/>
      <c r="APS126" s="140"/>
      <c r="APT126" s="140"/>
      <c r="APU126" s="140"/>
      <c r="APV126" s="140"/>
      <c r="APW126" s="140"/>
      <c r="APX126" s="140"/>
      <c r="APY126" s="140"/>
      <c r="APZ126" s="140"/>
      <c r="AQA126" s="140"/>
      <c r="AQB126" s="140"/>
      <c r="AQC126" s="140"/>
      <c r="AQD126" s="140"/>
      <c r="AQE126" s="140"/>
      <c r="AQF126" s="140"/>
      <c r="AQG126" s="140"/>
      <c r="AQH126" s="140"/>
      <c r="AQI126" s="140"/>
      <c r="AQJ126" s="140"/>
      <c r="AQK126" s="140"/>
      <c r="AQL126" s="140"/>
      <c r="AQM126" s="140"/>
      <c r="AQN126" s="140"/>
      <c r="AQO126" s="140"/>
      <c r="AQP126" s="140"/>
      <c r="AQQ126" s="140"/>
      <c r="AQR126" s="140"/>
      <c r="AQS126" s="140"/>
      <c r="AQT126" s="140"/>
      <c r="AQU126" s="140"/>
      <c r="AQV126" s="140"/>
      <c r="AQW126" s="140"/>
      <c r="AQX126" s="140"/>
      <c r="AQY126" s="140"/>
      <c r="AQZ126" s="140"/>
      <c r="ARA126" s="140"/>
      <c r="ARB126" s="140"/>
      <c r="ARC126" s="140"/>
      <c r="ARD126" s="140"/>
      <c r="ARE126" s="140"/>
      <c r="ARF126" s="140"/>
      <c r="ARG126" s="140"/>
      <c r="ARH126" s="140"/>
      <c r="ARI126" s="140"/>
      <c r="ARJ126" s="140"/>
      <c r="ARK126" s="140"/>
      <c r="ARL126" s="140"/>
      <c r="ARM126" s="140"/>
      <c r="ARN126" s="140"/>
      <c r="ARO126" s="140"/>
      <c r="ARP126" s="140"/>
      <c r="ARQ126" s="140"/>
      <c r="ARR126" s="140"/>
      <c r="ARS126" s="140"/>
      <c r="ART126" s="140"/>
      <c r="ARU126" s="140"/>
      <c r="ARV126" s="140"/>
      <c r="ARW126" s="140"/>
      <c r="ARX126" s="140"/>
      <c r="ARY126" s="140"/>
      <c r="ARZ126" s="140"/>
      <c r="ASA126" s="140"/>
      <c r="ASB126" s="140"/>
      <c r="ASC126" s="140"/>
      <c r="ASD126" s="140"/>
      <c r="ASE126" s="140"/>
      <c r="ASF126" s="140"/>
      <c r="ASG126" s="140"/>
      <c r="ASH126" s="140"/>
      <c r="ASI126" s="140"/>
      <c r="ASJ126" s="140"/>
      <c r="ASK126" s="140"/>
      <c r="ASL126" s="140"/>
      <c r="ASM126" s="140"/>
      <c r="ASN126" s="140"/>
      <c r="ASO126" s="140"/>
      <c r="ASP126" s="140"/>
      <c r="ASQ126" s="140"/>
      <c r="ASR126" s="140"/>
      <c r="ASS126" s="140"/>
      <c r="AST126" s="140"/>
      <c r="ASU126" s="140"/>
      <c r="ASV126" s="140"/>
      <c r="ASW126" s="140"/>
      <c r="ASX126" s="140"/>
      <c r="ASY126" s="140"/>
      <c r="ASZ126" s="140"/>
      <c r="ATA126" s="140"/>
      <c r="ATB126" s="140"/>
      <c r="ATC126" s="140"/>
      <c r="ATD126" s="140"/>
      <c r="ATE126" s="140"/>
      <c r="ATF126" s="140"/>
      <c r="ATG126" s="140"/>
      <c r="ATH126" s="140"/>
      <c r="ATI126" s="140"/>
      <c r="ATJ126" s="140"/>
      <c r="ATK126" s="140"/>
      <c r="ATL126" s="140"/>
      <c r="ATM126" s="140"/>
      <c r="ATN126" s="140"/>
      <c r="ATO126" s="140"/>
      <c r="ATP126" s="140"/>
      <c r="ATQ126" s="140"/>
      <c r="ATR126" s="140"/>
      <c r="ATS126" s="140"/>
      <c r="ATT126" s="140"/>
      <c r="ATU126" s="140"/>
      <c r="ATV126" s="140"/>
      <c r="ATW126" s="140"/>
      <c r="ATX126" s="140"/>
      <c r="ATY126" s="140"/>
      <c r="ATZ126" s="140"/>
      <c r="AUA126" s="140"/>
      <c r="AUB126" s="140"/>
      <c r="AUC126" s="140"/>
      <c r="AUD126" s="140"/>
      <c r="AUE126" s="140"/>
      <c r="AUF126" s="140"/>
      <c r="AUG126" s="140"/>
      <c r="AUH126" s="140"/>
      <c r="AUI126" s="140"/>
      <c r="AUJ126" s="140"/>
      <c r="AUK126" s="140"/>
      <c r="AUL126" s="140"/>
      <c r="AUM126" s="140"/>
      <c r="AUN126" s="140"/>
      <c r="AUO126" s="140"/>
      <c r="AUP126" s="140"/>
      <c r="AUQ126" s="140"/>
      <c r="AUR126" s="140"/>
      <c r="AUS126" s="140"/>
      <c r="AUT126" s="140"/>
      <c r="AUU126" s="140"/>
      <c r="AUV126" s="140"/>
      <c r="AUW126" s="140"/>
      <c r="AUX126" s="140"/>
      <c r="AUY126" s="140"/>
      <c r="AUZ126" s="140"/>
      <c r="AVA126" s="140"/>
      <c r="AVB126" s="140"/>
      <c r="AVC126" s="140"/>
      <c r="AVD126" s="140"/>
      <c r="AVE126" s="140"/>
      <c r="AVF126" s="140"/>
      <c r="AVG126" s="140"/>
      <c r="AVH126" s="140"/>
      <c r="AVI126" s="140"/>
      <c r="AVJ126" s="140"/>
      <c r="AVK126" s="140"/>
      <c r="AVL126" s="140"/>
      <c r="AVM126" s="140"/>
      <c r="AVN126" s="140"/>
      <c r="AVO126" s="140"/>
      <c r="AVP126" s="140"/>
      <c r="AVQ126" s="140"/>
      <c r="AVR126" s="140"/>
      <c r="AVS126" s="140"/>
      <c r="AVT126" s="140"/>
      <c r="AVU126" s="140"/>
      <c r="AVV126" s="140"/>
      <c r="AVW126" s="140"/>
      <c r="AVX126" s="140"/>
      <c r="AVY126" s="140"/>
      <c r="AVZ126" s="140"/>
      <c r="AWA126" s="140"/>
      <c r="AWB126" s="140"/>
      <c r="AWC126" s="140"/>
      <c r="AWD126" s="140"/>
      <c r="AWE126" s="140"/>
      <c r="AWF126" s="140"/>
      <c r="AWG126" s="140"/>
      <c r="AWH126" s="140"/>
      <c r="AWI126" s="140"/>
      <c r="AWJ126" s="140"/>
      <c r="AWK126" s="140"/>
      <c r="AWL126" s="140"/>
      <c r="AWM126" s="140"/>
      <c r="AWN126" s="140"/>
      <c r="AWO126" s="140"/>
      <c r="AWP126" s="140"/>
      <c r="AWQ126" s="140"/>
      <c r="AWR126" s="140"/>
      <c r="AWS126" s="140"/>
      <c r="AWT126" s="140"/>
      <c r="AWU126" s="140"/>
      <c r="AWV126" s="140"/>
      <c r="AWW126" s="140"/>
      <c r="AWX126" s="140"/>
      <c r="AWY126" s="140"/>
      <c r="AWZ126" s="140"/>
      <c r="AXA126" s="140"/>
      <c r="AXB126" s="140"/>
      <c r="AXC126" s="140"/>
      <c r="AXD126" s="140"/>
      <c r="AXE126" s="140"/>
      <c r="AXF126" s="140"/>
      <c r="AXG126" s="140"/>
      <c r="AXH126" s="140"/>
      <c r="AXI126" s="140"/>
      <c r="AXJ126" s="140"/>
      <c r="AXK126" s="140"/>
      <c r="AXL126" s="140"/>
      <c r="AXM126" s="140"/>
      <c r="AXN126" s="140"/>
      <c r="AXO126" s="140"/>
      <c r="AXP126" s="140"/>
      <c r="AXQ126" s="140"/>
      <c r="AXR126" s="140"/>
      <c r="AXS126" s="140"/>
      <c r="AXT126" s="140"/>
      <c r="AXU126" s="140"/>
      <c r="AXV126" s="140"/>
      <c r="AXW126" s="140"/>
      <c r="AXX126" s="140"/>
      <c r="AXY126" s="140"/>
      <c r="AXZ126" s="140"/>
      <c r="AYA126" s="140"/>
      <c r="AYB126" s="140"/>
      <c r="AYC126" s="140"/>
      <c r="AYD126" s="140"/>
      <c r="AYE126" s="140"/>
      <c r="AYF126" s="140"/>
      <c r="AYG126" s="140"/>
      <c r="AYH126" s="140"/>
      <c r="AYI126" s="140"/>
      <c r="AYJ126" s="140"/>
      <c r="AYK126" s="140"/>
      <c r="AYL126" s="140"/>
      <c r="AYM126" s="140"/>
      <c r="AYN126" s="140"/>
      <c r="AYO126" s="140"/>
      <c r="AYP126" s="140"/>
      <c r="AYQ126" s="140"/>
      <c r="AYR126" s="140"/>
      <c r="AYS126" s="140"/>
      <c r="AYT126" s="140"/>
      <c r="AYU126" s="140"/>
      <c r="AYV126" s="140"/>
      <c r="AYW126" s="140"/>
      <c r="AYX126" s="140"/>
      <c r="AYY126" s="140"/>
      <c r="AYZ126" s="140"/>
      <c r="AZA126" s="140"/>
      <c r="AZB126" s="140"/>
      <c r="AZC126" s="140"/>
      <c r="AZD126" s="140"/>
      <c r="AZE126" s="140"/>
      <c r="AZF126" s="140"/>
      <c r="AZG126" s="140"/>
      <c r="AZH126" s="140"/>
      <c r="AZI126" s="140"/>
      <c r="AZJ126" s="140"/>
      <c r="AZK126" s="140"/>
      <c r="AZL126" s="140"/>
      <c r="AZM126" s="140"/>
      <c r="AZN126" s="140"/>
      <c r="AZO126" s="140"/>
      <c r="AZP126" s="140"/>
      <c r="AZQ126" s="140"/>
      <c r="AZR126" s="140"/>
      <c r="AZS126" s="140"/>
      <c r="AZT126" s="140"/>
      <c r="AZU126" s="140"/>
      <c r="AZV126" s="140"/>
      <c r="AZW126" s="140"/>
      <c r="AZX126" s="140"/>
      <c r="AZY126" s="140"/>
      <c r="AZZ126" s="140"/>
      <c r="BAA126" s="140"/>
      <c r="BAB126" s="140"/>
      <c r="BAC126" s="140"/>
      <c r="BAD126" s="140"/>
      <c r="BAE126" s="140"/>
      <c r="BAF126" s="140"/>
      <c r="BAG126" s="140"/>
      <c r="BAH126" s="140"/>
      <c r="BAI126" s="140"/>
      <c r="BAJ126" s="140"/>
      <c r="BAK126" s="140"/>
      <c r="BAL126" s="140"/>
      <c r="BAM126" s="140"/>
      <c r="BAN126" s="140"/>
      <c r="BAO126" s="140"/>
      <c r="BAP126" s="140"/>
      <c r="BAQ126" s="140"/>
      <c r="BAR126" s="140"/>
      <c r="BAS126" s="140"/>
      <c r="BAT126" s="140"/>
      <c r="BAU126" s="140"/>
      <c r="BAV126" s="140"/>
      <c r="BAW126" s="140"/>
      <c r="BAX126" s="140"/>
      <c r="BAY126" s="140"/>
      <c r="BAZ126" s="140"/>
      <c r="BBA126" s="140"/>
      <c r="BBB126" s="140"/>
      <c r="BBC126" s="140"/>
      <c r="BBD126" s="140"/>
      <c r="BBE126" s="140"/>
      <c r="BBF126" s="140"/>
      <c r="BBG126" s="140"/>
      <c r="BBH126" s="140"/>
      <c r="BBI126" s="140"/>
      <c r="BBJ126" s="140"/>
      <c r="BBK126" s="140"/>
      <c r="BBL126" s="140"/>
      <c r="BBM126" s="140"/>
      <c r="BBN126" s="140"/>
      <c r="BBO126" s="140"/>
      <c r="BBP126" s="140"/>
      <c r="BBQ126" s="140"/>
      <c r="BBR126" s="140"/>
      <c r="BBS126" s="140"/>
      <c r="BBT126" s="140"/>
      <c r="BBU126" s="140"/>
      <c r="BBV126" s="140"/>
      <c r="BBW126" s="140"/>
      <c r="BBX126" s="140"/>
      <c r="BBY126" s="140"/>
      <c r="BBZ126" s="140"/>
      <c r="BCA126" s="140"/>
      <c r="BCB126" s="140"/>
      <c r="BCC126" s="140"/>
      <c r="BCD126" s="140"/>
      <c r="BCE126" s="140"/>
      <c r="BCF126" s="140"/>
      <c r="BCG126" s="140"/>
      <c r="BCH126" s="140"/>
      <c r="BCI126" s="140"/>
      <c r="BCJ126" s="140"/>
      <c r="BCK126" s="140"/>
      <c r="BCL126" s="140"/>
      <c r="BCM126" s="140"/>
      <c r="BCN126" s="140"/>
      <c r="BCO126" s="140"/>
      <c r="BCP126" s="140"/>
      <c r="BCQ126" s="140"/>
      <c r="BCR126" s="140"/>
      <c r="BCS126" s="140"/>
      <c r="BCT126" s="140"/>
      <c r="BCU126" s="140"/>
      <c r="BCV126" s="140"/>
      <c r="BCW126" s="140"/>
      <c r="BCX126" s="140"/>
      <c r="BCY126" s="140"/>
      <c r="BCZ126" s="140"/>
      <c r="BDA126" s="140"/>
      <c r="BDB126" s="140"/>
      <c r="BDC126" s="140"/>
      <c r="BDD126" s="140"/>
      <c r="BDE126" s="140"/>
      <c r="BDF126" s="140"/>
      <c r="BDG126" s="140"/>
      <c r="BDH126" s="140"/>
      <c r="BDI126" s="140"/>
      <c r="BDJ126" s="140"/>
      <c r="BDK126" s="140"/>
      <c r="BDL126" s="140"/>
      <c r="BDM126" s="140"/>
      <c r="BDN126" s="140"/>
      <c r="BDO126" s="140"/>
      <c r="BDP126" s="140"/>
      <c r="BDQ126" s="140"/>
      <c r="BDR126" s="140"/>
      <c r="BDS126" s="140"/>
      <c r="BDT126" s="140"/>
      <c r="BDU126" s="140"/>
      <c r="BDV126" s="140"/>
      <c r="BDW126" s="140"/>
      <c r="BDX126" s="140"/>
      <c r="BDY126" s="140"/>
      <c r="BDZ126" s="140"/>
      <c r="BEA126" s="140"/>
      <c r="BEB126" s="140"/>
      <c r="BEC126" s="140"/>
      <c r="BED126" s="140"/>
      <c r="BEE126" s="140"/>
      <c r="BEF126" s="140"/>
      <c r="BEG126" s="140"/>
      <c r="BEH126" s="140"/>
      <c r="BEI126" s="140"/>
      <c r="BEJ126" s="140"/>
      <c r="BEK126" s="140"/>
      <c r="BEL126" s="140"/>
      <c r="BEM126" s="140"/>
      <c r="BEN126" s="140"/>
      <c r="BEO126" s="140"/>
      <c r="BEP126" s="140"/>
      <c r="BEQ126" s="140"/>
      <c r="BER126" s="140"/>
      <c r="BES126" s="140"/>
      <c r="BET126" s="140"/>
      <c r="BEU126" s="140"/>
      <c r="BEV126" s="140"/>
      <c r="BEW126" s="140"/>
      <c r="BEX126" s="140"/>
      <c r="BEY126" s="140"/>
      <c r="BEZ126" s="140"/>
      <c r="BFA126" s="140"/>
      <c r="BFB126" s="140"/>
      <c r="BFC126" s="140"/>
      <c r="BFD126" s="140"/>
      <c r="BFE126" s="140"/>
      <c r="BFF126" s="140"/>
      <c r="BFG126" s="140"/>
      <c r="BFH126" s="140"/>
      <c r="BFI126" s="140"/>
      <c r="BFJ126" s="140"/>
      <c r="BFK126" s="140"/>
      <c r="BFL126" s="140"/>
      <c r="BFM126" s="140"/>
      <c r="BFN126" s="140"/>
      <c r="BFO126" s="140"/>
      <c r="BFP126" s="140"/>
      <c r="BFQ126" s="140"/>
      <c r="BFR126" s="140"/>
      <c r="BFS126" s="140"/>
      <c r="BFT126" s="140"/>
      <c r="BFU126" s="140"/>
      <c r="BFV126" s="140"/>
      <c r="BFW126" s="140"/>
      <c r="BFX126" s="140"/>
      <c r="BFY126" s="140"/>
      <c r="BFZ126" s="140"/>
      <c r="BGA126" s="140"/>
      <c r="BGB126" s="140"/>
      <c r="BGC126" s="140"/>
      <c r="BGD126" s="140"/>
      <c r="BGE126" s="140"/>
      <c r="BGF126" s="140"/>
      <c r="BGG126" s="140"/>
      <c r="BGH126" s="140"/>
      <c r="BGI126" s="140"/>
      <c r="BGJ126" s="140"/>
      <c r="BGK126" s="140"/>
      <c r="BGL126" s="140"/>
      <c r="BGM126" s="140"/>
      <c r="BGN126" s="140"/>
      <c r="BGO126" s="140"/>
      <c r="BGP126" s="140"/>
      <c r="BGQ126" s="140"/>
      <c r="BGR126" s="140"/>
      <c r="BGS126" s="140"/>
      <c r="BGT126" s="140"/>
      <c r="BGU126" s="140"/>
      <c r="BGV126" s="140"/>
      <c r="BGW126" s="140"/>
      <c r="BGX126" s="140"/>
      <c r="BGY126" s="140"/>
      <c r="BGZ126" s="140"/>
      <c r="BHA126" s="140"/>
      <c r="BHB126" s="140"/>
      <c r="BHC126" s="140"/>
      <c r="BHD126" s="140"/>
      <c r="BHE126" s="140"/>
      <c r="BHF126" s="140"/>
      <c r="BHG126" s="140"/>
      <c r="BHH126" s="140"/>
      <c r="BHI126" s="140"/>
      <c r="BHJ126" s="140"/>
      <c r="BHK126" s="140"/>
      <c r="BHL126" s="140"/>
      <c r="BHM126" s="140"/>
      <c r="BHN126" s="140"/>
      <c r="BHO126" s="140"/>
      <c r="BHP126" s="140"/>
      <c r="BHQ126" s="140"/>
      <c r="BHR126" s="140"/>
      <c r="BHS126" s="140"/>
      <c r="BHT126" s="140"/>
      <c r="BHU126" s="140"/>
      <c r="BHV126" s="140"/>
      <c r="BHW126" s="140"/>
      <c r="BHX126" s="140"/>
      <c r="BHY126" s="140"/>
      <c r="BHZ126" s="140"/>
      <c r="BIA126" s="140"/>
      <c r="BIB126" s="140"/>
      <c r="BIC126" s="140"/>
      <c r="BID126" s="140"/>
      <c r="BIE126" s="140"/>
      <c r="BIF126" s="140"/>
      <c r="BIG126" s="140"/>
      <c r="BIH126" s="140"/>
      <c r="BII126" s="140"/>
      <c r="BIJ126" s="140"/>
      <c r="BIK126" s="140"/>
      <c r="BIL126" s="140"/>
      <c r="BIM126" s="140"/>
      <c r="BIN126" s="140"/>
      <c r="BIO126" s="140"/>
      <c r="BIP126" s="140"/>
      <c r="BIQ126" s="140"/>
      <c r="BIR126" s="140"/>
      <c r="BIS126" s="140"/>
      <c r="BIT126" s="140"/>
      <c r="BIU126" s="140"/>
      <c r="BIV126" s="140"/>
      <c r="BIW126" s="140"/>
      <c r="BIX126" s="140"/>
      <c r="BIY126" s="140"/>
      <c r="BIZ126" s="140"/>
      <c r="BJA126" s="140"/>
      <c r="BJB126" s="140"/>
      <c r="BJC126" s="140"/>
      <c r="BJD126" s="140"/>
      <c r="BJE126" s="140"/>
      <c r="BJF126" s="140"/>
      <c r="BJG126" s="140"/>
      <c r="BJH126" s="140"/>
      <c r="BJI126" s="140"/>
      <c r="BJJ126" s="140"/>
      <c r="BJK126" s="140"/>
      <c r="BJL126" s="140"/>
      <c r="BJM126" s="140"/>
      <c r="BJN126" s="140"/>
      <c r="BJO126" s="140"/>
      <c r="BJP126" s="140"/>
      <c r="BJQ126" s="140"/>
      <c r="BJR126" s="140"/>
      <c r="BJS126" s="140"/>
      <c r="BJT126" s="140"/>
      <c r="BJU126" s="140"/>
      <c r="BJV126" s="140"/>
      <c r="BJW126" s="140"/>
      <c r="BJX126" s="140"/>
      <c r="BJY126" s="140"/>
      <c r="BJZ126" s="140"/>
      <c r="BKA126" s="140"/>
      <c r="BKB126" s="140"/>
      <c r="BKC126" s="140"/>
      <c r="BKD126" s="140"/>
      <c r="BKE126" s="140"/>
      <c r="BKF126" s="140"/>
      <c r="BKG126" s="140"/>
      <c r="BKH126" s="140"/>
      <c r="BKI126" s="140"/>
      <c r="BKJ126" s="140"/>
      <c r="BKK126" s="140"/>
      <c r="BKL126" s="140"/>
      <c r="BKM126" s="140"/>
      <c r="BKN126" s="140"/>
      <c r="BKO126" s="140"/>
      <c r="BKP126" s="140"/>
      <c r="BKQ126" s="140"/>
      <c r="BKR126" s="140"/>
      <c r="BKS126" s="140"/>
      <c r="BKT126" s="140"/>
      <c r="BKU126" s="140"/>
      <c r="BKV126" s="140"/>
      <c r="BKW126" s="140"/>
      <c r="BKX126" s="140"/>
      <c r="BKY126" s="140"/>
      <c r="BKZ126" s="140"/>
      <c r="BLA126" s="140"/>
      <c r="BLB126" s="140"/>
      <c r="BLC126" s="140"/>
      <c r="BLD126" s="140"/>
      <c r="BLE126" s="140"/>
      <c r="BLF126" s="140"/>
      <c r="BLG126" s="140"/>
      <c r="BLH126" s="140"/>
      <c r="BLI126" s="140"/>
      <c r="BLJ126" s="140"/>
      <c r="BLK126" s="140"/>
      <c r="BLL126" s="140"/>
      <c r="BLM126" s="140"/>
      <c r="BLN126" s="140"/>
      <c r="BLO126" s="140"/>
      <c r="BLP126" s="140"/>
      <c r="BLQ126" s="140"/>
      <c r="BLR126" s="140"/>
      <c r="BLS126" s="140"/>
      <c r="BLT126" s="140"/>
      <c r="BLU126" s="140"/>
      <c r="BLV126" s="140"/>
      <c r="BLW126" s="140"/>
      <c r="BLX126" s="140"/>
      <c r="BLY126" s="140"/>
      <c r="BLZ126" s="140"/>
      <c r="BMA126" s="140"/>
      <c r="BMB126" s="140"/>
      <c r="BMC126" s="140"/>
      <c r="BMD126" s="140"/>
      <c r="BME126" s="140"/>
      <c r="BMF126" s="140"/>
      <c r="BMG126" s="140"/>
      <c r="BMH126" s="140"/>
      <c r="BMI126" s="140"/>
      <c r="BMJ126" s="140"/>
      <c r="BMK126" s="140"/>
      <c r="BML126" s="140"/>
      <c r="BMM126" s="140"/>
      <c r="BMN126" s="140"/>
      <c r="BMO126" s="140"/>
      <c r="BMP126" s="140"/>
      <c r="BMQ126" s="140"/>
      <c r="BMR126" s="140"/>
      <c r="BMS126" s="140"/>
      <c r="BMT126" s="140"/>
      <c r="BMU126" s="140"/>
      <c r="BMV126" s="140"/>
      <c r="BMW126" s="140"/>
      <c r="BMX126" s="140"/>
      <c r="BMY126" s="140"/>
      <c r="BMZ126" s="140"/>
      <c r="BNA126" s="140"/>
      <c r="BNB126" s="140"/>
      <c r="BNC126" s="140"/>
      <c r="BND126" s="140"/>
      <c r="BNE126" s="140"/>
      <c r="BNF126" s="140"/>
      <c r="BNG126" s="140"/>
      <c r="BNH126" s="140"/>
      <c r="BNI126" s="140"/>
      <c r="BNJ126" s="140"/>
      <c r="BNK126" s="140"/>
      <c r="BNL126" s="140"/>
      <c r="BNM126" s="140"/>
      <c r="BNN126" s="140"/>
      <c r="BNO126" s="140"/>
      <c r="BNP126" s="140"/>
      <c r="BNQ126" s="140"/>
      <c r="BNR126" s="140"/>
      <c r="BNS126" s="140"/>
      <c r="BNT126" s="140"/>
      <c r="BNU126" s="140"/>
      <c r="BNV126" s="140"/>
      <c r="BNW126" s="140"/>
      <c r="BNX126" s="140"/>
      <c r="BNY126" s="140"/>
      <c r="BNZ126" s="140"/>
      <c r="BOA126" s="140"/>
      <c r="BOB126" s="140"/>
      <c r="BOC126" s="140"/>
      <c r="BOD126" s="140"/>
      <c r="BOE126" s="140"/>
      <c r="BOF126" s="140"/>
      <c r="BOG126" s="140"/>
      <c r="BOH126" s="140"/>
      <c r="BOI126" s="140"/>
      <c r="BOJ126" s="140"/>
      <c r="BOK126" s="140"/>
      <c r="BOL126" s="140"/>
      <c r="BOM126" s="140"/>
      <c r="BON126" s="140"/>
      <c r="BOO126" s="140"/>
      <c r="BOP126" s="140"/>
      <c r="BOQ126" s="140"/>
      <c r="BOR126" s="140"/>
      <c r="BOS126" s="140"/>
      <c r="BOT126" s="140"/>
      <c r="BOU126" s="140"/>
      <c r="BOV126" s="140"/>
      <c r="BOW126" s="140"/>
      <c r="BOX126" s="140"/>
      <c r="BOY126" s="140"/>
      <c r="BOZ126" s="140"/>
      <c r="BPA126" s="140"/>
      <c r="BPB126" s="140"/>
      <c r="BPC126" s="140"/>
      <c r="BPD126" s="140"/>
      <c r="BPE126" s="140"/>
      <c r="BPF126" s="140"/>
      <c r="BPG126" s="140"/>
      <c r="BPH126" s="140"/>
      <c r="BPI126" s="140"/>
      <c r="BPJ126" s="140"/>
      <c r="BPK126" s="140"/>
      <c r="BPL126" s="140"/>
      <c r="BPM126" s="140"/>
      <c r="BPN126" s="140"/>
      <c r="BPO126" s="140"/>
      <c r="BPP126" s="140"/>
      <c r="BPQ126" s="140"/>
      <c r="BPR126" s="140"/>
      <c r="BPS126" s="140"/>
      <c r="BPT126" s="140"/>
      <c r="BPU126" s="140"/>
      <c r="BPV126" s="140"/>
      <c r="BPW126" s="140"/>
      <c r="BPX126" s="140"/>
      <c r="BPY126" s="140"/>
      <c r="BPZ126" s="140"/>
      <c r="BQA126" s="140"/>
      <c r="BQB126" s="140"/>
      <c r="BQC126" s="140"/>
      <c r="BQD126" s="140"/>
      <c r="BQE126" s="140"/>
      <c r="BQF126" s="140"/>
      <c r="BQG126" s="140"/>
      <c r="BQH126" s="140"/>
      <c r="BQI126" s="140"/>
      <c r="BQJ126" s="140"/>
      <c r="BQK126" s="140"/>
      <c r="BQL126" s="140"/>
      <c r="BQM126" s="140"/>
      <c r="BQN126" s="140"/>
      <c r="BQO126" s="140"/>
      <c r="BQP126" s="140"/>
      <c r="BQQ126" s="140"/>
      <c r="BQR126" s="140"/>
      <c r="BQS126" s="140"/>
      <c r="BQT126" s="140"/>
      <c r="BQU126" s="140"/>
      <c r="BQV126" s="140"/>
      <c r="BQW126" s="140"/>
      <c r="BQX126" s="140"/>
      <c r="BQY126" s="140"/>
      <c r="BQZ126" s="140"/>
      <c r="BRA126" s="140"/>
      <c r="BRB126" s="140"/>
      <c r="BRC126" s="140"/>
      <c r="BRD126" s="140"/>
      <c r="BRE126" s="140"/>
      <c r="BRF126" s="140"/>
      <c r="BRG126" s="140"/>
      <c r="BRH126" s="140"/>
      <c r="BRI126" s="140"/>
      <c r="BRJ126" s="140"/>
      <c r="BRK126" s="140"/>
      <c r="BRL126" s="140"/>
      <c r="BRM126" s="140"/>
      <c r="BRN126" s="140"/>
      <c r="BRO126" s="140"/>
      <c r="BRP126" s="140"/>
      <c r="BRQ126" s="140"/>
      <c r="BRR126" s="140"/>
      <c r="BRS126" s="140"/>
      <c r="BRT126" s="140"/>
      <c r="BRU126" s="140"/>
      <c r="BRV126" s="140"/>
      <c r="BRW126" s="140"/>
      <c r="BRX126" s="140"/>
      <c r="BRY126" s="140"/>
      <c r="BRZ126" s="140"/>
      <c r="BSA126" s="140"/>
      <c r="BSB126" s="140"/>
      <c r="BSC126" s="140"/>
      <c r="BSD126" s="140"/>
      <c r="BSE126" s="140"/>
      <c r="BSF126" s="140"/>
      <c r="BSG126" s="140"/>
      <c r="BSH126" s="140"/>
      <c r="BSI126" s="140"/>
      <c r="BSJ126" s="140"/>
      <c r="BSK126" s="140"/>
      <c r="BSL126" s="140"/>
      <c r="BSM126" s="140"/>
      <c r="BSN126" s="140"/>
      <c r="BSO126" s="140"/>
      <c r="BSP126" s="140"/>
      <c r="BSQ126" s="140"/>
      <c r="BSR126" s="140"/>
      <c r="BSS126" s="140"/>
      <c r="BST126" s="140"/>
      <c r="BSU126" s="140"/>
      <c r="BSV126" s="140"/>
      <c r="BSW126" s="140"/>
      <c r="BSX126" s="140"/>
      <c r="BSY126" s="140"/>
      <c r="BSZ126" s="140"/>
      <c r="BTA126" s="140"/>
      <c r="BTB126" s="140"/>
      <c r="BTC126" s="140"/>
      <c r="BTD126" s="140"/>
      <c r="BTE126" s="140"/>
      <c r="BTF126" s="140"/>
      <c r="BTG126" s="140"/>
      <c r="BTH126" s="140"/>
      <c r="BTI126" s="140"/>
      <c r="BTJ126" s="140"/>
      <c r="BTK126" s="140"/>
      <c r="BTL126" s="140"/>
      <c r="BTM126" s="140"/>
      <c r="BTN126" s="140"/>
      <c r="BTO126" s="140"/>
      <c r="BTP126" s="140"/>
      <c r="BTQ126" s="140"/>
      <c r="BTR126" s="140"/>
      <c r="BTS126" s="140"/>
      <c r="BTT126" s="140"/>
      <c r="BTU126" s="140"/>
      <c r="BTV126" s="140"/>
      <c r="BTW126" s="140"/>
      <c r="BTX126" s="140"/>
      <c r="BTY126" s="140"/>
      <c r="BTZ126" s="140"/>
      <c r="BUA126" s="140"/>
      <c r="BUB126" s="140"/>
      <c r="BUC126" s="140"/>
      <c r="BUD126" s="140"/>
      <c r="BUE126" s="140"/>
      <c r="BUF126" s="140"/>
      <c r="BUG126" s="140"/>
      <c r="BUH126" s="140"/>
      <c r="BUI126" s="140"/>
      <c r="BUJ126" s="140"/>
      <c r="BUK126" s="140"/>
      <c r="BUL126" s="140"/>
      <c r="BUM126" s="140"/>
      <c r="BUN126" s="140"/>
      <c r="BUO126" s="140"/>
      <c r="BUP126" s="140"/>
      <c r="BUQ126" s="140"/>
      <c r="BUR126" s="140"/>
      <c r="BUS126" s="140"/>
      <c r="BUT126" s="140"/>
      <c r="BUU126" s="140"/>
      <c r="BUV126" s="140"/>
      <c r="BUW126" s="140"/>
      <c r="BUX126" s="140"/>
      <c r="BUY126" s="140"/>
      <c r="BUZ126" s="140"/>
      <c r="BVA126" s="140"/>
      <c r="BVB126" s="140"/>
      <c r="BVC126" s="140"/>
      <c r="BVD126" s="140"/>
      <c r="BVE126" s="140"/>
      <c r="BVF126" s="140"/>
      <c r="BVG126" s="140"/>
      <c r="BVH126" s="140"/>
      <c r="BVI126" s="140"/>
      <c r="BVJ126" s="140"/>
      <c r="BVK126" s="140"/>
      <c r="BVL126" s="140"/>
      <c r="BVM126" s="140"/>
      <c r="BVN126" s="140"/>
      <c r="BVO126" s="140"/>
      <c r="BVP126" s="140"/>
      <c r="BVQ126" s="140"/>
      <c r="BVR126" s="140"/>
      <c r="BVS126" s="140"/>
      <c r="BVT126" s="140"/>
      <c r="BVU126" s="140"/>
      <c r="BVV126" s="140"/>
      <c r="BVW126" s="140"/>
      <c r="BVX126" s="140"/>
      <c r="BVY126" s="140"/>
      <c r="BVZ126" s="140"/>
      <c r="BWA126" s="140"/>
      <c r="BWB126" s="140"/>
      <c r="BWC126" s="140"/>
      <c r="BWD126" s="140"/>
      <c r="BWE126" s="140"/>
      <c r="BWF126" s="140"/>
      <c r="BWG126" s="140"/>
      <c r="BWH126" s="140"/>
      <c r="BWI126" s="140"/>
      <c r="BWJ126" s="140"/>
      <c r="BWK126" s="140"/>
      <c r="BWL126" s="140"/>
      <c r="BWM126" s="140"/>
      <c r="BWN126" s="140"/>
      <c r="BWO126" s="140"/>
      <c r="BWP126" s="140"/>
      <c r="BWQ126" s="140"/>
      <c r="BWR126" s="140"/>
      <c r="BWS126" s="140"/>
      <c r="BWT126" s="140"/>
      <c r="BWU126" s="140"/>
      <c r="BWV126" s="140"/>
      <c r="BWW126" s="140"/>
      <c r="BWX126" s="140"/>
      <c r="BWY126" s="140"/>
      <c r="BWZ126" s="140"/>
      <c r="BXA126" s="140"/>
      <c r="BXB126" s="140"/>
      <c r="BXC126" s="140"/>
      <c r="BXD126" s="140"/>
      <c r="BXE126" s="140"/>
      <c r="BXF126" s="140"/>
      <c r="BXG126" s="140"/>
      <c r="BXH126" s="140"/>
      <c r="BXI126" s="140"/>
      <c r="BXJ126" s="140"/>
      <c r="BXK126" s="140"/>
      <c r="BXL126" s="140"/>
      <c r="BXM126" s="140"/>
      <c r="BXN126" s="140"/>
      <c r="BXO126" s="140"/>
      <c r="BXP126" s="140"/>
      <c r="BXQ126" s="140"/>
      <c r="BXR126" s="140"/>
      <c r="BXS126" s="140"/>
      <c r="BXT126" s="140"/>
      <c r="BXU126" s="140"/>
      <c r="BXV126" s="140"/>
      <c r="BXW126" s="140"/>
      <c r="BXX126" s="140"/>
      <c r="BXY126" s="140"/>
      <c r="BXZ126" s="140"/>
      <c r="BYA126" s="140"/>
      <c r="BYB126" s="140"/>
      <c r="BYC126" s="140"/>
      <c r="BYD126" s="140"/>
      <c r="BYE126" s="140"/>
      <c r="BYF126" s="140"/>
      <c r="BYG126" s="140"/>
      <c r="BYH126" s="140"/>
      <c r="BYI126" s="140"/>
      <c r="BYJ126" s="140"/>
      <c r="BYK126" s="140"/>
      <c r="BYL126" s="140"/>
      <c r="BYM126" s="140"/>
      <c r="BYN126" s="140"/>
      <c r="BYO126" s="140"/>
      <c r="BYP126" s="140"/>
      <c r="BYQ126" s="140"/>
      <c r="BYR126" s="140"/>
      <c r="BYS126" s="140"/>
      <c r="BYT126" s="140"/>
      <c r="BYU126" s="140"/>
      <c r="BYV126" s="140"/>
      <c r="BYW126" s="140"/>
      <c r="BYX126" s="140"/>
      <c r="BYY126" s="140"/>
      <c r="BYZ126" s="140"/>
      <c r="BZA126" s="140"/>
      <c r="BZB126" s="140"/>
      <c r="BZC126" s="140"/>
      <c r="BZD126" s="140"/>
      <c r="BZE126" s="140"/>
      <c r="BZF126" s="140"/>
      <c r="BZG126" s="140"/>
      <c r="BZH126" s="140"/>
      <c r="BZI126" s="140"/>
      <c r="BZJ126" s="140"/>
      <c r="BZK126" s="140"/>
      <c r="BZL126" s="140"/>
      <c r="BZM126" s="140"/>
      <c r="BZN126" s="140"/>
      <c r="BZO126" s="140"/>
      <c r="BZP126" s="140"/>
      <c r="BZQ126" s="140"/>
      <c r="BZR126" s="140"/>
      <c r="BZS126" s="140"/>
      <c r="BZT126" s="140"/>
      <c r="BZU126" s="140"/>
      <c r="BZV126" s="140"/>
      <c r="BZW126" s="140"/>
      <c r="BZX126" s="140"/>
      <c r="BZY126" s="140"/>
      <c r="BZZ126" s="140"/>
      <c r="CAA126" s="140"/>
      <c r="CAB126" s="140"/>
      <c r="CAC126" s="140"/>
      <c r="CAD126" s="140"/>
      <c r="CAE126" s="140"/>
      <c r="CAF126" s="140"/>
      <c r="CAG126" s="140"/>
      <c r="CAH126" s="140"/>
      <c r="CAI126" s="140"/>
      <c r="CAJ126" s="140"/>
      <c r="CAK126" s="140"/>
      <c r="CAL126" s="140"/>
      <c r="CAM126" s="140"/>
      <c r="CAN126" s="140"/>
      <c r="CAO126" s="140"/>
      <c r="CAP126" s="140"/>
      <c r="CAQ126" s="140"/>
      <c r="CAR126" s="140"/>
      <c r="CAS126" s="140"/>
      <c r="CAT126" s="140"/>
      <c r="CAU126" s="140"/>
      <c r="CAV126" s="140"/>
      <c r="CAW126" s="140"/>
      <c r="CAX126" s="140"/>
      <c r="CAY126" s="140"/>
      <c r="CAZ126" s="140"/>
      <c r="CBA126" s="140"/>
      <c r="CBB126" s="140"/>
      <c r="CBC126" s="140"/>
      <c r="CBD126" s="140"/>
      <c r="CBE126" s="140"/>
      <c r="CBF126" s="140"/>
      <c r="CBG126" s="140"/>
      <c r="CBH126" s="140"/>
      <c r="CBI126" s="140"/>
      <c r="CBJ126" s="140"/>
      <c r="CBK126" s="140"/>
      <c r="CBL126" s="140"/>
      <c r="CBM126" s="140"/>
      <c r="CBN126" s="140"/>
      <c r="CBO126" s="140"/>
      <c r="CBP126" s="140"/>
      <c r="CBQ126" s="140"/>
      <c r="CBR126" s="140"/>
      <c r="CBS126" s="140"/>
      <c r="CBT126" s="140"/>
      <c r="CBU126" s="140"/>
      <c r="CBV126" s="140"/>
      <c r="CBW126" s="140"/>
      <c r="CBX126" s="140"/>
      <c r="CBY126" s="140"/>
      <c r="CBZ126" s="140"/>
      <c r="CCA126" s="140"/>
      <c r="CCB126" s="140"/>
      <c r="CCC126" s="140"/>
      <c r="CCD126" s="140"/>
      <c r="CCE126" s="140"/>
      <c r="CCF126" s="140"/>
      <c r="CCG126" s="140"/>
      <c r="CCH126" s="140"/>
      <c r="CCI126" s="140"/>
      <c r="CCJ126" s="140"/>
      <c r="CCK126" s="140"/>
      <c r="CCL126" s="140"/>
      <c r="CCM126" s="140"/>
      <c r="CCN126" s="140"/>
      <c r="CCO126" s="140"/>
      <c r="CCP126" s="140"/>
      <c r="CCQ126" s="140"/>
      <c r="CCR126" s="140"/>
      <c r="CCS126" s="140"/>
      <c r="CCT126" s="140"/>
      <c r="CCU126" s="140"/>
      <c r="CCV126" s="140"/>
      <c r="CCW126" s="140"/>
      <c r="CCX126" s="140"/>
      <c r="CCY126" s="140"/>
      <c r="CCZ126" s="140"/>
      <c r="CDA126" s="140"/>
      <c r="CDB126" s="140"/>
      <c r="CDC126" s="140"/>
      <c r="CDD126" s="140"/>
      <c r="CDE126" s="140"/>
      <c r="CDF126" s="140"/>
      <c r="CDG126" s="140"/>
      <c r="CDH126" s="140"/>
      <c r="CDI126" s="140"/>
      <c r="CDJ126" s="140"/>
      <c r="CDK126" s="140"/>
      <c r="CDL126" s="140"/>
      <c r="CDM126" s="140"/>
      <c r="CDN126" s="140"/>
      <c r="CDO126" s="140"/>
      <c r="CDP126" s="140"/>
      <c r="CDQ126" s="140"/>
      <c r="CDR126" s="140"/>
      <c r="CDS126" s="140"/>
      <c r="CDT126" s="140"/>
      <c r="CDU126" s="140"/>
      <c r="CDV126" s="140"/>
      <c r="CDW126" s="140"/>
      <c r="CDX126" s="140"/>
      <c r="CDY126" s="140"/>
      <c r="CDZ126" s="140"/>
      <c r="CEA126" s="140"/>
      <c r="CEB126" s="140"/>
      <c r="CEC126" s="140"/>
      <c r="CED126" s="140"/>
      <c r="CEE126" s="140"/>
      <c r="CEF126" s="140"/>
      <c r="CEG126" s="140"/>
      <c r="CEH126" s="140"/>
      <c r="CEI126" s="140"/>
      <c r="CEJ126" s="140"/>
      <c r="CEK126" s="140"/>
      <c r="CEL126" s="140"/>
      <c r="CEM126" s="140"/>
      <c r="CEN126" s="140"/>
      <c r="CEO126" s="140"/>
      <c r="CEP126" s="140"/>
      <c r="CEQ126" s="140"/>
      <c r="CER126" s="140"/>
      <c r="CES126" s="140"/>
      <c r="CET126" s="140"/>
      <c r="CEU126" s="140"/>
      <c r="CEV126" s="140"/>
      <c r="CEW126" s="140"/>
      <c r="CEX126" s="140"/>
      <c r="CEY126" s="140"/>
      <c r="CEZ126" s="140"/>
      <c r="CFA126" s="140"/>
      <c r="CFB126" s="140"/>
      <c r="CFC126" s="140"/>
      <c r="CFD126" s="140"/>
      <c r="CFE126" s="140"/>
      <c r="CFF126" s="140"/>
      <c r="CFG126" s="140"/>
      <c r="CFH126" s="140"/>
      <c r="CFI126" s="140"/>
      <c r="CFJ126" s="140"/>
      <c r="CFK126" s="140"/>
      <c r="CFL126" s="140"/>
      <c r="CFM126" s="140"/>
      <c r="CFN126" s="140"/>
      <c r="CFO126" s="140"/>
      <c r="CFP126" s="140"/>
      <c r="CFQ126" s="140"/>
      <c r="CFR126" s="140"/>
      <c r="CFS126" s="140"/>
      <c r="CFT126" s="140"/>
      <c r="CFU126" s="140"/>
      <c r="CFV126" s="140"/>
      <c r="CFW126" s="140"/>
      <c r="CFX126" s="140"/>
      <c r="CFY126" s="140"/>
      <c r="CFZ126" s="140"/>
      <c r="CGA126" s="140"/>
      <c r="CGB126" s="140"/>
      <c r="CGC126" s="140"/>
      <c r="CGD126" s="140"/>
      <c r="CGE126" s="140"/>
      <c r="CGF126" s="140"/>
      <c r="CGG126" s="140"/>
      <c r="CGH126" s="140"/>
      <c r="CGI126" s="140"/>
      <c r="CGJ126" s="140"/>
      <c r="CGK126" s="140"/>
      <c r="CGL126" s="140"/>
      <c r="CGM126" s="140"/>
      <c r="CGN126" s="140"/>
      <c r="CGO126" s="140"/>
      <c r="CGP126" s="140"/>
      <c r="CGQ126" s="140"/>
      <c r="CGR126" s="140"/>
      <c r="CGS126" s="140"/>
      <c r="CGT126" s="140"/>
      <c r="CGU126" s="140"/>
      <c r="CGV126" s="140"/>
      <c r="CGW126" s="140"/>
      <c r="CGX126" s="140"/>
      <c r="CGY126" s="140"/>
      <c r="CGZ126" s="140"/>
      <c r="CHA126" s="140"/>
      <c r="CHB126" s="140"/>
      <c r="CHC126" s="140"/>
      <c r="CHD126" s="140"/>
      <c r="CHE126" s="140"/>
      <c r="CHF126" s="140"/>
      <c r="CHG126" s="140"/>
      <c r="CHH126" s="140"/>
      <c r="CHI126" s="140"/>
      <c r="CHJ126" s="140"/>
      <c r="CHK126" s="140"/>
      <c r="CHL126" s="140"/>
      <c r="CHM126" s="140"/>
      <c r="CHN126" s="140"/>
      <c r="CHO126" s="140"/>
      <c r="CHP126" s="140"/>
      <c r="CHQ126" s="140"/>
      <c r="CHR126" s="140"/>
      <c r="CHS126" s="140"/>
      <c r="CHT126" s="140"/>
      <c r="CHU126" s="140"/>
      <c r="CHV126" s="140"/>
      <c r="CHW126" s="140"/>
      <c r="CHX126" s="140"/>
      <c r="CHY126" s="140"/>
      <c r="CHZ126" s="140"/>
      <c r="CIA126" s="140"/>
      <c r="CIB126" s="140"/>
      <c r="CIC126" s="140"/>
      <c r="CID126" s="140"/>
      <c r="CIE126" s="140"/>
      <c r="CIF126" s="140"/>
      <c r="CIG126" s="140"/>
      <c r="CIH126" s="140"/>
      <c r="CII126" s="140"/>
      <c r="CIJ126" s="140"/>
      <c r="CIK126" s="140"/>
      <c r="CIL126" s="140"/>
      <c r="CIM126" s="140"/>
      <c r="CIN126" s="140"/>
      <c r="CIO126" s="140"/>
      <c r="CIP126" s="140"/>
      <c r="CIQ126" s="140"/>
      <c r="CIR126" s="140"/>
      <c r="CIS126" s="140"/>
      <c r="CIT126" s="140"/>
      <c r="CIU126" s="140"/>
      <c r="CIV126" s="140"/>
      <c r="CIW126" s="140"/>
      <c r="CIX126" s="140"/>
      <c r="CIY126" s="140"/>
      <c r="CIZ126" s="140"/>
      <c r="CJA126" s="140"/>
      <c r="CJB126" s="140"/>
      <c r="CJC126" s="140"/>
      <c r="CJD126" s="140"/>
      <c r="CJE126" s="140"/>
      <c r="CJF126" s="140"/>
      <c r="CJG126" s="140"/>
      <c r="CJH126" s="140"/>
      <c r="CJI126" s="140"/>
      <c r="CJJ126" s="140"/>
      <c r="CJK126" s="140"/>
      <c r="CJL126" s="140"/>
      <c r="CJM126" s="140"/>
      <c r="CJN126" s="140"/>
      <c r="CJO126" s="140"/>
      <c r="CJP126" s="140"/>
      <c r="CJQ126" s="140"/>
      <c r="CJR126" s="140"/>
      <c r="CJS126" s="140"/>
      <c r="CJT126" s="140"/>
      <c r="CJU126" s="140"/>
      <c r="CJV126" s="140"/>
      <c r="CJW126" s="140"/>
      <c r="CJX126" s="140"/>
      <c r="CJY126" s="140"/>
      <c r="CJZ126" s="140"/>
      <c r="CKA126" s="140"/>
      <c r="CKB126" s="140"/>
      <c r="CKC126" s="140"/>
      <c r="CKD126" s="140"/>
      <c r="CKE126" s="140"/>
      <c r="CKF126" s="140"/>
      <c r="CKG126" s="140"/>
      <c r="CKH126" s="140"/>
      <c r="CKI126" s="140"/>
      <c r="CKJ126" s="140"/>
      <c r="CKK126" s="140"/>
      <c r="CKL126" s="140"/>
      <c r="CKM126" s="140"/>
      <c r="CKN126" s="140"/>
      <c r="CKO126" s="140"/>
      <c r="CKP126" s="140"/>
      <c r="CKQ126" s="140"/>
      <c r="CKR126" s="140"/>
      <c r="CKS126" s="140"/>
      <c r="CKT126" s="140"/>
      <c r="CKU126" s="140"/>
      <c r="CKV126" s="140"/>
      <c r="CKW126" s="140"/>
      <c r="CKX126" s="140"/>
      <c r="CKY126" s="140"/>
      <c r="CKZ126" s="140"/>
      <c r="CLA126" s="140"/>
      <c r="CLB126" s="140"/>
      <c r="CLC126" s="140"/>
      <c r="CLD126" s="140"/>
      <c r="CLE126" s="140"/>
      <c r="CLF126" s="140"/>
      <c r="CLG126" s="140"/>
      <c r="CLH126" s="140"/>
      <c r="CLI126" s="140"/>
      <c r="CLJ126" s="140"/>
      <c r="CLK126" s="140"/>
      <c r="CLL126" s="140"/>
      <c r="CLM126" s="140"/>
      <c r="CLN126" s="140"/>
      <c r="CLO126" s="140"/>
      <c r="CLP126" s="140"/>
      <c r="CLQ126" s="140"/>
      <c r="CLR126" s="140"/>
      <c r="CLS126" s="140"/>
      <c r="CLT126" s="140"/>
      <c r="CLU126" s="140"/>
      <c r="CLV126" s="140"/>
      <c r="CLW126" s="140"/>
      <c r="CLX126" s="140"/>
      <c r="CLY126" s="140"/>
      <c r="CLZ126" s="140"/>
      <c r="CMA126" s="140"/>
      <c r="CMB126" s="140"/>
      <c r="CMC126" s="140"/>
      <c r="CMD126" s="140"/>
      <c r="CME126" s="140"/>
      <c r="CMF126" s="140"/>
      <c r="CMG126" s="140"/>
      <c r="CMH126" s="140"/>
      <c r="CMI126" s="140"/>
      <c r="CMJ126" s="140"/>
      <c r="CMK126" s="140"/>
      <c r="CML126" s="140"/>
      <c r="CMM126" s="140"/>
      <c r="CMN126" s="140"/>
      <c r="CMO126" s="140"/>
      <c r="CMP126" s="140"/>
      <c r="CMQ126" s="140"/>
      <c r="CMR126" s="140"/>
      <c r="CMS126" s="140"/>
      <c r="CMT126" s="140"/>
      <c r="CMU126" s="140"/>
      <c r="CMV126" s="140"/>
      <c r="CMW126" s="140"/>
      <c r="CMX126" s="140"/>
      <c r="CMY126" s="140"/>
      <c r="CMZ126" s="140"/>
      <c r="CNA126" s="140"/>
      <c r="CNB126" s="140"/>
      <c r="CNC126" s="140"/>
      <c r="CND126" s="140"/>
      <c r="CNE126" s="140"/>
      <c r="CNF126" s="140"/>
      <c r="CNG126" s="140"/>
      <c r="CNH126" s="140"/>
      <c r="CNI126" s="140"/>
      <c r="CNJ126" s="140"/>
      <c r="CNK126" s="140"/>
      <c r="CNL126" s="140"/>
      <c r="CNM126" s="140"/>
      <c r="CNN126" s="140"/>
      <c r="CNO126" s="140"/>
      <c r="CNP126" s="140"/>
      <c r="CNQ126" s="140"/>
      <c r="CNR126" s="140"/>
      <c r="CNS126" s="140"/>
      <c r="CNT126" s="140"/>
      <c r="CNU126" s="140"/>
      <c r="CNV126" s="140"/>
      <c r="CNW126" s="140"/>
      <c r="CNX126" s="140"/>
      <c r="CNY126" s="140"/>
      <c r="CNZ126" s="140"/>
      <c r="COA126" s="140"/>
      <c r="COB126" s="140"/>
      <c r="COC126" s="140"/>
      <c r="COD126" s="140"/>
      <c r="COE126" s="140"/>
      <c r="COF126" s="140"/>
      <c r="COG126" s="140"/>
      <c r="COH126" s="140"/>
      <c r="COI126" s="140"/>
      <c r="COJ126" s="140"/>
      <c r="COK126" s="140"/>
      <c r="COL126" s="140"/>
      <c r="COM126" s="140"/>
      <c r="CON126" s="140"/>
      <c r="COO126" s="140"/>
      <c r="COP126" s="140"/>
      <c r="COQ126" s="140"/>
      <c r="COR126" s="140"/>
      <c r="COS126" s="140"/>
      <c r="COT126" s="140"/>
      <c r="COU126" s="140"/>
      <c r="COV126" s="140"/>
      <c r="COW126" s="140"/>
      <c r="COX126" s="140"/>
      <c r="COY126" s="140"/>
      <c r="COZ126" s="140"/>
      <c r="CPA126" s="140"/>
      <c r="CPB126" s="140"/>
      <c r="CPC126" s="140"/>
      <c r="CPD126" s="140"/>
      <c r="CPE126" s="140"/>
      <c r="CPF126" s="140"/>
      <c r="CPG126" s="140"/>
      <c r="CPH126" s="140"/>
      <c r="CPI126" s="140"/>
      <c r="CPJ126" s="140"/>
      <c r="CPK126" s="140"/>
      <c r="CPL126" s="140"/>
      <c r="CPM126" s="140"/>
      <c r="CPN126" s="140"/>
      <c r="CPO126" s="140"/>
      <c r="CPP126" s="140"/>
      <c r="CPQ126" s="140"/>
      <c r="CPR126" s="140"/>
      <c r="CPS126" s="140"/>
      <c r="CPT126" s="140"/>
      <c r="CPU126" s="140"/>
      <c r="CPV126" s="140"/>
      <c r="CPW126" s="140"/>
      <c r="CPX126" s="140"/>
      <c r="CPY126" s="140"/>
      <c r="CPZ126" s="140"/>
      <c r="CQA126" s="140"/>
      <c r="CQB126" s="140"/>
      <c r="CQC126" s="140"/>
      <c r="CQD126" s="140"/>
      <c r="CQE126" s="140"/>
      <c r="CQF126" s="140"/>
      <c r="CQG126" s="140"/>
      <c r="CQH126" s="140"/>
      <c r="CQI126" s="140"/>
      <c r="CQJ126" s="140"/>
      <c r="CQK126" s="140"/>
      <c r="CQL126" s="140"/>
      <c r="CQM126" s="140"/>
      <c r="CQN126" s="140"/>
      <c r="CQO126" s="140"/>
      <c r="CQP126" s="140"/>
      <c r="CQQ126" s="140"/>
      <c r="CQR126" s="140"/>
      <c r="CQS126" s="140"/>
      <c r="CQT126" s="140"/>
      <c r="CQU126" s="140"/>
      <c r="CQV126" s="140"/>
      <c r="CQW126" s="140"/>
      <c r="CQX126" s="140"/>
      <c r="CQY126" s="140"/>
      <c r="CQZ126" s="140"/>
      <c r="CRA126" s="140"/>
      <c r="CRB126" s="140"/>
      <c r="CRC126" s="140"/>
      <c r="CRD126" s="140"/>
      <c r="CRE126" s="140"/>
      <c r="CRF126" s="140"/>
      <c r="CRG126" s="140"/>
      <c r="CRH126" s="140"/>
      <c r="CRI126" s="140"/>
      <c r="CRJ126" s="140"/>
      <c r="CRK126" s="140"/>
      <c r="CRL126" s="140"/>
      <c r="CRM126" s="140"/>
      <c r="CRN126" s="140"/>
      <c r="CRO126" s="140"/>
      <c r="CRP126" s="140"/>
      <c r="CRQ126" s="140"/>
      <c r="CRR126" s="140"/>
      <c r="CRS126" s="140"/>
      <c r="CRT126" s="140"/>
      <c r="CRU126" s="140"/>
      <c r="CRV126" s="140"/>
      <c r="CRW126" s="140"/>
      <c r="CRX126" s="140"/>
      <c r="CRY126" s="140"/>
      <c r="CRZ126" s="140"/>
      <c r="CSA126" s="140"/>
      <c r="CSB126" s="140"/>
      <c r="CSC126" s="140"/>
      <c r="CSD126" s="140"/>
      <c r="CSE126" s="140"/>
      <c r="CSF126" s="140"/>
      <c r="CSG126" s="140"/>
      <c r="CSH126" s="140"/>
      <c r="CSI126" s="140"/>
      <c r="CSJ126" s="140"/>
      <c r="CSK126" s="140"/>
      <c r="CSL126" s="140"/>
      <c r="CSM126" s="140"/>
      <c r="CSN126" s="140"/>
      <c r="CSO126" s="140"/>
      <c r="CSP126" s="140"/>
      <c r="CSQ126" s="140"/>
      <c r="CSR126" s="140"/>
      <c r="CSS126" s="140"/>
      <c r="CST126" s="140"/>
      <c r="CSU126" s="140"/>
      <c r="CSV126" s="140"/>
      <c r="CSW126" s="140"/>
      <c r="CSX126" s="140"/>
      <c r="CSY126" s="140"/>
      <c r="CSZ126" s="140"/>
      <c r="CTA126" s="140"/>
      <c r="CTB126" s="140"/>
      <c r="CTC126" s="140"/>
      <c r="CTD126" s="140"/>
      <c r="CTE126" s="140"/>
      <c r="CTF126" s="140"/>
      <c r="CTG126" s="140"/>
      <c r="CTH126" s="140"/>
      <c r="CTI126" s="140"/>
      <c r="CTJ126" s="140"/>
      <c r="CTK126" s="140"/>
      <c r="CTL126" s="140"/>
      <c r="CTM126" s="140"/>
      <c r="CTN126" s="140"/>
      <c r="CTO126" s="140"/>
      <c r="CTP126" s="140"/>
      <c r="CTQ126" s="140"/>
      <c r="CTR126" s="140"/>
      <c r="CTS126" s="140"/>
      <c r="CTT126" s="140"/>
      <c r="CTU126" s="140"/>
      <c r="CTV126" s="140"/>
      <c r="CTW126" s="140"/>
      <c r="CTX126" s="140"/>
      <c r="CTY126" s="140"/>
      <c r="CTZ126" s="140"/>
      <c r="CUA126" s="140"/>
      <c r="CUB126" s="140"/>
      <c r="CUC126" s="140"/>
      <c r="CUD126" s="140"/>
      <c r="CUE126" s="140"/>
      <c r="CUF126" s="140"/>
      <c r="CUG126" s="140"/>
      <c r="CUH126" s="140"/>
      <c r="CUI126" s="140"/>
      <c r="CUJ126" s="140"/>
      <c r="CUK126" s="140"/>
      <c r="CUL126" s="140"/>
      <c r="CUM126" s="140"/>
      <c r="CUN126" s="140"/>
      <c r="CUO126" s="140"/>
      <c r="CUP126" s="140"/>
      <c r="CUQ126" s="140"/>
      <c r="CUR126" s="140"/>
      <c r="CUS126" s="140"/>
      <c r="CUT126" s="140"/>
      <c r="CUU126" s="140"/>
      <c r="CUV126" s="140"/>
      <c r="CUW126" s="140"/>
      <c r="CUX126" s="140"/>
      <c r="CUY126" s="140"/>
      <c r="CUZ126" s="140"/>
      <c r="CVA126" s="140"/>
      <c r="CVB126" s="140"/>
      <c r="CVC126" s="140"/>
      <c r="CVD126" s="140"/>
      <c r="CVE126" s="140"/>
      <c r="CVF126" s="140"/>
      <c r="CVG126" s="140"/>
      <c r="CVH126" s="140"/>
      <c r="CVI126" s="140"/>
      <c r="CVJ126" s="140"/>
      <c r="CVK126" s="140"/>
      <c r="CVL126" s="140"/>
      <c r="CVM126" s="140"/>
      <c r="CVN126" s="140"/>
      <c r="CVO126" s="140"/>
      <c r="CVP126" s="140"/>
      <c r="CVQ126" s="140"/>
      <c r="CVR126" s="140"/>
      <c r="CVS126" s="140"/>
      <c r="CVT126" s="140"/>
      <c r="CVU126" s="140"/>
      <c r="CVV126" s="140"/>
      <c r="CVW126" s="140"/>
      <c r="CVX126" s="140"/>
      <c r="CVY126" s="140"/>
      <c r="CVZ126" s="140"/>
      <c r="CWA126" s="140"/>
      <c r="CWB126" s="140"/>
      <c r="CWC126" s="140"/>
      <c r="CWD126" s="140"/>
      <c r="CWE126" s="140"/>
      <c r="CWF126" s="140"/>
      <c r="CWG126" s="140"/>
      <c r="CWH126" s="140"/>
      <c r="CWI126" s="140"/>
      <c r="CWJ126" s="140"/>
      <c r="CWK126" s="140"/>
      <c r="CWL126" s="140"/>
      <c r="CWM126" s="140"/>
      <c r="CWN126" s="140"/>
      <c r="CWO126" s="140"/>
      <c r="CWP126" s="140"/>
      <c r="CWQ126" s="140"/>
      <c r="CWR126" s="140"/>
      <c r="CWS126" s="140"/>
      <c r="CWT126" s="140"/>
      <c r="CWU126" s="140"/>
      <c r="CWV126" s="140"/>
      <c r="CWW126" s="140"/>
      <c r="CWX126" s="140"/>
      <c r="CWY126" s="140"/>
      <c r="CWZ126" s="140"/>
      <c r="CXA126" s="140"/>
      <c r="CXB126" s="140"/>
      <c r="CXC126" s="140"/>
      <c r="CXD126" s="140"/>
      <c r="CXE126" s="140"/>
      <c r="CXF126" s="140"/>
      <c r="CXG126" s="140"/>
      <c r="CXH126" s="140"/>
      <c r="CXI126" s="140"/>
      <c r="CXJ126" s="140"/>
      <c r="CXK126" s="140"/>
      <c r="CXL126" s="140"/>
      <c r="CXM126" s="140"/>
      <c r="CXN126" s="140"/>
      <c r="CXO126" s="140"/>
      <c r="CXP126" s="140"/>
      <c r="CXQ126" s="140"/>
      <c r="CXR126" s="140"/>
      <c r="CXS126" s="140"/>
      <c r="CXT126" s="140"/>
      <c r="CXU126" s="140"/>
      <c r="CXV126" s="140"/>
      <c r="CXW126" s="140"/>
      <c r="CXX126" s="140"/>
      <c r="CXY126" s="140"/>
      <c r="CXZ126" s="140"/>
      <c r="CYA126" s="140"/>
      <c r="CYB126" s="140"/>
      <c r="CYC126" s="140"/>
      <c r="CYD126" s="140"/>
      <c r="CYE126" s="140"/>
      <c r="CYF126" s="140"/>
      <c r="CYG126" s="140"/>
      <c r="CYH126" s="140"/>
      <c r="CYI126" s="140"/>
      <c r="CYJ126" s="140"/>
      <c r="CYK126" s="140"/>
      <c r="CYL126" s="140"/>
      <c r="CYM126" s="140"/>
      <c r="CYN126" s="140"/>
      <c r="CYO126" s="140"/>
      <c r="CYP126" s="140"/>
      <c r="CYQ126" s="140"/>
      <c r="CYR126" s="140"/>
      <c r="CYS126" s="140"/>
      <c r="CYT126" s="140"/>
      <c r="CYU126" s="140"/>
      <c r="CYV126" s="140"/>
      <c r="CYW126" s="140"/>
      <c r="CYX126" s="140"/>
      <c r="CYY126" s="140"/>
      <c r="CYZ126" s="140"/>
      <c r="CZA126" s="140"/>
      <c r="CZB126" s="140"/>
      <c r="CZC126" s="140"/>
      <c r="CZD126" s="140"/>
      <c r="CZE126" s="140"/>
      <c r="CZF126" s="140"/>
      <c r="CZG126" s="140"/>
      <c r="CZH126" s="140"/>
      <c r="CZI126" s="140"/>
      <c r="CZJ126" s="140"/>
      <c r="CZK126" s="140"/>
      <c r="CZL126" s="140"/>
      <c r="CZM126" s="140"/>
      <c r="CZN126" s="140"/>
      <c r="CZO126" s="140"/>
      <c r="CZP126" s="140"/>
      <c r="CZQ126" s="140"/>
      <c r="CZR126" s="140"/>
      <c r="CZS126" s="140"/>
      <c r="CZT126" s="140"/>
      <c r="CZU126" s="140"/>
      <c r="CZV126" s="140"/>
      <c r="CZW126" s="140"/>
      <c r="CZX126" s="140"/>
      <c r="CZY126" s="140"/>
      <c r="CZZ126" s="140"/>
      <c r="DAA126" s="140"/>
      <c r="DAB126" s="140"/>
      <c r="DAC126" s="140"/>
      <c r="DAD126" s="140"/>
      <c r="DAE126" s="140"/>
      <c r="DAF126" s="140"/>
      <c r="DAG126" s="140"/>
      <c r="DAH126" s="140"/>
      <c r="DAI126" s="140"/>
      <c r="DAJ126" s="140"/>
      <c r="DAK126" s="140"/>
      <c r="DAL126" s="140"/>
      <c r="DAM126" s="140"/>
      <c r="DAN126" s="140"/>
      <c r="DAO126" s="140"/>
      <c r="DAP126" s="140"/>
      <c r="DAQ126" s="140"/>
      <c r="DAR126" s="140"/>
      <c r="DAS126" s="140"/>
      <c r="DAT126" s="140"/>
      <c r="DAU126" s="140"/>
      <c r="DAV126" s="140"/>
      <c r="DAW126" s="140"/>
      <c r="DAX126" s="140"/>
      <c r="DAY126" s="140"/>
      <c r="DAZ126" s="140"/>
      <c r="DBA126" s="140"/>
      <c r="DBB126" s="140"/>
      <c r="DBC126" s="140"/>
      <c r="DBD126" s="140"/>
      <c r="DBE126" s="140"/>
      <c r="DBF126" s="140"/>
      <c r="DBG126" s="140"/>
      <c r="DBH126" s="140"/>
      <c r="DBI126" s="140"/>
      <c r="DBJ126" s="140"/>
      <c r="DBK126" s="140"/>
      <c r="DBL126" s="140"/>
      <c r="DBM126" s="140"/>
      <c r="DBN126" s="140"/>
      <c r="DBO126" s="140"/>
      <c r="DBP126" s="140"/>
      <c r="DBQ126" s="140"/>
      <c r="DBR126" s="140"/>
      <c r="DBS126" s="140"/>
      <c r="DBT126" s="140"/>
      <c r="DBU126" s="140"/>
      <c r="DBV126" s="140"/>
      <c r="DBW126" s="140"/>
      <c r="DBX126" s="140"/>
      <c r="DBY126" s="140"/>
      <c r="DBZ126" s="140"/>
      <c r="DCA126" s="140"/>
      <c r="DCB126" s="140"/>
      <c r="DCC126" s="140"/>
      <c r="DCD126" s="140"/>
      <c r="DCE126" s="140"/>
      <c r="DCF126" s="140"/>
      <c r="DCG126" s="140"/>
      <c r="DCH126" s="140"/>
      <c r="DCI126" s="140"/>
      <c r="DCJ126" s="140"/>
      <c r="DCK126" s="140"/>
      <c r="DCL126" s="140"/>
      <c r="DCM126" s="140"/>
      <c r="DCN126" s="140"/>
      <c r="DCO126" s="140"/>
      <c r="DCP126" s="140"/>
      <c r="DCQ126" s="140"/>
      <c r="DCR126" s="140"/>
      <c r="DCS126" s="140"/>
      <c r="DCT126" s="140"/>
      <c r="DCU126" s="140"/>
      <c r="DCV126" s="140"/>
      <c r="DCW126" s="140"/>
      <c r="DCX126" s="140"/>
      <c r="DCY126" s="140"/>
      <c r="DCZ126" s="140"/>
      <c r="DDA126" s="140"/>
      <c r="DDB126" s="140"/>
      <c r="DDC126" s="140"/>
      <c r="DDD126" s="140"/>
      <c r="DDE126" s="140"/>
      <c r="DDF126" s="140"/>
      <c r="DDG126" s="140"/>
      <c r="DDH126" s="140"/>
      <c r="DDI126" s="140"/>
      <c r="DDJ126" s="140"/>
      <c r="DDK126" s="140"/>
      <c r="DDL126" s="140"/>
      <c r="DDM126" s="140"/>
      <c r="DDN126" s="140"/>
      <c r="DDO126" s="140"/>
      <c r="DDP126" s="140"/>
      <c r="DDQ126" s="140"/>
      <c r="DDR126" s="140"/>
      <c r="DDS126" s="140"/>
      <c r="DDT126" s="140"/>
      <c r="DDU126" s="140"/>
      <c r="DDV126" s="140"/>
      <c r="DDW126" s="140"/>
      <c r="DDX126" s="140"/>
      <c r="DDY126" s="140"/>
      <c r="DDZ126" s="140"/>
      <c r="DEA126" s="140"/>
      <c r="DEB126" s="140"/>
      <c r="DEC126" s="140"/>
      <c r="DED126" s="140"/>
      <c r="DEE126" s="140"/>
      <c r="DEF126" s="140"/>
      <c r="DEG126" s="140"/>
      <c r="DEH126" s="140"/>
      <c r="DEI126" s="140"/>
      <c r="DEJ126" s="140"/>
      <c r="DEK126" s="140"/>
      <c r="DEL126" s="140"/>
      <c r="DEM126" s="140"/>
      <c r="DEN126" s="140"/>
      <c r="DEO126" s="140"/>
      <c r="DEP126" s="140"/>
      <c r="DEQ126" s="140"/>
      <c r="DER126" s="140"/>
      <c r="DES126" s="140"/>
      <c r="DET126" s="140"/>
      <c r="DEU126" s="140"/>
      <c r="DEV126" s="140"/>
      <c r="DEW126" s="140"/>
      <c r="DEX126" s="140"/>
      <c r="DEY126" s="140"/>
      <c r="DEZ126" s="140"/>
      <c r="DFA126" s="140"/>
      <c r="DFB126" s="140"/>
      <c r="DFC126" s="140"/>
      <c r="DFD126" s="140"/>
      <c r="DFE126" s="140"/>
      <c r="DFF126" s="140"/>
      <c r="DFG126" s="140"/>
      <c r="DFH126" s="140"/>
      <c r="DFI126" s="140"/>
      <c r="DFJ126" s="140"/>
      <c r="DFK126" s="140"/>
      <c r="DFL126" s="140"/>
      <c r="DFM126" s="140"/>
      <c r="DFN126" s="140"/>
      <c r="DFO126" s="140"/>
      <c r="DFP126" s="140"/>
      <c r="DFQ126" s="140"/>
      <c r="DFR126" s="140"/>
      <c r="DFS126" s="140"/>
      <c r="DFT126" s="140"/>
      <c r="DFU126" s="140"/>
      <c r="DFV126" s="140"/>
      <c r="DFW126" s="140"/>
      <c r="DFX126" s="140"/>
      <c r="DFY126" s="140"/>
      <c r="DFZ126" s="140"/>
      <c r="DGA126" s="140"/>
      <c r="DGB126" s="140"/>
      <c r="DGC126" s="140"/>
      <c r="DGD126" s="140"/>
      <c r="DGE126" s="140"/>
      <c r="DGF126" s="140"/>
      <c r="DGG126" s="140"/>
      <c r="DGH126" s="140"/>
      <c r="DGI126" s="140"/>
      <c r="DGJ126" s="140"/>
      <c r="DGK126" s="140"/>
      <c r="DGL126" s="140"/>
      <c r="DGM126" s="140"/>
      <c r="DGN126" s="140"/>
      <c r="DGO126" s="140"/>
      <c r="DGP126" s="140"/>
      <c r="DGQ126" s="140"/>
      <c r="DGR126" s="140"/>
      <c r="DGS126" s="140"/>
      <c r="DGT126" s="140"/>
      <c r="DGU126" s="140"/>
      <c r="DGV126" s="140"/>
      <c r="DGW126" s="140"/>
      <c r="DGX126" s="140"/>
      <c r="DGY126" s="140"/>
      <c r="DGZ126" s="140"/>
      <c r="DHA126" s="140"/>
      <c r="DHB126" s="140"/>
      <c r="DHC126" s="140"/>
      <c r="DHD126" s="140"/>
      <c r="DHE126" s="140"/>
      <c r="DHF126" s="140"/>
      <c r="DHG126" s="140"/>
      <c r="DHH126" s="140"/>
      <c r="DHI126" s="140"/>
      <c r="DHJ126" s="140"/>
      <c r="DHK126" s="140"/>
      <c r="DHL126" s="140"/>
      <c r="DHM126" s="140"/>
      <c r="DHN126" s="140"/>
      <c r="DHO126" s="140"/>
      <c r="DHP126" s="140"/>
      <c r="DHQ126" s="140"/>
      <c r="DHR126" s="140"/>
      <c r="DHS126" s="140"/>
      <c r="DHT126" s="140"/>
      <c r="DHU126" s="140"/>
      <c r="DHV126" s="140"/>
      <c r="DHW126" s="140"/>
      <c r="DHX126" s="140"/>
      <c r="DHY126" s="140"/>
      <c r="DHZ126" s="140"/>
      <c r="DIA126" s="140"/>
      <c r="DIB126" s="140"/>
      <c r="DIC126" s="140"/>
      <c r="DID126" s="140"/>
      <c r="DIE126" s="140"/>
      <c r="DIF126" s="140"/>
      <c r="DIG126" s="140"/>
      <c r="DIH126" s="140"/>
      <c r="DII126" s="140"/>
      <c r="DIJ126" s="140"/>
      <c r="DIK126" s="140"/>
      <c r="DIL126" s="140"/>
      <c r="DIM126" s="140"/>
      <c r="DIN126" s="140"/>
      <c r="DIO126" s="140"/>
      <c r="DIP126" s="140"/>
      <c r="DIQ126" s="140"/>
      <c r="DIR126" s="140"/>
      <c r="DIS126" s="140"/>
      <c r="DIT126" s="140"/>
      <c r="DIU126" s="140"/>
      <c r="DIV126" s="140"/>
      <c r="DIW126" s="140"/>
      <c r="DIX126" s="140"/>
      <c r="DIY126" s="140"/>
      <c r="DIZ126" s="140"/>
      <c r="DJA126" s="140"/>
      <c r="DJB126" s="140"/>
      <c r="DJC126" s="140"/>
      <c r="DJD126" s="140"/>
      <c r="DJE126" s="140"/>
      <c r="DJF126" s="140"/>
      <c r="DJG126" s="140"/>
      <c r="DJH126" s="140"/>
      <c r="DJI126" s="140"/>
      <c r="DJJ126" s="140"/>
      <c r="DJK126" s="140"/>
      <c r="DJL126" s="140"/>
      <c r="DJM126" s="140"/>
      <c r="DJN126" s="140"/>
      <c r="DJO126" s="140"/>
      <c r="DJP126" s="140"/>
      <c r="DJQ126" s="140"/>
      <c r="DJR126" s="140"/>
      <c r="DJS126" s="140"/>
      <c r="DJT126" s="140"/>
      <c r="DJU126" s="140"/>
      <c r="DJV126" s="140"/>
      <c r="DJW126" s="140"/>
      <c r="DJX126" s="140"/>
      <c r="DJY126" s="140"/>
      <c r="DJZ126" s="140"/>
      <c r="DKA126" s="140"/>
      <c r="DKB126" s="140"/>
      <c r="DKC126" s="140"/>
      <c r="DKD126" s="140"/>
      <c r="DKE126" s="140"/>
      <c r="DKF126" s="140"/>
      <c r="DKG126" s="140"/>
      <c r="DKH126" s="140"/>
      <c r="DKI126" s="140"/>
      <c r="DKJ126" s="140"/>
      <c r="DKK126" s="140"/>
      <c r="DKL126" s="140"/>
      <c r="DKM126" s="140"/>
      <c r="DKN126" s="140"/>
      <c r="DKO126" s="140"/>
      <c r="DKP126" s="140"/>
      <c r="DKQ126" s="140"/>
      <c r="DKR126" s="140"/>
      <c r="DKS126" s="140"/>
      <c r="DKT126" s="140"/>
      <c r="DKU126" s="140"/>
      <c r="DKV126" s="140"/>
      <c r="DKW126" s="140"/>
      <c r="DKX126" s="140"/>
      <c r="DKY126" s="140"/>
      <c r="DKZ126" s="140"/>
      <c r="DLA126" s="140"/>
      <c r="DLB126" s="140"/>
      <c r="DLC126" s="140"/>
      <c r="DLD126" s="140"/>
      <c r="DLE126" s="140"/>
      <c r="DLF126" s="140"/>
      <c r="DLG126" s="140"/>
      <c r="DLH126" s="140"/>
      <c r="DLI126" s="140"/>
      <c r="DLJ126" s="140"/>
      <c r="DLK126" s="140"/>
      <c r="DLL126" s="140"/>
      <c r="DLM126" s="140"/>
      <c r="DLN126" s="140"/>
      <c r="DLO126" s="140"/>
      <c r="DLP126" s="140"/>
      <c r="DLQ126" s="140"/>
      <c r="DLR126" s="140"/>
      <c r="DLS126" s="140"/>
      <c r="DLT126" s="140"/>
      <c r="DLU126" s="140"/>
      <c r="DLV126" s="140"/>
      <c r="DLW126" s="140"/>
      <c r="DLX126" s="140"/>
      <c r="DLY126" s="140"/>
      <c r="DLZ126" s="140"/>
      <c r="DMA126" s="140"/>
      <c r="DMB126" s="140"/>
      <c r="DMC126" s="140"/>
      <c r="DMD126" s="140"/>
      <c r="DME126" s="140"/>
      <c r="DMF126" s="140"/>
      <c r="DMG126" s="140"/>
      <c r="DMH126" s="140"/>
      <c r="DMI126" s="140"/>
      <c r="DMJ126" s="140"/>
      <c r="DMK126" s="140"/>
      <c r="DML126" s="140"/>
      <c r="DMM126" s="140"/>
      <c r="DMN126" s="140"/>
      <c r="DMO126" s="140"/>
      <c r="DMP126" s="140"/>
      <c r="DMQ126" s="140"/>
      <c r="DMR126" s="140"/>
      <c r="DMS126" s="140"/>
      <c r="DMT126" s="140"/>
      <c r="DMU126" s="140"/>
      <c r="DMV126" s="140"/>
      <c r="DMW126" s="140"/>
      <c r="DMX126" s="140"/>
      <c r="DMY126" s="140"/>
      <c r="DMZ126" s="140"/>
      <c r="DNA126" s="140"/>
      <c r="DNB126" s="140"/>
      <c r="DNC126" s="140"/>
      <c r="DND126" s="140"/>
      <c r="DNE126" s="140"/>
      <c r="DNF126" s="140"/>
      <c r="DNG126" s="140"/>
      <c r="DNH126" s="140"/>
      <c r="DNI126" s="140"/>
      <c r="DNJ126" s="140"/>
      <c r="DNK126" s="140"/>
      <c r="DNL126" s="140"/>
      <c r="DNM126" s="140"/>
      <c r="DNN126" s="140"/>
      <c r="DNO126" s="140"/>
      <c r="DNP126" s="140"/>
      <c r="DNQ126" s="140"/>
      <c r="DNR126" s="140"/>
      <c r="DNS126" s="140"/>
      <c r="DNT126" s="140"/>
      <c r="DNU126" s="140"/>
      <c r="DNV126" s="140"/>
      <c r="DNW126" s="140"/>
      <c r="DNX126" s="140"/>
      <c r="DNY126" s="140"/>
      <c r="DNZ126" s="140"/>
      <c r="DOA126" s="140"/>
      <c r="DOB126" s="140"/>
      <c r="DOC126" s="140"/>
      <c r="DOD126" s="140"/>
      <c r="DOE126" s="140"/>
      <c r="DOF126" s="140"/>
      <c r="DOG126" s="140"/>
      <c r="DOH126" s="140"/>
      <c r="DOI126" s="140"/>
      <c r="DOJ126" s="140"/>
      <c r="DOK126" s="140"/>
      <c r="DOL126" s="140"/>
      <c r="DOM126" s="140"/>
      <c r="DON126" s="140"/>
      <c r="DOO126" s="140"/>
      <c r="DOP126" s="140"/>
      <c r="DOQ126" s="140"/>
      <c r="DOR126" s="140"/>
      <c r="DOS126" s="140"/>
      <c r="DOT126" s="140"/>
      <c r="DOU126" s="140"/>
      <c r="DOV126" s="140"/>
      <c r="DOW126" s="140"/>
      <c r="DOX126" s="140"/>
      <c r="DOY126" s="140"/>
      <c r="DOZ126" s="140"/>
      <c r="DPA126" s="140"/>
      <c r="DPB126" s="140"/>
      <c r="DPC126" s="140"/>
      <c r="DPD126" s="140"/>
      <c r="DPE126" s="140"/>
      <c r="DPF126" s="140"/>
      <c r="DPG126" s="140"/>
      <c r="DPH126" s="140"/>
      <c r="DPI126" s="140"/>
      <c r="DPJ126" s="140"/>
      <c r="DPK126" s="140"/>
      <c r="DPL126" s="140"/>
      <c r="DPM126" s="140"/>
      <c r="DPN126" s="140"/>
      <c r="DPO126" s="140"/>
      <c r="DPP126" s="140"/>
      <c r="DPQ126" s="140"/>
      <c r="DPR126" s="140"/>
      <c r="DPS126" s="140"/>
      <c r="DPT126" s="140"/>
      <c r="DPU126" s="140"/>
      <c r="DPV126" s="140"/>
      <c r="DPW126" s="140"/>
      <c r="DPX126" s="140"/>
      <c r="DPY126" s="140"/>
      <c r="DPZ126" s="140"/>
      <c r="DQA126" s="140"/>
      <c r="DQB126" s="140"/>
      <c r="DQC126" s="140"/>
      <c r="DQD126" s="140"/>
      <c r="DQE126" s="140"/>
      <c r="DQF126" s="140"/>
      <c r="DQG126" s="140"/>
      <c r="DQH126" s="140"/>
      <c r="DQI126" s="140"/>
      <c r="DQJ126" s="140"/>
      <c r="DQK126" s="140"/>
      <c r="DQL126" s="140"/>
      <c r="DQM126" s="140"/>
      <c r="DQN126" s="140"/>
      <c r="DQO126" s="140"/>
      <c r="DQP126" s="140"/>
      <c r="DQQ126" s="140"/>
      <c r="DQR126" s="140"/>
      <c r="DQS126" s="140"/>
      <c r="DQT126" s="140"/>
      <c r="DQU126" s="140"/>
      <c r="DQV126" s="140"/>
      <c r="DQW126" s="140"/>
      <c r="DQX126" s="140"/>
      <c r="DQY126" s="140"/>
      <c r="DQZ126" s="140"/>
      <c r="DRA126" s="140"/>
      <c r="DRB126" s="140"/>
      <c r="DRC126" s="140"/>
      <c r="DRD126" s="140"/>
      <c r="DRE126" s="140"/>
      <c r="DRF126" s="140"/>
      <c r="DRG126" s="140"/>
      <c r="DRH126" s="140"/>
      <c r="DRI126" s="140"/>
      <c r="DRJ126" s="140"/>
      <c r="DRK126" s="140"/>
      <c r="DRL126" s="140"/>
      <c r="DRM126" s="140"/>
      <c r="DRN126" s="140"/>
      <c r="DRO126" s="140"/>
      <c r="DRP126" s="140"/>
      <c r="DRQ126" s="140"/>
      <c r="DRR126" s="140"/>
      <c r="DRS126" s="140"/>
      <c r="DRT126" s="140"/>
      <c r="DRU126" s="140"/>
      <c r="DRV126" s="140"/>
      <c r="DRW126" s="140"/>
      <c r="DRX126" s="140"/>
      <c r="DRY126" s="140"/>
      <c r="DRZ126" s="140"/>
      <c r="DSA126" s="140"/>
      <c r="DSB126" s="140"/>
      <c r="DSC126" s="140"/>
      <c r="DSD126" s="140"/>
      <c r="DSE126" s="140"/>
      <c r="DSF126" s="140"/>
      <c r="DSG126" s="140"/>
      <c r="DSH126" s="140"/>
      <c r="DSI126" s="140"/>
      <c r="DSJ126" s="140"/>
      <c r="DSK126" s="140"/>
      <c r="DSL126" s="140"/>
      <c r="DSM126" s="140"/>
      <c r="DSN126" s="140"/>
      <c r="DSO126" s="140"/>
      <c r="DSP126" s="140"/>
      <c r="DSQ126" s="140"/>
      <c r="DSR126" s="140"/>
      <c r="DSS126" s="140"/>
      <c r="DST126" s="140"/>
      <c r="DSU126" s="140"/>
      <c r="DSV126" s="140"/>
      <c r="DSW126" s="140"/>
      <c r="DSX126" s="140"/>
      <c r="DSY126" s="140"/>
      <c r="DSZ126" s="140"/>
      <c r="DTA126" s="140"/>
      <c r="DTB126" s="140"/>
      <c r="DTC126" s="140"/>
      <c r="DTD126" s="140"/>
      <c r="DTE126" s="140"/>
      <c r="DTF126" s="140"/>
      <c r="DTG126" s="140"/>
      <c r="DTH126" s="140"/>
      <c r="DTI126" s="140"/>
      <c r="DTJ126" s="140"/>
      <c r="DTK126" s="140"/>
      <c r="DTL126" s="140"/>
      <c r="DTM126" s="140"/>
      <c r="DTN126" s="140"/>
      <c r="DTO126" s="140"/>
      <c r="DTP126" s="140"/>
      <c r="DTQ126" s="140"/>
      <c r="DTR126" s="140"/>
      <c r="DTS126" s="140"/>
      <c r="DTT126" s="140"/>
      <c r="DTU126" s="140"/>
      <c r="DTV126" s="140"/>
      <c r="DTW126" s="140"/>
      <c r="DTX126" s="140"/>
      <c r="DTY126" s="140"/>
      <c r="DTZ126" s="140"/>
      <c r="DUA126" s="140"/>
      <c r="DUB126" s="140"/>
      <c r="DUC126" s="140"/>
      <c r="DUD126" s="140"/>
      <c r="DUE126" s="140"/>
      <c r="DUF126" s="140"/>
      <c r="DUG126" s="140"/>
      <c r="DUH126" s="140"/>
      <c r="DUI126" s="140"/>
      <c r="DUJ126" s="140"/>
      <c r="DUK126" s="140"/>
      <c r="DUL126" s="140"/>
      <c r="DUM126" s="140"/>
      <c r="DUN126" s="140"/>
      <c r="DUO126" s="140"/>
      <c r="DUP126" s="140"/>
      <c r="DUQ126" s="140"/>
      <c r="DUR126" s="140"/>
      <c r="DUS126" s="140"/>
      <c r="DUT126" s="140"/>
      <c r="DUU126" s="140"/>
      <c r="DUV126" s="140"/>
      <c r="DUW126" s="140"/>
      <c r="DUX126" s="140"/>
      <c r="DUY126" s="140"/>
      <c r="DUZ126" s="140"/>
      <c r="DVA126" s="140"/>
      <c r="DVB126" s="140"/>
      <c r="DVC126" s="140"/>
      <c r="DVD126" s="140"/>
      <c r="DVE126" s="140"/>
      <c r="DVF126" s="140"/>
      <c r="DVG126" s="140"/>
      <c r="DVH126" s="140"/>
      <c r="DVI126" s="140"/>
      <c r="DVJ126" s="140"/>
      <c r="DVK126" s="140"/>
      <c r="DVL126" s="140"/>
      <c r="DVM126" s="140"/>
      <c r="DVN126" s="140"/>
      <c r="DVO126" s="140"/>
      <c r="DVP126" s="140"/>
      <c r="DVQ126" s="140"/>
      <c r="DVR126" s="140"/>
      <c r="DVS126" s="140"/>
      <c r="DVT126" s="140"/>
      <c r="DVU126" s="140"/>
      <c r="DVV126" s="140"/>
      <c r="DVW126" s="140"/>
      <c r="DVX126" s="140"/>
      <c r="DVY126" s="140"/>
      <c r="DVZ126" s="140"/>
      <c r="DWA126" s="140"/>
      <c r="DWB126" s="140"/>
      <c r="DWC126" s="140"/>
      <c r="DWD126" s="140"/>
      <c r="DWE126" s="140"/>
      <c r="DWF126" s="140"/>
      <c r="DWG126" s="140"/>
      <c r="DWH126" s="140"/>
      <c r="DWI126" s="140"/>
      <c r="DWJ126" s="140"/>
      <c r="DWK126" s="140"/>
      <c r="DWL126" s="140"/>
      <c r="DWM126" s="140"/>
      <c r="DWN126" s="140"/>
      <c r="DWO126" s="140"/>
      <c r="DWP126" s="140"/>
      <c r="DWQ126" s="140"/>
      <c r="DWR126" s="140"/>
      <c r="DWS126" s="140"/>
      <c r="DWT126" s="140"/>
      <c r="DWU126" s="140"/>
      <c r="DWV126" s="140"/>
      <c r="DWW126" s="140"/>
      <c r="DWX126" s="140"/>
      <c r="DWY126" s="140"/>
      <c r="DWZ126" s="140"/>
      <c r="DXA126" s="140"/>
      <c r="DXB126" s="140"/>
      <c r="DXC126" s="140"/>
      <c r="DXD126" s="140"/>
      <c r="DXE126" s="140"/>
      <c r="DXF126" s="140"/>
      <c r="DXG126" s="140"/>
      <c r="DXH126" s="140"/>
      <c r="DXI126" s="140"/>
      <c r="DXJ126" s="140"/>
      <c r="DXK126" s="140"/>
      <c r="DXL126" s="140"/>
      <c r="DXM126" s="140"/>
      <c r="DXN126" s="140"/>
      <c r="DXO126" s="140"/>
      <c r="DXP126" s="140"/>
      <c r="DXQ126" s="140"/>
      <c r="DXR126" s="140"/>
      <c r="DXS126" s="140"/>
      <c r="DXT126" s="140"/>
      <c r="DXU126" s="140"/>
      <c r="DXV126" s="140"/>
      <c r="DXW126" s="140"/>
      <c r="DXX126" s="140"/>
      <c r="DXY126" s="140"/>
      <c r="DXZ126" s="140"/>
      <c r="DYA126" s="140"/>
      <c r="DYB126" s="140"/>
      <c r="DYC126" s="140"/>
      <c r="DYD126" s="140"/>
      <c r="DYE126" s="140"/>
      <c r="DYF126" s="140"/>
      <c r="DYG126" s="140"/>
      <c r="DYH126" s="140"/>
      <c r="DYI126" s="140"/>
      <c r="DYJ126" s="140"/>
      <c r="DYK126" s="140"/>
      <c r="DYL126" s="140"/>
      <c r="DYM126" s="140"/>
      <c r="DYN126" s="140"/>
      <c r="DYO126" s="140"/>
      <c r="DYP126" s="140"/>
      <c r="DYQ126" s="140"/>
      <c r="DYR126" s="140"/>
      <c r="DYS126" s="140"/>
      <c r="DYT126" s="140"/>
      <c r="DYU126" s="140"/>
      <c r="DYV126" s="140"/>
      <c r="DYW126" s="140"/>
      <c r="DYX126" s="140"/>
      <c r="DYY126" s="140"/>
      <c r="DYZ126" s="140"/>
      <c r="DZA126" s="140"/>
      <c r="DZB126" s="140"/>
      <c r="DZC126" s="140"/>
      <c r="DZD126" s="140"/>
      <c r="DZE126" s="140"/>
      <c r="DZF126" s="140"/>
      <c r="DZG126" s="140"/>
      <c r="DZH126" s="140"/>
      <c r="DZI126" s="140"/>
      <c r="DZJ126" s="140"/>
      <c r="DZK126" s="140"/>
      <c r="DZL126" s="140"/>
      <c r="DZM126" s="140"/>
      <c r="DZN126" s="140"/>
      <c r="DZO126" s="140"/>
      <c r="DZP126" s="140"/>
      <c r="DZQ126" s="140"/>
      <c r="DZR126" s="140"/>
      <c r="DZS126" s="140"/>
      <c r="DZT126" s="140"/>
      <c r="DZU126" s="140"/>
      <c r="DZV126" s="140"/>
      <c r="DZW126" s="140"/>
      <c r="DZX126" s="140"/>
      <c r="DZY126" s="140"/>
      <c r="DZZ126" s="140"/>
      <c r="EAA126" s="140"/>
      <c r="EAB126" s="140"/>
      <c r="EAC126" s="140"/>
      <c r="EAD126" s="140"/>
      <c r="EAE126" s="140"/>
      <c r="EAF126" s="140"/>
      <c r="EAG126" s="140"/>
      <c r="EAH126" s="140"/>
      <c r="EAI126" s="140"/>
      <c r="EAJ126" s="140"/>
      <c r="EAK126" s="140"/>
      <c r="EAL126" s="140"/>
      <c r="EAM126" s="140"/>
      <c r="EAN126" s="140"/>
      <c r="EAO126" s="140"/>
      <c r="EAP126" s="140"/>
      <c r="EAQ126" s="140"/>
      <c r="EAR126" s="140"/>
      <c r="EAS126" s="140"/>
      <c r="EAT126" s="140"/>
      <c r="EAU126" s="140"/>
      <c r="EAV126" s="140"/>
      <c r="EAW126" s="140"/>
      <c r="EAX126" s="140"/>
      <c r="EAY126" s="140"/>
      <c r="EAZ126" s="140"/>
      <c r="EBA126" s="140"/>
      <c r="EBB126" s="140"/>
      <c r="EBC126" s="140"/>
      <c r="EBD126" s="140"/>
      <c r="EBE126" s="140"/>
      <c r="EBF126" s="140"/>
      <c r="EBG126" s="140"/>
      <c r="EBH126" s="140"/>
      <c r="EBI126" s="140"/>
      <c r="EBJ126" s="140"/>
      <c r="EBK126" s="140"/>
      <c r="EBL126" s="140"/>
      <c r="EBM126" s="140"/>
      <c r="EBN126" s="140"/>
      <c r="EBO126" s="140"/>
      <c r="EBP126" s="140"/>
      <c r="EBQ126" s="140"/>
      <c r="EBR126" s="140"/>
      <c r="EBS126" s="140"/>
      <c r="EBT126" s="140"/>
      <c r="EBU126" s="140"/>
      <c r="EBV126" s="140"/>
      <c r="EBW126" s="140"/>
      <c r="EBX126" s="140"/>
      <c r="EBY126" s="140"/>
      <c r="EBZ126" s="140"/>
      <c r="ECA126" s="140"/>
      <c r="ECB126" s="140"/>
      <c r="ECC126" s="140"/>
      <c r="ECD126" s="140"/>
      <c r="ECE126" s="140"/>
      <c r="ECF126" s="140"/>
      <c r="ECG126" s="140"/>
      <c r="ECH126" s="140"/>
      <c r="ECI126" s="140"/>
      <c r="ECJ126" s="140"/>
      <c r="ECK126" s="140"/>
      <c r="ECL126" s="140"/>
      <c r="ECM126" s="140"/>
      <c r="ECN126" s="140"/>
      <c r="ECO126" s="140"/>
      <c r="ECP126" s="140"/>
      <c r="ECQ126" s="140"/>
      <c r="ECR126" s="140"/>
      <c r="ECS126" s="140"/>
      <c r="ECT126" s="140"/>
      <c r="ECU126" s="140"/>
      <c r="ECV126" s="140"/>
      <c r="ECW126" s="140"/>
      <c r="ECX126" s="140"/>
      <c r="ECY126" s="140"/>
      <c r="ECZ126" s="140"/>
      <c r="EDA126" s="140"/>
      <c r="EDB126" s="140"/>
      <c r="EDC126" s="140"/>
      <c r="EDD126" s="140"/>
      <c r="EDE126" s="140"/>
      <c r="EDF126" s="140"/>
      <c r="EDG126" s="140"/>
      <c r="EDH126" s="140"/>
      <c r="EDI126" s="140"/>
      <c r="EDJ126" s="140"/>
      <c r="EDK126" s="140"/>
      <c r="EDL126" s="140"/>
      <c r="EDM126" s="140"/>
      <c r="EDN126" s="140"/>
      <c r="EDO126" s="140"/>
      <c r="EDP126" s="140"/>
      <c r="EDQ126" s="140"/>
      <c r="EDR126" s="140"/>
      <c r="EDS126" s="140"/>
      <c r="EDT126" s="140"/>
      <c r="EDU126" s="140"/>
      <c r="EDV126" s="140"/>
      <c r="EDW126" s="140"/>
      <c r="EDX126" s="140"/>
      <c r="EDY126" s="140"/>
      <c r="EDZ126" s="140"/>
      <c r="EEA126" s="140"/>
      <c r="EEB126" s="140"/>
      <c r="EEC126" s="140"/>
      <c r="EED126" s="140"/>
      <c r="EEE126" s="140"/>
      <c r="EEF126" s="140"/>
      <c r="EEG126" s="140"/>
      <c r="EEH126" s="140"/>
      <c r="EEI126" s="140"/>
      <c r="EEJ126" s="140"/>
      <c r="EEK126" s="140"/>
      <c r="EEL126" s="140"/>
      <c r="EEM126" s="140"/>
      <c r="EEN126" s="140"/>
      <c r="EEO126" s="140"/>
      <c r="EEP126" s="140"/>
      <c r="EEQ126" s="140"/>
      <c r="EER126" s="140"/>
      <c r="EES126" s="140"/>
      <c r="EET126" s="140"/>
      <c r="EEU126" s="140"/>
      <c r="EEV126" s="140"/>
      <c r="EEW126" s="140"/>
      <c r="EEX126" s="140"/>
      <c r="EEY126" s="140"/>
      <c r="EEZ126" s="140"/>
      <c r="EFA126" s="140"/>
      <c r="EFB126" s="140"/>
      <c r="EFC126" s="140"/>
      <c r="EFD126" s="140"/>
      <c r="EFE126" s="140"/>
      <c r="EFF126" s="140"/>
      <c r="EFG126" s="140"/>
      <c r="EFH126" s="140"/>
      <c r="EFI126" s="140"/>
      <c r="EFJ126" s="140"/>
      <c r="EFK126" s="140"/>
      <c r="EFL126" s="140"/>
      <c r="EFM126" s="140"/>
      <c r="EFN126" s="140"/>
      <c r="EFO126" s="140"/>
      <c r="EFP126" s="140"/>
      <c r="EFQ126" s="140"/>
      <c r="EFR126" s="140"/>
      <c r="EFS126" s="140"/>
      <c r="EFT126" s="140"/>
      <c r="EFU126" s="140"/>
      <c r="EFV126" s="140"/>
      <c r="EFW126" s="140"/>
      <c r="EFX126" s="140"/>
      <c r="EFY126" s="140"/>
      <c r="EFZ126" s="140"/>
      <c r="EGA126" s="140"/>
      <c r="EGB126" s="140"/>
      <c r="EGC126" s="140"/>
      <c r="EGD126" s="140"/>
      <c r="EGE126" s="140"/>
      <c r="EGF126" s="140"/>
      <c r="EGG126" s="140"/>
      <c r="EGH126" s="140"/>
      <c r="EGI126" s="140"/>
      <c r="EGJ126" s="140"/>
      <c r="EGK126" s="140"/>
      <c r="EGL126" s="140"/>
      <c r="EGM126" s="140"/>
      <c r="EGN126" s="140"/>
      <c r="EGO126" s="140"/>
      <c r="EGP126" s="140"/>
      <c r="EGQ126" s="140"/>
      <c r="EGR126" s="140"/>
      <c r="EGS126" s="140"/>
      <c r="EGT126" s="140"/>
      <c r="EGU126" s="140"/>
      <c r="EGV126" s="140"/>
      <c r="EGW126" s="140"/>
      <c r="EGX126" s="140"/>
      <c r="EGY126" s="140"/>
      <c r="EGZ126" s="140"/>
      <c r="EHA126" s="140"/>
      <c r="EHB126" s="140"/>
      <c r="EHC126" s="140"/>
      <c r="EHD126" s="140"/>
      <c r="EHE126" s="140"/>
      <c r="EHF126" s="140"/>
      <c r="EHG126" s="140"/>
      <c r="EHH126" s="140"/>
      <c r="EHI126" s="140"/>
      <c r="EHJ126" s="140"/>
      <c r="EHK126" s="140"/>
      <c r="EHL126" s="140"/>
      <c r="EHM126" s="140"/>
      <c r="EHN126" s="140"/>
      <c r="EHO126" s="140"/>
      <c r="EHP126" s="140"/>
      <c r="EHQ126" s="140"/>
      <c r="EHR126" s="140"/>
      <c r="EHS126" s="140"/>
      <c r="EHT126" s="140"/>
      <c r="EHU126" s="140"/>
      <c r="EHV126" s="140"/>
      <c r="EHW126" s="140"/>
      <c r="EHX126" s="140"/>
      <c r="EHY126" s="140"/>
      <c r="EHZ126" s="140"/>
      <c r="EIA126" s="140"/>
      <c r="EIB126" s="140"/>
      <c r="EIC126" s="140"/>
      <c r="EID126" s="140"/>
      <c r="EIE126" s="140"/>
      <c r="EIF126" s="140"/>
      <c r="EIG126" s="140"/>
      <c r="EIH126" s="140"/>
      <c r="EII126" s="140"/>
      <c r="EIJ126" s="140"/>
      <c r="EIK126" s="140"/>
      <c r="EIL126" s="140"/>
      <c r="EIM126" s="140"/>
      <c r="EIN126" s="140"/>
      <c r="EIO126" s="140"/>
      <c r="EIP126" s="140"/>
      <c r="EIQ126" s="140"/>
      <c r="EIR126" s="140"/>
      <c r="EIS126" s="140"/>
      <c r="EIT126" s="140"/>
      <c r="EIU126" s="140"/>
      <c r="EIV126" s="140"/>
      <c r="EIW126" s="140"/>
      <c r="EIX126" s="140"/>
      <c r="EIY126" s="140"/>
      <c r="EIZ126" s="140"/>
      <c r="EJA126" s="140"/>
      <c r="EJB126" s="140"/>
      <c r="EJC126" s="140"/>
      <c r="EJD126" s="140"/>
      <c r="EJE126" s="140"/>
      <c r="EJF126" s="140"/>
      <c r="EJG126" s="140"/>
      <c r="EJH126" s="140"/>
      <c r="EJI126" s="140"/>
      <c r="EJJ126" s="140"/>
      <c r="EJK126" s="140"/>
      <c r="EJL126" s="140"/>
      <c r="EJM126" s="140"/>
      <c r="EJN126" s="140"/>
      <c r="EJO126" s="140"/>
      <c r="EJP126" s="140"/>
      <c r="EJQ126" s="140"/>
      <c r="EJR126" s="140"/>
      <c r="EJS126" s="140"/>
      <c r="EJT126" s="140"/>
      <c r="EJU126" s="140"/>
      <c r="EJV126" s="140"/>
      <c r="EJW126" s="140"/>
      <c r="EJX126" s="140"/>
      <c r="EJY126" s="140"/>
      <c r="EJZ126" s="140"/>
      <c r="EKA126" s="140"/>
      <c r="EKB126" s="140"/>
      <c r="EKC126" s="140"/>
      <c r="EKD126" s="140"/>
      <c r="EKE126" s="140"/>
      <c r="EKF126" s="140"/>
      <c r="EKG126" s="140"/>
      <c r="EKH126" s="140"/>
      <c r="EKI126" s="140"/>
      <c r="EKJ126" s="140"/>
      <c r="EKK126" s="140"/>
      <c r="EKL126" s="140"/>
      <c r="EKM126" s="140"/>
      <c r="EKN126" s="140"/>
      <c r="EKO126" s="140"/>
      <c r="EKP126" s="140"/>
      <c r="EKQ126" s="140"/>
      <c r="EKR126" s="140"/>
      <c r="EKS126" s="140"/>
      <c r="EKT126" s="140"/>
      <c r="EKU126" s="140"/>
      <c r="EKV126" s="140"/>
      <c r="EKW126" s="140"/>
      <c r="EKX126" s="140"/>
      <c r="EKY126" s="140"/>
      <c r="EKZ126" s="140"/>
      <c r="ELA126" s="140"/>
      <c r="ELB126" s="140"/>
      <c r="ELC126" s="140"/>
      <c r="ELD126" s="140"/>
      <c r="ELE126" s="140"/>
      <c r="ELF126" s="140"/>
      <c r="ELG126" s="140"/>
      <c r="ELH126" s="140"/>
      <c r="ELI126" s="140"/>
      <c r="ELJ126" s="140"/>
      <c r="ELK126" s="140"/>
      <c r="ELL126" s="140"/>
      <c r="ELM126" s="140"/>
      <c r="ELN126" s="140"/>
      <c r="ELO126" s="140"/>
      <c r="ELP126" s="140"/>
      <c r="ELQ126" s="140"/>
      <c r="ELR126" s="140"/>
      <c r="ELS126" s="140"/>
      <c r="ELT126" s="140"/>
      <c r="ELU126" s="140"/>
      <c r="ELV126" s="140"/>
      <c r="ELW126" s="140"/>
      <c r="ELX126" s="140"/>
      <c r="ELY126" s="140"/>
      <c r="ELZ126" s="140"/>
      <c r="EMA126" s="140"/>
      <c r="EMB126" s="140"/>
      <c r="EMC126" s="140"/>
      <c r="EMD126" s="140"/>
      <c r="EME126" s="140"/>
      <c r="EMF126" s="140"/>
      <c r="EMG126" s="140"/>
      <c r="EMH126" s="140"/>
      <c r="EMI126" s="140"/>
      <c r="EMJ126" s="140"/>
      <c r="EMK126" s="140"/>
      <c r="EML126" s="140"/>
      <c r="EMM126" s="140"/>
      <c r="EMN126" s="140"/>
      <c r="EMO126" s="140"/>
      <c r="EMP126" s="140"/>
      <c r="EMQ126" s="140"/>
      <c r="EMR126" s="140"/>
      <c r="EMS126" s="140"/>
      <c r="EMT126" s="140"/>
      <c r="EMU126" s="140"/>
      <c r="EMV126" s="140"/>
      <c r="EMW126" s="140"/>
      <c r="EMX126" s="140"/>
      <c r="EMY126" s="140"/>
      <c r="EMZ126" s="140"/>
      <c r="ENA126" s="140"/>
      <c r="ENB126" s="140"/>
      <c r="ENC126" s="140"/>
      <c r="END126" s="140"/>
      <c r="ENE126" s="140"/>
      <c r="ENF126" s="140"/>
      <c r="ENG126" s="140"/>
      <c r="ENH126" s="140"/>
      <c r="ENI126" s="140"/>
      <c r="ENJ126" s="140"/>
      <c r="ENK126" s="140"/>
      <c r="ENL126" s="140"/>
      <c r="ENM126" s="140"/>
      <c r="ENN126" s="140"/>
      <c r="ENO126" s="140"/>
      <c r="ENP126" s="140"/>
      <c r="ENQ126" s="140"/>
      <c r="ENR126" s="140"/>
      <c r="ENS126" s="140"/>
      <c r="ENT126" s="140"/>
      <c r="ENU126" s="140"/>
      <c r="ENV126" s="140"/>
      <c r="ENW126" s="140"/>
      <c r="ENX126" s="140"/>
      <c r="ENY126" s="140"/>
      <c r="ENZ126" s="140"/>
      <c r="EOA126" s="140"/>
      <c r="EOB126" s="140"/>
      <c r="EOC126" s="140"/>
      <c r="EOD126" s="140"/>
      <c r="EOE126" s="140"/>
      <c r="EOF126" s="140"/>
      <c r="EOG126" s="140"/>
      <c r="EOH126" s="140"/>
      <c r="EOI126" s="140"/>
      <c r="EOJ126" s="140"/>
      <c r="EOK126" s="140"/>
      <c r="EOL126" s="140"/>
      <c r="EOM126" s="140"/>
      <c r="EON126" s="140"/>
      <c r="EOO126" s="140"/>
      <c r="EOP126" s="140"/>
      <c r="EOQ126" s="140"/>
      <c r="EOR126" s="140"/>
      <c r="EOS126" s="140"/>
      <c r="EOT126" s="140"/>
      <c r="EOU126" s="140"/>
      <c r="EOV126" s="140"/>
      <c r="EOW126" s="140"/>
      <c r="EOX126" s="140"/>
      <c r="EOY126" s="140"/>
      <c r="EOZ126" s="140"/>
      <c r="EPA126" s="140"/>
      <c r="EPB126" s="140"/>
      <c r="EPC126" s="140"/>
      <c r="EPD126" s="140"/>
      <c r="EPE126" s="140"/>
      <c r="EPF126" s="140"/>
      <c r="EPG126" s="140"/>
      <c r="EPH126" s="140"/>
      <c r="EPI126" s="140"/>
      <c r="EPJ126" s="140"/>
      <c r="EPK126" s="140"/>
      <c r="EPL126" s="140"/>
      <c r="EPM126" s="140"/>
      <c r="EPN126" s="140"/>
      <c r="EPO126" s="140"/>
      <c r="EPP126" s="140"/>
      <c r="EPQ126" s="140"/>
      <c r="EPR126" s="140"/>
      <c r="EPS126" s="140"/>
      <c r="EPT126" s="140"/>
      <c r="EPU126" s="140"/>
      <c r="EPV126" s="140"/>
      <c r="EPW126" s="140"/>
      <c r="EPX126" s="140"/>
      <c r="EPY126" s="140"/>
      <c r="EPZ126" s="140"/>
      <c r="EQA126" s="140"/>
      <c r="EQB126" s="140"/>
      <c r="EQC126" s="140"/>
      <c r="EQD126" s="140"/>
      <c r="EQE126" s="140"/>
      <c r="EQF126" s="140"/>
      <c r="EQG126" s="140"/>
      <c r="EQH126" s="140"/>
      <c r="EQI126" s="140"/>
      <c r="EQJ126" s="140"/>
      <c r="EQK126" s="140"/>
      <c r="EQL126" s="140"/>
      <c r="EQM126" s="140"/>
      <c r="EQN126" s="140"/>
      <c r="EQO126" s="140"/>
      <c r="EQP126" s="140"/>
      <c r="EQQ126" s="140"/>
      <c r="EQR126" s="140"/>
      <c r="EQS126" s="140"/>
      <c r="EQT126" s="140"/>
      <c r="EQU126" s="140"/>
      <c r="EQV126" s="140"/>
      <c r="EQW126" s="140"/>
      <c r="EQX126" s="140"/>
      <c r="EQY126" s="140"/>
      <c r="EQZ126" s="140"/>
      <c r="ERA126" s="140"/>
      <c r="ERB126" s="140"/>
      <c r="ERC126" s="140"/>
      <c r="ERD126" s="140"/>
      <c r="ERE126" s="140"/>
      <c r="ERF126" s="140"/>
      <c r="ERG126" s="140"/>
      <c r="ERH126" s="140"/>
      <c r="ERI126" s="140"/>
      <c r="ERJ126" s="140"/>
      <c r="ERK126" s="140"/>
      <c r="ERL126" s="140"/>
      <c r="ERM126" s="140"/>
      <c r="ERN126" s="140"/>
      <c r="ERO126" s="140"/>
      <c r="ERP126" s="140"/>
      <c r="ERQ126" s="140"/>
      <c r="ERR126" s="140"/>
      <c r="ERS126" s="140"/>
      <c r="ERT126" s="140"/>
      <c r="ERU126" s="140"/>
      <c r="ERV126" s="140"/>
      <c r="ERW126" s="140"/>
      <c r="ERX126" s="140"/>
      <c r="ERY126" s="140"/>
      <c r="ERZ126" s="140"/>
      <c r="ESA126" s="140"/>
      <c r="ESB126" s="140"/>
      <c r="ESC126" s="140"/>
      <c r="ESD126" s="140"/>
      <c r="ESE126" s="140"/>
      <c r="ESF126" s="140"/>
      <c r="ESG126" s="140"/>
      <c r="ESH126" s="140"/>
      <c r="ESI126" s="140"/>
      <c r="ESJ126" s="140"/>
      <c r="ESK126" s="140"/>
      <c r="ESL126" s="140"/>
      <c r="ESM126" s="140"/>
      <c r="ESN126" s="140"/>
      <c r="ESO126" s="140"/>
      <c r="ESP126" s="140"/>
      <c r="ESQ126" s="140"/>
      <c r="ESR126" s="140"/>
      <c r="ESS126" s="140"/>
      <c r="EST126" s="140"/>
      <c r="ESU126" s="140"/>
      <c r="ESV126" s="140"/>
      <c r="ESW126" s="140"/>
      <c r="ESX126" s="140"/>
      <c r="ESY126" s="140"/>
      <c r="ESZ126" s="140"/>
      <c r="ETA126" s="140"/>
      <c r="ETB126" s="140"/>
      <c r="ETC126" s="140"/>
      <c r="ETD126" s="140"/>
      <c r="ETE126" s="140"/>
      <c r="ETF126" s="140"/>
      <c r="ETG126" s="140"/>
      <c r="ETH126" s="140"/>
      <c r="ETI126" s="140"/>
      <c r="ETJ126" s="140"/>
      <c r="ETK126" s="140"/>
      <c r="ETL126" s="140"/>
      <c r="ETM126" s="140"/>
      <c r="ETN126" s="140"/>
      <c r="ETO126" s="140"/>
      <c r="ETP126" s="140"/>
      <c r="ETQ126" s="140"/>
      <c r="ETR126" s="140"/>
      <c r="ETS126" s="140"/>
      <c r="ETT126" s="140"/>
      <c r="ETU126" s="140"/>
      <c r="ETV126" s="140"/>
      <c r="ETW126" s="140"/>
      <c r="ETX126" s="140"/>
      <c r="ETY126" s="140"/>
      <c r="ETZ126" s="140"/>
      <c r="EUA126" s="140"/>
      <c r="EUB126" s="140"/>
      <c r="EUC126" s="140"/>
      <c r="EUD126" s="140"/>
      <c r="EUE126" s="140"/>
      <c r="EUF126" s="140"/>
      <c r="EUG126" s="140"/>
      <c r="EUH126" s="140"/>
      <c r="EUI126" s="140"/>
      <c r="EUJ126" s="140"/>
      <c r="EUK126" s="140"/>
      <c r="EUL126" s="140"/>
      <c r="EUM126" s="140"/>
      <c r="EUN126" s="140"/>
      <c r="EUO126" s="140"/>
      <c r="EUP126" s="140"/>
      <c r="EUQ126" s="140"/>
      <c r="EUR126" s="140"/>
      <c r="EUS126" s="140"/>
      <c r="EUT126" s="140"/>
      <c r="EUU126" s="140"/>
      <c r="EUV126" s="140"/>
      <c r="EUW126" s="140"/>
      <c r="EUX126" s="140"/>
      <c r="EUY126" s="140"/>
      <c r="EUZ126" s="140"/>
      <c r="EVA126" s="140"/>
      <c r="EVB126" s="140"/>
      <c r="EVC126" s="140"/>
      <c r="EVD126" s="140"/>
      <c r="EVE126" s="140"/>
      <c r="EVF126" s="140"/>
      <c r="EVG126" s="140"/>
      <c r="EVH126" s="140"/>
      <c r="EVI126" s="140"/>
      <c r="EVJ126" s="140"/>
      <c r="EVK126" s="140"/>
      <c r="EVL126" s="140"/>
      <c r="EVM126" s="140"/>
      <c r="EVN126" s="140"/>
      <c r="EVO126" s="140"/>
      <c r="EVP126" s="140"/>
      <c r="EVQ126" s="140"/>
      <c r="EVR126" s="140"/>
      <c r="EVS126" s="140"/>
      <c r="EVT126" s="140"/>
      <c r="EVU126" s="140"/>
      <c r="EVV126" s="140"/>
      <c r="EVW126" s="140"/>
      <c r="EVX126" s="140"/>
      <c r="EVY126" s="140"/>
      <c r="EVZ126" s="140"/>
      <c r="EWA126" s="140"/>
      <c r="EWB126" s="140"/>
      <c r="EWC126" s="140"/>
      <c r="EWD126" s="140"/>
      <c r="EWE126" s="140"/>
      <c r="EWF126" s="140"/>
      <c r="EWG126" s="140"/>
      <c r="EWH126" s="140"/>
      <c r="EWI126" s="140"/>
      <c r="EWJ126" s="140"/>
      <c r="EWK126" s="140"/>
      <c r="EWL126" s="140"/>
      <c r="EWM126" s="140"/>
      <c r="EWN126" s="140"/>
      <c r="EWO126" s="140"/>
      <c r="EWP126" s="140"/>
      <c r="EWQ126" s="140"/>
      <c r="EWR126" s="140"/>
      <c r="EWS126" s="140"/>
      <c r="EWT126" s="140"/>
      <c r="EWU126" s="140"/>
      <c r="EWV126" s="140"/>
      <c r="EWW126" s="140"/>
      <c r="EWX126" s="140"/>
      <c r="EWY126" s="140"/>
      <c r="EWZ126" s="140"/>
      <c r="EXA126" s="140"/>
      <c r="EXB126" s="140"/>
      <c r="EXC126" s="140"/>
      <c r="EXD126" s="140"/>
      <c r="EXE126" s="140"/>
      <c r="EXF126" s="140"/>
      <c r="EXG126" s="140"/>
      <c r="EXH126" s="140"/>
      <c r="EXI126" s="140"/>
      <c r="EXJ126" s="140"/>
      <c r="EXK126" s="140"/>
      <c r="EXL126" s="140"/>
      <c r="EXM126" s="140"/>
      <c r="EXN126" s="140"/>
      <c r="EXO126" s="140"/>
      <c r="EXP126" s="140"/>
      <c r="EXQ126" s="140"/>
      <c r="EXR126" s="140"/>
      <c r="EXS126" s="140"/>
      <c r="EXT126" s="140"/>
      <c r="EXU126" s="140"/>
      <c r="EXV126" s="140"/>
      <c r="EXW126" s="140"/>
      <c r="EXX126" s="140"/>
      <c r="EXY126" s="140"/>
      <c r="EXZ126" s="140"/>
      <c r="EYA126" s="140"/>
      <c r="EYB126" s="140"/>
      <c r="EYC126" s="140"/>
      <c r="EYD126" s="140"/>
      <c r="EYE126" s="140"/>
      <c r="EYF126" s="140"/>
      <c r="EYG126" s="140"/>
      <c r="EYH126" s="140"/>
      <c r="EYI126" s="140"/>
      <c r="EYJ126" s="140"/>
      <c r="EYK126" s="140"/>
      <c r="EYL126" s="140"/>
      <c r="EYM126" s="140"/>
      <c r="EYN126" s="140"/>
      <c r="EYO126" s="140"/>
      <c r="EYP126" s="140"/>
      <c r="EYQ126" s="140"/>
      <c r="EYR126" s="140"/>
      <c r="EYS126" s="140"/>
      <c r="EYT126" s="140"/>
      <c r="EYU126" s="140"/>
      <c r="EYV126" s="140"/>
      <c r="EYW126" s="140"/>
      <c r="EYX126" s="140"/>
      <c r="EYY126" s="140"/>
      <c r="EYZ126" s="140"/>
      <c r="EZA126" s="140"/>
      <c r="EZB126" s="140"/>
      <c r="EZC126" s="140"/>
      <c r="EZD126" s="140"/>
      <c r="EZE126" s="140"/>
      <c r="EZF126" s="140"/>
      <c r="EZG126" s="140"/>
      <c r="EZH126" s="140"/>
      <c r="EZI126" s="140"/>
      <c r="EZJ126" s="140"/>
      <c r="EZK126" s="140"/>
      <c r="EZL126" s="140"/>
      <c r="EZM126" s="140"/>
      <c r="EZN126" s="140"/>
      <c r="EZO126" s="140"/>
      <c r="EZP126" s="140"/>
      <c r="EZQ126" s="140"/>
      <c r="EZR126" s="140"/>
      <c r="EZS126" s="140"/>
      <c r="EZT126" s="140"/>
      <c r="EZU126" s="140"/>
      <c r="EZV126" s="140"/>
      <c r="EZW126" s="140"/>
      <c r="EZX126" s="140"/>
      <c r="EZY126" s="140"/>
      <c r="EZZ126" s="140"/>
      <c r="FAA126" s="140"/>
      <c r="FAB126" s="140"/>
      <c r="FAC126" s="140"/>
      <c r="FAD126" s="140"/>
      <c r="FAE126" s="140"/>
      <c r="FAF126" s="140"/>
      <c r="FAG126" s="140"/>
      <c r="FAH126" s="140"/>
      <c r="FAI126" s="140"/>
      <c r="FAJ126" s="140"/>
      <c r="FAK126" s="140"/>
      <c r="FAL126" s="140"/>
      <c r="FAM126" s="140"/>
      <c r="FAN126" s="140"/>
      <c r="FAO126" s="140"/>
      <c r="FAP126" s="140"/>
      <c r="FAQ126" s="140"/>
      <c r="FAR126" s="140"/>
      <c r="FAS126" s="140"/>
      <c r="FAT126" s="140"/>
      <c r="FAU126" s="140"/>
      <c r="FAV126" s="140"/>
      <c r="FAW126" s="140"/>
      <c r="FAX126" s="140"/>
      <c r="FAY126" s="140"/>
      <c r="FAZ126" s="140"/>
      <c r="FBA126" s="140"/>
      <c r="FBB126" s="140"/>
      <c r="FBC126" s="140"/>
      <c r="FBD126" s="140"/>
      <c r="FBE126" s="140"/>
      <c r="FBF126" s="140"/>
      <c r="FBG126" s="140"/>
      <c r="FBH126" s="140"/>
      <c r="FBI126" s="140"/>
      <c r="FBJ126" s="140"/>
      <c r="FBK126" s="140"/>
      <c r="FBL126" s="140"/>
      <c r="FBM126" s="140"/>
      <c r="FBN126" s="140"/>
      <c r="FBO126" s="140"/>
      <c r="FBP126" s="140"/>
      <c r="FBQ126" s="140"/>
      <c r="FBR126" s="140"/>
      <c r="FBS126" s="140"/>
      <c r="FBT126" s="140"/>
      <c r="FBU126" s="140"/>
      <c r="FBV126" s="140"/>
      <c r="FBW126" s="140"/>
      <c r="FBX126" s="140"/>
      <c r="FBY126" s="140"/>
      <c r="FBZ126" s="140"/>
      <c r="FCA126" s="140"/>
      <c r="FCB126" s="140"/>
      <c r="FCC126" s="140"/>
      <c r="FCD126" s="140"/>
      <c r="FCE126" s="140"/>
      <c r="FCF126" s="140"/>
      <c r="FCG126" s="140"/>
      <c r="FCH126" s="140"/>
      <c r="FCI126" s="140"/>
      <c r="FCJ126" s="140"/>
      <c r="FCK126" s="140"/>
      <c r="FCL126" s="140"/>
      <c r="FCM126" s="140"/>
      <c r="FCN126" s="140"/>
      <c r="FCO126" s="140"/>
      <c r="FCP126" s="140"/>
      <c r="FCQ126" s="140"/>
      <c r="FCR126" s="140"/>
      <c r="FCS126" s="140"/>
      <c r="FCT126" s="140"/>
      <c r="FCU126" s="140"/>
      <c r="FCV126" s="140"/>
      <c r="FCW126" s="140"/>
      <c r="FCX126" s="140"/>
      <c r="FCY126" s="140"/>
      <c r="FCZ126" s="140"/>
      <c r="FDA126" s="140"/>
      <c r="FDB126" s="140"/>
      <c r="FDC126" s="140"/>
      <c r="FDD126" s="140"/>
      <c r="FDE126" s="140"/>
      <c r="FDF126" s="140"/>
      <c r="FDG126" s="140"/>
      <c r="FDH126" s="140"/>
      <c r="FDI126" s="140"/>
      <c r="FDJ126" s="140"/>
      <c r="FDK126" s="140"/>
      <c r="FDL126" s="140"/>
      <c r="FDM126" s="140"/>
      <c r="FDN126" s="140"/>
      <c r="FDO126" s="140"/>
      <c r="FDP126" s="140"/>
      <c r="FDQ126" s="140"/>
      <c r="FDR126" s="140"/>
      <c r="FDS126" s="140"/>
      <c r="FDT126" s="140"/>
      <c r="FDU126" s="140"/>
      <c r="FDV126" s="140"/>
      <c r="FDW126" s="140"/>
      <c r="FDX126" s="140"/>
      <c r="FDY126" s="140"/>
      <c r="FDZ126" s="140"/>
      <c r="FEA126" s="140"/>
      <c r="FEB126" s="140"/>
      <c r="FEC126" s="140"/>
      <c r="FED126" s="140"/>
      <c r="FEE126" s="140"/>
      <c r="FEF126" s="140"/>
      <c r="FEG126" s="140"/>
      <c r="FEH126" s="140"/>
      <c r="FEI126" s="140"/>
      <c r="FEJ126" s="140"/>
      <c r="FEK126" s="140"/>
      <c r="FEL126" s="140"/>
      <c r="FEM126" s="140"/>
      <c r="FEN126" s="140"/>
      <c r="FEO126" s="140"/>
      <c r="FEP126" s="140"/>
      <c r="FEQ126" s="140"/>
      <c r="FER126" s="140"/>
      <c r="FES126" s="140"/>
      <c r="FET126" s="140"/>
      <c r="FEU126" s="140"/>
      <c r="FEV126" s="140"/>
      <c r="FEW126" s="140"/>
      <c r="FEX126" s="140"/>
      <c r="FEY126" s="140"/>
      <c r="FEZ126" s="140"/>
      <c r="FFA126" s="140"/>
      <c r="FFB126" s="140"/>
      <c r="FFC126" s="140"/>
      <c r="FFD126" s="140"/>
      <c r="FFE126" s="140"/>
      <c r="FFF126" s="140"/>
      <c r="FFG126" s="140"/>
      <c r="FFH126" s="140"/>
      <c r="FFI126" s="140"/>
      <c r="FFJ126" s="140"/>
      <c r="FFK126" s="140"/>
      <c r="FFL126" s="140"/>
      <c r="FFM126" s="140"/>
      <c r="FFN126" s="140"/>
      <c r="FFO126" s="140"/>
      <c r="FFP126" s="140"/>
      <c r="FFQ126" s="140"/>
      <c r="FFR126" s="140"/>
      <c r="FFS126" s="140"/>
      <c r="FFT126" s="140"/>
      <c r="FFU126" s="140"/>
      <c r="FFV126" s="140"/>
      <c r="FFW126" s="140"/>
      <c r="FFX126" s="140"/>
      <c r="FFY126" s="140"/>
      <c r="FFZ126" s="140"/>
      <c r="FGA126" s="140"/>
      <c r="FGB126" s="140"/>
      <c r="FGC126" s="140"/>
      <c r="FGD126" s="140"/>
      <c r="FGE126" s="140"/>
      <c r="FGF126" s="140"/>
      <c r="FGG126" s="140"/>
      <c r="FGH126" s="140"/>
      <c r="FGI126" s="140"/>
      <c r="FGJ126" s="140"/>
      <c r="FGK126" s="140"/>
      <c r="FGL126" s="140"/>
      <c r="FGM126" s="140"/>
      <c r="FGN126" s="140"/>
      <c r="FGO126" s="140"/>
      <c r="FGP126" s="140"/>
      <c r="FGQ126" s="140"/>
      <c r="FGR126" s="140"/>
      <c r="FGS126" s="140"/>
      <c r="FGT126" s="140"/>
      <c r="FGU126" s="140"/>
      <c r="FGV126" s="140"/>
      <c r="FGW126" s="140"/>
      <c r="FGX126" s="140"/>
      <c r="FGY126" s="140"/>
      <c r="FGZ126" s="140"/>
      <c r="FHA126" s="140"/>
      <c r="FHB126" s="140"/>
      <c r="FHC126" s="140"/>
      <c r="FHD126" s="140"/>
      <c r="FHE126" s="140"/>
      <c r="FHF126" s="140"/>
      <c r="FHG126" s="140"/>
      <c r="FHH126" s="140"/>
      <c r="FHI126" s="140"/>
      <c r="FHJ126" s="140"/>
      <c r="FHK126" s="140"/>
      <c r="FHL126" s="140"/>
      <c r="FHM126" s="140"/>
      <c r="FHN126" s="140"/>
      <c r="FHO126" s="140"/>
      <c r="FHP126" s="140"/>
      <c r="FHQ126" s="140"/>
      <c r="FHR126" s="140"/>
      <c r="FHS126" s="140"/>
      <c r="FHT126" s="140"/>
      <c r="FHU126" s="140"/>
      <c r="FHV126" s="140"/>
      <c r="FHW126" s="140"/>
      <c r="FHX126" s="140"/>
      <c r="FHY126" s="140"/>
      <c r="FHZ126" s="140"/>
      <c r="FIA126" s="140"/>
      <c r="FIB126" s="140"/>
      <c r="FIC126" s="140"/>
      <c r="FID126" s="140"/>
      <c r="FIE126" s="140"/>
      <c r="FIF126" s="140"/>
      <c r="FIG126" s="140"/>
      <c r="FIH126" s="140"/>
      <c r="FII126" s="140"/>
      <c r="FIJ126" s="140"/>
      <c r="FIK126" s="140"/>
      <c r="FIL126" s="140"/>
      <c r="FIM126" s="140"/>
      <c r="FIN126" s="140"/>
      <c r="FIO126" s="140"/>
      <c r="FIP126" s="140"/>
      <c r="FIQ126" s="140"/>
      <c r="FIR126" s="140"/>
      <c r="FIS126" s="140"/>
      <c r="FIT126" s="140"/>
      <c r="FIU126" s="140"/>
      <c r="FIV126" s="140"/>
      <c r="FIW126" s="140"/>
      <c r="FIX126" s="140"/>
      <c r="FIY126" s="140"/>
      <c r="FIZ126" s="140"/>
      <c r="FJA126" s="140"/>
      <c r="FJB126" s="140"/>
      <c r="FJC126" s="140"/>
      <c r="FJD126" s="140"/>
      <c r="FJE126" s="140"/>
      <c r="FJF126" s="140"/>
      <c r="FJG126" s="140"/>
      <c r="FJH126" s="140"/>
      <c r="FJI126" s="140"/>
      <c r="FJJ126" s="140"/>
      <c r="FJK126" s="140"/>
      <c r="FJL126" s="140"/>
      <c r="FJM126" s="140"/>
      <c r="FJN126" s="140"/>
      <c r="FJO126" s="140"/>
      <c r="FJP126" s="140"/>
      <c r="FJQ126" s="140"/>
      <c r="FJR126" s="140"/>
      <c r="FJS126" s="140"/>
      <c r="FJT126" s="140"/>
      <c r="FJU126" s="140"/>
      <c r="FJV126" s="140"/>
      <c r="FJW126" s="140"/>
      <c r="FJX126" s="140"/>
      <c r="FJY126" s="140"/>
      <c r="FJZ126" s="140"/>
      <c r="FKA126" s="140"/>
      <c r="FKB126" s="140"/>
      <c r="FKC126" s="140"/>
      <c r="FKD126" s="140"/>
      <c r="FKE126" s="140"/>
      <c r="FKF126" s="140"/>
      <c r="FKG126" s="140"/>
      <c r="FKH126" s="140"/>
      <c r="FKI126" s="140"/>
      <c r="FKJ126" s="140"/>
      <c r="FKK126" s="140"/>
      <c r="FKL126" s="140"/>
      <c r="FKM126" s="140"/>
      <c r="FKN126" s="140"/>
      <c r="FKO126" s="140"/>
      <c r="FKP126" s="140"/>
      <c r="FKQ126" s="140"/>
      <c r="FKR126" s="140"/>
      <c r="FKS126" s="140"/>
      <c r="FKT126" s="140"/>
      <c r="FKU126" s="140"/>
      <c r="FKV126" s="140"/>
      <c r="FKW126" s="140"/>
      <c r="FKX126" s="140"/>
      <c r="FKY126" s="140"/>
      <c r="FKZ126" s="140"/>
      <c r="FLA126" s="140"/>
      <c r="FLB126" s="140"/>
      <c r="FLC126" s="140"/>
      <c r="FLD126" s="140"/>
      <c r="FLE126" s="140"/>
      <c r="FLF126" s="140"/>
      <c r="FLG126" s="140"/>
      <c r="FLH126" s="140"/>
      <c r="FLI126" s="140"/>
      <c r="FLJ126" s="140"/>
      <c r="FLK126" s="140"/>
      <c r="FLL126" s="140"/>
      <c r="FLM126" s="140"/>
      <c r="FLN126" s="140"/>
      <c r="FLO126" s="140"/>
      <c r="FLP126" s="140"/>
      <c r="FLQ126" s="140"/>
      <c r="FLR126" s="140"/>
      <c r="FLS126" s="140"/>
      <c r="FLT126" s="140"/>
      <c r="FLU126" s="140"/>
      <c r="FLV126" s="140"/>
      <c r="FLW126" s="140"/>
      <c r="FLX126" s="140"/>
      <c r="FLY126" s="140"/>
      <c r="FLZ126" s="140"/>
      <c r="FMA126" s="140"/>
      <c r="FMB126" s="140"/>
      <c r="FMC126" s="140"/>
      <c r="FMD126" s="140"/>
      <c r="FME126" s="140"/>
      <c r="FMF126" s="140"/>
      <c r="FMG126" s="140"/>
      <c r="FMH126" s="140"/>
      <c r="FMI126" s="140"/>
      <c r="FMJ126" s="140"/>
      <c r="FMK126" s="140"/>
      <c r="FML126" s="140"/>
      <c r="FMM126" s="140"/>
      <c r="FMN126" s="140"/>
      <c r="FMO126" s="140"/>
      <c r="FMP126" s="140"/>
      <c r="FMQ126" s="140"/>
      <c r="FMR126" s="140"/>
      <c r="FMS126" s="140"/>
      <c r="FMT126" s="140"/>
      <c r="FMU126" s="140"/>
      <c r="FMV126" s="140"/>
      <c r="FMW126" s="140"/>
      <c r="FMX126" s="140"/>
      <c r="FMY126" s="140"/>
      <c r="FMZ126" s="140"/>
      <c r="FNA126" s="140"/>
      <c r="FNB126" s="140"/>
      <c r="FNC126" s="140"/>
      <c r="FND126" s="140"/>
      <c r="FNE126" s="140"/>
      <c r="FNF126" s="140"/>
      <c r="FNG126" s="140"/>
      <c r="FNH126" s="140"/>
      <c r="FNI126" s="140"/>
      <c r="FNJ126" s="140"/>
      <c r="FNK126" s="140"/>
      <c r="FNL126" s="140"/>
      <c r="FNM126" s="140"/>
      <c r="FNN126" s="140"/>
      <c r="FNO126" s="140"/>
      <c r="FNP126" s="140"/>
      <c r="FNQ126" s="140"/>
      <c r="FNR126" s="140"/>
      <c r="FNS126" s="140"/>
      <c r="FNT126" s="140"/>
      <c r="FNU126" s="140"/>
      <c r="FNV126" s="140"/>
      <c r="FNW126" s="140"/>
      <c r="FNX126" s="140"/>
      <c r="FNY126" s="140"/>
      <c r="FNZ126" s="140"/>
      <c r="FOA126" s="140"/>
      <c r="FOB126" s="140"/>
      <c r="FOC126" s="140"/>
      <c r="FOD126" s="140"/>
      <c r="FOE126" s="140"/>
      <c r="FOF126" s="140"/>
      <c r="FOG126" s="140"/>
      <c r="FOH126" s="140"/>
      <c r="FOI126" s="140"/>
      <c r="FOJ126" s="140"/>
      <c r="FOK126" s="140"/>
      <c r="FOL126" s="140"/>
      <c r="FOM126" s="140"/>
      <c r="FON126" s="140"/>
      <c r="FOO126" s="140"/>
      <c r="FOP126" s="140"/>
      <c r="FOQ126" s="140"/>
      <c r="FOR126" s="140"/>
      <c r="FOS126" s="140"/>
      <c r="FOT126" s="140"/>
      <c r="FOU126" s="140"/>
      <c r="FOV126" s="140"/>
      <c r="FOW126" s="140"/>
      <c r="FOX126" s="140"/>
      <c r="FOY126" s="140"/>
      <c r="FOZ126" s="140"/>
      <c r="FPA126" s="140"/>
      <c r="FPB126" s="140"/>
      <c r="FPC126" s="140"/>
      <c r="FPD126" s="140"/>
      <c r="FPE126" s="140"/>
      <c r="FPF126" s="140"/>
      <c r="FPG126" s="140"/>
      <c r="FPH126" s="140"/>
      <c r="FPI126" s="140"/>
      <c r="FPJ126" s="140"/>
      <c r="FPK126" s="140"/>
      <c r="FPL126" s="140"/>
      <c r="FPM126" s="140"/>
      <c r="FPN126" s="140"/>
      <c r="FPO126" s="140"/>
      <c r="FPP126" s="140"/>
      <c r="FPQ126" s="140"/>
      <c r="FPR126" s="140"/>
      <c r="FPS126" s="140"/>
      <c r="FPT126" s="140"/>
      <c r="FPU126" s="140"/>
      <c r="FPV126" s="140"/>
      <c r="FPW126" s="140"/>
      <c r="FPX126" s="140"/>
      <c r="FPY126" s="140"/>
      <c r="FPZ126" s="140"/>
      <c r="FQA126" s="140"/>
      <c r="FQB126" s="140"/>
      <c r="FQC126" s="140"/>
      <c r="FQD126" s="140"/>
      <c r="FQE126" s="140"/>
      <c r="FQF126" s="140"/>
      <c r="FQG126" s="140"/>
      <c r="FQH126" s="140"/>
      <c r="FQI126" s="140"/>
      <c r="FQJ126" s="140"/>
      <c r="FQK126" s="140"/>
      <c r="FQL126" s="140"/>
      <c r="FQM126" s="140"/>
      <c r="FQN126" s="140"/>
      <c r="FQO126" s="140"/>
      <c r="FQP126" s="140"/>
      <c r="FQQ126" s="140"/>
      <c r="FQR126" s="140"/>
      <c r="FQS126" s="140"/>
      <c r="FQT126" s="140"/>
      <c r="FQU126" s="140"/>
      <c r="FQV126" s="140"/>
      <c r="FQW126" s="140"/>
      <c r="FQX126" s="140"/>
      <c r="FQY126" s="140"/>
      <c r="FQZ126" s="140"/>
      <c r="FRA126" s="140"/>
      <c r="FRB126" s="140"/>
      <c r="FRC126" s="140"/>
      <c r="FRD126" s="140"/>
      <c r="FRE126" s="140"/>
      <c r="FRF126" s="140"/>
      <c r="FRG126" s="140"/>
      <c r="FRH126" s="140"/>
      <c r="FRI126" s="140"/>
      <c r="FRJ126" s="140"/>
      <c r="FRK126" s="140"/>
      <c r="FRL126" s="140"/>
      <c r="FRM126" s="140"/>
      <c r="FRN126" s="140"/>
      <c r="FRO126" s="140"/>
      <c r="FRP126" s="140"/>
      <c r="FRQ126" s="140"/>
      <c r="FRR126" s="140"/>
      <c r="FRS126" s="140"/>
      <c r="FRT126" s="140"/>
      <c r="FRU126" s="140"/>
      <c r="FRV126" s="140"/>
      <c r="FRW126" s="140"/>
      <c r="FRX126" s="140"/>
      <c r="FRY126" s="140"/>
      <c r="FRZ126" s="140"/>
      <c r="FSA126" s="140"/>
      <c r="FSB126" s="140"/>
      <c r="FSC126" s="140"/>
      <c r="FSD126" s="140"/>
      <c r="FSE126" s="140"/>
      <c r="FSF126" s="140"/>
      <c r="FSG126" s="140"/>
      <c r="FSH126" s="140"/>
      <c r="FSI126" s="140"/>
      <c r="FSJ126" s="140"/>
      <c r="FSK126" s="140"/>
      <c r="FSL126" s="140"/>
      <c r="FSM126" s="140"/>
      <c r="FSN126" s="140"/>
      <c r="FSO126" s="140"/>
      <c r="FSP126" s="140"/>
      <c r="FSQ126" s="140"/>
      <c r="FSR126" s="140"/>
      <c r="FSS126" s="140"/>
      <c r="FST126" s="140"/>
      <c r="FSU126" s="140"/>
      <c r="FSV126" s="140"/>
      <c r="FSW126" s="140"/>
      <c r="FSX126" s="140"/>
      <c r="FSY126" s="140"/>
      <c r="FSZ126" s="140"/>
      <c r="FTA126" s="140"/>
      <c r="FTB126" s="140"/>
      <c r="FTC126" s="140"/>
      <c r="FTD126" s="140"/>
      <c r="FTE126" s="140"/>
      <c r="FTF126" s="140"/>
      <c r="FTG126" s="140"/>
      <c r="FTH126" s="140"/>
      <c r="FTI126" s="140"/>
      <c r="FTJ126" s="140"/>
      <c r="FTK126" s="140"/>
      <c r="FTL126" s="140"/>
      <c r="FTM126" s="140"/>
      <c r="FTN126" s="140"/>
      <c r="FTO126" s="140"/>
      <c r="FTP126" s="140"/>
      <c r="FTQ126" s="140"/>
      <c r="FTR126" s="140"/>
      <c r="FTS126" s="140"/>
      <c r="FTT126" s="140"/>
      <c r="FTU126" s="140"/>
      <c r="FTV126" s="140"/>
      <c r="FTW126" s="140"/>
      <c r="FTX126" s="140"/>
      <c r="FTY126" s="140"/>
      <c r="FTZ126" s="140"/>
      <c r="FUA126" s="140"/>
      <c r="FUB126" s="140"/>
      <c r="FUC126" s="140"/>
      <c r="FUD126" s="140"/>
      <c r="FUE126" s="140"/>
      <c r="FUF126" s="140"/>
      <c r="FUG126" s="140"/>
      <c r="FUH126" s="140"/>
      <c r="FUI126" s="140"/>
      <c r="FUJ126" s="140"/>
      <c r="FUK126" s="140"/>
      <c r="FUL126" s="140"/>
      <c r="FUM126" s="140"/>
      <c r="FUN126" s="140"/>
      <c r="FUO126" s="140"/>
      <c r="FUP126" s="140"/>
      <c r="FUQ126" s="140"/>
      <c r="FUR126" s="140"/>
      <c r="FUS126" s="140"/>
      <c r="FUT126" s="140"/>
      <c r="FUU126" s="140"/>
      <c r="FUV126" s="140"/>
      <c r="FUW126" s="140"/>
      <c r="FUX126" s="140"/>
      <c r="FUY126" s="140"/>
      <c r="FUZ126" s="140"/>
      <c r="FVA126" s="140"/>
      <c r="FVB126" s="140"/>
      <c r="FVC126" s="140"/>
      <c r="FVD126" s="140"/>
      <c r="FVE126" s="140"/>
      <c r="FVF126" s="140"/>
      <c r="FVG126" s="140"/>
      <c r="FVH126" s="140"/>
      <c r="FVI126" s="140"/>
      <c r="FVJ126" s="140"/>
      <c r="FVK126" s="140"/>
      <c r="FVL126" s="140"/>
      <c r="FVM126" s="140"/>
      <c r="FVN126" s="140"/>
      <c r="FVO126" s="140"/>
      <c r="FVP126" s="140"/>
      <c r="FVQ126" s="140"/>
      <c r="FVR126" s="140"/>
      <c r="FVS126" s="140"/>
      <c r="FVT126" s="140"/>
      <c r="FVU126" s="140"/>
      <c r="FVV126" s="140"/>
      <c r="FVW126" s="140"/>
      <c r="FVX126" s="140"/>
      <c r="FVY126" s="140"/>
      <c r="FVZ126" s="140"/>
      <c r="FWA126" s="140"/>
      <c r="FWB126" s="140"/>
      <c r="FWC126" s="140"/>
      <c r="FWD126" s="140"/>
      <c r="FWE126" s="140"/>
      <c r="FWF126" s="140"/>
      <c r="FWG126" s="140"/>
      <c r="FWH126" s="140"/>
      <c r="FWI126" s="140"/>
      <c r="FWJ126" s="140"/>
      <c r="FWK126" s="140"/>
      <c r="FWL126" s="140"/>
      <c r="FWM126" s="140"/>
      <c r="FWN126" s="140"/>
      <c r="FWO126" s="140"/>
      <c r="FWP126" s="140"/>
      <c r="FWQ126" s="140"/>
      <c r="FWR126" s="140"/>
      <c r="FWS126" s="140"/>
      <c r="FWT126" s="140"/>
      <c r="FWU126" s="140"/>
      <c r="FWV126" s="140"/>
      <c r="FWW126" s="140"/>
      <c r="FWX126" s="140"/>
      <c r="FWY126" s="140"/>
      <c r="FWZ126" s="140"/>
      <c r="FXA126" s="140"/>
      <c r="FXB126" s="140"/>
      <c r="FXC126" s="140"/>
      <c r="FXD126" s="140"/>
      <c r="FXE126" s="140"/>
      <c r="FXF126" s="140"/>
      <c r="FXG126" s="140"/>
      <c r="FXH126" s="140"/>
      <c r="FXI126" s="140"/>
      <c r="FXJ126" s="140"/>
      <c r="FXK126" s="140"/>
      <c r="FXL126" s="140"/>
      <c r="FXM126" s="140"/>
      <c r="FXN126" s="140"/>
      <c r="FXO126" s="140"/>
      <c r="FXP126" s="140"/>
      <c r="FXQ126" s="140"/>
      <c r="FXR126" s="140"/>
      <c r="FXS126" s="140"/>
      <c r="FXT126" s="140"/>
      <c r="FXU126" s="140"/>
      <c r="FXV126" s="140"/>
      <c r="FXW126" s="140"/>
      <c r="FXX126" s="140"/>
      <c r="FXY126" s="140"/>
      <c r="FXZ126" s="140"/>
      <c r="FYA126" s="140"/>
      <c r="FYB126" s="140"/>
      <c r="FYC126" s="140"/>
      <c r="FYD126" s="140"/>
      <c r="FYE126" s="140"/>
      <c r="FYF126" s="140"/>
      <c r="FYG126" s="140"/>
      <c r="FYH126" s="140"/>
      <c r="FYI126" s="140"/>
      <c r="FYJ126" s="140"/>
      <c r="FYK126" s="140"/>
      <c r="FYL126" s="140"/>
      <c r="FYM126" s="140"/>
      <c r="FYN126" s="140"/>
      <c r="FYO126" s="140"/>
      <c r="FYP126" s="140"/>
      <c r="FYQ126" s="140"/>
      <c r="FYR126" s="140"/>
      <c r="FYS126" s="140"/>
      <c r="FYT126" s="140"/>
      <c r="FYU126" s="140"/>
      <c r="FYV126" s="140"/>
      <c r="FYW126" s="140"/>
      <c r="FYX126" s="140"/>
      <c r="FYY126" s="140"/>
      <c r="FYZ126" s="140"/>
      <c r="FZA126" s="140"/>
      <c r="FZB126" s="140"/>
      <c r="FZC126" s="140"/>
      <c r="FZD126" s="140"/>
      <c r="FZE126" s="140"/>
      <c r="FZF126" s="140"/>
      <c r="FZG126" s="140"/>
      <c r="FZH126" s="140"/>
      <c r="FZI126" s="140"/>
      <c r="FZJ126" s="140"/>
      <c r="FZK126" s="140"/>
      <c r="FZL126" s="140"/>
      <c r="FZM126" s="140"/>
      <c r="FZN126" s="140"/>
      <c r="FZO126" s="140"/>
      <c r="FZP126" s="140"/>
      <c r="FZQ126" s="140"/>
      <c r="FZR126" s="140"/>
      <c r="FZS126" s="140"/>
      <c r="FZT126" s="140"/>
      <c r="FZU126" s="140"/>
      <c r="FZV126" s="140"/>
      <c r="FZW126" s="140"/>
      <c r="FZX126" s="140"/>
      <c r="FZY126" s="140"/>
      <c r="FZZ126" s="140"/>
      <c r="GAA126" s="140"/>
      <c r="GAB126" s="140"/>
      <c r="GAC126" s="140"/>
      <c r="GAD126" s="140"/>
      <c r="GAE126" s="140"/>
      <c r="GAF126" s="140"/>
      <c r="GAG126" s="140"/>
      <c r="GAH126" s="140"/>
      <c r="GAI126" s="140"/>
      <c r="GAJ126" s="140"/>
      <c r="GAK126" s="140"/>
      <c r="GAL126" s="140"/>
      <c r="GAM126" s="140"/>
      <c r="GAN126" s="140"/>
      <c r="GAO126" s="140"/>
      <c r="GAP126" s="140"/>
      <c r="GAQ126" s="140"/>
      <c r="GAR126" s="140"/>
      <c r="GAS126" s="140"/>
      <c r="GAT126" s="140"/>
      <c r="GAU126" s="140"/>
      <c r="GAV126" s="140"/>
      <c r="GAW126" s="140"/>
      <c r="GAX126" s="140"/>
      <c r="GAY126" s="140"/>
      <c r="GAZ126" s="140"/>
      <c r="GBA126" s="140"/>
      <c r="GBB126" s="140"/>
      <c r="GBC126" s="140"/>
      <c r="GBD126" s="140"/>
      <c r="GBE126" s="140"/>
      <c r="GBF126" s="140"/>
      <c r="GBG126" s="140"/>
      <c r="GBH126" s="140"/>
      <c r="GBI126" s="140"/>
      <c r="GBJ126" s="140"/>
      <c r="GBK126" s="140"/>
      <c r="GBL126" s="140"/>
      <c r="GBM126" s="140"/>
      <c r="GBN126" s="140"/>
      <c r="GBO126" s="140"/>
      <c r="GBP126" s="140"/>
      <c r="GBQ126" s="140"/>
      <c r="GBR126" s="140"/>
      <c r="GBS126" s="140"/>
      <c r="GBT126" s="140"/>
      <c r="GBU126" s="140"/>
      <c r="GBV126" s="140"/>
      <c r="GBW126" s="140"/>
      <c r="GBX126" s="140"/>
      <c r="GBY126" s="140"/>
      <c r="GBZ126" s="140"/>
      <c r="GCA126" s="140"/>
      <c r="GCB126" s="140"/>
      <c r="GCC126" s="140"/>
      <c r="GCD126" s="140"/>
      <c r="GCE126" s="140"/>
      <c r="GCF126" s="140"/>
      <c r="GCG126" s="140"/>
      <c r="GCH126" s="140"/>
      <c r="GCI126" s="140"/>
      <c r="GCJ126" s="140"/>
      <c r="GCK126" s="140"/>
      <c r="GCL126" s="140"/>
      <c r="GCM126" s="140"/>
      <c r="GCN126" s="140"/>
      <c r="GCO126" s="140"/>
      <c r="GCP126" s="140"/>
      <c r="GCQ126" s="140"/>
      <c r="GCR126" s="140"/>
      <c r="GCS126" s="140"/>
      <c r="GCT126" s="140"/>
      <c r="GCU126" s="140"/>
      <c r="GCV126" s="140"/>
      <c r="GCW126" s="140"/>
      <c r="GCX126" s="140"/>
      <c r="GCY126" s="140"/>
      <c r="GCZ126" s="140"/>
      <c r="GDA126" s="140"/>
      <c r="GDB126" s="140"/>
      <c r="GDC126" s="140"/>
      <c r="GDD126" s="140"/>
      <c r="GDE126" s="140"/>
      <c r="GDF126" s="140"/>
      <c r="GDG126" s="140"/>
      <c r="GDH126" s="140"/>
      <c r="GDI126" s="140"/>
      <c r="GDJ126" s="140"/>
      <c r="GDK126" s="140"/>
      <c r="GDL126" s="140"/>
      <c r="GDM126" s="140"/>
      <c r="GDN126" s="140"/>
      <c r="GDO126" s="140"/>
      <c r="GDP126" s="140"/>
      <c r="GDQ126" s="140"/>
      <c r="GDR126" s="140"/>
      <c r="GDS126" s="140"/>
      <c r="GDT126" s="140"/>
      <c r="GDU126" s="140"/>
      <c r="GDV126" s="140"/>
      <c r="GDW126" s="140"/>
      <c r="GDX126" s="140"/>
      <c r="GDY126" s="140"/>
      <c r="GDZ126" s="140"/>
      <c r="GEA126" s="140"/>
      <c r="GEB126" s="140"/>
      <c r="GEC126" s="140"/>
      <c r="GED126" s="140"/>
      <c r="GEE126" s="140"/>
      <c r="GEF126" s="140"/>
      <c r="GEG126" s="140"/>
      <c r="GEH126" s="140"/>
      <c r="GEI126" s="140"/>
      <c r="GEJ126" s="140"/>
      <c r="GEK126" s="140"/>
      <c r="GEL126" s="140"/>
      <c r="GEM126" s="140"/>
      <c r="GEN126" s="140"/>
      <c r="GEO126" s="140"/>
      <c r="GEP126" s="140"/>
      <c r="GEQ126" s="140"/>
      <c r="GER126" s="140"/>
      <c r="GES126" s="140"/>
      <c r="GET126" s="140"/>
      <c r="GEU126" s="140"/>
      <c r="GEV126" s="140"/>
      <c r="GEW126" s="140"/>
      <c r="GEX126" s="140"/>
      <c r="GEY126" s="140"/>
      <c r="GEZ126" s="140"/>
      <c r="GFA126" s="140"/>
      <c r="GFB126" s="140"/>
      <c r="GFC126" s="140"/>
      <c r="GFD126" s="140"/>
      <c r="GFE126" s="140"/>
      <c r="GFF126" s="140"/>
      <c r="GFG126" s="140"/>
      <c r="GFH126" s="140"/>
      <c r="GFI126" s="140"/>
      <c r="GFJ126" s="140"/>
      <c r="GFK126" s="140"/>
      <c r="GFL126" s="140"/>
      <c r="GFM126" s="140"/>
      <c r="GFN126" s="140"/>
      <c r="GFO126" s="140"/>
      <c r="GFP126" s="140"/>
      <c r="GFQ126" s="140"/>
      <c r="GFR126" s="140"/>
      <c r="GFS126" s="140"/>
      <c r="GFT126" s="140"/>
      <c r="GFU126" s="140"/>
      <c r="GFV126" s="140"/>
      <c r="GFW126" s="140"/>
      <c r="GFX126" s="140"/>
      <c r="GFY126" s="140"/>
      <c r="GFZ126" s="140"/>
      <c r="GGA126" s="140"/>
      <c r="GGB126" s="140"/>
      <c r="GGC126" s="140"/>
      <c r="GGD126" s="140"/>
      <c r="GGE126" s="140"/>
      <c r="GGF126" s="140"/>
      <c r="GGG126" s="140"/>
      <c r="GGH126" s="140"/>
      <c r="GGI126" s="140"/>
      <c r="GGJ126" s="140"/>
      <c r="GGK126" s="140"/>
      <c r="GGL126" s="140"/>
      <c r="GGM126" s="140"/>
      <c r="GGN126" s="140"/>
      <c r="GGO126" s="140"/>
      <c r="GGP126" s="140"/>
      <c r="GGQ126" s="140"/>
      <c r="GGR126" s="140"/>
      <c r="GGS126" s="140"/>
      <c r="GGT126" s="140"/>
      <c r="GGU126" s="140"/>
      <c r="GGV126" s="140"/>
      <c r="GGW126" s="140"/>
      <c r="GGX126" s="140"/>
      <c r="GGY126" s="140"/>
      <c r="GGZ126" s="140"/>
      <c r="GHA126" s="140"/>
      <c r="GHB126" s="140"/>
      <c r="GHC126" s="140"/>
      <c r="GHD126" s="140"/>
      <c r="GHE126" s="140"/>
      <c r="GHF126" s="140"/>
      <c r="GHG126" s="140"/>
      <c r="GHH126" s="140"/>
      <c r="GHI126" s="140"/>
      <c r="GHJ126" s="140"/>
      <c r="GHK126" s="140"/>
      <c r="GHL126" s="140"/>
      <c r="GHM126" s="140"/>
      <c r="GHN126" s="140"/>
      <c r="GHO126" s="140"/>
      <c r="GHP126" s="140"/>
      <c r="GHQ126" s="140"/>
      <c r="GHR126" s="140"/>
      <c r="GHS126" s="140"/>
      <c r="GHT126" s="140"/>
      <c r="GHU126" s="140"/>
      <c r="GHV126" s="140"/>
      <c r="GHW126" s="140"/>
      <c r="GHX126" s="140"/>
      <c r="GHY126" s="140"/>
      <c r="GHZ126" s="140"/>
      <c r="GIA126" s="140"/>
      <c r="GIB126" s="140"/>
      <c r="GIC126" s="140"/>
      <c r="GID126" s="140"/>
      <c r="GIE126" s="140"/>
      <c r="GIF126" s="140"/>
      <c r="GIG126" s="140"/>
      <c r="GIH126" s="140"/>
      <c r="GII126" s="140"/>
      <c r="GIJ126" s="140"/>
      <c r="GIK126" s="140"/>
      <c r="GIL126" s="140"/>
      <c r="GIM126" s="140"/>
      <c r="GIN126" s="140"/>
      <c r="GIO126" s="140"/>
      <c r="GIP126" s="140"/>
      <c r="GIQ126" s="140"/>
      <c r="GIR126" s="140"/>
      <c r="GIS126" s="140"/>
      <c r="GIT126" s="140"/>
      <c r="GIU126" s="140"/>
      <c r="GIV126" s="140"/>
      <c r="GIW126" s="140"/>
      <c r="GIX126" s="140"/>
      <c r="GIY126" s="140"/>
      <c r="GIZ126" s="140"/>
      <c r="GJA126" s="140"/>
      <c r="GJB126" s="140"/>
      <c r="GJC126" s="140"/>
      <c r="GJD126" s="140"/>
      <c r="GJE126" s="140"/>
      <c r="GJF126" s="140"/>
      <c r="GJG126" s="140"/>
      <c r="GJH126" s="140"/>
      <c r="GJI126" s="140"/>
      <c r="GJJ126" s="140"/>
      <c r="GJK126" s="140"/>
      <c r="GJL126" s="140"/>
      <c r="GJM126" s="140"/>
      <c r="GJN126" s="140"/>
      <c r="GJO126" s="140"/>
      <c r="GJP126" s="140"/>
      <c r="GJQ126" s="140"/>
      <c r="GJR126" s="140"/>
      <c r="GJS126" s="140"/>
      <c r="GJT126" s="140"/>
      <c r="GJU126" s="140"/>
      <c r="GJV126" s="140"/>
      <c r="GJW126" s="140"/>
      <c r="GJX126" s="140"/>
      <c r="GJY126" s="140"/>
      <c r="GJZ126" s="140"/>
      <c r="GKA126" s="140"/>
      <c r="GKB126" s="140"/>
      <c r="GKC126" s="140"/>
      <c r="GKD126" s="140"/>
      <c r="GKE126" s="140"/>
      <c r="GKF126" s="140"/>
      <c r="GKG126" s="140"/>
      <c r="GKH126" s="140"/>
      <c r="GKI126" s="140"/>
      <c r="GKJ126" s="140"/>
      <c r="GKK126" s="140"/>
      <c r="GKL126" s="140"/>
      <c r="GKM126" s="140"/>
      <c r="GKN126" s="140"/>
      <c r="GKO126" s="140"/>
      <c r="GKP126" s="140"/>
      <c r="GKQ126" s="140"/>
      <c r="GKR126" s="140"/>
      <c r="GKS126" s="140"/>
      <c r="GKT126" s="140"/>
      <c r="GKU126" s="140"/>
      <c r="GKV126" s="140"/>
      <c r="GKW126" s="140"/>
      <c r="GKX126" s="140"/>
      <c r="GKY126" s="140"/>
      <c r="GKZ126" s="140"/>
      <c r="GLA126" s="140"/>
      <c r="GLB126" s="140"/>
      <c r="GLC126" s="140"/>
      <c r="GLD126" s="140"/>
      <c r="GLE126" s="140"/>
      <c r="GLF126" s="140"/>
      <c r="GLG126" s="140"/>
      <c r="GLH126" s="140"/>
      <c r="GLI126" s="140"/>
      <c r="GLJ126" s="140"/>
      <c r="GLK126" s="140"/>
      <c r="GLL126" s="140"/>
      <c r="GLM126" s="140"/>
      <c r="GLN126" s="140"/>
      <c r="GLO126" s="140"/>
      <c r="GLP126" s="140"/>
      <c r="GLQ126" s="140"/>
      <c r="GLR126" s="140"/>
      <c r="GLS126" s="140"/>
      <c r="GLT126" s="140"/>
      <c r="GLU126" s="140"/>
      <c r="GLV126" s="140"/>
      <c r="GLW126" s="140"/>
      <c r="GLX126" s="140"/>
      <c r="GLY126" s="140"/>
      <c r="GLZ126" s="140"/>
      <c r="GMA126" s="140"/>
      <c r="GMB126" s="140"/>
      <c r="GMC126" s="140"/>
      <c r="GMD126" s="140"/>
      <c r="GME126" s="140"/>
      <c r="GMF126" s="140"/>
      <c r="GMG126" s="140"/>
      <c r="GMH126" s="140"/>
      <c r="GMI126" s="140"/>
      <c r="GMJ126" s="140"/>
      <c r="GMK126" s="140"/>
      <c r="GML126" s="140"/>
      <c r="GMM126" s="140"/>
      <c r="GMN126" s="140"/>
      <c r="GMO126" s="140"/>
      <c r="GMP126" s="140"/>
      <c r="GMQ126" s="140"/>
      <c r="GMR126" s="140"/>
      <c r="GMS126" s="140"/>
      <c r="GMT126" s="140"/>
      <c r="GMU126" s="140"/>
      <c r="GMV126" s="140"/>
      <c r="GMW126" s="140"/>
      <c r="GMX126" s="140"/>
      <c r="GMY126" s="140"/>
      <c r="GMZ126" s="140"/>
      <c r="GNA126" s="140"/>
      <c r="GNB126" s="140"/>
      <c r="GNC126" s="140"/>
      <c r="GND126" s="140"/>
      <c r="GNE126" s="140"/>
      <c r="GNF126" s="140"/>
      <c r="GNG126" s="140"/>
      <c r="GNH126" s="140"/>
      <c r="GNI126" s="140"/>
      <c r="GNJ126" s="140"/>
      <c r="GNK126" s="140"/>
      <c r="GNL126" s="140"/>
      <c r="GNM126" s="140"/>
      <c r="GNN126" s="140"/>
      <c r="GNO126" s="140"/>
      <c r="GNP126" s="140"/>
      <c r="GNQ126" s="140"/>
      <c r="GNR126" s="140"/>
      <c r="GNS126" s="140"/>
      <c r="GNT126" s="140"/>
      <c r="GNU126" s="140"/>
      <c r="GNV126" s="140"/>
      <c r="GNW126" s="140"/>
      <c r="GNX126" s="140"/>
      <c r="GNY126" s="140"/>
      <c r="GNZ126" s="140"/>
      <c r="GOA126" s="140"/>
      <c r="GOB126" s="140"/>
      <c r="GOC126" s="140"/>
      <c r="GOD126" s="140"/>
      <c r="GOE126" s="140"/>
      <c r="GOF126" s="140"/>
      <c r="GOG126" s="140"/>
      <c r="GOH126" s="140"/>
      <c r="GOI126" s="140"/>
      <c r="GOJ126" s="140"/>
      <c r="GOK126" s="140"/>
      <c r="GOL126" s="140"/>
      <c r="GOM126" s="140"/>
      <c r="GON126" s="140"/>
      <c r="GOO126" s="140"/>
      <c r="GOP126" s="140"/>
      <c r="GOQ126" s="140"/>
      <c r="GOR126" s="140"/>
      <c r="GOS126" s="140"/>
      <c r="GOT126" s="140"/>
      <c r="GOU126" s="140"/>
      <c r="GOV126" s="140"/>
      <c r="GOW126" s="140"/>
      <c r="GOX126" s="140"/>
      <c r="GOY126" s="140"/>
      <c r="GOZ126" s="140"/>
      <c r="GPA126" s="140"/>
      <c r="GPB126" s="140"/>
      <c r="GPC126" s="140"/>
      <c r="GPD126" s="140"/>
      <c r="GPE126" s="140"/>
      <c r="GPF126" s="140"/>
      <c r="GPG126" s="140"/>
      <c r="GPH126" s="140"/>
      <c r="GPI126" s="140"/>
      <c r="GPJ126" s="140"/>
      <c r="GPK126" s="140"/>
      <c r="GPL126" s="140"/>
      <c r="GPM126" s="140"/>
      <c r="GPN126" s="140"/>
      <c r="GPO126" s="140"/>
      <c r="GPP126" s="140"/>
      <c r="GPQ126" s="140"/>
      <c r="GPR126" s="140"/>
      <c r="GPS126" s="140"/>
      <c r="GPT126" s="140"/>
      <c r="GPU126" s="140"/>
      <c r="GPV126" s="140"/>
      <c r="GPW126" s="140"/>
      <c r="GPX126" s="140"/>
      <c r="GPY126" s="140"/>
      <c r="GPZ126" s="140"/>
      <c r="GQA126" s="140"/>
      <c r="GQB126" s="140"/>
      <c r="GQC126" s="140"/>
      <c r="GQD126" s="140"/>
      <c r="GQE126" s="140"/>
      <c r="GQF126" s="140"/>
      <c r="GQG126" s="140"/>
      <c r="GQH126" s="140"/>
      <c r="GQI126" s="140"/>
      <c r="GQJ126" s="140"/>
      <c r="GQK126" s="140"/>
      <c r="GQL126" s="140"/>
      <c r="GQM126" s="140"/>
      <c r="GQN126" s="140"/>
      <c r="GQO126" s="140"/>
      <c r="GQP126" s="140"/>
      <c r="GQQ126" s="140"/>
      <c r="GQR126" s="140"/>
      <c r="GQS126" s="140"/>
      <c r="GQT126" s="140"/>
      <c r="GQU126" s="140"/>
      <c r="GQV126" s="140"/>
      <c r="GQW126" s="140"/>
      <c r="GQX126" s="140"/>
      <c r="GQY126" s="140"/>
      <c r="GQZ126" s="140"/>
      <c r="GRA126" s="140"/>
      <c r="GRB126" s="140"/>
      <c r="GRC126" s="140"/>
      <c r="GRD126" s="140"/>
      <c r="GRE126" s="140"/>
      <c r="GRF126" s="140"/>
      <c r="GRG126" s="140"/>
      <c r="GRH126" s="140"/>
      <c r="GRI126" s="140"/>
      <c r="GRJ126" s="140"/>
      <c r="GRK126" s="140"/>
      <c r="GRL126" s="140"/>
      <c r="GRM126" s="140"/>
      <c r="GRN126" s="140"/>
      <c r="GRO126" s="140"/>
      <c r="GRP126" s="140"/>
      <c r="GRQ126" s="140"/>
      <c r="GRR126" s="140"/>
      <c r="GRS126" s="140"/>
      <c r="GRT126" s="140"/>
      <c r="GRU126" s="140"/>
      <c r="GRV126" s="140"/>
      <c r="GRW126" s="140"/>
      <c r="GRX126" s="140"/>
      <c r="GRY126" s="140"/>
      <c r="GRZ126" s="140"/>
      <c r="GSA126" s="140"/>
      <c r="GSB126" s="140"/>
      <c r="GSC126" s="140"/>
      <c r="GSD126" s="140"/>
      <c r="GSE126" s="140"/>
      <c r="GSF126" s="140"/>
      <c r="GSG126" s="140"/>
      <c r="GSH126" s="140"/>
      <c r="GSI126" s="140"/>
      <c r="GSJ126" s="140"/>
      <c r="GSK126" s="140"/>
      <c r="GSL126" s="140"/>
      <c r="GSM126" s="140"/>
      <c r="GSN126" s="140"/>
      <c r="GSO126" s="140"/>
      <c r="GSP126" s="140"/>
      <c r="GSQ126" s="140"/>
      <c r="GSR126" s="140"/>
      <c r="GSS126" s="140"/>
      <c r="GST126" s="140"/>
      <c r="GSU126" s="140"/>
      <c r="GSV126" s="140"/>
      <c r="GSW126" s="140"/>
      <c r="GSX126" s="140"/>
      <c r="GSY126" s="140"/>
      <c r="GSZ126" s="140"/>
      <c r="GTA126" s="140"/>
      <c r="GTB126" s="140"/>
      <c r="GTC126" s="140"/>
      <c r="GTD126" s="140"/>
      <c r="GTE126" s="140"/>
      <c r="GTF126" s="140"/>
      <c r="GTG126" s="140"/>
      <c r="GTH126" s="140"/>
      <c r="GTI126" s="140"/>
      <c r="GTJ126" s="140"/>
      <c r="GTK126" s="140"/>
      <c r="GTL126" s="140"/>
      <c r="GTM126" s="140"/>
      <c r="GTN126" s="140"/>
      <c r="GTO126" s="140"/>
      <c r="GTP126" s="140"/>
      <c r="GTQ126" s="140"/>
      <c r="GTR126" s="140"/>
      <c r="GTS126" s="140"/>
      <c r="GTT126" s="140"/>
      <c r="GTU126" s="140"/>
      <c r="GTV126" s="140"/>
      <c r="GTW126" s="140"/>
      <c r="GTX126" s="140"/>
      <c r="GTY126" s="140"/>
      <c r="GTZ126" s="140"/>
      <c r="GUA126" s="140"/>
      <c r="GUB126" s="140"/>
      <c r="GUC126" s="140"/>
      <c r="GUD126" s="140"/>
      <c r="GUE126" s="140"/>
      <c r="GUF126" s="140"/>
      <c r="GUG126" s="140"/>
      <c r="GUH126" s="140"/>
      <c r="GUI126" s="140"/>
      <c r="GUJ126" s="140"/>
      <c r="GUK126" s="140"/>
      <c r="GUL126" s="140"/>
      <c r="GUM126" s="140"/>
      <c r="GUN126" s="140"/>
      <c r="GUO126" s="140"/>
      <c r="GUP126" s="140"/>
      <c r="GUQ126" s="140"/>
      <c r="GUR126" s="140"/>
      <c r="GUS126" s="140"/>
      <c r="GUT126" s="140"/>
      <c r="GUU126" s="140"/>
      <c r="GUV126" s="140"/>
      <c r="GUW126" s="140"/>
      <c r="GUX126" s="140"/>
      <c r="GUY126" s="140"/>
      <c r="GUZ126" s="140"/>
      <c r="GVA126" s="140"/>
      <c r="GVB126" s="140"/>
      <c r="GVC126" s="140"/>
      <c r="GVD126" s="140"/>
      <c r="GVE126" s="140"/>
      <c r="GVF126" s="140"/>
      <c r="GVG126" s="140"/>
      <c r="GVH126" s="140"/>
      <c r="GVI126" s="140"/>
      <c r="GVJ126" s="140"/>
      <c r="GVK126" s="140"/>
      <c r="GVL126" s="140"/>
      <c r="GVM126" s="140"/>
      <c r="GVN126" s="140"/>
      <c r="GVO126" s="140"/>
      <c r="GVP126" s="140"/>
      <c r="GVQ126" s="140"/>
      <c r="GVR126" s="140"/>
      <c r="GVS126" s="140"/>
      <c r="GVT126" s="140"/>
      <c r="GVU126" s="140"/>
      <c r="GVV126" s="140"/>
      <c r="GVW126" s="140"/>
      <c r="GVX126" s="140"/>
      <c r="GVY126" s="140"/>
      <c r="GVZ126" s="140"/>
      <c r="GWA126" s="140"/>
      <c r="GWB126" s="140"/>
      <c r="GWC126" s="140"/>
      <c r="GWD126" s="140"/>
      <c r="GWE126" s="140"/>
      <c r="GWF126" s="140"/>
      <c r="GWG126" s="140"/>
      <c r="GWH126" s="140"/>
      <c r="GWI126" s="140"/>
      <c r="GWJ126" s="140"/>
      <c r="GWK126" s="140"/>
      <c r="GWL126" s="140"/>
      <c r="GWM126" s="140"/>
      <c r="GWN126" s="140"/>
      <c r="GWO126" s="140"/>
      <c r="GWP126" s="140"/>
      <c r="GWQ126" s="140"/>
      <c r="GWR126" s="140"/>
      <c r="GWS126" s="140"/>
      <c r="GWT126" s="140"/>
      <c r="GWU126" s="140"/>
      <c r="GWV126" s="140"/>
      <c r="GWW126" s="140"/>
      <c r="GWX126" s="140"/>
      <c r="GWY126" s="140"/>
      <c r="GWZ126" s="140"/>
      <c r="GXA126" s="140"/>
      <c r="GXB126" s="140"/>
      <c r="GXC126" s="140"/>
      <c r="GXD126" s="140"/>
      <c r="GXE126" s="140"/>
      <c r="GXF126" s="140"/>
      <c r="GXG126" s="140"/>
      <c r="GXH126" s="140"/>
      <c r="GXI126" s="140"/>
      <c r="GXJ126" s="140"/>
      <c r="GXK126" s="140"/>
      <c r="GXL126" s="140"/>
      <c r="GXM126" s="140"/>
      <c r="GXN126" s="140"/>
      <c r="GXO126" s="140"/>
      <c r="GXP126" s="140"/>
      <c r="GXQ126" s="140"/>
      <c r="GXR126" s="140"/>
      <c r="GXS126" s="140"/>
      <c r="GXT126" s="140"/>
      <c r="GXU126" s="140"/>
      <c r="GXV126" s="140"/>
      <c r="GXW126" s="140"/>
      <c r="GXX126" s="140"/>
      <c r="GXY126" s="140"/>
      <c r="GXZ126" s="140"/>
      <c r="GYA126" s="140"/>
      <c r="GYB126" s="140"/>
      <c r="GYC126" s="140"/>
      <c r="GYD126" s="140"/>
      <c r="GYE126" s="140"/>
      <c r="GYF126" s="140"/>
      <c r="GYG126" s="140"/>
      <c r="GYH126" s="140"/>
      <c r="GYI126" s="140"/>
      <c r="GYJ126" s="140"/>
      <c r="GYK126" s="140"/>
      <c r="GYL126" s="140"/>
      <c r="GYM126" s="140"/>
      <c r="GYN126" s="140"/>
      <c r="GYO126" s="140"/>
      <c r="GYP126" s="140"/>
      <c r="GYQ126" s="140"/>
      <c r="GYR126" s="140"/>
      <c r="GYS126" s="140"/>
      <c r="GYT126" s="140"/>
      <c r="GYU126" s="140"/>
      <c r="GYV126" s="140"/>
      <c r="GYW126" s="140"/>
      <c r="GYX126" s="140"/>
      <c r="GYY126" s="140"/>
      <c r="GYZ126" s="140"/>
      <c r="GZA126" s="140"/>
      <c r="GZB126" s="140"/>
      <c r="GZC126" s="140"/>
      <c r="GZD126" s="140"/>
      <c r="GZE126" s="140"/>
      <c r="GZF126" s="140"/>
      <c r="GZG126" s="140"/>
      <c r="GZH126" s="140"/>
      <c r="GZI126" s="140"/>
      <c r="GZJ126" s="140"/>
      <c r="GZK126" s="140"/>
      <c r="GZL126" s="140"/>
      <c r="GZM126" s="140"/>
      <c r="GZN126" s="140"/>
      <c r="GZO126" s="140"/>
      <c r="GZP126" s="140"/>
      <c r="GZQ126" s="140"/>
      <c r="GZR126" s="140"/>
      <c r="GZS126" s="140"/>
      <c r="GZT126" s="140"/>
      <c r="GZU126" s="140"/>
      <c r="GZV126" s="140"/>
      <c r="GZW126" s="140"/>
      <c r="GZX126" s="140"/>
      <c r="GZY126" s="140"/>
      <c r="GZZ126" s="140"/>
      <c r="HAA126" s="140"/>
      <c r="HAB126" s="140"/>
      <c r="HAC126" s="140"/>
      <c r="HAD126" s="140"/>
      <c r="HAE126" s="140"/>
      <c r="HAF126" s="140"/>
      <c r="HAG126" s="140"/>
      <c r="HAH126" s="140"/>
      <c r="HAI126" s="140"/>
      <c r="HAJ126" s="140"/>
      <c r="HAK126" s="140"/>
      <c r="HAL126" s="140"/>
      <c r="HAM126" s="140"/>
      <c r="HAN126" s="140"/>
      <c r="HAO126" s="140"/>
      <c r="HAP126" s="140"/>
      <c r="HAQ126" s="140"/>
      <c r="HAR126" s="140"/>
      <c r="HAS126" s="140"/>
      <c r="HAT126" s="140"/>
      <c r="HAU126" s="140"/>
      <c r="HAV126" s="140"/>
      <c r="HAW126" s="140"/>
      <c r="HAX126" s="140"/>
      <c r="HAY126" s="140"/>
      <c r="HAZ126" s="140"/>
      <c r="HBA126" s="140"/>
      <c r="HBB126" s="140"/>
      <c r="HBC126" s="140"/>
      <c r="HBD126" s="140"/>
      <c r="HBE126" s="140"/>
      <c r="HBF126" s="140"/>
      <c r="HBG126" s="140"/>
      <c r="HBH126" s="140"/>
      <c r="HBI126" s="140"/>
      <c r="HBJ126" s="140"/>
      <c r="HBK126" s="140"/>
      <c r="HBL126" s="140"/>
      <c r="HBM126" s="140"/>
      <c r="HBN126" s="140"/>
      <c r="HBO126" s="140"/>
      <c r="HBP126" s="140"/>
      <c r="HBQ126" s="140"/>
      <c r="HBR126" s="140"/>
      <c r="HBS126" s="140"/>
      <c r="HBT126" s="140"/>
      <c r="HBU126" s="140"/>
      <c r="HBV126" s="140"/>
      <c r="HBW126" s="140"/>
      <c r="HBX126" s="140"/>
      <c r="HBY126" s="140"/>
      <c r="HBZ126" s="140"/>
      <c r="HCA126" s="140"/>
      <c r="HCB126" s="140"/>
      <c r="HCC126" s="140"/>
      <c r="HCD126" s="140"/>
      <c r="HCE126" s="140"/>
      <c r="HCF126" s="140"/>
      <c r="HCG126" s="140"/>
      <c r="HCH126" s="140"/>
      <c r="HCI126" s="140"/>
      <c r="HCJ126" s="140"/>
      <c r="HCK126" s="140"/>
      <c r="HCL126" s="140"/>
      <c r="HCM126" s="140"/>
      <c r="HCN126" s="140"/>
      <c r="HCO126" s="140"/>
      <c r="HCP126" s="140"/>
      <c r="HCQ126" s="140"/>
      <c r="HCR126" s="140"/>
      <c r="HCS126" s="140"/>
      <c r="HCT126" s="140"/>
      <c r="HCU126" s="140"/>
      <c r="HCV126" s="140"/>
      <c r="HCW126" s="140"/>
      <c r="HCX126" s="140"/>
      <c r="HCY126" s="140"/>
      <c r="HCZ126" s="140"/>
      <c r="HDA126" s="140"/>
      <c r="HDB126" s="140"/>
      <c r="HDC126" s="140"/>
      <c r="HDD126" s="140"/>
      <c r="HDE126" s="140"/>
      <c r="HDF126" s="140"/>
      <c r="HDG126" s="140"/>
      <c r="HDH126" s="140"/>
      <c r="HDI126" s="140"/>
      <c r="HDJ126" s="140"/>
      <c r="HDK126" s="140"/>
      <c r="HDL126" s="140"/>
      <c r="HDM126" s="140"/>
      <c r="HDN126" s="140"/>
      <c r="HDO126" s="140"/>
      <c r="HDP126" s="140"/>
      <c r="HDQ126" s="140"/>
      <c r="HDR126" s="140"/>
      <c r="HDS126" s="140"/>
      <c r="HDT126" s="140"/>
      <c r="HDU126" s="140"/>
      <c r="HDV126" s="140"/>
      <c r="HDW126" s="140"/>
      <c r="HDX126" s="140"/>
      <c r="HDY126" s="140"/>
      <c r="HDZ126" s="140"/>
      <c r="HEA126" s="140"/>
      <c r="HEB126" s="140"/>
      <c r="HEC126" s="140"/>
      <c r="HED126" s="140"/>
      <c r="HEE126" s="140"/>
      <c r="HEF126" s="140"/>
      <c r="HEG126" s="140"/>
      <c r="HEH126" s="140"/>
      <c r="HEI126" s="140"/>
      <c r="HEJ126" s="140"/>
      <c r="HEK126" s="140"/>
      <c r="HEL126" s="140"/>
      <c r="HEM126" s="140"/>
      <c r="HEN126" s="140"/>
      <c r="HEO126" s="140"/>
      <c r="HEP126" s="140"/>
      <c r="HEQ126" s="140"/>
      <c r="HER126" s="140"/>
      <c r="HES126" s="140"/>
      <c r="HET126" s="140"/>
      <c r="HEU126" s="140"/>
      <c r="HEV126" s="140"/>
      <c r="HEW126" s="140"/>
      <c r="HEX126" s="140"/>
      <c r="HEY126" s="140"/>
      <c r="HEZ126" s="140"/>
      <c r="HFA126" s="140"/>
      <c r="HFB126" s="140"/>
      <c r="HFC126" s="140"/>
      <c r="HFD126" s="140"/>
      <c r="HFE126" s="140"/>
      <c r="HFF126" s="140"/>
      <c r="HFG126" s="140"/>
      <c r="HFH126" s="140"/>
      <c r="HFI126" s="140"/>
      <c r="HFJ126" s="140"/>
      <c r="HFK126" s="140"/>
      <c r="HFL126" s="140"/>
      <c r="HFM126" s="140"/>
      <c r="HFN126" s="140"/>
      <c r="HFO126" s="140"/>
      <c r="HFP126" s="140"/>
      <c r="HFQ126" s="140"/>
      <c r="HFR126" s="140"/>
      <c r="HFS126" s="140"/>
      <c r="HFT126" s="140"/>
      <c r="HFU126" s="140"/>
      <c r="HFV126" s="140"/>
      <c r="HFW126" s="140"/>
      <c r="HFX126" s="140"/>
      <c r="HFY126" s="140"/>
      <c r="HFZ126" s="140"/>
      <c r="HGA126" s="140"/>
      <c r="HGB126" s="140"/>
      <c r="HGC126" s="140"/>
      <c r="HGD126" s="140"/>
      <c r="HGE126" s="140"/>
      <c r="HGF126" s="140"/>
      <c r="HGG126" s="140"/>
      <c r="HGH126" s="140"/>
      <c r="HGI126" s="140"/>
      <c r="HGJ126" s="140"/>
      <c r="HGK126" s="140"/>
      <c r="HGL126" s="140"/>
      <c r="HGM126" s="140"/>
      <c r="HGN126" s="140"/>
      <c r="HGO126" s="140"/>
      <c r="HGP126" s="140"/>
      <c r="HGQ126" s="140"/>
      <c r="HGR126" s="140"/>
      <c r="HGS126" s="140"/>
      <c r="HGT126" s="140"/>
      <c r="HGU126" s="140"/>
      <c r="HGV126" s="140"/>
      <c r="HGW126" s="140"/>
      <c r="HGX126" s="140"/>
      <c r="HGY126" s="140"/>
      <c r="HGZ126" s="140"/>
      <c r="HHA126" s="140"/>
      <c r="HHB126" s="140"/>
      <c r="HHC126" s="140"/>
      <c r="HHD126" s="140"/>
      <c r="HHE126" s="140"/>
      <c r="HHF126" s="140"/>
      <c r="HHG126" s="140"/>
      <c r="HHH126" s="140"/>
      <c r="HHI126" s="140"/>
      <c r="HHJ126" s="140"/>
      <c r="HHK126" s="140"/>
      <c r="HHL126" s="140"/>
      <c r="HHM126" s="140"/>
      <c r="HHN126" s="140"/>
      <c r="HHO126" s="140"/>
      <c r="HHP126" s="140"/>
      <c r="HHQ126" s="140"/>
      <c r="HHR126" s="140"/>
      <c r="HHS126" s="140"/>
      <c r="HHT126" s="140"/>
      <c r="HHU126" s="140"/>
      <c r="HHV126" s="140"/>
      <c r="HHW126" s="140"/>
      <c r="HHX126" s="140"/>
      <c r="HHY126" s="140"/>
      <c r="HHZ126" s="140"/>
      <c r="HIA126" s="140"/>
      <c r="HIB126" s="140"/>
      <c r="HIC126" s="140"/>
      <c r="HID126" s="140"/>
      <c r="HIE126" s="140"/>
      <c r="HIF126" s="140"/>
      <c r="HIG126" s="140"/>
      <c r="HIH126" s="140"/>
      <c r="HII126" s="140"/>
      <c r="HIJ126" s="140"/>
      <c r="HIK126" s="140"/>
      <c r="HIL126" s="140"/>
      <c r="HIM126" s="140"/>
      <c r="HIN126" s="140"/>
      <c r="HIO126" s="140"/>
      <c r="HIP126" s="140"/>
      <c r="HIQ126" s="140"/>
      <c r="HIR126" s="140"/>
      <c r="HIS126" s="140"/>
      <c r="HIT126" s="140"/>
      <c r="HIU126" s="140"/>
      <c r="HIV126" s="140"/>
      <c r="HIW126" s="140"/>
      <c r="HIX126" s="140"/>
      <c r="HIY126" s="140"/>
      <c r="HIZ126" s="140"/>
      <c r="HJA126" s="140"/>
      <c r="HJB126" s="140"/>
      <c r="HJC126" s="140"/>
      <c r="HJD126" s="140"/>
      <c r="HJE126" s="140"/>
      <c r="HJF126" s="140"/>
      <c r="HJG126" s="140"/>
      <c r="HJH126" s="140"/>
      <c r="HJI126" s="140"/>
      <c r="HJJ126" s="140"/>
      <c r="HJK126" s="140"/>
      <c r="HJL126" s="140"/>
      <c r="HJM126" s="140"/>
      <c r="HJN126" s="140"/>
      <c r="HJO126" s="140"/>
      <c r="HJP126" s="140"/>
      <c r="HJQ126" s="140"/>
      <c r="HJR126" s="140"/>
      <c r="HJS126" s="140"/>
      <c r="HJT126" s="140"/>
      <c r="HJU126" s="140"/>
      <c r="HJV126" s="140"/>
      <c r="HJW126" s="140"/>
      <c r="HJX126" s="140"/>
      <c r="HJY126" s="140"/>
      <c r="HJZ126" s="140"/>
      <c r="HKA126" s="140"/>
      <c r="HKB126" s="140"/>
      <c r="HKC126" s="140"/>
      <c r="HKD126" s="140"/>
      <c r="HKE126" s="140"/>
      <c r="HKF126" s="140"/>
      <c r="HKG126" s="140"/>
      <c r="HKH126" s="140"/>
      <c r="HKI126" s="140"/>
      <c r="HKJ126" s="140"/>
      <c r="HKK126" s="140"/>
      <c r="HKL126" s="140"/>
      <c r="HKM126" s="140"/>
      <c r="HKN126" s="140"/>
      <c r="HKO126" s="140"/>
      <c r="HKP126" s="140"/>
      <c r="HKQ126" s="140"/>
      <c r="HKR126" s="140"/>
      <c r="HKS126" s="140"/>
      <c r="HKT126" s="140"/>
      <c r="HKU126" s="140"/>
      <c r="HKV126" s="140"/>
      <c r="HKW126" s="140"/>
      <c r="HKX126" s="140"/>
      <c r="HKY126" s="140"/>
      <c r="HKZ126" s="140"/>
      <c r="HLA126" s="140"/>
      <c r="HLB126" s="140"/>
      <c r="HLC126" s="140"/>
      <c r="HLD126" s="140"/>
      <c r="HLE126" s="140"/>
      <c r="HLF126" s="140"/>
      <c r="HLG126" s="140"/>
      <c r="HLH126" s="140"/>
      <c r="HLI126" s="140"/>
      <c r="HLJ126" s="140"/>
      <c r="HLK126" s="140"/>
      <c r="HLL126" s="140"/>
      <c r="HLM126" s="140"/>
      <c r="HLN126" s="140"/>
      <c r="HLO126" s="140"/>
      <c r="HLP126" s="140"/>
      <c r="HLQ126" s="140"/>
      <c r="HLR126" s="140"/>
      <c r="HLS126" s="140"/>
      <c r="HLT126" s="140"/>
      <c r="HLU126" s="140"/>
      <c r="HLV126" s="140"/>
      <c r="HLW126" s="140"/>
      <c r="HLX126" s="140"/>
      <c r="HLY126" s="140"/>
      <c r="HLZ126" s="140"/>
      <c r="HMA126" s="140"/>
      <c r="HMB126" s="140"/>
      <c r="HMC126" s="140"/>
      <c r="HMD126" s="140"/>
      <c r="HME126" s="140"/>
      <c r="HMF126" s="140"/>
      <c r="HMG126" s="140"/>
      <c r="HMH126" s="140"/>
      <c r="HMI126" s="140"/>
      <c r="HMJ126" s="140"/>
      <c r="HMK126" s="140"/>
      <c r="HML126" s="140"/>
      <c r="HMM126" s="140"/>
      <c r="HMN126" s="140"/>
      <c r="HMO126" s="140"/>
      <c r="HMP126" s="140"/>
      <c r="HMQ126" s="140"/>
      <c r="HMR126" s="140"/>
      <c r="HMS126" s="140"/>
      <c r="HMT126" s="140"/>
      <c r="HMU126" s="140"/>
      <c r="HMV126" s="140"/>
      <c r="HMW126" s="140"/>
      <c r="HMX126" s="140"/>
      <c r="HMY126" s="140"/>
      <c r="HMZ126" s="140"/>
      <c r="HNA126" s="140"/>
      <c r="HNB126" s="140"/>
      <c r="HNC126" s="140"/>
      <c r="HND126" s="140"/>
      <c r="HNE126" s="140"/>
      <c r="HNF126" s="140"/>
      <c r="HNG126" s="140"/>
      <c r="HNH126" s="140"/>
      <c r="HNI126" s="140"/>
      <c r="HNJ126" s="140"/>
      <c r="HNK126" s="140"/>
      <c r="HNL126" s="140"/>
      <c r="HNM126" s="140"/>
      <c r="HNN126" s="140"/>
      <c r="HNO126" s="140"/>
      <c r="HNP126" s="140"/>
      <c r="HNQ126" s="140"/>
      <c r="HNR126" s="140"/>
      <c r="HNS126" s="140"/>
      <c r="HNT126" s="140"/>
      <c r="HNU126" s="140"/>
      <c r="HNV126" s="140"/>
      <c r="HNW126" s="140"/>
      <c r="HNX126" s="140"/>
      <c r="HNY126" s="140"/>
      <c r="HNZ126" s="140"/>
      <c r="HOA126" s="140"/>
      <c r="HOB126" s="140"/>
      <c r="HOC126" s="140"/>
      <c r="HOD126" s="140"/>
      <c r="HOE126" s="140"/>
      <c r="HOF126" s="140"/>
      <c r="HOG126" s="140"/>
      <c r="HOH126" s="140"/>
      <c r="HOI126" s="140"/>
      <c r="HOJ126" s="140"/>
      <c r="HOK126" s="140"/>
      <c r="HOL126" s="140"/>
      <c r="HOM126" s="140"/>
      <c r="HON126" s="140"/>
      <c r="HOO126" s="140"/>
      <c r="HOP126" s="140"/>
      <c r="HOQ126" s="140"/>
      <c r="HOR126" s="140"/>
      <c r="HOS126" s="140"/>
      <c r="HOT126" s="140"/>
      <c r="HOU126" s="140"/>
      <c r="HOV126" s="140"/>
      <c r="HOW126" s="140"/>
      <c r="HOX126" s="140"/>
      <c r="HOY126" s="140"/>
      <c r="HOZ126" s="140"/>
      <c r="HPA126" s="140"/>
      <c r="HPB126" s="140"/>
      <c r="HPC126" s="140"/>
      <c r="HPD126" s="140"/>
      <c r="HPE126" s="140"/>
      <c r="HPF126" s="140"/>
      <c r="HPG126" s="140"/>
      <c r="HPH126" s="140"/>
      <c r="HPI126" s="140"/>
      <c r="HPJ126" s="140"/>
      <c r="HPK126" s="140"/>
      <c r="HPL126" s="140"/>
      <c r="HPM126" s="140"/>
      <c r="HPN126" s="140"/>
      <c r="HPO126" s="140"/>
      <c r="HPP126" s="140"/>
      <c r="HPQ126" s="140"/>
      <c r="HPR126" s="140"/>
      <c r="HPS126" s="140"/>
      <c r="HPT126" s="140"/>
      <c r="HPU126" s="140"/>
      <c r="HPV126" s="140"/>
      <c r="HPW126" s="140"/>
      <c r="HPX126" s="140"/>
      <c r="HPY126" s="140"/>
      <c r="HPZ126" s="140"/>
      <c r="HQA126" s="140"/>
      <c r="HQB126" s="140"/>
      <c r="HQC126" s="140"/>
      <c r="HQD126" s="140"/>
      <c r="HQE126" s="140"/>
      <c r="HQF126" s="140"/>
      <c r="HQG126" s="140"/>
      <c r="HQH126" s="140"/>
      <c r="HQI126" s="140"/>
      <c r="HQJ126" s="140"/>
      <c r="HQK126" s="140"/>
      <c r="HQL126" s="140"/>
      <c r="HQM126" s="140"/>
      <c r="HQN126" s="140"/>
      <c r="HQO126" s="140"/>
      <c r="HQP126" s="140"/>
      <c r="HQQ126" s="140"/>
      <c r="HQR126" s="140"/>
      <c r="HQS126" s="140"/>
      <c r="HQT126" s="140"/>
      <c r="HQU126" s="140"/>
      <c r="HQV126" s="140"/>
      <c r="HQW126" s="140"/>
      <c r="HQX126" s="140"/>
      <c r="HQY126" s="140"/>
      <c r="HQZ126" s="140"/>
      <c r="HRA126" s="140"/>
      <c r="HRB126" s="140"/>
      <c r="HRC126" s="140"/>
      <c r="HRD126" s="140"/>
      <c r="HRE126" s="140"/>
      <c r="HRF126" s="140"/>
      <c r="HRG126" s="140"/>
      <c r="HRH126" s="140"/>
      <c r="HRI126" s="140"/>
      <c r="HRJ126" s="140"/>
      <c r="HRK126" s="140"/>
      <c r="HRL126" s="140"/>
      <c r="HRM126" s="140"/>
      <c r="HRN126" s="140"/>
      <c r="HRO126" s="140"/>
      <c r="HRP126" s="140"/>
      <c r="HRQ126" s="140"/>
      <c r="HRR126" s="140"/>
      <c r="HRS126" s="140"/>
      <c r="HRT126" s="140"/>
      <c r="HRU126" s="140"/>
      <c r="HRV126" s="140"/>
      <c r="HRW126" s="140"/>
      <c r="HRX126" s="140"/>
      <c r="HRY126" s="140"/>
      <c r="HRZ126" s="140"/>
      <c r="HSA126" s="140"/>
      <c r="HSB126" s="140"/>
      <c r="HSC126" s="140"/>
      <c r="HSD126" s="140"/>
      <c r="HSE126" s="140"/>
      <c r="HSF126" s="140"/>
      <c r="HSG126" s="140"/>
      <c r="HSH126" s="140"/>
      <c r="HSI126" s="140"/>
      <c r="HSJ126" s="140"/>
      <c r="HSK126" s="140"/>
      <c r="HSL126" s="140"/>
      <c r="HSM126" s="140"/>
      <c r="HSN126" s="140"/>
      <c r="HSO126" s="140"/>
      <c r="HSP126" s="140"/>
      <c r="HSQ126" s="140"/>
      <c r="HSR126" s="140"/>
      <c r="HSS126" s="140"/>
      <c r="HST126" s="140"/>
      <c r="HSU126" s="140"/>
      <c r="HSV126" s="140"/>
      <c r="HSW126" s="140"/>
      <c r="HSX126" s="140"/>
      <c r="HSY126" s="140"/>
      <c r="HSZ126" s="140"/>
      <c r="HTA126" s="140"/>
      <c r="HTB126" s="140"/>
      <c r="HTC126" s="140"/>
      <c r="HTD126" s="140"/>
      <c r="HTE126" s="140"/>
      <c r="HTF126" s="140"/>
      <c r="HTG126" s="140"/>
      <c r="HTH126" s="140"/>
      <c r="HTI126" s="140"/>
      <c r="HTJ126" s="140"/>
      <c r="HTK126" s="140"/>
      <c r="HTL126" s="140"/>
      <c r="HTM126" s="140"/>
      <c r="HTN126" s="140"/>
      <c r="HTO126" s="140"/>
      <c r="HTP126" s="140"/>
      <c r="HTQ126" s="140"/>
      <c r="HTR126" s="140"/>
      <c r="HTS126" s="140"/>
      <c r="HTT126" s="140"/>
      <c r="HTU126" s="140"/>
      <c r="HTV126" s="140"/>
      <c r="HTW126" s="140"/>
      <c r="HTX126" s="140"/>
      <c r="HTY126" s="140"/>
      <c r="HTZ126" s="140"/>
      <c r="HUA126" s="140"/>
      <c r="HUB126" s="140"/>
      <c r="HUC126" s="140"/>
      <c r="HUD126" s="140"/>
      <c r="HUE126" s="140"/>
      <c r="HUF126" s="140"/>
      <c r="HUG126" s="140"/>
      <c r="HUH126" s="140"/>
      <c r="HUI126" s="140"/>
      <c r="HUJ126" s="140"/>
      <c r="HUK126" s="140"/>
      <c r="HUL126" s="140"/>
      <c r="HUM126" s="140"/>
      <c r="HUN126" s="140"/>
      <c r="HUO126" s="140"/>
      <c r="HUP126" s="140"/>
      <c r="HUQ126" s="140"/>
      <c r="HUR126" s="140"/>
      <c r="HUS126" s="140"/>
      <c r="HUT126" s="140"/>
      <c r="HUU126" s="140"/>
      <c r="HUV126" s="140"/>
      <c r="HUW126" s="140"/>
      <c r="HUX126" s="140"/>
      <c r="HUY126" s="140"/>
      <c r="HUZ126" s="140"/>
      <c r="HVA126" s="140"/>
      <c r="HVB126" s="140"/>
      <c r="HVC126" s="140"/>
      <c r="HVD126" s="140"/>
      <c r="HVE126" s="140"/>
      <c r="HVF126" s="140"/>
      <c r="HVG126" s="140"/>
      <c r="HVH126" s="140"/>
      <c r="HVI126" s="140"/>
      <c r="HVJ126" s="140"/>
      <c r="HVK126" s="140"/>
      <c r="HVL126" s="140"/>
      <c r="HVM126" s="140"/>
      <c r="HVN126" s="140"/>
      <c r="HVO126" s="140"/>
      <c r="HVP126" s="140"/>
      <c r="HVQ126" s="140"/>
      <c r="HVR126" s="140"/>
      <c r="HVS126" s="140"/>
      <c r="HVT126" s="140"/>
      <c r="HVU126" s="140"/>
      <c r="HVV126" s="140"/>
      <c r="HVW126" s="140"/>
      <c r="HVX126" s="140"/>
      <c r="HVY126" s="140"/>
      <c r="HVZ126" s="140"/>
      <c r="HWA126" s="140"/>
      <c r="HWB126" s="140"/>
      <c r="HWC126" s="140"/>
      <c r="HWD126" s="140"/>
      <c r="HWE126" s="140"/>
      <c r="HWF126" s="140"/>
      <c r="HWG126" s="140"/>
      <c r="HWH126" s="140"/>
      <c r="HWI126" s="140"/>
      <c r="HWJ126" s="140"/>
      <c r="HWK126" s="140"/>
      <c r="HWL126" s="140"/>
      <c r="HWM126" s="140"/>
      <c r="HWN126" s="140"/>
      <c r="HWO126" s="140"/>
      <c r="HWP126" s="140"/>
      <c r="HWQ126" s="140"/>
      <c r="HWR126" s="140"/>
      <c r="HWS126" s="140"/>
      <c r="HWT126" s="140"/>
      <c r="HWU126" s="140"/>
      <c r="HWV126" s="140"/>
      <c r="HWW126" s="140"/>
      <c r="HWX126" s="140"/>
      <c r="HWY126" s="140"/>
      <c r="HWZ126" s="140"/>
      <c r="HXA126" s="140"/>
      <c r="HXB126" s="140"/>
      <c r="HXC126" s="140"/>
      <c r="HXD126" s="140"/>
      <c r="HXE126" s="140"/>
      <c r="HXF126" s="140"/>
      <c r="HXG126" s="140"/>
      <c r="HXH126" s="140"/>
      <c r="HXI126" s="140"/>
      <c r="HXJ126" s="140"/>
      <c r="HXK126" s="140"/>
      <c r="HXL126" s="140"/>
      <c r="HXM126" s="140"/>
      <c r="HXN126" s="140"/>
      <c r="HXO126" s="140"/>
      <c r="HXP126" s="140"/>
      <c r="HXQ126" s="140"/>
      <c r="HXR126" s="140"/>
      <c r="HXS126" s="140"/>
      <c r="HXT126" s="140"/>
      <c r="HXU126" s="140"/>
      <c r="HXV126" s="140"/>
      <c r="HXW126" s="140"/>
      <c r="HXX126" s="140"/>
      <c r="HXY126" s="140"/>
      <c r="HXZ126" s="140"/>
      <c r="HYA126" s="140"/>
      <c r="HYB126" s="140"/>
      <c r="HYC126" s="140"/>
      <c r="HYD126" s="140"/>
      <c r="HYE126" s="140"/>
      <c r="HYF126" s="140"/>
      <c r="HYG126" s="140"/>
      <c r="HYH126" s="140"/>
      <c r="HYI126" s="140"/>
      <c r="HYJ126" s="140"/>
      <c r="HYK126" s="140"/>
      <c r="HYL126" s="140"/>
      <c r="HYM126" s="140"/>
      <c r="HYN126" s="140"/>
      <c r="HYO126" s="140"/>
      <c r="HYP126" s="140"/>
      <c r="HYQ126" s="140"/>
      <c r="HYR126" s="140"/>
      <c r="HYS126" s="140"/>
      <c r="HYT126" s="140"/>
      <c r="HYU126" s="140"/>
      <c r="HYV126" s="140"/>
      <c r="HYW126" s="140"/>
      <c r="HYX126" s="140"/>
      <c r="HYY126" s="140"/>
      <c r="HYZ126" s="140"/>
      <c r="HZA126" s="140"/>
      <c r="HZB126" s="140"/>
      <c r="HZC126" s="140"/>
      <c r="HZD126" s="140"/>
      <c r="HZE126" s="140"/>
      <c r="HZF126" s="140"/>
      <c r="HZG126" s="140"/>
      <c r="HZH126" s="140"/>
      <c r="HZI126" s="140"/>
      <c r="HZJ126" s="140"/>
      <c r="HZK126" s="140"/>
      <c r="HZL126" s="140"/>
      <c r="HZM126" s="140"/>
      <c r="HZN126" s="140"/>
      <c r="HZO126" s="140"/>
      <c r="HZP126" s="140"/>
      <c r="HZQ126" s="140"/>
      <c r="HZR126" s="140"/>
      <c r="HZS126" s="140"/>
      <c r="HZT126" s="140"/>
      <c r="HZU126" s="140"/>
      <c r="HZV126" s="140"/>
      <c r="HZW126" s="140"/>
      <c r="HZX126" s="140"/>
      <c r="HZY126" s="140"/>
      <c r="HZZ126" s="140"/>
      <c r="IAA126" s="140"/>
      <c r="IAB126" s="140"/>
      <c r="IAC126" s="140"/>
      <c r="IAD126" s="140"/>
      <c r="IAE126" s="140"/>
      <c r="IAF126" s="140"/>
      <c r="IAG126" s="140"/>
      <c r="IAH126" s="140"/>
      <c r="IAI126" s="140"/>
      <c r="IAJ126" s="140"/>
      <c r="IAK126" s="140"/>
      <c r="IAL126" s="140"/>
      <c r="IAM126" s="140"/>
      <c r="IAN126" s="140"/>
      <c r="IAO126" s="140"/>
      <c r="IAP126" s="140"/>
      <c r="IAQ126" s="140"/>
      <c r="IAR126" s="140"/>
      <c r="IAS126" s="140"/>
      <c r="IAT126" s="140"/>
      <c r="IAU126" s="140"/>
      <c r="IAV126" s="140"/>
      <c r="IAW126" s="140"/>
      <c r="IAX126" s="140"/>
      <c r="IAY126" s="140"/>
      <c r="IAZ126" s="140"/>
      <c r="IBA126" s="140"/>
      <c r="IBB126" s="140"/>
      <c r="IBC126" s="140"/>
      <c r="IBD126" s="140"/>
      <c r="IBE126" s="140"/>
      <c r="IBF126" s="140"/>
      <c r="IBG126" s="140"/>
      <c r="IBH126" s="140"/>
      <c r="IBI126" s="140"/>
      <c r="IBJ126" s="140"/>
      <c r="IBK126" s="140"/>
      <c r="IBL126" s="140"/>
      <c r="IBM126" s="140"/>
      <c r="IBN126" s="140"/>
      <c r="IBO126" s="140"/>
      <c r="IBP126" s="140"/>
      <c r="IBQ126" s="140"/>
      <c r="IBR126" s="140"/>
      <c r="IBS126" s="140"/>
      <c r="IBT126" s="140"/>
      <c r="IBU126" s="140"/>
      <c r="IBV126" s="140"/>
      <c r="IBW126" s="140"/>
      <c r="IBX126" s="140"/>
      <c r="IBY126" s="140"/>
      <c r="IBZ126" s="140"/>
      <c r="ICA126" s="140"/>
      <c r="ICB126" s="140"/>
      <c r="ICC126" s="140"/>
      <c r="ICD126" s="140"/>
      <c r="ICE126" s="140"/>
      <c r="ICF126" s="140"/>
      <c r="ICG126" s="140"/>
      <c r="ICH126" s="140"/>
      <c r="ICI126" s="140"/>
      <c r="ICJ126" s="140"/>
      <c r="ICK126" s="140"/>
      <c r="ICL126" s="140"/>
      <c r="ICM126" s="140"/>
      <c r="ICN126" s="140"/>
      <c r="ICO126" s="140"/>
      <c r="ICP126" s="140"/>
      <c r="ICQ126" s="140"/>
      <c r="ICR126" s="140"/>
      <c r="ICS126" s="140"/>
      <c r="ICT126" s="140"/>
      <c r="ICU126" s="140"/>
      <c r="ICV126" s="140"/>
      <c r="ICW126" s="140"/>
      <c r="ICX126" s="140"/>
      <c r="ICY126" s="140"/>
      <c r="ICZ126" s="140"/>
      <c r="IDA126" s="140"/>
      <c r="IDB126" s="140"/>
      <c r="IDC126" s="140"/>
      <c r="IDD126" s="140"/>
      <c r="IDE126" s="140"/>
      <c r="IDF126" s="140"/>
      <c r="IDG126" s="140"/>
      <c r="IDH126" s="140"/>
      <c r="IDI126" s="140"/>
      <c r="IDJ126" s="140"/>
      <c r="IDK126" s="140"/>
      <c r="IDL126" s="140"/>
      <c r="IDM126" s="140"/>
      <c r="IDN126" s="140"/>
      <c r="IDO126" s="140"/>
      <c r="IDP126" s="140"/>
      <c r="IDQ126" s="140"/>
      <c r="IDR126" s="140"/>
      <c r="IDS126" s="140"/>
      <c r="IDT126" s="140"/>
      <c r="IDU126" s="140"/>
      <c r="IDV126" s="140"/>
      <c r="IDW126" s="140"/>
      <c r="IDX126" s="140"/>
      <c r="IDY126" s="140"/>
      <c r="IDZ126" s="140"/>
      <c r="IEA126" s="140"/>
      <c r="IEB126" s="140"/>
      <c r="IEC126" s="140"/>
      <c r="IED126" s="140"/>
      <c r="IEE126" s="140"/>
      <c r="IEF126" s="140"/>
      <c r="IEG126" s="140"/>
      <c r="IEH126" s="140"/>
      <c r="IEI126" s="140"/>
      <c r="IEJ126" s="140"/>
      <c r="IEK126" s="140"/>
      <c r="IEL126" s="140"/>
      <c r="IEM126" s="140"/>
      <c r="IEN126" s="140"/>
      <c r="IEO126" s="140"/>
      <c r="IEP126" s="140"/>
      <c r="IEQ126" s="140"/>
      <c r="IER126" s="140"/>
      <c r="IES126" s="140"/>
      <c r="IET126" s="140"/>
      <c r="IEU126" s="140"/>
      <c r="IEV126" s="140"/>
      <c r="IEW126" s="140"/>
      <c r="IEX126" s="140"/>
      <c r="IEY126" s="140"/>
      <c r="IEZ126" s="140"/>
      <c r="IFA126" s="140"/>
      <c r="IFB126" s="140"/>
      <c r="IFC126" s="140"/>
      <c r="IFD126" s="140"/>
      <c r="IFE126" s="140"/>
      <c r="IFF126" s="140"/>
      <c r="IFG126" s="140"/>
      <c r="IFH126" s="140"/>
      <c r="IFI126" s="140"/>
      <c r="IFJ126" s="140"/>
      <c r="IFK126" s="140"/>
      <c r="IFL126" s="140"/>
      <c r="IFM126" s="140"/>
      <c r="IFN126" s="140"/>
      <c r="IFO126" s="140"/>
      <c r="IFP126" s="140"/>
      <c r="IFQ126" s="140"/>
      <c r="IFR126" s="140"/>
      <c r="IFS126" s="140"/>
      <c r="IFT126" s="140"/>
      <c r="IFU126" s="140"/>
      <c r="IFV126" s="140"/>
      <c r="IFW126" s="140"/>
      <c r="IFX126" s="140"/>
      <c r="IFY126" s="140"/>
      <c r="IFZ126" s="140"/>
      <c r="IGA126" s="140"/>
      <c r="IGB126" s="140"/>
      <c r="IGC126" s="140"/>
      <c r="IGD126" s="140"/>
      <c r="IGE126" s="140"/>
      <c r="IGF126" s="140"/>
      <c r="IGG126" s="140"/>
      <c r="IGH126" s="140"/>
      <c r="IGI126" s="140"/>
      <c r="IGJ126" s="140"/>
      <c r="IGK126" s="140"/>
      <c r="IGL126" s="140"/>
      <c r="IGM126" s="140"/>
      <c r="IGN126" s="140"/>
      <c r="IGO126" s="140"/>
      <c r="IGP126" s="140"/>
      <c r="IGQ126" s="140"/>
      <c r="IGR126" s="140"/>
      <c r="IGS126" s="140"/>
      <c r="IGT126" s="140"/>
      <c r="IGU126" s="140"/>
      <c r="IGV126" s="140"/>
      <c r="IGW126" s="140"/>
      <c r="IGX126" s="140"/>
      <c r="IGY126" s="140"/>
      <c r="IGZ126" s="140"/>
      <c r="IHA126" s="140"/>
      <c r="IHB126" s="140"/>
      <c r="IHC126" s="140"/>
      <c r="IHD126" s="140"/>
      <c r="IHE126" s="140"/>
      <c r="IHF126" s="140"/>
      <c r="IHG126" s="140"/>
      <c r="IHH126" s="140"/>
      <c r="IHI126" s="140"/>
      <c r="IHJ126" s="140"/>
      <c r="IHK126" s="140"/>
      <c r="IHL126" s="140"/>
      <c r="IHM126" s="140"/>
      <c r="IHN126" s="140"/>
      <c r="IHO126" s="140"/>
      <c r="IHP126" s="140"/>
      <c r="IHQ126" s="140"/>
      <c r="IHR126" s="140"/>
      <c r="IHS126" s="140"/>
      <c r="IHT126" s="140"/>
      <c r="IHU126" s="140"/>
      <c r="IHV126" s="140"/>
      <c r="IHW126" s="140"/>
      <c r="IHX126" s="140"/>
      <c r="IHY126" s="140"/>
      <c r="IHZ126" s="140"/>
      <c r="IIA126" s="140"/>
      <c r="IIB126" s="140"/>
      <c r="IIC126" s="140"/>
      <c r="IID126" s="140"/>
      <c r="IIE126" s="140"/>
      <c r="IIF126" s="140"/>
      <c r="IIG126" s="140"/>
      <c r="IIH126" s="140"/>
      <c r="III126" s="140"/>
      <c r="IIJ126" s="140"/>
      <c r="IIK126" s="140"/>
      <c r="IIL126" s="140"/>
      <c r="IIM126" s="140"/>
      <c r="IIN126" s="140"/>
      <c r="IIO126" s="140"/>
      <c r="IIP126" s="140"/>
      <c r="IIQ126" s="140"/>
      <c r="IIR126" s="140"/>
      <c r="IIS126" s="140"/>
      <c r="IIT126" s="140"/>
      <c r="IIU126" s="140"/>
      <c r="IIV126" s="140"/>
      <c r="IIW126" s="140"/>
      <c r="IIX126" s="140"/>
      <c r="IIY126" s="140"/>
      <c r="IIZ126" s="140"/>
      <c r="IJA126" s="140"/>
      <c r="IJB126" s="140"/>
      <c r="IJC126" s="140"/>
      <c r="IJD126" s="140"/>
      <c r="IJE126" s="140"/>
      <c r="IJF126" s="140"/>
      <c r="IJG126" s="140"/>
      <c r="IJH126" s="140"/>
      <c r="IJI126" s="140"/>
      <c r="IJJ126" s="140"/>
      <c r="IJK126" s="140"/>
      <c r="IJL126" s="140"/>
      <c r="IJM126" s="140"/>
      <c r="IJN126" s="140"/>
      <c r="IJO126" s="140"/>
      <c r="IJP126" s="140"/>
      <c r="IJQ126" s="140"/>
      <c r="IJR126" s="140"/>
      <c r="IJS126" s="140"/>
      <c r="IJT126" s="140"/>
      <c r="IJU126" s="140"/>
      <c r="IJV126" s="140"/>
      <c r="IJW126" s="140"/>
      <c r="IJX126" s="140"/>
      <c r="IJY126" s="140"/>
      <c r="IJZ126" s="140"/>
      <c r="IKA126" s="140"/>
      <c r="IKB126" s="140"/>
      <c r="IKC126" s="140"/>
      <c r="IKD126" s="140"/>
      <c r="IKE126" s="140"/>
      <c r="IKF126" s="140"/>
      <c r="IKG126" s="140"/>
      <c r="IKH126" s="140"/>
      <c r="IKI126" s="140"/>
      <c r="IKJ126" s="140"/>
      <c r="IKK126" s="140"/>
      <c r="IKL126" s="140"/>
      <c r="IKM126" s="140"/>
      <c r="IKN126" s="140"/>
      <c r="IKO126" s="140"/>
      <c r="IKP126" s="140"/>
      <c r="IKQ126" s="140"/>
      <c r="IKR126" s="140"/>
      <c r="IKS126" s="140"/>
      <c r="IKT126" s="140"/>
      <c r="IKU126" s="140"/>
      <c r="IKV126" s="140"/>
      <c r="IKW126" s="140"/>
      <c r="IKX126" s="140"/>
      <c r="IKY126" s="140"/>
      <c r="IKZ126" s="140"/>
      <c r="ILA126" s="140"/>
      <c r="ILB126" s="140"/>
      <c r="ILC126" s="140"/>
      <c r="ILD126" s="140"/>
      <c r="ILE126" s="140"/>
      <c r="ILF126" s="140"/>
      <c r="ILG126" s="140"/>
      <c r="ILH126" s="140"/>
      <c r="ILI126" s="140"/>
      <c r="ILJ126" s="140"/>
      <c r="ILK126" s="140"/>
      <c r="ILL126" s="140"/>
      <c r="ILM126" s="140"/>
      <c r="ILN126" s="140"/>
      <c r="ILO126" s="140"/>
      <c r="ILP126" s="140"/>
      <c r="ILQ126" s="140"/>
      <c r="ILR126" s="140"/>
      <c r="ILS126" s="140"/>
      <c r="ILT126" s="140"/>
      <c r="ILU126" s="140"/>
      <c r="ILV126" s="140"/>
      <c r="ILW126" s="140"/>
      <c r="ILX126" s="140"/>
      <c r="ILY126" s="140"/>
      <c r="ILZ126" s="140"/>
      <c r="IMA126" s="140"/>
      <c r="IMB126" s="140"/>
      <c r="IMC126" s="140"/>
      <c r="IMD126" s="140"/>
      <c r="IME126" s="140"/>
      <c r="IMF126" s="140"/>
      <c r="IMG126" s="140"/>
      <c r="IMH126" s="140"/>
      <c r="IMI126" s="140"/>
      <c r="IMJ126" s="140"/>
      <c r="IMK126" s="140"/>
      <c r="IML126" s="140"/>
      <c r="IMM126" s="140"/>
      <c r="IMN126" s="140"/>
      <c r="IMO126" s="140"/>
      <c r="IMP126" s="140"/>
      <c r="IMQ126" s="140"/>
      <c r="IMR126" s="140"/>
      <c r="IMS126" s="140"/>
      <c r="IMT126" s="140"/>
      <c r="IMU126" s="140"/>
      <c r="IMV126" s="140"/>
      <c r="IMW126" s="140"/>
      <c r="IMX126" s="140"/>
      <c r="IMY126" s="140"/>
      <c r="IMZ126" s="140"/>
      <c r="INA126" s="140"/>
      <c r="INB126" s="140"/>
      <c r="INC126" s="140"/>
      <c r="IND126" s="140"/>
      <c r="INE126" s="140"/>
      <c r="INF126" s="140"/>
      <c r="ING126" s="140"/>
      <c r="INH126" s="140"/>
      <c r="INI126" s="140"/>
      <c r="INJ126" s="140"/>
      <c r="INK126" s="140"/>
      <c r="INL126" s="140"/>
      <c r="INM126" s="140"/>
      <c r="INN126" s="140"/>
      <c r="INO126" s="140"/>
      <c r="INP126" s="140"/>
      <c r="INQ126" s="140"/>
      <c r="INR126" s="140"/>
      <c r="INS126" s="140"/>
      <c r="INT126" s="140"/>
      <c r="INU126" s="140"/>
      <c r="INV126" s="140"/>
      <c r="INW126" s="140"/>
      <c r="INX126" s="140"/>
      <c r="INY126" s="140"/>
      <c r="INZ126" s="140"/>
      <c r="IOA126" s="140"/>
      <c r="IOB126" s="140"/>
      <c r="IOC126" s="140"/>
      <c r="IOD126" s="140"/>
      <c r="IOE126" s="140"/>
      <c r="IOF126" s="140"/>
      <c r="IOG126" s="140"/>
      <c r="IOH126" s="140"/>
      <c r="IOI126" s="140"/>
      <c r="IOJ126" s="140"/>
      <c r="IOK126" s="140"/>
      <c r="IOL126" s="140"/>
      <c r="IOM126" s="140"/>
      <c r="ION126" s="140"/>
      <c r="IOO126" s="140"/>
      <c r="IOP126" s="140"/>
      <c r="IOQ126" s="140"/>
      <c r="IOR126" s="140"/>
      <c r="IOS126" s="140"/>
      <c r="IOT126" s="140"/>
      <c r="IOU126" s="140"/>
      <c r="IOV126" s="140"/>
      <c r="IOW126" s="140"/>
      <c r="IOX126" s="140"/>
      <c r="IOY126" s="140"/>
      <c r="IOZ126" s="140"/>
      <c r="IPA126" s="140"/>
      <c r="IPB126" s="140"/>
      <c r="IPC126" s="140"/>
      <c r="IPD126" s="140"/>
      <c r="IPE126" s="140"/>
      <c r="IPF126" s="140"/>
      <c r="IPG126" s="140"/>
      <c r="IPH126" s="140"/>
      <c r="IPI126" s="140"/>
      <c r="IPJ126" s="140"/>
      <c r="IPK126" s="140"/>
      <c r="IPL126" s="140"/>
      <c r="IPM126" s="140"/>
      <c r="IPN126" s="140"/>
      <c r="IPO126" s="140"/>
      <c r="IPP126" s="140"/>
      <c r="IPQ126" s="140"/>
      <c r="IPR126" s="140"/>
      <c r="IPS126" s="140"/>
      <c r="IPT126" s="140"/>
      <c r="IPU126" s="140"/>
      <c r="IPV126" s="140"/>
      <c r="IPW126" s="140"/>
      <c r="IPX126" s="140"/>
      <c r="IPY126" s="140"/>
      <c r="IPZ126" s="140"/>
      <c r="IQA126" s="140"/>
      <c r="IQB126" s="140"/>
      <c r="IQC126" s="140"/>
      <c r="IQD126" s="140"/>
      <c r="IQE126" s="140"/>
      <c r="IQF126" s="140"/>
      <c r="IQG126" s="140"/>
      <c r="IQH126" s="140"/>
      <c r="IQI126" s="140"/>
      <c r="IQJ126" s="140"/>
      <c r="IQK126" s="140"/>
      <c r="IQL126" s="140"/>
      <c r="IQM126" s="140"/>
      <c r="IQN126" s="140"/>
      <c r="IQO126" s="140"/>
      <c r="IQP126" s="140"/>
      <c r="IQQ126" s="140"/>
      <c r="IQR126" s="140"/>
      <c r="IQS126" s="140"/>
      <c r="IQT126" s="140"/>
      <c r="IQU126" s="140"/>
      <c r="IQV126" s="140"/>
      <c r="IQW126" s="140"/>
      <c r="IQX126" s="140"/>
      <c r="IQY126" s="140"/>
      <c r="IQZ126" s="140"/>
      <c r="IRA126" s="140"/>
      <c r="IRB126" s="140"/>
      <c r="IRC126" s="140"/>
      <c r="IRD126" s="140"/>
      <c r="IRE126" s="140"/>
      <c r="IRF126" s="140"/>
      <c r="IRG126" s="140"/>
      <c r="IRH126" s="140"/>
      <c r="IRI126" s="140"/>
      <c r="IRJ126" s="140"/>
      <c r="IRK126" s="140"/>
      <c r="IRL126" s="140"/>
      <c r="IRM126" s="140"/>
      <c r="IRN126" s="140"/>
      <c r="IRO126" s="140"/>
      <c r="IRP126" s="140"/>
      <c r="IRQ126" s="140"/>
      <c r="IRR126" s="140"/>
      <c r="IRS126" s="140"/>
      <c r="IRT126" s="140"/>
      <c r="IRU126" s="140"/>
      <c r="IRV126" s="140"/>
      <c r="IRW126" s="140"/>
      <c r="IRX126" s="140"/>
      <c r="IRY126" s="140"/>
      <c r="IRZ126" s="140"/>
      <c r="ISA126" s="140"/>
      <c r="ISB126" s="140"/>
      <c r="ISC126" s="140"/>
      <c r="ISD126" s="140"/>
      <c r="ISE126" s="140"/>
      <c r="ISF126" s="140"/>
      <c r="ISG126" s="140"/>
      <c r="ISH126" s="140"/>
      <c r="ISI126" s="140"/>
      <c r="ISJ126" s="140"/>
      <c r="ISK126" s="140"/>
      <c r="ISL126" s="140"/>
      <c r="ISM126" s="140"/>
      <c r="ISN126" s="140"/>
      <c r="ISO126" s="140"/>
      <c r="ISP126" s="140"/>
      <c r="ISQ126" s="140"/>
      <c r="ISR126" s="140"/>
      <c r="ISS126" s="140"/>
      <c r="IST126" s="140"/>
      <c r="ISU126" s="140"/>
      <c r="ISV126" s="140"/>
      <c r="ISW126" s="140"/>
      <c r="ISX126" s="140"/>
      <c r="ISY126" s="140"/>
      <c r="ISZ126" s="140"/>
      <c r="ITA126" s="140"/>
      <c r="ITB126" s="140"/>
      <c r="ITC126" s="140"/>
      <c r="ITD126" s="140"/>
      <c r="ITE126" s="140"/>
      <c r="ITF126" s="140"/>
      <c r="ITG126" s="140"/>
      <c r="ITH126" s="140"/>
      <c r="ITI126" s="140"/>
      <c r="ITJ126" s="140"/>
      <c r="ITK126" s="140"/>
      <c r="ITL126" s="140"/>
      <c r="ITM126" s="140"/>
      <c r="ITN126" s="140"/>
      <c r="ITO126" s="140"/>
      <c r="ITP126" s="140"/>
      <c r="ITQ126" s="140"/>
      <c r="ITR126" s="140"/>
      <c r="ITS126" s="140"/>
      <c r="ITT126" s="140"/>
      <c r="ITU126" s="140"/>
      <c r="ITV126" s="140"/>
      <c r="ITW126" s="140"/>
      <c r="ITX126" s="140"/>
      <c r="ITY126" s="140"/>
      <c r="ITZ126" s="140"/>
      <c r="IUA126" s="140"/>
      <c r="IUB126" s="140"/>
      <c r="IUC126" s="140"/>
      <c r="IUD126" s="140"/>
      <c r="IUE126" s="140"/>
      <c r="IUF126" s="140"/>
      <c r="IUG126" s="140"/>
      <c r="IUH126" s="140"/>
      <c r="IUI126" s="140"/>
      <c r="IUJ126" s="140"/>
      <c r="IUK126" s="140"/>
      <c r="IUL126" s="140"/>
      <c r="IUM126" s="140"/>
      <c r="IUN126" s="140"/>
      <c r="IUO126" s="140"/>
      <c r="IUP126" s="140"/>
      <c r="IUQ126" s="140"/>
      <c r="IUR126" s="140"/>
      <c r="IUS126" s="140"/>
      <c r="IUT126" s="140"/>
      <c r="IUU126" s="140"/>
      <c r="IUV126" s="140"/>
      <c r="IUW126" s="140"/>
      <c r="IUX126" s="140"/>
      <c r="IUY126" s="140"/>
      <c r="IUZ126" s="140"/>
      <c r="IVA126" s="140"/>
      <c r="IVB126" s="140"/>
      <c r="IVC126" s="140"/>
      <c r="IVD126" s="140"/>
      <c r="IVE126" s="140"/>
      <c r="IVF126" s="140"/>
      <c r="IVG126" s="140"/>
      <c r="IVH126" s="140"/>
      <c r="IVI126" s="140"/>
      <c r="IVJ126" s="140"/>
      <c r="IVK126" s="140"/>
      <c r="IVL126" s="140"/>
      <c r="IVM126" s="140"/>
      <c r="IVN126" s="140"/>
      <c r="IVO126" s="140"/>
      <c r="IVP126" s="140"/>
      <c r="IVQ126" s="140"/>
      <c r="IVR126" s="140"/>
      <c r="IVS126" s="140"/>
      <c r="IVT126" s="140"/>
      <c r="IVU126" s="140"/>
      <c r="IVV126" s="140"/>
      <c r="IVW126" s="140"/>
      <c r="IVX126" s="140"/>
      <c r="IVY126" s="140"/>
      <c r="IVZ126" s="140"/>
      <c r="IWA126" s="140"/>
      <c r="IWB126" s="140"/>
      <c r="IWC126" s="140"/>
      <c r="IWD126" s="140"/>
      <c r="IWE126" s="140"/>
      <c r="IWF126" s="140"/>
      <c r="IWG126" s="140"/>
      <c r="IWH126" s="140"/>
      <c r="IWI126" s="140"/>
      <c r="IWJ126" s="140"/>
      <c r="IWK126" s="140"/>
      <c r="IWL126" s="140"/>
      <c r="IWM126" s="140"/>
      <c r="IWN126" s="140"/>
      <c r="IWO126" s="140"/>
      <c r="IWP126" s="140"/>
      <c r="IWQ126" s="140"/>
      <c r="IWR126" s="140"/>
      <c r="IWS126" s="140"/>
      <c r="IWT126" s="140"/>
      <c r="IWU126" s="140"/>
      <c r="IWV126" s="140"/>
      <c r="IWW126" s="140"/>
      <c r="IWX126" s="140"/>
      <c r="IWY126" s="140"/>
      <c r="IWZ126" s="140"/>
      <c r="IXA126" s="140"/>
      <c r="IXB126" s="140"/>
      <c r="IXC126" s="140"/>
      <c r="IXD126" s="140"/>
      <c r="IXE126" s="140"/>
      <c r="IXF126" s="140"/>
      <c r="IXG126" s="140"/>
      <c r="IXH126" s="140"/>
      <c r="IXI126" s="140"/>
      <c r="IXJ126" s="140"/>
      <c r="IXK126" s="140"/>
      <c r="IXL126" s="140"/>
      <c r="IXM126" s="140"/>
      <c r="IXN126" s="140"/>
      <c r="IXO126" s="140"/>
      <c r="IXP126" s="140"/>
      <c r="IXQ126" s="140"/>
      <c r="IXR126" s="140"/>
      <c r="IXS126" s="140"/>
      <c r="IXT126" s="140"/>
      <c r="IXU126" s="140"/>
      <c r="IXV126" s="140"/>
      <c r="IXW126" s="140"/>
      <c r="IXX126" s="140"/>
      <c r="IXY126" s="140"/>
      <c r="IXZ126" s="140"/>
      <c r="IYA126" s="140"/>
      <c r="IYB126" s="140"/>
      <c r="IYC126" s="140"/>
      <c r="IYD126" s="140"/>
      <c r="IYE126" s="140"/>
      <c r="IYF126" s="140"/>
      <c r="IYG126" s="140"/>
      <c r="IYH126" s="140"/>
      <c r="IYI126" s="140"/>
      <c r="IYJ126" s="140"/>
      <c r="IYK126" s="140"/>
      <c r="IYL126" s="140"/>
      <c r="IYM126" s="140"/>
      <c r="IYN126" s="140"/>
      <c r="IYO126" s="140"/>
      <c r="IYP126" s="140"/>
      <c r="IYQ126" s="140"/>
      <c r="IYR126" s="140"/>
      <c r="IYS126" s="140"/>
      <c r="IYT126" s="140"/>
      <c r="IYU126" s="140"/>
      <c r="IYV126" s="140"/>
      <c r="IYW126" s="140"/>
      <c r="IYX126" s="140"/>
      <c r="IYY126" s="140"/>
      <c r="IYZ126" s="140"/>
      <c r="IZA126" s="140"/>
      <c r="IZB126" s="140"/>
      <c r="IZC126" s="140"/>
      <c r="IZD126" s="140"/>
      <c r="IZE126" s="140"/>
      <c r="IZF126" s="140"/>
      <c r="IZG126" s="140"/>
      <c r="IZH126" s="140"/>
      <c r="IZI126" s="140"/>
      <c r="IZJ126" s="140"/>
      <c r="IZK126" s="140"/>
      <c r="IZL126" s="140"/>
      <c r="IZM126" s="140"/>
      <c r="IZN126" s="140"/>
      <c r="IZO126" s="140"/>
      <c r="IZP126" s="140"/>
      <c r="IZQ126" s="140"/>
      <c r="IZR126" s="140"/>
      <c r="IZS126" s="140"/>
      <c r="IZT126" s="140"/>
      <c r="IZU126" s="140"/>
      <c r="IZV126" s="140"/>
      <c r="IZW126" s="140"/>
      <c r="IZX126" s="140"/>
      <c r="IZY126" s="140"/>
      <c r="IZZ126" s="140"/>
      <c r="JAA126" s="140"/>
      <c r="JAB126" s="140"/>
      <c r="JAC126" s="140"/>
      <c r="JAD126" s="140"/>
      <c r="JAE126" s="140"/>
      <c r="JAF126" s="140"/>
      <c r="JAG126" s="140"/>
      <c r="JAH126" s="140"/>
      <c r="JAI126" s="140"/>
      <c r="JAJ126" s="140"/>
      <c r="JAK126" s="140"/>
      <c r="JAL126" s="140"/>
      <c r="JAM126" s="140"/>
      <c r="JAN126" s="140"/>
      <c r="JAO126" s="140"/>
      <c r="JAP126" s="140"/>
      <c r="JAQ126" s="140"/>
      <c r="JAR126" s="140"/>
      <c r="JAS126" s="140"/>
      <c r="JAT126" s="140"/>
      <c r="JAU126" s="140"/>
      <c r="JAV126" s="140"/>
      <c r="JAW126" s="140"/>
      <c r="JAX126" s="140"/>
      <c r="JAY126" s="140"/>
      <c r="JAZ126" s="140"/>
      <c r="JBA126" s="140"/>
      <c r="JBB126" s="140"/>
      <c r="JBC126" s="140"/>
      <c r="JBD126" s="140"/>
      <c r="JBE126" s="140"/>
      <c r="JBF126" s="140"/>
      <c r="JBG126" s="140"/>
      <c r="JBH126" s="140"/>
      <c r="JBI126" s="140"/>
      <c r="JBJ126" s="140"/>
      <c r="JBK126" s="140"/>
      <c r="JBL126" s="140"/>
      <c r="JBM126" s="140"/>
      <c r="JBN126" s="140"/>
      <c r="JBO126" s="140"/>
      <c r="JBP126" s="140"/>
      <c r="JBQ126" s="140"/>
      <c r="JBR126" s="140"/>
      <c r="JBS126" s="140"/>
      <c r="JBT126" s="140"/>
      <c r="JBU126" s="140"/>
      <c r="JBV126" s="140"/>
      <c r="JBW126" s="140"/>
      <c r="JBX126" s="140"/>
      <c r="JBY126" s="140"/>
      <c r="JBZ126" s="140"/>
      <c r="JCA126" s="140"/>
      <c r="JCB126" s="140"/>
      <c r="JCC126" s="140"/>
      <c r="JCD126" s="140"/>
      <c r="JCE126" s="140"/>
      <c r="JCF126" s="140"/>
      <c r="JCG126" s="140"/>
      <c r="JCH126" s="140"/>
      <c r="JCI126" s="140"/>
      <c r="JCJ126" s="140"/>
      <c r="JCK126" s="140"/>
      <c r="JCL126" s="140"/>
      <c r="JCM126" s="140"/>
      <c r="JCN126" s="140"/>
      <c r="JCO126" s="140"/>
      <c r="JCP126" s="140"/>
      <c r="JCQ126" s="140"/>
      <c r="JCR126" s="140"/>
      <c r="JCS126" s="140"/>
      <c r="JCT126" s="140"/>
      <c r="JCU126" s="140"/>
      <c r="JCV126" s="140"/>
      <c r="JCW126" s="140"/>
      <c r="JCX126" s="140"/>
      <c r="JCY126" s="140"/>
      <c r="JCZ126" s="140"/>
      <c r="JDA126" s="140"/>
      <c r="JDB126" s="140"/>
      <c r="JDC126" s="140"/>
      <c r="JDD126" s="140"/>
      <c r="JDE126" s="140"/>
      <c r="JDF126" s="140"/>
      <c r="JDG126" s="140"/>
      <c r="JDH126" s="140"/>
      <c r="JDI126" s="140"/>
      <c r="JDJ126" s="140"/>
      <c r="JDK126" s="140"/>
      <c r="JDL126" s="140"/>
      <c r="JDM126" s="140"/>
      <c r="JDN126" s="140"/>
      <c r="JDO126" s="140"/>
      <c r="JDP126" s="140"/>
      <c r="JDQ126" s="140"/>
      <c r="JDR126" s="140"/>
      <c r="JDS126" s="140"/>
      <c r="JDT126" s="140"/>
      <c r="JDU126" s="140"/>
      <c r="JDV126" s="140"/>
      <c r="JDW126" s="140"/>
      <c r="JDX126" s="140"/>
      <c r="JDY126" s="140"/>
      <c r="JDZ126" s="140"/>
      <c r="JEA126" s="140"/>
      <c r="JEB126" s="140"/>
      <c r="JEC126" s="140"/>
      <c r="JED126" s="140"/>
      <c r="JEE126" s="140"/>
      <c r="JEF126" s="140"/>
      <c r="JEG126" s="140"/>
      <c r="JEH126" s="140"/>
      <c r="JEI126" s="140"/>
      <c r="JEJ126" s="140"/>
      <c r="JEK126" s="140"/>
      <c r="JEL126" s="140"/>
      <c r="JEM126" s="140"/>
      <c r="JEN126" s="140"/>
      <c r="JEO126" s="140"/>
      <c r="JEP126" s="140"/>
      <c r="JEQ126" s="140"/>
      <c r="JER126" s="140"/>
      <c r="JES126" s="140"/>
      <c r="JET126" s="140"/>
      <c r="JEU126" s="140"/>
      <c r="JEV126" s="140"/>
      <c r="JEW126" s="140"/>
      <c r="JEX126" s="140"/>
      <c r="JEY126" s="140"/>
      <c r="JEZ126" s="140"/>
      <c r="JFA126" s="140"/>
      <c r="JFB126" s="140"/>
      <c r="JFC126" s="140"/>
      <c r="JFD126" s="140"/>
      <c r="JFE126" s="140"/>
      <c r="JFF126" s="140"/>
      <c r="JFG126" s="140"/>
      <c r="JFH126" s="140"/>
      <c r="JFI126" s="140"/>
      <c r="JFJ126" s="140"/>
      <c r="JFK126" s="140"/>
      <c r="JFL126" s="140"/>
      <c r="JFM126" s="140"/>
      <c r="JFN126" s="140"/>
      <c r="JFO126" s="140"/>
      <c r="JFP126" s="140"/>
      <c r="JFQ126" s="140"/>
      <c r="JFR126" s="140"/>
      <c r="JFS126" s="140"/>
      <c r="JFT126" s="140"/>
      <c r="JFU126" s="140"/>
      <c r="JFV126" s="140"/>
      <c r="JFW126" s="140"/>
      <c r="JFX126" s="140"/>
      <c r="JFY126" s="140"/>
      <c r="JFZ126" s="140"/>
      <c r="JGA126" s="140"/>
      <c r="JGB126" s="140"/>
      <c r="JGC126" s="140"/>
      <c r="JGD126" s="140"/>
      <c r="JGE126" s="140"/>
      <c r="JGF126" s="140"/>
      <c r="JGG126" s="140"/>
      <c r="JGH126" s="140"/>
      <c r="JGI126" s="140"/>
      <c r="JGJ126" s="140"/>
      <c r="JGK126" s="140"/>
      <c r="JGL126" s="140"/>
      <c r="JGM126" s="140"/>
      <c r="JGN126" s="140"/>
      <c r="JGO126" s="140"/>
      <c r="JGP126" s="140"/>
      <c r="JGQ126" s="140"/>
      <c r="JGR126" s="140"/>
      <c r="JGS126" s="140"/>
      <c r="JGT126" s="140"/>
      <c r="JGU126" s="140"/>
      <c r="JGV126" s="140"/>
      <c r="JGW126" s="140"/>
      <c r="JGX126" s="140"/>
      <c r="JGY126" s="140"/>
      <c r="JGZ126" s="140"/>
      <c r="JHA126" s="140"/>
      <c r="JHB126" s="140"/>
      <c r="JHC126" s="140"/>
      <c r="JHD126" s="140"/>
      <c r="JHE126" s="140"/>
      <c r="JHF126" s="140"/>
      <c r="JHG126" s="140"/>
      <c r="JHH126" s="140"/>
      <c r="JHI126" s="140"/>
      <c r="JHJ126" s="140"/>
      <c r="JHK126" s="140"/>
      <c r="JHL126" s="140"/>
      <c r="JHM126" s="140"/>
      <c r="JHN126" s="140"/>
      <c r="JHO126" s="140"/>
      <c r="JHP126" s="140"/>
      <c r="JHQ126" s="140"/>
      <c r="JHR126" s="140"/>
      <c r="JHS126" s="140"/>
      <c r="JHT126" s="140"/>
      <c r="JHU126" s="140"/>
      <c r="JHV126" s="140"/>
      <c r="JHW126" s="140"/>
      <c r="JHX126" s="140"/>
      <c r="JHY126" s="140"/>
      <c r="JHZ126" s="140"/>
      <c r="JIA126" s="140"/>
      <c r="JIB126" s="140"/>
      <c r="JIC126" s="140"/>
      <c r="JID126" s="140"/>
      <c r="JIE126" s="140"/>
      <c r="JIF126" s="140"/>
      <c r="JIG126" s="140"/>
      <c r="JIH126" s="140"/>
      <c r="JII126" s="140"/>
      <c r="JIJ126" s="140"/>
      <c r="JIK126" s="140"/>
      <c r="JIL126" s="140"/>
      <c r="JIM126" s="140"/>
      <c r="JIN126" s="140"/>
      <c r="JIO126" s="140"/>
      <c r="JIP126" s="140"/>
      <c r="JIQ126" s="140"/>
      <c r="JIR126" s="140"/>
      <c r="JIS126" s="140"/>
      <c r="JIT126" s="140"/>
      <c r="JIU126" s="140"/>
      <c r="JIV126" s="140"/>
      <c r="JIW126" s="140"/>
      <c r="JIX126" s="140"/>
      <c r="JIY126" s="140"/>
      <c r="JIZ126" s="140"/>
      <c r="JJA126" s="140"/>
      <c r="JJB126" s="140"/>
      <c r="JJC126" s="140"/>
      <c r="JJD126" s="140"/>
      <c r="JJE126" s="140"/>
      <c r="JJF126" s="140"/>
      <c r="JJG126" s="140"/>
      <c r="JJH126" s="140"/>
      <c r="JJI126" s="140"/>
      <c r="JJJ126" s="140"/>
      <c r="JJK126" s="140"/>
      <c r="JJL126" s="140"/>
      <c r="JJM126" s="140"/>
      <c r="JJN126" s="140"/>
      <c r="JJO126" s="140"/>
      <c r="JJP126" s="140"/>
      <c r="JJQ126" s="140"/>
      <c r="JJR126" s="140"/>
      <c r="JJS126" s="140"/>
      <c r="JJT126" s="140"/>
      <c r="JJU126" s="140"/>
      <c r="JJV126" s="140"/>
      <c r="JJW126" s="140"/>
      <c r="JJX126" s="140"/>
      <c r="JJY126" s="140"/>
      <c r="JJZ126" s="140"/>
      <c r="JKA126" s="140"/>
      <c r="JKB126" s="140"/>
      <c r="JKC126" s="140"/>
      <c r="JKD126" s="140"/>
      <c r="JKE126" s="140"/>
      <c r="JKF126" s="140"/>
      <c r="JKG126" s="140"/>
      <c r="JKH126" s="140"/>
      <c r="JKI126" s="140"/>
      <c r="JKJ126" s="140"/>
      <c r="JKK126" s="140"/>
      <c r="JKL126" s="140"/>
      <c r="JKM126" s="140"/>
      <c r="JKN126" s="140"/>
      <c r="JKO126" s="140"/>
      <c r="JKP126" s="140"/>
      <c r="JKQ126" s="140"/>
      <c r="JKR126" s="140"/>
      <c r="JKS126" s="140"/>
      <c r="JKT126" s="140"/>
      <c r="JKU126" s="140"/>
      <c r="JKV126" s="140"/>
      <c r="JKW126" s="140"/>
      <c r="JKX126" s="140"/>
      <c r="JKY126" s="140"/>
      <c r="JKZ126" s="140"/>
      <c r="JLA126" s="140"/>
      <c r="JLB126" s="140"/>
      <c r="JLC126" s="140"/>
      <c r="JLD126" s="140"/>
      <c r="JLE126" s="140"/>
      <c r="JLF126" s="140"/>
      <c r="JLG126" s="140"/>
      <c r="JLH126" s="140"/>
      <c r="JLI126" s="140"/>
      <c r="JLJ126" s="140"/>
      <c r="JLK126" s="140"/>
      <c r="JLL126" s="140"/>
      <c r="JLM126" s="140"/>
      <c r="JLN126" s="140"/>
      <c r="JLO126" s="140"/>
      <c r="JLP126" s="140"/>
      <c r="JLQ126" s="140"/>
      <c r="JLR126" s="140"/>
      <c r="JLS126" s="140"/>
      <c r="JLT126" s="140"/>
      <c r="JLU126" s="140"/>
      <c r="JLV126" s="140"/>
      <c r="JLW126" s="140"/>
      <c r="JLX126" s="140"/>
      <c r="JLY126" s="140"/>
      <c r="JLZ126" s="140"/>
      <c r="JMA126" s="140"/>
      <c r="JMB126" s="140"/>
      <c r="JMC126" s="140"/>
      <c r="JMD126" s="140"/>
      <c r="JME126" s="140"/>
      <c r="JMF126" s="140"/>
      <c r="JMG126" s="140"/>
      <c r="JMH126" s="140"/>
      <c r="JMI126" s="140"/>
      <c r="JMJ126" s="140"/>
      <c r="JMK126" s="140"/>
      <c r="JML126" s="140"/>
      <c r="JMM126" s="140"/>
      <c r="JMN126" s="140"/>
      <c r="JMO126" s="140"/>
      <c r="JMP126" s="140"/>
      <c r="JMQ126" s="140"/>
      <c r="JMR126" s="140"/>
      <c r="JMS126" s="140"/>
      <c r="JMT126" s="140"/>
      <c r="JMU126" s="140"/>
      <c r="JMV126" s="140"/>
      <c r="JMW126" s="140"/>
      <c r="JMX126" s="140"/>
      <c r="JMY126" s="140"/>
      <c r="JMZ126" s="140"/>
      <c r="JNA126" s="140"/>
      <c r="JNB126" s="140"/>
      <c r="JNC126" s="140"/>
      <c r="JND126" s="140"/>
      <c r="JNE126" s="140"/>
      <c r="JNF126" s="140"/>
      <c r="JNG126" s="140"/>
      <c r="JNH126" s="140"/>
      <c r="JNI126" s="140"/>
      <c r="JNJ126" s="140"/>
      <c r="JNK126" s="140"/>
      <c r="JNL126" s="140"/>
      <c r="JNM126" s="140"/>
      <c r="JNN126" s="140"/>
      <c r="JNO126" s="140"/>
      <c r="JNP126" s="140"/>
      <c r="JNQ126" s="140"/>
      <c r="JNR126" s="140"/>
      <c r="JNS126" s="140"/>
      <c r="JNT126" s="140"/>
      <c r="JNU126" s="140"/>
      <c r="JNV126" s="140"/>
      <c r="JNW126" s="140"/>
      <c r="JNX126" s="140"/>
      <c r="JNY126" s="140"/>
      <c r="JNZ126" s="140"/>
      <c r="JOA126" s="140"/>
      <c r="JOB126" s="140"/>
      <c r="JOC126" s="140"/>
      <c r="JOD126" s="140"/>
      <c r="JOE126" s="140"/>
      <c r="JOF126" s="140"/>
      <c r="JOG126" s="140"/>
      <c r="JOH126" s="140"/>
      <c r="JOI126" s="140"/>
      <c r="JOJ126" s="140"/>
      <c r="JOK126" s="140"/>
      <c r="JOL126" s="140"/>
      <c r="JOM126" s="140"/>
      <c r="JON126" s="140"/>
      <c r="JOO126" s="140"/>
      <c r="JOP126" s="140"/>
      <c r="JOQ126" s="140"/>
      <c r="JOR126" s="140"/>
      <c r="JOS126" s="140"/>
      <c r="JOT126" s="140"/>
      <c r="JOU126" s="140"/>
      <c r="JOV126" s="140"/>
      <c r="JOW126" s="140"/>
      <c r="JOX126" s="140"/>
      <c r="JOY126" s="140"/>
      <c r="JOZ126" s="140"/>
      <c r="JPA126" s="140"/>
      <c r="JPB126" s="140"/>
      <c r="JPC126" s="140"/>
      <c r="JPD126" s="140"/>
      <c r="JPE126" s="140"/>
      <c r="JPF126" s="140"/>
      <c r="JPG126" s="140"/>
      <c r="JPH126" s="140"/>
      <c r="JPI126" s="140"/>
      <c r="JPJ126" s="140"/>
      <c r="JPK126" s="140"/>
      <c r="JPL126" s="140"/>
      <c r="JPM126" s="140"/>
      <c r="JPN126" s="140"/>
      <c r="JPO126" s="140"/>
      <c r="JPP126" s="140"/>
      <c r="JPQ126" s="140"/>
      <c r="JPR126" s="140"/>
      <c r="JPS126" s="140"/>
      <c r="JPT126" s="140"/>
      <c r="JPU126" s="140"/>
      <c r="JPV126" s="140"/>
      <c r="JPW126" s="140"/>
      <c r="JPX126" s="140"/>
      <c r="JPY126" s="140"/>
      <c r="JPZ126" s="140"/>
      <c r="JQA126" s="140"/>
      <c r="JQB126" s="140"/>
      <c r="JQC126" s="140"/>
      <c r="JQD126" s="140"/>
      <c r="JQE126" s="140"/>
      <c r="JQF126" s="140"/>
      <c r="JQG126" s="140"/>
      <c r="JQH126" s="140"/>
      <c r="JQI126" s="140"/>
      <c r="JQJ126" s="140"/>
      <c r="JQK126" s="140"/>
      <c r="JQL126" s="140"/>
      <c r="JQM126" s="140"/>
      <c r="JQN126" s="140"/>
      <c r="JQO126" s="140"/>
      <c r="JQP126" s="140"/>
      <c r="JQQ126" s="140"/>
      <c r="JQR126" s="140"/>
      <c r="JQS126" s="140"/>
      <c r="JQT126" s="140"/>
      <c r="JQU126" s="140"/>
      <c r="JQV126" s="140"/>
      <c r="JQW126" s="140"/>
      <c r="JQX126" s="140"/>
      <c r="JQY126" s="140"/>
      <c r="JQZ126" s="140"/>
      <c r="JRA126" s="140"/>
      <c r="JRB126" s="140"/>
      <c r="JRC126" s="140"/>
      <c r="JRD126" s="140"/>
      <c r="JRE126" s="140"/>
      <c r="JRF126" s="140"/>
      <c r="JRG126" s="140"/>
      <c r="JRH126" s="140"/>
      <c r="JRI126" s="140"/>
      <c r="JRJ126" s="140"/>
      <c r="JRK126" s="140"/>
      <c r="JRL126" s="140"/>
      <c r="JRM126" s="140"/>
      <c r="JRN126" s="140"/>
      <c r="JRO126" s="140"/>
      <c r="JRP126" s="140"/>
      <c r="JRQ126" s="140"/>
      <c r="JRR126" s="140"/>
      <c r="JRS126" s="140"/>
      <c r="JRT126" s="140"/>
      <c r="JRU126" s="140"/>
      <c r="JRV126" s="140"/>
      <c r="JRW126" s="140"/>
      <c r="JRX126" s="140"/>
      <c r="JRY126" s="140"/>
      <c r="JRZ126" s="140"/>
      <c r="JSA126" s="140"/>
      <c r="JSB126" s="140"/>
      <c r="JSC126" s="140"/>
      <c r="JSD126" s="140"/>
      <c r="JSE126" s="140"/>
      <c r="JSF126" s="140"/>
      <c r="JSG126" s="140"/>
      <c r="JSH126" s="140"/>
      <c r="JSI126" s="140"/>
      <c r="JSJ126" s="140"/>
      <c r="JSK126" s="140"/>
      <c r="JSL126" s="140"/>
      <c r="JSM126" s="140"/>
      <c r="JSN126" s="140"/>
      <c r="JSO126" s="140"/>
      <c r="JSP126" s="140"/>
      <c r="JSQ126" s="140"/>
      <c r="JSR126" s="140"/>
      <c r="JSS126" s="140"/>
      <c r="JST126" s="140"/>
      <c r="JSU126" s="140"/>
      <c r="JSV126" s="140"/>
      <c r="JSW126" s="140"/>
      <c r="JSX126" s="140"/>
      <c r="JSY126" s="140"/>
      <c r="JSZ126" s="140"/>
      <c r="JTA126" s="140"/>
      <c r="JTB126" s="140"/>
      <c r="JTC126" s="140"/>
      <c r="JTD126" s="140"/>
      <c r="JTE126" s="140"/>
      <c r="JTF126" s="140"/>
      <c r="JTG126" s="140"/>
      <c r="JTH126" s="140"/>
      <c r="JTI126" s="140"/>
      <c r="JTJ126" s="140"/>
      <c r="JTK126" s="140"/>
      <c r="JTL126" s="140"/>
      <c r="JTM126" s="140"/>
      <c r="JTN126" s="140"/>
      <c r="JTO126" s="140"/>
      <c r="JTP126" s="140"/>
      <c r="JTQ126" s="140"/>
      <c r="JTR126" s="140"/>
      <c r="JTS126" s="140"/>
      <c r="JTT126" s="140"/>
      <c r="JTU126" s="140"/>
      <c r="JTV126" s="140"/>
      <c r="JTW126" s="140"/>
      <c r="JTX126" s="140"/>
      <c r="JTY126" s="140"/>
      <c r="JTZ126" s="140"/>
      <c r="JUA126" s="140"/>
      <c r="JUB126" s="140"/>
      <c r="JUC126" s="140"/>
      <c r="JUD126" s="140"/>
      <c r="JUE126" s="140"/>
      <c r="JUF126" s="140"/>
      <c r="JUG126" s="140"/>
      <c r="JUH126" s="140"/>
      <c r="JUI126" s="140"/>
      <c r="JUJ126" s="140"/>
      <c r="JUK126" s="140"/>
      <c r="JUL126" s="140"/>
      <c r="JUM126" s="140"/>
      <c r="JUN126" s="140"/>
      <c r="JUO126" s="140"/>
      <c r="JUP126" s="140"/>
      <c r="JUQ126" s="140"/>
      <c r="JUR126" s="140"/>
      <c r="JUS126" s="140"/>
      <c r="JUT126" s="140"/>
      <c r="JUU126" s="140"/>
      <c r="JUV126" s="140"/>
      <c r="JUW126" s="140"/>
      <c r="JUX126" s="140"/>
      <c r="JUY126" s="140"/>
      <c r="JUZ126" s="140"/>
      <c r="JVA126" s="140"/>
      <c r="JVB126" s="140"/>
      <c r="JVC126" s="140"/>
      <c r="JVD126" s="140"/>
      <c r="JVE126" s="140"/>
      <c r="JVF126" s="140"/>
      <c r="JVG126" s="140"/>
      <c r="JVH126" s="140"/>
      <c r="JVI126" s="140"/>
      <c r="JVJ126" s="140"/>
      <c r="JVK126" s="140"/>
      <c r="JVL126" s="140"/>
      <c r="JVM126" s="140"/>
      <c r="JVN126" s="140"/>
      <c r="JVO126" s="140"/>
      <c r="JVP126" s="140"/>
      <c r="JVQ126" s="140"/>
      <c r="JVR126" s="140"/>
      <c r="JVS126" s="140"/>
      <c r="JVT126" s="140"/>
      <c r="JVU126" s="140"/>
      <c r="JVV126" s="140"/>
      <c r="JVW126" s="140"/>
      <c r="JVX126" s="140"/>
      <c r="JVY126" s="140"/>
      <c r="JVZ126" s="140"/>
      <c r="JWA126" s="140"/>
      <c r="JWB126" s="140"/>
      <c r="JWC126" s="140"/>
      <c r="JWD126" s="140"/>
      <c r="JWE126" s="140"/>
      <c r="JWF126" s="140"/>
      <c r="JWG126" s="140"/>
      <c r="JWH126" s="140"/>
      <c r="JWI126" s="140"/>
      <c r="JWJ126" s="140"/>
      <c r="JWK126" s="140"/>
      <c r="JWL126" s="140"/>
      <c r="JWM126" s="140"/>
      <c r="JWN126" s="140"/>
      <c r="JWO126" s="140"/>
      <c r="JWP126" s="140"/>
      <c r="JWQ126" s="140"/>
      <c r="JWR126" s="140"/>
      <c r="JWS126" s="140"/>
      <c r="JWT126" s="140"/>
      <c r="JWU126" s="140"/>
      <c r="JWV126" s="140"/>
      <c r="JWW126" s="140"/>
      <c r="JWX126" s="140"/>
      <c r="JWY126" s="140"/>
      <c r="JWZ126" s="140"/>
      <c r="JXA126" s="140"/>
      <c r="JXB126" s="140"/>
      <c r="JXC126" s="140"/>
      <c r="JXD126" s="140"/>
      <c r="JXE126" s="140"/>
      <c r="JXF126" s="140"/>
      <c r="JXG126" s="140"/>
      <c r="JXH126" s="140"/>
      <c r="JXI126" s="140"/>
      <c r="JXJ126" s="140"/>
      <c r="JXK126" s="140"/>
      <c r="JXL126" s="140"/>
      <c r="JXM126" s="140"/>
      <c r="JXN126" s="140"/>
      <c r="JXO126" s="140"/>
      <c r="JXP126" s="140"/>
      <c r="JXQ126" s="140"/>
      <c r="JXR126" s="140"/>
      <c r="JXS126" s="140"/>
      <c r="JXT126" s="140"/>
      <c r="JXU126" s="140"/>
      <c r="JXV126" s="140"/>
      <c r="JXW126" s="140"/>
      <c r="JXX126" s="140"/>
      <c r="JXY126" s="140"/>
      <c r="JXZ126" s="140"/>
      <c r="JYA126" s="140"/>
      <c r="JYB126" s="140"/>
      <c r="JYC126" s="140"/>
      <c r="JYD126" s="140"/>
      <c r="JYE126" s="140"/>
      <c r="JYF126" s="140"/>
      <c r="JYG126" s="140"/>
      <c r="JYH126" s="140"/>
      <c r="JYI126" s="140"/>
      <c r="JYJ126" s="140"/>
      <c r="JYK126" s="140"/>
      <c r="JYL126" s="140"/>
      <c r="JYM126" s="140"/>
      <c r="JYN126" s="140"/>
      <c r="JYO126" s="140"/>
      <c r="JYP126" s="140"/>
      <c r="JYQ126" s="140"/>
      <c r="JYR126" s="140"/>
      <c r="JYS126" s="140"/>
      <c r="JYT126" s="140"/>
      <c r="JYU126" s="140"/>
      <c r="JYV126" s="140"/>
      <c r="JYW126" s="140"/>
      <c r="JYX126" s="140"/>
      <c r="JYY126" s="140"/>
      <c r="JYZ126" s="140"/>
      <c r="JZA126" s="140"/>
      <c r="JZB126" s="140"/>
      <c r="JZC126" s="140"/>
      <c r="JZD126" s="140"/>
      <c r="JZE126" s="140"/>
      <c r="JZF126" s="140"/>
      <c r="JZG126" s="140"/>
      <c r="JZH126" s="140"/>
      <c r="JZI126" s="140"/>
      <c r="JZJ126" s="140"/>
      <c r="JZK126" s="140"/>
      <c r="JZL126" s="140"/>
      <c r="JZM126" s="140"/>
      <c r="JZN126" s="140"/>
      <c r="JZO126" s="140"/>
      <c r="JZP126" s="140"/>
      <c r="JZQ126" s="140"/>
      <c r="JZR126" s="140"/>
      <c r="JZS126" s="140"/>
      <c r="JZT126" s="140"/>
      <c r="JZU126" s="140"/>
      <c r="JZV126" s="140"/>
      <c r="JZW126" s="140"/>
      <c r="JZX126" s="140"/>
      <c r="JZY126" s="140"/>
      <c r="JZZ126" s="140"/>
      <c r="KAA126" s="140"/>
      <c r="KAB126" s="140"/>
      <c r="KAC126" s="140"/>
      <c r="KAD126" s="140"/>
      <c r="KAE126" s="140"/>
      <c r="KAF126" s="140"/>
      <c r="KAG126" s="140"/>
      <c r="KAH126" s="140"/>
      <c r="KAI126" s="140"/>
      <c r="KAJ126" s="140"/>
      <c r="KAK126" s="140"/>
      <c r="KAL126" s="140"/>
      <c r="KAM126" s="140"/>
      <c r="KAN126" s="140"/>
      <c r="KAO126" s="140"/>
      <c r="KAP126" s="140"/>
      <c r="KAQ126" s="140"/>
      <c r="KAR126" s="140"/>
      <c r="KAS126" s="140"/>
      <c r="KAT126" s="140"/>
      <c r="KAU126" s="140"/>
      <c r="KAV126" s="140"/>
      <c r="KAW126" s="140"/>
      <c r="KAX126" s="140"/>
      <c r="KAY126" s="140"/>
      <c r="KAZ126" s="140"/>
      <c r="KBA126" s="140"/>
      <c r="KBB126" s="140"/>
      <c r="KBC126" s="140"/>
      <c r="KBD126" s="140"/>
      <c r="KBE126" s="140"/>
      <c r="KBF126" s="140"/>
      <c r="KBG126" s="140"/>
      <c r="KBH126" s="140"/>
      <c r="KBI126" s="140"/>
      <c r="KBJ126" s="140"/>
      <c r="KBK126" s="140"/>
      <c r="KBL126" s="140"/>
      <c r="KBM126" s="140"/>
      <c r="KBN126" s="140"/>
      <c r="KBO126" s="140"/>
      <c r="KBP126" s="140"/>
      <c r="KBQ126" s="140"/>
      <c r="KBR126" s="140"/>
      <c r="KBS126" s="140"/>
      <c r="KBT126" s="140"/>
      <c r="KBU126" s="140"/>
      <c r="KBV126" s="140"/>
      <c r="KBW126" s="140"/>
      <c r="KBX126" s="140"/>
      <c r="KBY126" s="140"/>
      <c r="KBZ126" s="140"/>
      <c r="KCA126" s="140"/>
      <c r="KCB126" s="140"/>
      <c r="KCC126" s="140"/>
      <c r="KCD126" s="140"/>
      <c r="KCE126" s="140"/>
      <c r="KCF126" s="140"/>
      <c r="KCG126" s="140"/>
      <c r="KCH126" s="140"/>
      <c r="KCI126" s="140"/>
      <c r="KCJ126" s="140"/>
      <c r="KCK126" s="140"/>
      <c r="KCL126" s="140"/>
      <c r="KCM126" s="140"/>
      <c r="KCN126" s="140"/>
      <c r="KCO126" s="140"/>
      <c r="KCP126" s="140"/>
      <c r="KCQ126" s="140"/>
      <c r="KCR126" s="140"/>
      <c r="KCS126" s="140"/>
      <c r="KCT126" s="140"/>
      <c r="KCU126" s="140"/>
      <c r="KCV126" s="140"/>
      <c r="KCW126" s="140"/>
      <c r="KCX126" s="140"/>
      <c r="KCY126" s="140"/>
      <c r="KCZ126" s="140"/>
      <c r="KDA126" s="140"/>
      <c r="KDB126" s="140"/>
      <c r="KDC126" s="140"/>
      <c r="KDD126" s="140"/>
      <c r="KDE126" s="140"/>
      <c r="KDF126" s="140"/>
      <c r="KDG126" s="140"/>
      <c r="KDH126" s="140"/>
      <c r="KDI126" s="140"/>
      <c r="KDJ126" s="140"/>
      <c r="KDK126" s="140"/>
      <c r="KDL126" s="140"/>
      <c r="KDM126" s="140"/>
      <c r="KDN126" s="140"/>
      <c r="KDO126" s="140"/>
      <c r="KDP126" s="140"/>
      <c r="KDQ126" s="140"/>
      <c r="KDR126" s="140"/>
      <c r="KDS126" s="140"/>
      <c r="KDT126" s="140"/>
      <c r="KDU126" s="140"/>
      <c r="KDV126" s="140"/>
      <c r="KDW126" s="140"/>
      <c r="KDX126" s="140"/>
      <c r="KDY126" s="140"/>
      <c r="KDZ126" s="140"/>
      <c r="KEA126" s="140"/>
      <c r="KEB126" s="140"/>
      <c r="KEC126" s="140"/>
      <c r="KED126" s="140"/>
      <c r="KEE126" s="140"/>
      <c r="KEF126" s="140"/>
      <c r="KEG126" s="140"/>
      <c r="KEH126" s="140"/>
      <c r="KEI126" s="140"/>
      <c r="KEJ126" s="140"/>
      <c r="KEK126" s="140"/>
      <c r="KEL126" s="140"/>
      <c r="KEM126" s="140"/>
      <c r="KEN126" s="140"/>
      <c r="KEO126" s="140"/>
      <c r="KEP126" s="140"/>
      <c r="KEQ126" s="140"/>
      <c r="KER126" s="140"/>
      <c r="KES126" s="140"/>
      <c r="KET126" s="140"/>
      <c r="KEU126" s="140"/>
      <c r="KEV126" s="140"/>
      <c r="KEW126" s="140"/>
      <c r="KEX126" s="140"/>
      <c r="KEY126" s="140"/>
      <c r="KEZ126" s="140"/>
      <c r="KFA126" s="140"/>
      <c r="KFB126" s="140"/>
      <c r="KFC126" s="140"/>
      <c r="KFD126" s="140"/>
      <c r="KFE126" s="140"/>
      <c r="KFF126" s="140"/>
      <c r="KFG126" s="140"/>
      <c r="KFH126" s="140"/>
      <c r="KFI126" s="140"/>
      <c r="KFJ126" s="140"/>
      <c r="KFK126" s="140"/>
      <c r="KFL126" s="140"/>
      <c r="KFM126" s="140"/>
      <c r="KFN126" s="140"/>
      <c r="KFO126" s="140"/>
      <c r="KFP126" s="140"/>
      <c r="KFQ126" s="140"/>
      <c r="KFR126" s="140"/>
      <c r="KFS126" s="140"/>
      <c r="KFT126" s="140"/>
      <c r="KFU126" s="140"/>
      <c r="KFV126" s="140"/>
      <c r="KFW126" s="140"/>
      <c r="KFX126" s="140"/>
      <c r="KFY126" s="140"/>
      <c r="KFZ126" s="140"/>
      <c r="KGA126" s="140"/>
      <c r="KGB126" s="140"/>
      <c r="KGC126" s="140"/>
      <c r="KGD126" s="140"/>
      <c r="KGE126" s="140"/>
      <c r="KGF126" s="140"/>
      <c r="KGG126" s="140"/>
      <c r="KGH126" s="140"/>
      <c r="KGI126" s="140"/>
      <c r="KGJ126" s="140"/>
      <c r="KGK126" s="140"/>
      <c r="KGL126" s="140"/>
      <c r="KGM126" s="140"/>
      <c r="KGN126" s="140"/>
      <c r="KGO126" s="140"/>
      <c r="KGP126" s="140"/>
      <c r="KGQ126" s="140"/>
      <c r="KGR126" s="140"/>
      <c r="KGS126" s="140"/>
      <c r="KGT126" s="140"/>
      <c r="KGU126" s="140"/>
      <c r="KGV126" s="140"/>
      <c r="KGW126" s="140"/>
      <c r="KGX126" s="140"/>
      <c r="KGY126" s="140"/>
      <c r="KGZ126" s="140"/>
      <c r="KHA126" s="140"/>
      <c r="KHB126" s="140"/>
      <c r="KHC126" s="140"/>
      <c r="KHD126" s="140"/>
      <c r="KHE126" s="140"/>
      <c r="KHF126" s="140"/>
      <c r="KHG126" s="140"/>
      <c r="KHH126" s="140"/>
      <c r="KHI126" s="140"/>
      <c r="KHJ126" s="140"/>
      <c r="KHK126" s="140"/>
      <c r="KHL126" s="140"/>
      <c r="KHM126" s="140"/>
      <c r="KHN126" s="140"/>
      <c r="KHO126" s="140"/>
      <c r="KHP126" s="140"/>
      <c r="KHQ126" s="140"/>
      <c r="KHR126" s="140"/>
      <c r="KHS126" s="140"/>
      <c r="KHT126" s="140"/>
      <c r="KHU126" s="140"/>
      <c r="KHV126" s="140"/>
      <c r="KHW126" s="140"/>
      <c r="KHX126" s="140"/>
      <c r="KHY126" s="140"/>
      <c r="KHZ126" s="140"/>
      <c r="KIA126" s="140"/>
      <c r="KIB126" s="140"/>
      <c r="KIC126" s="140"/>
      <c r="KID126" s="140"/>
      <c r="KIE126" s="140"/>
      <c r="KIF126" s="140"/>
      <c r="KIG126" s="140"/>
      <c r="KIH126" s="140"/>
      <c r="KII126" s="140"/>
      <c r="KIJ126" s="140"/>
      <c r="KIK126" s="140"/>
      <c r="KIL126" s="140"/>
      <c r="KIM126" s="140"/>
      <c r="KIN126" s="140"/>
      <c r="KIO126" s="140"/>
      <c r="KIP126" s="140"/>
      <c r="KIQ126" s="140"/>
      <c r="KIR126" s="140"/>
      <c r="KIS126" s="140"/>
      <c r="KIT126" s="140"/>
      <c r="KIU126" s="140"/>
      <c r="KIV126" s="140"/>
      <c r="KIW126" s="140"/>
      <c r="KIX126" s="140"/>
      <c r="KIY126" s="140"/>
      <c r="KIZ126" s="140"/>
      <c r="KJA126" s="140"/>
      <c r="KJB126" s="140"/>
      <c r="KJC126" s="140"/>
      <c r="KJD126" s="140"/>
      <c r="KJE126" s="140"/>
      <c r="KJF126" s="140"/>
      <c r="KJG126" s="140"/>
      <c r="KJH126" s="140"/>
      <c r="KJI126" s="140"/>
      <c r="KJJ126" s="140"/>
      <c r="KJK126" s="140"/>
      <c r="KJL126" s="140"/>
      <c r="KJM126" s="140"/>
      <c r="KJN126" s="140"/>
      <c r="KJO126" s="140"/>
      <c r="KJP126" s="140"/>
      <c r="KJQ126" s="140"/>
      <c r="KJR126" s="140"/>
      <c r="KJS126" s="140"/>
      <c r="KJT126" s="140"/>
      <c r="KJU126" s="140"/>
      <c r="KJV126" s="140"/>
      <c r="KJW126" s="140"/>
      <c r="KJX126" s="140"/>
      <c r="KJY126" s="140"/>
      <c r="KJZ126" s="140"/>
      <c r="KKA126" s="140"/>
      <c r="KKB126" s="140"/>
      <c r="KKC126" s="140"/>
      <c r="KKD126" s="140"/>
      <c r="KKE126" s="140"/>
      <c r="KKF126" s="140"/>
      <c r="KKG126" s="140"/>
      <c r="KKH126" s="140"/>
      <c r="KKI126" s="140"/>
      <c r="KKJ126" s="140"/>
      <c r="KKK126" s="140"/>
      <c r="KKL126" s="140"/>
      <c r="KKM126" s="140"/>
      <c r="KKN126" s="140"/>
      <c r="KKO126" s="140"/>
      <c r="KKP126" s="140"/>
      <c r="KKQ126" s="140"/>
      <c r="KKR126" s="140"/>
      <c r="KKS126" s="140"/>
      <c r="KKT126" s="140"/>
      <c r="KKU126" s="140"/>
      <c r="KKV126" s="140"/>
      <c r="KKW126" s="140"/>
      <c r="KKX126" s="140"/>
      <c r="KKY126" s="140"/>
      <c r="KKZ126" s="140"/>
      <c r="KLA126" s="140"/>
      <c r="KLB126" s="140"/>
      <c r="KLC126" s="140"/>
      <c r="KLD126" s="140"/>
      <c r="KLE126" s="140"/>
      <c r="KLF126" s="140"/>
      <c r="KLG126" s="140"/>
      <c r="KLH126" s="140"/>
      <c r="KLI126" s="140"/>
      <c r="KLJ126" s="140"/>
      <c r="KLK126" s="140"/>
      <c r="KLL126" s="140"/>
      <c r="KLM126" s="140"/>
      <c r="KLN126" s="140"/>
      <c r="KLO126" s="140"/>
      <c r="KLP126" s="140"/>
      <c r="KLQ126" s="140"/>
      <c r="KLR126" s="140"/>
      <c r="KLS126" s="140"/>
      <c r="KLT126" s="140"/>
      <c r="KLU126" s="140"/>
      <c r="KLV126" s="140"/>
      <c r="KLW126" s="140"/>
      <c r="KLX126" s="140"/>
      <c r="KLY126" s="140"/>
      <c r="KLZ126" s="140"/>
      <c r="KMA126" s="140"/>
      <c r="KMB126" s="140"/>
      <c r="KMC126" s="140"/>
      <c r="KMD126" s="140"/>
      <c r="KME126" s="140"/>
      <c r="KMF126" s="140"/>
      <c r="KMG126" s="140"/>
      <c r="KMH126" s="140"/>
      <c r="KMI126" s="140"/>
      <c r="KMJ126" s="140"/>
      <c r="KMK126" s="140"/>
      <c r="KML126" s="140"/>
      <c r="KMM126" s="140"/>
      <c r="KMN126" s="140"/>
      <c r="KMO126" s="140"/>
      <c r="KMP126" s="140"/>
      <c r="KMQ126" s="140"/>
      <c r="KMR126" s="140"/>
      <c r="KMS126" s="140"/>
      <c r="KMT126" s="140"/>
      <c r="KMU126" s="140"/>
      <c r="KMV126" s="140"/>
      <c r="KMW126" s="140"/>
      <c r="KMX126" s="140"/>
      <c r="KMY126" s="140"/>
      <c r="KMZ126" s="140"/>
      <c r="KNA126" s="140"/>
      <c r="KNB126" s="140"/>
      <c r="KNC126" s="140"/>
      <c r="KND126" s="140"/>
      <c r="KNE126" s="140"/>
      <c r="KNF126" s="140"/>
      <c r="KNG126" s="140"/>
      <c r="KNH126" s="140"/>
      <c r="KNI126" s="140"/>
      <c r="KNJ126" s="140"/>
      <c r="KNK126" s="140"/>
      <c r="KNL126" s="140"/>
      <c r="KNM126" s="140"/>
      <c r="KNN126" s="140"/>
      <c r="KNO126" s="140"/>
      <c r="KNP126" s="140"/>
      <c r="KNQ126" s="140"/>
      <c r="KNR126" s="140"/>
      <c r="KNS126" s="140"/>
      <c r="KNT126" s="140"/>
      <c r="KNU126" s="140"/>
      <c r="KNV126" s="140"/>
      <c r="KNW126" s="140"/>
      <c r="KNX126" s="140"/>
      <c r="KNY126" s="140"/>
      <c r="KNZ126" s="140"/>
      <c r="KOA126" s="140"/>
      <c r="KOB126" s="140"/>
      <c r="KOC126" s="140"/>
      <c r="KOD126" s="140"/>
      <c r="KOE126" s="140"/>
      <c r="KOF126" s="140"/>
      <c r="KOG126" s="140"/>
      <c r="KOH126" s="140"/>
      <c r="KOI126" s="140"/>
      <c r="KOJ126" s="140"/>
      <c r="KOK126" s="140"/>
      <c r="KOL126" s="140"/>
      <c r="KOM126" s="140"/>
      <c r="KON126" s="140"/>
      <c r="KOO126" s="140"/>
      <c r="KOP126" s="140"/>
      <c r="KOQ126" s="140"/>
      <c r="KOR126" s="140"/>
      <c r="KOS126" s="140"/>
      <c r="KOT126" s="140"/>
      <c r="KOU126" s="140"/>
      <c r="KOV126" s="140"/>
      <c r="KOW126" s="140"/>
      <c r="KOX126" s="140"/>
      <c r="KOY126" s="140"/>
      <c r="KOZ126" s="140"/>
      <c r="KPA126" s="140"/>
      <c r="KPB126" s="140"/>
      <c r="KPC126" s="140"/>
      <c r="KPD126" s="140"/>
      <c r="KPE126" s="140"/>
      <c r="KPF126" s="140"/>
      <c r="KPG126" s="140"/>
      <c r="KPH126" s="140"/>
      <c r="KPI126" s="140"/>
      <c r="KPJ126" s="140"/>
      <c r="KPK126" s="140"/>
      <c r="KPL126" s="140"/>
      <c r="KPM126" s="140"/>
      <c r="KPN126" s="140"/>
      <c r="KPO126" s="140"/>
      <c r="KPP126" s="140"/>
      <c r="KPQ126" s="140"/>
      <c r="KPR126" s="140"/>
      <c r="KPS126" s="140"/>
      <c r="KPT126" s="140"/>
      <c r="KPU126" s="140"/>
      <c r="KPV126" s="140"/>
      <c r="KPW126" s="140"/>
      <c r="KPX126" s="140"/>
      <c r="KPY126" s="140"/>
      <c r="KPZ126" s="140"/>
      <c r="KQA126" s="140"/>
      <c r="KQB126" s="140"/>
      <c r="KQC126" s="140"/>
      <c r="KQD126" s="140"/>
      <c r="KQE126" s="140"/>
      <c r="KQF126" s="140"/>
      <c r="KQG126" s="140"/>
      <c r="KQH126" s="140"/>
      <c r="KQI126" s="140"/>
      <c r="KQJ126" s="140"/>
      <c r="KQK126" s="140"/>
      <c r="KQL126" s="140"/>
      <c r="KQM126" s="140"/>
      <c r="KQN126" s="140"/>
      <c r="KQO126" s="140"/>
      <c r="KQP126" s="140"/>
      <c r="KQQ126" s="140"/>
      <c r="KQR126" s="140"/>
      <c r="KQS126" s="140"/>
      <c r="KQT126" s="140"/>
      <c r="KQU126" s="140"/>
      <c r="KQV126" s="140"/>
      <c r="KQW126" s="140"/>
      <c r="KQX126" s="140"/>
      <c r="KQY126" s="140"/>
      <c r="KQZ126" s="140"/>
      <c r="KRA126" s="140"/>
      <c r="KRB126" s="140"/>
      <c r="KRC126" s="140"/>
      <c r="KRD126" s="140"/>
      <c r="KRE126" s="140"/>
      <c r="KRF126" s="140"/>
      <c r="KRG126" s="140"/>
      <c r="KRH126" s="140"/>
      <c r="KRI126" s="140"/>
      <c r="KRJ126" s="140"/>
      <c r="KRK126" s="140"/>
      <c r="KRL126" s="140"/>
      <c r="KRM126" s="140"/>
      <c r="KRN126" s="140"/>
      <c r="KRO126" s="140"/>
      <c r="KRP126" s="140"/>
      <c r="KRQ126" s="140"/>
      <c r="KRR126" s="140"/>
      <c r="KRS126" s="140"/>
      <c r="KRT126" s="140"/>
      <c r="KRU126" s="140"/>
      <c r="KRV126" s="140"/>
      <c r="KRW126" s="140"/>
      <c r="KRX126" s="140"/>
      <c r="KRY126" s="140"/>
      <c r="KRZ126" s="140"/>
      <c r="KSA126" s="140"/>
      <c r="KSB126" s="140"/>
      <c r="KSC126" s="140"/>
      <c r="KSD126" s="140"/>
      <c r="KSE126" s="140"/>
      <c r="KSF126" s="140"/>
      <c r="KSG126" s="140"/>
      <c r="KSH126" s="140"/>
      <c r="KSI126" s="140"/>
      <c r="KSJ126" s="140"/>
      <c r="KSK126" s="140"/>
      <c r="KSL126" s="140"/>
      <c r="KSM126" s="140"/>
      <c r="KSN126" s="140"/>
      <c r="KSO126" s="140"/>
      <c r="KSP126" s="140"/>
      <c r="KSQ126" s="140"/>
      <c r="KSR126" s="140"/>
      <c r="KSS126" s="140"/>
      <c r="KST126" s="140"/>
      <c r="KSU126" s="140"/>
      <c r="KSV126" s="140"/>
      <c r="KSW126" s="140"/>
      <c r="KSX126" s="140"/>
      <c r="KSY126" s="140"/>
      <c r="KSZ126" s="140"/>
      <c r="KTA126" s="140"/>
      <c r="KTB126" s="140"/>
      <c r="KTC126" s="140"/>
      <c r="KTD126" s="140"/>
      <c r="KTE126" s="140"/>
      <c r="KTF126" s="140"/>
      <c r="KTG126" s="140"/>
      <c r="KTH126" s="140"/>
      <c r="KTI126" s="140"/>
      <c r="KTJ126" s="140"/>
      <c r="KTK126" s="140"/>
      <c r="KTL126" s="140"/>
      <c r="KTM126" s="140"/>
      <c r="KTN126" s="140"/>
      <c r="KTO126" s="140"/>
      <c r="KTP126" s="140"/>
      <c r="KTQ126" s="140"/>
      <c r="KTR126" s="140"/>
      <c r="KTS126" s="140"/>
      <c r="KTT126" s="140"/>
      <c r="KTU126" s="140"/>
      <c r="KTV126" s="140"/>
      <c r="KTW126" s="140"/>
      <c r="KTX126" s="140"/>
      <c r="KTY126" s="140"/>
      <c r="KTZ126" s="140"/>
      <c r="KUA126" s="140"/>
      <c r="KUB126" s="140"/>
      <c r="KUC126" s="140"/>
      <c r="KUD126" s="140"/>
      <c r="KUE126" s="140"/>
      <c r="KUF126" s="140"/>
      <c r="KUG126" s="140"/>
      <c r="KUH126" s="140"/>
      <c r="KUI126" s="140"/>
      <c r="KUJ126" s="140"/>
      <c r="KUK126" s="140"/>
      <c r="KUL126" s="140"/>
      <c r="KUM126" s="140"/>
      <c r="KUN126" s="140"/>
      <c r="KUO126" s="140"/>
      <c r="KUP126" s="140"/>
      <c r="KUQ126" s="140"/>
      <c r="KUR126" s="140"/>
      <c r="KUS126" s="140"/>
      <c r="KUT126" s="140"/>
      <c r="KUU126" s="140"/>
      <c r="KUV126" s="140"/>
      <c r="KUW126" s="140"/>
      <c r="KUX126" s="140"/>
      <c r="KUY126" s="140"/>
      <c r="KUZ126" s="140"/>
      <c r="KVA126" s="140"/>
      <c r="KVB126" s="140"/>
      <c r="KVC126" s="140"/>
      <c r="KVD126" s="140"/>
      <c r="KVE126" s="140"/>
      <c r="KVF126" s="140"/>
      <c r="KVG126" s="140"/>
      <c r="KVH126" s="140"/>
      <c r="KVI126" s="140"/>
      <c r="KVJ126" s="140"/>
      <c r="KVK126" s="140"/>
      <c r="KVL126" s="140"/>
      <c r="KVM126" s="140"/>
      <c r="KVN126" s="140"/>
      <c r="KVO126" s="140"/>
      <c r="KVP126" s="140"/>
      <c r="KVQ126" s="140"/>
      <c r="KVR126" s="140"/>
      <c r="KVS126" s="140"/>
      <c r="KVT126" s="140"/>
      <c r="KVU126" s="140"/>
      <c r="KVV126" s="140"/>
      <c r="KVW126" s="140"/>
      <c r="KVX126" s="140"/>
      <c r="KVY126" s="140"/>
      <c r="KVZ126" s="140"/>
      <c r="KWA126" s="140"/>
      <c r="KWB126" s="140"/>
      <c r="KWC126" s="140"/>
      <c r="KWD126" s="140"/>
      <c r="KWE126" s="140"/>
      <c r="KWF126" s="140"/>
      <c r="KWG126" s="140"/>
      <c r="KWH126" s="140"/>
      <c r="KWI126" s="140"/>
      <c r="KWJ126" s="140"/>
      <c r="KWK126" s="140"/>
      <c r="KWL126" s="140"/>
      <c r="KWM126" s="140"/>
      <c r="KWN126" s="140"/>
      <c r="KWO126" s="140"/>
      <c r="KWP126" s="140"/>
      <c r="KWQ126" s="140"/>
      <c r="KWR126" s="140"/>
      <c r="KWS126" s="140"/>
      <c r="KWT126" s="140"/>
      <c r="KWU126" s="140"/>
      <c r="KWV126" s="140"/>
      <c r="KWW126" s="140"/>
      <c r="KWX126" s="140"/>
      <c r="KWY126" s="140"/>
      <c r="KWZ126" s="140"/>
      <c r="KXA126" s="140"/>
      <c r="KXB126" s="140"/>
      <c r="KXC126" s="140"/>
      <c r="KXD126" s="140"/>
      <c r="KXE126" s="140"/>
      <c r="KXF126" s="140"/>
      <c r="KXG126" s="140"/>
      <c r="KXH126" s="140"/>
      <c r="KXI126" s="140"/>
      <c r="KXJ126" s="140"/>
      <c r="KXK126" s="140"/>
      <c r="KXL126" s="140"/>
      <c r="KXM126" s="140"/>
      <c r="KXN126" s="140"/>
      <c r="KXO126" s="140"/>
      <c r="KXP126" s="140"/>
      <c r="KXQ126" s="140"/>
      <c r="KXR126" s="140"/>
      <c r="KXS126" s="140"/>
      <c r="KXT126" s="140"/>
      <c r="KXU126" s="140"/>
      <c r="KXV126" s="140"/>
      <c r="KXW126" s="140"/>
      <c r="KXX126" s="140"/>
      <c r="KXY126" s="140"/>
      <c r="KXZ126" s="140"/>
      <c r="KYA126" s="140"/>
      <c r="KYB126" s="140"/>
      <c r="KYC126" s="140"/>
      <c r="KYD126" s="140"/>
      <c r="KYE126" s="140"/>
      <c r="KYF126" s="140"/>
      <c r="KYG126" s="140"/>
      <c r="KYH126" s="140"/>
      <c r="KYI126" s="140"/>
      <c r="KYJ126" s="140"/>
      <c r="KYK126" s="140"/>
      <c r="KYL126" s="140"/>
      <c r="KYM126" s="140"/>
      <c r="KYN126" s="140"/>
      <c r="KYO126" s="140"/>
      <c r="KYP126" s="140"/>
      <c r="KYQ126" s="140"/>
      <c r="KYR126" s="140"/>
      <c r="KYS126" s="140"/>
      <c r="KYT126" s="140"/>
      <c r="KYU126" s="140"/>
      <c r="KYV126" s="140"/>
      <c r="KYW126" s="140"/>
      <c r="KYX126" s="140"/>
      <c r="KYY126" s="140"/>
      <c r="KYZ126" s="140"/>
      <c r="KZA126" s="140"/>
      <c r="KZB126" s="140"/>
      <c r="KZC126" s="140"/>
      <c r="KZD126" s="140"/>
      <c r="KZE126" s="140"/>
      <c r="KZF126" s="140"/>
      <c r="KZG126" s="140"/>
      <c r="KZH126" s="140"/>
      <c r="KZI126" s="140"/>
      <c r="KZJ126" s="140"/>
      <c r="KZK126" s="140"/>
      <c r="KZL126" s="140"/>
      <c r="KZM126" s="140"/>
      <c r="KZN126" s="140"/>
      <c r="KZO126" s="140"/>
      <c r="KZP126" s="140"/>
      <c r="KZQ126" s="140"/>
      <c r="KZR126" s="140"/>
      <c r="KZS126" s="140"/>
      <c r="KZT126" s="140"/>
      <c r="KZU126" s="140"/>
      <c r="KZV126" s="140"/>
      <c r="KZW126" s="140"/>
      <c r="KZX126" s="140"/>
      <c r="KZY126" s="140"/>
      <c r="KZZ126" s="140"/>
      <c r="LAA126" s="140"/>
      <c r="LAB126" s="140"/>
      <c r="LAC126" s="140"/>
      <c r="LAD126" s="140"/>
      <c r="LAE126" s="140"/>
      <c r="LAF126" s="140"/>
      <c r="LAG126" s="140"/>
      <c r="LAH126" s="140"/>
      <c r="LAI126" s="140"/>
      <c r="LAJ126" s="140"/>
      <c r="LAK126" s="140"/>
      <c r="LAL126" s="140"/>
      <c r="LAM126" s="140"/>
      <c r="LAN126" s="140"/>
      <c r="LAO126" s="140"/>
      <c r="LAP126" s="140"/>
      <c r="LAQ126" s="140"/>
      <c r="LAR126" s="140"/>
      <c r="LAS126" s="140"/>
      <c r="LAT126" s="140"/>
      <c r="LAU126" s="140"/>
      <c r="LAV126" s="140"/>
      <c r="LAW126" s="140"/>
      <c r="LAX126" s="140"/>
      <c r="LAY126" s="140"/>
      <c r="LAZ126" s="140"/>
      <c r="LBA126" s="140"/>
      <c r="LBB126" s="140"/>
      <c r="LBC126" s="140"/>
      <c r="LBD126" s="140"/>
      <c r="LBE126" s="140"/>
      <c r="LBF126" s="140"/>
      <c r="LBG126" s="140"/>
      <c r="LBH126" s="140"/>
      <c r="LBI126" s="140"/>
      <c r="LBJ126" s="140"/>
      <c r="LBK126" s="140"/>
      <c r="LBL126" s="140"/>
      <c r="LBM126" s="140"/>
      <c r="LBN126" s="140"/>
      <c r="LBO126" s="140"/>
      <c r="LBP126" s="140"/>
      <c r="LBQ126" s="140"/>
      <c r="LBR126" s="140"/>
      <c r="LBS126" s="140"/>
      <c r="LBT126" s="140"/>
      <c r="LBU126" s="140"/>
      <c r="LBV126" s="140"/>
      <c r="LBW126" s="140"/>
      <c r="LBX126" s="140"/>
      <c r="LBY126" s="140"/>
      <c r="LBZ126" s="140"/>
      <c r="LCA126" s="140"/>
      <c r="LCB126" s="140"/>
      <c r="LCC126" s="140"/>
      <c r="LCD126" s="140"/>
      <c r="LCE126" s="140"/>
      <c r="LCF126" s="140"/>
      <c r="LCG126" s="140"/>
      <c r="LCH126" s="140"/>
      <c r="LCI126" s="140"/>
      <c r="LCJ126" s="140"/>
      <c r="LCK126" s="140"/>
      <c r="LCL126" s="140"/>
      <c r="LCM126" s="140"/>
      <c r="LCN126" s="140"/>
      <c r="LCO126" s="140"/>
      <c r="LCP126" s="140"/>
      <c r="LCQ126" s="140"/>
      <c r="LCR126" s="140"/>
      <c r="LCS126" s="140"/>
      <c r="LCT126" s="140"/>
      <c r="LCU126" s="140"/>
      <c r="LCV126" s="140"/>
      <c r="LCW126" s="140"/>
      <c r="LCX126" s="140"/>
      <c r="LCY126" s="140"/>
      <c r="LCZ126" s="140"/>
      <c r="LDA126" s="140"/>
      <c r="LDB126" s="140"/>
      <c r="LDC126" s="140"/>
      <c r="LDD126" s="140"/>
      <c r="LDE126" s="140"/>
      <c r="LDF126" s="140"/>
      <c r="LDG126" s="140"/>
      <c r="LDH126" s="140"/>
      <c r="LDI126" s="140"/>
      <c r="LDJ126" s="140"/>
      <c r="LDK126" s="140"/>
      <c r="LDL126" s="140"/>
      <c r="LDM126" s="140"/>
      <c r="LDN126" s="140"/>
      <c r="LDO126" s="140"/>
      <c r="LDP126" s="140"/>
      <c r="LDQ126" s="140"/>
      <c r="LDR126" s="140"/>
      <c r="LDS126" s="140"/>
      <c r="LDT126" s="140"/>
      <c r="LDU126" s="140"/>
      <c r="LDV126" s="140"/>
      <c r="LDW126" s="140"/>
      <c r="LDX126" s="140"/>
      <c r="LDY126" s="140"/>
      <c r="LDZ126" s="140"/>
      <c r="LEA126" s="140"/>
      <c r="LEB126" s="140"/>
      <c r="LEC126" s="140"/>
      <c r="LED126" s="140"/>
      <c r="LEE126" s="140"/>
      <c r="LEF126" s="140"/>
      <c r="LEG126" s="140"/>
      <c r="LEH126" s="140"/>
      <c r="LEI126" s="140"/>
      <c r="LEJ126" s="140"/>
      <c r="LEK126" s="140"/>
      <c r="LEL126" s="140"/>
      <c r="LEM126" s="140"/>
      <c r="LEN126" s="140"/>
      <c r="LEO126" s="140"/>
      <c r="LEP126" s="140"/>
      <c r="LEQ126" s="140"/>
      <c r="LER126" s="140"/>
      <c r="LES126" s="140"/>
      <c r="LET126" s="140"/>
      <c r="LEU126" s="140"/>
      <c r="LEV126" s="140"/>
      <c r="LEW126" s="140"/>
      <c r="LEX126" s="140"/>
      <c r="LEY126" s="140"/>
      <c r="LEZ126" s="140"/>
      <c r="LFA126" s="140"/>
      <c r="LFB126" s="140"/>
      <c r="LFC126" s="140"/>
      <c r="LFD126" s="140"/>
      <c r="LFE126" s="140"/>
      <c r="LFF126" s="140"/>
      <c r="LFG126" s="140"/>
      <c r="LFH126" s="140"/>
      <c r="LFI126" s="140"/>
      <c r="LFJ126" s="140"/>
      <c r="LFK126" s="140"/>
      <c r="LFL126" s="140"/>
      <c r="LFM126" s="140"/>
      <c r="LFN126" s="140"/>
      <c r="LFO126" s="140"/>
      <c r="LFP126" s="140"/>
      <c r="LFQ126" s="140"/>
      <c r="LFR126" s="140"/>
      <c r="LFS126" s="140"/>
      <c r="LFT126" s="140"/>
      <c r="LFU126" s="140"/>
      <c r="LFV126" s="140"/>
      <c r="LFW126" s="140"/>
      <c r="LFX126" s="140"/>
      <c r="LFY126" s="140"/>
      <c r="LFZ126" s="140"/>
      <c r="LGA126" s="140"/>
      <c r="LGB126" s="140"/>
      <c r="LGC126" s="140"/>
      <c r="LGD126" s="140"/>
      <c r="LGE126" s="140"/>
      <c r="LGF126" s="140"/>
      <c r="LGG126" s="140"/>
      <c r="LGH126" s="140"/>
      <c r="LGI126" s="140"/>
      <c r="LGJ126" s="140"/>
      <c r="LGK126" s="140"/>
      <c r="LGL126" s="140"/>
      <c r="LGM126" s="140"/>
      <c r="LGN126" s="140"/>
      <c r="LGO126" s="140"/>
      <c r="LGP126" s="140"/>
      <c r="LGQ126" s="140"/>
      <c r="LGR126" s="140"/>
      <c r="LGS126" s="140"/>
      <c r="LGT126" s="140"/>
      <c r="LGU126" s="140"/>
      <c r="LGV126" s="140"/>
      <c r="LGW126" s="140"/>
      <c r="LGX126" s="140"/>
      <c r="LGY126" s="140"/>
      <c r="LGZ126" s="140"/>
      <c r="LHA126" s="140"/>
      <c r="LHB126" s="140"/>
      <c r="LHC126" s="140"/>
      <c r="LHD126" s="140"/>
      <c r="LHE126" s="140"/>
      <c r="LHF126" s="140"/>
      <c r="LHG126" s="140"/>
      <c r="LHH126" s="140"/>
      <c r="LHI126" s="140"/>
      <c r="LHJ126" s="140"/>
      <c r="LHK126" s="140"/>
      <c r="LHL126" s="140"/>
      <c r="LHM126" s="140"/>
      <c r="LHN126" s="140"/>
      <c r="LHO126" s="140"/>
      <c r="LHP126" s="140"/>
      <c r="LHQ126" s="140"/>
      <c r="LHR126" s="140"/>
      <c r="LHS126" s="140"/>
      <c r="LHT126" s="140"/>
      <c r="LHU126" s="140"/>
      <c r="LHV126" s="140"/>
      <c r="LHW126" s="140"/>
      <c r="LHX126" s="140"/>
      <c r="LHY126" s="140"/>
      <c r="LHZ126" s="140"/>
      <c r="LIA126" s="140"/>
      <c r="LIB126" s="140"/>
      <c r="LIC126" s="140"/>
      <c r="LID126" s="140"/>
      <c r="LIE126" s="140"/>
      <c r="LIF126" s="140"/>
      <c r="LIG126" s="140"/>
      <c r="LIH126" s="140"/>
      <c r="LII126" s="140"/>
      <c r="LIJ126" s="140"/>
      <c r="LIK126" s="140"/>
      <c r="LIL126" s="140"/>
      <c r="LIM126" s="140"/>
      <c r="LIN126" s="140"/>
      <c r="LIO126" s="140"/>
      <c r="LIP126" s="140"/>
      <c r="LIQ126" s="140"/>
      <c r="LIR126" s="140"/>
      <c r="LIS126" s="140"/>
      <c r="LIT126" s="140"/>
      <c r="LIU126" s="140"/>
      <c r="LIV126" s="140"/>
      <c r="LIW126" s="140"/>
      <c r="LIX126" s="140"/>
      <c r="LIY126" s="140"/>
      <c r="LIZ126" s="140"/>
      <c r="LJA126" s="140"/>
      <c r="LJB126" s="140"/>
      <c r="LJC126" s="140"/>
      <c r="LJD126" s="140"/>
      <c r="LJE126" s="140"/>
      <c r="LJF126" s="140"/>
      <c r="LJG126" s="140"/>
      <c r="LJH126" s="140"/>
      <c r="LJI126" s="140"/>
      <c r="LJJ126" s="140"/>
      <c r="LJK126" s="140"/>
      <c r="LJL126" s="140"/>
      <c r="LJM126" s="140"/>
      <c r="LJN126" s="140"/>
      <c r="LJO126" s="140"/>
      <c r="LJP126" s="140"/>
      <c r="LJQ126" s="140"/>
      <c r="LJR126" s="140"/>
      <c r="LJS126" s="140"/>
      <c r="LJT126" s="140"/>
      <c r="LJU126" s="140"/>
      <c r="LJV126" s="140"/>
      <c r="LJW126" s="140"/>
      <c r="LJX126" s="140"/>
      <c r="LJY126" s="140"/>
      <c r="LJZ126" s="140"/>
      <c r="LKA126" s="140"/>
      <c r="LKB126" s="140"/>
      <c r="LKC126" s="140"/>
      <c r="LKD126" s="140"/>
      <c r="LKE126" s="140"/>
      <c r="LKF126" s="140"/>
      <c r="LKG126" s="140"/>
      <c r="LKH126" s="140"/>
      <c r="LKI126" s="140"/>
      <c r="LKJ126" s="140"/>
      <c r="LKK126" s="140"/>
      <c r="LKL126" s="140"/>
      <c r="LKM126" s="140"/>
      <c r="LKN126" s="140"/>
      <c r="LKO126" s="140"/>
      <c r="LKP126" s="140"/>
      <c r="LKQ126" s="140"/>
      <c r="LKR126" s="140"/>
      <c r="LKS126" s="140"/>
      <c r="LKT126" s="140"/>
      <c r="LKU126" s="140"/>
      <c r="LKV126" s="140"/>
      <c r="LKW126" s="140"/>
      <c r="LKX126" s="140"/>
      <c r="LKY126" s="140"/>
      <c r="LKZ126" s="140"/>
      <c r="LLA126" s="140"/>
      <c r="LLB126" s="140"/>
      <c r="LLC126" s="140"/>
      <c r="LLD126" s="140"/>
      <c r="LLE126" s="140"/>
      <c r="LLF126" s="140"/>
      <c r="LLG126" s="140"/>
      <c r="LLH126" s="140"/>
      <c r="LLI126" s="140"/>
      <c r="LLJ126" s="140"/>
      <c r="LLK126" s="140"/>
      <c r="LLL126" s="140"/>
      <c r="LLM126" s="140"/>
      <c r="LLN126" s="140"/>
      <c r="LLO126" s="140"/>
      <c r="LLP126" s="140"/>
      <c r="LLQ126" s="140"/>
      <c r="LLR126" s="140"/>
      <c r="LLS126" s="140"/>
      <c r="LLT126" s="140"/>
      <c r="LLU126" s="140"/>
      <c r="LLV126" s="140"/>
      <c r="LLW126" s="140"/>
      <c r="LLX126" s="140"/>
      <c r="LLY126" s="140"/>
      <c r="LLZ126" s="140"/>
      <c r="LMA126" s="140"/>
      <c r="LMB126" s="140"/>
      <c r="LMC126" s="140"/>
      <c r="LMD126" s="140"/>
      <c r="LME126" s="140"/>
      <c r="LMF126" s="140"/>
      <c r="LMG126" s="140"/>
      <c r="LMH126" s="140"/>
      <c r="LMI126" s="140"/>
      <c r="LMJ126" s="140"/>
      <c r="LMK126" s="140"/>
      <c r="LML126" s="140"/>
      <c r="LMM126" s="140"/>
      <c r="LMN126" s="140"/>
      <c r="LMO126" s="140"/>
      <c r="LMP126" s="140"/>
      <c r="LMQ126" s="140"/>
      <c r="LMR126" s="140"/>
      <c r="LMS126" s="140"/>
      <c r="LMT126" s="140"/>
      <c r="LMU126" s="140"/>
      <c r="LMV126" s="140"/>
      <c r="LMW126" s="140"/>
      <c r="LMX126" s="140"/>
      <c r="LMY126" s="140"/>
      <c r="LMZ126" s="140"/>
      <c r="LNA126" s="140"/>
      <c r="LNB126" s="140"/>
      <c r="LNC126" s="140"/>
      <c r="LND126" s="140"/>
      <c r="LNE126" s="140"/>
      <c r="LNF126" s="140"/>
      <c r="LNG126" s="140"/>
      <c r="LNH126" s="140"/>
      <c r="LNI126" s="140"/>
      <c r="LNJ126" s="140"/>
      <c r="LNK126" s="140"/>
      <c r="LNL126" s="140"/>
      <c r="LNM126" s="140"/>
      <c r="LNN126" s="140"/>
      <c r="LNO126" s="140"/>
      <c r="LNP126" s="140"/>
      <c r="LNQ126" s="140"/>
      <c r="LNR126" s="140"/>
      <c r="LNS126" s="140"/>
      <c r="LNT126" s="140"/>
      <c r="LNU126" s="140"/>
      <c r="LNV126" s="140"/>
      <c r="LNW126" s="140"/>
      <c r="LNX126" s="140"/>
      <c r="LNY126" s="140"/>
      <c r="LNZ126" s="140"/>
      <c r="LOA126" s="140"/>
      <c r="LOB126" s="140"/>
      <c r="LOC126" s="140"/>
      <c r="LOD126" s="140"/>
      <c r="LOE126" s="140"/>
      <c r="LOF126" s="140"/>
      <c r="LOG126" s="140"/>
      <c r="LOH126" s="140"/>
      <c r="LOI126" s="140"/>
      <c r="LOJ126" s="140"/>
      <c r="LOK126" s="140"/>
      <c r="LOL126" s="140"/>
      <c r="LOM126" s="140"/>
      <c r="LON126" s="140"/>
      <c r="LOO126" s="140"/>
      <c r="LOP126" s="140"/>
      <c r="LOQ126" s="140"/>
      <c r="LOR126" s="140"/>
      <c r="LOS126" s="140"/>
      <c r="LOT126" s="140"/>
      <c r="LOU126" s="140"/>
      <c r="LOV126" s="140"/>
      <c r="LOW126" s="140"/>
      <c r="LOX126" s="140"/>
      <c r="LOY126" s="140"/>
      <c r="LOZ126" s="140"/>
      <c r="LPA126" s="140"/>
      <c r="LPB126" s="140"/>
      <c r="LPC126" s="140"/>
      <c r="LPD126" s="140"/>
      <c r="LPE126" s="140"/>
      <c r="LPF126" s="140"/>
      <c r="LPG126" s="140"/>
      <c r="LPH126" s="140"/>
      <c r="LPI126" s="140"/>
      <c r="LPJ126" s="140"/>
      <c r="LPK126" s="140"/>
      <c r="LPL126" s="140"/>
      <c r="LPM126" s="140"/>
      <c r="LPN126" s="140"/>
      <c r="LPO126" s="140"/>
      <c r="LPP126" s="140"/>
      <c r="LPQ126" s="140"/>
      <c r="LPR126" s="140"/>
      <c r="LPS126" s="140"/>
      <c r="LPT126" s="140"/>
      <c r="LPU126" s="140"/>
      <c r="LPV126" s="140"/>
      <c r="LPW126" s="140"/>
      <c r="LPX126" s="140"/>
      <c r="LPY126" s="140"/>
      <c r="LPZ126" s="140"/>
      <c r="LQA126" s="140"/>
      <c r="LQB126" s="140"/>
      <c r="LQC126" s="140"/>
      <c r="LQD126" s="140"/>
      <c r="LQE126" s="140"/>
      <c r="LQF126" s="140"/>
      <c r="LQG126" s="140"/>
      <c r="LQH126" s="140"/>
      <c r="LQI126" s="140"/>
      <c r="LQJ126" s="140"/>
      <c r="LQK126" s="140"/>
      <c r="LQL126" s="140"/>
      <c r="LQM126" s="140"/>
      <c r="LQN126" s="140"/>
      <c r="LQO126" s="140"/>
      <c r="LQP126" s="140"/>
      <c r="LQQ126" s="140"/>
      <c r="LQR126" s="140"/>
      <c r="LQS126" s="140"/>
      <c r="LQT126" s="140"/>
      <c r="LQU126" s="140"/>
      <c r="LQV126" s="140"/>
      <c r="LQW126" s="140"/>
      <c r="LQX126" s="140"/>
      <c r="LQY126" s="140"/>
      <c r="LQZ126" s="140"/>
      <c r="LRA126" s="140"/>
      <c r="LRB126" s="140"/>
      <c r="LRC126" s="140"/>
      <c r="LRD126" s="140"/>
      <c r="LRE126" s="140"/>
      <c r="LRF126" s="140"/>
      <c r="LRG126" s="140"/>
      <c r="LRH126" s="140"/>
      <c r="LRI126" s="140"/>
      <c r="LRJ126" s="140"/>
      <c r="LRK126" s="140"/>
      <c r="LRL126" s="140"/>
      <c r="LRM126" s="140"/>
      <c r="LRN126" s="140"/>
      <c r="LRO126" s="140"/>
      <c r="LRP126" s="140"/>
      <c r="LRQ126" s="140"/>
      <c r="LRR126" s="140"/>
      <c r="LRS126" s="140"/>
      <c r="LRT126" s="140"/>
      <c r="LRU126" s="140"/>
      <c r="LRV126" s="140"/>
      <c r="LRW126" s="140"/>
      <c r="LRX126" s="140"/>
      <c r="LRY126" s="140"/>
      <c r="LRZ126" s="140"/>
      <c r="LSA126" s="140"/>
      <c r="LSB126" s="140"/>
      <c r="LSC126" s="140"/>
      <c r="LSD126" s="140"/>
      <c r="LSE126" s="140"/>
      <c r="LSF126" s="140"/>
      <c r="LSG126" s="140"/>
      <c r="LSH126" s="140"/>
      <c r="LSI126" s="140"/>
      <c r="LSJ126" s="140"/>
      <c r="LSK126" s="140"/>
      <c r="LSL126" s="140"/>
      <c r="LSM126" s="140"/>
      <c r="LSN126" s="140"/>
      <c r="LSO126" s="140"/>
      <c r="LSP126" s="140"/>
      <c r="LSQ126" s="140"/>
      <c r="LSR126" s="140"/>
      <c r="LSS126" s="140"/>
      <c r="LST126" s="140"/>
      <c r="LSU126" s="140"/>
      <c r="LSV126" s="140"/>
      <c r="LSW126" s="140"/>
      <c r="LSX126" s="140"/>
      <c r="LSY126" s="140"/>
      <c r="LSZ126" s="140"/>
      <c r="LTA126" s="140"/>
      <c r="LTB126" s="140"/>
      <c r="LTC126" s="140"/>
      <c r="LTD126" s="140"/>
      <c r="LTE126" s="140"/>
      <c r="LTF126" s="140"/>
      <c r="LTG126" s="140"/>
      <c r="LTH126" s="140"/>
      <c r="LTI126" s="140"/>
      <c r="LTJ126" s="140"/>
      <c r="LTK126" s="140"/>
      <c r="LTL126" s="140"/>
      <c r="LTM126" s="140"/>
      <c r="LTN126" s="140"/>
      <c r="LTO126" s="140"/>
      <c r="LTP126" s="140"/>
      <c r="LTQ126" s="140"/>
      <c r="LTR126" s="140"/>
      <c r="LTS126" s="140"/>
      <c r="LTT126" s="140"/>
      <c r="LTU126" s="140"/>
      <c r="LTV126" s="140"/>
      <c r="LTW126" s="140"/>
      <c r="LTX126" s="140"/>
      <c r="LTY126" s="140"/>
      <c r="LTZ126" s="140"/>
      <c r="LUA126" s="140"/>
      <c r="LUB126" s="140"/>
      <c r="LUC126" s="140"/>
      <c r="LUD126" s="140"/>
      <c r="LUE126" s="140"/>
      <c r="LUF126" s="140"/>
      <c r="LUG126" s="140"/>
      <c r="LUH126" s="140"/>
      <c r="LUI126" s="140"/>
      <c r="LUJ126" s="140"/>
      <c r="LUK126" s="140"/>
      <c r="LUL126" s="140"/>
      <c r="LUM126" s="140"/>
      <c r="LUN126" s="140"/>
      <c r="LUO126" s="140"/>
      <c r="LUP126" s="140"/>
      <c r="LUQ126" s="140"/>
      <c r="LUR126" s="140"/>
      <c r="LUS126" s="140"/>
      <c r="LUT126" s="140"/>
      <c r="LUU126" s="140"/>
      <c r="LUV126" s="140"/>
      <c r="LUW126" s="140"/>
      <c r="LUX126" s="140"/>
      <c r="LUY126" s="140"/>
      <c r="LUZ126" s="140"/>
      <c r="LVA126" s="140"/>
      <c r="LVB126" s="140"/>
      <c r="LVC126" s="140"/>
      <c r="LVD126" s="140"/>
      <c r="LVE126" s="140"/>
      <c r="LVF126" s="140"/>
      <c r="LVG126" s="140"/>
      <c r="LVH126" s="140"/>
      <c r="LVI126" s="140"/>
      <c r="LVJ126" s="140"/>
      <c r="LVK126" s="140"/>
      <c r="LVL126" s="140"/>
      <c r="LVM126" s="140"/>
      <c r="LVN126" s="140"/>
      <c r="LVO126" s="140"/>
      <c r="LVP126" s="140"/>
      <c r="LVQ126" s="140"/>
      <c r="LVR126" s="140"/>
      <c r="LVS126" s="140"/>
      <c r="LVT126" s="140"/>
      <c r="LVU126" s="140"/>
      <c r="LVV126" s="140"/>
      <c r="LVW126" s="140"/>
      <c r="LVX126" s="140"/>
      <c r="LVY126" s="140"/>
      <c r="LVZ126" s="140"/>
      <c r="LWA126" s="140"/>
      <c r="LWB126" s="140"/>
      <c r="LWC126" s="140"/>
      <c r="LWD126" s="140"/>
      <c r="LWE126" s="140"/>
      <c r="LWF126" s="140"/>
      <c r="LWG126" s="140"/>
      <c r="LWH126" s="140"/>
      <c r="LWI126" s="140"/>
      <c r="LWJ126" s="140"/>
      <c r="LWK126" s="140"/>
      <c r="LWL126" s="140"/>
      <c r="LWM126" s="140"/>
      <c r="LWN126" s="140"/>
      <c r="LWO126" s="140"/>
      <c r="LWP126" s="140"/>
      <c r="LWQ126" s="140"/>
      <c r="LWR126" s="140"/>
      <c r="LWS126" s="140"/>
      <c r="LWT126" s="140"/>
      <c r="LWU126" s="140"/>
      <c r="LWV126" s="140"/>
      <c r="LWW126" s="140"/>
      <c r="LWX126" s="140"/>
      <c r="LWY126" s="140"/>
      <c r="LWZ126" s="140"/>
      <c r="LXA126" s="140"/>
      <c r="LXB126" s="140"/>
      <c r="LXC126" s="140"/>
      <c r="LXD126" s="140"/>
      <c r="LXE126" s="140"/>
      <c r="LXF126" s="140"/>
      <c r="LXG126" s="140"/>
      <c r="LXH126" s="140"/>
      <c r="LXI126" s="140"/>
      <c r="LXJ126" s="140"/>
      <c r="LXK126" s="140"/>
      <c r="LXL126" s="140"/>
      <c r="LXM126" s="140"/>
      <c r="LXN126" s="140"/>
      <c r="LXO126" s="140"/>
      <c r="LXP126" s="140"/>
      <c r="LXQ126" s="140"/>
      <c r="LXR126" s="140"/>
      <c r="LXS126" s="140"/>
      <c r="LXT126" s="140"/>
      <c r="LXU126" s="140"/>
      <c r="LXV126" s="140"/>
      <c r="LXW126" s="140"/>
      <c r="LXX126" s="140"/>
      <c r="LXY126" s="140"/>
      <c r="LXZ126" s="140"/>
      <c r="LYA126" s="140"/>
      <c r="LYB126" s="140"/>
      <c r="LYC126" s="140"/>
      <c r="LYD126" s="140"/>
      <c r="LYE126" s="140"/>
      <c r="LYF126" s="140"/>
      <c r="LYG126" s="140"/>
      <c r="LYH126" s="140"/>
      <c r="LYI126" s="140"/>
      <c r="LYJ126" s="140"/>
      <c r="LYK126" s="140"/>
      <c r="LYL126" s="140"/>
      <c r="LYM126" s="140"/>
      <c r="LYN126" s="140"/>
      <c r="LYO126" s="140"/>
      <c r="LYP126" s="140"/>
      <c r="LYQ126" s="140"/>
      <c r="LYR126" s="140"/>
      <c r="LYS126" s="140"/>
      <c r="LYT126" s="140"/>
      <c r="LYU126" s="140"/>
      <c r="LYV126" s="140"/>
      <c r="LYW126" s="140"/>
      <c r="LYX126" s="140"/>
      <c r="LYY126" s="140"/>
      <c r="LYZ126" s="140"/>
      <c r="LZA126" s="140"/>
      <c r="LZB126" s="140"/>
      <c r="LZC126" s="140"/>
      <c r="LZD126" s="140"/>
      <c r="LZE126" s="140"/>
      <c r="LZF126" s="140"/>
      <c r="LZG126" s="140"/>
      <c r="LZH126" s="140"/>
      <c r="LZI126" s="140"/>
      <c r="LZJ126" s="140"/>
      <c r="LZK126" s="140"/>
      <c r="LZL126" s="140"/>
      <c r="LZM126" s="140"/>
      <c r="LZN126" s="140"/>
      <c r="LZO126" s="140"/>
      <c r="LZP126" s="140"/>
      <c r="LZQ126" s="140"/>
      <c r="LZR126" s="140"/>
      <c r="LZS126" s="140"/>
      <c r="LZT126" s="140"/>
      <c r="LZU126" s="140"/>
      <c r="LZV126" s="140"/>
      <c r="LZW126" s="140"/>
      <c r="LZX126" s="140"/>
      <c r="LZY126" s="140"/>
      <c r="LZZ126" s="140"/>
      <c r="MAA126" s="140"/>
      <c r="MAB126" s="140"/>
      <c r="MAC126" s="140"/>
      <c r="MAD126" s="140"/>
      <c r="MAE126" s="140"/>
      <c r="MAF126" s="140"/>
      <c r="MAG126" s="140"/>
      <c r="MAH126" s="140"/>
      <c r="MAI126" s="140"/>
      <c r="MAJ126" s="140"/>
      <c r="MAK126" s="140"/>
      <c r="MAL126" s="140"/>
      <c r="MAM126" s="140"/>
      <c r="MAN126" s="140"/>
      <c r="MAO126" s="140"/>
      <c r="MAP126" s="140"/>
      <c r="MAQ126" s="140"/>
      <c r="MAR126" s="140"/>
      <c r="MAS126" s="140"/>
      <c r="MAT126" s="140"/>
      <c r="MAU126" s="140"/>
      <c r="MAV126" s="140"/>
      <c r="MAW126" s="140"/>
      <c r="MAX126" s="140"/>
      <c r="MAY126" s="140"/>
      <c r="MAZ126" s="140"/>
      <c r="MBA126" s="140"/>
      <c r="MBB126" s="140"/>
      <c r="MBC126" s="140"/>
      <c r="MBD126" s="140"/>
      <c r="MBE126" s="140"/>
      <c r="MBF126" s="140"/>
      <c r="MBG126" s="140"/>
      <c r="MBH126" s="140"/>
      <c r="MBI126" s="140"/>
      <c r="MBJ126" s="140"/>
      <c r="MBK126" s="140"/>
      <c r="MBL126" s="140"/>
      <c r="MBM126" s="140"/>
      <c r="MBN126" s="140"/>
      <c r="MBO126" s="140"/>
      <c r="MBP126" s="140"/>
      <c r="MBQ126" s="140"/>
      <c r="MBR126" s="140"/>
      <c r="MBS126" s="140"/>
      <c r="MBT126" s="140"/>
      <c r="MBU126" s="140"/>
      <c r="MBV126" s="140"/>
      <c r="MBW126" s="140"/>
      <c r="MBX126" s="140"/>
      <c r="MBY126" s="140"/>
      <c r="MBZ126" s="140"/>
      <c r="MCA126" s="140"/>
      <c r="MCB126" s="140"/>
      <c r="MCC126" s="140"/>
      <c r="MCD126" s="140"/>
      <c r="MCE126" s="140"/>
      <c r="MCF126" s="140"/>
      <c r="MCG126" s="140"/>
      <c r="MCH126" s="140"/>
      <c r="MCI126" s="140"/>
      <c r="MCJ126" s="140"/>
      <c r="MCK126" s="140"/>
      <c r="MCL126" s="140"/>
      <c r="MCM126" s="140"/>
      <c r="MCN126" s="140"/>
      <c r="MCO126" s="140"/>
      <c r="MCP126" s="140"/>
      <c r="MCQ126" s="140"/>
      <c r="MCR126" s="140"/>
      <c r="MCS126" s="140"/>
      <c r="MCT126" s="140"/>
      <c r="MCU126" s="140"/>
      <c r="MCV126" s="140"/>
      <c r="MCW126" s="140"/>
      <c r="MCX126" s="140"/>
      <c r="MCY126" s="140"/>
      <c r="MCZ126" s="140"/>
      <c r="MDA126" s="140"/>
      <c r="MDB126" s="140"/>
      <c r="MDC126" s="140"/>
      <c r="MDD126" s="140"/>
      <c r="MDE126" s="140"/>
      <c r="MDF126" s="140"/>
      <c r="MDG126" s="140"/>
      <c r="MDH126" s="140"/>
      <c r="MDI126" s="140"/>
      <c r="MDJ126" s="140"/>
      <c r="MDK126" s="140"/>
      <c r="MDL126" s="140"/>
      <c r="MDM126" s="140"/>
      <c r="MDN126" s="140"/>
      <c r="MDO126" s="140"/>
      <c r="MDP126" s="140"/>
      <c r="MDQ126" s="140"/>
      <c r="MDR126" s="140"/>
      <c r="MDS126" s="140"/>
      <c r="MDT126" s="140"/>
      <c r="MDU126" s="140"/>
      <c r="MDV126" s="140"/>
      <c r="MDW126" s="140"/>
      <c r="MDX126" s="140"/>
      <c r="MDY126" s="140"/>
      <c r="MDZ126" s="140"/>
      <c r="MEA126" s="140"/>
      <c r="MEB126" s="140"/>
      <c r="MEC126" s="140"/>
      <c r="MED126" s="140"/>
      <c r="MEE126" s="140"/>
      <c r="MEF126" s="140"/>
      <c r="MEG126" s="140"/>
      <c r="MEH126" s="140"/>
      <c r="MEI126" s="140"/>
      <c r="MEJ126" s="140"/>
      <c r="MEK126" s="140"/>
      <c r="MEL126" s="140"/>
      <c r="MEM126" s="140"/>
      <c r="MEN126" s="140"/>
      <c r="MEO126" s="140"/>
      <c r="MEP126" s="140"/>
      <c r="MEQ126" s="140"/>
      <c r="MER126" s="140"/>
      <c r="MES126" s="140"/>
      <c r="MET126" s="140"/>
      <c r="MEU126" s="140"/>
      <c r="MEV126" s="140"/>
      <c r="MEW126" s="140"/>
      <c r="MEX126" s="140"/>
      <c r="MEY126" s="140"/>
      <c r="MEZ126" s="140"/>
      <c r="MFA126" s="140"/>
      <c r="MFB126" s="140"/>
      <c r="MFC126" s="140"/>
      <c r="MFD126" s="140"/>
      <c r="MFE126" s="140"/>
      <c r="MFF126" s="140"/>
      <c r="MFG126" s="140"/>
      <c r="MFH126" s="140"/>
      <c r="MFI126" s="140"/>
      <c r="MFJ126" s="140"/>
      <c r="MFK126" s="140"/>
      <c r="MFL126" s="140"/>
      <c r="MFM126" s="140"/>
      <c r="MFN126" s="140"/>
      <c r="MFO126" s="140"/>
      <c r="MFP126" s="140"/>
      <c r="MFQ126" s="140"/>
      <c r="MFR126" s="140"/>
      <c r="MFS126" s="140"/>
      <c r="MFT126" s="140"/>
      <c r="MFU126" s="140"/>
      <c r="MFV126" s="140"/>
      <c r="MFW126" s="140"/>
      <c r="MFX126" s="140"/>
      <c r="MFY126" s="140"/>
      <c r="MFZ126" s="140"/>
      <c r="MGA126" s="140"/>
      <c r="MGB126" s="140"/>
      <c r="MGC126" s="140"/>
      <c r="MGD126" s="140"/>
      <c r="MGE126" s="140"/>
      <c r="MGF126" s="140"/>
      <c r="MGG126" s="140"/>
      <c r="MGH126" s="140"/>
      <c r="MGI126" s="140"/>
      <c r="MGJ126" s="140"/>
      <c r="MGK126" s="140"/>
      <c r="MGL126" s="140"/>
      <c r="MGM126" s="140"/>
      <c r="MGN126" s="140"/>
      <c r="MGO126" s="140"/>
      <c r="MGP126" s="140"/>
      <c r="MGQ126" s="140"/>
      <c r="MGR126" s="140"/>
      <c r="MGS126" s="140"/>
      <c r="MGT126" s="140"/>
      <c r="MGU126" s="140"/>
      <c r="MGV126" s="140"/>
      <c r="MGW126" s="140"/>
      <c r="MGX126" s="140"/>
      <c r="MGY126" s="140"/>
      <c r="MGZ126" s="140"/>
      <c r="MHA126" s="140"/>
      <c r="MHB126" s="140"/>
      <c r="MHC126" s="140"/>
      <c r="MHD126" s="140"/>
      <c r="MHE126" s="140"/>
      <c r="MHF126" s="140"/>
      <c r="MHG126" s="140"/>
      <c r="MHH126" s="140"/>
      <c r="MHI126" s="140"/>
      <c r="MHJ126" s="140"/>
      <c r="MHK126" s="140"/>
      <c r="MHL126" s="140"/>
      <c r="MHM126" s="140"/>
      <c r="MHN126" s="140"/>
      <c r="MHO126" s="140"/>
      <c r="MHP126" s="140"/>
      <c r="MHQ126" s="140"/>
      <c r="MHR126" s="140"/>
      <c r="MHS126" s="140"/>
      <c r="MHT126" s="140"/>
      <c r="MHU126" s="140"/>
      <c r="MHV126" s="140"/>
      <c r="MHW126" s="140"/>
      <c r="MHX126" s="140"/>
      <c r="MHY126" s="140"/>
      <c r="MHZ126" s="140"/>
      <c r="MIA126" s="140"/>
      <c r="MIB126" s="140"/>
      <c r="MIC126" s="140"/>
      <c r="MID126" s="140"/>
      <c r="MIE126" s="140"/>
      <c r="MIF126" s="140"/>
      <c r="MIG126" s="140"/>
      <c r="MIH126" s="140"/>
      <c r="MII126" s="140"/>
      <c r="MIJ126" s="140"/>
      <c r="MIK126" s="140"/>
      <c r="MIL126" s="140"/>
      <c r="MIM126" s="140"/>
      <c r="MIN126" s="140"/>
      <c r="MIO126" s="140"/>
      <c r="MIP126" s="140"/>
      <c r="MIQ126" s="140"/>
      <c r="MIR126" s="140"/>
      <c r="MIS126" s="140"/>
      <c r="MIT126" s="140"/>
      <c r="MIU126" s="140"/>
      <c r="MIV126" s="140"/>
      <c r="MIW126" s="140"/>
      <c r="MIX126" s="140"/>
      <c r="MIY126" s="140"/>
      <c r="MIZ126" s="140"/>
      <c r="MJA126" s="140"/>
      <c r="MJB126" s="140"/>
      <c r="MJC126" s="140"/>
      <c r="MJD126" s="140"/>
      <c r="MJE126" s="140"/>
      <c r="MJF126" s="140"/>
      <c r="MJG126" s="140"/>
      <c r="MJH126" s="140"/>
      <c r="MJI126" s="140"/>
      <c r="MJJ126" s="140"/>
      <c r="MJK126" s="140"/>
      <c r="MJL126" s="140"/>
      <c r="MJM126" s="140"/>
      <c r="MJN126" s="140"/>
      <c r="MJO126" s="140"/>
      <c r="MJP126" s="140"/>
      <c r="MJQ126" s="140"/>
      <c r="MJR126" s="140"/>
      <c r="MJS126" s="140"/>
      <c r="MJT126" s="140"/>
      <c r="MJU126" s="140"/>
      <c r="MJV126" s="140"/>
      <c r="MJW126" s="140"/>
      <c r="MJX126" s="140"/>
      <c r="MJY126" s="140"/>
      <c r="MJZ126" s="140"/>
      <c r="MKA126" s="140"/>
      <c r="MKB126" s="140"/>
      <c r="MKC126" s="140"/>
      <c r="MKD126" s="140"/>
      <c r="MKE126" s="140"/>
      <c r="MKF126" s="140"/>
      <c r="MKG126" s="140"/>
      <c r="MKH126" s="140"/>
      <c r="MKI126" s="140"/>
      <c r="MKJ126" s="140"/>
      <c r="MKK126" s="140"/>
      <c r="MKL126" s="140"/>
      <c r="MKM126" s="140"/>
      <c r="MKN126" s="140"/>
      <c r="MKO126" s="140"/>
      <c r="MKP126" s="140"/>
      <c r="MKQ126" s="140"/>
      <c r="MKR126" s="140"/>
      <c r="MKS126" s="140"/>
      <c r="MKT126" s="140"/>
      <c r="MKU126" s="140"/>
      <c r="MKV126" s="140"/>
      <c r="MKW126" s="140"/>
      <c r="MKX126" s="140"/>
      <c r="MKY126" s="140"/>
      <c r="MKZ126" s="140"/>
      <c r="MLA126" s="140"/>
      <c r="MLB126" s="140"/>
      <c r="MLC126" s="140"/>
      <c r="MLD126" s="140"/>
      <c r="MLE126" s="140"/>
      <c r="MLF126" s="140"/>
      <c r="MLG126" s="140"/>
      <c r="MLH126" s="140"/>
      <c r="MLI126" s="140"/>
      <c r="MLJ126" s="140"/>
      <c r="MLK126" s="140"/>
      <c r="MLL126" s="140"/>
      <c r="MLM126" s="140"/>
      <c r="MLN126" s="140"/>
      <c r="MLO126" s="140"/>
      <c r="MLP126" s="140"/>
      <c r="MLQ126" s="140"/>
      <c r="MLR126" s="140"/>
      <c r="MLS126" s="140"/>
      <c r="MLT126" s="140"/>
      <c r="MLU126" s="140"/>
      <c r="MLV126" s="140"/>
      <c r="MLW126" s="140"/>
      <c r="MLX126" s="140"/>
      <c r="MLY126" s="140"/>
      <c r="MLZ126" s="140"/>
      <c r="MMA126" s="140"/>
      <c r="MMB126" s="140"/>
      <c r="MMC126" s="140"/>
      <c r="MMD126" s="140"/>
      <c r="MME126" s="140"/>
      <c r="MMF126" s="140"/>
      <c r="MMG126" s="140"/>
      <c r="MMH126" s="140"/>
      <c r="MMI126" s="140"/>
      <c r="MMJ126" s="140"/>
      <c r="MMK126" s="140"/>
      <c r="MML126" s="140"/>
      <c r="MMM126" s="140"/>
      <c r="MMN126" s="140"/>
      <c r="MMO126" s="140"/>
      <c r="MMP126" s="140"/>
      <c r="MMQ126" s="140"/>
      <c r="MMR126" s="140"/>
      <c r="MMS126" s="140"/>
      <c r="MMT126" s="140"/>
      <c r="MMU126" s="140"/>
      <c r="MMV126" s="140"/>
      <c r="MMW126" s="140"/>
      <c r="MMX126" s="140"/>
      <c r="MMY126" s="140"/>
      <c r="MMZ126" s="140"/>
      <c r="MNA126" s="140"/>
      <c r="MNB126" s="140"/>
      <c r="MNC126" s="140"/>
      <c r="MND126" s="140"/>
      <c r="MNE126" s="140"/>
      <c r="MNF126" s="140"/>
      <c r="MNG126" s="140"/>
      <c r="MNH126" s="140"/>
      <c r="MNI126" s="140"/>
      <c r="MNJ126" s="140"/>
      <c r="MNK126" s="140"/>
      <c r="MNL126" s="140"/>
      <c r="MNM126" s="140"/>
      <c r="MNN126" s="140"/>
      <c r="MNO126" s="140"/>
      <c r="MNP126" s="140"/>
      <c r="MNQ126" s="140"/>
      <c r="MNR126" s="140"/>
      <c r="MNS126" s="140"/>
      <c r="MNT126" s="140"/>
      <c r="MNU126" s="140"/>
      <c r="MNV126" s="140"/>
      <c r="MNW126" s="140"/>
      <c r="MNX126" s="140"/>
      <c r="MNY126" s="140"/>
      <c r="MNZ126" s="140"/>
      <c r="MOA126" s="140"/>
      <c r="MOB126" s="140"/>
      <c r="MOC126" s="140"/>
      <c r="MOD126" s="140"/>
      <c r="MOE126" s="140"/>
      <c r="MOF126" s="140"/>
      <c r="MOG126" s="140"/>
      <c r="MOH126" s="140"/>
      <c r="MOI126" s="140"/>
      <c r="MOJ126" s="140"/>
      <c r="MOK126" s="140"/>
      <c r="MOL126" s="140"/>
      <c r="MOM126" s="140"/>
      <c r="MON126" s="140"/>
      <c r="MOO126" s="140"/>
      <c r="MOP126" s="140"/>
      <c r="MOQ126" s="140"/>
      <c r="MOR126" s="140"/>
      <c r="MOS126" s="140"/>
      <c r="MOT126" s="140"/>
      <c r="MOU126" s="140"/>
      <c r="MOV126" s="140"/>
      <c r="MOW126" s="140"/>
      <c r="MOX126" s="140"/>
      <c r="MOY126" s="140"/>
      <c r="MOZ126" s="140"/>
      <c r="MPA126" s="140"/>
      <c r="MPB126" s="140"/>
      <c r="MPC126" s="140"/>
      <c r="MPD126" s="140"/>
      <c r="MPE126" s="140"/>
      <c r="MPF126" s="140"/>
      <c r="MPG126" s="140"/>
      <c r="MPH126" s="140"/>
      <c r="MPI126" s="140"/>
      <c r="MPJ126" s="140"/>
      <c r="MPK126" s="140"/>
      <c r="MPL126" s="140"/>
      <c r="MPM126" s="140"/>
      <c r="MPN126" s="140"/>
      <c r="MPO126" s="140"/>
      <c r="MPP126" s="140"/>
      <c r="MPQ126" s="140"/>
      <c r="MPR126" s="140"/>
      <c r="MPS126" s="140"/>
      <c r="MPT126" s="140"/>
      <c r="MPU126" s="140"/>
      <c r="MPV126" s="140"/>
      <c r="MPW126" s="140"/>
      <c r="MPX126" s="140"/>
      <c r="MPY126" s="140"/>
      <c r="MPZ126" s="140"/>
      <c r="MQA126" s="140"/>
      <c r="MQB126" s="140"/>
      <c r="MQC126" s="140"/>
      <c r="MQD126" s="140"/>
      <c r="MQE126" s="140"/>
      <c r="MQF126" s="140"/>
      <c r="MQG126" s="140"/>
      <c r="MQH126" s="140"/>
      <c r="MQI126" s="140"/>
      <c r="MQJ126" s="140"/>
      <c r="MQK126" s="140"/>
      <c r="MQL126" s="140"/>
      <c r="MQM126" s="140"/>
      <c r="MQN126" s="140"/>
      <c r="MQO126" s="140"/>
      <c r="MQP126" s="140"/>
      <c r="MQQ126" s="140"/>
      <c r="MQR126" s="140"/>
      <c r="MQS126" s="140"/>
      <c r="MQT126" s="140"/>
      <c r="MQU126" s="140"/>
      <c r="MQV126" s="140"/>
      <c r="MQW126" s="140"/>
      <c r="MQX126" s="140"/>
      <c r="MQY126" s="140"/>
      <c r="MQZ126" s="140"/>
      <c r="MRA126" s="140"/>
      <c r="MRB126" s="140"/>
      <c r="MRC126" s="140"/>
      <c r="MRD126" s="140"/>
      <c r="MRE126" s="140"/>
      <c r="MRF126" s="140"/>
      <c r="MRG126" s="140"/>
      <c r="MRH126" s="140"/>
      <c r="MRI126" s="140"/>
      <c r="MRJ126" s="140"/>
      <c r="MRK126" s="140"/>
      <c r="MRL126" s="140"/>
      <c r="MRM126" s="140"/>
      <c r="MRN126" s="140"/>
      <c r="MRO126" s="140"/>
      <c r="MRP126" s="140"/>
      <c r="MRQ126" s="140"/>
      <c r="MRR126" s="140"/>
      <c r="MRS126" s="140"/>
      <c r="MRT126" s="140"/>
      <c r="MRU126" s="140"/>
      <c r="MRV126" s="140"/>
      <c r="MRW126" s="140"/>
      <c r="MRX126" s="140"/>
      <c r="MRY126" s="140"/>
      <c r="MRZ126" s="140"/>
      <c r="MSA126" s="140"/>
      <c r="MSB126" s="140"/>
      <c r="MSC126" s="140"/>
      <c r="MSD126" s="140"/>
      <c r="MSE126" s="140"/>
      <c r="MSF126" s="140"/>
      <c r="MSG126" s="140"/>
      <c r="MSH126" s="140"/>
      <c r="MSI126" s="140"/>
      <c r="MSJ126" s="140"/>
      <c r="MSK126" s="140"/>
      <c r="MSL126" s="140"/>
      <c r="MSM126" s="140"/>
      <c r="MSN126" s="140"/>
      <c r="MSO126" s="140"/>
      <c r="MSP126" s="140"/>
      <c r="MSQ126" s="140"/>
      <c r="MSR126" s="140"/>
      <c r="MSS126" s="140"/>
      <c r="MST126" s="140"/>
      <c r="MSU126" s="140"/>
      <c r="MSV126" s="140"/>
      <c r="MSW126" s="140"/>
      <c r="MSX126" s="140"/>
      <c r="MSY126" s="140"/>
      <c r="MSZ126" s="140"/>
      <c r="MTA126" s="140"/>
      <c r="MTB126" s="140"/>
      <c r="MTC126" s="140"/>
      <c r="MTD126" s="140"/>
      <c r="MTE126" s="140"/>
      <c r="MTF126" s="140"/>
      <c r="MTG126" s="140"/>
      <c r="MTH126" s="140"/>
      <c r="MTI126" s="140"/>
      <c r="MTJ126" s="140"/>
      <c r="MTK126" s="140"/>
      <c r="MTL126" s="140"/>
      <c r="MTM126" s="140"/>
      <c r="MTN126" s="140"/>
      <c r="MTO126" s="140"/>
      <c r="MTP126" s="140"/>
      <c r="MTQ126" s="140"/>
      <c r="MTR126" s="140"/>
      <c r="MTS126" s="140"/>
      <c r="MTT126" s="140"/>
      <c r="MTU126" s="140"/>
      <c r="MTV126" s="140"/>
      <c r="MTW126" s="140"/>
      <c r="MTX126" s="140"/>
      <c r="MTY126" s="140"/>
      <c r="MTZ126" s="140"/>
      <c r="MUA126" s="140"/>
      <c r="MUB126" s="140"/>
      <c r="MUC126" s="140"/>
      <c r="MUD126" s="140"/>
      <c r="MUE126" s="140"/>
      <c r="MUF126" s="140"/>
      <c r="MUG126" s="140"/>
      <c r="MUH126" s="140"/>
      <c r="MUI126" s="140"/>
      <c r="MUJ126" s="140"/>
      <c r="MUK126" s="140"/>
      <c r="MUL126" s="140"/>
      <c r="MUM126" s="140"/>
      <c r="MUN126" s="140"/>
      <c r="MUO126" s="140"/>
      <c r="MUP126" s="140"/>
      <c r="MUQ126" s="140"/>
      <c r="MUR126" s="140"/>
      <c r="MUS126" s="140"/>
      <c r="MUT126" s="140"/>
      <c r="MUU126" s="140"/>
      <c r="MUV126" s="140"/>
      <c r="MUW126" s="140"/>
      <c r="MUX126" s="140"/>
      <c r="MUY126" s="140"/>
      <c r="MUZ126" s="140"/>
      <c r="MVA126" s="140"/>
      <c r="MVB126" s="140"/>
      <c r="MVC126" s="140"/>
      <c r="MVD126" s="140"/>
      <c r="MVE126" s="140"/>
      <c r="MVF126" s="140"/>
      <c r="MVG126" s="140"/>
      <c r="MVH126" s="140"/>
      <c r="MVI126" s="140"/>
      <c r="MVJ126" s="140"/>
      <c r="MVK126" s="140"/>
      <c r="MVL126" s="140"/>
      <c r="MVM126" s="140"/>
      <c r="MVN126" s="140"/>
      <c r="MVO126" s="140"/>
      <c r="MVP126" s="140"/>
      <c r="MVQ126" s="140"/>
      <c r="MVR126" s="140"/>
      <c r="MVS126" s="140"/>
      <c r="MVT126" s="140"/>
      <c r="MVU126" s="140"/>
      <c r="MVV126" s="140"/>
      <c r="MVW126" s="140"/>
      <c r="MVX126" s="140"/>
      <c r="MVY126" s="140"/>
      <c r="MVZ126" s="140"/>
      <c r="MWA126" s="140"/>
      <c r="MWB126" s="140"/>
      <c r="MWC126" s="140"/>
      <c r="MWD126" s="140"/>
      <c r="MWE126" s="140"/>
      <c r="MWF126" s="140"/>
      <c r="MWG126" s="140"/>
      <c r="MWH126" s="140"/>
      <c r="MWI126" s="140"/>
      <c r="MWJ126" s="140"/>
      <c r="MWK126" s="140"/>
      <c r="MWL126" s="140"/>
      <c r="MWM126" s="140"/>
      <c r="MWN126" s="140"/>
      <c r="MWO126" s="140"/>
      <c r="MWP126" s="140"/>
      <c r="MWQ126" s="140"/>
      <c r="MWR126" s="140"/>
      <c r="MWS126" s="140"/>
      <c r="MWT126" s="140"/>
      <c r="MWU126" s="140"/>
      <c r="MWV126" s="140"/>
      <c r="MWW126" s="140"/>
      <c r="MWX126" s="140"/>
      <c r="MWY126" s="140"/>
      <c r="MWZ126" s="140"/>
      <c r="MXA126" s="140"/>
      <c r="MXB126" s="140"/>
      <c r="MXC126" s="140"/>
      <c r="MXD126" s="140"/>
      <c r="MXE126" s="140"/>
      <c r="MXF126" s="140"/>
      <c r="MXG126" s="140"/>
      <c r="MXH126" s="140"/>
      <c r="MXI126" s="140"/>
      <c r="MXJ126" s="140"/>
      <c r="MXK126" s="140"/>
      <c r="MXL126" s="140"/>
      <c r="MXM126" s="140"/>
      <c r="MXN126" s="140"/>
      <c r="MXO126" s="140"/>
      <c r="MXP126" s="140"/>
      <c r="MXQ126" s="140"/>
      <c r="MXR126" s="140"/>
      <c r="MXS126" s="140"/>
      <c r="MXT126" s="140"/>
      <c r="MXU126" s="140"/>
      <c r="MXV126" s="140"/>
      <c r="MXW126" s="140"/>
      <c r="MXX126" s="140"/>
      <c r="MXY126" s="140"/>
      <c r="MXZ126" s="140"/>
      <c r="MYA126" s="140"/>
      <c r="MYB126" s="140"/>
      <c r="MYC126" s="140"/>
      <c r="MYD126" s="140"/>
      <c r="MYE126" s="140"/>
      <c r="MYF126" s="140"/>
      <c r="MYG126" s="140"/>
      <c r="MYH126" s="140"/>
      <c r="MYI126" s="140"/>
      <c r="MYJ126" s="140"/>
      <c r="MYK126" s="140"/>
      <c r="MYL126" s="140"/>
      <c r="MYM126" s="140"/>
      <c r="MYN126" s="140"/>
      <c r="MYO126" s="140"/>
      <c r="MYP126" s="140"/>
      <c r="MYQ126" s="140"/>
      <c r="MYR126" s="140"/>
      <c r="MYS126" s="140"/>
      <c r="MYT126" s="140"/>
      <c r="MYU126" s="140"/>
      <c r="MYV126" s="140"/>
      <c r="MYW126" s="140"/>
      <c r="MYX126" s="140"/>
      <c r="MYY126" s="140"/>
      <c r="MYZ126" s="140"/>
      <c r="MZA126" s="140"/>
      <c r="MZB126" s="140"/>
      <c r="MZC126" s="140"/>
      <c r="MZD126" s="140"/>
      <c r="MZE126" s="140"/>
      <c r="MZF126" s="140"/>
      <c r="MZG126" s="140"/>
      <c r="MZH126" s="140"/>
      <c r="MZI126" s="140"/>
      <c r="MZJ126" s="140"/>
      <c r="MZK126" s="140"/>
      <c r="MZL126" s="140"/>
      <c r="MZM126" s="140"/>
      <c r="MZN126" s="140"/>
      <c r="MZO126" s="140"/>
      <c r="MZP126" s="140"/>
      <c r="MZQ126" s="140"/>
      <c r="MZR126" s="140"/>
      <c r="MZS126" s="140"/>
      <c r="MZT126" s="140"/>
      <c r="MZU126" s="140"/>
      <c r="MZV126" s="140"/>
      <c r="MZW126" s="140"/>
      <c r="MZX126" s="140"/>
      <c r="MZY126" s="140"/>
      <c r="MZZ126" s="140"/>
      <c r="NAA126" s="140"/>
      <c r="NAB126" s="140"/>
      <c r="NAC126" s="140"/>
      <c r="NAD126" s="140"/>
      <c r="NAE126" s="140"/>
      <c r="NAF126" s="140"/>
      <c r="NAG126" s="140"/>
      <c r="NAH126" s="140"/>
      <c r="NAI126" s="140"/>
      <c r="NAJ126" s="140"/>
      <c r="NAK126" s="140"/>
      <c r="NAL126" s="140"/>
      <c r="NAM126" s="140"/>
      <c r="NAN126" s="140"/>
      <c r="NAO126" s="140"/>
      <c r="NAP126" s="140"/>
      <c r="NAQ126" s="140"/>
      <c r="NAR126" s="140"/>
      <c r="NAS126" s="140"/>
      <c r="NAT126" s="140"/>
      <c r="NAU126" s="140"/>
      <c r="NAV126" s="140"/>
      <c r="NAW126" s="140"/>
      <c r="NAX126" s="140"/>
      <c r="NAY126" s="140"/>
      <c r="NAZ126" s="140"/>
      <c r="NBA126" s="140"/>
      <c r="NBB126" s="140"/>
      <c r="NBC126" s="140"/>
      <c r="NBD126" s="140"/>
      <c r="NBE126" s="140"/>
      <c r="NBF126" s="140"/>
      <c r="NBG126" s="140"/>
      <c r="NBH126" s="140"/>
      <c r="NBI126" s="140"/>
      <c r="NBJ126" s="140"/>
      <c r="NBK126" s="140"/>
      <c r="NBL126" s="140"/>
      <c r="NBM126" s="140"/>
      <c r="NBN126" s="140"/>
      <c r="NBO126" s="140"/>
      <c r="NBP126" s="140"/>
      <c r="NBQ126" s="140"/>
      <c r="NBR126" s="140"/>
      <c r="NBS126" s="140"/>
      <c r="NBT126" s="140"/>
      <c r="NBU126" s="140"/>
      <c r="NBV126" s="140"/>
      <c r="NBW126" s="140"/>
      <c r="NBX126" s="140"/>
      <c r="NBY126" s="140"/>
      <c r="NBZ126" s="140"/>
      <c r="NCA126" s="140"/>
      <c r="NCB126" s="140"/>
      <c r="NCC126" s="140"/>
      <c r="NCD126" s="140"/>
      <c r="NCE126" s="140"/>
      <c r="NCF126" s="140"/>
      <c r="NCG126" s="140"/>
      <c r="NCH126" s="140"/>
      <c r="NCI126" s="140"/>
      <c r="NCJ126" s="140"/>
      <c r="NCK126" s="140"/>
      <c r="NCL126" s="140"/>
      <c r="NCM126" s="140"/>
      <c r="NCN126" s="140"/>
      <c r="NCO126" s="140"/>
      <c r="NCP126" s="140"/>
      <c r="NCQ126" s="140"/>
      <c r="NCR126" s="140"/>
      <c r="NCS126" s="140"/>
      <c r="NCT126" s="140"/>
      <c r="NCU126" s="140"/>
      <c r="NCV126" s="140"/>
      <c r="NCW126" s="140"/>
      <c r="NCX126" s="140"/>
      <c r="NCY126" s="140"/>
      <c r="NCZ126" s="140"/>
      <c r="NDA126" s="140"/>
      <c r="NDB126" s="140"/>
      <c r="NDC126" s="140"/>
      <c r="NDD126" s="140"/>
      <c r="NDE126" s="140"/>
      <c r="NDF126" s="140"/>
      <c r="NDG126" s="140"/>
      <c r="NDH126" s="140"/>
      <c r="NDI126" s="140"/>
      <c r="NDJ126" s="140"/>
      <c r="NDK126" s="140"/>
      <c r="NDL126" s="140"/>
      <c r="NDM126" s="140"/>
      <c r="NDN126" s="140"/>
      <c r="NDO126" s="140"/>
      <c r="NDP126" s="140"/>
      <c r="NDQ126" s="140"/>
      <c r="NDR126" s="140"/>
      <c r="NDS126" s="140"/>
      <c r="NDT126" s="140"/>
      <c r="NDU126" s="140"/>
      <c r="NDV126" s="140"/>
      <c r="NDW126" s="140"/>
      <c r="NDX126" s="140"/>
      <c r="NDY126" s="140"/>
      <c r="NDZ126" s="140"/>
      <c r="NEA126" s="140"/>
      <c r="NEB126" s="140"/>
      <c r="NEC126" s="140"/>
      <c r="NED126" s="140"/>
      <c r="NEE126" s="140"/>
      <c r="NEF126" s="140"/>
      <c r="NEG126" s="140"/>
      <c r="NEH126" s="140"/>
      <c r="NEI126" s="140"/>
      <c r="NEJ126" s="140"/>
      <c r="NEK126" s="140"/>
      <c r="NEL126" s="140"/>
      <c r="NEM126" s="140"/>
      <c r="NEN126" s="140"/>
      <c r="NEO126" s="140"/>
      <c r="NEP126" s="140"/>
      <c r="NEQ126" s="140"/>
      <c r="NER126" s="140"/>
      <c r="NES126" s="140"/>
      <c r="NET126" s="140"/>
      <c r="NEU126" s="140"/>
      <c r="NEV126" s="140"/>
      <c r="NEW126" s="140"/>
      <c r="NEX126" s="140"/>
      <c r="NEY126" s="140"/>
      <c r="NEZ126" s="140"/>
      <c r="NFA126" s="140"/>
      <c r="NFB126" s="140"/>
      <c r="NFC126" s="140"/>
      <c r="NFD126" s="140"/>
      <c r="NFE126" s="140"/>
      <c r="NFF126" s="140"/>
      <c r="NFG126" s="140"/>
      <c r="NFH126" s="140"/>
      <c r="NFI126" s="140"/>
      <c r="NFJ126" s="140"/>
      <c r="NFK126" s="140"/>
      <c r="NFL126" s="140"/>
      <c r="NFM126" s="140"/>
      <c r="NFN126" s="140"/>
      <c r="NFO126" s="140"/>
      <c r="NFP126" s="140"/>
      <c r="NFQ126" s="140"/>
      <c r="NFR126" s="140"/>
      <c r="NFS126" s="140"/>
      <c r="NFT126" s="140"/>
      <c r="NFU126" s="140"/>
      <c r="NFV126" s="140"/>
      <c r="NFW126" s="140"/>
      <c r="NFX126" s="140"/>
      <c r="NFY126" s="140"/>
      <c r="NFZ126" s="140"/>
      <c r="NGA126" s="140"/>
      <c r="NGB126" s="140"/>
      <c r="NGC126" s="140"/>
      <c r="NGD126" s="140"/>
      <c r="NGE126" s="140"/>
      <c r="NGF126" s="140"/>
      <c r="NGG126" s="140"/>
      <c r="NGH126" s="140"/>
      <c r="NGI126" s="140"/>
      <c r="NGJ126" s="140"/>
      <c r="NGK126" s="140"/>
      <c r="NGL126" s="140"/>
      <c r="NGM126" s="140"/>
      <c r="NGN126" s="140"/>
      <c r="NGO126" s="140"/>
      <c r="NGP126" s="140"/>
      <c r="NGQ126" s="140"/>
      <c r="NGR126" s="140"/>
      <c r="NGS126" s="140"/>
      <c r="NGT126" s="140"/>
      <c r="NGU126" s="140"/>
      <c r="NGV126" s="140"/>
      <c r="NGW126" s="140"/>
      <c r="NGX126" s="140"/>
      <c r="NGY126" s="140"/>
      <c r="NGZ126" s="140"/>
      <c r="NHA126" s="140"/>
      <c r="NHB126" s="140"/>
      <c r="NHC126" s="140"/>
      <c r="NHD126" s="140"/>
      <c r="NHE126" s="140"/>
      <c r="NHF126" s="140"/>
      <c r="NHG126" s="140"/>
      <c r="NHH126" s="140"/>
      <c r="NHI126" s="140"/>
      <c r="NHJ126" s="140"/>
      <c r="NHK126" s="140"/>
      <c r="NHL126" s="140"/>
      <c r="NHM126" s="140"/>
      <c r="NHN126" s="140"/>
      <c r="NHO126" s="140"/>
      <c r="NHP126" s="140"/>
      <c r="NHQ126" s="140"/>
      <c r="NHR126" s="140"/>
      <c r="NHS126" s="140"/>
      <c r="NHT126" s="140"/>
      <c r="NHU126" s="140"/>
      <c r="NHV126" s="140"/>
      <c r="NHW126" s="140"/>
      <c r="NHX126" s="140"/>
      <c r="NHY126" s="140"/>
      <c r="NHZ126" s="140"/>
      <c r="NIA126" s="140"/>
      <c r="NIB126" s="140"/>
      <c r="NIC126" s="140"/>
      <c r="NID126" s="140"/>
      <c r="NIE126" s="140"/>
      <c r="NIF126" s="140"/>
      <c r="NIG126" s="140"/>
      <c r="NIH126" s="140"/>
      <c r="NII126" s="140"/>
      <c r="NIJ126" s="140"/>
      <c r="NIK126" s="140"/>
      <c r="NIL126" s="140"/>
      <c r="NIM126" s="140"/>
      <c r="NIN126" s="140"/>
      <c r="NIO126" s="140"/>
      <c r="NIP126" s="140"/>
      <c r="NIQ126" s="140"/>
      <c r="NIR126" s="140"/>
      <c r="NIS126" s="140"/>
      <c r="NIT126" s="140"/>
      <c r="NIU126" s="140"/>
      <c r="NIV126" s="140"/>
      <c r="NIW126" s="140"/>
      <c r="NIX126" s="140"/>
      <c r="NIY126" s="140"/>
      <c r="NIZ126" s="140"/>
      <c r="NJA126" s="140"/>
      <c r="NJB126" s="140"/>
      <c r="NJC126" s="140"/>
      <c r="NJD126" s="140"/>
      <c r="NJE126" s="140"/>
      <c r="NJF126" s="140"/>
      <c r="NJG126" s="140"/>
      <c r="NJH126" s="140"/>
      <c r="NJI126" s="140"/>
      <c r="NJJ126" s="140"/>
      <c r="NJK126" s="140"/>
      <c r="NJL126" s="140"/>
      <c r="NJM126" s="140"/>
      <c r="NJN126" s="140"/>
      <c r="NJO126" s="140"/>
      <c r="NJP126" s="140"/>
      <c r="NJQ126" s="140"/>
      <c r="NJR126" s="140"/>
      <c r="NJS126" s="140"/>
      <c r="NJT126" s="140"/>
      <c r="NJU126" s="140"/>
      <c r="NJV126" s="140"/>
      <c r="NJW126" s="140"/>
      <c r="NJX126" s="140"/>
      <c r="NJY126" s="140"/>
      <c r="NJZ126" s="140"/>
      <c r="NKA126" s="140"/>
      <c r="NKB126" s="140"/>
      <c r="NKC126" s="140"/>
      <c r="NKD126" s="140"/>
      <c r="NKE126" s="140"/>
      <c r="NKF126" s="140"/>
      <c r="NKG126" s="140"/>
      <c r="NKH126" s="140"/>
      <c r="NKI126" s="140"/>
      <c r="NKJ126" s="140"/>
      <c r="NKK126" s="140"/>
      <c r="NKL126" s="140"/>
      <c r="NKM126" s="140"/>
      <c r="NKN126" s="140"/>
      <c r="NKO126" s="140"/>
      <c r="NKP126" s="140"/>
      <c r="NKQ126" s="140"/>
      <c r="NKR126" s="140"/>
      <c r="NKS126" s="140"/>
      <c r="NKT126" s="140"/>
      <c r="NKU126" s="140"/>
      <c r="NKV126" s="140"/>
      <c r="NKW126" s="140"/>
      <c r="NKX126" s="140"/>
      <c r="NKY126" s="140"/>
      <c r="NKZ126" s="140"/>
      <c r="NLA126" s="140"/>
      <c r="NLB126" s="140"/>
      <c r="NLC126" s="140"/>
      <c r="NLD126" s="140"/>
      <c r="NLE126" s="140"/>
      <c r="NLF126" s="140"/>
      <c r="NLG126" s="140"/>
      <c r="NLH126" s="140"/>
      <c r="NLI126" s="140"/>
      <c r="NLJ126" s="140"/>
      <c r="NLK126" s="140"/>
      <c r="NLL126" s="140"/>
      <c r="NLM126" s="140"/>
      <c r="NLN126" s="140"/>
      <c r="NLO126" s="140"/>
      <c r="NLP126" s="140"/>
      <c r="NLQ126" s="140"/>
      <c r="NLR126" s="140"/>
      <c r="NLS126" s="140"/>
      <c r="NLT126" s="140"/>
      <c r="NLU126" s="140"/>
      <c r="NLV126" s="140"/>
      <c r="NLW126" s="140"/>
      <c r="NLX126" s="140"/>
      <c r="NLY126" s="140"/>
      <c r="NLZ126" s="140"/>
      <c r="NMA126" s="140"/>
      <c r="NMB126" s="140"/>
      <c r="NMC126" s="140"/>
      <c r="NMD126" s="140"/>
      <c r="NME126" s="140"/>
      <c r="NMF126" s="140"/>
      <c r="NMG126" s="140"/>
      <c r="NMH126" s="140"/>
      <c r="NMI126" s="140"/>
      <c r="NMJ126" s="140"/>
      <c r="NMK126" s="140"/>
      <c r="NML126" s="140"/>
      <c r="NMM126" s="140"/>
      <c r="NMN126" s="140"/>
      <c r="NMO126" s="140"/>
      <c r="NMP126" s="140"/>
      <c r="NMQ126" s="140"/>
      <c r="NMR126" s="140"/>
      <c r="NMS126" s="140"/>
      <c r="NMT126" s="140"/>
      <c r="NMU126" s="140"/>
      <c r="NMV126" s="140"/>
      <c r="NMW126" s="140"/>
      <c r="NMX126" s="140"/>
      <c r="NMY126" s="140"/>
      <c r="NMZ126" s="140"/>
      <c r="NNA126" s="140"/>
      <c r="NNB126" s="140"/>
      <c r="NNC126" s="140"/>
      <c r="NND126" s="140"/>
      <c r="NNE126" s="140"/>
      <c r="NNF126" s="140"/>
      <c r="NNG126" s="140"/>
      <c r="NNH126" s="140"/>
      <c r="NNI126" s="140"/>
      <c r="NNJ126" s="140"/>
      <c r="NNK126" s="140"/>
      <c r="NNL126" s="140"/>
      <c r="NNM126" s="140"/>
      <c r="NNN126" s="140"/>
      <c r="NNO126" s="140"/>
      <c r="NNP126" s="140"/>
      <c r="NNQ126" s="140"/>
      <c r="NNR126" s="140"/>
      <c r="NNS126" s="140"/>
      <c r="NNT126" s="140"/>
      <c r="NNU126" s="140"/>
      <c r="NNV126" s="140"/>
      <c r="NNW126" s="140"/>
      <c r="NNX126" s="140"/>
      <c r="NNY126" s="140"/>
      <c r="NNZ126" s="140"/>
      <c r="NOA126" s="140"/>
      <c r="NOB126" s="140"/>
      <c r="NOC126" s="140"/>
      <c r="NOD126" s="140"/>
      <c r="NOE126" s="140"/>
      <c r="NOF126" s="140"/>
      <c r="NOG126" s="140"/>
      <c r="NOH126" s="140"/>
      <c r="NOI126" s="140"/>
      <c r="NOJ126" s="140"/>
      <c r="NOK126" s="140"/>
      <c r="NOL126" s="140"/>
      <c r="NOM126" s="140"/>
      <c r="NON126" s="140"/>
      <c r="NOO126" s="140"/>
      <c r="NOP126" s="140"/>
      <c r="NOQ126" s="140"/>
      <c r="NOR126" s="140"/>
      <c r="NOS126" s="140"/>
      <c r="NOT126" s="140"/>
      <c r="NOU126" s="140"/>
      <c r="NOV126" s="140"/>
      <c r="NOW126" s="140"/>
      <c r="NOX126" s="140"/>
      <c r="NOY126" s="140"/>
      <c r="NOZ126" s="140"/>
      <c r="NPA126" s="140"/>
      <c r="NPB126" s="140"/>
      <c r="NPC126" s="140"/>
      <c r="NPD126" s="140"/>
      <c r="NPE126" s="140"/>
      <c r="NPF126" s="140"/>
      <c r="NPG126" s="140"/>
      <c r="NPH126" s="140"/>
      <c r="NPI126" s="140"/>
      <c r="NPJ126" s="140"/>
      <c r="NPK126" s="140"/>
      <c r="NPL126" s="140"/>
      <c r="NPM126" s="140"/>
      <c r="NPN126" s="140"/>
      <c r="NPO126" s="140"/>
      <c r="NPP126" s="140"/>
      <c r="NPQ126" s="140"/>
      <c r="NPR126" s="140"/>
      <c r="NPS126" s="140"/>
      <c r="NPT126" s="140"/>
      <c r="NPU126" s="140"/>
      <c r="NPV126" s="140"/>
      <c r="NPW126" s="140"/>
      <c r="NPX126" s="140"/>
      <c r="NPY126" s="140"/>
      <c r="NPZ126" s="140"/>
      <c r="NQA126" s="140"/>
      <c r="NQB126" s="140"/>
      <c r="NQC126" s="140"/>
      <c r="NQD126" s="140"/>
      <c r="NQE126" s="140"/>
      <c r="NQF126" s="140"/>
      <c r="NQG126" s="140"/>
      <c r="NQH126" s="140"/>
      <c r="NQI126" s="140"/>
      <c r="NQJ126" s="140"/>
      <c r="NQK126" s="140"/>
      <c r="NQL126" s="140"/>
      <c r="NQM126" s="140"/>
      <c r="NQN126" s="140"/>
      <c r="NQO126" s="140"/>
      <c r="NQP126" s="140"/>
      <c r="NQQ126" s="140"/>
      <c r="NQR126" s="140"/>
      <c r="NQS126" s="140"/>
      <c r="NQT126" s="140"/>
      <c r="NQU126" s="140"/>
      <c r="NQV126" s="140"/>
      <c r="NQW126" s="140"/>
      <c r="NQX126" s="140"/>
      <c r="NQY126" s="140"/>
      <c r="NQZ126" s="140"/>
      <c r="NRA126" s="140"/>
      <c r="NRB126" s="140"/>
      <c r="NRC126" s="140"/>
      <c r="NRD126" s="140"/>
      <c r="NRE126" s="140"/>
      <c r="NRF126" s="140"/>
      <c r="NRG126" s="140"/>
      <c r="NRH126" s="140"/>
      <c r="NRI126" s="140"/>
      <c r="NRJ126" s="140"/>
      <c r="NRK126" s="140"/>
      <c r="NRL126" s="140"/>
      <c r="NRM126" s="140"/>
      <c r="NRN126" s="140"/>
      <c r="NRO126" s="140"/>
      <c r="NRP126" s="140"/>
      <c r="NRQ126" s="140"/>
      <c r="NRR126" s="140"/>
      <c r="NRS126" s="140"/>
      <c r="NRT126" s="140"/>
      <c r="NRU126" s="140"/>
      <c r="NRV126" s="140"/>
      <c r="NRW126" s="140"/>
      <c r="NRX126" s="140"/>
      <c r="NRY126" s="140"/>
      <c r="NRZ126" s="140"/>
      <c r="NSA126" s="140"/>
      <c r="NSB126" s="140"/>
      <c r="NSC126" s="140"/>
      <c r="NSD126" s="140"/>
      <c r="NSE126" s="140"/>
      <c r="NSF126" s="140"/>
      <c r="NSG126" s="140"/>
      <c r="NSH126" s="140"/>
      <c r="NSI126" s="140"/>
      <c r="NSJ126" s="140"/>
      <c r="NSK126" s="140"/>
      <c r="NSL126" s="140"/>
      <c r="NSM126" s="140"/>
      <c r="NSN126" s="140"/>
      <c r="NSO126" s="140"/>
      <c r="NSP126" s="140"/>
      <c r="NSQ126" s="140"/>
      <c r="NSR126" s="140"/>
      <c r="NSS126" s="140"/>
      <c r="NST126" s="140"/>
      <c r="NSU126" s="140"/>
      <c r="NSV126" s="140"/>
      <c r="NSW126" s="140"/>
      <c r="NSX126" s="140"/>
      <c r="NSY126" s="140"/>
      <c r="NSZ126" s="140"/>
      <c r="NTA126" s="140"/>
      <c r="NTB126" s="140"/>
      <c r="NTC126" s="140"/>
      <c r="NTD126" s="140"/>
      <c r="NTE126" s="140"/>
      <c r="NTF126" s="140"/>
      <c r="NTG126" s="140"/>
      <c r="NTH126" s="140"/>
      <c r="NTI126" s="140"/>
      <c r="NTJ126" s="140"/>
      <c r="NTK126" s="140"/>
      <c r="NTL126" s="140"/>
      <c r="NTM126" s="140"/>
      <c r="NTN126" s="140"/>
      <c r="NTO126" s="140"/>
      <c r="NTP126" s="140"/>
      <c r="NTQ126" s="140"/>
      <c r="NTR126" s="140"/>
      <c r="NTS126" s="140"/>
      <c r="NTT126" s="140"/>
      <c r="NTU126" s="140"/>
      <c r="NTV126" s="140"/>
      <c r="NTW126" s="140"/>
      <c r="NTX126" s="140"/>
      <c r="NTY126" s="140"/>
      <c r="NTZ126" s="140"/>
      <c r="NUA126" s="140"/>
      <c r="NUB126" s="140"/>
      <c r="NUC126" s="140"/>
      <c r="NUD126" s="140"/>
      <c r="NUE126" s="140"/>
      <c r="NUF126" s="140"/>
      <c r="NUG126" s="140"/>
      <c r="NUH126" s="140"/>
      <c r="NUI126" s="140"/>
      <c r="NUJ126" s="140"/>
      <c r="NUK126" s="140"/>
      <c r="NUL126" s="140"/>
      <c r="NUM126" s="140"/>
      <c r="NUN126" s="140"/>
      <c r="NUO126" s="140"/>
      <c r="NUP126" s="140"/>
      <c r="NUQ126" s="140"/>
      <c r="NUR126" s="140"/>
      <c r="NUS126" s="140"/>
      <c r="NUT126" s="140"/>
      <c r="NUU126" s="140"/>
      <c r="NUV126" s="140"/>
      <c r="NUW126" s="140"/>
      <c r="NUX126" s="140"/>
      <c r="NUY126" s="140"/>
      <c r="NUZ126" s="140"/>
      <c r="NVA126" s="140"/>
      <c r="NVB126" s="140"/>
      <c r="NVC126" s="140"/>
      <c r="NVD126" s="140"/>
      <c r="NVE126" s="140"/>
      <c r="NVF126" s="140"/>
      <c r="NVG126" s="140"/>
      <c r="NVH126" s="140"/>
      <c r="NVI126" s="140"/>
      <c r="NVJ126" s="140"/>
      <c r="NVK126" s="140"/>
      <c r="NVL126" s="140"/>
      <c r="NVM126" s="140"/>
      <c r="NVN126" s="140"/>
      <c r="NVO126" s="140"/>
      <c r="NVP126" s="140"/>
      <c r="NVQ126" s="140"/>
      <c r="NVR126" s="140"/>
      <c r="NVS126" s="140"/>
      <c r="NVT126" s="140"/>
      <c r="NVU126" s="140"/>
      <c r="NVV126" s="140"/>
      <c r="NVW126" s="140"/>
      <c r="NVX126" s="140"/>
      <c r="NVY126" s="140"/>
      <c r="NVZ126" s="140"/>
      <c r="NWA126" s="140"/>
      <c r="NWB126" s="140"/>
      <c r="NWC126" s="140"/>
      <c r="NWD126" s="140"/>
      <c r="NWE126" s="140"/>
      <c r="NWF126" s="140"/>
      <c r="NWG126" s="140"/>
      <c r="NWH126" s="140"/>
      <c r="NWI126" s="140"/>
      <c r="NWJ126" s="140"/>
      <c r="NWK126" s="140"/>
      <c r="NWL126" s="140"/>
      <c r="NWM126" s="140"/>
      <c r="NWN126" s="140"/>
      <c r="NWO126" s="140"/>
      <c r="NWP126" s="140"/>
      <c r="NWQ126" s="140"/>
      <c r="NWR126" s="140"/>
      <c r="NWS126" s="140"/>
      <c r="NWT126" s="140"/>
      <c r="NWU126" s="140"/>
      <c r="NWV126" s="140"/>
      <c r="NWW126" s="140"/>
      <c r="NWX126" s="140"/>
      <c r="NWY126" s="140"/>
      <c r="NWZ126" s="140"/>
      <c r="NXA126" s="140"/>
      <c r="NXB126" s="140"/>
      <c r="NXC126" s="140"/>
      <c r="NXD126" s="140"/>
      <c r="NXE126" s="140"/>
      <c r="NXF126" s="140"/>
      <c r="NXG126" s="140"/>
      <c r="NXH126" s="140"/>
      <c r="NXI126" s="140"/>
      <c r="NXJ126" s="140"/>
      <c r="NXK126" s="140"/>
      <c r="NXL126" s="140"/>
      <c r="NXM126" s="140"/>
      <c r="NXN126" s="140"/>
      <c r="NXO126" s="140"/>
      <c r="NXP126" s="140"/>
      <c r="NXQ126" s="140"/>
      <c r="NXR126" s="140"/>
      <c r="NXS126" s="140"/>
      <c r="NXT126" s="140"/>
      <c r="NXU126" s="140"/>
      <c r="NXV126" s="140"/>
      <c r="NXW126" s="140"/>
      <c r="NXX126" s="140"/>
      <c r="NXY126" s="140"/>
      <c r="NXZ126" s="140"/>
      <c r="NYA126" s="140"/>
      <c r="NYB126" s="140"/>
      <c r="NYC126" s="140"/>
      <c r="NYD126" s="140"/>
      <c r="NYE126" s="140"/>
      <c r="NYF126" s="140"/>
      <c r="NYG126" s="140"/>
      <c r="NYH126" s="140"/>
      <c r="NYI126" s="140"/>
      <c r="NYJ126" s="140"/>
      <c r="NYK126" s="140"/>
      <c r="NYL126" s="140"/>
      <c r="NYM126" s="140"/>
      <c r="NYN126" s="140"/>
      <c r="NYO126" s="140"/>
      <c r="NYP126" s="140"/>
      <c r="NYQ126" s="140"/>
      <c r="NYR126" s="140"/>
      <c r="NYS126" s="140"/>
      <c r="NYT126" s="140"/>
      <c r="NYU126" s="140"/>
      <c r="NYV126" s="140"/>
      <c r="NYW126" s="140"/>
      <c r="NYX126" s="140"/>
      <c r="NYY126" s="140"/>
      <c r="NYZ126" s="140"/>
      <c r="NZA126" s="140"/>
      <c r="NZB126" s="140"/>
      <c r="NZC126" s="140"/>
      <c r="NZD126" s="140"/>
      <c r="NZE126" s="140"/>
      <c r="NZF126" s="140"/>
      <c r="NZG126" s="140"/>
      <c r="NZH126" s="140"/>
      <c r="NZI126" s="140"/>
      <c r="NZJ126" s="140"/>
      <c r="NZK126" s="140"/>
      <c r="NZL126" s="140"/>
      <c r="NZM126" s="140"/>
      <c r="NZN126" s="140"/>
      <c r="NZO126" s="140"/>
      <c r="NZP126" s="140"/>
      <c r="NZQ126" s="140"/>
      <c r="NZR126" s="140"/>
      <c r="NZS126" s="140"/>
      <c r="NZT126" s="140"/>
      <c r="NZU126" s="140"/>
      <c r="NZV126" s="140"/>
      <c r="NZW126" s="140"/>
      <c r="NZX126" s="140"/>
      <c r="NZY126" s="140"/>
      <c r="NZZ126" s="140"/>
      <c r="OAA126" s="140"/>
      <c r="OAB126" s="140"/>
      <c r="OAC126" s="140"/>
      <c r="OAD126" s="140"/>
      <c r="OAE126" s="140"/>
      <c r="OAF126" s="140"/>
      <c r="OAG126" s="140"/>
      <c r="OAH126" s="140"/>
      <c r="OAI126" s="140"/>
      <c r="OAJ126" s="140"/>
      <c r="OAK126" s="140"/>
      <c r="OAL126" s="140"/>
      <c r="OAM126" s="140"/>
      <c r="OAN126" s="140"/>
      <c r="OAO126" s="140"/>
      <c r="OAP126" s="140"/>
      <c r="OAQ126" s="140"/>
      <c r="OAR126" s="140"/>
      <c r="OAS126" s="140"/>
      <c r="OAT126" s="140"/>
      <c r="OAU126" s="140"/>
      <c r="OAV126" s="140"/>
      <c r="OAW126" s="140"/>
      <c r="OAX126" s="140"/>
      <c r="OAY126" s="140"/>
      <c r="OAZ126" s="140"/>
      <c r="OBA126" s="140"/>
      <c r="OBB126" s="140"/>
      <c r="OBC126" s="140"/>
      <c r="OBD126" s="140"/>
      <c r="OBE126" s="140"/>
      <c r="OBF126" s="140"/>
      <c r="OBG126" s="140"/>
      <c r="OBH126" s="140"/>
      <c r="OBI126" s="140"/>
      <c r="OBJ126" s="140"/>
      <c r="OBK126" s="140"/>
      <c r="OBL126" s="140"/>
      <c r="OBM126" s="140"/>
      <c r="OBN126" s="140"/>
      <c r="OBO126" s="140"/>
      <c r="OBP126" s="140"/>
      <c r="OBQ126" s="140"/>
      <c r="OBR126" s="140"/>
      <c r="OBS126" s="140"/>
      <c r="OBT126" s="140"/>
      <c r="OBU126" s="140"/>
      <c r="OBV126" s="140"/>
      <c r="OBW126" s="140"/>
      <c r="OBX126" s="140"/>
      <c r="OBY126" s="140"/>
      <c r="OBZ126" s="140"/>
      <c r="OCA126" s="140"/>
      <c r="OCB126" s="140"/>
      <c r="OCC126" s="140"/>
      <c r="OCD126" s="140"/>
      <c r="OCE126" s="140"/>
      <c r="OCF126" s="140"/>
      <c r="OCG126" s="140"/>
      <c r="OCH126" s="140"/>
      <c r="OCI126" s="140"/>
      <c r="OCJ126" s="140"/>
      <c r="OCK126" s="140"/>
      <c r="OCL126" s="140"/>
      <c r="OCM126" s="140"/>
      <c r="OCN126" s="140"/>
      <c r="OCO126" s="140"/>
      <c r="OCP126" s="140"/>
      <c r="OCQ126" s="140"/>
      <c r="OCR126" s="140"/>
      <c r="OCS126" s="140"/>
      <c r="OCT126" s="140"/>
      <c r="OCU126" s="140"/>
      <c r="OCV126" s="140"/>
      <c r="OCW126" s="140"/>
      <c r="OCX126" s="140"/>
      <c r="OCY126" s="140"/>
      <c r="OCZ126" s="140"/>
      <c r="ODA126" s="140"/>
      <c r="ODB126" s="140"/>
      <c r="ODC126" s="140"/>
      <c r="ODD126" s="140"/>
      <c r="ODE126" s="140"/>
      <c r="ODF126" s="140"/>
      <c r="ODG126" s="140"/>
      <c r="ODH126" s="140"/>
      <c r="ODI126" s="140"/>
      <c r="ODJ126" s="140"/>
      <c r="ODK126" s="140"/>
      <c r="ODL126" s="140"/>
      <c r="ODM126" s="140"/>
      <c r="ODN126" s="140"/>
      <c r="ODO126" s="140"/>
      <c r="ODP126" s="140"/>
      <c r="ODQ126" s="140"/>
      <c r="ODR126" s="140"/>
      <c r="ODS126" s="140"/>
      <c r="ODT126" s="140"/>
      <c r="ODU126" s="140"/>
      <c r="ODV126" s="140"/>
      <c r="ODW126" s="140"/>
      <c r="ODX126" s="140"/>
      <c r="ODY126" s="140"/>
      <c r="ODZ126" s="140"/>
      <c r="OEA126" s="140"/>
      <c r="OEB126" s="140"/>
      <c r="OEC126" s="140"/>
      <c r="OED126" s="140"/>
      <c r="OEE126" s="140"/>
      <c r="OEF126" s="140"/>
      <c r="OEG126" s="140"/>
      <c r="OEH126" s="140"/>
      <c r="OEI126" s="140"/>
      <c r="OEJ126" s="140"/>
      <c r="OEK126" s="140"/>
      <c r="OEL126" s="140"/>
      <c r="OEM126" s="140"/>
      <c r="OEN126" s="140"/>
      <c r="OEO126" s="140"/>
      <c r="OEP126" s="140"/>
      <c r="OEQ126" s="140"/>
      <c r="OER126" s="140"/>
      <c r="OES126" s="140"/>
      <c r="OET126" s="140"/>
      <c r="OEU126" s="140"/>
      <c r="OEV126" s="140"/>
      <c r="OEW126" s="140"/>
      <c r="OEX126" s="140"/>
      <c r="OEY126" s="140"/>
      <c r="OEZ126" s="140"/>
      <c r="OFA126" s="140"/>
      <c r="OFB126" s="140"/>
      <c r="OFC126" s="140"/>
      <c r="OFD126" s="140"/>
      <c r="OFE126" s="140"/>
      <c r="OFF126" s="140"/>
      <c r="OFG126" s="140"/>
      <c r="OFH126" s="140"/>
      <c r="OFI126" s="140"/>
      <c r="OFJ126" s="140"/>
      <c r="OFK126" s="140"/>
      <c r="OFL126" s="140"/>
      <c r="OFM126" s="140"/>
      <c r="OFN126" s="140"/>
      <c r="OFO126" s="140"/>
      <c r="OFP126" s="140"/>
      <c r="OFQ126" s="140"/>
      <c r="OFR126" s="140"/>
      <c r="OFS126" s="140"/>
      <c r="OFT126" s="140"/>
      <c r="OFU126" s="140"/>
      <c r="OFV126" s="140"/>
      <c r="OFW126" s="140"/>
      <c r="OFX126" s="140"/>
      <c r="OFY126" s="140"/>
      <c r="OFZ126" s="140"/>
      <c r="OGA126" s="140"/>
      <c r="OGB126" s="140"/>
      <c r="OGC126" s="140"/>
      <c r="OGD126" s="140"/>
      <c r="OGE126" s="140"/>
      <c r="OGF126" s="140"/>
      <c r="OGG126" s="140"/>
      <c r="OGH126" s="140"/>
      <c r="OGI126" s="140"/>
      <c r="OGJ126" s="140"/>
      <c r="OGK126" s="140"/>
      <c r="OGL126" s="140"/>
      <c r="OGM126" s="140"/>
      <c r="OGN126" s="140"/>
      <c r="OGO126" s="140"/>
      <c r="OGP126" s="140"/>
      <c r="OGQ126" s="140"/>
      <c r="OGR126" s="140"/>
      <c r="OGS126" s="140"/>
      <c r="OGT126" s="140"/>
      <c r="OGU126" s="140"/>
      <c r="OGV126" s="140"/>
      <c r="OGW126" s="140"/>
      <c r="OGX126" s="140"/>
      <c r="OGY126" s="140"/>
      <c r="OGZ126" s="140"/>
      <c r="OHA126" s="140"/>
      <c r="OHB126" s="140"/>
      <c r="OHC126" s="140"/>
      <c r="OHD126" s="140"/>
      <c r="OHE126" s="140"/>
      <c r="OHF126" s="140"/>
      <c r="OHG126" s="140"/>
      <c r="OHH126" s="140"/>
      <c r="OHI126" s="140"/>
      <c r="OHJ126" s="140"/>
      <c r="OHK126" s="140"/>
      <c r="OHL126" s="140"/>
      <c r="OHM126" s="140"/>
      <c r="OHN126" s="140"/>
      <c r="OHO126" s="140"/>
      <c r="OHP126" s="140"/>
      <c r="OHQ126" s="140"/>
      <c r="OHR126" s="140"/>
      <c r="OHS126" s="140"/>
      <c r="OHT126" s="140"/>
      <c r="OHU126" s="140"/>
      <c r="OHV126" s="140"/>
      <c r="OHW126" s="140"/>
      <c r="OHX126" s="140"/>
      <c r="OHY126" s="140"/>
      <c r="OHZ126" s="140"/>
      <c r="OIA126" s="140"/>
      <c r="OIB126" s="140"/>
      <c r="OIC126" s="140"/>
      <c r="OID126" s="140"/>
      <c r="OIE126" s="140"/>
      <c r="OIF126" s="140"/>
      <c r="OIG126" s="140"/>
      <c r="OIH126" s="140"/>
      <c r="OII126" s="140"/>
      <c r="OIJ126" s="140"/>
      <c r="OIK126" s="140"/>
      <c r="OIL126" s="140"/>
      <c r="OIM126" s="140"/>
      <c r="OIN126" s="140"/>
      <c r="OIO126" s="140"/>
      <c r="OIP126" s="140"/>
      <c r="OIQ126" s="140"/>
      <c r="OIR126" s="140"/>
      <c r="OIS126" s="140"/>
      <c r="OIT126" s="140"/>
      <c r="OIU126" s="140"/>
      <c r="OIV126" s="140"/>
      <c r="OIW126" s="140"/>
      <c r="OIX126" s="140"/>
      <c r="OIY126" s="140"/>
      <c r="OIZ126" s="140"/>
      <c r="OJA126" s="140"/>
      <c r="OJB126" s="140"/>
      <c r="OJC126" s="140"/>
      <c r="OJD126" s="140"/>
      <c r="OJE126" s="140"/>
      <c r="OJF126" s="140"/>
      <c r="OJG126" s="140"/>
      <c r="OJH126" s="140"/>
      <c r="OJI126" s="140"/>
      <c r="OJJ126" s="140"/>
      <c r="OJK126" s="140"/>
      <c r="OJL126" s="140"/>
      <c r="OJM126" s="140"/>
      <c r="OJN126" s="140"/>
      <c r="OJO126" s="140"/>
      <c r="OJP126" s="140"/>
      <c r="OJQ126" s="140"/>
      <c r="OJR126" s="140"/>
      <c r="OJS126" s="140"/>
      <c r="OJT126" s="140"/>
      <c r="OJU126" s="140"/>
      <c r="OJV126" s="140"/>
      <c r="OJW126" s="140"/>
      <c r="OJX126" s="140"/>
      <c r="OJY126" s="140"/>
      <c r="OJZ126" s="140"/>
      <c r="OKA126" s="140"/>
      <c r="OKB126" s="140"/>
      <c r="OKC126" s="140"/>
      <c r="OKD126" s="140"/>
      <c r="OKE126" s="140"/>
      <c r="OKF126" s="140"/>
      <c r="OKG126" s="140"/>
      <c r="OKH126" s="140"/>
      <c r="OKI126" s="140"/>
      <c r="OKJ126" s="140"/>
      <c r="OKK126" s="140"/>
      <c r="OKL126" s="140"/>
      <c r="OKM126" s="140"/>
      <c r="OKN126" s="140"/>
      <c r="OKO126" s="140"/>
      <c r="OKP126" s="140"/>
      <c r="OKQ126" s="140"/>
      <c r="OKR126" s="140"/>
      <c r="OKS126" s="140"/>
      <c r="OKT126" s="140"/>
      <c r="OKU126" s="140"/>
      <c r="OKV126" s="140"/>
      <c r="OKW126" s="140"/>
      <c r="OKX126" s="140"/>
      <c r="OKY126" s="140"/>
      <c r="OKZ126" s="140"/>
      <c r="OLA126" s="140"/>
      <c r="OLB126" s="140"/>
      <c r="OLC126" s="140"/>
      <c r="OLD126" s="140"/>
      <c r="OLE126" s="140"/>
      <c r="OLF126" s="140"/>
      <c r="OLG126" s="140"/>
      <c r="OLH126" s="140"/>
      <c r="OLI126" s="140"/>
      <c r="OLJ126" s="140"/>
      <c r="OLK126" s="140"/>
      <c r="OLL126" s="140"/>
      <c r="OLM126" s="140"/>
      <c r="OLN126" s="140"/>
      <c r="OLO126" s="140"/>
      <c r="OLP126" s="140"/>
      <c r="OLQ126" s="140"/>
      <c r="OLR126" s="140"/>
      <c r="OLS126" s="140"/>
      <c r="OLT126" s="140"/>
      <c r="OLU126" s="140"/>
      <c r="OLV126" s="140"/>
      <c r="OLW126" s="140"/>
      <c r="OLX126" s="140"/>
      <c r="OLY126" s="140"/>
      <c r="OLZ126" s="140"/>
      <c r="OMA126" s="140"/>
      <c r="OMB126" s="140"/>
      <c r="OMC126" s="140"/>
      <c r="OMD126" s="140"/>
      <c r="OME126" s="140"/>
      <c r="OMF126" s="140"/>
      <c r="OMG126" s="140"/>
      <c r="OMH126" s="140"/>
      <c r="OMI126" s="140"/>
      <c r="OMJ126" s="140"/>
      <c r="OMK126" s="140"/>
      <c r="OML126" s="140"/>
      <c r="OMM126" s="140"/>
      <c r="OMN126" s="140"/>
      <c r="OMO126" s="140"/>
      <c r="OMP126" s="140"/>
      <c r="OMQ126" s="140"/>
      <c r="OMR126" s="140"/>
      <c r="OMS126" s="140"/>
      <c r="OMT126" s="140"/>
      <c r="OMU126" s="140"/>
      <c r="OMV126" s="140"/>
      <c r="OMW126" s="140"/>
      <c r="OMX126" s="140"/>
      <c r="OMY126" s="140"/>
      <c r="OMZ126" s="140"/>
      <c r="ONA126" s="140"/>
      <c r="ONB126" s="140"/>
      <c r="ONC126" s="140"/>
      <c r="OND126" s="140"/>
      <c r="ONE126" s="140"/>
      <c r="ONF126" s="140"/>
      <c r="ONG126" s="140"/>
      <c r="ONH126" s="140"/>
      <c r="ONI126" s="140"/>
      <c r="ONJ126" s="140"/>
      <c r="ONK126" s="140"/>
      <c r="ONL126" s="140"/>
      <c r="ONM126" s="140"/>
      <c r="ONN126" s="140"/>
      <c r="ONO126" s="140"/>
      <c r="ONP126" s="140"/>
      <c r="ONQ126" s="140"/>
      <c r="ONR126" s="140"/>
      <c r="ONS126" s="140"/>
      <c r="ONT126" s="140"/>
      <c r="ONU126" s="140"/>
      <c r="ONV126" s="140"/>
      <c r="ONW126" s="140"/>
      <c r="ONX126" s="140"/>
      <c r="ONY126" s="140"/>
      <c r="ONZ126" s="140"/>
      <c r="OOA126" s="140"/>
      <c r="OOB126" s="140"/>
      <c r="OOC126" s="140"/>
      <c r="OOD126" s="140"/>
      <c r="OOE126" s="140"/>
      <c r="OOF126" s="140"/>
      <c r="OOG126" s="140"/>
      <c r="OOH126" s="140"/>
      <c r="OOI126" s="140"/>
      <c r="OOJ126" s="140"/>
      <c r="OOK126" s="140"/>
      <c r="OOL126" s="140"/>
      <c r="OOM126" s="140"/>
      <c r="OON126" s="140"/>
      <c r="OOO126" s="140"/>
      <c r="OOP126" s="140"/>
      <c r="OOQ126" s="140"/>
      <c r="OOR126" s="140"/>
      <c r="OOS126" s="140"/>
      <c r="OOT126" s="140"/>
      <c r="OOU126" s="140"/>
      <c r="OOV126" s="140"/>
      <c r="OOW126" s="140"/>
      <c r="OOX126" s="140"/>
      <c r="OOY126" s="140"/>
      <c r="OOZ126" s="140"/>
      <c r="OPA126" s="140"/>
      <c r="OPB126" s="140"/>
      <c r="OPC126" s="140"/>
      <c r="OPD126" s="140"/>
      <c r="OPE126" s="140"/>
      <c r="OPF126" s="140"/>
      <c r="OPG126" s="140"/>
      <c r="OPH126" s="140"/>
      <c r="OPI126" s="140"/>
      <c r="OPJ126" s="140"/>
      <c r="OPK126" s="140"/>
      <c r="OPL126" s="140"/>
      <c r="OPM126" s="140"/>
      <c r="OPN126" s="140"/>
      <c r="OPO126" s="140"/>
      <c r="OPP126" s="140"/>
      <c r="OPQ126" s="140"/>
      <c r="OPR126" s="140"/>
      <c r="OPS126" s="140"/>
      <c r="OPT126" s="140"/>
      <c r="OPU126" s="140"/>
      <c r="OPV126" s="140"/>
      <c r="OPW126" s="140"/>
      <c r="OPX126" s="140"/>
      <c r="OPY126" s="140"/>
      <c r="OPZ126" s="140"/>
      <c r="OQA126" s="140"/>
      <c r="OQB126" s="140"/>
      <c r="OQC126" s="140"/>
      <c r="OQD126" s="140"/>
      <c r="OQE126" s="140"/>
      <c r="OQF126" s="140"/>
      <c r="OQG126" s="140"/>
      <c r="OQH126" s="140"/>
      <c r="OQI126" s="140"/>
      <c r="OQJ126" s="140"/>
      <c r="OQK126" s="140"/>
      <c r="OQL126" s="140"/>
      <c r="OQM126" s="140"/>
      <c r="OQN126" s="140"/>
      <c r="OQO126" s="140"/>
      <c r="OQP126" s="140"/>
      <c r="OQQ126" s="140"/>
      <c r="OQR126" s="140"/>
      <c r="OQS126" s="140"/>
      <c r="OQT126" s="140"/>
      <c r="OQU126" s="140"/>
      <c r="OQV126" s="140"/>
      <c r="OQW126" s="140"/>
      <c r="OQX126" s="140"/>
      <c r="OQY126" s="140"/>
      <c r="OQZ126" s="140"/>
      <c r="ORA126" s="140"/>
      <c r="ORB126" s="140"/>
      <c r="ORC126" s="140"/>
      <c r="ORD126" s="140"/>
      <c r="ORE126" s="140"/>
      <c r="ORF126" s="140"/>
      <c r="ORG126" s="140"/>
      <c r="ORH126" s="140"/>
      <c r="ORI126" s="140"/>
      <c r="ORJ126" s="140"/>
      <c r="ORK126" s="140"/>
      <c r="ORL126" s="140"/>
      <c r="ORM126" s="140"/>
      <c r="ORN126" s="140"/>
      <c r="ORO126" s="140"/>
      <c r="ORP126" s="140"/>
      <c r="ORQ126" s="140"/>
      <c r="ORR126" s="140"/>
      <c r="ORS126" s="140"/>
      <c r="ORT126" s="140"/>
      <c r="ORU126" s="140"/>
      <c r="ORV126" s="140"/>
      <c r="ORW126" s="140"/>
      <c r="ORX126" s="140"/>
      <c r="ORY126" s="140"/>
      <c r="ORZ126" s="140"/>
      <c r="OSA126" s="140"/>
      <c r="OSB126" s="140"/>
      <c r="OSC126" s="140"/>
      <c r="OSD126" s="140"/>
      <c r="OSE126" s="140"/>
      <c r="OSF126" s="140"/>
      <c r="OSG126" s="140"/>
      <c r="OSH126" s="140"/>
      <c r="OSI126" s="140"/>
      <c r="OSJ126" s="140"/>
      <c r="OSK126" s="140"/>
      <c r="OSL126" s="140"/>
      <c r="OSM126" s="140"/>
      <c r="OSN126" s="140"/>
      <c r="OSO126" s="140"/>
      <c r="OSP126" s="140"/>
      <c r="OSQ126" s="140"/>
      <c r="OSR126" s="140"/>
      <c r="OSS126" s="140"/>
      <c r="OST126" s="140"/>
      <c r="OSU126" s="140"/>
      <c r="OSV126" s="140"/>
      <c r="OSW126" s="140"/>
      <c r="OSX126" s="140"/>
      <c r="OSY126" s="140"/>
      <c r="OSZ126" s="140"/>
      <c r="OTA126" s="140"/>
      <c r="OTB126" s="140"/>
      <c r="OTC126" s="140"/>
      <c r="OTD126" s="140"/>
      <c r="OTE126" s="140"/>
      <c r="OTF126" s="140"/>
      <c r="OTG126" s="140"/>
      <c r="OTH126" s="140"/>
      <c r="OTI126" s="140"/>
      <c r="OTJ126" s="140"/>
      <c r="OTK126" s="140"/>
      <c r="OTL126" s="140"/>
      <c r="OTM126" s="140"/>
      <c r="OTN126" s="140"/>
      <c r="OTO126" s="140"/>
      <c r="OTP126" s="140"/>
      <c r="OTQ126" s="140"/>
      <c r="OTR126" s="140"/>
      <c r="OTS126" s="140"/>
      <c r="OTT126" s="140"/>
      <c r="OTU126" s="140"/>
      <c r="OTV126" s="140"/>
      <c r="OTW126" s="140"/>
      <c r="OTX126" s="140"/>
      <c r="OTY126" s="140"/>
      <c r="OTZ126" s="140"/>
      <c r="OUA126" s="140"/>
      <c r="OUB126" s="140"/>
      <c r="OUC126" s="140"/>
      <c r="OUD126" s="140"/>
      <c r="OUE126" s="140"/>
      <c r="OUF126" s="140"/>
      <c r="OUG126" s="140"/>
      <c r="OUH126" s="140"/>
      <c r="OUI126" s="140"/>
      <c r="OUJ126" s="140"/>
      <c r="OUK126" s="140"/>
      <c r="OUL126" s="140"/>
      <c r="OUM126" s="140"/>
      <c r="OUN126" s="140"/>
      <c r="OUO126" s="140"/>
      <c r="OUP126" s="140"/>
      <c r="OUQ126" s="140"/>
      <c r="OUR126" s="140"/>
      <c r="OUS126" s="140"/>
      <c r="OUT126" s="140"/>
      <c r="OUU126" s="140"/>
      <c r="OUV126" s="140"/>
      <c r="OUW126" s="140"/>
      <c r="OUX126" s="140"/>
      <c r="OUY126" s="140"/>
      <c r="OUZ126" s="140"/>
      <c r="OVA126" s="140"/>
      <c r="OVB126" s="140"/>
      <c r="OVC126" s="140"/>
      <c r="OVD126" s="140"/>
      <c r="OVE126" s="140"/>
      <c r="OVF126" s="140"/>
      <c r="OVG126" s="140"/>
      <c r="OVH126" s="140"/>
      <c r="OVI126" s="140"/>
      <c r="OVJ126" s="140"/>
      <c r="OVK126" s="140"/>
      <c r="OVL126" s="140"/>
      <c r="OVM126" s="140"/>
      <c r="OVN126" s="140"/>
      <c r="OVO126" s="140"/>
      <c r="OVP126" s="140"/>
      <c r="OVQ126" s="140"/>
      <c r="OVR126" s="140"/>
      <c r="OVS126" s="140"/>
      <c r="OVT126" s="140"/>
      <c r="OVU126" s="140"/>
      <c r="OVV126" s="140"/>
      <c r="OVW126" s="140"/>
      <c r="OVX126" s="140"/>
      <c r="OVY126" s="140"/>
      <c r="OVZ126" s="140"/>
      <c r="OWA126" s="140"/>
      <c r="OWB126" s="140"/>
      <c r="OWC126" s="140"/>
      <c r="OWD126" s="140"/>
      <c r="OWE126" s="140"/>
      <c r="OWF126" s="140"/>
      <c r="OWG126" s="140"/>
      <c r="OWH126" s="140"/>
      <c r="OWI126" s="140"/>
      <c r="OWJ126" s="140"/>
      <c r="OWK126" s="140"/>
      <c r="OWL126" s="140"/>
      <c r="OWM126" s="140"/>
      <c r="OWN126" s="140"/>
      <c r="OWO126" s="140"/>
      <c r="OWP126" s="140"/>
      <c r="OWQ126" s="140"/>
      <c r="OWR126" s="140"/>
      <c r="OWS126" s="140"/>
      <c r="OWT126" s="140"/>
      <c r="OWU126" s="140"/>
      <c r="OWV126" s="140"/>
      <c r="OWW126" s="140"/>
      <c r="OWX126" s="140"/>
      <c r="OWY126" s="140"/>
      <c r="OWZ126" s="140"/>
      <c r="OXA126" s="140"/>
      <c r="OXB126" s="140"/>
      <c r="OXC126" s="140"/>
      <c r="OXD126" s="140"/>
      <c r="OXE126" s="140"/>
      <c r="OXF126" s="140"/>
      <c r="OXG126" s="140"/>
      <c r="OXH126" s="140"/>
      <c r="OXI126" s="140"/>
      <c r="OXJ126" s="140"/>
      <c r="OXK126" s="140"/>
      <c r="OXL126" s="140"/>
      <c r="OXM126" s="140"/>
      <c r="OXN126" s="140"/>
      <c r="OXO126" s="140"/>
      <c r="OXP126" s="140"/>
      <c r="OXQ126" s="140"/>
      <c r="OXR126" s="140"/>
      <c r="OXS126" s="140"/>
      <c r="OXT126" s="140"/>
      <c r="OXU126" s="140"/>
      <c r="OXV126" s="140"/>
      <c r="OXW126" s="140"/>
      <c r="OXX126" s="140"/>
      <c r="OXY126" s="140"/>
      <c r="OXZ126" s="140"/>
      <c r="OYA126" s="140"/>
      <c r="OYB126" s="140"/>
      <c r="OYC126" s="140"/>
      <c r="OYD126" s="140"/>
      <c r="OYE126" s="140"/>
      <c r="OYF126" s="140"/>
      <c r="OYG126" s="140"/>
      <c r="OYH126" s="140"/>
      <c r="OYI126" s="140"/>
      <c r="OYJ126" s="140"/>
      <c r="OYK126" s="140"/>
      <c r="OYL126" s="140"/>
      <c r="OYM126" s="140"/>
      <c r="OYN126" s="140"/>
      <c r="OYO126" s="140"/>
      <c r="OYP126" s="140"/>
      <c r="OYQ126" s="140"/>
      <c r="OYR126" s="140"/>
      <c r="OYS126" s="140"/>
      <c r="OYT126" s="140"/>
      <c r="OYU126" s="140"/>
      <c r="OYV126" s="140"/>
      <c r="OYW126" s="140"/>
      <c r="OYX126" s="140"/>
      <c r="OYY126" s="140"/>
      <c r="OYZ126" s="140"/>
      <c r="OZA126" s="140"/>
      <c r="OZB126" s="140"/>
      <c r="OZC126" s="140"/>
      <c r="OZD126" s="140"/>
      <c r="OZE126" s="140"/>
      <c r="OZF126" s="140"/>
      <c r="OZG126" s="140"/>
      <c r="OZH126" s="140"/>
      <c r="OZI126" s="140"/>
      <c r="OZJ126" s="140"/>
      <c r="OZK126" s="140"/>
      <c r="OZL126" s="140"/>
      <c r="OZM126" s="140"/>
      <c r="OZN126" s="140"/>
      <c r="OZO126" s="140"/>
      <c r="OZP126" s="140"/>
      <c r="OZQ126" s="140"/>
      <c r="OZR126" s="140"/>
      <c r="OZS126" s="140"/>
      <c r="OZT126" s="140"/>
      <c r="OZU126" s="140"/>
      <c r="OZV126" s="140"/>
      <c r="OZW126" s="140"/>
      <c r="OZX126" s="140"/>
      <c r="OZY126" s="140"/>
      <c r="OZZ126" s="140"/>
      <c r="PAA126" s="140"/>
      <c r="PAB126" s="140"/>
      <c r="PAC126" s="140"/>
      <c r="PAD126" s="140"/>
      <c r="PAE126" s="140"/>
      <c r="PAF126" s="140"/>
      <c r="PAG126" s="140"/>
      <c r="PAH126" s="140"/>
      <c r="PAI126" s="140"/>
      <c r="PAJ126" s="140"/>
      <c r="PAK126" s="140"/>
      <c r="PAL126" s="140"/>
      <c r="PAM126" s="140"/>
      <c r="PAN126" s="140"/>
      <c r="PAO126" s="140"/>
      <c r="PAP126" s="140"/>
      <c r="PAQ126" s="140"/>
      <c r="PAR126" s="140"/>
      <c r="PAS126" s="140"/>
      <c r="PAT126" s="140"/>
      <c r="PAU126" s="140"/>
      <c r="PAV126" s="140"/>
      <c r="PAW126" s="140"/>
      <c r="PAX126" s="140"/>
      <c r="PAY126" s="140"/>
      <c r="PAZ126" s="140"/>
      <c r="PBA126" s="140"/>
      <c r="PBB126" s="140"/>
      <c r="PBC126" s="140"/>
      <c r="PBD126" s="140"/>
      <c r="PBE126" s="140"/>
      <c r="PBF126" s="140"/>
      <c r="PBG126" s="140"/>
      <c r="PBH126" s="140"/>
      <c r="PBI126" s="140"/>
      <c r="PBJ126" s="140"/>
      <c r="PBK126" s="140"/>
      <c r="PBL126" s="140"/>
      <c r="PBM126" s="140"/>
      <c r="PBN126" s="140"/>
      <c r="PBO126" s="140"/>
      <c r="PBP126" s="140"/>
      <c r="PBQ126" s="140"/>
      <c r="PBR126" s="140"/>
      <c r="PBS126" s="140"/>
      <c r="PBT126" s="140"/>
      <c r="PBU126" s="140"/>
      <c r="PBV126" s="140"/>
      <c r="PBW126" s="140"/>
      <c r="PBX126" s="140"/>
      <c r="PBY126" s="140"/>
      <c r="PBZ126" s="140"/>
      <c r="PCA126" s="140"/>
      <c r="PCB126" s="140"/>
      <c r="PCC126" s="140"/>
      <c r="PCD126" s="140"/>
      <c r="PCE126" s="140"/>
      <c r="PCF126" s="140"/>
      <c r="PCG126" s="140"/>
      <c r="PCH126" s="140"/>
      <c r="PCI126" s="140"/>
      <c r="PCJ126" s="140"/>
      <c r="PCK126" s="140"/>
      <c r="PCL126" s="140"/>
      <c r="PCM126" s="140"/>
      <c r="PCN126" s="140"/>
      <c r="PCO126" s="140"/>
      <c r="PCP126" s="140"/>
      <c r="PCQ126" s="140"/>
      <c r="PCR126" s="140"/>
      <c r="PCS126" s="140"/>
      <c r="PCT126" s="140"/>
      <c r="PCU126" s="140"/>
      <c r="PCV126" s="140"/>
      <c r="PCW126" s="140"/>
      <c r="PCX126" s="140"/>
      <c r="PCY126" s="140"/>
      <c r="PCZ126" s="140"/>
      <c r="PDA126" s="140"/>
      <c r="PDB126" s="140"/>
      <c r="PDC126" s="140"/>
      <c r="PDD126" s="140"/>
      <c r="PDE126" s="140"/>
      <c r="PDF126" s="140"/>
      <c r="PDG126" s="140"/>
      <c r="PDH126" s="140"/>
      <c r="PDI126" s="140"/>
      <c r="PDJ126" s="140"/>
      <c r="PDK126" s="140"/>
      <c r="PDL126" s="140"/>
      <c r="PDM126" s="140"/>
      <c r="PDN126" s="140"/>
      <c r="PDO126" s="140"/>
      <c r="PDP126" s="140"/>
      <c r="PDQ126" s="140"/>
      <c r="PDR126" s="140"/>
      <c r="PDS126" s="140"/>
      <c r="PDT126" s="140"/>
      <c r="PDU126" s="140"/>
      <c r="PDV126" s="140"/>
      <c r="PDW126" s="140"/>
      <c r="PDX126" s="140"/>
      <c r="PDY126" s="140"/>
      <c r="PDZ126" s="140"/>
      <c r="PEA126" s="140"/>
      <c r="PEB126" s="140"/>
      <c r="PEC126" s="140"/>
      <c r="PED126" s="140"/>
      <c r="PEE126" s="140"/>
      <c r="PEF126" s="140"/>
      <c r="PEG126" s="140"/>
      <c r="PEH126" s="140"/>
      <c r="PEI126" s="140"/>
      <c r="PEJ126" s="140"/>
      <c r="PEK126" s="140"/>
      <c r="PEL126" s="140"/>
      <c r="PEM126" s="140"/>
      <c r="PEN126" s="140"/>
      <c r="PEO126" s="140"/>
      <c r="PEP126" s="140"/>
      <c r="PEQ126" s="140"/>
      <c r="PER126" s="140"/>
      <c r="PES126" s="140"/>
      <c r="PET126" s="140"/>
      <c r="PEU126" s="140"/>
      <c r="PEV126" s="140"/>
      <c r="PEW126" s="140"/>
      <c r="PEX126" s="140"/>
      <c r="PEY126" s="140"/>
      <c r="PEZ126" s="140"/>
      <c r="PFA126" s="140"/>
      <c r="PFB126" s="140"/>
      <c r="PFC126" s="140"/>
      <c r="PFD126" s="140"/>
      <c r="PFE126" s="140"/>
      <c r="PFF126" s="140"/>
      <c r="PFG126" s="140"/>
      <c r="PFH126" s="140"/>
      <c r="PFI126" s="140"/>
      <c r="PFJ126" s="140"/>
      <c r="PFK126" s="140"/>
      <c r="PFL126" s="140"/>
      <c r="PFM126" s="140"/>
      <c r="PFN126" s="140"/>
      <c r="PFO126" s="140"/>
      <c r="PFP126" s="140"/>
      <c r="PFQ126" s="140"/>
      <c r="PFR126" s="140"/>
      <c r="PFS126" s="140"/>
      <c r="PFT126" s="140"/>
      <c r="PFU126" s="140"/>
      <c r="PFV126" s="140"/>
      <c r="PFW126" s="140"/>
      <c r="PFX126" s="140"/>
      <c r="PFY126" s="140"/>
      <c r="PFZ126" s="140"/>
      <c r="PGA126" s="140"/>
      <c r="PGB126" s="140"/>
      <c r="PGC126" s="140"/>
      <c r="PGD126" s="140"/>
      <c r="PGE126" s="140"/>
      <c r="PGF126" s="140"/>
      <c r="PGG126" s="140"/>
      <c r="PGH126" s="140"/>
      <c r="PGI126" s="140"/>
      <c r="PGJ126" s="140"/>
      <c r="PGK126" s="140"/>
      <c r="PGL126" s="140"/>
      <c r="PGM126" s="140"/>
      <c r="PGN126" s="140"/>
      <c r="PGO126" s="140"/>
      <c r="PGP126" s="140"/>
      <c r="PGQ126" s="140"/>
      <c r="PGR126" s="140"/>
      <c r="PGS126" s="140"/>
      <c r="PGT126" s="140"/>
      <c r="PGU126" s="140"/>
      <c r="PGV126" s="140"/>
      <c r="PGW126" s="140"/>
      <c r="PGX126" s="140"/>
      <c r="PGY126" s="140"/>
      <c r="PGZ126" s="140"/>
      <c r="PHA126" s="140"/>
      <c r="PHB126" s="140"/>
      <c r="PHC126" s="140"/>
      <c r="PHD126" s="140"/>
      <c r="PHE126" s="140"/>
      <c r="PHF126" s="140"/>
      <c r="PHG126" s="140"/>
      <c r="PHH126" s="140"/>
      <c r="PHI126" s="140"/>
      <c r="PHJ126" s="140"/>
      <c r="PHK126" s="140"/>
      <c r="PHL126" s="140"/>
      <c r="PHM126" s="140"/>
      <c r="PHN126" s="140"/>
      <c r="PHO126" s="140"/>
      <c r="PHP126" s="140"/>
      <c r="PHQ126" s="140"/>
      <c r="PHR126" s="140"/>
      <c r="PHS126" s="140"/>
      <c r="PHT126" s="140"/>
      <c r="PHU126" s="140"/>
      <c r="PHV126" s="140"/>
      <c r="PHW126" s="140"/>
      <c r="PHX126" s="140"/>
      <c r="PHY126" s="140"/>
      <c r="PHZ126" s="140"/>
      <c r="PIA126" s="140"/>
      <c r="PIB126" s="140"/>
      <c r="PIC126" s="140"/>
      <c r="PID126" s="140"/>
      <c r="PIE126" s="140"/>
      <c r="PIF126" s="140"/>
      <c r="PIG126" s="140"/>
      <c r="PIH126" s="140"/>
      <c r="PII126" s="140"/>
      <c r="PIJ126" s="140"/>
      <c r="PIK126" s="140"/>
      <c r="PIL126" s="140"/>
      <c r="PIM126" s="140"/>
      <c r="PIN126" s="140"/>
      <c r="PIO126" s="140"/>
      <c r="PIP126" s="140"/>
      <c r="PIQ126" s="140"/>
      <c r="PIR126" s="140"/>
      <c r="PIS126" s="140"/>
      <c r="PIT126" s="140"/>
      <c r="PIU126" s="140"/>
      <c r="PIV126" s="140"/>
      <c r="PIW126" s="140"/>
      <c r="PIX126" s="140"/>
      <c r="PIY126" s="140"/>
      <c r="PIZ126" s="140"/>
      <c r="PJA126" s="140"/>
      <c r="PJB126" s="140"/>
      <c r="PJC126" s="140"/>
      <c r="PJD126" s="140"/>
      <c r="PJE126" s="140"/>
      <c r="PJF126" s="140"/>
      <c r="PJG126" s="140"/>
      <c r="PJH126" s="140"/>
      <c r="PJI126" s="140"/>
      <c r="PJJ126" s="140"/>
      <c r="PJK126" s="140"/>
      <c r="PJL126" s="140"/>
      <c r="PJM126" s="140"/>
      <c r="PJN126" s="140"/>
      <c r="PJO126" s="140"/>
      <c r="PJP126" s="140"/>
      <c r="PJQ126" s="140"/>
      <c r="PJR126" s="140"/>
      <c r="PJS126" s="140"/>
      <c r="PJT126" s="140"/>
      <c r="PJU126" s="140"/>
      <c r="PJV126" s="140"/>
      <c r="PJW126" s="140"/>
      <c r="PJX126" s="140"/>
      <c r="PJY126" s="140"/>
      <c r="PJZ126" s="140"/>
      <c r="PKA126" s="140"/>
      <c r="PKB126" s="140"/>
      <c r="PKC126" s="140"/>
      <c r="PKD126" s="140"/>
      <c r="PKE126" s="140"/>
      <c r="PKF126" s="140"/>
      <c r="PKG126" s="140"/>
      <c r="PKH126" s="140"/>
      <c r="PKI126" s="140"/>
      <c r="PKJ126" s="140"/>
      <c r="PKK126" s="140"/>
      <c r="PKL126" s="140"/>
      <c r="PKM126" s="140"/>
      <c r="PKN126" s="140"/>
      <c r="PKO126" s="140"/>
      <c r="PKP126" s="140"/>
      <c r="PKQ126" s="140"/>
      <c r="PKR126" s="140"/>
      <c r="PKS126" s="140"/>
      <c r="PKT126" s="140"/>
      <c r="PKU126" s="140"/>
      <c r="PKV126" s="140"/>
      <c r="PKW126" s="140"/>
      <c r="PKX126" s="140"/>
      <c r="PKY126" s="140"/>
      <c r="PKZ126" s="140"/>
      <c r="PLA126" s="140"/>
      <c r="PLB126" s="140"/>
      <c r="PLC126" s="140"/>
      <c r="PLD126" s="140"/>
      <c r="PLE126" s="140"/>
      <c r="PLF126" s="140"/>
      <c r="PLG126" s="140"/>
      <c r="PLH126" s="140"/>
      <c r="PLI126" s="140"/>
      <c r="PLJ126" s="140"/>
      <c r="PLK126" s="140"/>
      <c r="PLL126" s="140"/>
      <c r="PLM126" s="140"/>
      <c r="PLN126" s="140"/>
      <c r="PLO126" s="140"/>
      <c r="PLP126" s="140"/>
      <c r="PLQ126" s="140"/>
      <c r="PLR126" s="140"/>
      <c r="PLS126" s="140"/>
      <c r="PLT126" s="140"/>
      <c r="PLU126" s="140"/>
      <c r="PLV126" s="140"/>
      <c r="PLW126" s="140"/>
      <c r="PLX126" s="140"/>
      <c r="PLY126" s="140"/>
      <c r="PLZ126" s="140"/>
      <c r="PMA126" s="140"/>
      <c r="PMB126" s="140"/>
      <c r="PMC126" s="140"/>
      <c r="PMD126" s="140"/>
      <c r="PME126" s="140"/>
      <c r="PMF126" s="140"/>
      <c r="PMG126" s="140"/>
      <c r="PMH126" s="140"/>
      <c r="PMI126" s="140"/>
      <c r="PMJ126" s="140"/>
      <c r="PMK126" s="140"/>
      <c r="PML126" s="140"/>
      <c r="PMM126" s="140"/>
      <c r="PMN126" s="140"/>
      <c r="PMO126" s="140"/>
      <c r="PMP126" s="140"/>
      <c r="PMQ126" s="140"/>
      <c r="PMR126" s="140"/>
      <c r="PMS126" s="140"/>
      <c r="PMT126" s="140"/>
      <c r="PMU126" s="140"/>
      <c r="PMV126" s="140"/>
      <c r="PMW126" s="140"/>
      <c r="PMX126" s="140"/>
      <c r="PMY126" s="140"/>
      <c r="PMZ126" s="140"/>
      <c r="PNA126" s="140"/>
      <c r="PNB126" s="140"/>
      <c r="PNC126" s="140"/>
      <c r="PND126" s="140"/>
      <c r="PNE126" s="140"/>
      <c r="PNF126" s="140"/>
      <c r="PNG126" s="140"/>
      <c r="PNH126" s="140"/>
      <c r="PNI126" s="140"/>
      <c r="PNJ126" s="140"/>
      <c r="PNK126" s="140"/>
      <c r="PNL126" s="140"/>
      <c r="PNM126" s="140"/>
      <c r="PNN126" s="140"/>
      <c r="PNO126" s="140"/>
      <c r="PNP126" s="140"/>
      <c r="PNQ126" s="140"/>
      <c r="PNR126" s="140"/>
      <c r="PNS126" s="140"/>
      <c r="PNT126" s="140"/>
      <c r="PNU126" s="140"/>
      <c r="PNV126" s="140"/>
      <c r="PNW126" s="140"/>
      <c r="PNX126" s="140"/>
      <c r="PNY126" s="140"/>
      <c r="PNZ126" s="140"/>
      <c r="POA126" s="140"/>
      <c r="POB126" s="140"/>
      <c r="POC126" s="140"/>
      <c r="POD126" s="140"/>
      <c r="POE126" s="140"/>
      <c r="POF126" s="140"/>
      <c r="POG126" s="140"/>
      <c r="POH126" s="140"/>
      <c r="POI126" s="140"/>
      <c r="POJ126" s="140"/>
      <c r="POK126" s="140"/>
      <c r="POL126" s="140"/>
      <c r="POM126" s="140"/>
      <c r="PON126" s="140"/>
      <c r="POO126" s="140"/>
      <c r="POP126" s="140"/>
      <c r="POQ126" s="140"/>
      <c r="POR126" s="140"/>
      <c r="POS126" s="140"/>
      <c r="POT126" s="140"/>
      <c r="POU126" s="140"/>
      <c r="POV126" s="140"/>
      <c r="POW126" s="140"/>
      <c r="POX126" s="140"/>
      <c r="POY126" s="140"/>
      <c r="POZ126" s="140"/>
      <c r="PPA126" s="140"/>
      <c r="PPB126" s="140"/>
      <c r="PPC126" s="140"/>
      <c r="PPD126" s="140"/>
      <c r="PPE126" s="140"/>
      <c r="PPF126" s="140"/>
      <c r="PPG126" s="140"/>
      <c r="PPH126" s="140"/>
      <c r="PPI126" s="140"/>
      <c r="PPJ126" s="140"/>
      <c r="PPK126" s="140"/>
      <c r="PPL126" s="140"/>
      <c r="PPM126" s="140"/>
      <c r="PPN126" s="140"/>
      <c r="PPO126" s="140"/>
      <c r="PPP126" s="140"/>
      <c r="PPQ126" s="140"/>
      <c r="PPR126" s="140"/>
      <c r="PPS126" s="140"/>
      <c r="PPT126" s="140"/>
      <c r="PPU126" s="140"/>
      <c r="PPV126" s="140"/>
      <c r="PPW126" s="140"/>
      <c r="PPX126" s="140"/>
      <c r="PPY126" s="140"/>
      <c r="PPZ126" s="140"/>
      <c r="PQA126" s="140"/>
      <c r="PQB126" s="140"/>
      <c r="PQC126" s="140"/>
      <c r="PQD126" s="140"/>
      <c r="PQE126" s="140"/>
      <c r="PQF126" s="140"/>
      <c r="PQG126" s="140"/>
      <c r="PQH126" s="140"/>
      <c r="PQI126" s="140"/>
      <c r="PQJ126" s="140"/>
      <c r="PQK126" s="140"/>
      <c r="PQL126" s="140"/>
      <c r="PQM126" s="140"/>
      <c r="PQN126" s="140"/>
      <c r="PQO126" s="140"/>
      <c r="PQP126" s="140"/>
      <c r="PQQ126" s="140"/>
      <c r="PQR126" s="140"/>
      <c r="PQS126" s="140"/>
      <c r="PQT126" s="140"/>
      <c r="PQU126" s="140"/>
      <c r="PQV126" s="140"/>
      <c r="PQW126" s="140"/>
      <c r="PQX126" s="140"/>
      <c r="PQY126" s="140"/>
      <c r="PQZ126" s="140"/>
      <c r="PRA126" s="140"/>
      <c r="PRB126" s="140"/>
      <c r="PRC126" s="140"/>
      <c r="PRD126" s="140"/>
      <c r="PRE126" s="140"/>
      <c r="PRF126" s="140"/>
      <c r="PRG126" s="140"/>
      <c r="PRH126" s="140"/>
      <c r="PRI126" s="140"/>
      <c r="PRJ126" s="140"/>
      <c r="PRK126" s="140"/>
      <c r="PRL126" s="140"/>
      <c r="PRM126" s="140"/>
      <c r="PRN126" s="140"/>
      <c r="PRO126" s="140"/>
      <c r="PRP126" s="140"/>
      <c r="PRQ126" s="140"/>
      <c r="PRR126" s="140"/>
      <c r="PRS126" s="140"/>
      <c r="PRT126" s="140"/>
      <c r="PRU126" s="140"/>
      <c r="PRV126" s="140"/>
      <c r="PRW126" s="140"/>
      <c r="PRX126" s="140"/>
      <c r="PRY126" s="140"/>
      <c r="PRZ126" s="140"/>
      <c r="PSA126" s="140"/>
      <c r="PSB126" s="140"/>
      <c r="PSC126" s="140"/>
      <c r="PSD126" s="140"/>
      <c r="PSE126" s="140"/>
      <c r="PSF126" s="140"/>
      <c r="PSG126" s="140"/>
      <c r="PSH126" s="140"/>
      <c r="PSI126" s="140"/>
      <c r="PSJ126" s="140"/>
      <c r="PSK126" s="140"/>
      <c r="PSL126" s="140"/>
      <c r="PSM126" s="140"/>
      <c r="PSN126" s="140"/>
      <c r="PSO126" s="140"/>
      <c r="PSP126" s="140"/>
      <c r="PSQ126" s="140"/>
      <c r="PSR126" s="140"/>
      <c r="PSS126" s="140"/>
      <c r="PST126" s="140"/>
      <c r="PSU126" s="140"/>
      <c r="PSV126" s="140"/>
      <c r="PSW126" s="140"/>
      <c r="PSX126" s="140"/>
      <c r="PSY126" s="140"/>
      <c r="PSZ126" s="140"/>
      <c r="PTA126" s="140"/>
      <c r="PTB126" s="140"/>
      <c r="PTC126" s="140"/>
      <c r="PTD126" s="140"/>
      <c r="PTE126" s="140"/>
      <c r="PTF126" s="140"/>
      <c r="PTG126" s="140"/>
      <c r="PTH126" s="140"/>
      <c r="PTI126" s="140"/>
      <c r="PTJ126" s="140"/>
      <c r="PTK126" s="140"/>
      <c r="PTL126" s="140"/>
      <c r="PTM126" s="140"/>
      <c r="PTN126" s="140"/>
      <c r="PTO126" s="140"/>
      <c r="PTP126" s="140"/>
      <c r="PTQ126" s="140"/>
      <c r="PTR126" s="140"/>
      <c r="PTS126" s="140"/>
      <c r="PTT126" s="140"/>
      <c r="PTU126" s="140"/>
      <c r="PTV126" s="140"/>
      <c r="PTW126" s="140"/>
      <c r="PTX126" s="140"/>
      <c r="PTY126" s="140"/>
      <c r="PTZ126" s="140"/>
      <c r="PUA126" s="140"/>
      <c r="PUB126" s="140"/>
      <c r="PUC126" s="140"/>
      <c r="PUD126" s="140"/>
      <c r="PUE126" s="140"/>
      <c r="PUF126" s="140"/>
      <c r="PUG126" s="140"/>
      <c r="PUH126" s="140"/>
      <c r="PUI126" s="140"/>
      <c r="PUJ126" s="140"/>
      <c r="PUK126" s="140"/>
      <c r="PUL126" s="140"/>
      <c r="PUM126" s="140"/>
      <c r="PUN126" s="140"/>
      <c r="PUO126" s="140"/>
      <c r="PUP126" s="140"/>
      <c r="PUQ126" s="140"/>
      <c r="PUR126" s="140"/>
      <c r="PUS126" s="140"/>
      <c r="PUT126" s="140"/>
      <c r="PUU126" s="140"/>
      <c r="PUV126" s="140"/>
      <c r="PUW126" s="140"/>
      <c r="PUX126" s="140"/>
      <c r="PUY126" s="140"/>
      <c r="PUZ126" s="140"/>
      <c r="PVA126" s="140"/>
      <c r="PVB126" s="140"/>
      <c r="PVC126" s="140"/>
      <c r="PVD126" s="140"/>
      <c r="PVE126" s="140"/>
      <c r="PVF126" s="140"/>
      <c r="PVG126" s="140"/>
      <c r="PVH126" s="140"/>
      <c r="PVI126" s="140"/>
      <c r="PVJ126" s="140"/>
      <c r="PVK126" s="140"/>
      <c r="PVL126" s="140"/>
      <c r="PVM126" s="140"/>
      <c r="PVN126" s="140"/>
      <c r="PVO126" s="140"/>
      <c r="PVP126" s="140"/>
      <c r="PVQ126" s="140"/>
      <c r="PVR126" s="140"/>
      <c r="PVS126" s="140"/>
      <c r="PVT126" s="140"/>
      <c r="PVU126" s="140"/>
      <c r="PVV126" s="140"/>
      <c r="PVW126" s="140"/>
      <c r="PVX126" s="140"/>
      <c r="PVY126" s="140"/>
      <c r="PVZ126" s="140"/>
      <c r="PWA126" s="140"/>
      <c r="PWB126" s="140"/>
      <c r="PWC126" s="140"/>
      <c r="PWD126" s="140"/>
      <c r="PWE126" s="140"/>
      <c r="PWF126" s="140"/>
      <c r="PWG126" s="140"/>
      <c r="PWH126" s="140"/>
      <c r="PWI126" s="140"/>
      <c r="PWJ126" s="140"/>
      <c r="PWK126" s="140"/>
      <c r="PWL126" s="140"/>
      <c r="PWM126" s="140"/>
      <c r="PWN126" s="140"/>
      <c r="PWO126" s="140"/>
      <c r="PWP126" s="140"/>
      <c r="PWQ126" s="140"/>
      <c r="PWR126" s="140"/>
      <c r="PWS126" s="140"/>
      <c r="PWT126" s="140"/>
      <c r="PWU126" s="140"/>
      <c r="PWV126" s="140"/>
      <c r="PWW126" s="140"/>
      <c r="PWX126" s="140"/>
      <c r="PWY126" s="140"/>
      <c r="PWZ126" s="140"/>
      <c r="PXA126" s="140"/>
      <c r="PXB126" s="140"/>
      <c r="PXC126" s="140"/>
      <c r="PXD126" s="140"/>
      <c r="PXE126" s="140"/>
      <c r="PXF126" s="140"/>
      <c r="PXG126" s="140"/>
      <c r="PXH126" s="140"/>
      <c r="PXI126" s="140"/>
      <c r="PXJ126" s="140"/>
      <c r="PXK126" s="140"/>
      <c r="PXL126" s="140"/>
      <c r="PXM126" s="140"/>
      <c r="PXN126" s="140"/>
      <c r="PXO126" s="140"/>
      <c r="PXP126" s="140"/>
      <c r="PXQ126" s="140"/>
      <c r="PXR126" s="140"/>
      <c r="PXS126" s="140"/>
      <c r="PXT126" s="140"/>
      <c r="PXU126" s="140"/>
      <c r="PXV126" s="140"/>
      <c r="PXW126" s="140"/>
      <c r="PXX126" s="140"/>
      <c r="PXY126" s="140"/>
      <c r="PXZ126" s="140"/>
      <c r="PYA126" s="140"/>
      <c r="PYB126" s="140"/>
      <c r="PYC126" s="140"/>
      <c r="PYD126" s="140"/>
      <c r="PYE126" s="140"/>
      <c r="PYF126" s="140"/>
      <c r="PYG126" s="140"/>
      <c r="PYH126" s="140"/>
      <c r="PYI126" s="140"/>
      <c r="PYJ126" s="140"/>
      <c r="PYK126" s="140"/>
      <c r="PYL126" s="140"/>
      <c r="PYM126" s="140"/>
      <c r="PYN126" s="140"/>
      <c r="PYO126" s="140"/>
      <c r="PYP126" s="140"/>
      <c r="PYQ126" s="140"/>
      <c r="PYR126" s="140"/>
      <c r="PYS126" s="140"/>
      <c r="PYT126" s="140"/>
      <c r="PYU126" s="140"/>
      <c r="PYV126" s="140"/>
      <c r="PYW126" s="140"/>
      <c r="PYX126" s="140"/>
      <c r="PYY126" s="140"/>
      <c r="PYZ126" s="140"/>
      <c r="PZA126" s="140"/>
      <c r="PZB126" s="140"/>
      <c r="PZC126" s="140"/>
      <c r="PZD126" s="140"/>
      <c r="PZE126" s="140"/>
      <c r="PZF126" s="140"/>
      <c r="PZG126" s="140"/>
      <c r="PZH126" s="140"/>
      <c r="PZI126" s="140"/>
      <c r="PZJ126" s="140"/>
      <c r="PZK126" s="140"/>
      <c r="PZL126" s="140"/>
      <c r="PZM126" s="140"/>
      <c r="PZN126" s="140"/>
      <c r="PZO126" s="140"/>
      <c r="PZP126" s="140"/>
      <c r="PZQ126" s="140"/>
      <c r="PZR126" s="140"/>
      <c r="PZS126" s="140"/>
      <c r="PZT126" s="140"/>
      <c r="PZU126" s="140"/>
      <c r="PZV126" s="140"/>
      <c r="PZW126" s="140"/>
      <c r="PZX126" s="140"/>
      <c r="PZY126" s="140"/>
      <c r="PZZ126" s="140"/>
      <c r="QAA126" s="140"/>
      <c r="QAB126" s="140"/>
      <c r="QAC126" s="140"/>
      <c r="QAD126" s="140"/>
      <c r="QAE126" s="140"/>
      <c r="QAF126" s="140"/>
      <c r="QAG126" s="140"/>
      <c r="QAH126" s="140"/>
      <c r="QAI126" s="140"/>
      <c r="QAJ126" s="140"/>
      <c r="QAK126" s="140"/>
      <c r="QAL126" s="140"/>
      <c r="QAM126" s="140"/>
      <c r="QAN126" s="140"/>
      <c r="QAO126" s="140"/>
      <c r="QAP126" s="140"/>
      <c r="QAQ126" s="140"/>
      <c r="QAR126" s="140"/>
      <c r="QAS126" s="140"/>
      <c r="QAT126" s="140"/>
      <c r="QAU126" s="140"/>
      <c r="QAV126" s="140"/>
      <c r="QAW126" s="140"/>
      <c r="QAX126" s="140"/>
      <c r="QAY126" s="140"/>
      <c r="QAZ126" s="140"/>
      <c r="QBA126" s="140"/>
      <c r="QBB126" s="140"/>
      <c r="QBC126" s="140"/>
      <c r="QBD126" s="140"/>
      <c r="QBE126" s="140"/>
      <c r="QBF126" s="140"/>
      <c r="QBG126" s="140"/>
      <c r="QBH126" s="140"/>
      <c r="QBI126" s="140"/>
      <c r="QBJ126" s="140"/>
      <c r="QBK126" s="140"/>
      <c r="QBL126" s="140"/>
      <c r="QBM126" s="140"/>
      <c r="QBN126" s="140"/>
      <c r="QBO126" s="140"/>
      <c r="QBP126" s="140"/>
      <c r="QBQ126" s="140"/>
      <c r="QBR126" s="140"/>
      <c r="QBS126" s="140"/>
      <c r="QBT126" s="140"/>
      <c r="QBU126" s="140"/>
      <c r="QBV126" s="140"/>
      <c r="QBW126" s="140"/>
      <c r="QBX126" s="140"/>
      <c r="QBY126" s="140"/>
      <c r="QBZ126" s="140"/>
      <c r="QCA126" s="140"/>
      <c r="QCB126" s="140"/>
      <c r="QCC126" s="140"/>
      <c r="QCD126" s="140"/>
      <c r="QCE126" s="140"/>
      <c r="QCF126" s="140"/>
      <c r="QCG126" s="140"/>
      <c r="QCH126" s="140"/>
      <c r="QCI126" s="140"/>
      <c r="QCJ126" s="140"/>
      <c r="QCK126" s="140"/>
      <c r="QCL126" s="140"/>
      <c r="QCM126" s="140"/>
      <c r="QCN126" s="140"/>
      <c r="QCO126" s="140"/>
      <c r="QCP126" s="140"/>
      <c r="QCQ126" s="140"/>
      <c r="QCR126" s="140"/>
      <c r="QCS126" s="140"/>
      <c r="QCT126" s="140"/>
      <c r="QCU126" s="140"/>
      <c r="QCV126" s="140"/>
      <c r="QCW126" s="140"/>
      <c r="QCX126" s="140"/>
      <c r="QCY126" s="140"/>
      <c r="QCZ126" s="140"/>
      <c r="QDA126" s="140"/>
      <c r="QDB126" s="140"/>
      <c r="QDC126" s="140"/>
      <c r="QDD126" s="140"/>
      <c r="QDE126" s="140"/>
      <c r="QDF126" s="140"/>
      <c r="QDG126" s="140"/>
      <c r="QDH126" s="140"/>
      <c r="QDI126" s="140"/>
      <c r="QDJ126" s="140"/>
      <c r="QDK126" s="140"/>
      <c r="QDL126" s="140"/>
      <c r="QDM126" s="140"/>
      <c r="QDN126" s="140"/>
      <c r="QDO126" s="140"/>
      <c r="QDP126" s="140"/>
      <c r="QDQ126" s="140"/>
      <c r="QDR126" s="140"/>
      <c r="QDS126" s="140"/>
      <c r="QDT126" s="140"/>
      <c r="QDU126" s="140"/>
      <c r="QDV126" s="140"/>
      <c r="QDW126" s="140"/>
      <c r="QDX126" s="140"/>
      <c r="QDY126" s="140"/>
      <c r="QDZ126" s="140"/>
      <c r="QEA126" s="140"/>
      <c r="QEB126" s="140"/>
      <c r="QEC126" s="140"/>
      <c r="QED126" s="140"/>
      <c r="QEE126" s="140"/>
      <c r="QEF126" s="140"/>
      <c r="QEG126" s="140"/>
      <c r="QEH126" s="140"/>
      <c r="QEI126" s="140"/>
      <c r="QEJ126" s="140"/>
      <c r="QEK126" s="140"/>
      <c r="QEL126" s="140"/>
      <c r="QEM126" s="140"/>
      <c r="QEN126" s="140"/>
      <c r="QEO126" s="140"/>
      <c r="QEP126" s="140"/>
      <c r="QEQ126" s="140"/>
      <c r="QER126" s="140"/>
      <c r="QES126" s="140"/>
      <c r="QET126" s="140"/>
      <c r="QEU126" s="140"/>
      <c r="QEV126" s="140"/>
      <c r="QEW126" s="140"/>
      <c r="QEX126" s="140"/>
      <c r="QEY126" s="140"/>
      <c r="QEZ126" s="140"/>
      <c r="QFA126" s="140"/>
      <c r="QFB126" s="140"/>
      <c r="QFC126" s="140"/>
      <c r="QFD126" s="140"/>
      <c r="QFE126" s="140"/>
      <c r="QFF126" s="140"/>
      <c r="QFG126" s="140"/>
      <c r="QFH126" s="140"/>
      <c r="QFI126" s="140"/>
      <c r="QFJ126" s="140"/>
      <c r="QFK126" s="140"/>
      <c r="QFL126" s="140"/>
      <c r="QFM126" s="140"/>
      <c r="QFN126" s="140"/>
      <c r="QFO126" s="140"/>
      <c r="QFP126" s="140"/>
      <c r="QFQ126" s="140"/>
      <c r="QFR126" s="140"/>
      <c r="QFS126" s="140"/>
      <c r="QFT126" s="140"/>
      <c r="QFU126" s="140"/>
      <c r="QFV126" s="140"/>
      <c r="QFW126" s="140"/>
      <c r="QFX126" s="140"/>
      <c r="QFY126" s="140"/>
      <c r="QFZ126" s="140"/>
      <c r="QGA126" s="140"/>
      <c r="QGB126" s="140"/>
      <c r="QGC126" s="140"/>
      <c r="QGD126" s="140"/>
      <c r="QGE126" s="140"/>
      <c r="QGF126" s="140"/>
      <c r="QGG126" s="140"/>
      <c r="QGH126" s="140"/>
      <c r="QGI126" s="140"/>
      <c r="QGJ126" s="140"/>
      <c r="QGK126" s="140"/>
      <c r="QGL126" s="140"/>
      <c r="QGM126" s="140"/>
      <c r="QGN126" s="140"/>
      <c r="QGO126" s="140"/>
      <c r="QGP126" s="140"/>
      <c r="QGQ126" s="140"/>
      <c r="QGR126" s="140"/>
      <c r="QGS126" s="140"/>
      <c r="QGT126" s="140"/>
      <c r="QGU126" s="140"/>
      <c r="QGV126" s="140"/>
      <c r="QGW126" s="140"/>
      <c r="QGX126" s="140"/>
      <c r="QGY126" s="140"/>
      <c r="QGZ126" s="140"/>
      <c r="QHA126" s="140"/>
      <c r="QHB126" s="140"/>
      <c r="QHC126" s="140"/>
      <c r="QHD126" s="140"/>
      <c r="QHE126" s="140"/>
      <c r="QHF126" s="140"/>
      <c r="QHG126" s="140"/>
      <c r="QHH126" s="140"/>
      <c r="QHI126" s="140"/>
      <c r="QHJ126" s="140"/>
      <c r="QHK126" s="140"/>
      <c r="QHL126" s="140"/>
      <c r="QHM126" s="140"/>
      <c r="QHN126" s="140"/>
      <c r="QHO126" s="140"/>
      <c r="QHP126" s="140"/>
      <c r="QHQ126" s="140"/>
      <c r="QHR126" s="140"/>
      <c r="QHS126" s="140"/>
      <c r="QHT126" s="140"/>
      <c r="QHU126" s="140"/>
      <c r="QHV126" s="140"/>
      <c r="QHW126" s="140"/>
      <c r="QHX126" s="140"/>
      <c r="QHY126" s="140"/>
      <c r="QHZ126" s="140"/>
      <c r="QIA126" s="140"/>
      <c r="QIB126" s="140"/>
      <c r="QIC126" s="140"/>
      <c r="QID126" s="140"/>
      <c r="QIE126" s="140"/>
      <c r="QIF126" s="140"/>
      <c r="QIG126" s="140"/>
      <c r="QIH126" s="140"/>
      <c r="QII126" s="140"/>
      <c r="QIJ126" s="140"/>
      <c r="QIK126" s="140"/>
      <c r="QIL126" s="140"/>
      <c r="QIM126" s="140"/>
      <c r="QIN126" s="140"/>
      <c r="QIO126" s="140"/>
      <c r="QIP126" s="140"/>
      <c r="QIQ126" s="140"/>
      <c r="QIR126" s="140"/>
      <c r="QIS126" s="140"/>
      <c r="QIT126" s="140"/>
      <c r="QIU126" s="140"/>
      <c r="QIV126" s="140"/>
      <c r="QIW126" s="140"/>
      <c r="QIX126" s="140"/>
      <c r="QIY126" s="140"/>
      <c r="QIZ126" s="140"/>
      <c r="QJA126" s="140"/>
      <c r="QJB126" s="140"/>
      <c r="QJC126" s="140"/>
      <c r="QJD126" s="140"/>
      <c r="QJE126" s="140"/>
      <c r="QJF126" s="140"/>
      <c r="QJG126" s="140"/>
      <c r="QJH126" s="140"/>
      <c r="QJI126" s="140"/>
      <c r="QJJ126" s="140"/>
      <c r="QJK126" s="140"/>
      <c r="QJL126" s="140"/>
      <c r="QJM126" s="140"/>
      <c r="QJN126" s="140"/>
      <c r="QJO126" s="140"/>
      <c r="QJP126" s="140"/>
      <c r="QJQ126" s="140"/>
      <c r="QJR126" s="140"/>
      <c r="QJS126" s="140"/>
      <c r="QJT126" s="140"/>
      <c r="QJU126" s="140"/>
      <c r="QJV126" s="140"/>
      <c r="QJW126" s="140"/>
      <c r="QJX126" s="140"/>
      <c r="QJY126" s="140"/>
      <c r="QJZ126" s="140"/>
      <c r="QKA126" s="140"/>
      <c r="QKB126" s="140"/>
      <c r="QKC126" s="140"/>
      <c r="QKD126" s="140"/>
      <c r="QKE126" s="140"/>
      <c r="QKF126" s="140"/>
      <c r="QKG126" s="140"/>
      <c r="QKH126" s="140"/>
      <c r="QKI126" s="140"/>
      <c r="QKJ126" s="140"/>
      <c r="QKK126" s="140"/>
      <c r="QKL126" s="140"/>
      <c r="QKM126" s="140"/>
      <c r="QKN126" s="140"/>
      <c r="QKO126" s="140"/>
      <c r="QKP126" s="140"/>
      <c r="QKQ126" s="140"/>
      <c r="QKR126" s="140"/>
      <c r="QKS126" s="140"/>
      <c r="QKT126" s="140"/>
      <c r="QKU126" s="140"/>
      <c r="QKV126" s="140"/>
      <c r="QKW126" s="140"/>
      <c r="QKX126" s="140"/>
      <c r="QKY126" s="140"/>
      <c r="QKZ126" s="140"/>
      <c r="QLA126" s="140"/>
      <c r="QLB126" s="140"/>
      <c r="QLC126" s="140"/>
      <c r="QLD126" s="140"/>
      <c r="QLE126" s="140"/>
      <c r="QLF126" s="140"/>
      <c r="QLG126" s="140"/>
      <c r="QLH126" s="140"/>
      <c r="QLI126" s="140"/>
      <c r="QLJ126" s="140"/>
      <c r="QLK126" s="140"/>
      <c r="QLL126" s="140"/>
      <c r="QLM126" s="140"/>
      <c r="QLN126" s="140"/>
      <c r="QLO126" s="140"/>
      <c r="QLP126" s="140"/>
      <c r="QLQ126" s="140"/>
      <c r="QLR126" s="140"/>
      <c r="QLS126" s="140"/>
      <c r="QLT126" s="140"/>
      <c r="QLU126" s="140"/>
      <c r="QLV126" s="140"/>
      <c r="QLW126" s="140"/>
      <c r="QLX126" s="140"/>
      <c r="QLY126" s="140"/>
      <c r="QLZ126" s="140"/>
      <c r="QMA126" s="140"/>
      <c r="QMB126" s="140"/>
      <c r="QMC126" s="140"/>
      <c r="QMD126" s="140"/>
      <c r="QME126" s="140"/>
      <c r="QMF126" s="140"/>
      <c r="QMG126" s="140"/>
      <c r="QMH126" s="140"/>
      <c r="QMI126" s="140"/>
      <c r="QMJ126" s="140"/>
      <c r="QMK126" s="140"/>
      <c r="QML126" s="140"/>
      <c r="QMM126" s="140"/>
      <c r="QMN126" s="140"/>
      <c r="QMO126" s="140"/>
      <c r="QMP126" s="140"/>
      <c r="QMQ126" s="140"/>
      <c r="QMR126" s="140"/>
      <c r="QMS126" s="140"/>
      <c r="QMT126" s="140"/>
      <c r="QMU126" s="140"/>
      <c r="QMV126" s="140"/>
      <c r="QMW126" s="140"/>
      <c r="QMX126" s="140"/>
      <c r="QMY126" s="140"/>
      <c r="QMZ126" s="140"/>
      <c r="QNA126" s="140"/>
      <c r="QNB126" s="140"/>
      <c r="QNC126" s="140"/>
      <c r="QND126" s="140"/>
      <c r="QNE126" s="140"/>
      <c r="QNF126" s="140"/>
      <c r="QNG126" s="140"/>
      <c r="QNH126" s="140"/>
      <c r="QNI126" s="140"/>
      <c r="QNJ126" s="140"/>
      <c r="QNK126" s="140"/>
      <c r="QNL126" s="140"/>
      <c r="QNM126" s="140"/>
      <c r="QNN126" s="140"/>
      <c r="QNO126" s="140"/>
      <c r="QNP126" s="140"/>
      <c r="QNQ126" s="140"/>
      <c r="QNR126" s="140"/>
      <c r="QNS126" s="140"/>
      <c r="QNT126" s="140"/>
      <c r="QNU126" s="140"/>
      <c r="QNV126" s="140"/>
      <c r="QNW126" s="140"/>
      <c r="QNX126" s="140"/>
      <c r="QNY126" s="140"/>
      <c r="QNZ126" s="140"/>
      <c r="QOA126" s="140"/>
      <c r="QOB126" s="140"/>
      <c r="QOC126" s="140"/>
      <c r="QOD126" s="140"/>
      <c r="QOE126" s="140"/>
      <c r="QOF126" s="140"/>
      <c r="QOG126" s="140"/>
      <c r="QOH126" s="140"/>
      <c r="QOI126" s="140"/>
      <c r="QOJ126" s="140"/>
      <c r="QOK126" s="140"/>
      <c r="QOL126" s="140"/>
      <c r="QOM126" s="140"/>
      <c r="QON126" s="140"/>
      <c r="QOO126" s="140"/>
      <c r="QOP126" s="140"/>
      <c r="QOQ126" s="140"/>
      <c r="QOR126" s="140"/>
      <c r="QOS126" s="140"/>
      <c r="QOT126" s="140"/>
      <c r="QOU126" s="140"/>
      <c r="QOV126" s="140"/>
      <c r="QOW126" s="140"/>
      <c r="QOX126" s="140"/>
      <c r="QOY126" s="140"/>
      <c r="QOZ126" s="140"/>
      <c r="QPA126" s="140"/>
      <c r="QPB126" s="140"/>
      <c r="QPC126" s="140"/>
      <c r="QPD126" s="140"/>
      <c r="QPE126" s="140"/>
      <c r="QPF126" s="140"/>
      <c r="QPG126" s="140"/>
      <c r="QPH126" s="140"/>
      <c r="QPI126" s="140"/>
      <c r="QPJ126" s="140"/>
      <c r="QPK126" s="140"/>
      <c r="QPL126" s="140"/>
      <c r="QPM126" s="140"/>
      <c r="QPN126" s="140"/>
      <c r="QPO126" s="140"/>
      <c r="QPP126" s="140"/>
      <c r="QPQ126" s="140"/>
      <c r="QPR126" s="140"/>
      <c r="QPS126" s="140"/>
      <c r="QPT126" s="140"/>
      <c r="QPU126" s="140"/>
      <c r="QPV126" s="140"/>
      <c r="QPW126" s="140"/>
      <c r="QPX126" s="140"/>
      <c r="QPY126" s="140"/>
      <c r="QPZ126" s="140"/>
      <c r="QQA126" s="140"/>
      <c r="QQB126" s="140"/>
      <c r="QQC126" s="140"/>
      <c r="QQD126" s="140"/>
      <c r="QQE126" s="140"/>
      <c r="QQF126" s="140"/>
      <c r="QQG126" s="140"/>
      <c r="QQH126" s="140"/>
      <c r="QQI126" s="140"/>
      <c r="QQJ126" s="140"/>
      <c r="QQK126" s="140"/>
      <c r="QQL126" s="140"/>
      <c r="QQM126" s="140"/>
      <c r="QQN126" s="140"/>
      <c r="QQO126" s="140"/>
      <c r="QQP126" s="140"/>
      <c r="QQQ126" s="140"/>
      <c r="QQR126" s="140"/>
      <c r="QQS126" s="140"/>
      <c r="QQT126" s="140"/>
      <c r="QQU126" s="140"/>
      <c r="QQV126" s="140"/>
      <c r="QQW126" s="140"/>
      <c r="QQX126" s="140"/>
      <c r="QQY126" s="140"/>
      <c r="QQZ126" s="140"/>
      <c r="QRA126" s="140"/>
      <c r="QRB126" s="140"/>
      <c r="QRC126" s="140"/>
      <c r="QRD126" s="140"/>
      <c r="QRE126" s="140"/>
      <c r="QRF126" s="140"/>
      <c r="QRG126" s="140"/>
      <c r="QRH126" s="140"/>
      <c r="QRI126" s="140"/>
      <c r="QRJ126" s="140"/>
      <c r="QRK126" s="140"/>
      <c r="QRL126" s="140"/>
      <c r="QRM126" s="140"/>
      <c r="QRN126" s="140"/>
      <c r="QRO126" s="140"/>
      <c r="QRP126" s="140"/>
      <c r="QRQ126" s="140"/>
      <c r="QRR126" s="140"/>
      <c r="QRS126" s="140"/>
      <c r="QRT126" s="140"/>
      <c r="QRU126" s="140"/>
      <c r="QRV126" s="140"/>
      <c r="QRW126" s="140"/>
      <c r="QRX126" s="140"/>
      <c r="QRY126" s="140"/>
      <c r="QRZ126" s="140"/>
      <c r="QSA126" s="140"/>
      <c r="QSB126" s="140"/>
      <c r="QSC126" s="140"/>
      <c r="QSD126" s="140"/>
      <c r="QSE126" s="140"/>
      <c r="QSF126" s="140"/>
      <c r="QSG126" s="140"/>
      <c r="QSH126" s="140"/>
      <c r="QSI126" s="140"/>
      <c r="QSJ126" s="140"/>
      <c r="QSK126" s="140"/>
      <c r="QSL126" s="140"/>
      <c r="QSM126" s="140"/>
      <c r="QSN126" s="140"/>
      <c r="QSO126" s="140"/>
      <c r="QSP126" s="140"/>
      <c r="QSQ126" s="140"/>
      <c r="QSR126" s="140"/>
      <c r="QSS126" s="140"/>
      <c r="QST126" s="140"/>
      <c r="QSU126" s="140"/>
      <c r="QSV126" s="140"/>
      <c r="QSW126" s="140"/>
      <c r="QSX126" s="140"/>
      <c r="QSY126" s="140"/>
      <c r="QSZ126" s="140"/>
      <c r="QTA126" s="140"/>
      <c r="QTB126" s="140"/>
      <c r="QTC126" s="140"/>
      <c r="QTD126" s="140"/>
      <c r="QTE126" s="140"/>
      <c r="QTF126" s="140"/>
      <c r="QTG126" s="140"/>
      <c r="QTH126" s="140"/>
      <c r="QTI126" s="140"/>
      <c r="QTJ126" s="140"/>
      <c r="QTK126" s="140"/>
      <c r="QTL126" s="140"/>
      <c r="QTM126" s="140"/>
      <c r="QTN126" s="140"/>
      <c r="QTO126" s="140"/>
      <c r="QTP126" s="140"/>
      <c r="QTQ126" s="140"/>
      <c r="QTR126" s="140"/>
      <c r="QTS126" s="140"/>
      <c r="QTT126" s="140"/>
      <c r="QTU126" s="140"/>
      <c r="QTV126" s="140"/>
      <c r="QTW126" s="140"/>
      <c r="QTX126" s="140"/>
      <c r="QTY126" s="140"/>
      <c r="QTZ126" s="140"/>
      <c r="QUA126" s="140"/>
      <c r="QUB126" s="140"/>
      <c r="QUC126" s="140"/>
      <c r="QUD126" s="140"/>
      <c r="QUE126" s="140"/>
      <c r="QUF126" s="140"/>
      <c r="QUG126" s="140"/>
      <c r="QUH126" s="140"/>
      <c r="QUI126" s="140"/>
      <c r="QUJ126" s="140"/>
      <c r="QUK126" s="140"/>
      <c r="QUL126" s="140"/>
      <c r="QUM126" s="140"/>
      <c r="QUN126" s="140"/>
      <c r="QUO126" s="140"/>
      <c r="QUP126" s="140"/>
      <c r="QUQ126" s="140"/>
      <c r="QUR126" s="140"/>
      <c r="QUS126" s="140"/>
      <c r="QUT126" s="140"/>
      <c r="QUU126" s="140"/>
      <c r="QUV126" s="140"/>
      <c r="QUW126" s="140"/>
      <c r="QUX126" s="140"/>
      <c r="QUY126" s="140"/>
      <c r="QUZ126" s="140"/>
      <c r="QVA126" s="140"/>
      <c r="QVB126" s="140"/>
      <c r="QVC126" s="140"/>
      <c r="QVD126" s="140"/>
      <c r="QVE126" s="140"/>
      <c r="QVF126" s="140"/>
      <c r="QVG126" s="140"/>
      <c r="QVH126" s="140"/>
      <c r="QVI126" s="140"/>
      <c r="QVJ126" s="140"/>
      <c r="QVK126" s="140"/>
      <c r="QVL126" s="140"/>
      <c r="QVM126" s="140"/>
      <c r="QVN126" s="140"/>
      <c r="QVO126" s="140"/>
      <c r="QVP126" s="140"/>
      <c r="QVQ126" s="140"/>
      <c r="QVR126" s="140"/>
      <c r="QVS126" s="140"/>
      <c r="QVT126" s="140"/>
      <c r="QVU126" s="140"/>
      <c r="QVV126" s="140"/>
      <c r="QVW126" s="140"/>
      <c r="QVX126" s="140"/>
      <c r="QVY126" s="140"/>
      <c r="QVZ126" s="140"/>
      <c r="QWA126" s="140"/>
      <c r="QWB126" s="140"/>
      <c r="QWC126" s="140"/>
      <c r="QWD126" s="140"/>
      <c r="QWE126" s="140"/>
      <c r="QWF126" s="140"/>
      <c r="QWG126" s="140"/>
      <c r="QWH126" s="140"/>
      <c r="QWI126" s="140"/>
      <c r="QWJ126" s="140"/>
      <c r="QWK126" s="140"/>
      <c r="QWL126" s="140"/>
      <c r="QWM126" s="140"/>
      <c r="QWN126" s="140"/>
      <c r="QWO126" s="140"/>
      <c r="QWP126" s="140"/>
      <c r="QWQ126" s="140"/>
      <c r="QWR126" s="140"/>
      <c r="QWS126" s="140"/>
      <c r="QWT126" s="140"/>
      <c r="QWU126" s="140"/>
      <c r="QWV126" s="140"/>
      <c r="QWW126" s="140"/>
      <c r="QWX126" s="140"/>
      <c r="QWY126" s="140"/>
      <c r="QWZ126" s="140"/>
      <c r="QXA126" s="140"/>
      <c r="QXB126" s="140"/>
      <c r="QXC126" s="140"/>
      <c r="QXD126" s="140"/>
      <c r="QXE126" s="140"/>
      <c r="QXF126" s="140"/>
      <c r="QXG126" s="140"/>
      <c r="QXH126" s="140"/>
      <c r="QXI126" s="140"/>
      <c r="QXJ126" s="140"/>
      <c r="QXK126" s="140"/>
      <c r="QXL126" s="140"/>
      <c r="QXM126" s="140"/>
      <c r="QXN126" s="140"/>
      <c r="QXO126" s="140"/>
      <c r="QXP126" s="140"/>
      <c r="QXQ126" s="140"/>
      <c r="QXR126" s="140"/>
      <c r="QXS126" s="140"/>
      <c r="QXT126" s="140"/>
      <c r="QXU126" s="140"/>
      <c r="QXV126" s="140"/>
      <c r="QXW126" s="140"/>
      <c r="QXX126" s="140"/>
      <c r="QXY126" s="140"/>
      <c r="QXZ126" s="140"/>
      <c r="QYA126" s="140"/>
      <c r="QYB126" s="140"/>
      <c r="QYC126" s="140"/>
      <c r="QYD126" s="140"/>
      <c r="QYE126" s="140"/>
      <c r="QYF126" s="140"/>
      <c r="QYG126" s="140"/>
      <c r="QYH126" s="140"/>
      <c r="QYI126" s="140"/>
      <c r="QYJ126" s="140"/>
      <c r="QYK126" s="140"/>
      <c r="QYL126" s="140"/>
      <c r="QYM126" s="140"/>
      <c r="QYN126" s="140"/>
      <c r="QYO126" s="140"/>
      <c r="QYP126" s="140"/>
      <c r="QYQ126" s="140"/>
      <c r="QYR126" s="140"/>
      <c r="QYS126" s="140"/>
      <c r="QYT126" s="140"/>
      <c r="QYU126" s="140"/>
      <c r="QYV126" s="140"/>
      <c r="QYW126" s="140"/>
      <c r="QYX126" s="140"/>
      <c r="QYY126" s="140"/>
      <c r="QYZ126" s="140"/>
      <c r="QZA126" s="140"/>
      <c r="QZB126" s="140"/>
      <c r="QZC126" s="140"/>
      <c r="QZD126" s="140"/>
      <c r="QZE126" s="140"/>
      <c r="QZF126" s="140"/>
      <c r="QZG126" s="140"/>
      <c r="QZH126" s="140"/>
      <c r="QZI126" s="140"/>
      <c r="QZJ126" s="140"/>
      <c r="QZK126" s="140"/>
      <c r="QZL126" s="140"/>
      <c r="QZM126" s="140"/>
      <c r="QZN126" s="140"/>
      <c r="QZO126" s="140"/>
      <c r="QZP126" s="140"/>
      <c r="QZQ126" s="140"/>
      <c r="QZR126" s="140"/>
      <c r="QZS126" s="140"/>
      <c r="QZT126" s="140"/>
      <c r="QZU126" s="140"/>
      <c r="QZV126" s="140"/>
      <c r="QZW126" s="140"/>
      <c r="QZX126" s="140"/>
      <c r="QZY126" s="140"/>
      <c r="QZZ126" s="140"/>
      <c r="RAA126" s="140"/>
      <c r="RAB126" s="140"/>
      <c r="RAC126" s="140"/>
      <c r="RAD126" s="140"/>
      <c r="RAE126" s="140"/>
      <c r="RAF126" s="140"/>
      <c r="RAG126" s="140"/>
      <c r="RAH126" s="140"/>
      <c r="RAI126" s="140"/>
      <c r="RAJ126" s="140"/>
      <c r="RAK126" s="140"/>
      <c r="RAL126" s="140"/>
      <c r="RAM126" s="140"/>
      <c r="RAN126" s="140"/>
      <c r="RAO126" s="140"/>
      <c r="RAP126" s="140"/>
      <c r="RAQ126" s="140"/>
      <c r="RAR126" s="140"/>
      <c r="RAS126" s="140"/>
      <c r="RAT126" s="140"/>
      <c r="RAU126" s="140"/>
      <c r="RAV126" s="140"/>
      <c r="RAW126" s="140"/>
      <c r="RAX126" s="140"/>
      <c r="RAY126" s="140"/>
      <c r="RAZ126" s="140"/>
      <c r="RBA126" s="140"/>
      <c r="RBB126" s="140"/>
      <c r="RBC126" s="140"/>
      <c r="RBD126" s="140"/>
      <c r="RBE126" s="140"/>
      <c r="RBF126" s="140"/>
      <c r="RBG126" s="140"/>
      <c r="RBH126" s="140"/>
      <c r="RBI126" s="140"/>
      <c r="RBJ126" s="140"/>
      <c r="RBK126" s="140"/>
      <c r="RBL126" s="140"/>
      <c r="RBM126" s="140"/>
      <c r="RBN126" s="140"/>
      <c r="RBO126" s="140"/>
      <c r="RBP126" s="140"/>
      <c r="RBQ126" s="140"/>
      <c r="RBR126" s="140"/>
      <c r="RBS126" s="140"/>
      <c r="RBT126" s="140"/>
      <c r="RBU126" s="140"/>
      <c r="RBV126" s="140"/>
      <c r="RBW126" s="140"/>
      <c r="RBX126" s="140"/>
      <c r="RBY126" s="140"/>
      <c r="RBZ126" s="140"/>
      <c r="RCA126" s="140"/>
      <c r="RCB126" s="140"/>
      <c r="RCC126" s="140"/>
      <c r="RCD126" s="140"/>
      <c r="RCE126" s="140"/>
      <c r="RCF126" s="140"/>
      <c r="RCG126" s="140"/>
      <c r="RCH126" s="140"/>
      <c r="RCI126" s="140"/>
      <c r="RCJ126" s="140"/>
      <c r="RCK126" s="140"/>
      <c r="RCL126" s="140"/>
      <c r="RCM126" s="140"/>
      <c r="RCN126" s="140"/>
      <c r="RCO126" s="140"/>
      <c r="RCP126" s="140"/>
      <c r="RCQ126" s="140"/>
      <c r="RCR126" s="140"/>
      <c r="RCS126" s="140"/>
      <c r="RCT126" s="140"/>
      <c r="RCU126" s="140"/>
      <c r="RCV126" s="140"/>
      <c r="RCW126" s="140"/>
      <c r="RCX126" s="140"/>
      <c r="RCY126" s="140"/>
      <c r="RCZ126" s="140"/>
      <c r="RDA126" s="140"/>
      <c r="RDB126" s="140"/>
      <c r="RDC126" s="140"/>
      <c r="RDD126" s="140"/>
      <c r="RDE126" s="140"/>
      <c r="RDF126" s="140"/>
      <c r="RDG126" s="140"/>
      <c r="RDH126" s="140"/>
      <c r="RDI126" s="140"/>
      <c r="RDJ126" s="140"/>
      <c r="RDK126" s="140"/>
      <c r="RDL126" s="140"/>
      <c r="RDM126" s="140"/>
      <c r="RDN126" s="140"/>
      <c r="RDO126" s="140"/>
      <c r="RDP126" s="140"/>
      <c r="RDQ126" s="140"/>
      <c r="RDR126" s="140"/>
      <c r="RDS126" s="140"/>
      <c r="RDT126" s="140"/>
      <c r="RDU126" s="140"/>
      <c r="RDV126" s="140"/>
      <c r="RDW126" s="140"/>
      <c r="RDX126" s="140"/>
      <c r="RDY126" s="140"/>
      <c r="RDZ126" s="140"/>
      <c r="REA126" s="140"/>
      <c r="REB126" s="140"/>
      <c r="REC126" s="140"/>
      <c r="RED126" s="140"/>
      <c r="REE126" s="140"/>
      <c r="REF126" s="140"/>
      <c r="REG126" s="140"/>
      <c r="REH126" s="140"/>
      <c r="REI126" s="140"/>
      <c r="REJ126" s="140"/>
      <c r="REK126" s="140"/>
      <c r="REL126" s="140"/>
      <c r="REM126" s="140"/>
      <c r="REN126" s="140"/>
      <c r="REO126" s="140"/>
      <c r="REP126" s="140"/>
      <c r="REQ126" s="140"/>
      <c r="RER126" s="140"/>
      <c r="RES126" s="140"/>
      <c r="RET126" s="140"/>
      <c r="REU126" s="140"/>
      <c r="REV126" s="140"/>
      <c r="REW126" s="140"/>
      <c r="REX126" s="140"/>
      <c r="REY126" s="140"/>
      <c r="REZ126" s="140"/>
      <c r="RFA126" s="140"/>
      <c r="RFB126" s="140"/>
      <c r="RFC126" s="140"/>
      <c r="RFD126" s="140"/>
      <c r="RFE126" s="140"/>
      <c r="RFF126" s="140"/>
      <c r="RFG126" s="140"/>
      <c r="RFH126" s="140"/>
      <c r="RFI126" s="140"/>
      <c r="RFJ126" s="140"/>
      <c r="RFK126" s="140"/>
      <c r="RFL126" s="140"/>
      <c r="RFM126" s="140"/>
      <c r="RFN126" s="140"/>
      <c r="RFO126" s="140"/>
      <c r="RFP126" s="140"/>
      <c r="RFQ126" s="140"/>
      <c r="RFR126" s="140"/>
      <c r="RFS126" s="140"/>
      <c r="RFT126" s="140"/>
      <c r="RFU126" s="140"/>
      <c r="RFV126" s="140"/>
      <c r="RFW126" s="140"/>
      <c r="RFX126" s="140"/>
      <c r="RFY126" s="140"/>
      <c r="RFZ126" s="140"/>
      <c r="RGA126" s="140"/>
      <c r="RGB126" s="140"/>
      <c r="RGC126" s="140"/>
      <c r="RGD126" s="140"/>
      <c r="RGE126" s="140"/>
      <c r="RGF126" s="140"/>
      <c r="RGG126" s="140"/>
      <c r="RGH126" s="140"/>
      <c r="RGI126" s="140"/>
      <c r="RGJ126" s="140"/>
      <c r="RGK126" s="140"/>
      <c r="RGL126" s="140"/>
      <c r="RGM126" s="140"/>
      <c r="RGN126" s="140"/>
      <c r="RGO126" s="140"/>
      <c r="RGP126" s="140"/>
      <c r="RGQ126" s="140"/>
      <c r="RGR126" s="140"/>
      <c r="RGS126" s="140"/>
      <c r="RGT126" s="140"/>
      <c r="RGU126" s="140"/>
      <c r="RGV126" s="140"/>
      <c r="RGW126" s="140"/>
      <c r="RGX126" s="140"/>
      <c r="RGY126" s="140"/>
      <c r="RGZ126" s="140"/>
      <c r="RHA126" s="140"/>
      <c r="RHB126" s="140"/>
      <c r="RHC126" s="140"/>
      <c r="RHD126" s="140"/>
      <c r="RHE126" s="140"/>
      <c r="RHF126" s="140"/>
      <c r="RHG126" s="140"/>
      <c r="RHH126" s="140"/>
      <c r="RHI126" s="140"/>
      <c r="RHJ126" s="140"/>
      <c r="RHK126" s="140"/>
      <c r="RHL126" s="140"/>
      <c r="RHM126" s="140"/>
      <c r="RHN126" s="140"/>
      <c r="RHO126" s="140"/>
      <c r="RHP126" s="140"/>
      <c r="RHQ126" s="140"/>
      <c r="RHR126" s="140"/>
      <c r="RHS126" s="140"/>
      <c r="RHT126" s="140"/>
      <c r="RHU126" s="140"/>
      <c r="RHV126" s="140"/>
      <c r="RHW126" s="140"/>
      <c r="RHX126" s="140"/>
      <c r="RHY126" s="140"/>
      <c r="RHZ126" s="140"/>
      <c r="RIA126" s="140"/>
      <c r="RIB126" s="140"/>
      <c r="RIC126" s="140"/>
      <c r="RID126" s="140"/>
      <c r="RIE126" s="140"/>
      <c r="RIF126" s="140"/>
      <c r="RIG126" s="140"/>
      <c r="RIH126" s="140"/>
      <c r="RII126" s="140"/>
      <c r="RIJ126" s="140"/>
      <c r="RIK126" s="140"/>
      <c r="RIL126" s="140"/>
      <c r="RIM126" s="140"/>
      <c r="RIN126" s="140"/>
      <c r="RIO126" s="140"/>
      <c r="RIP126" s="140"/>
      <c r="RIQ126" s="140"/>
      <c r="RIR126" s="140"/>
      <c r="RIS126" s="140"/>
      <c r="RIT126" s="140"/>
      <c r="RIU126" s="140"/>
      <c r="RIV126" s="140"/>
      <c r="RIW126" s="140"/>
      <c r="RIX126" s="140"/>
      <c r="RIY126" s="140"/>
      <c r="RIZ126" s="140"/>
      <c r="RJA126" s="140"/>
      <c r="RJB126" s="140"/>
      <c r="RJC126" s="140"/>
      <c r="RJD126" s="140"/>
      <c r="RJE126" s="140"/>
      <c r="RJF126" s="140"/>
      <c r="RJG126" s="140"/>
      <c r="RJH126" s="140"/>
      <c r="RJI126" s="140"/>
      <c r="RJJ126" s="140"/>
      <c r="RJK126" s="140"/>
      <c r="RJL126" s="140"/>
      <c r="RJM126" s="140"/>
      <c r="RJN126" s="140"/>
      <c r="RJO126" s="140"/>
      <c r="RJP126" s="140"/>
      <c r="RJQ126" s="140"/>
      <c r="RJR126" s="140"/>
      <c r="RJS126" s="140"/>
      <c r="RJT126" s="140"/>
      <c r="RJU126" s="140"/>
      <c r="RJV126" s="140"/>
      <c r="RJW126" s="140"/>
      <c r="RJX126" s="140"/>
      <c r="RJY126" s="140"/>
      <c r="RJZ126" s="140"/>
      <c r="RKA126" s="140"/>
      <c r="RKB126" s="140"/>
      <c r="RKC126" s="140"/>
      <c r="RKD126" s="140"/>
      <c r="RKE126" s="140"/>
      <c r="RKF126" s="140"/>
      <c r="RKG126" s="140"/>
      <c r="RKH126" s="140"/>
      <c r="RKI126" s="140"/>
      <c r="RKJ126" s="140"/>
      <c r="RKK126" s="140"/>
      <c r="RKL126" s="140"/>
      <c r="RKM126" s="140"/>
      <c r="RKN126" s="140"/>
      <c r="RKO126" s="140"/>
      <c r="RKP126" s="140"/>
      <c r="RKQ126" s="140"/>
      <c r="RKR126" s="140"/>
      <c r="RKS126" s="140"/>
      <c r="RKT126" s="140"/>
      <c r="RKU126" s="140"/>
      <c r="RKV126" s="140"/>
      <c r="RKW126" s="140"/>
      <c r="RKX126" s="140"/>
      <c r="RKY126" s="140"/>
      <c r="RKZ126" s="140"/>
      <c r="RLA126" s="140"/>
      <c r="RLB126" s="140"/>
      <c r="RLC126" s="140"/>
      <c r="RLD126" s="140"/>
      <c r="RLE126" s="140"/>
      <c r="RLF126" s="140"/>
      <c r="RLG126" s="140"/>
      <c r="RLH126" s="140"/>
      <c r="RLI126" s="140"/>
      <c r="RLJ126" s="140"/>
      <c r="RLK126" s="140"/>
      <c r="RLL126" s="140"/>
      <c r="RLM126" s="140"/>
      <c r="RLN126" s="140"/>
      <c r="RLO126" s="140"/>
      <c r="RLP126" s="140"/>
      <c r="RLQ126" s="140"/>
      <c r="RLR126" s="140"/>
      <c r="RLS126" s="140"/>
      <c r="RLT126" s="140"/>
      <c r="RLU126" s="140"/>
      <c r="RLV126" s="140"/>
      <c r="RLW126" s="140"/>
      <c r="RLX126" s="140"/>
      <c r="RLY126" s="140"/>
      <c r="RLZ126" s="140"/>
      <c r="RMA126" s="140"/>
      <c r="RMB126" s="140"/>
      <c r="RMC126" s="140"/>
      <c r="RMD126" s="140"/>
      <c r="RME126" s="140"/>
      <c r="RMF126" s="140"/>
      <c r="RMG126" s="140"/>
      <c r="RMH126" s="140"/>
      <c r="RMI126" s="140"/>
      <c r="RMJ126" s="140"/>
      <c r="RMK126" s="140"/>
      <c r="RML126" s="140"/>
      <c r="RMM126" s="140"/>
      <c r="RMN126" s="140"/>
      <c r="RMO126" s="140"/>
      <c r="RMP126" s="140"/>
      <c r="RMQ126" s="140"/>
      <c r="RMR126" s="140"/>
      <c r="RMS126" s="140"/>
      <c r="RMT126" s="140"/>
      <c r="RMU126" s="140"/>
      <c r="RMV126" s="140"/>
      <c r="RMW126" s="140"/>
      <c r="RMX126" s="140"/>
      <c r="RMY126" s="140"/>
      <c r="RMZ126" s="140"/>
      <c r="RNA126" s="140"/>
      <c r="RNB126" s="140"/>
      <c r="RNC126" s="140"/>
      <c r="RND126" s="140"/>
      <c r="RNE126" s="140"/>
      <c r="RNF126" s="140"/>
      <c r="RNG126" s="140"/>
      <c r="RNH126" s="140"/>
      <c r="RNI126" s="140"/>
      <c r="RNJ126" s="140"/>
      <c r="RNK126" s="140"/>
      <c r="RNL126" s="140"/>
      <c r="RNM126" s="140"/>
      <c r="RNN126" s="140"/>
      <c r="RNO126" s="140"/>
      <c r="RNP126" s="140"/>
      <c r="RNQ126" s="140"/>
      <c r="RNR126" s="140"/>
      <c r="RNS126" s="140"/>
      <c r="RNT126" s="140"/>
      <c r="RNU126" s="140"/>
      <c r="RNV126" s="140"/>
      <c r="RNW126" s="140"/>
      <c r="RNX126" s="140"/>
      <c r="RNY126" s="140"/>
      <c r="RNZ126" s="140"/>
      <c r="ROA126" s="140"/>
      <c r="ROB126" s="140"/>
      <c r="ROC126" s="140"/>
      <c r="ROD126" s="140"/>
      <c r="ROE126" s="140"/>
      <c r="ROF126" s="140"/>
      <c r="ROG126" s="140"/>
      <c r="ROH126" s="140"/>
      <c r="ROI126" s="140"/>
      <c r="ROJ126" s="140"/>
      <c r="ROK126" s="140"/>
      <c r="ROL126" s="140"/>
      <c r="ROM126" s="140"/>
      <c r="RON126" s="140"/>
      <c r="ROO126" s="140"/>
      <c r="ROP126" s="140"/>
      <c r="ROQ126" s="140"/>
      <c r="ROR126" s="140"/>
      <c r="ROS126" s="140"/>
      <c r="ROT126" s="140"/>
      <c r="ROU126" s="140"/>
      <c r="ROV126" s="140"/>
      <c r="ROW126" s="140"/>
      <c r="ROX126" s="140"/>
      <c r="ROY126" s="140"/>
      <c r="ROZ126" s="140"/>
      <c r="RPA126" s="140"/>
      <c r="RPB126" s="140"/>
      <c r="RPC126" s="140"/>
      <c r="RPD126" s="140"/>
      <c r="RPE126" s="140"/>
      <c r="RPF126" s="140"/>
      <c r="RPG126" s="140"/>
      <c r="RPH126" s="140"/>
      <c r="RPI126" s="140"/>
      <c r="RPJ126" s="140"/>
      <c r="RPK126" s="140"/>
      <c r="RPL126" s="140"/>
      <c r="RPM126" s="140"/>
      <c r="RPN126" s="140"/>
      <c r="RPO126" s="140"/>
      <c r="RPP126" s="140"/>
      <c r="RPQ126" s="140"/>
      <c r="RPR126" s="140"/>
      <c r="RPS126" s="140"/>
      <c r="RPT126" s="140"/>
      <c r="RPU126" s="140"/>
      <c r="RPV126" s="140"/>
      <c r="RPW126" s="140"/>
      <c r="RPX126" s="140"/>
      <c r="RPY126" s="140"/>
      <c r="RPZ126" s="140"/>
      <c r="RQA126" s="140"/>
      <c r="RQB126" s="140"/>
      <c r="RQC126" s="140"/>
      <c r="RQD126" s="140"/>
      <c r="RQE126" s="140"/>
      <c r="RQF126" s="140"/>
      <c r="RQG126" s="140"/>
      <c r="RQH126" s="140"/>
      <c r="RQI126" s="140"/>
      <c r="RQJ126" s="140"/>
      <c r="RQK126" s="140"/>
      <c r="RQL126" s="140"/>
      <c r="RQM126" s="140"/>
      <c r="RQN126" s="140"/>
      <c r="RQO126" s="140"/>
      <c r="RQP126" s="140"/>
      <c r="RQQ126" s="140"/>
      <c r="RQR126" s="140"/>
      <c r="RQS126" s="140"/>
      <c r="RQT126" s="140"/>
      <c r="RQU126" s="140"/>
      <c r="RQV126" s="140"/>
      <c r="RQW126" s="140"/>
      <c r="RQX126" s="140"/>
      <c r="RQY126" s="140"/>
      <c r="RQZ126" s="140"/>
      <c r="RRA126" s="140"/>
      <c r="RRB126" s="140"/>
      <c r="RRC126" s="140"/>
      <c r="RRD126" s="140"/>
      <c r="RRE126" s="140"/>
      <c r="RRF126" s="140"/>
      <c r="RRG126" s="140"/>
      <c r="RRH126" s="140"/>
      <c r="RRI126" s="140"/>
      <c r="RRJ126" s="140"/>
      <c r="RRK126" s="140"/>
      <c r="RRL126" s="140"/>
      <c r="RRM126" s="140"/>
      <c r="RRN126" s="140"/>
      <c r="RRO126" s="140"/>
      <c r="RRP126" s="140"/>
      <c r="RRQ126" s="140"/>
      <c r="RRR126" s="140"/>
      <c r="RRS126" s="140"/>
      <c r="RRT126" s="140"/>
      <c r="RRU126" s="140"/>
      <c r="RRV126" s="140"/>
      <c r="RRW126" s="140"/>
      <c r="RRX126" s="140"/>
      <c r="RRY126" s="140"/>
      <c r="RRZ126" s="140"/>
      <c r="RSA126" s="140"/>
      <c r="RSB126" s="140"/>
      <c r="RSC126" s="140"/>
      <c r="RSD126" s="140"/>
      <c r="RSE126" s="140"/>
      <c r="RSF126" s="140"/>
      <c r="RSG126" s="140"/>
      <c r="RSH126" s="140"/>
      <c r="RSI126" s="140"/>
      <c r="RSJ126" s="140"/>
      <c r="RSK126" s="140"/>
      <c r="RSL126" s="140"/>
      <c r="RSM126" s="140"/>
      <c r="RSN126" s="140"/>
      <c r="RSO126" s="140"/>
      <c r="RSP126" s="140"/>
      <c r="RSQ126" s="140"/>
      <c r="RSR126" s="140"/>
      <c r="RSS126" s="140"/>
      <c r="RST126" s="140"/>
      <c r="RSU126" s="140"/>
      <c r="RSV126" s="140"/>
      <c r="RSW126" s="140"/>
      <c r="RSX126" s="140"/>
      <c r="RSY126" s="140"/>
      <c r="RSZ126" s="140"/>
      <c r="RTA126" s="140"/>
      <c r="RTB126" s="140"/>
      <c r="RTC126" s="140"/>
      <c r="RTD126" s="140"/>
      <c r="RTE126" s="140"/>
      <c r="RTF126" s="140"/>
      <c r="RTG126" s="140"/>
      <c r="RTH126" s="140"/>
      <c r="RTI126" s="140"/>
      <c r="RTJ126" s="140"/>
      <c r="RTK126" s="140"/>
      <c r="RTL126" s="140"/>
      <c r="RTM126" s="140"/>
      <c r="RTN126" s="140"/>
      <c r="RTO126" s="140"/>
      <c r="RTP126" s="140"/>
      <c r="RTQ126" s="140"/>
      <c r="RTR126" s="140"/>
      <c r="RTS126" s="140"/>
      <c r="RTT126" s="140"/>
      <c r="RTU126" s="140"/>
      <c r="RTV126" s="140"/>
      <c r="RTW126" s="140"/>
      <c r="RTX126" s="140"/>
      <c r="RTY126" s="140"/>
      <c r="RTZ126" s="140"/>
      <c r="RUA126" s="140"/>
      <c r="RUB126" s="140"/>
      <c r="RUC126" s="140"/>
      <c r="RUD126" s="140"/>
      <c r="RUE126" s="140"/>
      <c r="RUF126" s="140"/>
      <c r="RUG126" s="140"/>
      <c r="RUH126" s="140"/>
      <c r="RUI126" s="140"/>
      <c r="RUJ126" s="140"/>
      <c r="RUK126" s="140"/>
      <c r="RUL126" s="140"/>
      <c r="RUM126" s="140"/>
      <c r="RUN126" s="140"/>
      <c r="RUO126" s="140"/>
      <c r="RUP126" s="140"/>
      <c r="RUQ126" s="140"/>
      <c r="RUR126" s="140"/>
      <c r="RUS126" s="140"/>
      <c r="RUT126" s="140"/>
      <c r="RUU126" s="140"/>
      <c r="RUV126" s="140"/>
      <c r="RUW126" s="140"/>
      <c r="RUX126" s="140"/>
      <c r="RUY126" s="140"/>
      <c r="RUZ126" s="140"/>
      <c r="RVA126" s="140"/>
      <c r="RVB126" s="140"/>
      <c r="RVC126" s="140"/>
      <c r="RVD126" s="140"/>
      <c r="RVE126" s="140"/>
      <c r="RVF126" s="140"/>
      <c r="RVG126" s="140"/>
      <c r="RVH126" s="140"/>
      <c r="RVI126" s="140"/>
      <c r="RVJ126" s="140"/>
      <c r="RVK126" s="140"/>
      <c r="RVL126" s="140"/>
      <c r="RVM126" s="140"/>
      <c r="RVN126" s="140"/>
      <c r="RVO126" s="140"/>
      <c r="RVP126" s="140"/>
      <c r="RVQ126" s="140"/>
      <c r="RVR126" s="140"/>
      <c r="RVS126" s="140"/>
      <c r="RVT126" s="140"/>
      <c r="RVU126" s="140"/>
      <c r="RVV126" s="140"/>
      <c r="RVW126" s="140"/>
      <c r="RVX126" s="140"/>
      <c r="RVY126" s="140"/>
      <c r="RVZ126" s="140"/>
      <c r="RWA126" s="140"/>
      <c r="RWB126" s="140"/>
      <c r="RWC126" s="140"/>
      <c r="RWD126" s="140"/>
      <c r="RWE126" s="140"/>
      <c r="RWF126" s="140"/>
      <c r="RWG126" s="140"/>
      <c r="RWH126" s="140"/>
      <c r="RWI126" s="140"/>
      <c r="RWJ126" s="140"/>
      <c r="RWK126" s="140"/>
      <c r="RWL126" s="140"/>
      <c r="RWM126" s="140"/>
      <c r="RWN126" s="140"/>
      <c r="RWO126" s="140"/>
      <c r="RWP126" s="140"/>
      <c r="RWQ126" s="140"/>
      <c r="RWR126" s="140"/>
      <c r="RWS126" s="140"/>
      <c r="RWT126" s="140"/>
      <c r="RWU126" s="140"/>
      <c r="RWV126" s="140"/>
      <c r="RWW126" s="140"/>
      <c r="RWX126" s="140"/>
      <c r="RWY126" s="140"/>
      <c r="RWZ126" s="140"/>
      <c r="RXA126" s="140"/>
      <c r="RXB126" s="140"/>
      <c r="RXC126" s="140"/>
      <c r="RXD126" s="140"/>
      <c r="RXE126" s="140"/>
      <c r="RXF126" s="140"/>
      <c r="RXG126" s="140"/>
      <c r="RXH126" s="140"/>
      <c r="RXI126" s="140"/>
      <c r="RXJ126" s="140"/>
      <c r="RXK126" s="140"/>
      <c r="RXL126" s="140"/>
      <c r="RXM126" s="140"/>
      <c r="RXN126" s="140"/>
      <c r="RXO126" s="140"/>
      <c r="RXP126" s="140"/>
      <c r="RXQ126" s="140"/>
      <c r="RXR126" s="140"/>
      <c r="RXS126" s="140"/>
      <c r="RXT126" s="140"/>
      <c r="RXU126" s="140"/>
      <c r="RXV126" s="140"/>
      <c r="RXW126" s="140"/>
      <c r="RXX126" s="140"/>
      <c r="RXY126" s="140"/>
      <c r="RXZ126" s="140"/>
      <c r="RYA126" s="140"/>
      <c r="RYB126" s="140"/>
      <c r="RYC126" s="140"/>
      <c r="RYD126" s="140"/>
      <c r="RYE126" s="140"/>
      <c r="RYF126" s="140"/>
      <c r="RYG126" s="140"/>
      <c r="RYH126" s="140"/>
      <c r="RYI126" s="140"/>
      <c r="RYJ126" s="140"/>
      <c r="RYK126" s="140"/>
      <c r="RYL126" s="140"/>
      <c r="RYM126" s="140"/>
      <c r="RYN126" s="140"/>
      <c r="RYO126" s="140"/>
      <c r="RYP126" s="140"/>
      <c r="RYQ126" s="140"/>
      <c r="RYR126" s="140"/>
      <c r="RYS126" s="140"/>
      <c r="RYT126" s="140"/>
      <c r="RYU126" s="140"/>
      <c r="RYV126" s="140"/>
      <c r="RYW126" s="140"/>
      <c r="RYX126" s="140"/>
      <c r="RYY126" s="140"/>
      <c r="RYZ126" s="140"/>
      <c r="RZA126" s="140"/>
      <c r="RZB126" s="140"/>
      <c r="RZC126" s="140"/>
      <c r="RZD126" s="140"/>
      <c r="RZE126" s="140"/>
      <c r="RZF126" s="140"/>
      <c r="RZG126" s="140"/>
      <c r="RZH126" s="140"/>
      <c r="RZI126" s="140"/>
      <c r="RZJ126" s="140"/>
      <c r="RZK126" s="140"/>
      <c r="RZL126" s="140"/>
      <c r="RZM126" s="140"/>
      <c r="RZN126" s="140"/>
      <c r="RZO126" s="140"/>
      <c r="RZP126" s="140"/>
      <c r="RZQ126" s="140"/>
      <c r="RZR126" s="140"/>
      <c r="RZS126" s="140"/>
      <c r="RZT126" s="140"/>
      <c r="RZU126" s="140"/>
      <c r="RZV126" s="140"/>
      <c r="RZW126" s="140"/>
      <c r="RZX126" s="140"/>
      <c r="RZY126" s="140"/>
      <c r="RZZ126" s="140"/>
      <c r="SAA126" s="140"/>
      <c r="SAB126" s="140"/>
      <c r="SAC126" s="140"/>
      <c r="SAD126" s="140"/>
      <c r="SAE126" s="140"/>
      <c r="SAF126" s="140"/>
      <c r="SAG126" s="140"/>
      <c r="SAH126" s="140"/>
      <c r="SAI126" s="140"/>
      <c r="SAJ126" s="140"/>
      <c r="SAK126" s="140"/>
      <c r="SAL126" s="140"/>
      <c r="SAM126" s="140"/>
      <c r="SAN126" s="140"/>
      <c r="SAO126" s="140"/>
      <c r="SAP126" s="140"/>
      <c r="SAQ126" s="140"/>
      <c r="SAR126" s="140"/>
      <c r="SAS126" s="140"/>
      <c r="SAT126" s="140"/>
      <c r="SAU126" s="140"/>
      <c r="SAV126" s="140"/>
      <c r="SAW126" s="140"/>
      <c r="SAX126" s="140"/>
      <c r="SAY126" s="140"/>
      <c r="SAZ126" s="140"/>
      <c r="SBA126" s="140"/>
      <c r="SBB126" s="140"/>
      <c r="SBC126" s="140"/>
      <c r="SBD126" s="140"/>
      <c r="SBE126" s="140"/>
      <c r="SBF126" s="140"/>
      <c r="SBG126" s="140"/>
      <c r="SBH126" s="140"/>
      <c r="SBI126" s="140"/>
      <c r="SBJ126" s="140"/>
      <c r="SBK126" s="140"/>
      <c r="SBL126" s="140"/>
      <c r="SBM126" s="140"/>
      <c r="SBN126" s="140"/>
      <c r="SBO126" s="140"/>
      <c r="SBP126" s="140"/>
      <c r="SBQ126" s="140"/>
      <c r="SBR126" s="140"/>
      <c r="SBS126" s="140"/>
      <c r="SBT126" s="140"/>
      <c r="SBU126" s="140"/>
      <c r="SBV126" s="140"/>
      <c r="SBW126" s="140"/>
      <c r="SBX126" s="140"/>
      <c r="SBY126" s="140"/>
      <c r="SBZ126" s="140"/>
      <c r="SCA126" s="140"/>
      <c r="SCB126" s="140"/>
      <c r="SCC126" s="140"/>
      <c r="SCD126" s="140"/>
      <c r="SCE126" s="140"/>
      <c r="SCF126" s="140"/>
      <c r="SCG126" s="140"/>
      <c r="SCH126" s="140"/>
      <c r="SCI126" s="140"/>
      <c r="SCJ126" s="140"/>
      <c r="SCK126" s="140"/>
      <c r="SCL126" s="140"/>
      <c r="SCM126" s="140"/>
      <c r="SCN126" s="140"/>
      <c r="SCO126" s="140"/>
      <c r="SCP126" s="140"/>
      <c r="SCQ126" s="140"/>
      <c r="SCR126" s="140"/>
      <c r="SCS126" s="140"/>
      <c r="SCT126" s="140"/>
      <c r="SCU126" s="140"/>
      <c r="SCV126" s="140"/>
      <c r="SCW126" s="140"/>
      <c r="SCX126" s="140"/>
      <c r="SCY126" s="140"/>
      <c r="SCZ126" s="140"/>
      <c r="SDA126" s="140"/>
      <c r="SDB126" s="140"/>
      <c r="SDC126" s="140"/>
      <c r="SDD126" s="140"/>
      <c r="SDE126" s="140"/>
      <c r="SDF126" s="140"/>
      <c r="SDG126" s="140"/>
      <c r="SDH126" s="140"/>
      <c r="SDI126" s="140"/>
      <c r="SDJ126" s="140"/>
      <c r="SDK126" s="140"/>
      <c r="SDL126" s="140"/>
      <c r="SDM126" s="140"/>
      <c r="SDN126" s="140"/>
      <c r="SDO126" s="140"/>
      <c r="SDP126" s="140"/>
      <c r="SDQ126" s="140"/>
      <c r="SDR126" s="140"/>
      <c r="SDS126" s="140"/>
      <c r="SDT126" s="140"/>
      <c r="SDU126" s="140"/>
      <c r="SDV126" s="140"/>
      <c r="SDW126" s="140"/>
      <c r="SDX126" s="140"/>
      <c r="SDY126" s="140"/>
      <c r="SDZ126" s="140"/>
      <c r="SEA126" s="140"/>
      <c r="SEB126" s="140"/>
      <c r="SEC126" s="140"/>
      <c r="SED126" s="140"/>
      <c r="SEE126" s="140"/>
      <c r="SEF126" s="140"/>
      <c r="SEG126" s="140"/>
      <c r="SEH126" s="140"/>
      <c r="SEI126" s="140"/>
      <c r="SEJ126" s="140"/>
      <c r="SEK126" s="140"/>
      <c r="SEL126" s="140"/>
      <c r="SEM126" s="140"/>
      <c r="SEN126" s="140"/>
      <c r="SEO126" s="140"/>
      <c r="SEP126" s="140"/>
      <c r="SEQ126" s="140"/>
      <c r="SER126" s="140"/>
      <c r="SES126" s="140"/>
      <c r="SET126" s="140"/>
      <c r="SEU126" s="140"/>
      <c r="SEV126" s="140"/>
      <c r="SEW126" s="140"/>
      <c r="SEX126" s="140"/>
      <c r="SEY126" s="140"/>
      <c r="SEZ126" s="140"/>
      <c r="SFA126" s="140"/>
      <c r="SFB126" s="140"/>
      <c r="SFC126" s="140"/>
      <c r="SFD126" s="140"/>
      <c r="SFE126" s="140"/>
      <c r="SFF126" s="140"/>
      <c r="SFG126" s="140"/>
      <c r="SFH126" s="140"/>
      <c r="SFI126" s="140"/>
      <c r="SFJ126" s="140"/>
      <c r="SFK126" s="140"/>
      <c r="SFL126" s="140"/>
      <c r="SFM126" s="140"/>
      <c r="SFN126" s="140"/>
      <c r="SFO126" s="140"/>
      <c r="SFP126" s="140"/>
      <c r="SFQ126" s="140"/>
      <c r="SFR126" s="140"/>
      <c r="SFS126" s="140"/>
      <c r="SFT126" s="140"/>
      <c r="SFU126" s="140"/>
      <c r="SFV126" s="140"/>
      <c r="SFW126" s="140"/>
      <c r="SFX126" s="140"/>
      <c r="SFY126" s="140"/>
      <c r="SFZ126" s="140"/>
      <c r="SGA126" s="140"/>
      <c r="SGB126" s="140"/>
      <c r="SGC126" s="140"/>
      <c r="SGD126" s="140"/>
      <c r="SGE126" s="140"/>
      <c r="SGF126" s="140"/>
      <c r="SGG126" s="140"/>
      <c r="SGH126" s="140"/>
      <c r="SGI126" s="140"/>
      <c r="SGJ126" s="140"/>
      <c r="SGK126" s="140"/>
      <c r="SGL126" s="140"/>
      <c r="SGM126" s="140"/>
      <c r="SGN126" s="140"/>
      <c r="SGO126" s="140"/>
      <c r="SGP126" s="140"/>
      <c r="SGQ126" s="140"/>
      <c r="SGR126" s="140"/>
      <c r="SGS126" s="140"/>
      <c r="SGT126" s="140"/>
      <c r="SGU126" s="140"/>
      <c r="SGV126" s="140"/>
      <c r="SGW126" s="140"/>
      <c r="SGX126" s="140"/>
      <c r="SGY126" s="140"/>
      <c r="SGZ126" s="140"/>
      <c r="SHA126" s="140"/>
      <c r="SHB126" s="140"/>
      <c r="SHC126" s="140"/>
      <c r="SHD126" s="140"/>
      <c r="SHE126" s="140"/>
      <c r="SHF126" s="140"/>
      <c r="SHG126" s="140"/>
      <c r="SHH126" s="140"/>
      <c r="SHI126" s="140"/>
      <c r="SHJ126" s="140"/>
      <c r="SHK126" s="140"/>
      <c r="SHL126" s="140"/>
      <c r="SHM126" s="140"/>
      <c r="SHN126" s="140"/>
      <c r="SHO126" s="140"/>
      <c r="SHP126" s="140"/>
      <c r="SHQ126" s="140"/>
      <c r="SHR126" s="140"/>
      <c r="SHS126" s="140"/>
      <c r="SHT126" s="140"/>
      <c r="SHU126" s="140"/>
      <c r="SHV126" s="140"/>
      <c r="SHW126" s="140"/>
      <c r="SHX126" s="140"/>
      <c r="SHY126" s="140"/>
      <c r="SHZ126" s="140"/>
      <c r="SIA126" s="140"/>
      <c r="SIB126" s="140"/>
      <c r="SIC126" s="140"/>
      <c r="SID126" s="140"/>
      <c r="SIE126" s="140"/>
      <c r="SIF126" s="140"/>
      <c r="SIG126" s="140"/>
      <c r="SIH126" s="140"/>
      <c r="SII126" s="140"/>
      <c r="SIJ126" s="140"/>
      <c r="SIK126" s="140"/>
      <c r="SIL126" s="140"/>
      <c r="SIM126" s="140"/>
      <c r="SIN126" s="140"/>
      <c r="SIO126" s="140"/>
      <c r="SIP126" s="140"/>
      <c r="SIQ126" s="140"/>
      <c r="SIR126" s="140"/>
      <c r="SIS126" s="140"/>
      <c r="SIT126" s="140"/>
      <c r="SIU126" s="140"/>
      <c r="SIV126" s="140"/>
      <c r="SIW126" s="140"/>
      <c r="SIX126" s="140"/>
      <c r="SIY126" s="140"/>
      <c r="SIZ126" s="140"/>
      <c r="SJA126" s="140"/>
      <c r="SJB126" s="140"/>
      <c r="SJC126" s="140"/>
      <c r="SJD126" s="140"/>
      <c r="SJE126" s="140"/>
      <c r="SJF126" s="140"/>
      <c r="SJG126" s="140"/>
      <c r="SJH126" s="140"/>
      <c r="SJI126" s="140"/>
      <c r="SJJ126" s="140"/>
      <c r="SJK126" s="140"/>
      <c r="SJL126" s="140"/>
      <c r="SJM126" s="140"/>
      <c r="SJN126" s="140"/>
      <c r="SJO126" s="140"/>
      <c r="SJP126" s="140"/>
      <c r="SJQ126" s="140"/>
      <c r="SJR126" s="140"/>
      <c r="SJS126" s="140"/>
      <c r="SJT126" s="140"/>
      <c r="SJU126" s="140"/>
      <c r="SJV126" s="140"/>
      <c r="SJW126" s="140"/>
      <c r="SJX126" s="140"/>
      <c r="SJY126" s="140"/>
      <c r="SJZ126" s="140"/>
      <c r="SKA126" s="140"/>
      <c r="SKB126" s="140"/>
      <c r="SKC126" s="140"/>
      <c r="SKD126" s="140"/>
      <c r="SKE126" s="140"/>
      <c r="SKF126" s="140"/>
      <c r="SKG126" s="140"/>
      <c r="SKH126" s="140"/>
      <c r="SKI126" s="140"/>
      <c r="SKJ126" s="140"/>
      <c r="SKK126" s="140"/>
      <c r="SKL126" s="140"/>
      <c r="SKM126" s="140"/>
      <c r="SKN126" s="140"/>
      <c r="SKO126" s="140"/>
      <c r="SKP126" s="140"/>
      <c r="SKQ126" s="140"/>
      <c r="SKR126" s="140"/>
      <c r="SKS126" s="140"/>
      <c r="SKT126" s="140"/>
      <c r="SKU126" s="140"/>
      <c r="SKV126" s="140"/>
      <c r="SKW126" s="140"/>
      <c r="SKX126" s="140"/>
      <c r="SKY126" s="140"/>
      <c r="SKZ126" s="140"/>
      <c r="SLA126" s="140"/>
      <c r="SLB126" s="140"/>
      <c r="SLC126" s="140"/>
      <c r="SLD126" s="140"/>
      <c r="SLE126" s="140"/>
      <c r="SLF126" s="140"/>
      <c r="SLG126" s="140"/>
      <c r="SLH126" s="140"/>
      <c r="SLI126" s="140"/>
      <c r="SLJ126" s="140"/>
      <c r="SLK126" s="140"/>
      <c r="SLL126" s="140"/>
      <c r="SLM126" s="140"/>
      <c r="SLN126" s="140"/>
      <c r="SLO126" s="140"/>
      <c r="SLP126" s="140"/>
      <c r="SLQ126" s="140"/>
      <c r="SLR126" s="140"/>
      <c r="SLS126" s="140"/>
      <c r="SLT126" s="140"/>
      <c r="SLU126" s="140"/>
      <c r="SLV126" s="140"/>
      <c r="SLW126" s="140"/>
      <c r="SLX126" s="140"/>
      <c r="SLY126" s="140"/>
      <c r="SLZ126" s="140"/>
      <c r="SMA126" s="140"/>
      <c r="SMB126" s="140"/>
      <c r="SMC126" s="140"/>
      <c r="SMD126" s="140"/>
      <c r="SME126" s="140"/>
      <c r="SMF126" s="140"/>
      <c r="SMG126" s="140"/>
      <c r="SMH126" s="140"/>
      <c r="SMI126" s="140"/>
      <c r="SMJ126" s="140"/>
      <c r="SMK126" s="140"/>
      <c r="SML126" s="140"/>
      <c r="SMM126" s="140"/>
      <c r="SMN126" s="140"/>
      <c r="SMO126" s="140"/>
      <c r="SMP126" s="140"/>
      <c r="SMQ126" s="140"/>
      <c r="SMR126" s="140"/>
      <c r="SMS126" s="140"/>
      <c r="SMT126" s="140"/>
      <c r="SMU126" s="140"/>
      <c r="SMV126" s="140"/>
      <c r="SMW126" s="140"/>
      <c r="SMX126" s="140"/>
      <c r="SMY126" s="140"/>
      <c r="SMZ126" s="140"/>
      <c r="SNA126" s="140"/>
      <c r="SNB126" s="140"/>
      <c r="SNC126" s="140"/>
      <c r="SND126" s="140"/>
      <c r="SNE126" s="140"/>
      <c r="SNF126" s="140"/>
      <c r="SNG126" s="140"/>
      <c r="SNH126" s="140"/>
      <c r="SNI126" s="140"/>
      <c r="SNJ126" s="140"/>
      <c r="SNK126" s="140"/>
      <c r="SNL126" s="140"/>
      <c r="SNM126" s="140"/>
      <c r="SNN126" s="140"/>
      <c r="SNO126" s="140"/>
      <c r="SNP126" s="140"/>
      <c r="SNQ126" s="140"/>
      <c r="SNR126" s="140"/>
      <c r="SNS126" s="140"/>
      <c r="SNT126" s="140"/>
      <c r="SNU126" s="140"/>
      <c r="SNV126" s="140"/>
      <c r="SNW126" s="140"/>
      <c r="SNX126" s="140"/>
      <c r="SNY126" s="140"/>
      <c r="SNZ126" s="140"/>
      <c r="SOA126" s="140"/>
      <c r="SOB126" s="140"/>
      <c r="SOC126" s="140"/>
      <c r="SOD126" s="140"/>
      <c r="SOE126" s="140"/>
      <c r="SOF126" s="140"/>
      <c r="SOG126" s="140"/>
      <c r="SOH126" s="140"/>
      <c r="SOI126" s="140"/>
      <c r="SOJ126" s="140"/>
      <c r="SOK126" s="140"/>
      <c r="SOL126" s="140"/>
      <c r="SOM126" s="140"/>
      <c r="SON126" s="140"/>
      <c r="SOO126" s="140"/>
      <c r="SOP126" s="140"/>
      <c r="SOQ126" s="140"/>
      <c r="SOR126" s="140"/>
      <c r="SOS126" s="140"/>
      <c r="SOT126" s="140"/>
      <c r="SOU126" s="140"/>
      <c r="SOV126" s="140"/>
      <c r="SOW126" s="140"/>
      <c r="SOX126" s="140"/>
      <c r="SOY126" s="140"/>
      <c r="SOZ126" s="140"/>
      <c r="SPA126" s="140"/>
      <c r="SPB126" s="140"/>
      <c r="SPC126" s="140"/>
      <c r="SPD126" s="140"/>
      <c r="SPE126" s="140"/>
      <c r="SPF126" s="140"/>
      <c r="SPG126" s="140"/>
      <c r="SPH126" s="140"/>
      <c r="SPI126" s="140"/>
      <c r="SPJ126" s="140"/>
      <c r="SPK126" s="140"/>
      <c r="SPL126" s="140"/>
      <c r="SPM126" s="140"/>
      <c r="SPN126" s="140"/>
      <c r="SPO126" s="140"/>
      <c r="SPP126" s="140"/>
      <c r="SPQ126" s="140"/>
      <c r="SPR126" s="140"/>
      <c r="SPS126" s="140"/>
      <c r="SPT126" s="140"/>
      <c r="SPU126" s="140"/>
      <c r="SPV126" s="140"/>
      <c r="SPW126" s="140"/>
      <c r="SPX126" s="140"/>
      <c r="SPY126" s="140"/>
      <c r="SPZ126" s="140"/>
      <c r="SQA126" s="140"/>
      <c r="SQB126" s="140"/>
      <c r="SQC126" s="140"/>
      <c r="SQD126" s="140"/>
      <c r="SQE126" s="140"/>
      <c r="SQF126" s="140"/>
      <c r="SQG126" s="140"/>
      <c r="SQH126" s="140"/>
      <c r="SQI126" s="140"/>
      <c r="SQJ126" s="140"/>
      <c r="SQK126" s="140"/>
      <c r="SQL126" s="140"/>
      <c r="SQM126" s="140"/>
      <c r="SQN126" s="140"/>
      <c r="SQO126" s="140"/>
      <c r="SQP126" s="140"/>
      <c r="SQQ126" s="140"/>
      <c r="SQR126" s="140"/>
      <c r="SQS126" s="140"/>
      <c r="SQT126" s="140"/>
      <c r="SQU126" s="140"/>
      <c r="SQV126" s="140"/>
      <c r="SQW126" s="140"/>
      <c r="SQX126" s="140"/>
      <c r="SQY126" s="140"/>
      <c r="SQZ126" s="140"/>
      <c r="SRA126" s="140"/>
      <c r="SRB126" s="140"/>
      <c r="SRC126" s="140"/>
      <c r="SRD126" s="140"/>
      <c r="SRE126" s="140"/>
      <c r="SRF126" s="140"/>
      <c r="SRG126" s="140"/>
      <c r="SRH126" s="140"/>
      <c r="SRI126" s="140"/>
      <c r="SRJ126" s="140"/>
      <c r="SRK126" s="140"/>
      <c r="SRL126" s="140"/>
      <c r="SRM126" s="140"/>
      <c r="SRN126" s="140"/>
      <c r="SRO126" s="140"/>
      <c r="SRP126" s="140"/>
      <c r="SRQ126" s="140"/>
      <c r="SRR126" s="140"/>
      <c r="SRS126" s="140"/>
      <c r="SRT126" s="140"/>
      <c r="SRU126" s="140"/>
      <c r="SRV126" s="140"/>
      <c r="SRW126" s="140"/>
      <c r="SRX126" s="140"/>
      <c r="SRY126" s="140"/>
      <c r="SRZ126" s="140"/>
      <c r="SSA126" s="140"/>
      <c r="SSB126" s="140"/>
      <c r="SSC126" s="140"/>
      <c r="SSD126" s="140"/>
      <c r="SSE126" s="140"/>
      <c r="SSF126" s="140"/>
      <c r="SSG126" s="140"/>
      <c r="SSH126" s="140"/>
      <c r="SSI126" s="140"/>
      <c r="SSJ126" s="140"/>
      <c r="SSK126" s="140"/>
      <c r="SSL126" s="140"/>
      <c r="SSM126" s="140"/>
      <c r="SSN126" s="140"/>
      <c r="SSO126" s="140"/>
      <c r="SSP126" s="140"/>
      <c r="SSQ126" s="140"/>
      <c r="SSR126" s="140"/>
      <c r="SSS126" s="140"/>
      <c r="SST126" s="140"/>
      <c r="SSU126" s="140"/>
      <c r="SSV126" s="140"/>
      <c r="SSW126" s="140"/>
      <c r="SSX126" s="140"/>
      <c r="SSY126" s="140"/>
      <c r="SSZ126" s="140"/>
      <c r="STA126" s="140"/>
      <c r="STB126" s="140"/>
      <c r="STC126" s="140"/>
      <c r="STD126" s="140"/>
      <c r="STE126" s="140"/>
      <c r="STF126" s="140"/>
      <c r="STG126" s="140"/>
      <c r="STH126" s="140"/>
      <c r="STI126" s="140"/>
      <c r="STJ126" s="140"/>
      <c r="STK126" s="140"/>
      <c r="STL126" s="140"/>
      <c r="STM126" s="140"/>
      <c r="STN126" s="140"/>
      <c r="STO126" s="140"/>
      <c r="STP126" s="140"/>
      <c r="STQ126" s="140"/>
      <c r="STR126" s="140"/>
      <c r="STS126" s="140"/>
      <c r="STT126" s="140"/>
      <c r="STU126" s="140"/>
      <c r="STV126" s="140"/>
      <c r="STW126" s="140"/>
      <c r="STX126" s="140"/>
      <c r="STY126" s="140"/>
      <c r="STZ126" s="140"/>
      <c r="SUA126" s="140"/>
      <c r="SUB126" s="140"/>
      <c r="SUC126" s="140"/>
      <c r="SUD126" s="140"/>
      <c r="SUE126" s="140"/>
      <c r="SUF126" s="140"/>
      <c r="SUG126" s="140"/>
      <c r="SUH126" s="140"/>
      <c r="SUI126" s="140"/>
      <c r="SUJ126" s="140"/>
      <c r="SUK126" s="140"/>
      <c r="SUL126" s="140"/>
      <c r="SUM126" s="140"/>
      <c r="SUN126" s="140"/>
      <c r="SUO126" s="140"/>
      <c r="SUP126" s="140"/>
      <c r="SUQ126" s="140"/>
      <c r="SUR126" s="140"/>
      <c r="SUS126" s="140"/>
      <c r="SUT126" s="140"/>
      <c r="SUU126" s="140"/>
      <c r="SUV126" s="140"/>
      <c r="SUW126" s="140"/>
      <c r="SUX126" s="140"/>
      <c r="SUY126" s="140"/>
      <c r="SUZ126" s="140"/>
      <c r="SVA126" s="140"/>
      <c r="SVB126" s="140"/>
      <c r="SVC126" s="140"/>
      <c r="SVD126" s="140"/>
      <c r="SVE126" s="140"/>
      <c r="SVF126" s="140"/>
      <c r="SVG126" s="140"/>
      <c r="SVH126" s="140"/>
      <c r="SVI126" s="140"/>
      <c r="SVJ126" s="140"/>
      <c r="SVK126" s="140"/>
      <c r="SVL126" s="140"/>
      <c r="SVM126" s="140"/>
      <c r="SVN126" s="140"/>
      <c r="SVO126" s="140"/>
      <c r="SVP126" s="140"/>
      <c r="SVQ126" s="140"/>
      <c r="SVR126" s="140"/>
      <c r="SVS126" s="140"/>
      <c r="SVT126" s="140"/>
      <c r="SVU126" s="140"/>
      <c r="SVV126" s="140"/>
      <c r="SVW126" s="140"/>
      <c r="SVX126" s="140"/>
      <c r="SVY126" s="140"/>
      <c r="SVZ126" s="140"/>
      <c r="SWA126" s="140"/>
      <c r="SWB126" s="140"/>
      <c r="SWC126" s="140"/>
      <c r="SWD126" s="140"/>
      <c r="SWE126" s="140"/>
      <c r="SWF126" s="140"/>
      <c r="SWG126" s="140"/>
      <c r="SWH126" s="140"/>
      <c r="SWI126" s="140"/>
      <c r="SWJ126" s="140"/>
      <c r="SWK126" s="140"/>
      <c r="SWL126" s="140"/>
      <c r="SWM126" s="140"/>
      <c r="SWN126" s="140"/>
      <c r="SWO126" s="140"/>
      <c r="SWP126" s="140"/>
      <c r="SWQ126" s="140"/>
      <c r="SWR126" s="140"/>
      <c r="SWS126" s="140"/>
      <c r="SWT126" s="140"/>
      <c r="SWU126" s="140"/>
      <c r="SWV126" s="140"/>
      <c r="SWW126" s="140"/>
      <c r="SWX126" s="140"/>
      <c r="SWY126" s="140"/>
      <c r="SWZ126" s="140"/>
      <c r="SXA126" s="140"/>
      <c r="SXB126" s="140"/>
      <c r="SXC126" s="140"/>
      <c r="SXD126" s="140"/>
      <c r="SXE126" s="140"/>
      <c r="SXF126" s="140"/>
      <c r="SXG126" s="140"/>
      <c r="SXH126" s="140"/>
      <c r="SXI126" s="140"/>
      <c r="SXJ126" s="140"/>
      <c r="SXK126" s="140"/>
      <c r="SXL126" s="140"/>
      <c r="SXM126" s="140"/>
      <c r="SXN126" s="140"/>
      <c r="SXO126" s="140"/>
      <c r="SXP126" s="140"/>
      <c r="SXQ126" s="140"/>
      <c r="SXR126" s="140"/>
      <c r="SXS126" s="140"/>
      <c r="SXT126" s="140"/>
      <c r="SXU126" s="140"/>
      <c r="SXV126" s="140"/>
      <c r="SXW126" s="140"/>
      <c r="SXX126" s="140"/>
      <c r="SXY126" s="140"/>
      <c r="SXZ126" s="140"/>
      <c r="SYA126" s="140"/>
      <c r="SYB126" s="140"/>
      <c r="SYC126" s="140"/>
      <c r="SYD126" s="140"/>
      <c r="SYE126" s="140"/>
      <c r="SYF126" s="140"/>
      <c r="SYG126" s="140"/>
      <c r="SYH126" s="140"/>
      <c r="SYI126" s="140"/>
      <c r="SYJ126" s="140"/>
      <c r="SYK126" s="140"/>
      <c r="SYL126" s="140"/>
      <c r="SYM126" s="140"/>
      <c r="SYN126" s="140"/>
      <c r="SYO126" s="140"/>
      <c r="SYP126" s="140"/>
      <c r="SYQ126" s="140"/>
      <c r="SYR126" s="140"/>
      <c r="SYS126" s="140"/>
      <c r="SYT126" s="140"/>
      <c r="SYU126" s="140"/>
      <c r="SYV126" s="140"/>
      <c r="SYW126" s="140"/>
      <c r="SYX126" s="140"/>
      <c r="SYY126" s="140"/>
      <c r="SYZ126" s="140"/>
      <c r="SZA126" s="140"/>
      <c r="SZB126" s="140"/>
      <c r="SZC126" s="140"/>
      <c r="SZD126" s="140"/>
      <c r="SZE126" s="140"/>
      <c r="SZF126" s="140"/>
      <c r="SZG126" s="140"/>
      <c r="SZH126" s="140"/>
      <c r="SZI126" s="140"/>
      <c r="SZJ126" s="140"/>
      <c r="SZK126" s="140"/>
      <c r="SZL126" s="140"/>
      <c r="SZM126" s="140"/>
      <c r="SZN126" s="140"/>
      <c r="SZO126" s="140"/>
      <c r="SZP126" s="140"/>
      <c r="SZQ126" s="140"/>
      <c r="SZR126" s="140"/>
      <c r="SZS126" s="140"/>
      <c r="SZT126" s="140"/>
      <c r="SZU126" s="140"/>
      <c r="SZV126" s="140"/>
      <c r="SZW126" s="140"/>
      <c r="SZX126" s="140"/>
      <c r="SZY126" s="140"/>
      <c r="SZZ126" s="140"/>
      <c r="TAA126" s="140"/>
      <c r="TAB126" s="140"/>
      <c r="TAC126" s="140"/>
      <c r="TAD126" s="140"/>
      <c r="TAE126" s="140"/>
      <c r="TAF126" s="140"/>
      <c r="TAG126" s="140"/>
      <c r="TAH126" s="140"/>
      <c r="TAI126" s="140"/>
      <c r="TAJ126" s="140"/>
      <c r="TAK126" s="140"/>
      <c r="TAL126" s="140"/>
      <c r="TAM126" s="140"/>
      <c r="TAN126" s="140"/>
      <c r="TAO126" s="140"/>
      <c r="TAP126" s="140"/>
      <c r="TAQ126" s="140"/>
      <c r="TAR126" s="140"/>
      <c r="TAS126" s="140"/>
      <c r="TAT126" s="140"/>
      <c r="TAU126" s="140"/>
      <c r="TAV126" s="140"/>
      <c r="TAW126" s="140"/>
      <c r="TAX126" s="140"/>
      <c r="TAY126" s="140"/>
      <c r="TAZ126" s="140"/>
      <c r="TBA126" s="140"/>
      <c r="TBB126" s="140"/>
      <c r="TBC126" s="140"/>
      <c r="TBD126" s="140"/>
      <c r="TBE126" s="140"/>
      <c r="TBF126" s="140"/>
      <c r="TBG126" s="140"/>
      <c r="TBH126" s="140"/>
      <c r="TBI126" s="140"/>
      <c r="TBJ126" s="140"/>
      <c r="TBK126" s="140"/>
      <c r="TBL126" s="140"/>
      <c r="TBM126" s="140"/>
      <c r="TBN126" s="140"/>
      <c r="TBO126" s="140"/>
      <c r="TBP126" s="140"/>
      <c r="TBQ126" s="140"/>
      <c r="TBR126" s="140"/>
      <c r="TBS126" s="140"/>
      <c r="TBT126" s="140"/>
      <c r="TBU126" s="140"/>
      <c r="TBV126" s="140"/>
      <c r="TBW126" s="140"/>
      <c r="TBX126" s="140"/>
      <c r="TBY126" s="140"/>
      <c r="TBZ126" s="140"/>
      <c r="TCA126" s="140"/>
      <c r="TCB126" s="140"/>
      <c r="TCC126" s="140"/>
      <c r="TCD126" s="140"/>
      <c r="TCE126" s="140"/>
      <c r="TCF126" s="140"/>
      <c r="TCG126" s="140"/>
      <c r="TCH126" s="140"/>
      <c r="TCI126" s="140"/>
      <c r="TCJ126" s="140"/>
      <c r="TCK126" s="140"/>
      <c r="TCL126" s="140"/>
      <c r="TCM126" s="140"/>
      <c r="TCN126" s="140"/>
      <c r="TCO126" s="140"/>
      <c r="TCP126" s="140"/>
      <c r="TCQ126" s="140"/>
      <c r="TCR126" s="140"/>
      <c r="TCS126" s="140"/>
      <c r="TCT126" s="140"/>
      <c r="TCU126" s="140"/>
      <c r="TCV126" s="140"/>
      <c r="TCW126" s="140"/>
      <c r="TCX126" s="140"/>
      <c r="TCY126" s="140"/>
      <c r="TCZ126" s="140"/>
      <c r="TDA126" s="140"/>
      <c r="TDB126" s="140"/>
      <c r="TDC126" s="140"/>
      <c r="TDD126" s="140"/>
      <c r="TDE126" s="140"/>
      <c r="TDF126" s="140"/>
      <c r="TDG126" s="140"/>
      <c r="TDH126" s="140"/>
      <c r="TDI126" s="140"/>
      <c r="TDJ126" s="140"/>
      <c r="TDK126" s="140"/>
      <c r="TDL126" s="140"/>
      <c r="TDM126" s="140"/>
      <c r="TDN126" s="140"/>
      <c r="TDO126" s="140"/>
      <c r="TDP126" s="140"/>
      <c r="TDQ126" s="140"/>
      <c r="TDR126" s="140"/>
      <c r="TDS126" s="140"/>
      <c r="TDT126" s="140"/>
      <c r="TDU126" s="140"/>
      <c r="TDV126" s="140"/>
      <c r="TDW126" s="140"/>
      <c r="TDX126" s="140"/>
      <c r="TDY126" s="140"/>
      <c r="TDZ126" s="140"/>
      <c r="TEA126" s="140"/>
      <c r="TEB126" s="140"/>
      <c r="TEC126" s="140"/>
      <c r="TED126" s="140"/>
      <c r="TEE126" s="140"/>
      <c r="TEF126" s="140"/>
      <c r="TEG126" s="140"/>
      <c r="TEH126" s="140"/>
      <c r="TEI126" s="140"/>
      <c r="TEJ126" s="140"/>
      <c r="TEK126" s="140"/>
      <c r="TEL126" s="140"/>
      <c r="TEM126" s="140"/>
      <c r="TEN126" s="140"/>
      <c r="TEO126" s="140"/>
      <c r="TEP126" s="140"/>
      <c r="TEQ126" s="140"/>
      <c r="TER126" s="140"/>
      <c r="TES126" s="140"/>
      <c r="TET126" s="140"/>
      <c r="TEU126" s="140"/>
      <c r="TEV126" s="140"/>
      <c r="TEW126" s="140"/>
      <c r="TEX126" s="140"/>
      <c r="TEY126" s="140"/>
      <c r="TEZ126" s="140"/>
      <c r="TFA126" s="140"/>
      <c r="TFB126" s="140"/>
      <c r="TFC126" s="140"/>
      <c r="TFD126" s="140"/>
      <c r="TFE126" s="140"/>
      <c r="TFF126" s="140"/>
      <c r="TFG126" s="140"/>
      <c r="TFH126" s="140"/>
      <c r="TFI126" s="140"/>
      <c r="TFJ126" s="140"/>
      <c r="TFK126" s="140"/>
      <c r="TFL126" s="140"/>
      <c r="TFM126" s="140"/>
      <c r="TFN126" s="140"/>
      <c r="TFO126" s="140"/>
      <c r="TFP126" s="140"/>
      <c r="TFQ126" s="140"/>
      <c r="TFR126" s="140"/>
      <c r="TFS126" s="140"/>
      <c r="TFT126" s="140"/>
      <c r="TFU126" s="140"/>
      <c r="TFV126" s="140"/>
      <c r="TFW126" s="140"/>
      <c r="TFX126" s="140"/>
      <c r="TFY126" s="140"/>
      <c r="TFZ126" s="140"/>
      <c r="TGA126" s="140"/>
      <c r="TGB126" s="140"/>
      <c r="TGC126" s="140"/>
      <c r="TGD126" s="140"/>
      <c r="TGE126" s="140"/>
      <c r="TGF126" s="140"/>
      <c r="TGG126" s="140"/>
      <c r="TGH126" s="140"/>
      <c r="TGI126" s="140"/>
      <c r="TGJ126" s="140"/>
      <c r="TGK126" s="140"/>
      <c r="TGL126" s="140"/>
      <c r="TGM126" s="140"/>
      <c r="TGN126" s="140"/>
      <c r="TGO126" s="140"/>
      <c r="TGP126" s="140"/>
      <c r="TGQ126" s="140"/>
      <c r="TGR126" s="140"/>
      <c r="TGS126" s="140"/>
      <c r="TGT126" s="140"/>
      <c r="TGU126" s="140"/>
      <c r="TGV126" s="140"/>
      <c r="TGW126" s="140"/>
      <c r="TGX126" s="140"/>
      <c r="TGY126" s="140"/>
      <c r="TGZ126" s="140"/>
      <c r="THA126" s="140"/>
      <c r="THB126" s="140"/>
      <c r="THC126" s="140"/>
      <c r="THD126" s="140"/>
      <c r="THE126" s="140"/>
      <c r="THF126" s="140"/>
      <c r="THG126" s="140"/>
      <c r="THH126" s="140"/>
      <c r="THI126" s="140"/>
      <c r="THJ126" s="140"/>
      <c r="THK126" s="140"/>
      <c r="THL126" s="140"/>
      <c r="THM126" s="140"/>
      <c r="THN126" s="140"/>
      <c r="THO126" s="140"/>
      <c r="THP126" s="140"/>
      <c r="THQ126" s="140"/>
      <c r="THR126" s="140"/>
      <c r="THS126" s="140"/>
      <c r="THT126" s="140"/>
      <c r="THU126" s="140"/>
      <c r="THV126" s="140"/>
      <c r="THW126" s="140"/>
      <c r="THX126" s="140"/>
      <c r="THY126" s="140"/>
      <c r="THZ126" s="140"/>
      <c r="TIA126" s="140"/>
      <c r="TIB126" s="140"/>
      <c r="TIC126" s="140"/>
      <c r="TID126" s="140"/>
      <c r="TIE126" s="140"/>
      <c r="TIF126" s="140"/>
      <c r="TIG126" s="140"/>
      <c r="TIH126" s="140"/>
      <c r="TII126" s="140"/>
      <c r="TIJ126" s="140"/>
      <c r="TIK126" s="140"/>
      <c r="TIL126" s="140"/>
      <c r="TIM126" s="140"/>
      <c r="TIN126" s="140"/>
      <c r="TIO126" s="140"/>
      <c r="TIP126" s="140"/>
      <c r="TIQ126" s="140"/>
      <c r="TIR126" s="140"/>
      <c r="TIS126" s="140"/>
      <c r="TIT126" s="140"/>
      <c r="TIU126" s="140"/>
      <c r="TIV126" s="140"/>
      <c r="TIW126" s="140"/>
      <c r="TIX126" s="140"/>
      <c r="TIY126" s="140"/>
      <c r="TIZ126" s="140"/>
      <c r="TJA126" s="140"/>
      <c r="TJB126" s="140"/>
      <c r="TJC126" s="140"/>
      <c r="TJD126" s="140"/>
      <c r="TJE126" s="140"/>
      <c r="TJF126" s="140"/>
      <c r="TJG126" s="140"/>
      <c r="TJH126" s="140"/>
      <c r="TJI126" s="140"/>
      <c r="TJJ126" s="140"/>
      <c r="TJK126" s="140"/>
      <c r="TJL126" s="140"/>
      <c r="TJM126" s="140"/>
      <c r="TJN126" s="140"/>
      <c r="TJO126" s="140"/>
      <c r="TJP126" s="140"/>
      <c r="TJQ126" s="140"/>
      <c r="TJR126" s="140"/>
      <c r="TJS126" s="140"/>
      <c r="TJT126" s="140"/>
      <c r="TJU126" s="140"/>
      <c r="TJV126" s="140"/>
      <c r="TJW126" s="140"/>
      <c r="TJX126" s="140"/>
      <c r="TJY126" s="140"/>
      <c r="TJZ126" s="140"/>
      <c r="TKA126" s="140"/>
      <c r="TKB126" s="140"/>
      <c r="TKC126" s="140"/>
      <c r="TKD126" s="140"/>
      <c r="TKE126" s="140"/>
      <c r="TKF126" s="140"/>
      <c r="TKG126" s="140"/>
      <c r="TKH126" s="140"/>
      <c r="TKI126" s="140"/>
      <c r="TKJ126" s="140"/>
      <c r="TKK126" s="140"/>
      <c r="TKL126" s="140"/>
      <c r="TKM126" s="140"/>
      <c r="TKN126" s="140"/>
      <c r="TKO126" s="140"/>
      <c r="TKP126" s="140"/>
      <c r="TKQ126" s="140"/>
      <c r="TKR126" s="140"/>
      <c r="TKS126" s="140"/>
      <c r="TKT126" s="140"/>
      <c r="TKU126" s="140"/>
      <c r="TKV126" s="140"/>
      <c r="TKW126" s="140"/>
      <c r="TKX126" s="140"/>
      <c r="TKY126" s="140"/>
      <c r="TKZ126" s="140"/>
      <c r="TLA126" s="140"/>
      <c r="TLB126" s="140"/>
      <c r="TLC126" s="140"/>
      <c r="TLD126" s="140"/>
      <c r="TLE126" s="140"/>
      <c r="TLF126" s="140"/>
      <c r="TLG126" s="140"/>
      <c r="TLH126" s="140"/>
      <c r="TLI126" s="140"/>
      <c r="TLJ126" s="140"/>
      <c r="TLK126" s="140"/>
      <c r="TLL126" s="140"/>
      <c r="TLM126" s="140"/>
      <c r="TLN126" s="140"/>
      <c r="TLO126" s="140"/>
      <c r="TLP126" s="140"/>
      <c r="TLQ126" s="140"/>
      <c r="TLR126" s="140"/>
      <c r="TLS126" s="140"/>
      <c r="TLT126" s="140"/>
      <c r="TLU126" s="140"/>
      <c r="TLV126" s="140"/>
      <c r="TLW126" s="140"/>
      <c r="TLX126" s="140"/>
      <c r="TLY126" s="140"/>
      <c r="TLZ126" s="140"/>
      <c r="TMA126" s="140"/>
      <c r="TMB126" s="140"/>
      <c r="TMC126" s="140"/>
      <c r="TMD126" s="140"/>
      <c r="TME126" s="140"/>
      <c r="TMF126" s="140"/>
      <c r="TMG126" s="140"/>
      <c r="TMH126" s="140"/>
      <c r="TMI126" s="140"/>
      <c r="TMJ126" s="140"/>
      <c r="TMK126" s="140"/>
      <c r="TML126" s="140"/>
      <c r="TMM126" s="140"/>
      <c r="TMN126" s="140"/>
      <c r="TMO126" s="140"/>
      <c r="TMP126" s="140"/>
      <c r="TMQ126" s="140"/>
      <c r="TMR126" s="140"/>
      <c r="TMS126" s="140"/>
      <c r="TMT126" s="140"/>
      <c r="TMU126" s="140"/>
      <c r="TMV126" s="140"/>
      <c r="TMW126" s="140"/>
      <c r="TMX126" s="140"/>
      <c r="TMY126" s="140"/>
      <c r="TMZ126" s="140"/>
      <c r="TNA126" s="140"/>
      <c r="TNB126" s="140"/>
      <c r="TNC126" s="140"/>
      <c r="TND126" s="140"/>
      <c r="TNE126" s="140"/>
      <c r="TNF126" s="140"/>
      <c r="TNG126" s="140"/>
      <c r="TNH126" s="140"/>
      <c r="TNI126" s="140"/>
      <c r="TNJ126" s="140"/>
      <c r="TNK126" s="140"/>
      <c r="TNL126" s="140"/>
      <c r="TNM126" s="140"/>
      <c r="TNN126" s="140"/>
      <c r="TNO126" s="140"/>
      <c r="TNP126" s="140"/>
      <c r="TNQ126" s="140"/>
      <c r="TNR126" s="140"/>
      <c r="TNS126" s="140"/>
      <c r="TNT126" s="140"/>
      <c r="TNU126" s="140"/>
      <c r="TNV126" s="140"/>
      <c r="TNW126" s="140"/>
      <c r="TNX126" s="140"/>
      <c r="TNY126" s="140"/>
      <c r="TNZ126" s="140"/>
      <c r="TOA126" s="140"/>
      <c r="TOB126" s="140"/>
      <c r="TOC126" s="140"/>
      <c r="TOD126" s="140"/>
      <c r="TOE126" s="140"/>
      <c r="TOF126" s="140"/>
      <c r="TOG126" s="140"/>
      <c r="TOH126" s="140"/>
      <c r="TOI126" s="140"/>
      <c r="TOJ126" s="140"/>
      <c r="TOK126" s="140"/>
      <c r="TOL126" s="140"/>
      <c r="TOM126" s="140"/>
      <c r="TON126" s="140"/>
      <c r="TOO126" s="140"/>
      <c r="TOP126" s="140"/>
      <c r="TOQ126" s="140"/>
      <c r="TOR126" s="140"/>
      <c r="TOS126" s="140"/>
      <c r="TOT126" s="140"/>
      <c r="TOU126" s="140"/>
      <c r="TOV126" s="140"/>
      <c r="TOW126" s="140"/>
      <c r="TOX126" s="140"/>
      <c r="TOY126" s="140"/>
      <c r="TOZ126" s="140"/>
      <c r="TPA126" s="140"/>
      <c r="TPB126" s="140"/>
      <c r="TPC126" s="140"/>
      <c r="TPD126" s="140"/>
      <c r="TPE126" s="140"/>
      <c r="TPF126" s="140"/>
      <c r="TPG126" s="140"/>
      <c r="TPH126" s="140"/>
      <c r="TPI126" s="140"/>
      <c r="TPJ126" s="140"/>
      <c r="TPK126" s="140"/>
      <c r="TPL126" s="140"/>
      <c r="TPM126" s="140"/>
      <c r="TPN126" s="140"/>
      <c r="TPO126" s="140"/>
      <c r="TPP126" s="140"/>
      <c r="TPQ126" s="140"/>
      <c r="TPR126" s="140"/>
      <c r="TPS126" s="140"/>
      <c r="TPT126" s="140"/>
      <c r="TPU126" s="140"/>
      <c r="TPV126" s="140"/>
      <c r="TPW126" s="140"/>
      <c r="TPX126" s="140"/>
      <c r="TPY126" s="140"/>
      <c r="TPZ126" s="140"/>
      <c r="TQA126" s="140"/>
      <c r="TQB126" s="140"/>
      <c r="TQC126" s="140"/>
      <c r="TQD126" s="140"/>
      <c r="TQE126" s="140"/>
      <c r="TQF126" s="140"/>
      <c r="TQG126" s="140"/>
      <c r="TQH126" s="140"/>
      <c r="TQI126" s="140"/>
      <c r="TQJ126" s="140"/>
      <c r="TQK126" s="140"/>
      <c r="TQL126" s="140"/>
      <c r="TQM126" s="140"/>
      <c r="TQN126" s="140"/>
      <c r="TQO126" s="140"/>
      <c r="TQP126" s="140"/>
      <c r="TQQ126" s="140"/>
      <c r="TQR126" s="140"/>
      <c r="TQS126" s="140"/>
      <c r="TQT126" s="140"/>
      <c r="TQU126" s="140"/>
      <c r="TQV126" s="140"/>
      <c r="TQW126" s="140"/>
      <c r="TQX126" s="140"/>
      <c r="TQY126" s="140"/>
      <c r="TQZ126" s="140"/>
      <c r="TRA126" s="140"/>
      <c r="TRB126" s="140"/>
      <c r="TRC126" s="140"/>
      <c r="TRD126" s="140"/>
      <c r="TRE126" s="140"/>
      <c r="TRF126" s="140"/>
      <c r="TRG126" s="140"/>
      <c r="TRH126" s="140"/>
      <c r="TRI126" s="140"/>
      <c r="TRJ126" s="140"/>
      <c r="TRK126" s="140"/>
      <c r="TRL126" s="140"/>
      <c r="TRM126" s="140"/>
      <c r="TRN126" s="140"/>
      <c r="TRO126" s="140"/>
      <c r="TRP126" s="140"/>
      <c r="TRQ126" s="140"/>
      <c r="TRR126" s="140"/>
      <c r="TRS126" s="140"/>
      <c r="TRT126" s="140"/>
      <c r="TRU126" s="140"/>
      <c r="TRV126" s="140"/>
      <c r="TRW126" s="140"/>
      <c r="TRX126" s="140"/>
      <c r="TRY126" s="140"/>
      <c r="TRZ126" s="140"/>
      <c r="TSA126" s="140"/>
      <c r="TSB126" s="140"/>
      <c r="TSC126" s="140"/>
      <c r="TSD126" s="140"/>
      <c r="TSE126" s="140"/>
      <c r="TSF126" s="140"/>
      <c r="TSG126" s="140"/>
      <c r="TSH126" s="140"/>
      <c r="TSI126" s="140"/>
      <c r="TSJ126" s="140"/>
      <c r="TSK126" s="140"/>
      <c r="TSL126" s="140"/>
      <c r="TSM126" s="140"/>
      <c r="TSN126" s="140"/>
      <c r="TSO126" s="140"/>
      <c r="TSP126" s="140"/>
      <c r="TSQ126" s="140"/>
      <c r="TSR126" s="140"/>
      <c r="TSS126" s="140"/>
      <c r="TST126" s="140"/>
      <c r="TSU126" s="140"/>
      <c r="TSV126" s="140"/>
      <c r="TSW126" s="140"/>
      <c r="TSX126" s="140"/>
      <c r="TSY126" s="140"/>
      <c r="TSZ126" s="140"/>
      <c r="TTA126" s="140"/>
      <c r="TTB126" s="140"/>
      <c r="TTC126" s="140"/>
      <c r="TTD126" s="140"/>
      <c r="TTE126" s="140"/>
      <c r="TTF126" s="140"/>
      <c r="TTG126" s="140"/>
      <c r="TTH126" s="140"/>
      <c r="TTI126" s="140"/>
      <c r="TTJ126" s="140"/>
      <c r="TTK126" s="140"/>
      <c r="TTL126" s="140"/>
      <c r="TTM126" s="140"/>
      <c r="TTN126" s="140"/>
      <c r="TTO126" s="140"/>
      <c r="TTP126" s="140"/>
      <c r="TTQ126" s="140"/>
      <c r="TTR126" s="140"/>
      <c r="TTS126" s="140"/>
      <c r="TTT126" s="140"/>
      <c r="TTU126" s="140"/>
      <c r="TTV126" s="140"/>
      <c r="TTW126" s="140"/>
      <c r="TTX126" s="140"/>
      <c r="TTY126" s="140"/>
      <c r="TTZ126" s="140"/>
      <c r="TUA126" s="140"/>
      <c r="TUB126" s="140"/>
      <c r="TUC126" s="140"/>
      <c r="TUD126" s="140"/>
      <c r="TUE126" s="140"/>
      <c r="TUF126" s="140"/>
      <c r="TUG126" s="140"/>
      <c r="TUH126" s="140"/>
      <c r="TUI126" s="140"/>
      <c r="TUJ126" s="140"/>
      <c r="TUK126" s="140"/>
      <c r="TUL126" s="140"/>
      <c r="TUM126" s="140"/>
      <c r="TUN126" s="140"/>
      <c r="TUO126" s="140"/>
      <c r="TUP126" s="140"/>
      <c r="TUQ126" s="140"/>
      <c r="TUR126" s="140"/>
      <c r="TUS126" s="140"/>
      <c r="TUT126" s="140"/>
      <c r="TUU126" s="140"/>
      <c r="TUV126" s="140"/>
      <c r="TUW126" s="140"/>
      <c r="TUX126" s="140"/>
      <c r="TUY126" s="140"/>
      <c r="TUZ126" s="140"/>
      <c r="TVA126" s="140"/>
      <c r="TVB126" s="140"/>
      <c r="TVC126" s="140"/>
      <c r="TVD126" s="140"/>
      <c r="TVE126" s="140"/>
      <c r="TVF126" s="140"/>
      <c r="TVG126" s="140"/>
      <c r="TVH126" s="140"/>
      <c r="TVI126" s="140"/>
      <c r="TVJ126" s="140"/>
      <c r="TVK126" s="140"/>
      <c r="TVL126" s="140"/>
      <c r="TVM126" s="140"/>
      <c r="TVN126" s="140"/>
      <c r="TVO126" s="140"/>
      <c r="TVP126" s="140"/>
      <c r="TVQ126" s="140"/>
      <c r="TVR126" s="140"/>
      <c r="TVS126" s="140"/>
      <c r="TVT126" s="140"/>
      <c r="TVU126" s="140"/>
      <c r="TVV126" s="140"/>
      <c r="TVW126" s="140"/>
      <c r="TVX126" s="140"/>
      <c r="TVY126" s="140"/>
      <c r="TVZ126" s="140"/>
      <c r="TWA126" s="140"/>
      <c r="TWB126" s="140"/>
      <c r="TWC126" s="140"/>
      <c r="TWD126" s="140"/>
      <c r="TWE126" s="140"/>
      <c r="TWF126" s="140"/>
      <c r="TWG126" s="140"/>
      <c r="TWH126" s="140"/>
      <c r="TWI126" s="140"/>
      <c r="TWJ126" s="140"/>
      <c r="TWK126" s="140"/>
      <c r="TWL126" s="140"/>
      <c r="TWM126" s="140"/>
      <c r="TWN126" s="140"/>
      <c r="TWO126" s="140"/>
      <c r="TWP126" s="140"/>
      <c r="TWQ126" s="140"/>
      <c r="TWR126" s="140"/>
      <c r="TWS126" s="140"/>
      <c r="TWT126" s="140"/>
      <c r="TWU126" s="140"/>
      <c r="TWV126" s="140"/>
      <c r="TWW126" s="140"/>
      <c r="TWX126" s="140"/>
      <c r="TWY126" s="140"/>
      <c r="TWZ126" s="140"/>
      <c r="TXA126" s="140"/>
      <c r="TXB126" s="140"/>
      <c r="TXC126" s="140"/>
      <c r="TXD126" s="140"/>
      <c r="TXE126" s="140"/>
      <c r="TXF126" s="140"/>
      <c r="TXG126" s="140"/>
      <c r="TXH126" s="140"/>
      <c r="TXI126" s="140"/>
      <c r="TXJ126" s="140"/>
      <c r="TXK126" s="140"/>
      <c r="TXL126" s="140"/>
      <c r="TXM126" s="140"/>
      <c r="TXN126" s="140"/>
      <c r="TXO126" s="140"/>
      <c r="TXP126" s="140"/>
      <c r="TXQ126" s="140"/>
      <c r="TXR126" s="140"/>
      <c r="TXS126" s="140"/>
      <c r="TXT126" s="140"/>
      <c r="TXU126" s="140"/>
      <c r="TXV126" s="140"/>
      <c r="TXW126" s="140"/>
      <c r="TXX126" s="140"/>
      <c r="TXY126" s="140"/>
      <c r="TXZ126" s="140"/>
      <c r="TYA126" s="140"/>
      <c r="TYB126" s="140"/>
      <c r="TYC126" s="140"/>
      <c r="TYD126" s="140"/>
      <c r="TYE126" s="140"/>
      <c r="TYF126" s="140"/>
      <c r="TYG126" s="140"/>
      <c r="TYH126" s="140"/>
      <c r="TYI126" s="140"/>
      <c r="TYJ126" s="140"/>
      <c r="TYK126" s="140"/>
      <c r="TYL126" s="140"/>
      <c r="TYM126" s="140"/>
      <c r="TYN126" s="140"/>
      <c r="TYO126" s="140"/>
      <c r="TYP126" s="140"/>
      <c r="TYQ126" s="140"/>
      <c r="TYR126" s="140"/>
      <c r="TYS126" s="140"/>
      <c r="TYT126" s="140"/>
      <c r="TYU126" s="140"/>
      <c r="TYV126" s="140"/>
      <c r="TYW126" s="140"/>
      <c r="TYX126" s="140"/>
      <c r="TYY126" s="140"/>
      <c r="TYZ126" s="140"/>
      <c r="TZA126" s="140"/>
      <c r="TZB126" s="140"/>
      <c r="TZC126" s="140"/>
      <c r="TZD126" s="140"/>
      <c r="TZE126" s="140"/>
      <c r="TZF126" s="140"/>
      <c r="TZG126" s="140"/>
      <c r="TZH126" s="140"/>
      <c r="TZI126" s="140"/>
      <c r="TZJ126" s="140"/>
      <c r="TZK126" s="140"/>
      <c r="TZL126" s="140"/>
      <c r="TZM126" s="140"/>
      <c r="TZN126" s="140"/>
      <c r="TZO126" s="140"/>
      <c r="TZP126" s="140"/>
      <c r="TZQ126" s="140"/>
      <c r="TZR126" s="140"/>
      <c r="TZS126" s="140"/>
      <c r="TZT126" s="140"/>
      <c r="TZU126" s="140"/>
      <c r="TZV126" s="140"/>
      <c r="TZW126" s="140"/>
      <c r="TZX126" s="140"/>
      <c r="TZY126" s="140"/>
      <c r="TZZ126" s="140"/>
      <c r="UAA126" s="140"/>
      <c r="UAB126" s="140"/>
      <c r="UAC126" s="140"/>
      <c r="UAD126" s="140"/>
      <c r="UAE126" s="140"/>
      <c r="UAF126" s="140"/>
      <c r="UAG126" s="140"/>
      <c r="UAH126" s="140"/>
      <c r="UAI126" s="140"/>
      <c r="UAJ126" s="140"/>
      <c r="UAK126" s="140"/>
      <c r="UAL126" s="140"/>
      <c r="UAM126" s="140"/>
      <c r="UAN126" s="140"/>
      <c r="UAO126" s="140"/>
      <c r="UAP126" s="140"/>
      <c r="UAQ126" s="140"/>
      <c r="UAR126" s="140"/>
      <c r="UAS126" s="140"/>
      <c r="UAT126" s="140"/>
      <c r="UAU126" s="140"/>
      <c r="UAV126" s="140"/>
      <c r="UAW126" s="140"/>
      <c r="UAX126" s="140"/>
      <c r="UAY126" s="140"/>
      <c r="UAZ126" s="140"/>
      <c r="UBA126" s="140"/>
      <c r="UBB126" s="140"/>
      <c r="UBC126" s="140"/>
      <c r="UBD126" s="140"/>
      <c r="UBE126" s="140"/>
      <c r="UBF126" s="140"/>
      <c r="UBG126" s="140"/>
      <c r="UBH126" s="140"/>
      <c r="UBI126" s="140"/>
      <c r="UBJ126" s="140"/>
      <c r="UBK126" s="140"/>
      <c r="UBL126" s="140"/>
      <c r="UBM126" s="140"/>
      <c r="UBN126" s="140"/>
      <c r="UBO126" s="140"/>
      <c r="UBP126" s="140"/>
      <c r="UBQ126" s="140"/>
      <c r="UBR126" s="140"/>
      <c r="UBS126" s="140"/>
      <c r="UBT126" s="140"/>
      <c r="UBU126" s="140"/>
      <c r="UBV126" s="140"/>
      <c r="UBW126" s="140"/>
      <c r="UBX126" s="140"/>
      <c r="UBY126" s="140"/>
      <c r="UBZ126" s="140"/>
      <c r="UCA126" s="140"/>
      <c r="UCB126" s="140"/>
      <c r="UCC126" s="140"/>
      <c r="UCD126" s="140"/>
      <c r="UCE126" s="140"/>
      <c r="UCF126" s="140"/>
      <c r="UCG126" s="140"/>
      <c r="UCH126" s="140"/>
      <c r="UCI126" s="140"/>
      <c r="UCJ126" s="140"/>
      <c r="UCK126" s="140"/>
      <c r="UCL126" s="140"/>
      <c r="UCM126" s="140"/>
      <c r="UCN126" s="140"/>
      <c r="UCO126" s="140"/>
      <c r="UCP126" s="140"/>
      <c r="UCQ126" s="140"/>
      <c r="UCR126" s="140"/>
      <c r="UCS126" s="140"/>
      <c r="UCT126" s="140"/>
      <c r="UCU126" s="140"/>
      <c r="UCV126" s="140"/>
      <c r="UCW126" s="140"/>
      <c r="UCX126" s="140"/>
      <c r="UCY126" s="140"/>
      <c r="UCZ126" s="140"/>
      <c r="UDA126" s="140"/>
      <c r="UDB126" s="140"/>
      <c r="UDC126" s="140"/>
      <c r="UDD126" s="140"/>
      <c r="UDE126" s="140"/>
      <c r="UDF126" s="140"/>
      <c r="UDG126" s="140"/>
      <c r="UDH126" s="140"/>
      <c r="UDI126" s="140"/>
      <c r="UDJ126" s="140"/>
      <c r="UDK126" s="140"/>
      <c r="UDL126" s="140"/>
      <c r="UDM126" s="140"/>
      <c r="UDN126" s="140"/>
      <c r="UDO126" s="140"/>
      <c r="UDP126" s="140"/>
      <c r="UDQ126" s="140"/>
      <c r="UDR126" s="140"/>
      <c r="UDS126" s="140"/>
      <c r="UDT126" s="140"/>
      <c r="UDU126" s="140"/>
      <c r="UDV126" s="140"/>
      <c r="UDW126" s="140"/>
      <c r="UDX126" s="140"/>
      <c r="UDY126" s="140"/>
      <c r="UDZ126" s="140"/>
      <c r="UEA126" s="140"/>
      <c r="UEB126" s="140"/>
      <c r="UEC126" s="140"/>
      <c r="UED126" s="140"/>
      <c r="UEE126" s="140"/>
      <c r="UEF126" s="140"/>
      <c r="UEG126" s="140"/>
      <c r="UEH126" s="140"/>
      <c r="UEI126" s="140"/>
      <c r="UEJ126" s="140"/>
      <c r="UEK126" s="140"/>
      <c r="UEL126" s="140"/>
      <c r="UEM126" s="140"/>
      <c r="UEN126" s="140"/>
      <c r="UEO126" s="140"/>
      <c r="UEP126" s="140"/>
      <c r="UEQ126" s="140"/>
      <c r="UER126" s="140"/>
      <c r="UES126" s="140"/>
      <c r="UET126" s="140"/>
      <c r="UEU126" s="140"/>
      <c r="UEV126" s="140"/>
      <c r="UEW126" s="140"/>
      <c r="UEX126" s="140"/>
      <c r="UEY126" s="140"/>
      <c r="UEZ126" s="140"/>
      <c r="UFA126" s="140"/>
      <c r="UFB126" s="140"/>
      <c r="UFC126" s="140"/>
      <c r="UFD126" s="140"/>
      <c r="UFE126" s="140"/>
      <c r="UFF126" s="140"/>
      <c r="UFG126" s="140"/>
      <c r="UFH126" s="140"/>
      <c r="UFI126" s="140"/>
      <c r="UFJ126" s="140"/>
      <c r="UFK126" s="140"/>
      <c r="UFL126" s="140"/>
      <c r="UFM126" s="140"/>
      <c r="UFN126" s="140"/>
      <c r="UFO126" s="140"/>
      <c r="UFP126" s="140"/>
      <c r="UFQ126" s="140"/>
      <c r="UFR126" s="140"/>
      <c r="UFS126" s="140"/>
      <c r="UFT126" s="140"/>
      <c r="UFU126" s="140"/>
      <c r="UFV126" s="140"/>
      <c r="UFW126" s="140"/>
      <c r="UFX126" s="140"/>
      <c r="UFY126" s="140"/>
      <c r="UFZ126" s="140"/>
      <c r="UGA126" s="140"/>
      <c r="UGB126" s="140"/>
      <c r="UGC126" s="140"/>
      <c r="UGD126" s="140"/>
      <c r="UGE126" s="140"/>
      <c r="UGF126" s="140"/>
      <c r="UGG126" s="140"/>
      <c r="UGH126" s="140"/>
      <c r="UGI126" s="140"/>
      <c r="UGJ126" s="140"/>
      <c r="UGK126" s="140"/>
      <c r="UGL126" s="140"/>
      <c r="UGM126" s="140"/>
      <c r="UGN126" s="140"/>
      <c r="UGO126" s="140"/>
      <c r="UGP126" s="140"/>
      <c r="UGQ126" s="140"/>
      <c r="UGR126" s="140"/>
      <c r="UGS126" s="140"/>
      <c r="UGT126" s="140"/>
      <c r="UGU126" s="140"/>
      <c r="UGV126" s="140"/>
      <c r="UGW126" s="140"/>
      <c r="UGX126" s="140"/>
      <c r="UGY126" s="140"/>
      <c r="UGZ126" s="140"/>
      <c r="UHA126" s="140"/>
      <c r="UHB126" s="140"/>
      <c r="UHC126" s="140"/>
      <c r="UHD126" s="140"/>
      <c r="UHE126" s="140"/>
      <c r="UHF126" s="140"/>
      <c r="UHG126" s="140"/>
      <c r="UHH126" s="140"/>
      <c r="UHI126" s="140"/>
      <c r="UHJ126" s="140"/>
      <c r="UHK126" s="140"/>
      <c r="UHL126" s="140"/>
      <c r="UHM126" s="140"/>
      <c r="UHN126" s="140"/>
      <c r="UHO126" s="140"/>
      <c r="UHP126" s="140"/>
      <c r="UHQ126" s="140"/>
      <c r="UHR126" s="140"/>
      <c r="UHS126" s="140"/>
      <c r="UHT126" s="140"/>
      <c r="UHU126" s="140"/>
      <c r="UHV126" s="140"/>
      <c r="UHW126" s="140"/>
      <c r="UHX126" s="140"/>
      <c r="UHY126" s="140"/>
      <c r="UHZ126" s="140"/>
      <c r="UIA126" s="140"/>
      <c r="UIB126" s="140"/>
      <c r="UIC126" s="140"/>
      <c r="UID126" s="140"/>
      <c r="UIE126" s="140"/>
      <c r="UIF126" s="140"/>
      <c r="UIG126" s="140"/>
      <c r="UIH126" s="140"/>
      <c r="UII126" s="140"/>
      <c r="UIJ126" s="140"/>
      <c r="UIK126" s="140"/>
      <c r="UIL126" s="140"/>
      <c r="UIM126" s="140"/>
      <c r="UIN126" s="140"/>
      <c r="UIO126" s="140"/>
      <c r="UIP126" s="140"/>
      <c r="UIQ126" s="140"/>
      <c r="UIR126" s="140"/>
      <c r="UIS126" s="140"/>
      <c r="UIT126" s="140"/>
      <c r="UIU126" s="140"/>
      <c r="UIV126" s="140"/>
      <c r="UIW126" s="140"/>
      <c r="UIX126" s="140"/>
      <c r="UIY126" s="140"/>
      <c r="UIZ126" s="140"/>
      <c r="UJA126" s="140"/>
      <c r="UJB126" s="140"/>
      <c r="UJC126" s="140"/>
      <c r="UJD126" s="140"/>
      <c r="UJE126" s="140"/>
      <c r="UJF126" s="140"/>
      <c r="UJG126" s="140"/>
      <c r="UJH126" s="140"/>
      <c r="UJI126" s="140"/>
      <c r="UJJ126" s="140"/>
      <c r="UJK126" s="140"/>
      <c r="UJL126" s="140"/>
      <c r="UJM126" s="140"/>
      <c r="UJN126" s="140"/>
      <c r="UJO126" s="140"/>
      <c r="UJP126" s="140"/>
      <c r="UJQ126" s="140"/>
      <c r="UJR126" s="140"/>
      <c r="UJS126" s="140"/>
      <c r="UJT126" s="140"/>
      <c r="UJU126" s="140"/>
      <c r="UJV126" s="140"/>
      <c r="UJW126" s="140"/>
      <c r="UJX126" s="140"/>
      <c r="UJY126" s="140"/>
      <c r="UJZ126" s="140"/>
      <c r="UKA126" s="140"/>
      <c r="UKB126" s="140"/>
      <c r="UKC126" s="140"/>
      <c r="UKD126" s="140"/>
      <c r="UKE126" s="140"/>
      <c r="UKF126" s="140"/>
      <c r="UKG126" s="140"/>
      <c r="UKH126" s="140"/>
      <c r="UKI126" s="140"/>
      <c r="UKJ126" s="140"/>
      <c r="UKK126" s="140"/>
      <c r="UKL126" s="140"/>
      <c r="UKM126" s="140"/>
      <c r="UKN126" s="140"/>
      <c r="UKO126" s="140"/>
      <c r="UKP126" s="140"/>
      <c r="UKQ126" s="140"/>
      <c r="UKR126" s="140"/>
      <c r="UKS126" s="140"/>
      <c r="UKT126" s="140"/>
      <c r="UKU126" s="140"/>
      <c r="UKV126" s="140"/>
      <c r="UKW126" s="140"/>
      <c r="UKX126" s="140"/>
      <c r="UKY126" s="140"/>
      <c r="UKZ126" s="140"/>
      <c r="ULA126" s="140"/>
      <c r="ULB126" s="140"/>
      <c r="ULC126" s="140"/>
      <c r="ULD126" s="140"/>
      <c r="ULE126" s="140"/>
      <c r="ULF126" s="140"/>
      <c r="ULG126" s="140"/>
      <c r="ULH126" s="140"/>
      <c r="ULI126" s="140"/>
      <c r="ULJ126" s="140"/>
      <c r="ULK126" s="140"/>
      <c r="ULL126" s="140"/>
      <c r="ULM126" s="140"/>
      <c r="ULN126" s="140"/>
      <c r="ULO126" s="140"/>
      <c r="ULP126" s="140"/>
      <c r="ULQ126" s="140"/>
      <c r="ULR126" s="140"/>
      <c r="ULS126" s="140"/>
      <c r="ULT126" s="140"/>
      <c r="ULU126" s="140"/>
      <c r="ULV126" s="140"/>
      <c r="ULW126" s="140"/>
      <c r="ULX126" s="140"/>
      <c r="ULY126" s="140"/>
      <c r="ULZ126" s="140"/>
      <c r="UMA126" s="140"/>
      <c r="UMB126" s="140"/>
      <c r="UMC126" s="140"/>
      <c r="UMD126" s="140"/>
      <c r="UME126" s="140"/>
      <c r="UMF126" s="140"/>
      <c r="UMG126" s="140"/>
      <c r="UMH126" s="140"/>
      <c r="UMI126" s="140"/>
      <c r="UMJ126" s="140"/>
      <c r="UMK126" s="140"/>
      <c r="UML126" s="140"/>
      <c r="UMM126" s="140"/>
      <c r="UMN126" s="140"/>
      <c r="UMO126" s="140"/>
      <c r="UMP126" s="140"/>
      <c r="UMQ126" s="140"/>
      <c r="UMR126" s="140"/>
      <c r="UMS126" s="140"/>
      <c r="UMT126" s="140"/>
      <c r="UMU126" s="140"/>
      <c r="UMV126" s="140"/>
      <c r="UMW126" s="140"/>
      <c r="UMX126" s="140"/>
      <c r="UMY126" s="140"/>
      <c r="UMZ126" s="140"/>
      <c r="UNA126" s="140"/>
      <c r="UNB126" s="140"/>
      <c r="UNC126" s="140"/>
      <c r="UND126" s="140"/>
      <c r="UNE126" s="140"/>
      <c r="UNF126" s="140"/>
      <c r="UNG126" s="140"/>
      <c r="UNH126" s="140"/>
      <c r="UNI126" s="140"/>
      <c r="UNJ126" s="140"/>
      <c r="UNK126" s="140"/>
      <c r="UNL126" s="140"/>
      <c r="UNM126" s="140"/>
      <c r="UNN126" s="140"/>
      <c r="UNO126" s="140"/>
      <c r="UNP126" s="140"/>
      <c r="UNQ126" s="140"/>
      <c r="UNR126" s="140"/>
      <c r="UNS126" s="140"/>
      <c r="UNT126" s="140"/>
      <c r="UNU126" s="140"/>
      <c r="UNV126" s="140"/>
      <c r="UNW126" s="140"/>
      <c r="UNX126" s="140"/>
      <c r="UNY126" s="140"/>
      <c r="UNZ126" s="140"/>
      <c r="UOA126" s="140"/>
      <c r="UOB126" s="140"/>
      <c r="UOC126" s="140"/>
      <c r="UOD126" s="140"/>
      <c r="UOE126" s="140"/>
      <c r="UOF126" s="140"/>
      <c r="UOG126" s="140"/>
      <c r="UOH126" s="140"/>
      <c r="UOI126" s="140"/>
      <c r="UOJ126" s="140"/>
      <c r="UOK126" s="140"/>
      <c r="UOL126" s="140"/>
      <c r="UOM126" s="140"/>
      <c r="UON126" s="140"/>
      <c r="UOO126" s="140"/>
      <c r="UOP126" s="140"/>
      <c r="UOQ126" s="140"/>
      <c r="UOR126" s="140"/>
      <c r="UOS126" s="140"/>
      <c r="UOT126" s="140"/>
      <c r="UOU126" s="140"/>
      <c r="UOV126" s="140"/>
      <c r="UOW126" s="140"/>
      <c r="UOX126" s="140"/>
      <c r="UOY126" s="140"/>
      <c r="UOZ126" s="140"/>
      <c r="UPA126" s="140"/>
      <c r="UPB126" s="140"/>
      <c r="UPC126" s="140"/>
      <c r="UPD126" s="140"/>
      <c r="UPE126" s="140"/>
      <c r="UPF126" s="140"/>
      <c r="UPG126" s="140"/>
      <c r="UPH126" s="140"/>
      <c r="UPI126" s="140"/>
      <c r="UPJ126" s="140"/>
      <c r="UPK126" s="140"/>
      <c r="UPL126" s="140"/>
      <c r="UPM126" s="140"/>
      <c r="UPN126" s="140"/>
      <c r="UPO126" s="140"/>
      <c r="UPP126" s="140"/>
      <c r="UPQ126" s="140"/>
      <c r="UPR126" s="140"/>
      <c r="UPS126" s="140"/>
      <c r="UPT126" s="140"/>
      <c r="UPU126" s="140"/>
      <c r="UPV126" s="140"/>
      <c r="UPW126" s="140"/>
      <c r="UPX126" s="140"/>
      <c r="UPY126" s="140"/>
      <c r="UPZ126" s="140"/>
      <c r="UQA126" s="140"/>
      <c r="UQB126" s="140"/>
      <c r="UQC126" s="140"/>
      <c r="UQD126" s="140"/>
      <c r="UQE126" s="140"/>
      <c r="UQF126" s="140"/>
      <c r="UQG126" s="140"/>
      <c r="UQH126" s="140"/>
      <c r="UQI126" s="140"/>
      <c r="UQJ126" s="140"/>
      <c r="UQK126" s="140"/>
      <c r="UQL126" s="140"/>
      <c r="UQM126" s="140"/>
      <c r="UQN126" s="140"/>
      <c r="UQO126" s="140"/>
      <c r="UQP126" s="140"/>
      <c r="UQQ126" s="140"/>
      <c r="UQR126" s="140"/>
      <c r="UQS126" s="140"/>
      <c r="UQT126" s="140"/>
      <c r="UQU126" s="140"/>
      <c r="UQV126" s="140"/>
      <c r="UQW126" s="140"/>
      <c r="UQX126" s="140"/>
      <c r="UQY126" s="140"/>
      <c r="UQZ126" s="140"/>
      <c r="URA126" s="140"/>
      <c r="URB126" s="140"/>
      <c r="URC126" s="140"/>
      <c r="URD126" s="140"/>
      <c r="URE126" s="140"/>
      <c r="URF126" s="140"/>
      <c r="URG126" s="140"/>
      <c r="URH126" s="140"/>
      <c r="URI126" s="140"/>
      <c r="URJ126" s="140"/>
      <c r="URK126" s="140"/>
      <c r="URL126" s="140"/>
      <c r="URM126" s="140"/>
      <c r="URN126" s="140"/>
      <c r="URO126" s="140"/>
      <c r="URP126" s="140"/>
      <c r="URQ126" s="140"/>
      <c r="URR126" s="140"/>
      <c r="URS126" s="140"/>
      <c r="URT126" s="140"/>
      <c r="URU126" s="140"/>
      <c r="URV126" s="140"/>
      <c r="URW126" s="140"/>
      <c r="URX126" s="140"/>
      <c r="URY126" s="140"/>
      <c r="URZ126" s="140"/>
      <c r="USA126" s="140"/>
      <c r="USB126" s="140"/>
      <c r="USC126" s="140"/>
      <c r="USD126" s="140"/>
      <c r="USE126" s="140"/>
      <c r="USF126" s="140"/>
      <c r="USG126" s="140"/>
      <c r="USH126" s="140"/>
      <c r="USI126" s="140"/>
      <c r="USJ126" s="140"/>
      <c r="USK126" s="140"/>
      <c r="USL126" s="140"/>
      <c r="USM126" s="140"/>
      <c r="USN126" s="140"/>
      <c r="USO126" s="140"/>
      <c r="USP126" s="140"/>
      <c r="USQ126" s="140"/>
      <c r="USR126" s="140"/>
      <c r="USS126" s="140"/>
      <c r="UST126" s="140"/>
      <c r="USU126" s="140"/>
      <c r="USV126" s="140"/>
      <c r="USW126" s="140"/>
      <c r="USX126" s="140"/>
      <c r="USY126" s="140"/>
      <c r="USZ126" s="140"/>
      <c r="UTA126" s="140"/>
      <c r="UTB126" s="140"/>
      <c r="UTC126" s="140"/>
      <c r="UTD126" s="140"/>
      <c r="UTE126" s="140"/>
      <c r="UTF126" s="140"/>
      <c r="UTG126" s="140"/>
      <c r="UTH126" s="140"/>
      <c r="UTI126" s="140"/>
      <c r="UTJ126" s="140"/>
      <c r="UTK126" s="140"/>
      <c r="UTL126" s="140"/>
      <c r="UTM126" s="140"/>
      <c r="UTN126" s="140"/>
      <c r="UTO126" s="140"/>
      <c r="UTP126" s="140"/>
      <c r="UTQ126" s="140"/>
      <c r="UTR126" s="140"/>
      <c r="UTS126" s="140"/>
      <c r="UTT126" s="140"/>
      <c r="UTU126" s="140"/>
      <c r="UTV126" s="140"/>
      <c r="UTW126" s="140"/>
      <c r="UTX126" s="140"/>
      <c r="UTY126" s="140"/>
      <c r="UTZ126" s="140"/>
      <c r="UUA126" s="140"/>
      <c r="UUB126" s="140"/>
      <c r="UUC126" s="140"/>
      <c r="UUD126" s="140"/>
      <c r="UUE126" s="140"/>
      <c r="UUF126" s="140"/>
      <c r="UUG126" s="140"/>
      <c r="UUH126" s="140"/>
      <c r="UUI126" s="140"/>
      <c r="UUJ126" s="140"/>
      <c r="UUK126" s="140"/>
      <c r="UUL126" s="140"/>
      <c r="UUM126" s="140"/>
      <c r="UUN126" s="140"/>
      <c r="UUO126" s="140"/>
      <c r="UUP126" s="140"/>
      <c r="UUQ126" s="140"/>
      <c r="UUR126" s="140"/>
      <c r="UUS126" s="140"/>
      <c r="UUT126" s="140"/>
      <c r="UUU126" s="140"/>
      <c r="UUV126" s="140"/>
      <c r="UUW126" s="140"/>
      <c r="UUX126" s="140"/>
      <c r="UUY126" s="140"/>
      <c r="UUZ126" s="140"/>
      <c r="UVA126" s="140"/>
      <c r="UVB126" s="140"/>
      <c r="UVC126" s="140"/>
      <c r="UVD126" s="140"/>
      <c r="UVE126" s="140"/>
      <c r="UVF126" s="140"/>
      <c r="UVG126" s="140"/>
      <c r="UVH126" s="140"/>
      <c r="UVI126" s="140"/>
      <c r="UVJ126" s="140"/>
      <c r="UVK126" s="140"/>
      <c r="UVL126" s="140"/>
      <c r="UVM126" s="140"/>
      <c r="UVN126" s="140"/>
      <c r="UVO126" s="140"/>
      <c r="UVP126" s="140"/>
      <c r="UVQ126" s="140"/>
      <c r="UVR126" s="140"/>
      <c r="UVS126" s="140"/>
      <c r="UVT126" s="140"/>
      <c r="UVU126" s="140"/>
      <c r="UVV126" s="140"/>
      <c r="UVW126" s="140"/>
      <c r="UVX126" s="140"/>
      <c r="UVY126" s="140"/>
      <c r="UVZ126" s="140"/>
      <c r="UWA126" s="140"/>
      <c r="UWB126" s="140"/>
      <c r="UWC126" s="140"/>
      <c r="UWD126" s="140"/>
      <c r="UWE126" s="140"/>
      <c r="UWF126" s="140"/>
      <c r="UWG126" s="140"/>
      <c r="UWH126" s="140"/>
      <c r="UWI126" s="140"/>
      <c r="UWJ126" s="140"/>
      <c r="UWK126" s="140"/>
      <c r="UWL126" s="140"/>
      <c r="UWM126" s="140"/>
      <c r="UWN126" s="140"/>
      <c r="UWO126" s="140"/>
      <c r="UWP126" s="140"/>
      <c r="UWQ126" s="140"/>
      <c r="UWR126" s="140"/>
      <c r="UWS126" s="140"/>
      <c r="UWT126" s="140"/>
      <c r="UWU126" s="140"/>
      <c r="UWV126" s="140"/>
      <c r="UWW126" s="140"/>
      <c r="UWX126" s="140"/>
      <c r="UWY126" s="140"/>
      <c r="UWZ126" s="140"/>
      <c r="UXA126" s="140"/>
      <c r="UXB126" s="140"/>
      <c r="UXC126" s="140"/>
      <c r="UXD126" s="140"/>
      <c r="UXE126" s="140"/>
      <c r="UXF126" s="140"/>
      <c r="UXG126" s="140"/>
      <c r="UXH126" s="140"/>
      <c r="UXI126" s="140"/>
      <c r="UXJ126" s="140"/>
      <c r="UXK126" s="140"/>
      <c r="UXL126" s="140"/>
      <c r="UXM126" s="140"/>
      <c r="UXN126" s="140"/>
      <c r="UXO126" s="140"/>
      <c r="UXP126" s="140"/>
      <c r="UXQ126" s="140"/>
      <c r="UXR126" s="140"/>
      <c r="UXS126" s="140"/>
      <c r="UXT126" s="140"/>
      <c r="UXU126" s="140"/>
      <c r="UXV126" s="140"/>
      <c r="UXW126" s="140"/>
      <c r="UXX126" s="140"/>
      <c r="UXY126" s="140"/>
      <c r="UXZ126" s="140"/>
      <c r="UYA126" s="140"/>
      <c r="UYB126" s="140"/>
      <c r="UYC126" s="140"/>
      <c r="UYD126" s="140"/>
      <c r="UYE126" s="140"/>
      <c r="UYF126" s="140"/>
      <c r="UYG126" s="140"/>
      <c r="UYH126" s="140"/>
      <c r="UYI126" s="140"/>
      <c r="UYJ126" s="140"/>
      <c r="UYK126" s="140"/>
      <c r="UYL126" s="140"/>
      <c r="UYM126" s="140"/>
      <c r="UYN126" s="140"/>
      <c r="UYO126" s="140"/>
      <c r="UYP126" s="140"/>
      <c r="UYQ126" s="140"/>
      <c r="UYR126" s="140"/>
      <c r="UYS126" s="140"/>
      <c r="UYT126" s="140"/>
      <c r="UYU126" s="140"/>
      <c r="UYV126" s="140"/>
      <c r="UYW126" s="140"/>
      <c r="UYX126" s="140"/>
      <c r="UYY126" s="140"/>
      <c r="UYZ126" s="140"/>
      <c r="UZA126" s="140"/>
      <c r="UZB126" s="140"/>
      <c r="UZC126" s="140"/>
      <c r="UZD126" s="140"/>
      <c r="UZE126" s="140"/>
      <c r="UZF126" s="140"/>
      <c r="UZG126" s="140"/>
      <c r="UZH126" s="140"/>
      <c r="UZI126" s="140"/>
      <c r="UZJ126" s="140"/>
      <c r="UZK126" s="140"/>
      <c r="UZL126" s="140"/>
      <c r="UZM126" s="140"/>
      <c r="UZN126" s="140"/>
      <c r="UZO126" s="140"/>
      <c r="UZP126" s="140"/>
      <c r="UZQ126" s="140"/>
      <c r="UZR126" s="140"/>
      <c r="UZS126" s="140"/>
      <c r="UZT126" s="140"/>
      <c r="UZU126" s="140"/>
      <c r="UZV126" s="140"/>
      <c r="UZW126" s="140"/>
      <c r="UZX126" s="140"/>
      <c r="UZY126" s="140"/>
      <c r="UZZ126" s="140"/>
      <c r="VAA126" s="140"/>
      <c r="VAB126" s="140"/>
      <c r="VAC126" s="140"/>
      <c r="VAD126" s="140"/>
      <c r="VAE126" s="140"/>
      <c r="VAF126" s="140"/>
      <c r="VAG126" s="140"/>
      <c r="VAH126" s="140"/>
      <c r="VAI126" s="140"/>
      <c r="VAJ126" s="140"/>
      <c r="VAK126" s="140"/>
      <c r="VAL126" s="140"/>
      <c r="VAM126" s="140"/>
      <c r="VAN126" s="140"/>
      <c r="VAO126" s="140"/>
      <c r="VAP126" s="140"/>
      <c r="VAQ126" s="140"/>
      <c r="VAR126" s="140"/>
      <c r="VAS126" s="140"/>
      <c r="VAT126" s="140"/>
      <c r="VAU126" s="140"/>
      <c r="VAV126" s="140"/>
      <c r="VAW126" s="140"/>
      <c r="VAX126" s="140"/>
      <c r="VAY126" s="140"/>
      <c r="VAZ126" s="140"/>
      <c r="VBA126" s="140"/>
      <c r="VBB126" s="140"/>
      <c r="VBC126" s="140"/>
      <c r="VBD126" s="140"/>
      <c r="VBE126" s="140"/>
      <c r="VBF126" s="140"/>
      <c r="VBG126" s="140"/>
      <c r="VBH126" s="140"/>
      <c r="VBI126" s="140"/>
      <c r="VBJ126" s="140"/>
      <c r="VBK126" s="140"/>
      <c r="VBL126" s="140"/>
      <c r="VBM126" s="140"/>
      <c r="VBN126" s="140"/>
      <c r="VBO126" s="140"/>
      <c r="VBP126" s="140"/>
      <c r="VBQ126" s="140"/>
      <c r="VBR126" s="140"/>
      <c r="VBS126" s="140"/>
      <c r="VBT126" s="140"/>
      <c r="VBU126" s="140"/>
      <c r="VBV126" s="140"/>
      <c r="VBW126" s="140"/>
      <c r="VBX126" s="140"/>
      <c r="VBY126" s="140"/>
      <c r="VBZ126" s="140"/>
      <c r="VCA126" s="140"/>
      <c r="VCB126" s="140"/>
      <c r="VCC126" s="140"/>
      <c r="VCD126" s="140"/>
      <c r="VCE126" s="140"/>
      <c r="VCF126" s="140"/>
      <c r="VCG126" s="140"/>
      <c r="VCH126" s="140"/>
      <c r="VCI126" s="140"/>
      <c r="VCJ126" s="140"/>
      <c r="VCK126" s="140"/>
      <c r="VCL126" s="140"/>
      <c r="VCM126" s="140"/>
      <c r="VCN126" s="140"/>
      <c r="VCO126" s="140"/>
      <c r="VCP126" s="140"/>
      <c r="VCQ126" s="140"/>
      <c r="VCR126" s="140"/>
      <c r="VCS126" s="140"/>
      <c r="VCT126" s="140"/>
      <c r="VCU126" s="140"/>
      <c r="VCV126" s="140"/>
      <c r="VCW126" s="140"/>
      <c r="VCX126" s="140"/>
      <c r="VCY126" s="140"/>
      <c r="VCZ126" s="140"/>
      <c r="VDA126" s="140"/>
      <c r="VDB126" s="140"/>
      <c r="VDC126" s="140"/>
      <c r="VDD126" s="140"/>
      <c r="VDE126" s="140"/>
      <c r="VDF126" s="140"/>
      <c r="VDG126" s="140"/>
      <c r="VDH126" s="140"/>
      <c r="VDI126" s="140"/>
      <c r="VDJ126" s="140"/>
      <c r="VDK126" s="140"/>
      <c r="VDL126" s="140"/>
      <c r="VDM126" s="140"/>
      <c r="VDN126" s="140"/>
      <c r="VDO126" s="140"/>
      <c r="VDP126" s="140"/>
      <c r="VDQ126" s="140"/>
      <c r="VDR126" s="140"/>
      <c r="VDS126" s="140"/>
      <c r="VDT126" s="140"/>
      <c r="VDU126" s="140"/>
      <c r="VDV126" s="140"/>
      <c r="VDW126" s="140"/>
      <c r="VDX126" s="140"/>
      <c r="VDY126" s="140"/>
      <c r="VDZ126" s="140"/>
      <c r="VEA126" s="140"/>
      <c r="VEB126" s="140"/>
      <c r="VEC126" s="140"/>
      <c r="VED126" s="140"/>
      <c r="VEE126" s="140"/>
      <c r="VEF126" s="140"/>
      <c r="VEG126" s="140"/>
      <c r="VEH126" s="140"/>
      <c r="VEI126" s="140"/>
      <c r="VEJ126" s="140"/>
      <c r="VEK126" s="140"/>
      <c r="VEL126" s="140"/>
      <c r="VEM126" s="140"/>
      <c r="VEN126" s="140"/>
      <c r="VEO126" s="140"/>
      <c r="VEP126" s="140"/>
      <c r="VEQ126" s="140"/>
      <c r="VER126" s="140"/>
      <c r="VES126" s="140"/>
      <c r="VET126" s="140"/>
      <c r="VEU126" s="140"/>
      <c r="VEV126" s="140"/>
      <c r="VEW126" s="140"/>
      <c r="VEX126" s="140"/>
      <c r="VEY126" s="140"/>
      <c r="VEZ126" s="140"/>
      <c r="VFA126" s="140"/>
      <c r="VFB126" s="140"/>
      <c r="VFC126" s="140"/>
      <c r="VFD126" s="140"/>
      <c r="VFE126" s="140"/>
      <c r="VFF126" s="140"/>
      <c r="VFG126" s="140"/>
      <c r="VFH126" s="140"/>
      <c r="VFI126" s="140"/>
      <c r="VFJ126" s="140"/>
      <c r="VFK126" s="140"/>
      <c r="VFL126" s="140"/>
      <c r="VFM126" s="140"/>
      <c r="VFN126" s="140"/>
      <c r="VFO126" s="140"/>
      <c r="VFP126" s="140"/>
      <c r="VFQ126" s="140"/>
      <c r="VFR126" s="140"/>
      <c r="VFS126" s="140"/>
      <c r="VFT126" s="140"/>
      <c r="VFU126" s="140"/>
      <c r="VFV126" s="140"/>
      <c r="VFW126" s="140"/>
      <c r="VFX126" s="140"/>
      <c r="VFY126" s="140"/>
      <c r="VFZ126" s="140"/>
      <c r="VGA126" s="140"/>
      <c r="VGB126" s="140"/>
      <c r="VGC126" s="140"/>
      <c r="VGD126" s="140"/>
      <c r="VGE126" s="140"/>
      <c r="VGF126" s="140"/>
      <c r="VGG126" s="140"/>
      <c r="VGH126" s="140"/>
      <c r="VGI126" s="140"/>
      <c r="VGJ126" s="140"/>
      <c r="VGK126" s="140"/>
      <c r="VGL126" s="140"/>
      <c r="VGM126" s="140"/>
      <c r="VGN126" s="140"/>
      <c r="VGO126" s="140"/>
      <c r="VGP126" s="140"/>
      <c r="VGQ126" s="140"/>
      <c r="VGR126" s="140"/>
      <c r="VGS126" s="140"/>
      <c r="VGT126" s="140"/>
      <c r="VGU126" s="140"/>
      <c r="VGV126" s="140"/>
      <c r="VGW126" s="140"/>
      <c r="VGX126" s="140"/>
      <c r="VGY126" s="140"/>
      <c r="VGZ126" s="140"/>
      <c r="VHA126" s="140"/>
      <c r="VHB126" s="140"/>
      <c r="VHC126" s="140"/>
      <c r="VHD126" s="140"/>
      <c r="VHE126" s="140"/>
      <c r="VHF126" s="140"/>
      <c r="VHG126" s="140"/>
      <c r="VHH126" s="140"/>
      <c r="VHI126" s="140"/>
      <c r="VHJ126" s="140"/>
      <c r="VHK126" s="140"/>
      <c r="VHL126" s="140"/>
      <c r="VHM126" s="140"/>
      <c r="VHN126" s="140"/>
      <c r="VHO126" s="140"/>
      <c r="VHP126" s="140"/>
      <c r="VHQ126" s="140"/>
      <c r="VHR126" s="140"/>
      <c r="VHS126" s="140"/>
      <c r="VHT126" s="140"/>
      <c r="VHU126" s="140"/>
      <c r="VHV126" s="140"/>
      <c r="VHW126" s="140"/>
      <c r="VHX126" s="140"/>
      <c r="VHY126" s="140"/>
      <c r="VHZ126" s="140"/>
      <c r="VIA126" s="140"/>
      <c r="VIB126" s="140"/>
      <c r="VIC126" s="140"/>
      <c r="VID126" s="140"/>
      <c r="VIE126" s="140"/>
      <c r="VIF126" s="140"/>
      <c r="VIG126" s="140"/>
      <c r="VIH126" s="140"/>
      <c r="VII126" s="140"/>
      <c r="VIJ126" s="140"/>
      <c r="VIK126" s="140"/>
      <c r="VIL126" s="140"/>
      <c r="VIM126" s="140"/>
      <c r="VIN126" s="140"/>
      <c r="VIO126" s="140"/>
      <c r="VIP126" s="140"/>
      <c r="VIQ126" s="140"/>
      <c r="VIR126" s="140"/>
      <c r="VIS126" s="140"/>
      <c r="VIT126" s="140"/>
      <c r="VIU126" s="140"/>
      <c r="VIV126" s="140"/>
      <c r="VIW126" s="140"/>
      <c r="VIX126" s="140"/>
      <c r="VIY126" s="140"/>
      <c r="VIZ126" s="140"/>
      <c r="VJA126" s="140"/>
      <c r="VJB126" s="140"/>
      <c r="VJC126" s="140"/>
      <c r="VJD126" s="140"/>
      <c r="VJE126" s="140"/>
      <c r="VJF126" s="140"/>
      <c r="VJG126" s="140"/>
      <c r="VJH126" s="140"/>
      <c r="VJI126" s="140"/>
      <c r="VJJ126" s="140"/>
      <c r="VJK126" s="140"/>
      <c r="VJL126" s="140"/>
      <c r="VJM126" s="140"/>
      <c r="VJN126" s="140"/>
      <c r="VJO126" s="140"/>
      <c r="VJP126" s="140"/>
      <c r="VJQ126" s="140"/>
      <c r="VJR126" s="140"/>
      <c r="VJS126" s="140"/>
      <c r="VJT126" s="140"/>
      <c r="VJU126" s="140"/>
      <c r="VJV126" s="140"/>
      <c r="VJW126" s="140"/>
      <c r="VJX126" s="140"/>
      <c r="VJY126" s="140"/>
      <c r="VJZ126" s="140"/>
      <c r="VKA126" s="140"/>
      <c r="VKB126" s="140"/>
      <c r="VKC126" s="140"/>
      <c r="VKD126" s="140"/>
      <c r="VKE126" s="140"/>
      <c r="VKF126" s="140"/>
      <c r="VKG126" s="140"/>
      <c r="VKH126" s="140"/>
      <c r="VKI126" s="140"/>
      <c r="VKJ126" s="140"/>
      <c r="VKK126" s="140"/>
      <c r="VKL126" s="140"/>
      <c r="VKM126" s="140"/>
      <c r="VKN126" s="140"/>
      <c r="VKO126" s="140"/>
      <c r="VKP126" s="140"/>
      <c r="VKQ126" s="140"/>
      <c r="VKR126" s="140"/>
      <c r="VKS126" s="140"/>
      <c r="VKT126" s="140"/>
      <c r="VKU126" s="140"/>
      <c r="VKV126" s="140"/>
      <c r="VKW126" s="140"/>
      <c r="VKX126" s="140"/>
      <c r="VKY126" s="140"/>
      <c r="VKZ126" s="140"/>
      <c r="VLA126" s="140"/>
      <c r="VLB126" s="140"/>
      <c r="VLC126" s="140"/>
      <c r="VLD126" s="140"/>
      <c r="VLE126" s="140"/>
      <c r="VLF126" s="140"/>
      <c r="VLG126" s="140"/>
      <c r="VLH126" s="140"/>
      <c r="VLI126" s="140"/>
      <c r="VLJ126" s="140"/>
      <c r="VLK126" s="140"/>
      <c r="VLL126" s="140"/>
      <c r="VLM126" s="140"/>
      <c r="VLN126" s="140"/>
      <c r="VLO126" s="140"/>
      <c r="VLP126" s="140"/>
      <c r="VLQ126" s="140"/>
      <c r="VLR126" s="140"/>
      <c r="VLS126" s="140"/>
      <c r="VLT126" s="140"/>
      <c r="VLU126" s="140"/>
      <c r="VLV126" s="140"/>
      <c r="VLW126" s="140"/>
      <c r="VLX126" s="140"/>
      <c r="VLY126" s="140"/>
      <c r="VLZ126" s="140"/>
      <c r="VMA126" s="140"/>
      <c r="VMB126" s="140"/>
      <c r="VMC126" s="140"/>
      <c r="VMD126" s="140"/>
      <c r="VME126" s="140"/>
      <c r="VMF126" s="140"/>
      <c r="VMG126" s="140"/>
      <c r="VMH126" s="140"/>
      <c r="VMI126" s="140"/>
      <c r="VMJ126" s="140"/>
      <c r="VMK126" s="140"/>
      <c r="VML126" s="140"/>
      <c r="VMM126" s="140"/>
      <c r="VMN126" s="140"/>
      <c r="VMO126" s="140"/>
      <c r="VMP126" s="140"/>
      <c r="VMQ126" s="140"/>
      <c r="VMR126" s="140"/>
      <c r="VMS126" s="140"/>
      <c r="VMT126" s="140"/>
      <c r="VMU126" s="140"/>
      <c r="VMV126" s="140"/>
      <c r="VMW126" s="140"/>
      <c r="VMX126" s="140"/>
      <c r="VMY126" s="140"/>
      <c r="VMZ126" s="140"/>
      <c r="VNA126" s="140"/>
      <c r="VNB126" s="140"/>
      <c r="VNC126" s="140"/>
      <c r="VND126" s="140"/>
      <c r="VNE126" s="140"/>
      <c r="VNF126" s="140"/>
      <c r="VNG126" s="140"/>
      <c r="VNH126" s="140"/>
      <c r="VNI126" s="140"/>
      <c r="VNJ126" s="140"/>
      <c r="VNK126" s="140"/>
      <c r="VNL126" s="140"/>
      <c r="VNM126" s="140"/>
      <c r="VNN126" s="140"/>
      <c r="VNO126" s="140"/>
      <c r="VNP126" s="140"/>
      <c r="VNQ126" s="140"/>
      <c r="VNR126" s="140"/>
      <c r="VNS126" s="140"/>
      <c r="VNT126" s="140"/>
      <c r="VNU126" s="140"/>
      <c r="VNV126" s="140"/>
      <c r="VNW126" s="140"/>
      <c r="VNX126" s="140"/>
      <c r="VNY126" s="140"/>
      <c r="VNZ126" s="140"/>
      <c r="VOA126" s="140"/>
      <c r="VOB126" s="140"/>
      <c r="VOC126" s="140"/>
      <c r="VOD126" s="140"/>
      <c r="VOE126" s="140"/>
      <c r="VOF126" s="140"/>
      <c r="VOG126" s="140"/>
      <c r="VOH126" s="140"/>
      <c r="VOI126" s="140"/>
      <c r="VOJ126" s="140"/>
      <c r="VOK126" s="140"/>
      <c r="VOL126" s="140"/>
      <c r="VOM126" s="140"/>
      <c r="VON126" s="140"/>
      <c r="VOO126" s="140"/>
      <c r="VOP126" s="140"/>
      <c r="VOQ126" s="140"/>
      <c r="VOR126" s="140"/>
      <c r="VOS126" s="140"/>
      <c r="VOT126" s="140"/>
      <c r="VOU126" s="140"/>
      <c r="VOV126" s="140"/>
      <c r="VOW126" s="140"/>
      <c r="VOX126" s="140"/>
      <c r="VOY126" s="140"/>
      <c r="VOZ126" s="140"/>
      <c r="VPA126" s="140"/>
      <c r="VPB126" s="140"/>
      <c r="VPC126" s="140"/>
      <c r="VPD126" s="140"/>
      <c r="VPE126" s="140"/>
      <c r="VPF126" s="140"/>
      <c r="VPG126" s="140"/>
      <c r="VPH126" s="140"/>
      <c r="VPI126" s="140"/>
      <c r="VPJ126" s="140"/>
      <c r="VPK126" s="140"/>
      <c r="VPL126" s="140"/>
      <c r="VPM126" s="140"/>
      <c r="VPN126" s="140"/>
      <c r="VPO126" s="140"/>
      <c r="VPP126" s="140"/>
      <c r="VPQ126" s="140"/>
      <c r="VPR126" s="140"/>
      <c r="VPS126" s="140"/>
      <c r="VPT126" s="140"/>
      <c r="VPU126" s="140"/>
      <c r="VPV126" s="140"/>
      <c r="VPW126" s="140"/>
      <c r="VPX126" s="140"/>
      <c r="VPY126" s="140"/>
      <c r="VPZ126" s="140"/>
      <c r="VQA126" s="140"/>
      <c r="VQB126" s="140"/>
      <c r="VQC126" s="140"/>
      <c r="VQD126" s="140"/>
      <c r="VQE126" s="140"/>
      <c r="VQF126" s="140"/>
      <c r="VQG126" s="140"/>
      <c r="VQH126" s="140"/>
      <c r="VQI126" s="140"/>
      <c r="VQJ126" s="140"/>
      <c r="VQK126" s="140"/>
      <c r="VQL126" s="140"/>
      <c r="VQM126" s="140"/>
      <c r="VQN126" s="140"/>
      <c r="VQO126" s="140"/>
      <c r="VQP126" s="140"/>
      <c r="VQQ126" s="140"/>
      <c r="VQR126" s="140"/>
      <c r="VQS126" s="140"/>
      <c r="VQT126" s="140"/>
      <c r="VQU126" s="140"/>
      <c r="VQV126" s="140"/>
      <c r="VQW126" s="140"/>
      <c r="VQX126" s="140"/>
      <c r="VQY126" s="140"/>
      <c r="VQZ126" s="140"/>
      <c r="VRA126" s="140"/>
      <c r="VRB126" s="140"/>
      <c r="VRC126" s="140"/>
      <c r="VRD126" s="140"/>
      <c r="VRE126" s="140"/>
      <c r="VRF126" s="140"/>
      <c r="VRG126" s="140"/>
      <c r="VRH126" s="140"/>
      <c r="VRI126" s="140"/>
      <c r="VRJ126" s="140"/>
      <c r="VRK126" s="140"/>
      <c r="VRL126" s="140"/>
      <c r="VRM126" s="140"/>
      <c r="VRN126" s="140"/>
      <c r="VRO126" s="140"/>
      <c r="VRP126" s="140"/>
      <c r="VRQ126" s="140"/>
      <c r="VRR126" s="140"/>
      <c r="VRS126" s="140"/>
      <c r="VRT126" s="140"/>
      <c r="VRU126" s="140"/>
      <c r="VRV126" s="140"/>
      <c r="VRW126" s="140"/>
      <c r="VRX126" s="140"/>
      <c r="VRY126" s="140"/>
      <c r="VRZ126" s="140"/>
      <c r="VSA126" s="140"/>
      <c r="VSB126" s="140"/>
      <c r="VSC126" s="140"/>
      <c r="VSD126" s="140"/>
      <c r="VSE126" s="140"/>
      <c r="VSF126" s="140"/>
      <c r="VSG126" s="140"/>
      <c r="VSH126" s="140"/>
      <c r="VSI126" s="140"/>
      <c r="VSJ126" s="140"/>
      <c r="VSK126" s="140"/>
      <c r="VSL126" s="140"/>
      <c r="VSM126" s="140"/>
      <c r="VSN126" s="140"/>
      <c r="VSO126" s="140"/>
      <c r="VSP126" s="140"/>
      <c r="VSQ126" s="140"/>
      <c r="VSR126" s="140"/>
      <c r="VSS126" s="140"/>
      <c r="VST126" s="140"/>
      <c r="VSU126" s="140"/>
      <c r="VSV126" s="140"/>
      <c r="VSW126" s="140"/>
      <c r="VSX126" s="140"/>
      <c r="VSY126" s="140"/>
      <c r="VSZ126" s="140"/>
      <c r="VTA126" s="140"/>
      <c r="VTB126" s="140"/>
      <c r="VTC126" s="140"/>
      <c r="VTD126" s="140"/>
      <c r="VTE126" s="140"/>
      <c r="VTF126" s="140"/>
      <c r="VTG126" s="140"/>
      <c r="VTH126" s="140"/>
      <c r="VTI126" s="140"/>
      <c r="VTJ126" s="140"/>
      <c r="VTK126" s="140"/>
      <c r="VTL126" s="140"/>
      <c r="VTM126" s="140"/>
      <c r="VTN126" s="140"/>
      <c r="VTO126" s="140"/>
      <c r="VTP126" s="140"/>
      <c r="VTQ126" s="140"/>
      <c r="VTR126" s="140"/>
      <c r="VTS126" s="140"/>
      <c r="VTT126" s="140"/>
      <c r="VTU126" s="140"/>
      <c r="VTV126" s="140"/>
      <c r="VTW126" s="140"/>
      <c r="VTX126" s="140"/>
      <c r="VTY126" s="140"/>
      <c r="VTZ126" s="140"/>
      <c r="VUA126" s="140"/>
      <c r="VUB126" s="140"/>
      <c r="VUC126" s="140"/>
      <c r="VUD126" s="140"/>
      <c r="VUE126" s="140"/>
      <c r="VUF126" s="140"/>
      <c r="VUG126" s="140"/>
      <c r="VUH126" s="140"/>
      <c r="VUI126" s="140"/>
      <c r="VUJ126" s="140"/>
      <c r="VUK126" s="140"/>
      <c r="VUL126" s="140"/>
      <c r="VUM126" s="140"/>
      <c r="VUN126" s="140"/>
      <c r="VUO126" s="140"/>
      <c r="VUP126" s="140"/>
      <c r="VUQ126" s="140"/>
      <c r="VUR126" s="140"/>
      <c r="VUS126" s="140"/>
      <c r="VUT126" s="140"/>
      <c r="VUU126" s="140"/>
      <c r="VUV126" s="140"/>
      <c r="VUW126" s="140"/>
      <c r="VUX126" s="140"/>
      <c r="VUY126" s="140"/>
      <c r="VUZ126" s="140"/>
      <c r="VVA126" s="140"/>
      <c r="VVB126" s="140"/>
      <c r="VVC126" s="140"/>
      <c r="VVD126" s="140"/>
      <c r="VVE126" s="140"/>
      <c r="VVF126" s="140"/>
      <c r="VVG126" s="140"/>
      <c r="VVH126" s="140"/>
      <c r="VVI126" s="140"/>
      <c r="VVJ126" s="140"/>
      <c r="VVK126" s="140"/>
      <c r="VVL126" s="140"/>
      <c r="VVM126" s="140"/>
      <c r="VVN126" s="140"/>
      <c r="VVO126" s="140"/>
      <c r="VVP126" s="140"/>
      <c r="VVQ126" s="140"/>
      <c r="VVR126" s="140"/>
      <c r="VVS126" s="140"/>
      <c r="VVT126" s="140"/>
      <c r="VVU126" s="140"/>
      <c r="VVV126" s="140"/>
      <c r="VVW126" s="140"/>
      <c r="VVX126" s="140"/>
      <c r="VVY126" s="140"/>
      <c r="VVZ126" s="140"/>
      <c r="VWA126" s="140"/>
      <c r="VWB126" s="140"/>
      <c r="VWC126" s="140"/>
      <c r="VWD126" s="140"/>
      <c r="VWE126" s="140"/>
      <c r="VWF126" s="140"/>
      <c r="VWG126" s="140"/>
      <c r="VWH126" s="140"/>
      <c r="VWI126" s="140"/>
      <c r="VWJ126" s="140"/>
      <c r="VWK126" s="140"/>
      <c r="VWL126" s="140"/>
      <c r="VWM126" s="140"/>
      <c r="VWN126" s="140"/>
      <c r="VWO126" s="140"/>
      <c r="VWP126" s="140"/>
      <c r="VWQ126" s="140"/>
      <c r="VWR126" s="140"/>
      <c r="VWS126" s="140"/>
      <c r="VWT126" s="140"/>
      <c r="VWU126" s="140"/>
      <c r="VWV126" s="140"/>
      <c r="VWW126" s="140"/>
      <c r="VWX126" s="140"/>
      <c r="VWY126" s="140"/>
      <c r="VWZ126" s="140"/>
      <c r="VXA126" s="140"/>
      <c r="VXB126" s="140"/>
      <c r="VXC126" s="140"/>
      <c r="VXD126" s="140"/>
      <c r="VXE126" s="140"/>
      <c r="VXF126" s="140"/>
      <c r="VXG126" s="140"/>
      <c r="VXH126" s="140"/>
      <c r="VXI126" s="140"/>
      <c r="VXJ126" s="140"/>
      <c r="VXK126" s="140"/>
      <c r="VXL126" s="140"/>
      <c r="VXM126" s="140"/>
      <c r="VXN126" s="140"/>
      <c r="VXO126" s="140"/>
      <c r="VXP126" s="140"/>
      <c r="VXQ126" s="140"/>
      <c r="VXR126" s="140"/>
      <c r="VXS126" s="140"/>
      <c r="VXT126" s="140"/>
      <c r="VXU126" s="140"/>
      <c r="VXV126" s="140"/>
      <c r="VXW126" s="140"/>
      <c r="VXX126" s="140"/>
      <c r="VXY126" s="140"/>
      <c r="VXZ126" s="140"/>
      <c r="VYA126" s="140"/>
      <c r="VYB126" s="140"/>
      <c r="VYC126" s="140"/>
      <c r="VYD126" s="140"/>
      <c r="VYE126" s="140"/>
      <c r="VYF126" s="140"/>
      <c r="VYG126" s="140"/>
      <c r="VYH126" s="140"/>
      <c r="VYI126" s="140"/>
      <c r="VYJ126" s="140"/>
      <c r="VYK126" s="140"/>
      <c r="VYL126" s="140"/>
      <c r="VYM126" s="140"/>
      <c r="VYN126" s="140"/>
      <c r="VYO126" s="140"/>
      <c r="VYP126" s="140"/>
      <c r="VYQ126" s="140"/>
      <c r="VYR126" s="140"/>
      <c r="VYS126" s="140"/>
      <c r="VYT126" s="140"/>
      <c r="VYU126" s="140"/>
      <c r="VYV126" s="140"/>
      <c r="VYW126" s="140"/>
      <c r="VYX126" s="140"/>
      <c r="VYY126" s="140"/>
      <c r="VYZ126" s="140"/>
      <c r="VZA126" s="140"/>
      <c r="VZB126" s="140"/>
      <c r="VZC126" s="140"/>
      <c r="VZD126" s="140"/>
      <c r="VZE126" s="140"/>
      <c r="VZF126" s="140"/>
      <c r="VZG126" s="140"/>
      <c r="VZH126" s="140"/>
      <c r="VZI126" s="140"/>
      <c r="VZJ126" s="140"/>
      <c r="VZK126" s="140"/>
      <c r="VZL126" s="140"/>
      <c r="VZM126" s="140"/>
      <c r="VZN126" s="140"/>
      <c r="VZO126" s="140"/>
      <c r="VZP126" s="140"/>
      <c r="VZQ126" s="140"/>
      <c r="VZR126" s="140"/>
      <c r="VZS126" s="140"/>
      <c r="VZT126" s="140"/>
      <c r="VZU126" s="140"/>
      <c r="VZV126" s="140"/>
      <c r="VZW126" s="140"/>
      <c r="VZX126" s="140"/>
      <c r="VZY126" s="140"/>
      <c r="VZZ126" s="140"/>
      <c r="WAA126" s="140"/>
      <c r="WAB126" s="140"/>
      <c r="WAC126" s="140"/>
      <c r="WAD126" s="140"/>
      <c r="WAE126" s="140"/>
      <c r="WAF126" s="140"/>
      <c r="WAG126" s="140"/>
      <c r="WAH126" s="140"/>
      <c r="WAI126" s="140"/>
      <c r="WAJ126" s="140"/>
      <c r="WAK126" s="140"/>
      <c r="WAL126" s="140"/>
      <c r="WAM126" s="140"/>
      <c r="WAN126" s="140"/>
      <c r="WAO126" s="140"/>
      <c r="WAP126" s="140"/>
      <c r="WAQ126" s="140"/>
      <c r="WAR126" s="140"/>
      <c r="WAS126" s="140"/>
      <c r="WAT126" s="140"/>
      <c r="WAU126" s="140"/>
      <c r="WAV126" s="140"/>
      <c r="WAW126" s="140"/>
      <c r="WAX126" s="140"/>
      <c r="WAY126" s="140"/>
      <c r="WAZ126" s="140"/>
      <c r="WBA126" s="140"/>
      <c r="WBB126" s="140"/>
      <c r="WBC126" s="140"/>
      <c r="WBD126" s="140"/>
      <c r="WBE126" s="140"/>
      <c r="WBF126" s="140"/>
      <c r="WBG126" s="140"/>
      <c r="WBH126" s="140"/>
      <c r="WBI126" s="140"/>
      <c r="WBJ126" s="140"/>
      <c r="WBK126" s="140"/>
      <c r="WBL126" s="140"/>
      <c r="WBM126" s="140"/>
      <c r="WBN126" s="140"/>
      <c r="WBO126" s="140"/>
      <c r="WBP126" s="140"/>
      <c r="WBQ126" s="140"/>
      <c r="WBR126" s="140"/>
      <c r="WBS126" s="140"/>
      <c r="WBT126" s="140"/>
      <c r="WBU126" s="140"/>
      <c r="WBV126" s="140"/>
      <c r="WBW126" s="140"/>
      <c r="WBX126" s="140"/>
      <c r="WBY126" s="140"/>
      <c r="WBZ126" s="140"/>
      <c r="WCA126" s="140"/>
      <c r="WCB126" s="140"/>
      <c r="WCC126" s="140"/>
      <c r="WCD126" s="140"/>
      <c r="WCE126" s="140"/>
      <c r="WCF126" s="140"/>
      <c r="WCG126" s="140"/>
      <c r="WCH126" s="140"/>
      <c r="WCI126" s="140"/>
      <c r="WCJ126" s="140"/>
      <c r="WCK126" s="140"/>
      <c r="WCL126" s="140"/>
      <c r="WCM126" s="140"/>
      <c r="WCN126" s="140"/>
      <c r="WCO126" s="140"/>
      <c r="WCP126" s="140"/>
      <c r="WCQ126" s="140"/>
      <c r="WCR126" s="140"/>
      <c r="WCS126" s="140"/>
      <c r="WCT126" s="140"/>
      <c r="WCU126" s="140"/>
      <c r="WCV126" s="140"/>
      <c r="WCW126" s="140"/>
      <c r="WCX126" s="140"/>
      <c r="WCY126" s="140"/>
      <c r="WCZ126" s="140"/>
      <c r="WDA126" s="140"/>
      <c r="WDB126" s="140"/>
      <c r="WDC126" s="140"/>
      <c r="WDD126" s="140"/>
      <c r="WDE126" s="140"/>
      <c r="WDF126" s="140"/>
      <c r="WDG126" s="140"/>
      <c r="WDH126" s="140"/>
      <c r="WDI126" s="140"/>
      <c r="WDJ126" s="140"/>
      <c r="WDK126" s="140"/>
      <c r="WDL126" s="140"/>
      <c r="WDM126" s="140"/>
      <c r="WDN126" s="140"/>
      <c r="WDO126" s="140"/>
      <c r="WDP126" s="140"/>
      <c r="WDQ126" s="140"/>
      <c r="WDR126" s="140"/>
      <c r="WDS126" s="140"/>
      <c r="WDT126" s="140"/>
      <c r="WDU126" s="140"/>
      <c r="WDV126" s="140"/>
      <c r="WDW126" s="140"/>
      <c r="WDX126" s="140"/>
      <c r="WDY126" s="140"/>
      <c r="WDZ126" s="140"/>
      <c r="WEA126" s="140"/>
      <c r="WEB126" s="140"/>
      <c r="WEC126" s="140"/>
      <c r="WED126" s="140"/>
      <c r="WEE126" s="140"/>
      <c r="WEF126" s="140"/>
      <c r="WEG126" s="140"/>
      <c r="WEH126" s="140"/>
      <c r="WEI126" s="140"/>
      <c r="WEJ126" s="140"/>
      <c r="WEK126" s="140"/>
      <c r="WEL126" s="140"/>
      <c r="WEM126" s="140"/>
      <c r="WEN126" s="140"/>
      <c r="WEO126" s="140"/>
      <c r="WEP126" s="140"/>
      <c r="WEQ126" s="140"/>
      <c r="WER126" s="140"/>
      <c r="WES126" s="140"/>
      <c r="WET126" s="140"/>
      <c r="WEU126" s="140"/>
      <c r="WEV126" s="140"/>
      <c r="WEW126" s="140"/>
      <c r="WEX126" s="140"/>
      <c r="WEY126" s="140"/>
      <c r="WEZ126" s="140"/>
      <c r="WFA126" s="140"/>
      <c r="WFB126" s="140"/>
      <c r="WFC126" s="140"/>
      <c r="WFD126" s="140"/>
      <c r="WFE126" s="140"/>
      <c r="WFF126" s="140"/>
      <c r="WFG126" s="140"/>
      <c r="WFH126" s="140"/>
      <c r="WFI126" s="140"/>
      <c r="WFJ126" s="140"/>
      <c r="WFK126" s="140"/>
      <c r="WFL126" s="140"/>
      <c r="WFM126" s="140"/>
      <c r="WFN126" s="140"/>
      <c r="WFO126" s="140"/>
      <c r="WFP126" s="140"/>
      <c r="WFQ126" s="140"/>
      <c r="WFR126" s="140"/>
      <c r="WFS126" s="140"/>
      <c r="WFT126" s="140"/>
      <c r="WFU126" s="140"/>
      <c r="WFV126" s="140"/>
      <c r="WFW126" s="140"/>
      <c r="WFX126" s="140"/>
      <c r="WFY126" s="140"/>
      <c r="WFZ126" s="140"/>
      <c r="WGA126" s="140"/>
      <c r="WGB126" s="140"/>
      <c r="WGC126" s="140"/>
      <c r="WGD126" s="140"/>
      <c r="WGE126" s="140"/>
      <c r="WGF126" s="140"/>
      <c r="WGG126" s="140"/>
      <c r="WGH126" s="140"/>
      <c r="WGI126" s="140"/>
      <c r="WGJ126" s="140"/>
      <c r="WGK126" s="140"/>
      <c r="WGL126" s="140"/>
      <c r="WGM126" s="140"/>
      <c r="WGN126" s="140"/>
      <c r="WGO126" s="140"/>
      <c r="WGP126" s="140"/>
      <c r="WGQ126" s="140"/>
      <c r="WGR126" s="140"/>
      <c r="WGS126" s="140"/>
      <c r="WGT126" s="140"/>
      <c r="WGU126" s="140"/>
      <c r="WGV126" s="140"/>
      <c r="WGW126" s="140"/>
      <c r="WGX126" s="140"/>
      <c r="WGY126" s="140"/>
      <c r="WGZ126" s="140"/>
      <c r="WHA126" s="140"/>
      <c r="WHB126" s="140"/>
      <c r="WHC126" s="140"/>
      <c r="WHD126" s="140"/>
      <c r="WHE126" s="140"/>
      <c r="WHF126" s="140"/>
      <c r="WHG126" s="140"/>
      <c r="WHH126" s="140"/>
      <c r="WHI126" s="140"/>
      <c r="WHJ126" s="140"/>
      <c r="WHK126" s="140"/>
      <c r="WHL126" s="140"/>
      <c r="WHM126" s="140"/>
      <c r="WHN126" s="140"/>
      <c r="WHO126" s="140"/>
      <c r="WHP126" s="140"/>
      <c r="WHQ126" s="140"/>
      <c r="WHR126" s="140"/>
      <c r="WHS126" s="140"/>
      <c r="WHT126" s="140"/>
      <c r="WHU126" s="140"/>
      <c r="WHV126" s="140"/>
      <c r="WHW126" s="140"/>
      <c r="WHX126" s="140"/>
      <c r="WHY126" s="140"/>
      <c r="WHZ126" s="140"/>
      <c r="WIA126" s="140"/>
      <c r="WIB126" s="140"/>
      <c r="WIC126" s="140"/>
      <c r="WID126" s="140"/>
      <c r="WIE126" s="140"/>
      <c r="WIF126" s="140"/>
      <c r="WIG126" s="140"/>
      <c r="WIH126" s="140"/>
      <c r="WII126" s="140"/>
      <c r="WIJ126" s="140"/>
      <c r="WIK126" s="140"/>
      <c r="WIL126" s="140"/>
      <c r="WIM126" s="140"/>
      <c r="WIN126" s="140"/>
      <c r="WIO126" s="140"/>
      <c r="WIP126" s="140"/>
      <c r="WIQ126" s="140"/>
      <c r="WIR126" s="140"/>
      <c r="WIS126" s="140"/>
      <c r="WIT126" s="140"/>
      <c r="WIU126" s="140"/>
      <c r="WIV126" s="140"/>
      <c r="WIW126" s="140"/>
      <c r="WIX126" s="140"/>
      <c r="WIY126" s="140"/>
      <c r="WIZ126" s="140"/>
      <c r="WJA126" s="140"/>
      <c r="WJB126" s="140"/>
      <c r="WJC126" s="140"/>
      <c r="WJD126" s="140"/>
      <c r="WJE126" s="140"/>
      <c r="WJF126" s="140"/>
      <c r="WJG126" s="140"/>
      <c r="WJH126" s="140"/>
      <c r="WJI126" s="140"/>
      <c r="WJJ126" s="140"/>
      <c r="WJK126" s="140"/>
      <c r="WJL126" s="140"/>
      <c r="WJM126" s="140"/>
      <c r="WJN126" s="140"/>
      <c r="WJO126" s="140"/>
      <c r="WJP126" s="140"/>
      <c r="WJQ126" s="140"/>
      <c r="WJR126" s="140"/>
      <c r="WJS126" s="140"/>
      <c r="WJT126" s="140"/>
      <c r="WJU126" s="140"/>
      <c r="WJV126" s="140"/>
      <c r="WJW126" s="140"/>
      <c r="WJX126" s="140"/>
      <c r="WJY126" s="140"/>
      <c r="WJZ126" s="140"/>
      <c r="WKA126" s="140"/>
      <c r="WKB126" s="140"/>
      <c r="WKC126" s="140"/>
      <c r="WKD126" s="140"/>
      <c r="WKE126" s="140"/>
      <c r="WKF126" s="140"/>
      <c r="WKG126" s="140"/>
      <c r="WKH126" s="140"/>
      <c r="WKI126" s="140"/>
      <c r="WKJ126" s="140"/>
      <c r="WKK126" s="140"/>
      <c r="WKL126" s="140"/>
      <c r="WKM126" s="140"/>
      <c r="WKN126" s="140"/>
      <c r="WKO126" s="140"/>
      <c r="WKP126" s="140"/>
      <c r="WKQ126" s="140"/>
      <c r="WKR126" s="140"/>
      <c r="WKS126" s="140"/>
      <c r="WKT126" s="140"/>
      <c r="WKU126" s="140"/>
      <c r="WKV126" s="140"/>
      <c r="WKW126" s="140"/>
      <c r="WKX126" s="140"/>
      <c r="WKY126" s="140"/>
      <c r="WKZ126" s="140"/>
      <c r="WLA126" s="140"/>
      <c r="WLB126" s="140"/>
      <c r="WLC126" s="140"/>
      <c r="WLD126" s="140"/>
      <c r="WLE126" s="140"/>
      <c r="WLF126" s="140"/>
      <c r="WLG126" s="140"/>
      <c r="WLH126" s="140"/>
      <c r="WLI126" s="140"/>
      <c r="WLJ126" s="140"/>
      <c r="WLK126" s="140"/>
      <c r="WLL126" s="140"/>
      <c r="WLM126" s="140"/>
      <c r="WLN126" s="140"/>
      <c r="WLO126" s="140"/>
      <c r="WLP126" s="140"/>
      <c r="WLQ126" s="140"/>
      <c r="WLR126" s="140"/>
      <c r="WLS126" s="140"/>
      <c r="WLT126" s="140"/>
      <c r="WLU126" s="140"/>
      <c r="WLV126" s="140"/>
      <c r="WLW126" s="140"/>
      <c r="WLX126" s="140"/>
      <c r="WLY126" s="140"/>
      <c r="WLZ126" s="140"/>
      <c r="WMA126" s="140"/>
      <c r="WMB126" s="140"/>
      <c r="WMC126" s="140"/>
      <c r="WMD126" s="140"/>
      <c r="WME126" s="140"/>
      <c r="WMF126" s="140"/>
      <c r="WMG126" s="140"/>
      <c r="WMH126" s="140"/>
      <c r="WMI126" s="140"/>
      <c r="WMJ126" s="140"/>
      <c r="WMK126" s="140"/>
      <c r="WML126" s="140"/>
      <c r="WMM126" s="140"/>
      <c r="WMN126" s="140"/>
      <c r="WMO126" s="140"/>
      <c r="WMP126" s="140"/>
      <c r="WMQ126" s="140"/>
      <c r="WMR126" s="140"/>
      <c r="WMS126" s="140"/>
      <c r="WMT126" s="140"/>
      <c r="WMU126" s="140"/>
      <c r="WMV126" s="140"/>
      <c r="WMW126" s="140"/>
      <c r="WMX126" s="140"/>
      <c r="WMY126" s="140"/>
      <c r="WMZ126" s="140"/>
      <c r="WNA126" s="140"/>
      <c r="WNB126" s="140"/>
      <c r="WNC126" s="140"/>
      <c r="WND126" s="140"/>
      <c r="WNE126" s="140"/>
      <c r="WNF126" s="140"/>
      <c r="WNG126" s="140"/>
      <c r="WNH126" s="140"/>
      <c r="WNI126" s="140"/>
      <c r="WNJ126" s="140"/>
      <c r="WNK126" s="140"/>
      <c r="WNL126" s="140"/>
      <c r="WNM126" s="140"/>
      <c r="WNN126" s="140"/>
      <c r="WNO126" s="140"/>
      <c r="WNP126" s="140"/>
      <c r="WNQ126" s="140"/>
      <c r="WNR126" s="140"/>
      <c r="WNS126" s="140"/>
      <c r="WNT126" s="140"/>
      <c r="WNU126" s="140"/>
      <c r="WNV126" s="140"/>
      <c r="WNW126" s="140"/>
      <c r="WNX126" s="140"/>
      <c r="WNY126" s="140"/>
      <c r="WNZ126" s="140"/>
      <c r="WOA126" s="140"/>
      <c r="WOB126" s="140"/>
      <c r="WOC126" s="140"/>
      <c r="WOD126" s="140"/>
      <c r="WOE126" s="140"/>
      <c r="WOF126" s="140"/>
      <c r="WOG126" s="140"/>
      <c r="WOH126" s="140"/>
      <c r="WOI126" s="140"/>
      <c r="WOJ126" s="140"/>
      <c r="WOK126" s="140"/>
      <c r="WOL126" s="140"/>
      <c r="WOM126" s="140"/>
      <c r="WON126" s="140"/>
      <c r="WOO126" s="140"/>
      <c r="WOP126" s="140"/>
      <c r="WOQ126" s="140"/>
      <c r="WOR126" s="140"/>
      <c r="WOS126" s="140"/>
      <c r="WOT126" s="140"/>
      <c r="WOU126" s="140"/>
      <c r="WOV126" s="140"/>
      <c r="WOW126" s="140"/>
      <c r="WOX126" s="140"/>
      <c r="WOY126" s="140"/>
      <c r="WOZ126" s="140"/>
      <c r="WPA126" s="140"/>
      <c r="WPB126" s="140"/>
      <c r="WPC126" s="140"/>
      <c r="WPD126" s="140"/>
      <c r="WPE126" s="140"/>
      <c r="WPF126" s="140"/>
      <c r="WPG126" s="140"/>
      <c r="WPH126" s="140"/>
      <c r="WPI126" s="140"/>
      <c r="WPJ126" s="140"/>
      <c r="WPK126" s="140"/>
      <c r="WPL126" s="140"/>
      <c r="WPM126" s="140"/>
      <c r="WPN126" s="140"/>
      <c r="WPO126" s="140"/>
      <c r="WPP126" s="140"/>
      <c r="WPQ126" s="140"/>
      <c r="WPR126" s="140"/>
      <c r="WPS126" s="140"/>
      <c r="WPT126" s="140"/>
      <c r="WPU126" s="140"/>
      <c r="WPV126" s="140"/>
      <c r="WPW126" s="140"/>
      <c r="WPX126" s="140"/>
      <c r="WPY126" s="140"/>
      <c r="WPZ126" s="140"/>
      <c r="WQA126" s="140"/>
      <c r="WQB126" s="140"/>
      <c r="WQC126" s="140"/>
      <c r="WQD126" s="140"/>
      <c r="WQE126" s="140"/>
      <c r="WQF126" s="140"/>
      <c r="WQG126" s="140"/>
      <c r="WQH126" s="140"/>
      <c r="WQI126" s="140"/>
      <c r="WQJ126" s="140"/>
      <c r="WQK126" s="140"/>
      <c r="WQL126" s="140"/>
      <c r="WQM126" s="140"/>
      <c r="WQN126" s="140"/>
      <c r="WQO126" s="140"/>
      <c r="WQP126" s="140"/>
      <c r="WQQ126" s="140"/>
      <c r="WQR126" s="140"/>
      <c r="WQS126" s="140"/>
      <c r="WQT126" s="140"/>
      <c r="WQU126" s="140"/>
      <c r="WQV126" s="140"/>
      <c r="WQW126" s="140"/>
      <c r="WQX126" s="140"/>
      <c r="WQY126" s="140"/>
      <c r="WQZ126" s="140"/>
      <c r="WRA126" s="140"/>
      <c r="WRB126" s="140"/>
      <c r="WRC126" s="140"/>
      <c r="WRD126" s="140"/>
      <c r="WRE126" s="140"/>
      <c r="WRF126" s="140"/>
      <c r="WRG126" s="140"/>
      <c r="WRH126" s="140"/>
      <c r="WRI126" s="140"/>
      <c r="WRJ126" s="140"/>
      <c r="WRK126" s="140"/>
      <c r="WRL126" s="140"/>
      <c r="WRM126" s="140"/>
      <c r="WRN126" s="140"/>
      <c r="WRO126" s="140"/>
      <c r="WRP126" s="140"/>
      <c r="WRQ126" s="140"/>
      <c r="WRR126" s="140"/>
      <c r="WRS126" s="140"/>
      <c r="WRT126" s="140"/>
      <c r="WRU126" s="140"/>
      <c r="WRV126" s="140"/>
      <c r="WRW126" s="140"/>
      <c r="WRX126" s="140"/>
      <c r="WRY126" s="140"/>
      <c r="WRZ126" s="140"/>
      <c r="WSA126" s="140"/>
      <c r="WSB126" s="140"/>
      <c r="WSC126" s="140"/>
      <c r="WSD126" s="140"/>
      <c r="WSE126" s="140"/>
      <c r="WSF126" s="140"/>
      <c r="WSG126" s="140"/>
      <c r="WSH126" s="140"/>
      <c r="WSI126" s="140"/>
      <c r="WSJ126" s="140"/>
      <c r="WSK126" s="140"/>
      <c r="WSL126" s="140"/>
      <c r="WSM126" s="140"/>
      <c r="WSN126" s="140"/>
      <c r="WSO126" s="140"/>
      <c r="WSP126" s="140"/>
      <c r="WSQ126" s="140"/>
      <c r="WSR126" s="140"/>
      <c r="WSS126" s="140"/>
      <c r="WST126" s="140"/>
      <c r="WSU126" s="140"/>
      <c r="WSV126" s="140"/>
      <c r="WSW126" s="140"/>
      <c r="WSX126" s="140"/>
      <c r="WSY126" s="140"/>
      <c r="WSZ126" s="140"/>
      <c r="WTA126" s="140"/>
      <c r="WTB126" s="140"/>
      <c r="WTC126" s="140"/>
      <c r="WTD126" s="140"/>
      <c r="WTE126" s="140"/>
      <c r="WTF126" s="140"/>
      <c r="WTG126" s="140"/>
      <c r="WTH126" s="140"/>
      <c r="WTI126" s="140"/>
      <c r="WTJ126" s="140"/>
      <c r="WTK126" s="140"/>
      <c r="WTL126" s="140"/>
      <c r="WTM126" s="140"/>
      <c r="WTN126" s="140"/>
      <c r="WTO126" s="140"/>
      <c r="WTP126" s="140"/>
      <c r="WTQ126" s="140"/>
      <c r="WTR126" s="140"/>
      <c r="WTS126" s="140"/>
      <c r="WTT126" s="140"/>
      <c r="WTU126" s="140"/>
      <c r="WTV126" s="140"/>
      <c r="WTW126" s="140"/>
      <c r="WTX126" s="140"/>
      <c r="WTY126" s="140"/>
      <c r="WTZ126" s="140"/>
      <c r="WUA126" s="140"/>
      <c r="WUB126" s="140"/>
      <c r="WUC126" s="140"/>
      <c r="WUD126" s="140"/>
      <c r="WUE126" s="140"/>
      <c r="WUF126" s="140"/>
      <c r="WUG126" s="140"/>
      <c r="WUH126" s="140"/>
      <c r="WUI126" s="140"/>
      <c r="WUJ126" s="140"/>
      <c r="WUK126" s="140"/>
      <c r="WUL126" s="140"/>
      <c r="WUM126" s="140"/>
      <c r="WUN126" s="140"/>
      <c r="WUO126" s="140"/>
      <c r="WUP126" s="140"/>
      <c r="WUQ126" s="140"/>
      <c r="WUR126" s="140"/>
      <c r="WUS126" s="140"/>
      <c r="WUT126" s="140"/>
      <c r="WUU126" s="140"/>
      <c r="WUV126" s="140"/>
      <c r="WUW126" s="140"/>
      <c r="WUX126" s="140"/>
      <c r="WUY126" s="140"/>
      <c r="WUZ126" s="140"/>
      <c r="WVA126" s="140"/>
      <c r="WVB126" s="140"/>
      <c r="WVC126" s="140"/>
      <c r="WVD126" s="140"/>
      <c r="WVE126" s="140"/>
      <c r="WVF126" s="140"/>
      <c r="WVG126" s="140"/>
      <c r="WVH126" s="140"/>
      <c r="WVI126" s="140"/>
      <c r="WVJ126" s="140"/>
      <c r="WVK126" s="140"/>
      <c r="WVL126" s="140"/>
      <c r="WVM126" s="140"/>
      <c r="WVN126" s="140"/>
      <c r="WVO126" s="140"/>
      <c r="WVP126" s="140"/>
      <c r="WVQ126" s="140"/>
      <c r="WVR126" s="140"/>
      <c r="WVS126" s="140"/>
      <c r="WVT126" s="140"/>
      <c r="WVU126" s="140"/>
      <c r="WVV126" s="140"/>
      <c r="WVW126" s="140"/>
      <c r="WVX126" s="140"/>
      <c r="WVY126" s="140"/>
      <c r="WVZ126" s="140"/>
      <c r="WWA126" s="140"/>
      <c r="WWB126" s="140"/>
      <c r="WWC126" s="140"/>
      <c r="WWD126" s="140"/>
      <c r="WWE126" s="140"/>
      <c r="WWF126" s="140"/>
      <c r="WWG126" s="140"/>
      <c r="WWH126" s="140"/>
      <c r="WWI126" s="140"/>
      <c r="WWJ126" s="140"/>
      <c r="WWK126" s="140"/>
      <c r="WWL126" s="140"/>
      <c r="WWM126" s="140"/>
      <c r="WWN126" s="140"/>
      <c r="WWO126" s="140"/>
      <c r="WWP126" s="140"/>
      <c r="WWQ126" s="140"/>
      <c r="WWR126" s="140"/>
      <c r="WWS126" s="140"/>
      <c r="WWT126" s="140"/>
      <c r="WWU126" s="140"/>
      <c r="WWV126" s="140"/>
      <c r="WWW126" s="140"/>
      <c r="WWX126" s="140"/>
      <c r="WWY126" s="140"/>
      <c r="WWZ126" s="140"/>
      <c r="WXA126" s="140"/>
      <c r="WXB126" s="140"/>
      <c r="WXC126" s="140"/>
      <c r="WXD126" s="140"/>
      <c r="WXE126" s="140"/>
      <c r="WXF126" s="140"/>
      <c r="WXG126" s="140"/>
      <c r="WXH126" s="140"/>
      <c r="WXI126" s="140"/>
      <c r="WXJ126" s="140"/>
      <c r="WXK126" s="140"/>
      <c r="WXL126" s="140"/>
      <c r="WXM126" s="140"/>
      <c r="WXN126" s="140"/>
      <c r="WXO126" s="140"/>
      <c r="WXP126" s="140"/>
      <c r="WXQ126" s="140"/>
      <c r="WXR126" s="140"/>
      <c r="WXS126" s="140"/>
      <c r="WXT126" s="140"/>
      <c r="WXU126" s="140"/>
      <c r="WXV126" s="140"/>
      <c r="WXW126" s="140"/>
      <c r="WXX126" s="140"/>
      <c r="WXY126" s="140"/>
      <c r="WXZ126" s="140"/>
      <c r="WYA126" s="140"/>
      <c r="WYB126" s="140"/>
      <c r="WYC126" s="140"/>
      <c r="WYD126" s="140"/>
      <c r="WYE126" s="140"/>
      <c r="WYF126" s="140"/>
      <c r="WYG126" s="140"/>
      <c r="WYH126" s="140"/>
      <c r="WYI126" s="140"/>
      <c r="WYJ126" s="140"/>
      <c r="WYK126" s="140"/>
      <c r="WYL126" s="140"/>
      <c r="WYM126" s="140"/>
      <c r="WYN126" s="140"/>
      <c r="WYO126" s="140"/>
      <c r="WYP126" s="140"/>
      <c r="WYQ126" s="140"/>
      <c r="WYR126" s="140"/>
      <c r="WYS126" s="140"/>
      <c r="WYT126" s="140"/>
      <c r="WYU126" s="140"/>
      <c r="WYV126" s="140"/>
      <c r="WYW126" s="140"/>
      <c r="WYX126" s="140"/>
      <c r="WYY126" s="140"/>
      <c r="WYZ126" s="140"/>
      <c r="WZA126" s="140"/>
      <c r="WZB126" s="140"/>
      <c r="WZC126" s="140"/>
      <c r="WZD126" s="140"/>
      <c r="WZE126" s="140"/>
      <c r="WZF126" s="140"/>
      <c r="WZG126" s="140"/>
      <c r="WZH126" s="140"/>
      <c r="WZI126" s="140"/>
      <c r="WZJ126" s="140"/>
      <c r="WZK126" s="140"/>
      <c r="WZL126" s="140"/>
      <c r="WZM126" s="140"/>
      <c r="WZN126" s="140"/>
      <c r="WZO126" s="140"/>
      <c r="WZP126" s="140"/>
      <c r="WZQ126" s="140"/>
      <c r="WZR126" s="140"/>
      <c r="WZS126" s="140"/>
      <c r="WZT126" s="140"/>
      <c r="WZU126" s="140"/>
      <c r="WZV126" s="140"/>
      <c r="WZW126" s="140"/>
      <c r="WZX126" s="140"/>
      <c r="WZY126" s="140"/>
      <c r="WZZ126" s="140"/>
      <c r="XAA126" s="140"/>
      <c r="XAB126" s="140"/>
      <c r="XAC126" s="140"/>
      <c r="XAD126" s="140"/>
      <c r="XAE126" s="140"/>
      <c r="XAF126" s="140"/>
      <c r="XAG126" s="140"/>
      <c r="XAH126" s="140"/>
      <c r="XAI126" s="140"/>
      <c r="XAJ126" s="140"/>
      <c r="XAK126" s="140"/>
      <c r="XAL126" s="140"/>
      <c r="XAM126" s="140"/>
      <c r="XAN126" s="140"/>
      <c r="XAO126" s="140"/>
      <c r="XAP126" s="140"/>
      <c r="XAQ126" s="140"/>
      <c r="XAR126" s="140"/>
      <c r="XAS126" s="140"/>
      <c r="XAT126" s="140"/>
      <c r="XAU126" s="140"/>
      <c r="XAV126" s="140"/>
      <c r="XAW126" s="140"/>
      <c r="XAX126" s="140"/>
      <c r="XAY126" s="140"/>
      <c r="XAZ126" s="140"/>
    </row>
    <row r="127" spans="2:16276" s="22" customFormat="1" x14ac:dyDescent="0.3">
      <c r="B127" s="1535"/>
      <c r="C127" s="1536"/>
      <c r="D127" s="1536"/>
      <c r="E127" s="1536"/>
      <c r="F127" s="1536"/>
      <c r="G127" s="1536"/>
      <c r="H127" s="1536"/>
      <c r="I127" s="1536"/>
      <c r="J127" s="1536"/>
      <c r="K127" s="1536"/>
      <c r="L127" s="1536"/>
      <c r="M127" s="1536"/>
      <c r="N127" s="1536"/>
      <c r="O127" s="1536"/>
      <c r="P127" s="1536"/>
      <c r="Q127" s="1536"/>
      <c r="R127" s="1536"/>
      <c r="S127" s="1536"/>
      <c r="T127" s="1536"/>
      <c r="U127" s="1536"/>
      <c r="V127" s="1537"/>
      <c r="W127" s="1537"/>
      <c r="X127" s="1537"/>
      <c r="Y127" s="1537"/>
      <c r="AA127" s="140"/>
      <c r="AB127" s="140"/>
      <c r="AC127" s="140"/>
      <c r="AD127" s="140"/>
      <c r="AE127" s="140"/>
      <c r="AF127" s="140"/>
      <c r="AG127" s="140"/>
      <c r="AH127" s="140"/>
      <c r="AI127" s="140"/>
      <c r="AJ127" s="140"/>
      <c r="AK127" s="140"/>
      <c r="AL127" s="140"/>
      <c r="AM127" s="140"/>
      <c r="AN127" s="140"/>
      <c r="AO127" s="140"/>
      <c r="AP127" s="140"/>
      <c r="AQ127" s="140"/>
      <c r="AR127" s="140"/>
      <c r="AS127" s="140"/>
      <c r="AT127" s="140"/>
      <c r="AU127" s="140"/>
      <c r="AV127" s="140"/>
      <c r="AW127" s="140"/>
      <c r="AX127" s="140"/>
      <c r="AY127" s="140"/>
      <c r="AZ127" s="140"/>
      <c r="BA127" s="140"/>
      <c r="BB127" s="140"/>
      <c r="BC127" s="140"/>
      <c r="BD127" s="140"/>
      <c r="BE127" s="140"/>
      <c r="BF127" s="140"/>
      <c r="BG127" s="140"/>
      <c r="BH127" s="140"/>
      <c r="BI127" s="140"/>
      <c r="BJ127" s="140"/>
      <c r="BK127" s="140"/>
      <c r="BL127" s="140"/>
      <c r="BM127" s="140"/>
      <c r="BN127" s="140"/>
      <c r="BO127" s="140"/>
      <c r="BP127" s="140"/>
      <c r="BQ127" s="140"/>
      <c r="BR127" s="140"/>
      <c r="BS127" s="140"/>
      <c r="BT127" s="140"/>
      <c r="BU127" s="140"/>
      <c r="BV127" s="140"/>
      <c r="BW127" s="140"/>
      <c r="BX127" s="140"/>
      <c r="BY127" s="140"/>
      <c r="BZ127" s="140"/>
      <c r="CA127" s="140"/>
      <c r="CB127" s="140"/>
      <c r="CC127" s="140"/>
      <c r="CD127" s="140"/>
      <c r="CE127" s="140"/>
      <c r="CF127" s="140"/>
      <c r="CG127" s="140"/>
      <c r="CH127" s="140"/>
      <c r="CI127" s="140"/>
      <c r="CJ127" s="140"/>
      <c r="CK127" s="140"/>
      <c r="CL127" s="140"/>
      <c r="CM127" s="140"/>
      <c r="CN127" s="140"/>
      <c r="CO127" s="140"/>
      <c r="CP127" s="140"/>
      <c r="CQ127" s="140"/>
      <c r="CR127" s="140"/>
      <c r="CS127" s="140"/>
      <c r="CT127" s="140"/>
      <c r="CU127" s="140"/>
      <c r="CV127" s="140"/>
      <c r="CW127" s="140"/>
      <c r="CX127" s="140"/>
      <c r="CY127" s="140"/>
      <c r="CZ127" s="140"/>
      <c r="DA127" s="140"/>
      <c r="DB127" s="140"/>
      <c r="DC127" s="140"/>
      <c r="DD127" s="140"/>
      <c r="DE127" s="140"/>
      <c r="DF127" s="140"/>
      <c r="DG127" s="140"/>
      <c r="DH127" s="140"/>
      <c r="DI127" s="140"/>
      <c r="DJ127" s="140"/>
      <c r="DK127" s="140"/>
      <c r="DL127" s="140"/>
      <c r="DM127" s="140"/>
      <c r="DN127" s="140"/>
      <c r="DO127" s="140"/>
      <c r="DP127" s="140"/>
      <c r="DQ127" s="140"/>
      <c r="DR127" s="140"/>
      <c r="DS127" s="140"/>
      <c r="DT127" s="140"/>
      <c r="DU127" s="140"/>
      <c r="DV127" s="140"/>
      <c r="DW127" s="140"/>
      <c r="DX127" s="140"/>
      <c r="DY127" s="140"/>
      <c r="DZ127" s="140"/>
      <c r="EA127" s="140"/>
      <c r="EB127" s="140"/>
      <c r="EC127" s="140"/>
      <c r="ED127" s="140"/>
      <c r="EE127" s="140"/>
      <c r="EF127" s="140"/>
      <c r="EG127" s="140"/>
      <c r="EH127" s="140"/>
      <c r="EI127" s="140"/>
      <c r="EJ127" s="140"/>
      <c r="EK127" s="140"/>
      <c r="EL127" s="140"/>
      <c r="EM127" s="140"/>
      <c r="EN127" s="140"/>
      <c r="EO127" s="140"/>
      <c r="EP127" s="140"/>
      <c r="EQ127" s="140"/>
      <c r="ER127" s="140"/>
      <c r="ES127" s="140"/>
      <c r="ET127" s="140"/>
      <c r="EU127" s="140"/>
      <c r="EV127" s="140"/>
      <c r="EW127" s="140"/>
      <c r="EX127" s="140"/>
      <c r="EY127" s="140"/>
      <c r="EZ127" s="140"/>
      <c r="FA127" s="140"/>
      <c r="FB127" s="140"/>
      <c r="FC127" s="140"/>
      <c r="FD127" s="140"/>
      <c r="FE127" s="140"/>
      <c r="FF127" s="140"/>
      <c r="FG127" s="140"/>
      <c r="FH127" s="140"/>
      <c r="FI127" s="140"/>
      <c r="FJ127" s="140"/>
      <c r="FK127" s="140"/>
      <c r="FL127" s="140"/>
      <c r="FM127" s="140"/>
      <c r="FN127" s="140"/>
      <c r="FO127" s="140"/>
      <c r="FP127" s="140"/>
      <c r="FQ127" s="140"/>
      <c r="FR127" s="140"/>
      <c r="FS127" s="140"/>
      <c r="FT127" s="140"/>
      <c r="FU127" s="140"/>
      <c r="FV127" s="140"/>
      <c r="FW127" s="140"/>
      <c r="FX127" s="140"/>
      <c r="FY127" s="140"/>
      <c r="FZ127" s="140"/>
      <c r="GA127" s="140"/>
      <c r="GB127" s="140"/>
      <c r="GC127" s="140"/>
      <c r="GD127" s="140"/>
      <c r="GE127" s="140"/>
      <c r="GF127" s="140"/>
      <c r="GG127" s="140"/>
      <c r="GH127" s="140"/>
      <c r="GI127" s="140"/>
      <c r="GJ127" s="140"/>
      <c r="GK127" s="140"/>
      <c r="GL127" s="140"/>
      <c r="GM127" s="140"/>
      <c r="GN127" s="140"/>
      <c r="GO127" s="140"/>
      <c r="GP127" s="140"/>
      <c r="GQ127" s="140"/>
      <c r="GR127" s="140"/>
      <c r="GS127" s="140"/>
      <c r="GT127" s="140"/>
      <c r="GU127" s="140"/>
      <c r="GV127" s="140"/>
      <c r="GW127" s="140"/>
      <c r="GX127" s="140"/>
      <c r="GY127" s="140"/>
      <c r="GZ127" s="140"/>
      <c r="HA127" s="140"/>
      <c r="HB127" s="140"/>
      <c r="HC127" s="140"/>
      <c r="HD127" s="140"/>
      <c r="HE127" s="140"/>
      <c r="HF127" s="140"/>
      <c r="HG127" s="140"/>
      <c r="HH127" s="140"/>
      <c r="HI127" s="140"/>
      <c r="HJ127" s="140"/>
      <c r="HK127" s="140"/>
      <c r="HL127" s="140"/>
      <c r="HM127" s="140"/>
      <c r="HN127" s="140"/>
      <c r="HO127" s="140"/>
      <c r="HP127" s="140"/>
      <c r="HQ127" s="140"/>
      <c r="HR127" s="140"/>
      <c r="HS127" s="140"/>
      <c r="HT127" s="140"/>
      <c r="HU127" s="140"/>
      <c r="HV127" s="140"/>
      <c r="HW127" s="140"/>
      <c r="HX127" s="140"/>
      <c r="HY127" s="140"/>
      <c r="HZ127" s="140"/>
      <c r="IA127" s="140"/>
      <c r="IB127" s="140"/>
      <c r="IC127" s="140"/>
      <c r="ID127" s="140"/>
      <c r="IE127" s="140"/>
      <c r="IF127" s="140"/>
      <c r="IG127" s="140"/>
      <c r="IH127" s="140"/>
      <c r="II127" s="140"/>
      <c r="IJ127" s="140"/>
      <c r="IK127" s="140"/>
      <c r="IL127" s="140"/>
      <c r="IM127" s="140"/>
      <c r="IN127" s="140"/>
      <c r="IO127" s="140"/>
      <c r="IP127" s="140"/>
      <c r="IQ127" s="140"/>
      <c r="IR127" s="140"/>
      <c r="IS127" s="140"/>
      <c r="IT127" s="140"/>
      <c r="IU127" s="140"/>
      <c r="IV127" s="140"/>
      <c r="IW127" s="140"/>
      <c r="IX127" s="140"/>
      <c r="IY127" s="140"/>
      <c r="IZ127" s="140"/>
      <c r="JA127" s="140"/>
      <c r="JB127" s="140"/>
      <c r="JC127" s="140"/>
      <c r="JD127" s="140"/>
      <c r="JE127" s="140"/>
      <c r="JF127" s="140"/>
      <c r="JG127" s="140"/>
      <c r="JH127" s="140"/>
      <c r="JI127" s="140"/>
      <c r="JJ127" s="140"/>
      <c r="JK127" s="140"/>
      <c r="JL127" s="140"/>
      <c r="JM127" s="140"/>
      <c r="JN127" s="140"/>
      <c r="JO127" s="140"/>
      <c r="JP127" s="140"/>
      <c r="JQ127" s="140"/>
      <c r="JR127" s="140"/>
      <c r="JS127" s="140"/>
      <c r="JT127" s="140"/>
      <c r="JU127" s="140"/>
      <c r="JV127" s="140"/>
      <c r="JW127" s="140"/>
      <c r="JX127" s="140"/>
      <c r="JY127" s="140"/>
      <c r="JZ127" s="140"/>
      <c r="KA127" s="140"/>
      <c r="KB127" s="140"/>
      <c r="KC127" s="140"/>
      <c r="KD127" s="140"/>
      <c r="KE127" s="140"/>
      <c r="KF127" s="140"/>
      <c r="KG127" s="140"/>
      <c r="KH127" s="140"/>
      <c r="KI127" s="140"/>
      <c r="KJ127" s="140"/>
      <c r="KK127" s="140"/>
      <c r="KL127" s="140"/>
      <c r="KM127" s="140"/>
      <c r="KN127" s="140"/>
      <c r="KO127" s="140"/>
      <c r="KP127" s="140"/>
      <c r="KQ127" s="140"/>
      <c r="KR127" s="140"/>
      <c r="KS127" s="140"/>
      <c r="KT127" s="140"/>
      <c r="KU127" s="140"/>
      <c r="KV127" s="140"/>
      <c r="KW127" s="140"/>
      <c r="KX127" s="140"/>
      <c r="KY127" s="140"/>
      <c r="KZ127" s="140"/>
      <c r="LA127" s="140"/>
      <c r="LB127" s="140"/>
      <c r="LC127" s="140"/>
      <c r="LD127" s="140"/>
      <c r="LE127" s="140"/>
      <c r="LF127" s="140"/>
      <c r="LG127" s="140"/>
      <c r="LH127" s="140"/>
      <c r="LI127" s="140"/>
      <c r="LJ127" s="140"/>
      <c r="LK127" s="140"/>
      <c r="LL127" s="140"/>
      <c r="LM127" s="140"/>
      <c r="LN127" s="140"/>
      <c r="LO127" s="140"/>
      <c r="LP127" s="140"/>
      <c r="LQ127" s="140"/>
      <c r="LR127" s="140"/>
      <c r="LS127" s="140"/>
      <c r="LT127" s="140"/>
      <c r="LU127" s="140"/>
      <c r="LV127" s="140"/>
      <c r="LW127" s="140"/>
      <c r="LX127" s="140"/>
      <c r="LY127" s="140"/>
      <c r="LZ127" s="140"/>
      <c r="MA127" s="140"/>
      <c r="MB127" s="140"/>
      <c r="MC127" s="140"/>
      <c r="MD127" s="140"/>
      <c r="ME127" s="140"/>
      <c r="MF127" s="140"/>
      <c r="MG127" s="140"/>
      <c r="MH127" s="140"/>
      <c r="MI127" s="140"/>
      <c r="MJ127" s="140"/>
      <c r="MK127" s="140"/>
      <c r="ML127" s="140"/>
      <c r="MM127" s="140"/>
      <c r="MN127" s="140"/>
      <c r="MO127" s="140"/>
      <c r="MP127" s="140"/>
      <c r="MQ127" s="140"/>
      <c r="MR127" s="140"/>
      <c r="MS127" s="140"/>
      <c r="MT127" s="140"/>
      <c r="MU127" s="140"/>
      <c r="MV127" s="140"/>
      <c r="MW127" s="140"/>
      <c r="MX127" s="140"/>
      <c r="MY127" s="140"/>
      <c r="MZ127" s="140"/>
      <c r="NA127" s="140"/>
      <c r="NB127" s="140"/>
      <c r="NC127" s="140"/>
      <c r="ND127" s="140"/>
      <c r="NE127" s="140"/>
      <c r="NF127" s="140"/>
      <c r="NG127" s="140"/>
      <c r="NH127" s="140"/>
      <c r="NI127" s="140"/>
      <c r="NJ127" s="140"/>
      <c r="NK127" s="140"/>
      <c r="NL127" s="140"/>
      <c r="NM127" s="140"/>
      <c r="NN127" s="140"/>
      <c r="NO127" s="140"/>
      <c r="NP127" s="140"/>
      <c r="NQ127" s="140"/>
      <c r="NR127" s="140"/>
      <c r="NS127" s="140"/>
      <c r="NT127" s="140"/>
      <c r="NU127" s="140"/>
      <c r="NV127" s="140"/>
      <c r="NW127" s="140"/>
      <c r="NX127" s="140"/>
      <c r="NY127" s="140"/>
      <c r="NZ127" s="140"/>
      <c r="OA127" s="140"/>
      <c r="OB127" s="140"/>
      <c r="OC127" s="140"/>
      <c r="OD127" s="140"/>
      <c r="OE127" s="140"/>
      <c r="OF127" s="140"/>
      <c r="OG127" s="140"/>
      <c r="OH127" s="140"/>
      <c r="OI127" s="140"/>
      <c r="OJ127" s="140"/>
      <c r="OK127" s="140"/>
      <c r="OL127" s="140"/>
      <c r="OM127" s="140"/>
      <c r="ON127" s="140"/>
      <c r="OO127" s="140"/>
      <c r="OP127" s="140"/>
      <c r="OQ127" s="140"/>
      <c r="OR127" s="140"/>
      <c r="OS127" s="140"/>
      <c r="OT127" s="140"/>
      <c r="OU127" s="140"/>
      <c r="OV127" s="140"/>
      <c r="OW127" s="140"/>
      <c r="OX127" s="140"/>
      <c r="OY127" s="140"/>
      <c r="OZ127" s="140"/>
      <c r="PA127" s="140"/>
      <c r="PB127" s="140"/>
      <c r="PC127" s="140"/>
      <c r="PD127" s="140"/>
      <c r="PE127" s="140"/>
      <c r="PF127" s="140"/>
      <c r="PG127" s="140"/>
      <c r="PH127" s="140"/>
      <c r="PI127" s="140"/>
      <c r="PJ127" s="140"/>
      <c r="PK127" s="140"/>
      <c r="PL127" s="140"/>
      <c r="PM127" s="140"/>
      <c r="PN127" s="140"/>
      <c r="PO127" s="140"/>
      <c r="PP127" s="140"/>
      <c r="PQ127" s="140"/>
      <c r="PR127" s="140"/>
      <c r="PS127" s="140"/>
      <c r="PT127" s="140"/>
      <c r="PU127" s="140"/>
      <c r="PV127" s="140"/>
      <c r="PW127" s="140"/>
      <c r="PX127" s="140"/>
      <c r="PY127" s="140"/>
      <c r="PZ127" s="140"/>
      <c r="QA127" s="140"/>
      <c r="QB127" s="140"/>
      <c r="QC127" s="140"/>
      <c r="QD127" s="140"/>
      <c r="QE127" s="140"/>
      <c r="QF127" s="140"/>
      <c r="QG127" s="140"/>
      <c r="QH127" s="140"/>
      <c r="QI127" s="140"/>
      <c r="QJ127" s="140"/>
      <c r="QK127" s="140"/>
      <c r="QL127" s="140"/>
      <c r="QM127" s="140"/>
      <c r="QN127" s="140"/>
      <c r="QO127" s="140"/>
      <c r="QP127" s="140"/>
      <c r="QQ127" s="140"/>
      <c r="QR127" s="140"/>
      <c r="QS127" s="140"/>
      <c r="QT127" s="140"/>
      <c r="QU127" s="140"/>
      <c r="QV127" s="140"/>
      <c r="QW127" s="140"/>
      <c r="QX127" s="140"/>
      <c r="QY127" s="140"/>
      <c r="QZ127" s="140"/>
      <c r="RA127" s="140"/>
      <c r="RB127" s="140"/>
      <c r="RC127" s="140"/>
      <c r="RD127" s="140"/>
      <c r="RE127" s="140"/>
      <c r="RF127" s="140"/>
      <c r="RG127" s="140"/>
      <c r="RH127" s="140"/>
      <c r="RI127" s="140"/>
      <c r="RJ127" s="140"/>
      <c r="RK127" s="140"/>
      <c r="RL127" s="140"/>
      <c r="RM127" s="140"/>
      <c r="RN127" s="140"/>
      <c r="RO127" s="140"/>
      <c r="RP127" s="140"/>
      <c r="RQ127" s="140"/>
      <c r="RR127" s="140"/>
      <c r="RS127" s="140"/>
      <c r="RT127" s="140"/>
      <c r="RU127" s="140"/>
      <c r="RV127" s="140"/>
      <c r="RW127" s="140"/>
      <c r="RX127" s="140"/>
      <c r="RY127" s="140"/>
      <c r="RZ127" s="140"/>
      <c r="SA127" s="140"/>
      <c r="SB127" s="140"/>
      <c r="SC127" s="140"/>
      <c r="SD127" s="140"/>
      <c r="SE127" s="140"/>
      <c r="SF127" s="140"/>
      <c r="SG127" s="140"/>
      <c r="SH127" s="140"/>
      <c r="SI127" s="140"/>
      <c r="SJ127" s="140"/>
      <c r="SK127" s="140"/>
      <c r="SL127" s="140"/>
      <c r="SM127" s="140"/>
      <c r="SN127" s="140"/>
      <c r="SO127" s="140"/>
      <c r="SP127" s="140"/>
      <c r="SQ127" s="140"/>
      <c r="SR127" s="140"/>
      <c r="SS127" s="140"/>
      <c r="ST127" s="140"/>
      <c r="SU127" s="140"/>
      <c r="SV127" s="140"/>
      <c r="SW127" s="140"/>
      <c r="SX127" s="140"/>
      <c r="SY127" s="140"/>
      <c r="SZ127" s="140"/>
      <c r="TA127" s="140"/>
      <c r="TB127" s="140"/>
      <c r="TC127" s="140"/>
      <c r="TD127" s="140"/>
      <c r="TE127" s="140"/>
      <c r="TF127" s="140"/>
      <c r="TG127" s="140"/>
      <c r="TH127" s="140"/>
      <c r="TI127" s="140"/>
      <c r="TJ127" s="140"/>
      <c r="TK127" s="140"/>
      <c r="TL127" s="140"/>
      <c r="TM127" s="140"/>
      <c r="TN127" s="140"/>
      <c r="TO127" s="140"/>
      <c r="TP127" s="140"/>
      <c r="TQ127" s="140"/>
      <c r="TR127" s="140"/>
      <c r="TS127" s="140"/>
      <c r="TT127" s="140"/>
      <c r="TU127" s="140"/>
      <c r="TV127" s="140"/>
      <c r="TW127" s="140"/>
      <c r="TX127" s="140"/>
      <c r="TY127" s="140"/>
      <c r="TZ127" s="140"/>
      <c r="UA127" s="140"/>
      <c r="UB127" s="140"/>
      <c r="UC127" s="140"/>
      <c r="UD127" s="140"/>
      <c r="UE127" s="140"/>
      <c r="UF127" s="140"/>
      <c r="UG127" s="140"/>
      <c r="UH127" s="140"/>
      <c r="UI127" s="140"/>
      <c r="UJ127" s="140"/>
      <c r="UK127" s="140"/>
      <c r="UL127" s="140"/>
      <c r="UM127" s="140"/>
      <c r="UN127" s="140"/>
      <c r="UO127" s="140"/>
      <c r="UP127" s="140"/>
      <c r="UQ127" s="140"/>
      <c r="UR127" s="140"/>
      <c r="US127" s="140"/>
      <c r="UT127" s="140"/>
      <c r="UU127" s="140"/>
      <c r="UV127" s="140"/>
      <c r="UW127" s="140"/>
      <c r="UX127" s="140"/>
      <c r="UY127" s="140"/>
      <c r="UZ127" s="140"/>
      <c r="VA127" s="140"/>
      <c r="VB127" s="140"/>
      <c r="VC127" s="140"/>
      <c r="VD127" s="140"/>
      <c r="VE127" s="140"/>
      <c r="VF127" s="140"/>
      <c r="VG127" s="140"/>
      <c r="VH127" s="140"/>
      <c r="VI127" s="140"/>
      <c r="VJ127" s="140"/>
      <c r="VK127" s="140"/>
      <c r="VL127" s="140"/>
      <c r="VM127" s="140"/>
      <c r="VN127" s="140"/>
      <c r="VO127" s="140"/>
      <c r="VP127" s="140"/>
      <c r="VQ127" s="140"/>
      <c r="VR127" s="140"/>
      <c r="VS127" s="140"/>
      <c r="VT127" s="140"/>
      <c r="VU127" s="140"/>
      <c r="VV127" s="140"/>
      <c r="VW127" s="140"/>
      <c r="VX127" s="140"/>
      <c r="VY127" s="140"/>
      <c r="VZ127" s="140"/>
      <c r="WA127" s="140"/>
      <c r="WB127" s="140"/>
      <c r="WC127" s="140"/>
      <c r="WD127" s="140"/>
      <c r="WE127" s="140"/>
      <c r="WF127" s="140"/>
      <c r="WG127" s="140"/>
      <c r="WH127" s="140"/>
      <c r="WI127" s="140"/>
      <c r="WJ127" s="140"/>
      <c r="WK127" s="140"/>
      <c r="WL127" s="140"/>
      <c r="WM127" s="140"/>
      <c r="WN127" s="140"/>
      <c r="WO127" s="140"/>
      <c r="WP127" s="140"/>
      <c r="WQ127" s="140"/>
      <c r="WR127" s="140"/>
      <c r="WS127" s="140"/>
      <c r="WT127" s="140"/>
      <c r="WU127" s="140"/>
      <c r="WV127" s="140"/>
      <c r="WW127" s="140"/>
      <c r="WX127" s="140"/>
      <c r="WY127" s="140"/>
      <c r="WZ127" s="140"/>
      <c r="XA127" s="140"/>
      <c r="XB127" s="140"/>
      <c r="XC127" s="140"/>
      <c r="XD127" s="140"/>
      <c r="XE127" s="140"/>
      <c r="XF127" s="140"/>
      <c r="XG127" s="140"/>
      <c r="XH127" s="140"/>
      <c r="XI127" s="140"/>
      <c r="XJ127" s="140"/>
      <c r="XK127" s="140"/>
      <c r="XL127" s="140"/>
      <c r="XM127" s="140"/>
      <c r="XN127" s="140"/>
      <c r="XO127" s="140"/>
      <c r="XP127" s="140"/>
      <c r="XQ127" s="140"/>
      <c r="XR127" s="140"/>
      <c r="XS127" s="140"/>
      <c r="XT127" s="140"/>
      <c r="XU127" s="140"/>
      <c r="XV127" s="140"/>
      <c r="XW127" s="140"/>
      <c r="XX127" s="140"/>
      <c r="XY127" s="140"/>
      <c r="XZ127" s="140"/>
      <c r="YA127" s="140"/>
      <c r="YB127" s="140"/>
      <c r="YC127" s="140"/>
      <c r="YD127" s="140"/>
      <c r="YE127" s="140"/>
      <c r="YF127" s="140"/>
      <c r="YG127" s="140"/>
      <c r="YH127" s="140"/>
      <c r="YI127" s="140"/>
      <c r="YJ127" s="140"/>
      <c r="YK127" s="140"/>
      <c r="YL127" s="140"/>
      <c r="YM127" s="140"/>
      <c r="YN127" s="140"/>
      <c r="YO127" s="140"/>
      <c r="YP127" s="140"/>
      <c r="YQ127" s="140"/>
      <c r="YR127" s="140"/>
      <c r="YS127" s="140"/>
      <c r="YT127" s="140"/>
      <c r="YU127" s="140"/>
      <c r="YV127" s="140"/>
      <c r="YW127" s="140"/>
      <c r="YX127" s="140"/>
      <c r="YY127" s="140"/>
      <c r="YZ127" s="140"/>
      <c r="ZA127" s="140"/>
      <c r="ZB127" s="140"/>
      <c r="ZC127" s="140"/>
      <c r="ZD127" s="140"/>
      <c r="ZE127" s="140"/>
      <c r="ZF127" s="140"/>
      <c r="ZG127" s="140"/>
      <c r="ZH127" s="140"/>
      <c r="ZI127" s="140"/>
      <c r="ZJ127" s="140"/>
      <c r="ZK127" s="140"/>
      <c r="ZL127" s="140"/>
      <c r="ZM127" s="140"/>
      <c r="ZN127" s="140"/>
      <c r="ZO127" s="140"/>
      <c r="ZP127" s="140"/>
      <c r="ZQ127" s="140"/>
      <c r="ZR127" s="140"/>
      <c r="ZS127" s="140"/>
      <c r="ZT127" s="140"/>
      <c r="ZU127" s="140"/>
      <c r="ZV127" s="140"/>
      <c r="ZW127" s="140"/>
      <c r="ZX127" s="140"/>
      <c r="ZY127" s="140"/>
      <c r="ZZ127" s="140"/>
      <c r="AAA127" s="140"/>
      <c r="AAB127" s="140"/>
      <c r="AAC127" s="140"/>
      <c r="AAD127" s="140"/>
      <c r="AAE127" s="140"/>
      <c r="AAF127" s="140"/>
      <c r="AAG127" s="140"/>
      <c r="AAH127" s="140"/>
      <c r="AAI127" s="140"/>
      <c r="AAJ127" s="140"/>
      <c r="AAK127" s="140"/>
      <c r="AAL127" s="140"/>
      <c r="AAM127" s="140"/>
      <c r="AAN127" s="140"/>
      <c r="AAO127" s="140"/>
      <c r="AAP127" s="140"/>
      <c r="AAQ127" s="140"/>
      <c r="AAR127" s="140"/>
      <c r="AAS127" s="140"/>
      <c r="AAT127" s="140"/>
      <c r="AAU127" s="140"/>
      <c r="AAV127" s="140"/>
      <c r="AAW127" s="140"/>
      <c r="AAX127" s="140"/>
      <c r="AAY127" s="140"/>
      <c r="AAZ127" s="140"/>
      <c r="ABA127" s="140"/>
      <c r="ABB127" s="140"/>
      <c r="ABC127" s="140"/>
      <c r="ABD127" s="140"/>
      <c r="ABE127" s="140"/>
      <c r="ABF127" s="140"/>
      <c r="ABG127" s="140"/>
      <c r="ABH127" s="140"/>
      <c r="ABI127" s="140"/>
      <c r="ABJ127" s="140"/>
      <c r="ABK127" s="140"/>
      <c r="ABL127" s="140"/>
      <c r="ABM127" s="140"/>
      <c r="ABN127" s="140"/>
      <c r="ABO127" s="140"/>
      <c r="ABP127" s="140"/>
      <c r="ABQ127" s="140"/>
      <c r="ABR127" s="140"/>
      <c r="ABS127" s="140"/>
      <c r="ABT127" s="140"/>
      <c r="ABU127" s="140"/>
      <c r="ABV127" s="140"/>
      <c r="ABW127" s="140"/>
      <c r="ABX127" s="140"/>
      <c r="ABY127" s="140"/>
      <c r="ABZ127" s="140"/>
      <c r="ACA127" s="140"/>
      <c r="ACB127" s="140"/>
      <c r="ACC127" s="140"/>
      <c r="ACD127" s="140"/>
      <c r="ACE127" s="140"/>
      <c r="ACF127" s="140"/>
      <c r="ACG127" s="140"/>
      <c r="ACH127" s="140"/>
      <c r="ACI127" s="140"/>
      <c r="ACJ127" s="140"/>
      <c r="ACK127" s="140"/>
      <c r="ACL127" s="140"/>
      <c r="ACM127" s="140"/>
      <c r="ACN127" s="140"/>
      <c r="ACO127" s="140"/>
      <c r="ACP127" s="140"/>
      <c r="ACQ127" s="140"/>
      <c r="ACR127" s="140"/>
      <c r="ACS127" s="140"/>
      <c r="ACT127" s="140"/>
      <c r="ACU127" s="140"/>
      <c r="ACV127" s="140"/>
      <c r="ACW127" s="140"/>
      <c r="ACX127" s="140"/>
      <c r="ACY127" s="140"/>
      <c r="ACZ127" s="140"/>
      <c r="ADA127" s="140"/>
      <c r="ADB127" s="140"/>
      <c r="ADC127" s="140"/>
      <c r="ADD127" s="140"/>
      <c r="ADE127" s="140"/>
      <c r="ADF127" s="140"/>
      <c r="ADG127" s="140"/>
      <c r="ADH127" s="140"/>
      <c r="ADI127" s="140"/>
      <c r="ADJ127" s="140"/>
      <c r="ADK127" s="140"/>
      <c r="ADL127" s="140"/>
      <c r="ADM127" s="140"/>
      <c r="ADN127" s="140"/>
      <c r="ADO127" s="140"/>
      <c r="ADP127" s="140"/>
      <c r="ADQ127" s="140"/>
      <c r="ADR127" s="140"/>
      <c r="ADS127" s="140"/>
      <c r="ADT127" s="140"/>
      <c r="ADU127" s="140"/>
      <c r="ADV127" s="140"/>
      <c r="ADW127" s="140"/>
      <c r="ADX127" s="140"/>
      <c r="ADY127" s="140"/>
      <c r="ADZ127" s="140"/>
      <c r="AEA127" s="140"/>
      <c r="AEB127" s="140"/>
      <c r="AEC127" s="140"/>
      <c r="AED127" s="140"/>
      <c r="AEE127" s="140"/>
      <c r="AEF127" s="140"/>
      <c r="AEG127" s="140"/>
      <c r="AEH127" s="140"/>
      <c r="AEI127" s="140"/>
      <c r="AEJ127" s="140"/>
      <c r="AEK127" s="140"/>
      <c r="AEL127" s="140"/>
      <c r="AEM127" s="140"/>
      <c r="AEN127" s="140"/>
      <c r="AEO127" s="140"/>
      <c r="AEP127" s="140"/>
      <c r="AEQ127" s="140"/>
      <c r="AER127" s="140"/>
      <c r="AES127" s="140"/>
      <c r="AET127" s="140"/>
      <c r="AEU127" s="140"/>
      <c r="AEV127" s="140"/>
      <c r="AEW127" s="140"/>
      <c r="AEX127" s="140"/>
      <c r="AEY127" s="140"/>
      <c r="AEZ127" s="140"/>
      <c r="AFA127" s="140"/>
      <c r="AFB127" s="140"/>
      <c r="AFC127" s="140"/>
      <c r="AFD127" s="140"/>
      <c r="AFE127" s="140"/>
      <c r="AFF127" s="140"/>
      <c r="AFG127" s="140"/>
      <c r="AFH127" s="140"/>
      <c r="AFI127" s="140"/>
      <c r="AFJ127" s="140"/>
      <c r="AFK127" s="140"/>
      <c r="AFL127" s="140"/>
      <c r="AFM127" s="140"/>
      <c r="AFN127" s="140"/>
      <c r="AFO127" s="140"/>
      <c r="AFP127" s="140"/>
      <c r="AFQ127" s="140"/>
      <c r="AFR127" s="140"/>
      <c r="AFS127" s="140"/>
      <c r="AFT127" s="140"/>
      <c r="AFU127" s="140"/>
      <c r="AFV127" s="140"/>
      <c r="AFW127" s="140"/>
      <c r="AFX127" s="140"/>
      <c r="AFY127" s="140"/>
      <c r="AFZ127" s="140"/>
      <c r="AGA127" s="140"/>
      <c r="AGB127" s="140"/>
      <c r="AGC127" s="140"/>
      <c r="AGD127" s="140"/>
      <c r="AGE127" s="140"/>
      <c r="AGF127" s="140"/>
      <c r="AGG127" s="140"/>
      <c r="AGH127" s="140"/>
      <c r="AGI127" s="140"/>
      <c r="AGJ127" s="140"/>
      <c r="AGK127" s="140"/>
      <c r="AGL127" s="140"/>
      <c r="AGM127" s="140"/>
      <c r="AGN127" s="140"/>
      <c r="AGO127" s="140"/>
      <c r="AGP127" s="140"/>
      <c r="AGQ127" s="140"/>
      <c r="AGR127" s="140"/>
      <c r="AGS127" s="140"/>
      <c r="AGT127" s="140"/>
      <c r="AGU127" s="140"/>
      <c r="AGV127" s="140"/>
      <c r="AGW127" s="140"/>
      <c r="AGX127" s="140"/>
      <c r="AGY127" s="140"/>
      <c r="AGZ127" s="140"/>
      <c r="AHA127" s="140"/>
      <c r="AHB127" s="140"/>
      <c r="AHC127" s="140"/>
      <c r="AHD127" s="140"/>
      <c r="AHE127" s="140"/>
      <c r="AHF127" s="140"/>
      <c r="AHG127" s="140"/>
      <c r="AHH127" s="140"/>
      <c r="AHI127" s="140"/>
      <c r="AHJ127" s="140"/>
      <c r="AHK127" s="140"/>
      <c r="AHL127" s="140"/>
      <c r="AHM127" s="140"/>
      <c r="AHN127" s="140"/>
      <c r="AHO127" s="140"/>
      <c r="AHP127" s="140"/>
      <c r="AHQ127" s="140"/>
      <c r="AHR127" s="140"/>
      <c r="AHS127" s="140"/>
      <c r="AHT127" s="140"/>
      <c r="AHU127" s="140"/>
      <c r="AHV127" s="140"/>
      <c r="AHW127" s="140"/>
      <c r="AHX127" s="140"/>
      <c r="AHY127" s="140"/>
      <c r="AHZ127" s="140"/>
      <c r="AIA127" s="140"/>
      <c r="AIB127" s="140"/>
      <c r="AIC127" s="140"/>
      <c r="AID127" s="140"/>
      <c r="AIE127" s="140"/>
      <c r="AIF127" s="140"/>
      <c r="AIG127" s="140"/>
      <c r="AIH127" s="140"/>
      <c r="AII127" s="140"/>
      <c r="AIJ127" s="140"/>
      <c r="AIK127" s="140"/>
      <c r="AIL127" s="140"/>
      <c r="AIM127" s="140"/>
      <c r="AIN127" s="140"/>
      <c r="AIO127" s="140"/>
      <c r="AIP127" s="140"/>
      <c r="AIQ127" s="140"/>
      <c r="AIR127" s="140"/>
      <c r="AIS127" s="140"/>
      <c r="AIT127" s="140"/>
      <c r="AIU127" s="140"/>
      <c r="AIV127" s="140"/>
      <c r="AIW127" s="140"/>
      <c r="AIX127" s="140"/>
      <c r="AIY127" s="140"/>
      <c r="AIZ127" s="140"/>
      <c r="AJA127" s="140"/>
      <c r="AJB127" s="140"/>
      <c r="AJC127" s="140"/>
      <c r="AJD127" s="140"/>
      <c r="AJE127" s="140"/>
      <c r="AJF127" s="140"/>
      <c r="AJG127" s="140"/>
      <c r="AJH127" s="140"/>
      <c r="AJI127" s="140"/>
      <c r="AJJ127" s="140"/>
      <c r="AJK127" s="140"/>
      <c r="AJL127" s="140"/>
      <c r="AJM127" s="140"/>
      <c r="AJN127" s="140"/>
      <c r="AJO127" s="140"/>
      <c r="AJP127" s="140"/>
      <c r="AJQ127" s="140"/>
      <c r="AJR127" s="140"/>
      <c r="AJS127" s="140"/>
      <c r="AJT127" s="140"/>
      <c r="AJU127" s="140"/>
      <c r="AJV127" s="140"/>
      <c r="AJW127" s="140"/>
      <c r="AJX127" s="140"/>
      <c r="AJY127" s="140"/>
      <c r="AJZ127" s="140"/>
      <c r="AKA127" s="140"/>
      <c r="AKB127" s="140"/>
      <c r="AKC127" s="140"/>
      <c r="AKD127" s="140"/>
      <c r="AKE127" s="140"/>
      <c r="AKF127" s="140"/>
      <c r="AKG127" s="140"/>
      <c r="AKH127" s="140"/>
      <c r="AKI127" s="140"/>
      <c r="AKJ127" s="140"/>
      <c r="AKK127" s="140"/>
      <c r="AKL127" s="140"/>
      <c r="AKM127" s="140"/>
      <c r="AKN127" s="140"/>
      <c r="AKO127" s="140"/>
      <c r="AKP127" s="140"/>
      <c r="AKQ127" s="140"/>
      <c r="AKR127" s="140"/>
      <c r="AKS127" s="140"/>
      <c r="AKT127" s="140"/>
      <c r="AKU127" s="140"/>
      <c r="AKV127" s="140"/>
      <c r="AKW127" s="140"/>
      <c r="AKX127" s="140"/>
      <c r="AKY127" s="140"/>
      <c r="AKZ127" s="140"/>
      <c r="ALA127" s="140"/>
      <c r="ALB127" s="140"/>
      <c r="ALC127" s="140"/>
      <c r="ALD127" s="140"/>
      <c r="ALE127" s="140"/>
      <c r="ALF127" s="140"/>
      <c r="ALG127" s="140"/>
      <c r="ALH127" s="140"/>
      <c r="ALI127" s="140"/>
      <c r="ALJ127" s="140"/>
      <c r="ALK127" s="140"/>
      <c r="ALL127" s="140"/>
      <c r="ALM127" s="140"/>
      <c r="ALN127" s="140"/>
      <c r="ALO127" s="140"/>
      <c r="ALP127" s="140"/>
      <c r="ALQ127" s="140"/>
      <c r="ALR127" s="140"/>
      <c r="ALS127" s="140"/>
      <c r="ALT127" s="140"/>
      <c r="ALU127" s="140"/>
      <c r="ALV127" s="140"/>
      <c r="ALW127" s="140"/>
      <c r="ALX127" s="140"/>
      <c r="ALY127" s="140"/>
      <c r="ALZ127" s="140"/>
      <c r="AMA127" s="140"/>
      <c r="AMB127" s="140"/>
      <c r="AMC127" s="140"/>
      <c r="AMD127" s="140"/>
      <c r="AME127" s="140"/>
      <c r="AMF127" s="140"/>
      <c r="AMG127" s="140"/>
      <c r="AMH127" s="140"/>
      <c r="AMI127" s="140"/>
      <c r="AMJ127" s="140"/>
      <c r="AMK127" s="140"/>
      <c r="AML127" s="140"/>
      <c r="AMM127" s="140"/>
      <c r="AMN127" s="140"/>
      <c r="AMO127" s="140"/>
      <c r="AMP127" s="140"/>
      <c r="AMQ127" s="140"/>
      <c r="AMR127" s="140"/>
      <c r="AMS127" s="140"/>
      <c r="AMT127" s="140"/>
      <c r="AMU127" s="140"/>
      <c r="AMV127" s="140"/>
      <c r="AMW127" s="140"/>
      <c r="AMX127" s="140"/>
      <c r="AMY127" s="140"/>
      <c r="AMZ127" s="140"/>
      <c r="ANA127" s="140"/>
      <c r="ANB127" s="140"/>
      <c r="ANC127" s="140"/>
      <c r="AND127" s="140"/>
      <c r="ANE127" s="140"/>
      <c r="ANF127" s="140"/>
      <c r="ANG127" s="140"/>
      <c r="ANH127" s="140"/>
      <c r="ANI127" s="140"/>
      <c r="ANJ127" s="140"/>
      <c r="ANK127" s="140"/>
      <c r="ANL127" s="140"/>
      <c r="ANM127" s="140"/>
      <c r="ANN127" s="140"/>
      <c r="ANO127" s="140"/>
      <c r="ANP127" s="140"/>
      <c r="ANQ127" s="140"/>
      <c r="ANR127" s="140"/>
      <c r="ANS127" s="140"/>
      <c r="ANT127" s="140"/>
      <c r="ANU127" s="140"/>
      <c r="ANV127" s="140"/>
      <c r="ANW127" s="140"/>
      <c r="ANX127" s="140"/>
      <c r="ANY127" s="140"/>
      <c r="ANZ127" s="140"/>
      <c r="AOA127" s="140"/>
      <c r="AOB127" s="140"/>
      <c r="AOC127" s="140"/>
      <c r="AOD127" s="140"/>
      <c r="AOE127" s="140"/>
      <c r="AOF127" s="140"/>
      <c r="AOG127" s="140"/>
      <c r="AOH127" s="140"/>
      <c r="AOI127" s="140"/>
      <c r="AOJ127" s="140"/>
      <c r="AOK127" s="140"/>
      <c r="AOL127" s="140"/>
      <c r="AOM127" s="140"/>
      <c r="AON127" s="140"/>
      <c r="AOO127" s="140"/>
      <c r="AOP127" s="140"/>
      <c r="AOQ127" s="140"/>
      <c r="AOR127" s="140"/>
      <c r="AOS127" s="140"/>
      <c r="AOT127" s="140"/>
      <c r="AOU127" s="140"/>
      <c r="AOV127" s="140"/>
      <c r="AOW127" s="140"/>
      <c r="AOX127" s="140"/>
      <c r="AOY127" s="140"/>
      <c r="AOZ127" s="140"/>
      <c r="APA127" s="140"/>
      <c r="APB127" s="140"/>
      <c r="APC127" s="140"/>
      <c r="APD127" s="140"/>
      <c r="APE127" s="140"/>
      <c r="APF127" s="140"/>
      <c r="APG127" s="140"/>
      <c r="APH127" s="140"/>
      <c r="API127" s="140"/>
      <c r="APJ127" s="140"/>
      <c r="APK127" s="140"/>
      <c r="APL127" s="140"/>
      <c r="APM127" s="140"/>
      <c r="APN127" s="140"/>
      <c r="APO127" s="140"/>
      <c r="APP127" s="140"/>
      <c r="APQ127" s="140"/>
      <c r="APR127" s="140"/>
      <c r="APS127" s="140"/>
      <c r="APT127" s="140"/>
      <c r="APU127" s="140"/>
      <c r="APV127" s="140"/>
      <c r="APW127" s="140"/>
      <c r="APX127" s="140"/>
      <c r="APY127" s="140"/>
      <c r="APZ127" s="140"/>
      <c r="AQA127" s="140"/>
      <c r="AQB127" s="140"/>
      <c r="AQC127" s="140"/>
      <c r="AQD127" s="140"/>
      <c r="AQE127" s="140"/>
      <c r="AQF127" s="140"/>
      <c r="AQG127" s="140"/>
      <c r="AQH127" s="140"/>
      <c r="AQI127" s="140"/>
      <c r="AQJ127" s="140"/>
      <c r="AQK127" s="140"/>
      <c r="AQL127" s="140"/>
      <c r="AQM127" s="140"/>
      <c r="AQN127" s="140"/>
      <c r="AQO127" s="140"/>
      <c r="AQP127" s="140"/>
      <c r="AQQ127" s="140"/>
      <c r="AQR127" s="140"/>
      <c r="AQS127" s="140"/>
      <c r="AQT127" s="140"/>
      <c r="AQU127" s="140"/>
      <c r="AQV127" s="140"/>
      <c r="AQW127" s="140"/>
      <c r="AQX127" s="140"/>
      <c r="AQY127" s="140"/>
      <c r="AQZ127" s="140"/>
      <c r="ARA127" s="140"/>
      <c r="ARB127" s="140"/>
      <c r="ARC127" s="140"/>
      <c r="ARD127" s="140"/>
      <c r="ARE127" s="140"/>
      <c r="ARF127" s="140"/>
      <c r="ARG127" s="140"/>
      <c r="ARH127" s="140"/>
      <c r="ARI127" s="140"/>
      <c r="ARJ127" s="140"/>
      <c r="ARK127" s="140"/>
      <c r="ARL127" s="140"/>
      <c r="ARM127" s="140"/>
      <c r="ARN127" s="140"/>
      <c r="ARO127" s="140"/>
      <c r="ARP127" s="140"/>
      <c r="ARQ127" s="140"/>
      <c r="ARR127" s="140"/>
      <c r="ARS127" s="140"/>
      <c r="ART127" s="140"/>
      <c r="ARU127" s="140"/>
      <c r="ARV127" s="140"/>
      <c r="ARW127" s="140"/>
      <c r="ARX127" s="140"/>
      <c r="ARY127" s="140"/>
      <c r="ARZ127" s="140"/>
      <c r="ASA127" s="140"/>
      <c r="ASB127" s="140"/>
      <c r="ASC127" s="140"/>
      <c r="ASD127" s="140"/>
      <c r="ASE127" s="140"/>
      <c r="ASF127" s="140"/>
      <c r="ASG127" s="140"/>
      <c r="ASH127" s="140"/>
      <c r="ASI127" s="140"/>
      <c r="ASJ127" s="140"/>
      <c r="ASK127" s="140"/>
      <c r="ASL127" s="140"/>
      <c r="ASM127" s="140"/>
      <c r="ASN127" s="140"/>
      <c r="ASO127" s="140"/>
      <c r="ASP127" s="140"/>
      <c r="ASQ127" s="140"/>
      <c r="ASR127" s="140"/>
      <c r="ASS127" s="140"/>
      <c r="AST127" s="140"/>
      <c r="ASU127" s="140"/>
      <c r="ASV127" s="140"/>
      <c r="ASW127" s="140"/>
      <c r="ASX127" s="140"/>
      <c r="ASY127" s="140"/>
      <c r="ASZ127" s="140"/>
      <c r="ATA127" s="140"/>
      <c r="ATB127" s="140"/>
      <c r="ATC127" s="140"/>
      <c r="ATD127" s="140"/>
      <c r="ATE127" s="140"/>
      <c r="ATF127" s="140"/>
      <c r="ATG127" s="140"/>
      <c r="ATH127" s="140"/>
      <c r="ATI127" s="140"/>
      <c r="ATJ127" s="140"/>
      <c r="ATK127" s="140"/>
      <c r="ATL127" s="140"/>
      <c r="ATM127" s="140"/>
      <c r="ATN127" s="140"/>
      <c r="ATO127" s="140"/>
      <c r="ATP127" s="140"/>
      <c r="ATQ127" s="140"/>
      <c r="ATR127" s="140"/>
      <c r="ATS127" s="140"/>
      <c r="ATT127" s="140"/>
      <c r="ATU127" s="140"/>
      <c r="ATV127" s="140"/>
      <c r="ATW127" s="140"/>
      <c r="ATX127" s="140"/>
      <c r="ATY127" s="140"/>
      <c r="ATZ127" s="140"/>
      <c r="AUA127" s="140"/>
      <c r="AUB127" s="140"/>
      <c r="AUC127" s="140"/>
      <c r="AUD127" s="140"/>
      <c r="AUE127" s="140"/>
      <c r="AUF127" s="140"/>
      <c r="AUG127" s="140"/>
      <c r="AUH127" s="140"/>
      <c r="AUI127" s="140"/>
      <c r="AUJ127" s="140"/>
      <c r="AUK127" s="140"/>
      <c r="AUL127" s="140"/>
      <c r="AUM127" s="140"/>
      <c r="AUN127" s="140"/>
      <c r="AUO127" s="140"/>
      <c r="AUP127" s="140"/>
      <c r="AUQ127" s="140"/>
      <c r="AUR127" s="140"/>
      <c r="AUS127" s="140"/>
      <c r="AUT127" s="140"/>
      <c r="AUU127" s="140"/>
      <c r="AUV127" s="140"/>
      <c r="AUW127" s="140"/>
      <c r="AUX127" s="140"/>
      <c r="AUY127" s="140"/>
      <c r="AUZ127" s="140"/>
      <c r="AVA127" s="140"/>
      <c r="AVB127" s="140"/>
      <c r="AVC127" s="140"/>
      <c r="AVD127" s="140"/>
      <c r="AVE127" s="140"/>
      <c r="AVF127" s="140"/>
      <c r="AVG127" s="140"/>
      <c r="AVH127" s="140"/>
      <c r="AVI127" s="140"/>
      <c r="AVJ127" s="140"/>
      <c r="AVK127" s="140"/>
      <c r="AVL127" s="140"/>
      <c r="AVM127" s="140"/>
      <c r="AVN127" s="140"/>
      <c r="AVO127" s="140"/>
      <c r="AVP127" s="140"/>
      <c r="AVQ127" s="140"/>
      <c r="AVR127" s="140"/>
      <c r="AVS127" s="140"/>
      <c r="AVT127" s="140"/>
      <c r="AVU127" s="140"/>
      <c r="AVV127" s="140"/>
      <c r="AVW127" s="140"/>
      <c r="AVX127" s="140"/>
      <c r="AVY127" s="140"/>
      <c r="AVZ127" s="140"/>
      <c r="AWA127" s="140"/>
      <c r="AWB127" s="140"/>
      <c r="AWC127" s="140"/>
      <c r="AWD127" s="140"/>
      <c r="AWE127" s="140"/>
      <c r="AWF127" s="140"/>
      <c r="AWG127" s="140"/>
      <c r="AWH127" s="140"/>
      <c r="AWI127" s="140"/>
      <c r="AWJ127" s="140"/>
      <c r="AWK127" s="140"/>
      <c r="AWL127" s="140"/>
      <c r="AWM127" s="140"/>
      <c r="AWN127" s="140"/>
      <c r="AWO127" s="140"/>
      <c r="AWP127" s="140"/>
      <c r="AWQ127" s="140"/>
      <c r="AWR127" s="140"/>
      <c r="AWS127" s="140"/>
      <c r="AWT127" s="140"/>
      <c r="AWU127" s="140"/>
      <c r="AWV127" s="140"/>
      <c r="AWW127" s="140"/>
      <c r="AWX127" s="140"/>
      <c r="AWY127" s="140"/>
      <c r="AWZ127" s="140"/>
      <c r="AXA127" s="140"/>
      <c r="AXB127" s="140"/>
      <c r="AXC127" s="140"/>
      <c r="AXD127" s="140"/>
      <c r="AXE127" s="140"/>
      <c r="AXF127" s="140"/>
      <c r="AXG127" s="140"/>
      <c r="AXH127" s="140"/>
      <c r="AXI127" s="140"/>
      <c r="AXJ127" s="140"/>
      <c r="AXK127" s="140"/>
      <c r="AXL127" s="140"/>
      <c r="AXM127" s="140"/>
      <c r="AXN127" s="140"/>
      <c r="AXO127" s="140"/>
      <c r="AXP127" s="140"/>
      <c r="AXQ127" s="140"/>
      <c r="AXR127" s="140"/>
      <c r="AXS127" s="140"/>
      <c r="AXT127" s="140"/>
      <c r="AXU127" s="140"/>
      <c r="AXV127" s="140"/>
      <c r="AXW127" s="140"/>
      <c r="AXX127" s="140"/>
      <c r="AXY127" s="140"/>
      <c r="AXZ127" s="140"/>
      <c r="AYA127" s="140"/>
      <c r="AYB127" s="140"/>
      <c r="AYC127" s="140"/>
      <c r="AYD127" s="140"/>
      <c r="AYE127" s="140"/>
      <c r="AYF127" s="140"/>
      <c r="AYG127" s="140"/>
      <c r="AYH127" s="140"/>
      <c r="AYI127" s="140"/>
      <c r="AYJ127" s="140"/>
      <c r="AYK127" s="140"/>
      <c r="AYL127" s="140"/>
      <c r="AYM127" s="140"/>
      <c r="AYN127" s="140"/>
      <c r="AYO127" s="140"/>
      <c r="AYP127" s="140"/>
      <c r="AYQ127" s="140"/>
      <c r="AYR127" s="140"/>
      <c r="AYS127" s="140"/>
      <c r="AYT127" s="140"/>
      <c r="AYU127" s="140"/>
      <c r="AYV127" s="140"/>
      <c r="AYW127" s="140"/>
      <c r="AYX127" s="140"/>
      <c r="AYY127" s="140"/>
      <c r="AYZ127" s="140"/>
      <c r="AZA127" s="140"/>
      <c r="AZB127" s="140"/>
      <c r="AZC127" s="140"/>
      <c r="AZD127" s="140"/>
      <c r="AZE127" s="140"/>
      <c r="AZF127" s="140"/>
      <c r="AZG127" s="140"/>
      <c r="AZH127" s="140"/>
      <c r="AZI127" s="140"/>
      <c r="AZJ127" s="140"/>
      <c r="AZK127" s="140"/>
      <c r="AZL127" s="140"/>
      <c r="AZM127" s="140"/>
      <c r="AZN127" s="140"/>
      <c r="AZO127" s="140"/>
      <c r="AZP127" s="140"/>
      <c r="AZQ127" s="140"/>
      <c r="AZR127" s="140"/>
      <c r="AZS127" s="140"/>
      <c r="AZT127" s="140"/>
      <c r="AZU127" s="140"/>
      <c r="AZV127" s="140"/>
      <c r="AZW127" s="140"/>
      <c r="AZX127" s="140"/>
      <c r="AZY127" s="140"/>
      <c r="AZZ127" s="140"/>
      <c r="BAA127" s="140"/>
      <c r="BAB127" s="140"/>
      <c r="BAC127" s="140"/>
      <c r="BAD127" s="140"/>
      <c r="BAE127" s="140"/>
      <c r="BAF127" s="140"/>
      <c r="BAG127" s="140"/>
      <c r="BAH127" s="140"/>
      <c r="BAI127" s="140"/>
      <c r="BAJ127" s="140"/>
      <c r="BAK127" s="140"/>
      <c r="BAL127" s="140"/>
      <c r="BAM127" s="140"/>
      <c r="BAN127" s="140"/>
      <c r="BAO127" s="140"/>
      <c r="BAP127" s="140"/>
      <c r="BAQ127" s="140"/>
      <c r="BAR127" s="140"/>
      <c r="BAS127" s="140"/>
      <c r="BAT127" s="140"/>
      <c r="BAU127" s="140"/>
      <c r="BAV127" s="140"/>
      <c r="BAW127" s="140"/>
      <c r="BAX127" s="140"/>
      <c r="BAY127" s="140"/>
      <c r="BAZ127" s="140"/>
      <c r="BBA127" s="140"/>
      <c r="BBB127" s="140"/>
      <c r="BBC127" s="140"/>
      <c r="BBD127" s="140"/>
      <c r="BBE127" s="140"/>
      <c r="BBF127" s="140"/>
      <c r="BBG127" s="140"/>
      <c r="BBH127" s="140"/>
      <c r="BBI127" s="140"/>
      <c r="BBJ127" s="140"/>
      <c r="BBK127" s="140"/>
      <c r="BBL127" s="140"/>
      <c r="BBM127" s="140"/>
      <c r="BBN127" s="140"/>
      <c r="BBO127" s="140"/>
      <c r="BBP127" s="140"/>
      <c r="BBQ127" s="140"/>
      <c r="BBR127" s="140"/>
      <c r="BBS127" s="140"/>
      <c r="BBT127" s="140"/>
      <c r="BBU127" s="140"/>
      <c r="BBV127" s="140"/>
      <c r="BBW127" s="140"/>
      <c r="BBX127" s="140"/>
      <c r="BBY127" s="140"/>
      <c r="BBZ127" s="140"/>
      <c r="BCA127" s="140"/>
      <c r="BCB127" s="140"/>
      <c r="BCC127" s="140"/>
      <c r="BCD127" s="140"/>
      <c r="BCE127" s="140"/>
      <c r="BCF127" s="140"/>
      <c r="BCG127" s="140"/>
      <c r="BCH127" s="140"/>
      <c r="BCI127" s="140"/>
      <c r="BCJ127" s="140"/>
      <c r="BCK127" s="140"/>
      <c r="BCL127" s="140"/>
      <c r="BCM127" s="140"/>
      <c r="BCN127" s="140"/>
      <c r="BCO127" s="140"/>
      <c r="BCP127" s="140"/>
      <c r="BCQ127" s="140"/>
      <c r="BCR127" s="140"/>
      <c r="BCS127" s="140"/>
      <c r="BCT127" s="140"/>
      <c r="BCU127" s="140"/>
      <c r="BCV127" s="140"/>
      <c r="BCW127" s="140"/>
      <c r="BCX127" s="140"/>
      <c r="BCY127" s="140"/>
      <c r="BCZ127" s="140"/>
      <c r="BDA127" s="140"/>
      <c r="BDB127" s="140"/>
      <c r="BDC127" s="140"/>
      <c r="BDD127" s="140"/>
      <c r="BDE127" s="140"/>
      <c r="BDF127" s="140"/>
      <c r="BDG127" s="140"/>
      <c r="BDH127" s="140"/>
      <c r="BDI127" s="140"/>
      <c r="BDJ127" s="140"/>
      <c r="BDK127" s="140"/>
      <c r="BDL127" s="140"/>
      <c r="BDM127" s="140"/>
      <c r="BDN127" s="140"/>
      <c r="BDO127" s="140"/>
      <c r="BDP127" s="140"/>
      <c r="BDQ127" s="140"/>
      <c r="BDR127" s="140"/>
      <c r="BDS127" s="140"/>
      <c r="BDT127" s="140"/>
      <c r="BDU127" s="140"/>
      <c r="BDV127" s="140"/>
      <c r="BDW127" s="140"/>
      <c r="BDX127" s="140"/>
      <c r="BDY127" s="140"/>
      <c r="BDZ127" s="140"/>
      <c r="BEA127" s="140"/>
      <c r="BEB127" s="140"/>
      <c r="BEC127" s="140"/>
      <c r="BED127" s="140"/>
      <c r="BEE127" s="140"/>
      <c r="BEF127" s="140"/>
      <c r="BEG127" s="140"/>
      <c r="BEH127" s="140"/>
      <c r="BEI127" s="140"/>
      <c r="BEJ127" s="140"/>
      <c r="BEK127" s="140"/>
      <c r="BEL127" s="140"/>
      <c r="BEM127" s="140"/>
      <c r="BEN127" s="140"/>
      <c r="BEO127" s="140"/>
      <c r="BEP127" s="140"/>
      <c r="BEQ127" s="140"/>
      <c r="BER127" s="140"/>
      <c r="BES127" s="140"/>
      <c r="BET127" s="140"/>
      <c r="BEU127" s="140"/>
      <c r="BEV127" s="140"/>
      <c r="BEW127" s="140"/>
      <c r="BEX127" s="140"/>
      <c r="BEY127" s="140"/>
      <c r="BEZ127" s="140"/>
      <c r="BFA127" s="140"/>
      <c r="BFB127" s="140"/>
      <c r="BFC127" s="140"/>
      <c r="BFD127" s="140"/>
      <c r="BFE127" s="140"/>
      <c r="BFF127" s="140"/>
      <c r="BFG127" s="140"/>
      <c r="BFH127" s="140"/>
      <c r="BFI127" s="140"/>
      <c r="BFJ127" s="140"/>
      <c r="BFK127" s="140"/>
      <c r="BFL127" s="140"/>
      <c r="BFM127" s="140"/>
      <c r="BFN127" s="140"/>
      <c r="BFO127" s="140"/>
      <c r="BFP127" s="140"/>
      <c r="BFQ127" s="140"/>
      <c r="BFR127" s="140"/>
      <c r="BFS127" s="140"/>
      <c r="BFT127" s="140"/>
      <c r="BFU127" s="140"/>
      <c r="BFV127" s="140"/>
      <c r="BFW127" s="140"/>
      <c r="BFX127" s="140"/>
      <c r="BFY127" s="140"/>
      <c r="BFZ127" s="140"/>
      <c r="BGA127" s="140"/>
      <c r="BGB127" s="140"/>
      <c r="BGC127" s="140"/>
      <c r="BGD127" s="140"/>
      <c r="BGE127" s="140"/>
      <c r="BGF127" s="140"/>
      <c r="BGG127" s="140"/>
      <c r="BGH127" s="140"/>
      <c r="BGI127" s="140"/>
      <c r="BGJ127" s="140"/>
      <c r="BGK127" s="140"/>
      <c r="BGL127" s="140"/>
      <c r="BGM127" s="140"/>
      <c r="BGN127" s="140"/>
      <c r="BGO127" s="140"/>
      <c r="BGP127" s="140"/>
      <c r="BGQ127" s="140"/>
      <c r="BGR127" s="140"/>
      <c r="BGS127" s="140"/>
      <c r="BGT127" s="140"/>
      <c r="BGU127" s="140"/>
      <c r="BGV127" s="140"/>
      <c r="BGW127" s="140"/>
      <c r="BGX127" s="140"/>
      <c r="BGY127" s="140"/>
      <c r="BGZ127" s="140"/>
      <c r="BHA127" s="140"/>
      <c r="BHB127" s="140"/>
      <c r="BHC127" s="140"/>
      <c r="BHD127" s="140"/>
      <c r="BHE127" s="140"/>
      <c r="BHF127" s="140"/>
      <c r="BHG127" s="140"/>
      <c r="BHH127" s="140"/>
      <c r="BHI127" s="140"/>
      <c r="BHJ127" s="140"/>
      <c r="BHK127" s="140"/>
      <c r="BHL127" s="140"/>
      <c r="BHM127" s="140"/>
      <c r="BHN127" s="140"/>
      <c r="BHO127" s="140"/>
      <c r="BHP127" s="140"/>
      <c r="BHQ127" s="140"/>
      <c r="BHR127" s="140"/>
      <c r="BHS127" s="140"/>
      <c r="BHT127" s="140"/>
      <c r="BHU127" s="140"/>
      <c r="BHV127" s="140"/>
      <c r="BHW127" s="140"/>
      <c r="BHX127" s="140"/>
      <c r="BHY127" s="140"/>
      <c r="BHZ127" s="140"/>
      <c r="BIA127" s="140"/>
      <c r="BIB127" s="140"/>
      <c r="BIC127" s="140"/>
      <c r="BID127" s="140"/>
      <c r="BIE127" s="140"/>
      <c r="BIF127" s="140"/>
      <c r="BIG127" s="140"/>
      <c r="BIH127" s="140"/>
      <c r="BII127" s="140"/>
      <c r="BIJ127" s="140"/>
      <c r="BIK127" s="140"/>
      <c r="BIL127" s="140"/>
      <c r="BIM127" s="140"/>
      <c r="BIN127" s="140"/>
      <c r="BIO127" s="140"/>
      <c r="BIP127" s="140"/>
      <c r="BIQ127" s="140"/>
      <c r="BIR127" s="140"/>
      <c r="BIS127" s="140"/>
      <c r="BIT127" s="140"/>
      <c r="BIU127" s="140"/>
      <c r="BIV127" s="140"/>
      <c r="BIW127" s="140"/>
      <c r="BIX127" s="140"/>
      <c r="BIY127" s="140"/>
      <c r="BIZ127" s="140"/>
      <c r="BJA127" s="140"/>
      <c r="BJB127" s="140"/>
      <c r="BJC127" s="140"/>
      <c r="BJD127" s="140"/>
      <c r="BJE127" s="140"/>
      <c r="BJF127" s="140"/>
      <c r="BJG127" s="140"/>
      <c r="BJH127" s="140"/>
      <c r="BJI127" s="140"/>
      <c r="BJJ127" s="140"/>
      <c r="BJK127" s="140"/>
      <c r="BJL127" s="140"/>
      <c r="BJM127" s="140"/>
      <c r="BJN127" s="140"/>
      <c r="BJO127" s="140"/>
      <c r="BJP127" s="140"/>
      <c r="BJQ127" s="140"/>
      <c r="BJR127" s="140"/>
      <c r="BJS127" s="140"/>
      <c r="BJT127" s="140"/>
      <c r="BJU127" s="140"/>
      <c r="BJV127" s="140"/>
      <c r="BJW127" s="140"/>
      <c r="BJX127" s="140"/>
      <c r="BJY127" s="140"/>
      <c r="BJZ127" s="140"/>
      <c r="BKA127" s="140"/>
      <c r="BKB127" s="140"/>
      <c r="BKC127" s="140"/>
      <c r="BKD127" s="140"/>
      <c r="BKE127" s="140"/>
      <c r="BKF127" s="140"/>
      <c r="BKG127" s="140"/>
      <c r="BKH127" s="140"/>
      <c r="BKI127" s="140"/>
      <c r="BKJ127" s="140"/>
      <c r="BKK127" s="140"/>
      <c r="BKL127" s="140"/>
      <c r="BKM127" s="140"/>
      <c r="BKN127" s="140"/>
      <c r="BKO127" s="140"/>
      <c r="BKP127" s="140"/>
      <c r="BKQ127" s="140"/>
      <c r="BKR127" s="140"/>
      <c r="BKS127" s="140"/>
      <c r="BKT127" s="140"/>
      <c r="BKU127" s="140"/>
      <c r="BKV127" s="140"/>
      <c r="BKW127" s="140"/>
      <c r="BKX127" s="140"/>
      <c r="BKY127" s="140"/>
      <c r="BKZ127" s="140"/>
      <c r="BLA127" s="140"/>
      <c r="BLB127" s="140"/>
      <c r="BLC127" s="140"/>
      <c r="BLD127" s="140"/>
      <c r="BLE127" s="140"/>
      <c r="BLF127" s="140"/>
      <c r="BLG127" s="140"/>
      <c r="BLH127" s="140"/>
      <c r="BLI127" s="140"/>
      <c r="BLJ127" s="140"/>
      <c r="BLK127" s="140"/>
      <c r="BLL127" s="140"/>
      <c r="BLM127" s="140"/>
      <c r="BLN127" s="140"/>
      <c r="BLO127" s="140"/>
      <c r="BLP127" s="140"/>
      <c r="BLQ127" s="140"/>
      <c r="BLR127" s="140"/>
      <c r="BLS127" s="140"/>
      <c r="BLT127" s="140"/>
      <c r="BLU127" s="140"/>
      <c r="BLV127" s="140"/>
      <c r="BLW127" s="140"/>
      <c r="BLX127" s="140"/>
      <c r="BLY127" s="140"/>
      <c r="BLZ127" s="140"/>
      <c r="BMA127" s="140"/>
      <c r="BMB127" s="140"/>
      <c r="BMC127" s="140"/>
      <c r="BMD127" s="140"/>
      <c r="BME127" s="140"/>
      <c r="BMF127" s="140"/>
      <c r="BMG127" s="140"/>
      <c r="BMH127" s="140"/>
      <c r="BMI127" s="140"/>
      <c r="BMJ127" s="140"/>
      <c r="BMK127" s="140"/>
      <c r="BML127" s="140"/>
      <c r="BMM127" s="140"/>
      <c r="BMN127" s="140"/>
      <c r="BMO127" s="140"/>
      <c r="BMP127" s="140"/>
      <c r="BMQ127" s="140"/>
      <c r="BMR127" s="140"/>
      <c r="BMS127" s="140"/>
      <c r="BMT127" s="140"/>
      <c r="BMU127" s="140"/>
      <c r="BMV127" s="140"/>
      <c r="BMW127" s="140"/>
      <c r="BMX127" s="140"/>
      <c r="BMY127" s="140"/>
      <c r="BMZ127" s="140"/>
      <c r="BNA127" s="140"/>
      <c r="BNB127" s="140"/>
      <c r="BNC127" s="140"/>
      <c r="BND127" s="140"/>
      <c r="BNE127" s="140"/>
      <c r="BNF127" s="140"/>
      <c r="BNG127" s="140"/>
      <c r="BNH127" s="140"/>
      <c r="BNI127" s="140"/>
      <c r="BNJ127" s="140"/>
      <c r="BNK127" s="140"/>
      <c r="BNL127" s="140"/>
      <c r="BNM127" s="140"/>
      <c r="BNN127" s="140"/>
      <c r="BNO127" s="140"/>
      <c r="BNP127" s="140"/>
      <c r="BNQ127" s="140"/>
      <c r="BNR127" s="140"/>
      <c r="BNS127" s="140"/>
      <c r="BNT127" s="140"/>
      <c r="BNU127" s="140"/>
      <c r="BNV127" s="140"/>
      <c r="BNW127" s="140"/>
      <c r="BNX127" s="140"/>
      <c r="BNY127" s="140"/>
      <c r="BNZ127" s="140"/>
      <c r="BOA127" s="140"/>
      <c r="BOB127" s="140"/>
      <c r="BOC127" s="140"/>
      <c r="BOD127" s="140"/>
      <c r="BOE127" s="140"/>
      <c r="BOF127" s="140"/>
      <c r="BOG127" s="140"/>
      <c r="BOH127" s="140"/>
      <c r="BOI127" s="140"/>
      <c r="BOJ127" s="140"/>
      <c r="BOK127" s="140"/>
      <c r="BOL127" s="140"/>
      <c r="BOM127" s="140"/>
      <c r="BON127" s="140"/>
      <c r="BOO127" s="140"/>
      <c r="BOP127" s="140"/>
      <c r="BOQ127" s="140"/>
      <c r="BOR127" s="140"/>
      <c r="BOS127" s="140"/>
      <c r="BOT127" s="140"/>
      <c r="BOU127" s="140"/>
      <c r="BOV127" s="140"/>
      <c r="BOW127" s="140"/>
      <c r="BOX127" s="140"/>
      <c r="BOY127" s="140"/>
      <c r="BOZ127" s="140"/>
      <c r="BPA127" s="140"/>
      <c r="BPB127" s="140"/>
      <c r="BPC127" s="140"/>
      <c r="BPD127" s="140"/>
      <c r="BPE127" s="140"/>
      <c r="BPF127" s="140"/>
      <c r="BPG127" s="140"/>
      <c r="BPH127" s="140"/>
      <c r="BPI127" s="140"/>
      <c r="BPJ127" s="140"/>
      <c r="BPK127" s="140"/>
      <c r="BPL127" s="140"/>
      <c r="BPM127" s="140"/>
      <c r="BPN127" s="140"/>
      <c r="BPO127" s="140"/>
      <c r="BPP127" s="140"/>
      <c r="BPQ127" s="140"/>
      <c r="BPR127" s="140"/>
      <c r="BPS127" s="140"/>
      <c r="BPT127" s="140"/>
      <c r="BPU127" s="140"/>
      <c r="BPV127" s="140"/>
      <c r="BPW127" s="140"/>
      <c r="BPX127" s="140"/>
      <c r="BPY127" s="140"/>
      <c r="BPZ127" s="140"/>
      <c r="BQA127" s="140"/>
      <c r="BQB127" s="140"/>
      <c r="BQC127" s="140"/>
      <c r="BQD127" s="140"/>
      <c r="BQE127" s="140"/>
      <c r="BQF127" s="140"/>
      <c r="BQG127" s="140"/>
      <c r="BQH127" s="140"/>
      <c r="BQI127" s="140"/>
      <c r="BQJ127" s="140"/>
      <c r="BQK127" s="140"/>
      <c r="BQL127" s="140"/>
      <c r="BQM127" s="140"/>
      <c r="BQN127" s="140"/>
      <c r="BQO127" s="140"/>
      <c r="BQP127" s="140"/>
      <c r="BQQ127" s="140"/>
      <c r="BQR127" s="140"/>
      <c r="BQS127" s="140"/>
      <c r="BQT127" s="140"/>
      <c r="BQU127" s="140"/>
      <c r="BQV127" s="140"/>
      <c r="BQW127" s="140"/>
      <c r="BQX127" s="140"/>
      <c r="BQY127" s="140"/>
      <c r="BQZ127" s="140"/>
      <c r="BRA127" s="140"/>
      <c r="BRB127" s="140"/>
      <c r="BRC127" s="140"/>
      <c r="BRD127" s="140"/>
      <c r="BRE127" s="140"/>
      <c r="BRF127" s="140"/>
      <c r="BRG127" s="140"/>
      <c r="BRH127" s="140"/>
      <c r="BRI127" s="140"/>
      <c r="BRJ127" s="140"/>
      <c r="BRK127" s="140"/>
      <c r="BRL127" s="140"/>
      <c r="BRM127" s="140"/>
      <c r="BRN127" s="140"/>
      <c r="BRO127" s="140"/>
      <c r="BRP127" s="140"/>
      <c r="BRQ127" s="140"/>
      <c r="BRR127" s="140"/>
      <c r="BRS127" s="140"/>
      <c r="BRT127" s="140"/>
      <c r="BRU127" s="140"/>
      <c r="BRV127" s="140"/>
      <c r="BRW127" s="140"/>
      <c r="BRX127" s="140"/>
      <c r="BRY127" s="140"/>
      <c r="BRZ127" s="140"/>
      <c r="BSA127" s="140"/>
      <c r="BSB127" s="140"/>
      <c r="BSC127" s="140"/>
      <c r="BSD127" s="140"/>
      <c r="BSE127" s="140"/>
      <c r="BSF127" s="140"/>
      <c r="BSG127" s="140"/>
      <c r="BSH127" s="140"/>
      <c r="BSI127" s="140"/>
      <c r="BSJ127" s="140"/>
      <c r="BSK127" s="140"/>
      <c r="BSL127" s="140"/>
      <c r="BSM127" s="140"/>
      <c r="BSN127" s="140"/>
      <c r="BSO127" s="140"/>
      <c r="BSP127" s="140"/>
      <c r="BSQ127" s="140"/>
      <c r="BSR127" s="140"/>
      <c r="BSS127" s="140"/>
      <c r="BST127" s="140"/>
      <c r="BSU127" s="140"/>
      <c r="BSV127" s="140"/>
      <c r="BSW127" s="140"/>
      <c r="BSX127" s="140"/>
      <c r="BSY127" s="140"/>
      <c r="BSZ127" s="140"/>
      <c r="BTA127" s="140"/>
      <c r="BTB127" s="140"/>
      <c r="BTC127" s="140"/>
      <c r="BTD127" s="140"/>
      <c r="BTE127" s="140"/>
      <c r="BTF127" s="140"/>
      <c r="BTG127" s="140"/>
      <c r="BTH127" s="140"/>
      <c r="BTI127" s="140"/>
      <c r="BTJ127" s="140"/>
      <c r="BTK127" s="140"/>
      <c r="BTL127" s="140"/>
      <c r="BTM127" s="140"/>
      <c r="BTN127" s="140"/>
      <c r="BTO127" s="140"/>
      <c r="BTP127" s="140"/>
      <c r="BTQ127" s="140"/>
      <c r="BTR127" s="140"/>
      <c r="BTS127" s="140"/>
      <c r="BTT127" s="140"/>
      <c r="BTU127" s="140"/>
      <c r="BTV127" s="140"/>
      <c r="BTW127" s="140"/>
      <c r="BTX127" s="140"/>
      <c r="BTY127" s="140"/>
      <c r="BTZ127" s="140"/>
      <c r="BUA127" s="140"/>
      <c r="BUB127" s="140"/>
      <c r="BUC127" s="140"/>
      <c r="BUD127" s="140"/>
      <c r="BUE127" s="140"/>
      <c r="BUF127" s="140"/>
      <c r="BUG127" s="140"/>
      <c r="BUH127" s="140"/>
      <c r="BUI127" s="140"/>
      <c r="BUJ127" s="140"/>
      <c r="BUK127" s="140"/>
      <c r="BUL127" s="140"/>
      <c r="BUM127" s="140"/>
      <c r="BUN127" s="140"/>
      <c r="BUO127" s="140"/>
      <c r="BUP127" s="140"/>
      <c r="BUQ127" s="140"/>
      <c r="BUR127" s="140"/>
      <c r="BUS127" s="140"/>
      <c r="BUT127" s="140"/>
      <c r="BUU127" s="140"/>
      <c r="BUV127" s="140"/>
      <c r="BUW127" s="140"/>
      <c r="BUX127" s="140"/>
      <c r="BUY127" s="140"/>
      <c r="BUZ127" s="140"/>
      <c r="BVA127" s="140"/>
      <c r="BVB127" s="140"/>
      <c r="BVC127" s="140"/>
      <c r="BVD127" s="140"/>
      <c r="BVE127" s="140"/>
      <c r="BVF127" s="140"/>
      <c r="BVG127" s="140"/>
      <c r="BVH127" s="140"/>
      <c r="BVI127" s="140"/>
      <c r="BVJ127" s="140"/>
      <c r="BVK127" s="140"/>
      <c r="BVL127" s="140"/>
      <c r="BVM127" s="140"/>
      <c r="BVN127" s="140"/>
      <c r="BVO127" s="140"/>
      <c r="BVP127" s="140"/>
      <c r="BVQ127" s="140"/>
      <c r="BVR127" s="140"/>
      <c r="BVS127" s="140"/>
      <c r="BVT127" s="140"/>
      <c r="BVU127" s="140"/>
      <c r="BVV127" s="140"/>
      <c r="BVW127" s="140"/>
      <c r="BVX127" s="140"/>
      <c r="BVY127" s="140"/>
      <c r="BVZ127" s="140"/>
      <c r="BWA127" s="140"/>
      <c r="BWB127" s="140"/>
      <c r="BWC127" s="140"/>
      <c r="BWD127" s="140"/>
      <c r="BWE127" s="140"/>
      <c r="BWF127" s="140"/>
      <c r="BWG127" s="140"/>
      <c r="BWH127" s="140"/>
      <c r="BWI127" s="140"/>
      <c r="BWJ127" s="140"/>
      <c r="BWK127" s="140"/>
      <c r="BWL127" s="140"/>
      <c r="BWM127" s="140"/>
      <c r="BWN127" s="140"/>
      <c r="BWO127" s="140"/>
      <c r="BWP127" s="140"/>
      <c r="BWQ127" s="140"/>
      <c r="BWR127" s="140"/>
      <c r="BWS127" s="140"/>
      <c r="BWT127" s="140"/>
      <c r="BWU127" s="140"/>
      <c r="BWV127" s="140"/>
      <c r="BWW127" s="140"/>
      <c r="BWX127" s="140"/>
      <c r="BWY127" s="140"/>
      <c r="BWZ127" s="140"/>
      <c r="BXA127" s="140"/>
      <c r="BXB127" s="140"/>
      <c r="BXC127" s="140"/>
      <c r="BXD127" s="140"/>
      <c r="BXE127" s="140"/>
      <c r="BXF127" s="140"/>
      <c r="BXG127" s="140"/>
      <c r="BXH127" s="140"/>
      <c r="BXI127" s="140"/>
      <c r="BXJ127" s="140"/>
      <c r="BXK127" s="140"/>
      <c r="BXL127" s="140"/>
      <c r="BXM127" s="140"/>
      <c r="BXN127" s="140"/>
      <c r="BXO127" s="140"/>
      <c r="BXP127" s="140"/>
      <c r="BXQ127" s="140"/>
      <c r="BXR127" s="140"/>
      <c r="BXS127" s="140"/>
      <c r="BXT127" s="140"/>
      <c r="BXU127" s="140"/>
      <c r="BXV127" s="140"/>
      <c r="BXW127" s="140"/>
      <c r="BXX127" s="140"/>
      <c r="BXY127" s="140"/>
      <c r="BXZ127" s="140"/>
      <c r="BYA127" s="140"/>
      <c r="BYB127" s="140"/>
      <c r="BYC127" s="140"/>
      <c r="BYD127" s="140"/>
      <c r="BYE127" s="140"/>
      <c r="BYF127" s="140"/>
      <c r="BYG127" s="140"/>
      <c r="BYH127" s="140"/>
      <c r="BYI127" s="140"/>
      <c r="BYJ127" s="140"/>
      <c r="BYK127" s="140"/>
      <c r="BYL127" s="140"/>
      <c r="BYM127" s="140"/>
      <c r="BYN127" s="140"/>
      <c r="BYO127" s="140"/>
      <c r="BYP127" s="140"/>
      <c r="BYQ127" s="140"/>
      <c r="BYR127" s="140"/>
      <c r="BYS127" s="140"/>
      <c r="BYT127" s="140"/>
      <c r="BYU127" s="140"/>
      <c r="BYV127" s="140"/>
      <c r="BYW127" s="140"/>
      <c r="BYX127" s="140"/>
      <c r="BYY127" s="140"/>
      <c r="BYZ127" s="140"/>
      <c r="BZA127" s="140"/>
      <c r="BZB127" s="140"/>
      <c r="BZC127" s="140"/>
      <c r="BZD127" s="140"/>
      <c r="BZE127" s="140"/>
      <c r="BZF127" s="140"/>
      <c r="BZG127" s="140"/>
      <c r="BZH127" s="140"/>
      <c r="BZI127" s="140"/>
      <c r="BZJ127" s="140"/>
      <c r="BZK127" s="140"/>
      <c r="BZL127" s="140"/>
      <c r="BZM127" s="140"/>
      <c r="BZN127" s="140"/>
      <c r="BZO127" s="140"/>
      <c r="BZP127" s="140"/>
      <c r="BZQ127" s="140"/>
      <c r="BZR127" s="140"/>
      <c r="BZS127" s="140"/>
      <c r="BZT127" s="140"/>
      <c r="BZU127" s="140"/>
      <c r="BZV127" s="140"/>
      <c r="BZW127" s="140"/>
      <c r="BZX127" s="140"/>
      <c r="BZY127" s="140"/>
      <c r="BZZ127" s="140"/>
      <c r="CAA127" s="140"/>
      <c r="CAB127" s="140"/>
      <c r="CAC127" s="140"/>
      <c r="CAD127" s="140"/>
      <c r="CAE127" s="140"/>
      <c r="CAF127" s="140"/>
      <c r="CAG127" s="140"/>
      <c r="CAH127" s="140"/>
      <c r="CAI127" s="140"/>
      <c r="CAJ127" s="140"/>
      <c r="CAK127" s="140"/>
      <c r="CAL127" s="140"/>
      <c r="CAM127" s="140"/>
      <c r="CAN127" s="140"/>
      <c r="CAO127" s="140"/>
      <c r="CAP127" s="140"/>
      <c r="CAQ127" s="140"/>
      <c r="CAR127" s="140"/>
      <c r="CAS127" s="140"/>
      <c r="CAT127" s="140"/>
      <c r="CAU127" s="140"/>
      <c r="CAV127" s="140"/>
      <c r="CAW127" s="140"/>
      <c r="CAX127" s="140"/>
      <c r="CAY127" s="140"/>
      <c r="CAZ127" s="140"/>
      <c r="CBA127" s="140"/>
      <c r="CBB127" s="140"/>
      <c r="CBC127" s="140"/>
      <c r="CBD127" s="140"/>
      <c r="CBE127" s="140"/>
      <c r="CBF127" s="140"/>
      <c r="CBG127" s="140"/>
      <c r="CBH127" s="140"/>
      <c r="CBI127" s="140"/>
      <c r="CBJ127" s="140"/>
      <c r="CBK127" s="140"/>
      <c r="CBL127" s="140"/>
      <c r="CBM127" s="140"/>
      <c r="CBN127" s="140"/>
      <c r="CBO127" s="140"/>
      <c r="CBP127" s="140"/>
      <c r="CBQ127" s="140"/>
      <c r="CBR127" s="140"/>
      <c r="CBS127" s="140"/>
      <c r="CBT127" s="140"/>
      <c r="CBU127" s="140"/>
      <c r="CBV127" s="140"/>
      <c r="CBW127" s="140"/>
      <c r="CBX127" s="140"/>
      <c r="CBY127" s="140"/>
      <c r="CBZ127" s="140"/>
      <c r="CCA127" s="140"/>
      <c r="CCB127" s="140"/>
      <c r="CCC127" s="140"/>
      <c r="CCD127" s="140"/>
      <c r="CCE127" s="140"/>
      <c r="CCF127" s="140"/>
      <c r="CCG127" s="140"/>
      <c r="CCH127" s="140"/>
      <c r="CCI127" s="140"/>
      <c r="CCJ127" s="140"/>
      <c r="CCK127" s="140"/>
      <c r="CCL127" s="140"/>
      <c r="CCM127" s="140"/>
      <c r="CCN127" s="140"/>
      <c r="CCO127" s="140"/>
      <c r="CCP127" s="140"/>
      <c r="CCQ127" s="140"/>
      <c r="CCR127" s="140"/>
      <c r="CCS127" s="140"/>
      <c r="CCT127" s="140"/>
      <c r="CCU127" s="140"/>
      <c r="CCV127" s="140"/>
      <c r="CCW127" s="140"/>
      <c r="CCX127" s="140"/>
      <c r="CCY127" s="140"/>
      <c r="CCZ127" s="140"/>
      <c r="CDA127" s="140"/>
      <c r="CDB127" s="140"/>
      <c r="CDC127" s="140"/>
      <c r="CDD127" s="140"/>
      <c r="CDE127" s="140"/>
      <c r="CDF127" s="140"/>
      <c r="CDG127" s="140"/>
      <c r="CDH127" s="140"/>
      <c r="CDI127" s="140"/>
      <c r="CDJ127" s="140"/>
      <c r="CDK127" s="140"/>
      <c r="CDL127" s="140"/>
      <c r="CDM127" s="140"/>
      <c r="CDN127" s="140"/>
      <c r="CDO127" s="140"/>
      <c r="CDP127" s="140"/>
      <c r="CDQ127" s="140"/>
      <c r="CDR127" s="140"/>
      <c r="CDS127" s="140"/>
      <c r="CDT127" s="140"/>
      <c r="CDU127" s="140"/>
      <c r="CDV127" s="140"/>
      <c r="CDW127" s="140"/>
      <c r="CDX127" s="140"/>
      <c r="CDY127" s="140"/>
      <c r="CDZ127" s="140"/>
      <c r="CEA127" s="140"/>
      <c r="CEB127" s="140"/>
      <c r="CEC127" s="140"/>
      <c r="CED127" s="140"/>
      <c r="CEE127" s="140"/>
      <c r="CEF127" s="140"/>
      <c r="CEG127" s="140"/>
      <c r="CEH127" s="140"/>
      <c r="CEI127" s="140"/>
      <c r="CEJ127" s="140"/>
      <c r="CEK127" s="140"/>
      <c r="CEL127" s="140"/>
      <c r="CEM127" s="140"/>
      <c r="CEN127" s="140"/>
      <c r="CEO127" s="140"/>
      <c r="CEP127" s="140"/>
      <c r="CEQ127" s="140"/>
      <c r="CER127" s="140"/>
      <c r="CES127" s="140"/>
      <c r="CET127" s="140"/>
      <c r="CEU127" s="140"/>
      <c r="CEV127" s="140"/>
      <c r="CEW127" s="140"/>
      <c r="CEX127" s="140"/>
      <c r="CEY127" s="140"/>
      <c r="CEZ127" s="140"/>
      <c r="CFA127" s="140"/>
      <c r="CFB127" s="140"/>
      <c r="CFC127" s="140"/>
      <c r="CFD127" s="140"/>
      <c r="CFE127" s="140"/>
      <c r="CFF127" s="140"/>
      <c r="CFG127" s="140"/>
      <c r="CFH127" s="140"/>
      <c r="CFI127" s="140"/>
      <c r="CFJ127" s="140"/>
      <c r="CFK127" s="140"/>
      <c r="CFL127" s="140"/>
      <c r="CFM127" s="140"/>
      <c r="CFN127" s="140"/>
      <c r="CFO127" s="140"/>
      <c r="CFP127" s="140"/>
      <c r="CFQ127" s="140"/>
      <c r="CFR127" s="140"/>
      <c r="CFS127" s="140"/>
      <c r="CFT127" s="140"/>
      <c r="CFU127" s="140"/>
      <c r="CFV127" s="140"/>
      <c r="CFW127" s="140"/>
      <c r="CFX127" s="140"/>
      <c r="CFY127" s="140"/>
      <c r="CFZ127" s="140"/>
      <c r="CGA127" s="140"/>
      <c r="CGB127" s="140"/>
      <c r="CGC127" s="140"/>
      <c r="CGD127" s="140"/>
      <c r="CGE127" s="140"/>
      <c r="CGF127" s="140"/>
      <c r="CGG127" s="140"/>
      <c r="CGH127" s="140"/>
      <c r="CGI127" s="140"/>
      <c r="CGJ127" s="140"/>
      <c r="CGK127" s="140"/>
      <c r="CGL127" s="140"/>
      <c r="CGM127" s="140"/>
      <c r="CGN127" s="140"/>
      <c r="CGO127" s="140"/>
      <c r="CGP127" s="140"/>
      <c r="CGQ127" s="140"/>
      <c r="CGR127" s="140"/>
      <c r="CGS127" s="140"/>
      <c r="CGT127" s="140"/>
      <c r="CGU127" s="140"/>
      <c r="CGV127" s="140"/>
      <c r="CGW127" s="140"/>
      <c r="CGX127" s="140"/>
      <c r="CGY127" s="140"/>
      <c r="CGZ127" s="140"/>
      <c r="CHA127" s="140"/>
      <c r="CHB127" s="140"/>
      <c r="CHC127" s="140"/>
      <c r="CHD127" s="140"/>
      <c r="CHE127" s="140"/>
      <c r="CHF127" s="140"/>
      <c r="CHG127" s="140"/>
      <c r="CHH127" s="140"/>
      <c r="CHI127" s="140"/>
      <c r="CHJ127" s="140"/>
      <c r="CHK127" s="140"/>
      <c r="CHL127" s="140"/>
      <c r="CHM127" s="140"/>
      <c r="CHN127" s="140"/>
      <c r="CHO127" s="140"/>
      <c r="CHP127" s="140"/>
      <c r="CHQ127" s="140"/>
      <c r="CHR127" s="140"/>
      <c r="CHS127" s="140"/>
      <c r="CHT127" s="140"/>
      <c r="CHU127" s="140"/>
      <c r="CHV127" s="140"/>
      <c r="CHW127" s="140"/>
      <c r="CHX127" s="140"/>
      <c r="CHY127" s="140"/>
      <c r="CHZ127" s="140"/>
      <c r="CIA127" s="140"/>
      <c r="CIB127" s="140"/>
      <c r="CIC127" s="140"/>
      <c r="CID127" s="140"/>
      <c r="CIE127" s="140"/>
      <c r="CIF127" s="140"/>
      <c r="CIG127" s="140"/>
      <c r="CIH127" s="140"/>
      <c r="CII127" s="140"/>
      <c r="CIJ127" s="140"/>
      <c r="CIK127" s="140"/>
      <c r="CIL127" s="140"/>
      <c r="CIM127" s="140"/>
      <c r="CIN127" s="140"/>
      <c r="CIO127" s="140"/>
      <c r="CIP127" s="140"/>
      <c r="CIQ127" s="140"/>
      <c r="CIR127" s="140"/>
      <c r="CIS127" s="140"/>
      <c r="CIT127" s="140"/>
      <c r="CIU127" s="140"/>
      <c r="CIV127" s="140"/>
      <c r="CIW127" s="140"/>
      <c r="CIX127" s="140"/>
      <c r="CIY127" s="140"/>
      <c r="CIZ127" s="140"/>
      <c r="CJA127" s="140"/>
      <c r="CJB127" s="140"/>
      <c r="CJC127" s="140"/>
      <c r="CJD127" s="140"/>
      <c r="CJE127" s="140"/>
      <c r="CJF127" s="140"/>
      <c r="CJG127" s="140"/>
      <c r="CJH127" s="140"/>
      <c r="CJI127" s="140"/>
      <c r="CJJ127" s="140"/>
      <c r="CJK127" s="140"/>
      <c r="CJL127" s="140"/>
      <c r="CJM127" s="140"/>
      <c r="CJN127" s="140"/>
      <c r="CJO127" s="140"/>
      <c r="CJP127" s="140"/>
      <c r="CJQ127" s="140"/>
      <c r="CJR127" s="140"/>
      <c r="CJS127" s="140"/>
      <c r="CJT127" s="140"/>
      <c r="CJU127" s="140"/>
      <c r="CJV127" s="140"/>
      <c r="CJW127" s="140"/>
      <c r="CJX127" s="140"/>
      <c r="CJY127" s="140"/>
      <c r="CJZ127" s="140"/>
      <c r="CKA127" s="140"/>
      <c r="CKB127" s="140"/>
      <c r="CKC127" s="140"/>
      <c r="CKD127" s="140"/>
      <c r="CKE127" s="140"/>
      <c r="CKF127" s="140"/>
      <c r="CKG127" s="140"/>
      <c r="CKH127" s="140"/>
      <c r="CKI127" s="140"/>
      <c r="CKJ127" s="140"/>
      <c r="CKK127" s="140"/>
      <c r="CKL127" s="140"/>
      <c r="CKM127" s="140"/>
      <c r="CKN127" s="140"/>
      <c r="CKO127" s="140"/>
      <c r="CKP127" s="140"/>
      <c r="CKQ127" s="140"/>
      <c r="CKR127" s="140"/>
      <c r="CKS127" s="140"/>
      <c r="CKT127" s="140"/>
      <c r="CKU127" s="140"/>
      <c r="CKV127" s="140"/>
      <c r="CKW127" s="140"/>
      <c r="CKX127" s="140"/>
      <c r="CKY127" s="140"/>
      <c r="CKZ127" s="140"/>
      <c r="CLA127" s="140"/>
      <c r="CLB127" s="140"/>
      <c r="CLC127" s="140"/>
      <c r="CLD127" s="140"/>
      <c r="CLE127" s="140"/>
      <c r="CLF127" s="140"/>
      <c r="CLG127" s="140"/>
      <c r="CLH127" s="140"/>
      <c r="CLI127" s="140"/>
      <c r="CLJ127" s="140"/>
      <c r="CLK127" s="140"/>
      <c r="CLL127" s="140"/>
      <c r="CLM127" s="140"/>
      <c r="CLN127" s="140"/>
      <c r="CLO127" s="140"/>
      <c r="CLP127" s="140"/>
      <c r="CLQ127" s="140"/>
      <c r="CLR127" s="140"/>
      <c r="CLS127" s="140"/>
      <c r="CLT127" s="140"/>
      <c r="CLU127" s="140"/>
      <c r="CLV127" s="140"/>
      <c r="CLW127" s="140"/>
      <c r="CLX127" s="140"/>
      <c r="CLY127" s="140"/>
      <c r="CLZ127" s="140"/>
      <c r="CMA127" s="140"/>
      <c r="CMB127" s="140"/>
      <c r="CMC127" s="140"/>
      <c r="CMD127" s="140"/>
      <c r="CME127" s="140"/>
      <c r="CMF127" s="140"/>
      <c r="CMG127" s="140"/>
      <c r="CMH127" s="140"/>
      <c r="CMI127" s="140"/>
      <c r="CMJ127" s="140"/>
      <c r="CMK127" s="140"/>
      <c r="CML127" s="140"/>
      <c r="CMM127" s="140"/>
      <c r="CMN127" s="140"/>
      <c r="CMO127" s="140"/>
      <c r="CMP127" s="140"/>
      <c r="CMQ127" s="140"/>
      <c r="CMR127" s="140"/>
      <c r="CMS127" s="140"/>
      <c r="CMT127" s="140"/>
      <c r="CMU127" s="140"/>
      <c r="CMV127" s="140"/>
      <c r="CMW127" s="140"/>
      <c r="CMX127" s="140"/>
      <c r="CMY127" s="140"/>
      <c r="CMZ127" s="140"/>
      <c r="CNA127" s="140"/>
      <c r="CNB127" s="140"/>
      <c r="CNC127" s="140"/>
      <c r="CND127" s="140"/>
      <c r="CNE127" s="140"/>
      <c r="CNF127" s="140"/>
      <c r="CNG127" s="140"/>
      <c r="CNH127" s="140"/>
      <c r="CNI127" s="140"/>
      <c r="CNJ127" s="140"/>
      <c r="CNK127" s="140"/>
      <c r="CNL127" s="140"/>
      <c r="CNM127" s="140"/>
      <c r="CNN127" s="140"/>
      <c r="CNO127" s="140"/>
      <c r="CNP127" s="140"/>
      <c r="CNQ127" s="140"/>
      <c r="CNR127" s="140"/>
      <c r="CNS127" s="140"/>
      <c r="CNT127" s="140"/>
      <c r="CNU127" s="140"/>
      <c r="CNV127" s="140"/>
      <c r="CNW127" s="140"/>
      <c r="CNX127" s="140"/>
      <c r="CNY127" s="140"/>
      <c r="CNZ127" s="140"/>
      <c r="COA127" s="140"/>
      <c r="COB127" s="140"/>
      <c r="COC127" s="140"/>
      <c r="COD127" s="140"/>
      <c r="COE127" s="140"/>
      <c r="COF127" s="140"/>
      <c r="COG127" s="140"/>
      <c r="COH127" s="140"/>
      <c r="COI127" s="140"/>
      <c r="COJ127" s="140"/>
      <c r="COK127" s="140"/>
      <c r="COL127" s="140"/>
      <c r="COM127" s="140"/>
      <c r="CON127" s="140"/>
      <c r="COO127" s="140"/>
      <c r="COP127" s="140"/>
      <c r="COQ127" s="140"/>
      <c r="COR127" s="140"/>
      <c r="COS127" s="140"/>
      <c r="COT127" s="140"/>
      <c r="COU127" s="140"/>
      <c r="COV127" s="140"/>
      <c r="COW127" s="140"/>
      <c r="COX127" s="140"/>
      <c r="COY127" s="140"/>
      <c r="COZ127" s="140"/>
      <c r="CPA127" s="140"/>
      <c r="CPB127" s="140"/>
      <c r="CPC127" s="140"/>
      <c r="CPD127" s="140"/>
      <c r="CPE127" s="140"/>
      <c r="CPF127" s="140"/>
      <c r="CPG127" s="140"/>
      <c r="CPH127" s="140"/>
      <c r="CPI127" s="140"/>
      <c r="CPJ127" s="140"/>
      <c r="CPK127" s="140"/>
      <c r="CPL127" s="140"/>
      <c r="CPM127" s="140"/>
      <c r="CPN127" s="140"/>
      <c r="CPO127" s="140"/>
      <c r="CPP127" s="140"/>
      <c r="CPQ127" s="140"/>
      <c r="CPR127" s="140"/>
      <c r="CPS127" s="140"/>
      <c r="CPT127" s="140"/>
      <c r="CPU127" s="140"/>
      <c r="CPV127" s="140"/>
      <c r="CPW127" s="140"/>
      <c r="CPX127" s="140"/>
      <c r="CPY127" s="140"/>
      <c r="CPZ127" s="140"/>
      <c r="CQA127" s="140"/>
      <c r="CQB127" s="140"/>
      <c r="CQC127" s="140"/>
      <c r="CQD127" s="140"/>
      <c r="CQE127" s="140"/>
      <c r="CQF127" s="140"/>
      <c r="CQG127" s="140"/>
      <c r="CQH127" s="140"/>
      <c r="CQI127" s="140"/>
      <c r="CQJ127" s="140"/>
      <c r="CQK127" s="140"/>
      <c r="CQL127" s="140"/>
      <c r="CQM127" s="140"/>
      <c r="CQN127" s="140"/>
      <c r="CQO127" s="140"/>
      <c r="CQP127" s="140"/>
      <c r="CQQ127" s="140"/>
      <c r="CQR127" s="140"/>
      <c r="CQS127" s="140"/>
      <c r="CQT127" s="140"/>
      <c r="CQU127" s="140"/>
      <c r="CQV127" s="140"/>
      <c r="CQW127" s="140"/>
      <c r="CQX127" s="140"/>
      <c r="CQY127" s="140"/>
      <c r="CQZ127" s="140"/>
      <c r="CRA127" s="140"/>
      <c r="CRB127" s="140"/>
      <c r="CRC127" s="140"/>
      <c r="CRD127" s="140"/>
      <c r="CRE127" s="140"/>
      <c r="CRF127" s="140"/>
      <c r="CRG127" s="140"/>
      <c r="CRH127" s="140"/>
      <c r="CRI127" s="140"/>
      <c r="CRJ127" s="140"/>
      <c r="CRK127" s="140"/>
      <c r="CRL127" s="140"/>
      <c r="CRM127" s="140"/>
      <c r="CRN127" s="140"/>
      <c r="CRO127" s="140"/>
      <c r="CRP127" s="140"/>
      <c r="CRQ127" s="140"/>
      <c r="CRR127" s="140"/>
      <c r="CRS127" s="140"/>
      <c r="CRT127" s="140"/>
      <c r="CRU127" s="140"/>
      <c r="CRV127" s="140"/>
      <c r="CRW127" s="140"/>
      <c r="CRX127" s="140"/>
      <c r="CRY127" s="140"/>
      <c r="CRZ127" s="140"/>
      <c r="CSA127" s="140"/>
      <c r="CSB127" s="140"/>
      <c r="CSC127" s="140"/>
      <c r="CSD127" s="140"/>
      <c r="CSE127" s="140"/>
      <c r="CSF127" s="140"/>
      <c r="CSG127" s="140"/>
      <c r="CSH127" s="140"/>
      <c r="CSI127" s="140"/>
      <c r="CSJ127" s="140"/>
      <c r="CSK127" s="140"/>
      <c r="CSL127" s="140"/>
      <c r="CSM127" s="140"/>
      <c r="CSN127" s="140"/>
      <c r="CSO127" s="140"/>
      <c r="CSP127" s="140"/>
      <c r="CSQ127" s="140"/>
      <c r="CSR127" s="140"/>
      <c r="CSS127" s="140"/>
      <c r="CST127" s="140"/>
      <c r="CSU127" s="140"/>
      <c r="CSV127" s="140"/>
      <c r="CSW127" s="140"/>
      <c r="CSX127" s="140"/>
      <c r="CSY127" s="140"/>
      <c r="CSZ127" s="140"/>
      <c r="CTA127" s="140"/>
      <c r="CTB127" s="140"/>
      <c r="CTC127" s="140"/>
      <c r="CTD127" s="140"/>
      <c r="CTE127" s="140"/>
      <c r="CTF127" s="140"/>
      <c r="CTG127" s="140"/>
      <c r="CTH127" s="140"/>
      <c r="CTI127" s="140"/>
      <c r="CTJ127" s="140"/>
      <c r="CTK127" s="140"/>
      <c r="CTL127" s="140"/>
      <c r="CTM127" s="140"/>
      <c r="CTN127" s="140"/>
      <c r="CTO127" s="140"/>
      <c r="CTP127" s="140"/>
      <c r="CTQ127" s="140"/>
      <c r="CTR127" s="140"/>
      <c r="CTS127" s="140"/>
      <c r="CTT127" s="140"/>
      <c r="CTU127" s="140"/>
      <c r="CTV127" s="140"/>
      <c r="CTW127" s="140"/>
      <c r="CTX127" s="140"/>
      <c r="CTY127" s="140"/>
      <c r="CTZ127" s="140"/>
      <c r="CUA127" s="140"/>
      <c r="CUB127" s="140"/>
      <c r="CUC127" s="140"/>
      <c r="CUD127" s="140"/>
      <c r="CUE127" s="140"/>
      <c r="CUF127" s="140"/>
      <c r="CUG127" s="140"/>
      <c r="CUH127" s="140"/>
      <c r="CUI127" s="140"/>
      <c r="CUJ127" s="140"/>
      <c r="CUK127" s="140"/>
      <c r="CUL127" s="140"/>
      <c r="CUM127" s="140"/>
      <c r="CUN127" s="140"/>
      <c r="CUO127" s="140"/>
      <c r="CUP127" s="140"/>
      <c r="CUQ127" s="140"/>
      <c r="CUR127" s="140"/>
      <c r="CUS127" s="140"/>
      <c r="CUT127" s="140"/>
      <c r="CUU127" s="140"/>
      <c r="CUV127" s="140"/>
      <c r="CUW127" s="140"/>
      <c r="CUX127" s="140"/>
      <c r="CUY127" s="140"/>
      <c r="CUZ127" s="140"/>
      <c r="CVA127" s="140"/>
      <c r="CVB127" s="140"/>
      <c r="CVC127" s="140"/>
      <c r="CVD127" s="140"/>
      <c r="CVE127" s="140"/>
      <c r="CVF127" s="140"/>
      <c r="CVG127" s="140"/>
      <c r="CVH127" s="140"/>
      <c r="CVI127" s="140"/>
      <c r="CVJ127" s="140"/>
      <c r="CVK127" s="140"/>
      <c r="CVL127" s="140"/>
      <c r="CVM127" s="140"/>
      <c r="CVN127" s="140"/>
      <c r="CVO127" s="140"/>
      <c r="CVP127" s="140"/>
      <c r="CVQ127" s="140"/>
      <c r="CVR127" s="140"/>
      <c r="CVS127" s="140"/>
      <c r="CVT127" s="140"/>
      <c r="CVU127" s="140"/>
      <c r="CVV127" s="140"/>
      <c r="CVW127" s="140"/>
      <c r="CVX127" s="140"/>
      <c r="CVY127" s="140"/>
      <c r="CVZ127" s="140"/>
      <c r="CWA127" s="140"/>
      <c r="CWB127" s="140"/>
      <c r="CWC127" s="140"/>
      <c r="CWD127" s="140"/>
      <c r="CWE127" s="140"/>
      <c r="CWF127" s="140"/>
      <c r="CWG127" s="140"/>
      <c r="CWH127" s="140"/>
      <c r="CWI127" s="140"/>
      <c r="CWJ127" s="140"/>
      <c r="CWK127" s="140"/>
      <c r="CWL127" s="140"/>
      <c r="CWM127" s="140"/>
      <c r="CWN127" s="140"/>
      <c r="CWO127" s="140"/>
      <c r="CWP127" s="140"/>
      <c r="CWQ127" s="140"/>
      <c r="CWR127" s="140"/>
      <c r="CWS127" s="140"/>
      <c r="CWT127" s="140"/>
      <c r="CWU127" s="140"/>
      <c r="CWV127" s="140"/>
      <c r="CWW127" s="140"/>
      <c r="CWX127" s="140"/>
      <c r="CWY127" s="140"/>
      <c r="CWZ127" s="140"/>
      <c r="CXA127" s="140"/>
      <c r="CXB127" s="140"/>
      <c r="CXC127" s="140"/>
      <c r="CXD127" s="140"/>
      <c r="CXE127" s="140"/>
      <c r="CXF127" s="140"/>
      <c r="CXG127" s="140"/>
      <c r="CXH127" s="140"/>
      <c r="CXI127" s="140"/>
      <c r="CXJ127" s="140"/>
      <c r="CXK127" s="140"/>
      <c r="CXL127" s="140"/>
      <c r="CXM127" s="140"/>
      <c r="CXN127" s="140"/>
      <c r="CXO127" s="140"/>
      <c r="CXP127" s="140"/>
      <c r="CXQ127" s="140"/>
      <c r="CXR127" s="140"/>
      <c r="CXS127" s="140"/>
      <c r="CXT127" s="140"/>
      <c r="CXU127" s="140"/>
      <c r="CXV127" s="140"/>
      <c r="CXW127" s="140"/>
      <c r="CXX127" s="140"/>
      <c r="CXY127" s="140"/>
      <c r="CXZ127" s="140"/>
      <c r="CYA127" s="140"/>
      <c r="CYB127" s="140"/>
      <c r="CYC127" s="140"/>
      <c r="CYD127" s="140"/>
      <c r="CYE127" s="140"/>
      <c r="CYF127" s="140"/>
      <c r="CYG127" s="140"/>
      <c r="CYH127" s="140"/>
      <c r="CYI127" s="140"/>
      <c r="CYJ127" s="140"/>
      <c r="CYK127" s="140"/>
      <c r="CYL127" s="140"/>
      <c r="CYM127" s="140"/>
      <c r="CYN127" s="140"/>
      <c r="CYO127" s="140"/>
      <c r="CYP127" s="140"/>
      <c r="CYQ127" s="140"/>
      <c r="CYR127" s="140"/>
      <c r="CYS127" s="140"/>
      <c r="CYT127" s="140"/>
      <c r="CYU127" s="140"/>
      <c r="CYV127" s="140"/>
      <c r="CYW127" s="140"/>
      <c r="CYX127" s="140"/>
      <c r="CYY127" s="140"/>
      <c r="CYZ127" s="140"/>
      <c r="CZA127" s="140"/>
      <c r="CZB127" s="140"/>
      <c r="CZC127" s="140"/>
      <c r="CZD127" s="140"/>
      <c r="CZE127" s="140"/>
      <c r="CZF127" s="140"/>
      <c r="CZG127" s="140"/>
      <c r="CZH127" s="140"/>
      <c r="CZI127" s="140"/>
      <c r="CZJ127" s="140"/>
      <c r="CZK127" s="140"/>
      <c r="CZL127" s="140"/>
      <c r="CZM127" s="140"/>
      <c r="CZN127" s="140"/>
      <c r="CZO127" s="140"/>
      <c r="CZP127" s="140"/>
      <c r="CZQ127" s="140"/>
      <c r="CZR127" s="140"/>
      <c r="CZS127" s="140"/>
      <c r="CZT127" s="140"/>
      <c r="CZU127" s="140"/>
      <c r="CZV127" s="140"/>
      <c r="CZW127" s="140"/>
      <c r="CZX127" s="140"/>
      <c r="CZY127" s="140"/>
      <c r="CZZ127" s="140"/>
      <c r="DAA127" s="140"/>
      <c r="DAB127" s="140"/>
      <c r="DAC127" s="140"/>
      <c r="DAD127" s="140"/>
      <c r="DAE127" s="140"/>
      <c r="DAF127" s="140"/>
      <c r="DAG127" s="140"/>
      <c r="DAH127" s="140"/>
      <c r="DAI127" s="140"/>
      <c r="DAJ127" s="140"/>
      <c r="DAK127" s="140"/>
      <c r="DAL127" s="140"/>
      <c r="DAM127" s="140"/>
      <c r="DAN127" s="140"/>
      <c r="DAO127" s="140"/>
      <c r="DAP127" s="140"/>
      <c r="DAQ127" s="140"/>
      <c r="DAR127" s="140"/>
      <c r="DAS127" s="140"/>
      <c r="DAT127" s="140"/>
      <c r="DAU127" s="140"/>
      <c r="DAV127" s="140"/>
      <c r="DAW127" s="140"/>
      <c r="DAX127" s="140"/>
      <c r="DAY127" s="140"/>
      <c r="DAZ127" s="140"/>
      <c r="DBA127" s="140"/>
      <c r="DBB127" s="140"/>
      <c r="DBC127" s="140"/>
      <c r="DBD127" s="140"/>
      <c r="DBE127" s="140"/>
      <c r="DBF127" s="140"/>
      <c r="DBG127" s="140"/>
      <c r="DBH127" s="140"/>
      <c r="DBI127" s="140"/>
      <c r="DBJ127" s="140"/>
      <c r="DBK127" s="140"/>
      <c r="DBL127" s="140"/>
      <c r="DBM127" s="140"/>
      <c r="DBN127" s="140"/>
      <c r="DBO127" s="140"/>
      <c r="DBP127" s="140"/>
      <c r="DBQ127" s="140"/>
      <c r="DBR127" s="140"/>
      <c r="DBS127" s="140"/>
      <c r="DBT127" s="140"/>
      <c r="DBU127" s="140"/>
      <c r="DBV127" s="140"/>
      <c r="DBW127" s="140"/>
      <c r="DBX127" s="140"/>
      <c r="DBY127" s="140"/>
      <c r="DBZ127" s="140"/>
      <c r="DCA127" s="140"/>
      <c r="DCB127" s="140"/>
      <c r="DCC127" s="140"/>
      <c r="DCD127" s="140"/>
      <c r="DCE127" s="140"/>
      <c r="DCF127" s="140"/>
      <c r="DCG127" s="140"/>
      <c r="DCH127" s="140"/>
      <c r="DCI127" s="140"/>
      <c r="DCJ127" s="140"/>
      <c r="DCK127" s="140"/>
      <c r="DCL127" s="140"/>
      <c r="DCM127" s="140"/>
      <c r="DCN127" s="140"/>
      <c r="DCO127" s="140"/>
      <c r="DCP127" s="140"/>
      <c r="DCQ127" s="140"/>
      <c r="DCR127" s="140"/>
      <c r="DCS127" s="140"/>
      <c r="DCT127" s="140"/>
      <c r="DCU127" s="140"/>
      <c r="DCV127" s="140"/>
      <c r="DCW127" s="140"/>
      <c r="DCX127" s="140"/>
      <c r="DCY127" s="140"/>
      <c r="DCZ127" s="140"/>
      <c r="DDA127" s="140"/>
      <c r="DDB127" s="140"/>
      <c r="DDC127" s="140"/>
      <c r="DDD127" s="140"/>
      <c r="DDE127" s="140"/>
      <c r="DDF127" s="140"/>
      <c r="DDG127" s="140"/>
      <c r="DDH127" s="140"/>
      <c r="DDI127" s="140"/>
      <c r="DDJ127" s="140"/>
      <c r="DDK127" s="140"/>
      <c r="DDL127" s="140"/>
      <c r="DDM127" s="140"/>
      <c r="DDN127" s="140"/>
      <c r="DDO127" s="140"/>
      <c r="DDP127" s="140"/>
      <c r="DDQ127" s="140"/>
      <c r="DDR127" s="140"/>
      <c r="DDS127" s="140"/>
      <c r="DDT127" s="140"/>
      <c r="DDU127" s="140"/>
      <c r="DDV127" s="140"/>
      <c r="DDW127" s="140"/>
      <c r="DDX127" s="140"/>
      <c r="DDY127" s="140"/>
      <c r="DDZ127" s="140"/>
      <c r="DEA127" s="140"/>
      <c r="DEB127" s="140"/>
      <c r="DEC127" s="140"/>
      <c r="DED127" s="140"/>
      <c r="DEE127" s="140"/>
      <c r="DEF127" s="140"/>
      <c r="DEG127" s="140"/>
      <c r="DEH127" s="140"/>
      <c r="DEI127" s="140"/>
      <c r="DEJ127" s="140"/>
      <c r="DEK127" s="140"/>
      <c r="DEL127" s="140"/>
      <c r="DEM127" s="140"/>
      <c r="DEN127" s="140"/>
      <c r="DEO127" s="140"/>
      <c r="DEP127" s="140"/>
      <c r="DEQ127" s="140"/>
      <c r="DER127" s="140"/>
      <c r="DES127" s="140"/>
      <c r="DET127" s="140"/>
      <c r="DEU127" s="140"/>
      <c r="DEV127" s="140"/>
      <c r="DEW127" s="140"/>
      <c r="DEX127" s="140"/>
      <c r="DEY127" s="140"/>
      <c r="DEZ127" s="140"/>
      <c r="DFA127" s="140"/>
      <c r="DFB127" s="140"/>
      <c r="DFC127" s="140"/>
      <c r="DFD127" s="140"/>
      <c r="DFE127" s="140"/>
      <c r="DFF127" s="140"/>
      <c r="DFG127" s="140"/>
      <c r="DFH127" s="140"/>
      <c r="DFI127" s="140"/>
      <c r="DFJ127" s="140"/>
      <c r="DFK127" s="140"/>
      <c r="DFL127" s="140"/>
      <c r="DFM127" s="140"/>
      <c r="DFN127" s="140"/>
      <c r="DFO127" s="140"/>
      <c r="DFP127" s="140"/>
      <c r="DFQ127" s="140"/>
      <c r="DFR127" s="140"/>
      <c r="DFS127" s="140"/>
      <c r="DFT127" s="140"/>
      <c r="DFU127" s="140"/>
      <c r="DFV127" s="140"/>
      <c r="DFW127" s="140"/>
      <c r="DFX127" s="140"/>
      <c r="DFY127" s="140"/>
      <c r="DFZ127" s="140"/>
      <c r="DGA127" s="140"/>
      <c r="DGB127" s="140"/>
      <c r="DGC127" s="140"/>
      <c r="DGD127" s="140"/>
      <c r="DGE127" s="140"/>
      <c r="DGF127" s="140"/>
      <c r="DGG127" s="140"/>
      <c r="DGH127" s="140"/>
      <c r="DGI127" s="140"/>
      <c r="DGJ127" s="140"/>
      <c r="DGK127" s="140"/>
      <c r="DGL127" s="140"/>
      <c r="DGM127" s="140"/>
      <c r="DGN127" s="140"/>
      <c r="DGO127" s="140"/>
      <c r="DGP127" s="140"/>
      <c r="DGQ127" s="140"/>
      <c r="DGR127" s="140"/>
      <c r="DGS127" s="140"/>
      <c r="DGT127" s="140"/>
      <c r="DGU127" s="140"/>
      <c r="DGV127" s="140"/>
      <c r="DGW127" s="140"/>
      <c r="DGX127" s="140"/>
      <c r="DGY127" s="140"/>
      <c r="DGZ127" s="140"/>
      <c r="DHA127" s="140"/>
      <c r="DHB127" s="140"/>
      <c r="DHC127" s="140"/>
      <c r="DHD127" s="140"/>
      <c r="DHE127" s="140"/>
      <c r="DHF127" s="140"/>
      <c r="DHG127" s="140"/>
      <c r="DHH127" s="140"/>
      <c r="DHI127" s="140"/>
      <c r="DHJ127" s="140"/>
      <c r="DHK127" s="140"/>
      <c r="DHL127" s="140"/>
      <c r="DHM127" s="140"/>
      <c r="DHN127" s="140"/>
      <c r="DHO127" s="140"/>
      <c r="DHP127" s="140"/>
      <c r="DHQ127" s="140"/>
      <c r="DHR127" s="140"/>
      <c r="DHS127" s="140"/>
      <c r="DHT127" s="140"/>
      <c r="DHU127" s="140"/>
      <c r="DHV127" s="140"/>
      <c r="DHW127" s="140"/>
      <c r="DHX127" s="140"/>
      <c r="DHY127" s="140"/>
      <c r="DHZ127" s="140"/>
      <c r="DIA127" s="140"/>
      <c r="DIB127" s="140"/>
      <c r="DIC127" s="140"/>
      <c r="DID127" s="140"/>
      <c r="DIE127" s="140"/>
      <c r="DIF127" s="140"/>
      <c r="DIG127" s="140"/>
      <c r="DIH127" s="140"/>
      <c r="DII127" s="140"/>
      <c r="DIJ127" s="140"/>
      <c r="DIK127" s="140"/>
      <c r="DIL127" s="140"/>
      <c r="DIM127" s="140"/>
      <c r="DIN127" s="140"/>
      <c r="DIO127" s="140"/>
      <c r="DIP127" s="140"/>
      <c r="DIQ127" s="140"/>
      <c r="DIR127" s="140"/>
      <c r="DIS127" s="140"/>
      <c r="DIT127" s="140"/>
      <c r="DIU127" s="140"/>
      <c r="DIV127" s="140"/>
      <c r="DIW127" s="140"/>
      <c r="DIX127" s="140"/>
      <c r="DIY127" s="140"/>
      <c r="DIZ127" s="140"/>
      <c r="DJA127" s="140"/>
      <c r="DJB127" s="140"/>
      <c r="DJC127" s="140"/>
      <c r="DJD127" s="140"/>
      <c r="DJE127" s="140"/>
      <c r="DJF127" s="140"/>
      <c r="DJG127" s="140"/>
      <c r="DJH127" s="140"/>
      <c r="DJI127" s="140"/>
      <c r="DJJ127" s="140"/>
      <c r="DJK127" s="140"/>
      <c r="DJL127" s="140"/>
      <c r="DJM127" s="140"/>
      <c r="DJN127" s="140"/>
      <c r="DJO127" s="140"/>
      <c r="DJP127" s="140"/>
      <c r="DJQ127" s="140"/>
      <c r="DJR127" s="140"/>
      <c r="DJS127" s="140"/>
      <c r="DJT127" s="140"/>
      <c r="DJU127" s="140"/>
      <c r="DJV127" s="140"/>
      <c r="DJW127" s="140"/>
      <c r="DJX127" s="140"/>
      <c r="DJY127" s="140"/>
      <c r="DJZ127" s="140"/>
      <c r="DKA127" s="140"/>
      <c r="DKB127" s="140"/>
      <c r="DKC127" s="140"/>
      <c r="DKD127" s="140"/>
      <c r="DKE127" s="140"/>
      <c r="DKF127" s="140"/>
      <c r="DKG127" s="140"/>
      <c r="DKH127" s="140"/>
      <c r="DKI127" s="140"/>
      <c r="DKJ127" s="140"/>
      <c r="DKK127" s="140"/>
      <c r="DKL127" s="140"/>
      <c r="DKM127" s="140"/>
      <c r="DKN127" s="140"/>
      <c r="DKO127" s="140"/>
      <c r="DKP127" s="140"/>
      <c r="DKQ127" s="140"/>
      <c r="DKR127" s="140"/>
      <c r="DKS127" s="140"/>
      <c r="DKT127" s="140"/>
      <c r="DKU127" s="140"/>
      <c r="DKV127" s="140"/>
      <c r="DKW127" s="140"/>
      <c r="DKX127" s="140"/>
      <c r="DKY127" s="140"/>
      <c r="DKZ127" s="140"/>
      <c r="DLA127" s="140"/>
      <c r="DLB127" s="140"/>
      <c r="DLC127" s="140"/>
      <c r="DLD127" s="140"/>
      <c r="DLE127" s="140"/>
      <c r="DLF127" s="140"/>
      <c r="DLG127" s="140"/>
      <c r="DLH127" s="140"/>
      <c r="DLI127" s="140"/>
      <c r="DLJ127" s="140"/>
      <c r="DLK127" s="140"/>
      <c r="DLL127" s="140"/>
      <c r="DLM127" s="140"/>
      <c r="DLN127" s="140"/>
      <c r="DLO127" s="140"/>
      <c r="DLP127" s="140"/>
      <c r="DLQ127" s="140"/>
      <c r="DLR127" s="140"/>
      <c r="DLS127" s="140"/>
      <c r="DLT127" s="140"/>
      <c r="DLU127" s="140"/>
      <c r="DLV127" s="140"/>
      <c r="DLW127" s="140"/>
      <c r="DLX127" s="140"/>
      <c r="DLY127" s="140"/>
      <c r="DLZ127" s="140"/>
      <c r="DMA127" s="140"/>
      <c r="DMB127" s="140"/>
      <c r="DMC127" s="140"/>
      <c r="DMD127" s="140"/>
      <c r="DME127" s="140"/>
      <c r="DMF127" s="140"/>
      <c r="DMG127" s="140"/>
      <c r="DMH127" s="140"/>
      <c r="DMI127" s="140"/>
      <c r="DMJ127" s="140"/>
      <c r="DMK127" s="140"/>
      <c r="DML127" s="140"/>
      <c r="DMM127" s="140"/>
      <c r="DMN127" s="140"/>
      <c r="DMO127" s="140"/>
      <c r="DMP127" s="140"/>
      <c r="DMQ127" s="140"/>
      <c r="DMR127" s="140"/>
      <c r="DMS127" s="140"/>
      <c r="DMT127" s="140"/>
      <c r="DMU127" s="140"/>
      <c r="DMV127" s="140"/>
      <c r="DMW127" s="140"/>
      <c r="DMX127" s="140"/>
      <c r="DMY127" s="140"/>
      <c r="DMZ127" s="140"/>
      <c r="DNA127" s="140"/>
      <c r="DNB127" s="140"/>
      <c r="DNC127" s="140"/>
      <c r="DND127" s="140"/>
      <c r="DNE127" s="140"/>
      <c r="DNF127" s="140"/>
      <c r="DNG127" s="140"/>
      <c r="DNH127" s="140"/>
      <c r="DNI127" s="140"/>
      <c r="DNJ127" s="140"/>
      <c r="DNK127" s="140"/>
      <c r="DNL127" s="140"/>
      <c r="DNM127" s="140"/>
      <c r="DNN127" s="140"/>
      <c r="DNO127" s="140"/>
      <c r="DNP127" s="140"/>
      <c r="DNQ127" s="140"/>
      <c r="DNR127" s="140"/>
      <c r="DNS127" s="140"/>
      <c r="DNT127" s="140"/>
      <c r="DNU127" s="140"/>
      <c r="DNV127" s="140"/>
      <c r="DNW127" s="140"/>
      <c r="DNX127" s="140"/>
      <c r="DNY127" s="140"/>
      <c r="DNZ127" s="140"/>
      <c r="DOA127" s="140"/>
      <c r="DOB127" s="140"/>
      <c r="DOC127" s="140"/>
      <c r="DOD127" s="140"/>
      <c r="DOE127" s="140"/>
      <c r="DOF127" s="140"/>
      <c r="DOG127" s="140"/>
      <c r="DOH127" s="140"/>
      <c r="DOI127" s="140"/>
      <c r="DOJ127" s="140"/>
      <c r="DOK127" s="140"/>
      <c r="DOL127" s="140"/>
      <c r="DOM127" s="140"/>
      <c r="DON127" s="140"/>
      <c r="DOO127" s="140"/>
      <c r="DOP127" s="140"/>
      <c r="DOQ127" s="140"/>
      <c r="DOR127" s="140"/>
      <c r="DOS127" s="140"/>
      <c r="DOT127" s="140"/>
      <c r="DOU127" s="140"/>
      <c r="DOV127" s="140"/>
      <c r="DOW127" s="140"/>
      <c r="DOX127" s="140"/>
      <c r="DOY127" s="140"/>
      <c r="DOZ127" s="140"/>
      <c r="DPA127" s="140"/>
      <c r="DPB127" s="140"/>
      <c r="DPC127" s="140"/>
      <c r="DPD127" s="140"/>
      <c r="DPE127" s="140"/>
      <c r="DPF127" s="140"/>
      <c r="DPG127" s="140"/>
      <c r="DPH127" s="140"/>
      <c r="DPI127" s="140"/>
      <c r="DPJ127" s="140"/>
      <c r="DPK127" s="140"/>
      <c r="DPL127" s="140"/>
      <c r="DPM127" s="140"/>
      <c r="DPN127" s="140"/>
      <c r="DPO127" s="140"/>
      <c r="DPP127" s="140"/>
      <c r="DPQ127" s="140"/>
      <c r="DPR127" s="140"/>
      <c r="DPS127" s="140"/>
      <c r="DPT127" s="140"/>
      <c r="DPU127" s="140"/>
      <c r="DPV127" s="140"/>
      <c r="DPW127" s="140"/>
      <c r="DPX127" s="140"/>
      <c r="DPY127" s="140"/>
      <c r="DPZ127" s="140"/>
      <c r="DQA127" s="140"/>
      <c r="DQB127" s="140"/>
      <c r="DQC127" s="140"/>
      <c r="DQD127" s="140"/>
      <c r="DQE127" s="140"/>
      <c r="DQF127" s="140"/>
      <c r="DQG127" s="140"/>
      <c r="DQH127" s="140"/>
      <c r="DQI127" s="140"/>
      <c r="DQJ127" s="140"/>
      <c r="DQK127" s="140"/>
      <c r="DQL127" s="140"/>
      <c r="DQM127" s="140"/>
      <c r="DQN127" s="140"/>
      <c r="DQO127" s="140"/>
      <c r="DQP127" s="140"/>
      <c r="DQQ127" s="140"/>
      <c r="DQR127" s="140"/>
      <c r="DQS127" s="140"/>
      <c r="DQT127" s="140"/>
      <c r="DQU127" s="140"/>
      <c r="DQV127" s="140"/>
      <c r="DQW127" s="140"/>
      <c r="DQX127" s="140"/>
      <c r="DQY127" s="140"/>
      <c r="DQZ127" s="140"/>
      <c r="DRA127" s="140"/>
      <c r="DRB127" s="140"/>
      <c r="DRC127" s="140"/>
      <c r="DRD127" s="140"/>
      <c r="DRE127" s="140"/>
      <c r="DRF127" s="140"/>
      <c r="DRG127" s="140"/>
      <c r="DRH127" s="140"/>
      <c r="DRI127" s="140"/>
      <c r="DRJ127" s="140"/>
      <c r="DRK127" s="140"/>
      <c r="DRL127" s="140"/>
      <c r="DRM127" s="140"/>
      <c r="DRN127" s="140"/>
      <c r="DRO127" s="140"/>
      <c r="DRP127" s="140"/>
      <c r="DRQ127" s="140"/>
      <c r="DRR127" s="140"/>
      <c r="DRS127" s="140"/>
      <c r="DRT127" s="140"/>
      <c r="DRU127" s="140"/>
      <c r="DRV127" s="140"/>
      <c r="DRW127" s="140"/>
      <c r="DRX127" s="140"/>
      <c r="DRY127" s="140"/>
      <c r="DRZ127" s="140"/>
      <c r="DSA127" s="140"/>
      <c r="DSB127" s="140"/>
      <c r="DSC127" s="140"/>
      <c r="DSD127" s="140"/>
      <c r="DSE127" s="140"/>
      <c r="DSF127" s="140"/>
      <c r="DSG127" s="140"/>
      <c r="DSH127" s="140"/>
      <c r="DSI127" s="140"/>
      <c r="DSJ127" s="140"/>
      <c r="DSK127" s="140"/>
      <c r="DSL127" s="140"/>
      <c r="DSM127" s="140"/>
      <c r="DSN127" s="140"/>
      <c r="DSO127" s="140"/>
      <c r="DSP127" s="140"/>
      <c r="DSQ127" s="140"/>
      <c r="DSR127" s="140"/>
      <c r="DSS127" s="140"/>
      <c r="DST127" s="140"/>
      <c r="DSU127" s="140"/>
      <c r="DSV127" s="140"/>
      <c r="DSW127" s="140"/>
      <c r="DSX127" s="140"/>
      <c r="DSY127" s="140"/>
      <c r="DSZ127" s="140"/>
      <c r="DTA127" s="140"/>
      <c r="DTB127" s="140"/>
      <c r="DTC127" s="140"/>
      <c r="DTD127" s="140"/>
      <c r="DTE127" s="140"/>
      <c r="DTF127" s="140"/>
      <c r="DTG127" s="140"/>
      <c r="DTH127" s="140"/>
      <c r="DTI127" s="140"/>
      <c r="DTJ127" s="140"/>
      <c r="DTK127" s="140"/>
      <c r="DTL127" s="140"/>
      <c r="DTM127" s="140"/>
      <c r="DTN127" s="140"/>
      <c r="DTO127" s="140"/>
      <c r="DTP127" s="140"/>
      <c r="DTQ127" s="140"/>
      <c r="DTR127" s="140"/>
      <c r="DTS127" s="140"/>
      <c r="DTT127" s="140"/>
      <c r="DTU127" s="140"/>
      <c r="DTV127" s="140"/>
      <c r="DTW127" s="140"/>
      <c r="DTX127" s="140"/>
      <c r="DTY127" s="140"/>
      <c r="DTZ127" s="140"/>
      <c r="DUA127" s="140"/>
      <c r="DUB127" s="140"/>
      <c r="DUC127" s="140"/>
      <c r="DUD127" s="140"/>
      <c r="DUE127" s="140"/>
      <c r="DUF127" s="140"/>
      <c r="DUG127" s="140"/>
      <c r="DUH127" s="140"/>
      <c r="DUI127" s="140"/>
      <c r="DUJ127" s="140"/>
      <c r="DUK127" s="140"/>
      <c r="DUL127" s="140"/>
      <c r="DUM127" s="140"/>
      <c r="DUN127" s="140"/>
      <c r="DUO127" s="140"/>
      <c r="DUP127" s="140"/>
      <c r="DUQ127" s="140"/>
      <c r="DUR127" s="140"/>
      <c r="DUS127" s="140"/>
      <c r="DUT127" s="140"/>
      <c r="DUU127" s="140"/>
      <c r="DUV127" s="140"/>
      <c r="DUW127" s="140"/>
      <c r="DUX127" s="140"/>
      <c r="DUY127" s="140"/>
      <c r="DUZ127" s="140"/>
      <c r="DVA127" s="140"/>
      <c r="DVB127" s="140"/>
      <c r="DVC127" s="140"/>
      <c r="DVD127" s="140"/>
      <c r="DVE127" s="140"/>
      <c r="DVF127" s="140"/>
      <c r="DVG127" s="140"/>
      <c r="DVH127" s="140"/>
      <c r="DVI127" s="140"/>
      <c r="DVJ127" s="140"/>
      <c r="DVK127" s="140"/>
      <c r="DVL127" s="140"/>
      <c r="DVM127" s="140"/>
      <c r="DVN127" s="140"/>
      <c r="DVO127" s="140"/>
      <c r="DVP127" s="140"/>
      <c r="DVQ127" s="140"/>
      <c r="DVR127" s="140"/>
      <c r="DVS127" s="140"/>
      <c r="DVT127" s="140"/>
      <c r="DVU127" s="140"/>
      <c r="DVV127" s="140"/>
      <c r="DVW127" s="140"/>
      <c r="DVX127" s="140"/>
      <c r="DVY127" s="140"/>
      <c r="DVZ127" s="140"/>
      <c r="DWA127" s="140"/>
      <c r="DWB127" s="140"/>
      <c r="DWC127" s="140"/>
      <c r="DWD127" s="140"/>
      <c r="DWE127" s="140"/>
      <c r="DWF127" s="140"/>
      <c r="DWG127" s="140"/>
      <c r="DWH127" s="140"/>
      <c r="DWI127" s="140"/>
      <c r="DWJ127" s="140"/>
      <c r="DWK127" s="140"/>
      <c r="DWL127" s="140"/>
      <c r="DWM127" s="140"/>
      <c r="DWN127" s="140"/>
      <c r="DWO127" s="140"/>
      <c r="DWP127" s="140"/>
      <c r="DWQ127" s="140"/>
      <c r="DWR127" s="140"/>
      <c r="DWS127" s="140"/>
      <c r="DWT127" s="140"/>
      <c r="DWU127" s="140"/>
      <c r="DWV127" s="140"/>
      <c r="DWW127" s="140"/>
      <c r="DWX127" s="140"/>
      <c r="DWY127" s="140"/>
      <c r="DWZ127" s="140"/>
      <c r="DXA127" s="140"/>
      <c r="DXB127" s="140"/>
      <c r="DXC127" s="140"/>
      <c r="DXD127" s="140"/>
      <c r="DXE127" s="140"/>
      <c r="DXF127" s="140"/>
      <c r="DXG127" s="140"/>
      <c r="DXH127" s="140"/>
      <c r="DXI127" s="140"/>
      <c r="DXJ127" s="140"/>
      <c r="DXK127" s="140"/>
      <c r="DXL127" s="140"/>
      <c r="DXM127" s="140"/>
      <c r="DXN127" s="140"/>
      <c r="DXO127" s="140"/>
      <c r="DXP127" s="140"/>
      <c r="DXQ127" s="140"/>
      <c r="DXR127" s="140"/>
      <c r="DXS127" s="140"/>
      <c r="DXT127" s="140"/>
      <c r="DXU127" s="140"/>
      <c r="DXV127" s="140"/>
      <c r="DXW127" s="140"/>
      <c r="DXX127" s="140"/>
      <c r="DXY127" s="140"/>
      <c r="DXZ127" s="140"/>
      <c r="DYA127" s="140"/>
      <c r="DYB127" s="140"/>
      <c r="DYC127" s="140"/>
      <c r="DYD127" s="140"/>
      <c r="DYE127" s="140"/>
      <c r="DYF127" s="140"/>
      <c r="DYG127" s="140"/>
      <c r="DYH127" s="140"/>
      <c r="DYI127" s="140"/>
      <c r="DYJ127" s="140"/>
      <c r="DYK127" s="140"/>
      <c r="DYL127" s="140"/>
      <c r="DYM127" s="140"/>
      <c r="DYN127" s="140"/>
      <c r="DYO127" s="140"/>
      <c r="DYP127" s="140"/>
      <c r="DYQ127" s="140"/>
      <c r="DYR127" s="140"/>
      <c r="DYS127" s="140"/>
      <c r="DYT127" s="140"/>
      <c r="DYU127" s="140"/>
      <c r="DYV127" s="140"/>
      <c r="DYW127" s="140"/>
      <c r="DYX127" s="140"/>
      <c r="DYY127" s="140"/>
      <c r="DYZ127" s="140"/>
      <c r="DZA127" s="140"/>
      <c r="DZB127" s="140"/>
      <c r="DZC127" s="140"/>
      <c r="DZD127" s="140"/>
      <c r="DZE127" s="140"/>
      <c r="DZF127" s="140"/>
      <c r="DZG127" s="140"/>
      <c r="DZH127" s="140"/>
      <c r="DZI127" s="140"/>
      <c r="DZJ127" s="140"/>
      <c r="DZK127" s="140"/>
      <c r="DZL127" s="140"/>
      <c r="DZM127" s="140"/>
      <c r="DZN127" s="140"/>
      <c r="DZO127" s="140"/>
      <c r="DZP127" s="140"/>
      <c r="DZQ127" s="140"/>
      <c r="DZR127" s="140"/>
      <c r="DZS127" s="140"/>
      <c r="DZT127" s="140"/>
      <c r="DZU127" s="140"/>
      <c r="DZV127" s="140"/>
      <c r="DZW127" s="140"/>
      <c r="DZX127" s="140"/>
      <c r="DZY127" s="140"/>
      <c r="DZZ127" s="140"/>
      <c r="EAA127" s="140"/>
      <c r="EAB127" s="140"/>
      <c r="EAC127" s="140"/>
      <c r="EAD127" s="140"/>
      <c r="EAE127" s="140"/>
      <c r="EAF127" s="140"/>
      <c r="EAG127" s="140"/>
      <c r="EAH127" s="140"/>
      <c r="EAI127" s="140"/>
      <c r="EAJ127" s="140"/>
      <c r="EAK127" s="140"/>
      <c r="EAL127" s="140"/>
      <c r="EAM127" s="140"/>
      <c r="EAN127" s="140"/>
      <c r="EAO127" s="140"/>
      <c r="EAP127" s="140"/>
      <c r="EAQ127" s="140"/>
      <c r="EAR127" s="140"/>
      <c r="EAS127" s="140"/>
      <c r="EAT127" s="140"/>
      <c r="EAU127" s="140"/>
      <c r="EAV127" s="140"/>
      <c r="EAW127" s="140"/>
      <c r="EAX127" s="140"/>
      <c r="EAY127" s="140"/>
      <c r="EAZ127" s="140"/>
      <c r="EBA127" s="140"/>
      <c r="EBB127" s="140"/>
      <c r="EBC127" s="140"/>
      <c r="EBD127" s="140"/>
      <c r="EBE127" s="140"/>
      <c r="EBF127" s="140"/>
      <c r="EBG127" s="140"/>
      <c r="EBH127" s="140"/>
      <c r="EBI127" s="140"/>
      <c r="EBJ127" s="140"/>
      <c r="EBK127" s="140"/>
      <c r="EBL127" s="140"/>
      <c r="EBM127" s="140"/>
      <c r="EBN127" s="140"/>
      <c r="EBO127" s="140"/>
      <c r="EBP127" s="140"/>
      <c r="EBQ127" s="140"/>
      <c r="EBR127" s="140"/>
      <c r="EBS127" s="140"/>
      <c r="EBT127" s="140"/>
      <c r="EBU127" s="140"/>
      <c r="EBV127" s="140"/>
      <c r="EBW127" s="140"/>
      <c r="EBX127" s="140"/>
      <c r="EBY127" s="140"/>
      <c r="EBZ127" s="140"/>
      <c r="ECA127" s="140"/>
      <c r="ECB127" s="140"/>
      <c r="ECC127" s="140"/>
      <c r="ECD127" s="140"/>
      <c r="ECE127" s="140"/>
      <c r="ECF127" s="140"/>
      <c r="ECG127" s="140"/>
      <c r="ECH127" s="140"/>
      <c r="ECI127" s="140"/>
      <c r="ECJ127" s="140"/>
      <c r="ECK127" s="140"/>
      <c r="ECL127" s="140"/>
      <c r="ECM127" s="140"/>
      <c r="ECN127" s="140"/>
      <c r="ECO127" s="140"/>
      <c r="ECP127" s="140"/>
      <c r="ECQ127" s="140"/>
      <c r="ECR127" s="140"/>
      <c r="ECS127" s="140"/>
      <c r="ECT127" s="140"/>
      <c r="ECU127" s="140"/>
      <c r="ECV127" s="140"/>
      <c r="ECW127" s="140"/>
      <c r="ECX127" s="140"/>
      <c r="ECY127" s="140"/>
      <c r="ECZ127" s="140"/>
      <c r="EDA127" s="140"/>
      <c r="EDB127" s="140"/>
      <c r="EDC127" s="140"/>
      <c r="EDD127" s="140"/>
      <c r="EDE127" s="140"/>
      <c r="EDF127" s="140"/>
      <c r="EDG127" s="140"/>
      <c r="EDH127" s="140"/>
      <c r="EDI127" s="140"/>
      <c r="EDJ127" s="140"/>
      <c r="EDK127" s="140"/>
      <c r="EDL127" s="140"/>
      <c r="EDM127" s="140"/>
      <c r="EDN127" s="140"/>
      <c r="EDO127" s="140"/>
      <c r="EDP127" s="140"/>
      <c r="EDQ127" s="140"/>
      <c r="EDR127" s="140"/>
      <c r="EDS127" s="140"/>
      <c r="EDT127" s="140"/>
      <c r="EDU127" s="140"/>
      <c r="EDV127" s="140"/>
      <c r="EDW127" s="140"/>
      <c r="EDX127" s="140"/>
      <c r="EDY127" s="140"/>
      <c r="EDZ127" s="140"/>
      <c r="EEA127" s="140"/>
      <c r="EEB127" s="140"/>
      <c r="EEC127" s="140"/>
      <c r="EED127" s="140"/>
      <c r="EEE127" s="140"/>
      <c r="EEF127" s="140"/>
      <c r="EEG127" s="140"/>
      <c r="EEH127" s="140"/>
      <c r="EEI127" s="140"/>
      <c r="EEJ127" s="140"/>
      <c r="EEK127" s="140"/>
      <c r="EEL127" s="140"/>
      <c r="EEM127" s="140"/>
      <c r="EEN127" s="140"/>
      <c r="EEO127" s="140"/>
      <c r="EEP127" s="140"/>
      <c r="EEQ127" s="140"/>
      <c r="EER127" s="140"/>
      <c r="EES127" s="140"/>
      <c r="EET127" s="140"/>
      <c r="EEU127" s="140"/>
      <c r="EEV127" s="140"/>
      <c r="EEW127" s="140"/>
      <c r="EEX127" s="140"/>
      <c r="EEY127" s="140"/>
      <c r="EEZ127" s="140"/>
      <c r="EFA127" s="140"/>
      <c r="EFB127" s="140"/>
      <c r="EFC127" s="140"/>
      <c r="EFD127" s="140"/>
      <c r="EFE127" s="140"/>
      <c r="EFF127" s="140"/>
      <c r="EFG127" s="140"/>
      <c r="EFH127" s="140"/>
      <c r="EFI127" s="140"/>
      <c r="EFJ127" s="140"/>
      <c r="EFK127" s="140"/>
      <c r="EFL127" s="140"/>
      <c r="EFM127" s="140"/>
      <c r="EFN127" s="140"/>
      <c r="EFO127" s="140"/>
      <c r="EFP127" s="140"/>
      <c r="EFQ127" s="140"/>
      <c r="EFR127" s="140"/>
      <c r="EFS127" s="140"/>
      <c r="EFT127" s="140"/>
      <c r="EFU127" s="140"/>
      <c r="EFV127" s="140"/>
      <c r="EFW127" s="140"/>
      <c r="EFX127" s="140"/>
      <c r="EFY127" s="140"/>
      <c r="EFZ127" s="140"/>
      <c r="EGA127" s="140"/>
      <c r="EGB127" s="140"/>
      <c r="EGC127" s="140"/>
      <c r="EGD127" s="140"/>
      <c r="EGE127" s="140"/>
      <c r="EGF127" s="140"/>
      <c r="EGG127" s="140"/>
      <c r="EGH127" s="140"/>
      <c r="EGI127" s="140"/>
      <c r="EGJ127" s="140"/>
      <c r="EGK127" s="140"/>
      <c r="EGL127" s="140"/>
      <c r="EGM127" s="140"/>
      <c r="EGN127" s="140"/>
      <c r="EGO127" s="140"/>
      <c r="EGP127" s="140"/>
      <c r="EGQ127" s="140"/>
      <c r="EGR127" s="140"/>
      <c r="EGS127" s="140"/>
      <c r="EGT127" s="140"/>
      <c r="EGU127" s="140"/>
      <c r="EGV127" s="140"/>
      <c r="EGW127" s="140"/>
      <c r="EGX127" s="140"/>
      <c r="EGY127" s="140"/>
      <c r="EGZ127" s="140"/>
      <c r="EHA127" s="140"/>
      <c r="EHB127" s="140"/>
      <c r="EHC127" s="140"/>
      <c r="EHD127" s="140"/>
      <c r="EHE127" s="140"/>
      <c r="EHF127" s="140"/>
      <c r="EHG127" s="140"/>
      <c r="EHH127" s="140"/>
      <c r="EHI127" s="140"/>
      <c r="EHJ127" s="140"/>
      <c r="EHK127" s="140"/>
      <c r="EHL127" s="140"/>
      <c r="EHM127" s="140"/>
      <c r="EHN127" s="140"/>
      <c r="EHO127" s="140"/>
      <c r="EHP127" s="140"/>
      <c r="EHQ127" s="140"/>
      <c r="EHR127" s="140"/>
      <c r="EHS127" s="140"/>
      <c r="EHT127" s="140"/>
      <c r="EHU127" s="140"/>
      <c r="EHV127" s="140"/>
      <c r="EHW127" s="140"/>
      <c r="EHX127" s="140"/>
      <c r="EHY127" s="140"/>
      <c r="EHZ127" s="140"/>
      <c r="EIA127" s="140"/>
      <c r="EIB127" s="140"/>
      <c r="EIC127" s="140"/>
      <c r="EID127" s="140"/>
      <c r="EIE127" s="140"/>
      <c r="EIF127" s="140"/>
      <c r="EIG127" s="140"/>
      <c r="EIH127" s="140"/>
      <c r="EII127" s="140"/>
      <c r="EIJ127" s="140"/>
      <c r="EIK127" s="140"/>
      <c r="EIL127" s="140"/>
      <c r="EIM127" s="140"/>
      <c r="EIN127" s="140"/>
      <c r="EIO127" s="140"/>
      <c r="EIP127" s="140"/>
      <c r="EIQ127" s="140"/>
      <c r="EIR127" s="140"/>
      <c r="EIS127" s="140"/>
      <c r="EIT127" s="140"/>
      <c r="EIU127" s="140"/>
      <c r="EIV127" s="140"/>
      <c r="EIW127" s="140"/>
      <c r="EIX127" s="140"/>
      <c r="EIY127" s="140"/>
      <c r="EIZ127" s="140"/>
      <c r="EJA127" s="140"/>
      <c r="EJB127" s="140"/>
      <c r="EJC127" s="140"/>
      <c r="EJD127" s="140"/>
      <c r="EJE127" s="140"/>
      <c r="EJF127" s="140"/>
      <c r="EJG127" s="140"/>
      <c r="EJH127" s="140"/>
      <c r="EJI127" s="140"/>
      <c r="EJJ127" s="140"/>
      <c r="EJK127" s="140"/>
      <c r="EJL127" s="140"/>
      <c r="EJM127" s="140"/>
      <c r="EJN127" s="140"/>
      <c r="EJO127" s="140"/>
      <c r="EJP127" s="140"/>
      <c r="EJQ127" s="140"/>
      <c r="EJR127" s="140"/>
      <c r="EJS127" s="140"/>
      <c r="EJT127" s="140"/>
      <c r="EJU127" s="140"/>
      <c r="EJV127" s="140"/>
      <c r="EJW127" s="140"/>
      <c r="EJX127" s="140"/>
      <c r="EJY127" s="140"/>
      <c r="EJZ127" s="140"/>
      <c r="EKA127" s="140"/>
      <c r="EKB127" s="140"/>
      <c r="EKC127" s="140"/>
      <c r="EKD127" s="140"/>
      <c r="EKE127" s="140"/>
      <c r="EKF127" s="140"/>
      <c r="EKG127" s="140"/>
      <c r="EKH127" s="140"/>
      <c r="EKI127" s="140"/>
      <c r="EKJ127" s="140"/>
      <c r="EKK127" s="140"/>
      <c r="EKL127" s="140"/>
      <c r="EKM127" s="140"/>
      <c r="EKN127" s="140"/>
      <c r="EKO127" s="140"/>
      <c r="EKP127" s="140"/>
      <c r="EKQ127" s="140"/>
      <c r="EKR127" s="140"/>
      <c r="EKS127" s="140"/>
      <c r="EKT127" s="140"/>
      <c r="EKU127" s="140"/>
      <c r="EKV127" s="140"/>
      <c r="EKW127" s="140"/>
      <c r="EKX127" s="140"/>
      <c r="EKY127" s="140"/>
      <c r="EKZ127" s="140"/>
      <c r="ELA127" s="140"/>
      <c r="ELB127" s="140"/>
      <c r="ELC127" s="140"/>
      <c r="ELD127" s="140"/>
      <c r="ELE127" s="140"/>
      <c r="ELF127" s="140"/>
      <c r="ELG127" s="140"/>
      <c r="ELH127" s="140"/>
      <c r="ELI127" s="140"/>
      <c r="ELJ127" s="140"/>
      <c r="ELK127" s="140"/>
      <c r="ELL127" s="140"/>
      <c r="ELM127" s="140"/>
      <c r="ELN127" s="140"/>
      <c r="ELO127" s="140"/>
      <c r="ELP127" s="140"/>
      <c r="ELQ127" s="140"/>
      <c r="ELR127" s="140"/>
      <c r="ELS127" s="140"/>
      <c r="ELT127" s="140"/>
      <c r="ELU127" s="140"/>
      <c r="ELV127" s="140"/>
      <c r="ELW127" s="140"/>
      <c r="ELX127" s="140"/>
      <c r="ELY127" s="140"/>
      <c r="ELZ127" s="140"/>
      <c r="EMA127" s="140"/>
      <c r="EMB127" s="140"/>
      <c r="EMC127" s="140"/>
      <c r="EMD127" s="140"/>
      <c r="EME127" s="140"/>
      <c r="EMF127" s="140"/>
      <c r="EMG127" s="140"/>
      <c r="EMH127" s="140"/>
      <c r="EMI127" s="140"/>
      <c r="EMJ127" s="140"/>
      <c r="EMK127" s="140"/>
      <c r="EML127" s="140"/>
      <c r="EMM127" s="140"/>
      <c r="EMN127" s="140"/>
      <c r="EMO127" s="140"/>
      <c r="EMP127" s="140"/>
      <c r="EMQ127" s="140"/>
      <c r="EMR127" s="140"/>
      <c r="EMS127" s="140"/>
      <c r="EMT127" s="140"/>
      <c r="EMU127" s="140"/>
      <c r="EMV127" s="140"/>
      <c r="EMW127" s="140"/>
      <c r="EMX127" s="140"/>
      <c r="EMY127" s="140"/>
      <c r="EMZ127" s="140"/>
      <c r="ENA127" s="140"/>
      <c r="ENB127" s="140"/>
      <c r="ENC127" s="140"/>
      <c r="END127" s="140"/>
      <c r="ENE127" s="140"/>
      <c r="ENF127" s="140"/>
      <c r="ENG127" s="140"/>
      <c r="ENH127" s="140"/>
      <c r="ENI127" s="140"/>
      <c r="ENJ127" s="140"/>
      <c r="ENK127" s="140"/>
      <c r="ENL127" s="140"/>
      <c r="ENM127" s="140"/>
      <c r="ENN127" s="140"/>
      <c r="ENO127" s="140"/>
      <c r="ENP127" s="140"/>
      <c r="ENQ127" s="140"/>
      <c r="ENR127" s="140"/>
      <c r="ENS127" s="140"/>
      <c r="ENT127" s="140"/>
      <c r="ENU127" s="140"/>
      <c r="ENV127" s="140"/>
      <c r="ENW127" s="140"/>
      <c r="ENX127" s="140"/>
      <c r="ENY127" s="140"/>
      <c r="ENZ127" s="140"/>
      <c r="EOA127" s="140"/>
      <c r="EOB127" s="140"/>
      <c r="EOC127" s="140"/>
      <c r="EOD127" s="140"/>
      <c r="EOE127" s="140"/>
      <c r="EOF127" s="140"/>
      <c r="EOG127" s="140"/>
      <c r="EOH127" s="140"/>
      <c r="EOI127" s="140"/>
      <c r="EOJ127" s="140"/>
      <c r="EOK127" s="140"/>
      <c r="EOL127" s="140"/>
      <c r="EOM127" s="140"/>
      <c r="EON127" s="140"/>
      <c r="EOO127" s="140"/>
      <c r="EOP127" s="140"/>
      <c r="EOQ127" s="140"/>
      <c r="EOR127" s="140"/>
      <c r="EOS127" s="140"/>
      <c r="EOT127" s="140"/>
      <c r="EOU127" s="140"/>
      <c r="EOV127" s="140"/>
      <c r="EOW127" s="140"/>
      <c r="EOX127" s="140"/>
      <c r="EOY127" s="140"/>
      <c r="EOZ127" s="140"/>
      <c r="EPA127" s="140"/>
      <c r="EPB127" s="140"/>
      <c r="EPC127" s="140"/>
      <c r="EPD127" s="140"/>
      <c r="EPE127" s="140"/>
      <c r="EPF127" s="140"/>
      <c r="EPG127" s="140"/>
      <c r="EPH127" s="140"/>
      <c r="EPI127" s="140"/>
      <c r="EPJ127" s="140"/>
      <c r="EPK127" s="140"/>
      <c r="EPL127" s="140"/>
      <c r="EPM127" s="140"/>
      <c r="EPN127" s="140"/>
      <c r="EPO127" s="140"/>
      <c r="EPP127" s="140"/>
      <c r="EPQ127" s="140"/>
      <c r="EPR127" s="140"/>
      <c r="EPS127" s="140"/>
      <c r="EPT127" s="140"/>
      <c r="EPU127" s="140"/>
      <c r="EPV127" s="140"/>
      <c r="EPW127" s="140"/>
      <c r="EPX127" s="140"/>
      <c r="EPY127" s="140"/>
      <c r="EPZ127" s="140"/>
      <c r="EQA127" s="140"/>
      <c r="EQB127" s="140"/>
      <c r="EQC127" s="140"/>
      <c r="EQD127" s="140"/>
      <c r="EQE127" s="140"/>
      <c r="EQF127" s="140"/>
      <c r="EQG127" s="140"/>
      <c r="EQH127" s="140"/>
      <c r="EQI127" s="140"/>
      <c r="EQJ127" s="140"/>
      <c r="EQK127" s="140"/>
      <c r="EQL127" s="140"/>
      <c r="EQM127" s="140"/>
      <c r="EQN127" s="140"/>
      <c r="EQO127" s="140"/>
      <c r="EQP127" s="140"/>
      <c r="EQQ127" s="140"/>
      <c r="EQR127" s="140"/>
      <c r="EQS127" s="140"/>
      <c r="EQT127" s="140"/>
      <c r="EQU127" s="140"/>
      <c r="EQV127" s="140"/>
      <c r="EQW127" s="140"/>
      <c r="EQX127" s="140"/>
      <c r="EQY127" s="140"/>
      <c r="EQZ127" s="140"/>
      <c r="ERA127" s="140"/>
      <c r="ERB127" s="140"/>
      <c r="ERC127" s="140"/>
      <c r="ERD127" s="140"/>
      <c r="ERE127" s="140"/>
      <c r="ERF127" s="140"/>
      <c r="ERG127" s="140"/>
      <c r="ERH127" s="140"/>
      <c r="ERI127" s="140"/>
      <c r="ERJ127" s="140"/>
      <c r="ERK127" s="140"/>
      <c r="ERL127" s="140"/>
      <c r="ERM127" s="140"/>
      <c r="ERN127" s="140"/>
      <c r="ERO127" s="140"/>
      <c r="ERP127" s="140"/>
      <c r="ERQ127" s="140"/>
      <c r="ERR127" s="140"/>
      <c r="ERS127" s="140"/>
      <c r="ERT127" s="140"/>
      <c r="ERU127" s="140"/>
      <c r="ERV127" s="140"/>
      <c r="ERW127" s="140"/>
      <c r="ERX127" s="140"/>
      <c r="ERY127" s="140"/>
      <c r="ERZ127" s="140"/>
      <c r="ESA127" s="140"/>
      <c r="ESB127" s="140"/>
      <c r="ESC127" s="140"/>
      <c r="ESD127" s="140"/>
      <c r="ESE127" s="140"/>
      <c r="ESF127" s="140"/>
      <c r="ESG127" s="140"/>
      <c r="ESH127" s="140"/>
      <c r="ESI127" s="140"/>
      <c r="ESJ127" s="140"/>
      <c r="ESK127" s="140"/>
      <c r="ESL127" s="140"/>
      <c r="ESM127" s="140"/>
      <c r="ESN127" s="140"/>
      <c r="ESO127" s="140"/>
      <c r="ESP127" s="140"/>
      <c r="ESQ127" s="140"/>
      <c r="ESR127" s="140"/>
      <c r="ESS127" s="140"/>
      <c r="EST127" s="140"/>
      <c r="ESU127" s="140"/>
      <c r="ESV127" s="140"/>
      <c r="ESW127" s="140"/>
      <c r="ESX127" s="140"/>
      <c r="ESY127" s="140"/>
      <c r="ESZ127" s="140"/>
      <c r="ETA127" s="140"/>
      <c r="ETB127" s="140"/>
      <c r="ETC127" s="140"/>
      <c r="ETD127" s="140"/>
      <c r="ETE127" s="140"/>
      <c r="ETF127" s="140"/>
      <c r="ETG127" s="140"/>
      <c r="ETH127" s="140"/>
      <c r="ETI127" s="140"/>
      <c r="ETJ127" s="140"/>
      <c r="ETK127" s="140"/>
      <c r="ETL127" s="140"/>
      <c r="ETM127" s="140"/>
      <c r="ETN127" s="140"/>
      <c r="ETO127" s="140"/>
      <c r="ETP127" s="140"/>
      <c r="ETQ127" s="140"/>
      <c r="ETR127" s="140"/>
      <c r="ETS127" s="140"/>
      <c r="ETT127" s="140"/>
      <c r="ETU127" s="140"/>
      <c r="ETV127" s="140"/>
      <c r="ETW127" s="140"/>
      <c r="ETX127" s="140"/>
      <c r="ETY127" s="140"/>
      <c r="ETZ127" s="140"/>
      <c r="EUA127" s="140"/>
      <c r="EUB127" s="140"/>
      <c r="EUC127" s="140"/>
      <c r="EUD127" s="140"/>
      <c r="EUE127" s="140"/>
      <c r="EUF127" s="140"/>
      <c r="EUG127" s="140"/>
      <c r="EUH127" s="140"/>
      <c r="EUI127" s="140"/>
      <c r="EUJ127" s="140"/>
      <c r="EUK127" s="140"/>
      <c r="EUL127" s="140"/>
      <c r="EUM127" s="140"/>
      <c r="EUN127" s="140"/>
      <c r="EUO127" s="140"/>
      <c r="EUP127" s="140"/>
      <c r="EUQ127" s="140"/>
      <c r="EUR127" s="140"/>
      <c r="EUS127" s="140"/>
      <c r="EUT127" s="140"/>
      <c r="EUU127" s="140"/>
      <c r="EUV127" s="140"/>
      <c r="EUW127" s="140"/>
      <c r="EUX127" s="140"/>
      <c r="EUY127" s="140"/>
      <c r="EUZ127" s="140"/>
      <c r="EVA127" s="140"/>
      <c r="EVB127" s="140"/>
      <c r="EVC127" s="140"/>
      <c r="EVD127" s="140"/>
      <c r="EVE127" s="140"/>
      <c r="EVF127" s="140"/>
      <c r="EVG127" s="140"/>
      <c r="EVH127" s="140"/>
      <c r="EVI127" s="140"/>
      <c r="EVJ127" s="140"/>
      <c r="EVK127" s="140"/>
      <c r="EVL127" s="140"/>
      <c r="EVM127" s="140"/>
      <c r="EVN127" s="140"/>
      <c r="EVO127" s="140"/>
      <c r="EVP127" s="140"/>
      <c r="EVQ127" s="140"/>
      <c r="EVR127" s="140"/>
      <c r="EVS127" s="140"/>
      <c r="EVT127" s="140"/>
      <c r="EVU127" s="140"/>
      <c r="EVV127" s="140"/>
      <c r="EVW127" s="140"/>
      <c r="EVX127" s="140"/>
      <c r="EVY127" s="140"/>
      <c r="EVZ127" s="140"/>
      <c r="EWA127" s="140"/>
      <c r="EWB127" s="140"/>
      <c r="EWC127" s="140"/>
      <c r="EWD127" s="140"/>
      <c r="EWE127" s="140"/>
      <c r="EWF127" s="140"/>
      <c r="EWG127" s="140"/>
      <c r="EWH127" s="140"/>
      <c r="EWI127" s="140"/>
      <c r="EWJ127" s="140"/>
      <c r="EWK127" s="140"/>
      <c r="EWL127" s="140"/>
      <c r="EWM127" s="140"/>
      <c r="EWN127" s="140"/>
      <c r="EWO127" s="140"/>
      <c r="EWP127" s="140"/>
      <c r="EWQ127" s="140"/>
      <c r="EWR127" s="140"/>
      <c r="EWS127" s="140"/>
      <c r="EWT127" s="140"/>
      <c r="EWU127" s="140"/>
      <c r="EWV127" s="140"/>
      <c r="EWW127" s="140"/>
      <c r="EWX127" s="140"/>
      <c r="EWY127" s="140"/>
      <c r="EWZ127" s="140"/>
      <c r="EXA127" s="140"/>
      <c r="EXB127" s="140"/>
      <c r="EXC127" s="140"/>
      <c r="EXD127" s="140"/>
      <c r="EXE127" s="140"/>
      <c r="EXF127" s="140"/>
      <c r="EXG127" s="140"/>
      <c r="EXH127" s="140"/>
      <c r="EXI127" s="140"/>
      <c r="EXJ127" s="140"/>
      <c r="EXK127" s="140"/>
      <c r="EXL127" s="140"/>
      <c r="EXM127" s="140"/>
      <c r="EXN127" s="140"/>
      <c r="EXO127" s="140"/>
      <c r="EXP127" s="140"/>
      <c r="EXQ127" s="140"/>
      <c r="EXR127" s="140"/>
      <c r="EXS127" s="140"/>
      <c r="EXT127" s="140"/>
      <c r="EXU127" s="140"/>
      <c r="EXV127" s="140"/>
      <c r="EXW127" s="140"/>
      <c r="EXX127" s="140"/>
      <c r="EXY127" s="140"/>
      <c r="EXZ127" s="140"/>
      <c r="EYA127" s="140"/>
      <c r="EYB127" s="140"/>
      <c r="EYC127" s="140"/>
      <c r="EYD127" s="140"/>
      <c r="EYE127" s="140"/>
      <c r="EYF127" s="140"/>
      <c r="EYG127" s="140"/>
      <c r="EYH127" s="140"/>
      <c r="EYI127" s="140"/>
      <c r="EYJ127" s="140"/>
      <c r="EYK127" s="140"/>
      <c r="EYL127" s="140"/>
      <c r="EYM127" s="140"/>
      <c r="EYN127" s="140"/>
      <c r="EYO127" s="140"/>
      <c r="EYP127" s="140"/>
      <c r="EYQ127" s="140"/>
      <c r="EYR127" s="140"/>
      <c r="EYS127" s="140"/>
      <c r="EYT127" s="140"/>
      <c r="EYU127" s="140"/>
      <c r="EYV127" s="140"/>
      <c r="EYW127" s="140"/>
      <c r="EYX127" s="140"/>
      <c r="EYY127" s="140"/>
      <c r="EYZ127" s="140"/>
      <c r="EZA127" s="140"/>
      <c r="EZB127" s="140"/>
      <c r="EZC127" s="140"/>
      <c r="EZD127" s="140"/>
      <c r="EZE127" s="140"/>
      <c r="EZF127" s="140"/>
      <c r="EZG127" s="140"/>
      <c r="EZH127" s="140"/>
      <c r="EZI127" s="140"/>
      <c r="EZJ127" s="140"/>
      <c r="EZK127" s="140"/>
      <c r="EZL127" s="140"/>
      <c r="EZM127" s="140"/>
      <c r="EZN127" s="140"/>
      <c r="EZO127" s="140"/>
      <c r="EZP127" s="140"/>
      <c r="EZQ127" s="140"/>
      <c r="EZR127" s="140"/>
      <c r="EZS127" s="140"/>
      <c r="EZT127" s="140"/>
      <c r="EZU127" s="140"/>
      <c r="EZV127" s="140"/>
      <c r="EZW127" s="140"/>
      <c r="EZX127" s="140"/>
      <c r="EZY127" s="140"/>
      <c r="EZZ127" s="140"/>
      <c r="FAA127" s="140"/>
      <c r="FAB127" s="140"/>
      <c r="FAC127" s="140"/>
      <c r="FAD127" s="140"/>
      <c r="FAE127" s="140"/>
      <c r="FAF127" s="140"/>
      <c r="FAG127" s="140"/>
      <c r="FAH127" s="140"/>
      <c r="FAI127" s="140"/>
      <c r="FAJ127" s="140"/>
      <c r="FAK127" s="140"/>
      <c r="FAL127" s="140"/>
      <c r="FAM127" s="140"/>
      <c r="FAN127" s="140"/>
      <c r="FAO127" s="140"/>
      <c r="FAP127" s="140"/>
      <c r="FAQ127" s="140"/>
      <c r="FAR127" s="140"/>
      <c r="FAS127" s="140"/>
      <c r="FAT127" s="140"/>
      <c r="FAU127" s="140"/>
      <c r="FAV127" s="140"/>
      <c r="FAW127" s="140"/>
      <c r="FAX127" s="140"/>
      <c r="FAY127" s="140"/>
      <c r="FAZ127" s="140"/>
      <c r="FBA127" s="140"/>
      <c r="FBB127" s="140"/>
      <c r="FBC127" s="140"/>
      <c r="FBD127" s="140"/>
      <c r="FBE127" s="140"/>
      <c r="FBF127" s="140"/>
      <c r="FBG127" s="140"/>
      <c r="FBH127" s="140"/>
      <c r="FBI127" s="140"/>
      <c r="FBJ127" s="140"/>
      <c r="FBK127" s="140"/>
      <c r="FBL127" s="140"/>
      <c r="FBM127" s="140"/>
      <c r="FBN127" s="140"/>
      <c r="FBO127" s="140"/>
      <c r="FBP127" s="140"/>
      <c r="FBQ127" s="140"/>
      <c r="FBR127" s="140"/>
      <c r="FBS127" s="140"/>
      <c r="FBT127" s="140"/>
      <c r="FBU127" s="140"/>
      <c r="FBV127" s="140"/>
      <c r="FBW127" s="140"/>
      <c r="FBX127" s="140"/>
      <c r="FBY127" s="140"/>
      <c r="FBZ127" s="140"/>
      <c r="FCA127" s="140"/>
      <c r="FCB127" s="140"/>
      <c r="FCC127" s="140"/>
      <c r="FCD127" s="140"/>
      <c r="FCE127" s="140"/>
      <c r="FCF127" s="140"/>
      <c r="FCG127" s="140"/>
      <c r="FCH127" s="140"/>
      <c r="FCI127" s="140"/>
      <c r="FCJ127" s="140"/>
      <c r="FCK127" s="140"/>
      <c r="FCL127" s="140"/>
      <c r="FCM127" s="140"/>
      <c r="FCN127" s="140"/>
      <c r="FCO127" s="140"/>
      <c r="FCP127" s="140"/>
      <c r="FCQ127" s="140"/>
      <c r="FCR127" s="140"/>
      <c r="FCS127" s="140"/>
      <c r="FCT127" s="140"/>
      <c r="FCU127" s="140"/>
      <c r="FCV127" s="140"/>
      <c r="FCW127" s="140"/>
      <c r="FCX127" s="140"/>
      <c r="FCY127" s="140"/>
      <c r="FCZ127" s="140"/>
      <c r="FDA127" s="140"/>
      <c r="FDB127" s="140"/>
      <c r="FDC127" s="140"/>
      <c r="FDD127" s="140"/>
      <c r="FDE127" s="140"/>
      <c r="FDF127" s="140"/>
      <c r="FDG127" s="140"/>
      <c r="FDH127" s="140"/>
      <c r="FDI127" s="140"/>
      <c r="FDJ127" s="140"/>
      <c r="FDK127" s="140"/>
      <c r="FDL127" s="140"/>
      <c r="FDM127" s="140"/>
      <c r="FDN127" s="140"/>
      <c r="FDO127" s="140"/>
      <c r="FDP127" s="140"/>
      <c r="FDQ127" s="140"/>
      <c r="FDR127" s="140"/>
      <c r="FDS127" s="140"/>
      <c r="FDT127" s="140"/>
      <c r="FDU127" s="140"/>
      <c r="FDV127" s="140"/>
      <c r="FDW127" s="140"/>
      <c r="FDX127" s="140"/>
      <c r="FDY127" s="140"/>
      <c r="FDZ127" s="140"/>
      <c r="FEA127" s="140"/>
      <c r="FEB127" s="140"/>
      <c r="FEC127" s="140"/>
      <c r="FED127" s="140"/>
      <c r="FEE127" s="140"/>
      <c r="FEF127" s="140"/>
      <c r="FEG127" s="140"/>
      <c r="FEH127" s="140"/>
      <c r="FEI127" s="140"/>
      <c r="FEJ127" s="140"/>
      <c r="FEK127" s="140"/>
      <c r="FEL127" s="140"/>
      <c r="FEM127" s="140"/>
      <c r="FEN127" s="140"/>
      <c r="FEO127" s="140"/>
      <c r="FEP127" s="140"/>
      <c r="FEQ127" s="140"/>
      <c r="FER127" s="140"/>
      <c r="FES127" s="140"/>
      <c r="FET127" s="140"/>
      <c r="FEU127" s="140"/>
      <c r="FEV127" s="140"/>
      <c r="FEW127" s="140"/>
      <c r="FEX127" s="140"/>
      <c r="FEY127" s="140"/>
      <c r="FEZ127" s="140"/>
      <c r="FFA127" s="140"/>
      <c r="FFB127" s="140"/>
      <c r="FFC127" s="140"/>
      <c r="FFD127" s="140"/>
      <c r="FFE127" s="140"/>
      <c r="FFF127" s="140"/>
      <c r="FFG127" s="140"/>
      <c r="FFH127" s="140"/>
      <c r="FFI127" s="140"/>
      <c r="FFJ127" s="140"/>
      <c r="FFK127" s="140"/>
      <c r="FFL127" s="140"/>
      <c r="FFM127" s="140"/>
      <c r="FFN127" s="140"/>
      <c r="FFO127" s="140"/>
      <c r="FFP127" s="140"/>
      <c r="FFQ127" s="140"/>
      <c r="FFR127" s="140"/>
      <c r="FFS127" s="140"/>
      <c r="FFT127" s="140"/>
      <c r="FFU127" s="140"/>
      <c r="FFV127" s="140"/>
      <c r="FFW127" s="140"/>
      <c r="FFX127" s="140"/>
      <c r="FFY127" s="140"/>
      <c r="FFZ127" s="140"/>
      <c r="FGA127" s="140"/>
      <c r="FGB127" s="140"/>
      <c r="FGC127" s="140"/>
      <c r="FGD127" s="140"/>
      <c r="FGE127" s="140"/>
      <c r="FGF127" s="140"/>
      <c r="FGG127" s="140"/>
      <c r="FGH127" s="140"/>
      <c r="FGI127" s="140"/>
      <c r="FGJ127" s="140"/>
      <c r="FGK127" s="140"/>
      <c r="FGL127" s="140"/>
      <c r="FGM127" s="140"/>
      <c r="FGN127" s="140"/>
      <c r="FGO127" s="140"/>
      <c r="FGP127" s="140"/>
      <c r="FGQ127" s="140"/>
      <c r="FGR127" s="140"/>
      <c r="FGS127" s="140"/>
      <c r="FGT127" s="140"/>
      <c r="FGU127" s="140"/>
      <c r="FGV127" s="140"/>
      <c r="FGW127" s="140"/>
      <c r="FGX127" s="140"/>
      <c r="FGY127" s="140"/>
      <c r="FGZ127" s="140"/>
      <c r="FHA127" s="140"/>
      <c r="FHB127" s="140"/>
      <c r="FHC127" s="140"/>
      <c r="FHD127" s="140"/>
      <c r="FHE127" s="140"/>
      <c r="FHF127" s="140"/>
      <c r="FHG127" s="140"/>
      <c r="FHH127" s="140"/>
      <c r="FHI127" s="140"/>
      <c r="FHJ127" s="140"/>
      <c r="FHK127" s="140"/>
      <c r="FHL127" s="140"/>
      <c r="FHM127" s="140"/>
      <c r="FHN127" s="140"/>
      <c r="FHO127" s="140"/>
      <c r="FHP127" s="140"/>
      <c r="FHQ127" s="140"/>
      <c r="FHR127" s="140"/>
      <c r="FHS127" s="140"/>
      <c r="FHT127" s="140"/>
      <c r="FHU127" s="140"/>
      <c r="FHV127" s="140"/>
      <c r="FHW127" s="140"/>
      <c r="FHX127" s="140"/>
      <c r="FHY127" s="140"/>
      <c r="FHZ127" s="140"/>
      <c r="FIA127" s="140"/>
      <c r="FIB127" s="140"/>
      <c r="FIC127" s="140"/>
      <c r="FID127" s="140"/>
      <c r="FIE127" s="140"/>
      <c r="FIF127" s="140"/>
      <c r="FIG127" s="140"/>
      <c r="FIH127" s="140"/>
      <c r="FII127" s="140"/>
      <c r="FIJ127" s="140"/>
      <c r="FIK127" s="140"/>
      <c r="FIL127" s="140"/>
      <c r="FIM127" s="140"/>
      <c r="FIN127" s="140"/>
      <c r="FIO127" s="140"/>
      <c r="FIP127" s="140"/>
      <c r="FIQ127" s="140"/>
      <c r="FIR127" s="140"/>
      <c r="FIS127" s="140"/>
      <c r="FIT127" s="140"/>
      <c r="FIU127" s="140"/>
      <c r="FIV127" s="140"/>
      <c r="FIW127" s="140"/>
      <c r="FIX127" s="140"/>
      <c r="FIY127" s="140"/>
      <c r="FIZ127" s="140"/>
      <c r="FJA127" s="140"/>
      <c r="FJB127" s="140"/>
      <c r="FJC127" s="140"/>
      <c r="FJD127" s="140"/>
      <c r="FJE127" s="140"/>
      <c r="FJF127" s="140"/>
      <c r="FJG127" s="140"/>
      <c r="FJH127" s="140"/>
      <c r="FJI127" s="140"/>
      <c r="FJJ127" s="140"/>
      <c r="FJK127" s="140"/>
      <c r="FJL127" s="140"/>
      <c r="FJM127" s="140"/>
      <c r="FJN127" s="140"/>
      <c r="FJO127" s="140"/>
      <c r="FJP127" s="140"/>
      <c r="FJQ127" s="140"/>
      <c r="FJR127" s="140"/>
      <c r="FJS127" s="140"/>
      <c r="FJT127" s="140"/>
      <c r="FJU127" s="140"/>
      <c r="FJV127" s="140"/>
      <c r="FJW127" s="140"/>
      <c r="FJX127" s="140"/>
      <c r="FJY127" s="140"/>
      <c r="FJZ127" s="140"/>
      <c r="FKA127" s="140"/>
      <c r="FKB127" s="140"/>
      <c r="FKC127" s="140"/>
      <c r="FKD127" s="140"/>
      <c r="FKE127" s="140"/>
      <c r="FKF127" s="140"/>
      <c r="FKG127" s="140"/>
      <c r="FKH127" s="140"/>
      <c r="FKI127" s="140"/>
      <c r="FKJ127" s="140"/>
      <c r="FKK127" s="140"/>
      <c r="FKL127" s="140"/>
      <c r="FKM127" s="140"/>
      <c r="FKN127" s="140"/>
      <c r="FKO127" s="140"/>
      <c r="FKP127" s="140"/>
      <c r="FKQ127" s="140"/>
      <c r="FKR127" s="140"/>
      <c r="FKS127" s="140"/>
      <c r="FKT127" s="140"/>
      <c r="FKU127" s="140"/>
      <c r="FKV127" s="140"/>
      <c r="FKW127" s="140"/>
      <c r="FKX127" s="140"/>
      <c r="FKY127" s="140"/>
      <c r="FKZ127" s="140"/>
      <c r="FLA127" s="140"/>
      <c r="FLB127" s="140"/>
      <c r="FLC127" s="140"/>
      <c r="FLD127" s="140"/>
      <c r="FLE127" s="140"/>
      <c r="FLF127" s="140"/>
      <c r="FLG127" s="140"/>
      <c r="FLH127" s="140"/>
      <c r="FLI127" s="140"/>
      <c r="FLJ127" s="140"/>
      <c r="FLK127" s="140"/>
      <c r="FLL127" s="140"/>
      <c r="FLM127" s="140"/>
      <c r="FLN127" s="140"/>
      <c r="FLO127" s="140"/>
      <c r="FLP127" s="140"/>
      <c r="FLQ127" s="140"/>
      <c r="FLR127" s="140"/>
      <c r="FLS127" s="140"/>
      <c r="FLT127" s="140"/>
      <c r="FLU127" s="140"/>
      <c r="FLV127" s="140"/>
      <c r="FLW127" s="140"/>
      <c r="FLX127" s="140"/>
      <c r="FLY127" s="140"/>
      <c r="FLZ127" s="140"/>
      <c r="FMA127" s="140"/>
      <c r="FMB127" s="140"/>
      <c r="FMC127" s="140"/>
      <c r="FMD127" s="140"/>
      <c r="FME127" s="140"/>
      <c r="FMF127" s="140"/>
      <c r="FMG127" s="140"/>
      <c r="FMH127" s="140"/>
      <c r="FMI127" s="140"/>
      <c r="FMJ127" s="140"/>
      <c r="FMK127" s="140"/>
      <c r="FML127" s="140"/>
      <c r="FMM127" s="140"/>
      <c r="FMN127" s="140"/>
      <c r="FMO127" s="140"/>
      <c r="FMP127" s="140"/>
      <c r="FMQ127" s="140"/>
      <c r="FMR127" s="140"/>
      <c r="FMS127" s="140"/>
      <c r="FMT127" s="140"/>
      <c r="FMU127" s="140"/>
      <c r="FMV127" s="140"/>
      <c r="FMW127" s="140"/>
      <c r="FMX127" s="140"/>
      <c r="FMY127" s="140"/>
      <c r="FMZ127" s="140"/>
      <c r="FNA127" s="140"/>
      <c r="FNB127" s="140"/>
      <c r="FNC127" s="140"/>
      <c r="FND127" s="140"/>
      <c r="FNE127" s="140"/>
      <c r="FNF127" s="140"/>
      <c r="FNG127" s="140"/>
      <c r="FNH127" s="140"/>
      <c r="FNI127" s="140"/>
      <c r="FNJ127" s="140"/>
      <c r="FNK127" s="140"/>
      <c r="FNL127" s="140"/>
      <c r="FNM127" s="140"/>
      <c r="FNN127" s="140"/>
      <c r="FNO127" s="140"/>
      <c r="FNP127" s="140"/>
      <c r="FNQ127" s="140"/>
      <c r="FNR127" s="140"/>
      <c r="FNS127" s="140"/>
      <c r="FNT127" s="140"/>
      <c r="FNU127" s="140"/>
      <c r="FNV127" s="140"/>
      <c r="FNW127" s="140"/>
      <c r="FNX127" s="140"/>
      <c r="FNY127" s="140"/>
      <c r="FNZ127" s="140"/>
      <c r="FOA127" s="140"/>
      <c r="FOB127" s="140"/>
      <c r="FOC127" s="140"/>
      <c r="FOD127" s="140"/>
      <c r="FOE127" s="140"/>
      <c r="FOF127" s="140"/>
      <c r="FOG127" s="140"/>
      <c r="FOH127" s="140"/>
      <c r="FOI127" s="140"/>
      <c r="FOJ127" s="140"/>
      <c r="FOK127" s="140"/>
      <c r="FOL127" s="140"/>
      <c r="FOM127" s="140"/>
      <c r="FON127" s="140"/>
      <c r="FOO127" s="140"/>
      <c r="FOP127" s="140"/>
      <c r="FOQ127" s="140"/>
      <c r="FOR127" s="140"/>
      <c r="FOS127" s="140"/>
      <c r="FOT127" s="140"/>
      <c r="FOU127" s="140"/>
      <c r="FOV127" s="140"/>
      <c r="FOW127" s="140"/>
      <c r="FOX127" s="140"/>
      <c r="FOY127" s="140"/>
      <c r="FOZ127" s="140"/>
      <c r="FPA127" s="140"/>
      <c r="FPB127" s="140"/>
      <c r="FPC127" s="140"/>
      <c r="FPD127" s="140"/>
      <c r="FPE127" s="140"/>
      <c r="FPF127" s="140"/>
      <c r="FPG127" s="140"/>
      <c r="FPH127" s="140"/>
      <c r="FPI127" s="140"/>
      <c r="FPJ127" s="140"/>
      <c r="FPK127" s="140"/>
      <c r="FPL127" s="140"/>
      <c r="FPM127" s="140"/>
      <c r="FPN127" s="140"/>
      <c r="FPO127" s="140"/>
      <c r="FPP127" s="140"/>
      <c r="FPQ127" s="140"/>
      <c r="FPR127" s="140"/>
      <c r="FPS127" s="140"/>
      <c r="FPT127" s="140"/>
      <c r="FPU127" s="140"/>
      <c r="FPV127" s="140"/>
      <c r="FPW127" s="140"/>
      <c r="FPX127" s="140"/>
      <c r="FPY127" s="140"/>
      <c r="FPZ127" s="140"/>
      <c r="FQA127" s="140"/>
      <c r="FQB127" s="140"/>
      <c r="FQC127" s="140"/>
      <c r="FQD127" s="140"/>
      <c r="FQE127" s="140"/>
      <c r="FQF127" s="140"/>
      <c r="FQG127" s="140"/>
      <c r="FQH127" s="140"/>
      <c r="FQI127" s="140"/>
      <c r="FQJ127" s="140"/>
      <c r="FQK127" s="140"/>
      <c r="FQL127" s="140"/>
      <c r="FQM127" s="140"/>
      <c r="FQN127" s="140"/>
      <c r="FQO127" s="140"/>
      <c r="FQP127" s="140"/>
      <c r="FQQ127" s="140"/>
      <c r="FQR127" s="140"/>
      <c r="FQS127" s="140"/>
      <c r="FQT127" s="140"/>
      <c r="FQU127" s="140"/>
      <c r="FQV127" s="140"/>
      <c r="FQW127" s="140"/>
      <c r="FQX127" s="140"/>
      <c r="FQY127" s="140"/>
      <c r="FQZ127" s="140"/>
      <c r="FRA127" s="140"/>
      <c r="FRB127" s="140"/>
      <c r="FRC127" s="140"/>
      <c r="FRD127" s="140"/>
      <c r="FRE127" s="140"/>
      <c r="FRF127" s="140"/>
      <c r="FRG127" s="140"/>
      <c r="FRH127" s="140"/>
      <c r="FRI127" s="140"/>
      <c r="FRJ127" s="140"/>
      <c r="FRK127" s="140"/>
      <c r="FRL127" s="140"/>
      <c r="FRM127" s="140"/>
      <c r="FRN127" s="140"/>
      <c r="FRO127" s="140"/>
      <c r="FRP127" s="140"/>
      <c r="FRQ127" s="140"/>
      <c r="FRR127" s="140"/>
      <c r="FRS127" s="140"/>
      <c r="FRT127" s="140"/>
      <c r="FRU127" s="140"/>
      <c r="FRV127" s="140"/>
      <c r="FRW127" s="140"/>
      <c r="FRX127" s="140"/>
      <c r="FRY127" s="140"/>
      <c r="FRZ127" s="140"/>
      <c r="FSA127" s="140"/>
      <c r="FSB127" s="140"/>
      <c r="FSC127" s="140"/>
      <c r="FSD127" s="140"/>
      <c r="FSE127" s="140"/>
      <c r="FSF127" s="140"/>
      <c r="FSG127" s="140"/>
      <c r="FSH127" s="140"/>
      <c r="FSI127" s="140"/>
      <c r="FSJ127" s="140"/>
      <c r="FSK127" s="140"/>
      <c r="FSL127" s="140"/>
      <c r="FSM127" s="140"/>
      <c r="FSN127" s="140"/>
      <c r="FSO127" s="140"/>
      <c r="FSP127" s="140"/>
      <c r="FSQ127" s="140"/>
      <c r="FSR127" s="140"/>
      <c r="FSS127" s="140"/>
      <c r="FST127" s="140"/>
      <c r="FSU127" s="140"/>
      <c r="FSV127" s="140"/>
      <c r="FSW127" s="140"/>
      <c r="FSX127" s="140"/>
      <c r="FSY127" s="140"/>
      <c r="FSZ127" s="140"/>
      <c r="FTA127" s="140"/>
      <c r="FTB127" s="140"/>
      <c r="FTC127" s="140"/>
      <c r="FTD127" s="140"/>
      <c r="FTE127" s="140"/>
      <c r="FTF127" s="140"/>
      <c r="FTG127" s="140"/>
      <c r="FTH127" s="140"/>
      <c r="FTI127" s="140"/>
      <c r="FTJ127" s="140"/>
      <c r="FTK127" s="140"/>
      <c r="FTL127" s="140"/>
      <c r="FTM127" s="140"/>
      <c r="FTN127" s="140"/>
      <c r="FTO127" s="140"/>
      <c r="FTP127" s="140"/>
      <c r="FTQ127" s="140"/>
      <c r="FTR127" s="140"/>
      <c r="FTS127" s="140"/>
      <c r="FTT127" s="140"/>
      <c r="FTU127" s="140"/>
      <c r="FTV127" s="140"/>
      <c r="FTW127" s="140"/>
      <c r="FTX127" s="140"/>
      <c r="FTY127" s="140"/>
      <c r="FTZ127" s="140"/>
      <c r="FUA127" s="140"/>
      <c r="FUB127" s="140"/>
      <c r="FUC127" s="140"/>
      <c r="FUD127" s="140"/>
      <c r="FUE127" s="140"/>
      <c r="FUF127" s="140"/>
      <c r="FUG127" s="140"/>
      <c r="FUH127" s="140"/>
      <c r="FUI127" s="140"/>
      <c r="FUJ127" s="140"/>
      <c r="FUK127" s="140"/>
      <c r="FUL127" s="140"/>
      <c r="FUM127" s="140"/>
      <c r="FUN127" s="140"/>
      <c r="FUO127" s="140"/>
      <c r="FUP127" s="140"/>
      <c r="FUQ127" s="140"/>
      <c r="FUR127" s="140"/>
      <c r="FUS127" s="140"/>
      <c r="FUT127" s="140"/>
      <c r="FUU127" s="140"/>
      <c r="FUV127" s="140"/>
      <c r="FUW127" s="140"/>
      <c r="FUX127" s="140"/>
      <c r="FUY127" s="140"/>
      <c r="FUZ127" s="140"/>
      <c r="FVA127" s="140"/>
      <c r="FVB127" s="140"/>
      <c r="FVC127" s="140"/>
      <c r="FVD127" s="140"/>
      <c r="FVE127" s="140"/>
      <c r="FVF127" s="140"/>
      <c r="FVG127" s="140"/>
      <c r="FVH127" s="140"/>
      <c r="FVI127" s="140"/>
      <c r="FVJ127" s="140"/>
      <c r="FVK127" s="140"/>
      <c r="FVL127" s="140"/>
      <c r="FVM127" s="140"/>
      <c r="FVN127" s="140"/>
      <c r="FVO127" s="140"/>
      <c r="FVP127" s="140"/>
      <c r="FVQ127" s="140"/>
      <c r="FVR127" s="140"/>
      <c r="FVS127" s="140"/>
      <c r="FVT127" s="140"/>
      <c r="FVU127" s="140"/>
      <c r="FVV127" s="140"/>
      <c r="FVW127" s="140"/>
      <c r="FVX127" s="140"/>
      <c r="FVY127" s="140"/>
      <c r="FVZ127" s="140"/>
      <c r="FWA127" s="140"/>
      <c r="FWB127" s="140"/>
      <c r="FWC127" s="140"/>
      <c r="FWD127" s="140"/>
      <c r="FWE127" s="140"/>
      <c r="FWF127" s="140"/>
      <c r="FWG127" s="140"/>
      <c r="FWH127" s="140"/>
      <c r="FWI127" s="140"/>
      <c r="FWJ127" s="140"/>
      <c r="FWK127" s="140"/>
      <c r="FWL127" s="140"/>
      <c r="FWM127" s="140"/>
      <c r="FWN127" s="140"/>
      <c r="FWO127" s="140"/>
      <c r="FWP127" s="140"/>
      <c r="FWQ127" s="140"/>
      <c r="FWR127" s="140"/>
      <c r="FWS127" s="140"/>
      <c r="FWT127" s="140"/>
      <c r="FWU127" s="140"/>
      <c r="FWV127" s="140"/>
      <c r="FWW127" s="140"/>
      <c r="FWX127" s="140"/>
      <c r="FWY127" s="140"/>
      <c r="FWZ127" s="140"/>
      <c r="FXA127" s="140"/>
      <c r="FXB127" s="140"/>
      <c r="FXC127" s="140"/>
      <c r="FXD127" s="140"/>
      <c r="FXE127" s="140"/>
      <c r="FXF127" s="140"/>
      <c r="FXG127" s="140"/>
      <c r="FXH127" s="140"/>
      <c r="FXI127" s="140"/>
      <c r="FXJ127" s="140"/>
      <c r="FXK127" s="140"/>
      <c r="FXL127" s="140"/>
      <c r="FXM127" s="140"/>
      <c r="FXN127" s="140"/>
      <c r="FXO127" s="140"/>
      <c r="FXP127" s="140"/>
      <c r="FXQ127" s="140"/>
      <c r="FXR127" s="140"/>
      <c r="FXS127" s="140"/>
      <c r="FXT127" s="140"/>
      <c r="FXU127" s="140"/>
      <c r="FXV127" s="140"/>
      <c r="FXW127" s="140"/>
      <c r="FXX127" s="140"/>
      <c r="FXY127" s="140"/>
      <c r="FXZ127" s="140"/>
      <c r="FYA127" s="140"/>
      <c r="FYB127" s="140"/>
      <c r="FYC127" s="140"/>
      <c r="FYD127" s="140"/>
      <c r="FYE127" s="140"/>
      <c r="FYF127" s="140"/>
      <c r="FYG127" s="140"/>
      <c r="FYH127" s="140"/>
      <c r="FYI127" s="140"/>
      <c r="FYJ127" s="140"/>
      <c r="FYK127" s="140"/>
      <c r="FYL127" s="140"/>
      <c r="FYM127" s="140"/>
      <c r="FYN127" s="140"/>
      <c r="FYO127" s="140"/>
      <c r="FYP127" s="140"/>
      <c r="FYQ127" s="140"/>
      <c r="FYR127" s="140"/>
      <c r="FYS127" s="140"/>
      <c r="FYT127" s="140"/>
      <c r="FYU127" s="140"/>
      <c r="FYV127" s="140"/>
      <c r="FYW127" s="140"/>
      <c r="FYX127" s="140"/>
      <c r="FYY127" s="140"/>
      <c r="FYZ127" s="140"/>
      <c r="FZA127" s="140"/>
      <c r="FZB127" s="140"/>
      <c r="FZC127" s="140"/>
      <c r="FZD127" s="140"/>
      <c r="FZE127" s="140"/>
      <c r="FZF127" s="140"/>
      <c r="FZG127" s="140"/>
      <c r="FZH127" s="140"/>
      <c r="FZI127" s="140"/>
      <c r="FZJ127" s="140"/>
      <c r="FZK127" s="140"/>
      <c r="FZL127" s="140"/>
      <c r="FZM127" s="140"/>
      <c r="FZN127" s="140"/>
      <c r="FZO127" s="140"/>
      <c r="FZP127" s="140"/>
      <c r="FZQ127" s="140"/>
      <c r="FZR127" s="140"/>
      <c r="FZS127" s="140"/>
      <c r="FZT127" s="140"/>
      <c r="FZU127" s="140"/>
      <c r="FZV127" s="140"/>
      <c r="FZW127" s="140"/>
      <c r="FZX127" s="140"/>
      <c r="FZY127" s="140"/>
      <c r="FZZ127" s="140"/>
      <c r="GAA127" s="140"/>
      <c r="GAB127" s="140"/>
      <c r="GAC127" s="140"/>
      <c r="GAD127" s="140"/>
      <c r="GAE127" s="140"/>
      <c r="GAF127" s="140"/>
      <c r="GAG127" s="140"/>
      <c r="GAH127" s="140"/>
      <c r="GAI127" s="140"/>
      <c r="GAJ127" s="140"/>
      <c r="GAK127" s="140"/>
      <c r="GAL127" s="140"/>
      <c r="GAM127" s="140"/>
      <c r="GAN127" s="140"/>
      <c r="GAO127" s="140"/>
      <c r="GAP127" s="140"/>
      <c r="GAQ127" s="140"/>
      <c r="GAR127" s="140"/>
      <c r="GAS127" s="140"/>
      <c r="GAT127" s="140"/>
      <c r="GAU127" s="140"/>
      <c r="GAV127" s="140"/>
      <c r="GAW127" s="140"/>
      <c r="GAX127" s="140"/>
      <c r="GAY127" s="140"/>
      <c r="GAZ127" s="140"/>
      <c r="GBA127" s="140"/>
      <c r="GBB127" s="140"/>
      <c r="GBC127" s="140"/>
      <c r="GBD127" s="140"/>
      <c r="GBE127" s="140"/>
      <c r="GBF127" s="140"/>
      <c r="GBG127" s="140"/>
      <c r="GBH127" s="140"/>
      <c r="GBI127" s="140"/>
      <c r="GBJ127" s="140"/>
      <c r="GBK127" s="140"/>
      <c r="GBL127" s="140"/>
      <c r="GBM127" s="140"/>
      <c r="GBN127" s="140"/>
      <c r="GBO127" s="140"/>
      <c r="GBP127" s="140"/>
      <c r="GBQ127" s="140"/>
      <c r="GBR127" s="140"/>
      <c r="GBS127" s="140"/>
      <c r="GBT127" s="140"/>
      <c r="GBU127" s="140"/>
      <c r="GBV127" s="140"/>
      <c r="GBW127" s="140"/>
      <c r="GBX127" s="140"/>
      <c r="GBY127" s="140"/>
      <c r="GBZ127" s="140"/>
      <c r="GCA127" s="140"/>
      <c r="GCB127" s="140"/>
      <c r="GCC127" s="140"/>
      <c r="GCD127" s="140"/>
      <c r="GCE127" s="140"/>
      <c r="GCF127" s="140"/>
      <c r="GCG127" s="140"/>
      <c r="GCH127" s="140"/>
      <c r="GCI127" s="140"/>
      <c r="GCJ127" s="140"/>
      <c r="GCK127" s="140"/>
      <c r="GCL127" s="140"/>
      <c r="GCM127" s="140"/>
      <c r="GCN127" s="140"/>
      <c r="GCO127" s="140"/>
      <c r="GCP127" s="140"/>
      <c r="GCQ127" s="140"/>
      <c r="GCR127" s="140"/>
      <c r="GCS127" s="140"/>
      <c r="GCT127" s="140"/>
      <c r="GCU127" s="140"/>
      <c r="GCV127" s="140"/>
      <c r="GCW127" s="140"/>
      <c r="GCX127" s="140"/>
      <c r="GCY127" s="140"/>
      <c r="GCZ127" s="140"/>
      <c r="GDA127" s="140"/>
      <c r="GDB127" s="140"/>
      <c r="GDC127" s="140"/>
      <c r="GDD127" s="140"/>
      <c r="GDE127" s="140"/>
      <c r="GDF127" s="140"/>
      <c r="GDG127" s="140"/>
      <c r="GDH127" s="140"/>
      <c r="GDI127" s="140"/>
      <c r="GDJ127" s="140"/>
      <c r="GDK127" s="140"/>
      <c r="GDL127" s="140"/>
      <c r="GDM127" s="140"/>
      <c r="GDN127" s="140"/>
      <c r="GDO127" s="140"/>
      <c r="GDP127" s="140"/>
      <c r="GDQ127" s="140"/>
      <c r="GDR127" s="140"/>
      <c r="GDS127" s="140"/>
      <c r="GDT127" s="140"/>
      <c r="GDU127" s="140"/>
      <c r="GDV127" s="140"/>
      <c r="GDW127" s="140"/>
      <c r="GDX127" s="140"/>
      <c r="GDY127" s="140"/>
      <c r="GDZ127" s="140"/>
      <c r="GEA127" s="140"/>
      <c r="GEB127" s="140"/>
      <c r="GEC127" s="140"/>
      <c r="GED127" s="140"/>
      <c r="GEE127" s="140"/>
      <c r="GEF127" s="140"/>
      <c r="GEG127" s="140"/>
      <c r="GEH127" s="140"/>
      <c r="GEI127" s="140"/>
      <c r="GEJ127" s="140"/>
      <c r="GEK127" s="140"/>
      <c r="GEL127" s="140"/>
      <c r="GEM127" s="140"/>
      <c r="GEN127" s="140"/>
      <c r="GEO127" s="140"/>
      <c r="GEP127" s="140"/>
      <c r="GEQ127" s="140"/>
      <c r="GER127" s="140"/>
      <c r="GES127" s="140"/>
      <c r="GET127" s="140"/>
      <c r="GEU127" s="140"/>
      <c r="GEV127" s="140"/>
      <c r="GEW127" s="140"/>
      <c r="GEX127" s="140"/>
      <c r="GEY127" s="140"/>
      <c r="GEZ127" s="140"/>
      <c r="GFA127" s="140"/>
      <c r="GFB127" s="140"/>
      <c r="GFC127" s="140"/>
      <c r="GFD127" s="140"/>
      <c r="GFE127" s="140"/>
      <c r="GFF127" s="140"/>
      <c r="GFG127" s="140"/>
      <c r="GFH127" s="140"/>
      <c r="GFI127" s="140"/>
      <c r="GFJ127" s="140"/>
      <c r="GFK127" s="140"/>
      <c r="GFL127" s="140"/>
      <c r="GFM127" s="140"/>
      <c r="GFN127" s="140"/>
      <c r="GFO127" s="140"/>
      <c r="GFP127" s="140"/>
      <c r="GFQ127" s="140"/>
      <c r="GFR127" s="140"/>
      <c r="GFS127" s="140"/>
      <c r="GFT127" s="140"/>
      <c r="GFU127" s="140"/>
      <c r="GFV127" s="140"/>
      <c r="GFW127" s="140"/>
      <c r="GFX127" s="140"/>
      <c r="GFY127" s="140"/>
      <c r="GFZ127" s="140"/>
      <c r="GGA127" s="140"/>
      <c r="GGB127" s="140"/>
      <c r="GGC127" s="140"/>
      <c r="GGD127" s="140"/>
      <c r="GGE127" s="140"/>
      <c r="GGF127" s="140"/>
      <c r="GGG127" s="140"/>
      <c r="GGH127" s="140"/>
      <c r="GGI127" s="140"/>
      <c r="GGJ127" s="140"/>
      <c r="GGK127" s="140"/>
      <c r="GGL127" s="140"/>
      <c r="GGM127" s="140"/>
      <c r="GGN127" s="140"/>
      <c r="GGO127" s="140"/>
      <c r="GGP127" s="140"/>
      <c r="GGQ127" s="140"/>
      <c r="GGR127" s="140"/>
      <c r="GGS127" s="140"/>
      <c r="GGT127" s="140"/>
      <c r="GGU127" s="140"/>
      <c r="GGV127" s="140"/>
      <c r="GGW127" s="140"/>
      <c r="GGX127" s="140"/>
      <c r="GGY127" s="140"/>
      <c r="GGZ127" s="140"/>
      <c r="GHA127" s="140"/>
      <c r="GHB127" s="140"/>
      <c r="GHC127" s="140"/>
      <c r="GHD127" s="140"/>
      <c r="GHE127" s="140"/>
      <c r="GHF127" s="140"/>
      <c r="GHG127" s="140"/>
      <c r="GHH127" s="140"/>
      <c r="GHI127" s="140"/>
      <c r="GHJ127" s="140"/>
      <c r="GHK127" s="140"/>
      <c r="GHL127" s="140"/>
      <c r="GHM127" s="140"/>
      <c r="GHN127" s="140"/>
      <c r="GHO127" s="140"/>
      <c r="GHP127" s="140"/>
      <c r="GHQ127" s="140"/>
      <c r="GHR127" s="140"/>
      <c r="GHS127" s="140"/>
      <c r="GHT127" s="140"/>
      <c r="GHU127" s="140"/>
      <c r="GHV127" s="140"/>
      <c r="GHW127" s="140"/>
      <c r="GHX127" s="140"/>
      <c r="GHY127" s="140"/>
      <c r="GHZ127" s="140"/>
      <c r="GIA127" s="140"/>
      <c r="GIB127" s="140"/>
      <c r="GIC127" s="140"/>
      <c r="GID127" s="140"/>
      <c r="GIE127" s="140"/>
      <c r="GIF127" s="140"/>
      <c r="GIG127" s="140"/>
      <c r="GIH127" s="140"/>
      <c r="GII127" s="140"/>
      <c r="GIJ127" s="140"/>
      <c r="GIK127" s="140"/>
      <c r="GIL127" s="140"/>
      <c r="GIM127" s="140"/>
      <c r="GIN127" s="140"/>
      <c r="GIO127" s="140"/>
      <c r="GIP127" s="140"/>
      <c r="GIQ127" s="140"/>
      <c r="GIR127" s="140"/>
      <c r="GIS127" s="140"/>
      <c r="GIT127" s="140"/>
      <c r="GIU127" s="140"/>
      <c r="GIV127" s="140"/>
      <c r="GIW127" s="140"/>
      <c r="GIX127" s="140"/>
      <c r="GIY127" s="140"/>
      <c r="GIZ127" s="140"/>
      <c r="GJA127" s="140"/>
      <c r="GJB127" s="140"/>
      <c r="GJC127" s="140"/>
      <c r="GJD127" s="140"/>
      <c r="GJE127" s="140"/>
      <c r="GJF127" s="140"/>
      <c r="GJG127" s="140"/>
      <c r="GJH127" s="140"/>
      <c r="GJI127" s="140"/>
      <c r="GJJ127" s="140"/>
      <c r="GJK127" s="140"/>
      <c r="GJL127" s="140"/>
      <c r="GJM127" s="140"/>
      <c r="GJN127" s="140"/>
      <c r="GJO127" s="140"/>
      <c r="GJP127" s="140"/>
      <c r="GJQ127" s="140"/>
      <c r="GJR127" s="140"/>
      <c r="GJS127" s="140"/>
      <c r="GJT127" s="140"/>
      <c r="GJU127" s="140"/>
      <c r="GJV127" s="140"/>
      <c r="GJW127" s="140"/>
      <c r="GJX127" s="140"/>
      <c r="GJY127" s="140"/>
      <c r="GJZ127" s="140"/>
      <c r="GKA127" s="140"/>
      <c r="GKB127" s="140"/>
      <c r="GKC127" s="140"/>
      <c r="GKD127" s="140"/>
      <c r="GKE127" s="140"/>
      <c r="GKF127" s="140"/>
      <c r="GKG127" s="140"/>
      <c r="GKH127" s="140"/>
      <c r="GKI127" s="140"/>
      <c r="GKJ127" s="140"/>
      <c r="GKK127" s="140"/>
      <c r="GKL127" s="140"/>
      <c r="GKM127" s="140"/>
      <c r="GKN127" s="140"/>
      <c r="GKO127" s="140"/>
      <c r="GKP127" s="140"/>
      <c r="GKQ127" s="140"/>
      <c r="GKR127" s="140"/>
      <c r="GKS127" s="140"/>
      <c r="GKT127" s="140"/>
      <c r="GKU127" s="140"/>
      <c r="GKV127" s="140"/>
      <c r="GKW127" s="140"/>
      <c r="GKX127" s="140"/>
      <c r="GKY127" s="140"/>
      <c r="GKZ127" s="140"/>
      <c r="GLA127" s="140"/>
      <c r="GLB127" s="140"/>
      <c r="GLC127" s="140"/>
      <c r="GLD127" s="140"/>
      <c r="GLE127" s="140"/>
      <c r="GLF127" s="140"/>
      <c r="GLG127" s="140"/>
      <c r="GLH127" s="140"/>
      <c r="GLI127" s="140"/>
      <c r="GLJ127" s="140"/>
      <c r="GLK127" s="140"/>
      <c r="GLL127" s="140"/>
      <c r="GLM127" s="140"/>
      <c r="GLN127" s="140"/>
      <c r="GLO127" s="140"/>
      <c r="GLP127" s="140"/>
      <c r="GLQ127" s="140"/>
      <c r="GLR127" s="140"/>
      <c r="GLS127" s="140"/>
      <c r="GLT127" s="140"/>
      <c r="GLU127" s="140"/>
      <c r="GLV127" s="140"/>
      <c r="GLW127" s="140"/>
      <c r="GLX127" s="140"/>
      <c r="GLY127" s="140"/>
      <c r="GLZ127" s="140"/>
      <c r="GMA127" s="140"/>
      <c r="GMB127" s="140"/>
      <c r="GMC127" s="140"/>
      <c r="GMD127" s="140"/>
      <c r="GME127" s="140"/>
      <c r="GMF127" s="140"/>
      <c r="GMG127" s="140"/>
      <c r="GMH127" s="140"/>
      <c r="GMI127" s="140"/>
      <c r="GMJ127" s="140"/>
      <c r="GMK127" s="140"/>
      <c r="GML127" s="140"/>
      <c r="GMM127" s="140"/>
      <c r="GMN127" s="140"/>
      <c r="GMO127" s="140"/>
      <c r="GMP127" s="140"/>
      <c r="GMQ127" s="140"/>
      <c r="GMR127" s="140"/>
      <c r="GMS127" s="140"/>
      <c r="GMT127" s="140"/>
      <c r="GMU127" s="140"/>
      <c r="GMV127" s="140"/>
      <c r="GMW127" s="140"/>
      <c r="GMX127" s="140"/>
      <c r="GMY127" s="140"/>
      <c r="GMZ127" s="140"/>
      <c r="GNA127" s="140"/>
      <c r="GNB127" s="140"/>
      <c r="GNC127" s="140"/>
      <c r="GND127" s="140"/>
      <c r="GNE127" s="140"/>
      <c r="GNF127" s="140"/>
      <c r="GNG127" s="140"/>
      <c r="GNH127" s="140"/>
      <c r="GNI127" s="140"/>
      <c r="GNJ127" s="140"/>
      <c r="GNK127" s="140"/>
      <c r="GNL127" s="140"/>
      <c r="GNM127" s="140"/>
      <c r="GNN127" s="140"/>
      <c r="GNO127" s="140"/>
      <c r="GNP127" s="140"/>
      <c r="GNQ127" s="140"/>
      <c r="GNR127" s="140"/>
      <c r="GNS127" s="140"/>
      <c r="GNT127" s="140"/>
      <c r="GNU127" s="140"/>
      <c r="GNV127" s="140"/>
      <c r="GNW127" s="140"/>
      <c r="GNX127" s="140"/>
      <c r="GNY127" s="140"/>
      <c r="GNZ127" s="140"/>
      <c r="GOA127" s="140"/>
      <c r="GOB127" s="140"/>
      <c r="GOC127" s="140"/>
      <c r="GOD127" s="140"/>
      <c r="GOE127" s="140"/>
      <c r="GOF127" s="140"/>
      <c r="GOG127" s="140"/>
      <c r="GOH127" s="140"/>
      <c r="GOI127" s="140"/>
      <c r="GOJ127" s="140"/>
      <c r="GOK127" s="140"/>
      <c r="GOL127" s="140"/>
      <c r="GOM127" s="140"/>
      <c r="GON127" s="140"/>
      <c r="GOO127" s="140"/>
      <c r="GOP127" s="140"/>
      <c r="GOQ127" s="140"/>
      <c r="GOR127" s="140"/>
      <c r="GOS127" s="140"/>
      <c r="GOT127" s="140"/>
      <c r="GOU127" s="140"/>
      <c r="GOV127" s="140"/>
      <c r="GOW127" s="140"/>
      <c r="GOX127" s="140"/>
      <c r="GOY127" s="140"/>
      <c r="GOZ127" s="140"/>
      <c r="GPA127" s="140"/>
      <c r="GPB127" s="140"/>
      <c r="GPC127" s="140"/>
      <c r="GPD127" s="140"/>
      <c r="GPE127" s="140"/>
      <c r="GPF127" s="140"/>
      <c r="GPG127" s="140"/>
      <c r="GPH127" s="140"/>
      <c r="GPI127" s="140"/>
      <c r="GPJ127" s="140"/>
      <c r="GPK127" s="140"/>
      <c r="GPL127" s="140"/>
      <c r="GPM127" s="140"/>
      <c r="GPN127" s="140"/>
      <c r="GPO127" s="140"/>
      <c r="GPP127" s="140"/>
      <c r="GPQ127" s="140"/>
      <c r="GPR127" s="140"/>
      <c r="GPS127" s="140"/>
      <c r="GPT127" s="140"/>
      <c r="GPU127" s="140"/>
      <c r="GPV127" s="140"/>
      <c r="GPW127" s="140"/>
      <c r="GPX127" s="140"/>
      <c r="GPY127" s="140"/>
      <c r="GPZ127" s="140"/>
      <c r="GQA127" s="140"/>
      <c r="GQB127" s="140"/>
      <c r="GQC127" s="140"/>
      <c r="GQD127" s="140"/>
      <c r="GQE127" s="140"/>
      <c r="GQF127" s="140"/>
      <c r="GQG127" s="140"/>
      <c r="GQH127" s="140"/>
      <c r="GQI127" s="140"/>
      <c r="GQJ127" s="140"/>
      <c r="GQK127" s="140"/>
      <c r="GQL127" s="140"/>
      <c r="GQM127" s="140"/>
      <c r="GQN127" s="140"/>
      <c r="GQO127" s="140"/>
      <c r="GQP127" s="140"/>
      <c r="GQQ127" s="140"/>
      <c r="GQR127" s="140"/>
      <c r="GQS127" s="140"/>
      <c r="GQT127" s="140"/>
      <c r="GQU127" s="140"/>
      <c r="GQV127" s="140"/>
      <c r="GQW127" s="140"/>
      <c r="GQX127" s="140"/>
      <c r="GQY127" s="140"/>
      <c r="GQZ127" s="140"/>
      <c r="GRA127" s="140"/>
      <c r="GRB127" s="140"/>
      <c r="GRC127" s="140"/>
      <c r="GRD127" s="140"/>
      <c r="GRE127" s="140"/>
      <c r="GRF127" s="140"/>
      <c r="GRG127" s="140"/>
      <c r="GRH127" s="140"/>
      <c r="GRI127" s="140"/>
      <c r="GRJ127" s="140"/>
      <c r="GRK127" s="140"/>
      <c r="GRL127" s="140"/>
      <c r="GRM127" s="140"/>
      <c r="GRN127" s="140"/>
      <c r="GRO127" s="140"/>
      <c r="GRP127" s="140"/>
      <c r="GRQ127" s="140"/>
      <c r="GRR127" s="140"/>
      <c r="GRS127" s="140"/>
      <c r="GRT127" s="140"/>
      <c r="GRU127" s="140"/>
      <c r="GRV127" s="140"/>
      <c r="GRW127" s="140"/>
      <c r="GRX127" s="140"/>
      <c r="GRY127" s="140"/>
      <c r="GRZ127" s="140"/>
      <c r="GSA127" s="140"/>
      <c r="GSB127" s="140"/>
      <c r="GSC127" s="140"/>
      <c r="GSD127" s="140"/>
      <c r="GSE127" s="140"/>
      <c r="GSF127" s="140"/>
      <c r="GSG127" s="140"/>
      <c r="GSH127" s="140"/>
      <c r="GSI127" s="140"/>
      <c r="GSJ127" s="140"/>
      <c r="GSK127" s="140"/>
      <c r="GSL127" s="140"/>
      <c r="GSM127" s="140"/>
      <c r="GSN127" s="140"/>
      <c r="GSO127" s="140"/>
      <c r="GSP127" s="140"/>
      <c r="GSQ127" s="140"/>
      <c r="GSR127" s="140"/>
      <c r="GSS127" s="140"/>
      <c r="GST127" s="140"/>
      <c r="GSU127" s="140"/>
      <c r="GSV127" s="140"/>
      <c r="GSW127" s="140"/>
      <c r="GSX127" s="140"/>
      <c r="GSY127" s="140"/>
      <c r="GSZ127" s="140"/>
      <c r="GTA127" s="140"/>
      <c r="GTB127" s="140"/>
      <c r="GTC127" s="140"/>
      <c r="GTD127" s="140"/>
      <c r="GTE127" s="140"/>
      <c r="GTF127" s="140"/>
      <c r="GTG127" s="140"/>
      <c r="GTH127" s="140"/>
      <c r="GTI127" s="140"/>
      <c r="GTJ127" s="140"/>
      <c r="GTK127" s="140"/>
      <c r="GTL127" s="140"/>
      <c r="GTM127" s="140"/>
      <c r="GTN127" s="140"/>
      <c r="GTO127" s="140"/>
      <c r="GTP127" s="140"/>
      <c r="GTQ127" s="140"/>
      <c r="GTR127" s="140"/>
      <c r="GTS127" s="140"/>
      <c r="GTT127" s="140"/>
      <c r="GTU127" s="140"/>
      <c r="GTV127" s="140"/>
      <c r="GTW127" s="140"/>
      <c r="GTX127" s="140"/>
      <c r="GTY127" s="140"/>
      <c r="GTZ127" s="140"/>
      <c r="GUA127" s="140"/>
      <c r="GUB127" s="140"/>
      <c r="GUC127" s="140"/>
      <c r="GUD127" s="140"/>
      <c r="GUE127" s="140"/>
      <c r="GUF127" s="140"/>
      <c r="GUG127" s="140"/>
      <c r="GUH127" s="140"/>
      <c r="GUI127" s="140"/>
      <c r="GUJ127" s="140"/>
      <c r="GUK127" s="140"/>
      <c r="GUL127" s="140"/>
      <c r="GUM127" s="140"/>
      <c r="GUN127" s="140"/>
      <c r="GUO127" s="140"/>
      <c r="GUP127" s="140"/>
      <c r="GUQ127" s="140"/>
      <c r="GUR127" s="140"/>
      <c r="GUS127" s="140"/>
      <c r="GUT127" s="140"/>
      <c r="GUU127" s="140"/>
      <c r="GUV127" s="140"/>
      <c r="GUW127" s="140"/>
      <c r="GUX127" s="140"/>
      <c r="GUY127" s="140"/>
      <c r="GUZ127" s="140"/>
      <c r="GVA127" s="140"/>
      <c r="GVB127" s="140"/>
      <c r="GVC127" s="140"/>
      <c r="GVD127" s="140"/>
      <c r="GVE127" s="140"/>
      <c r="GVF127" s="140"/>
      <c r="GVG127" s="140"/>
      <c r="GVH127" s="140"/>
      <c r="GVI127" s="140"/>
      <c r="GVJ127" s="140"/>
      <c r="GVK127" s="140"/>
      <c r="GVL127" s="140"/>
      <c r="GVM127" s="140"/>
      <c r="GVN127" s="140"/>
      <c r="GVO127" s="140"/>
      <c r="GVP127" s="140"/>
      <c r="GVQ127" s="140"/>
      <c r="GVR127" s="140"/>
      <c r="GVS127" s="140"/>
      <c r="GVT127" s="140"/>
      <c r="GVU127" s="140"/>
      <c r="GVV127" s="140"/>
      <c r="GVW127" s="140"/>
      <c r="GVX127" s="140"/>
      <c r="GVY127" s="140"/>
      <c r="GVZ127" s="140"/>
      <c r="GWA127" s="140"/>
      <c r="GWB127" s="140"/>
      <c r="GWC127" s="140"/>
      <c r="GWD127" s="140"/>
      <c r="GWE127" s="140"/>
      <c r="GWF127" s="140"/>
      <c r="GWG127" s="140"/>
      <c r="GWH127" s="140"/>
      <c r="GWI127" s="140"/>
      <c r="GWJ127" s="140"/>
      <c r="GWK127" s="140"/>
      <c r="GWL127" s="140"/>
      <c r="GWM127" s="140"/>
      <c r="GWN127" s="140"/>
      <c r="GWO127" s="140"/>
      <c r="GWP127" s="140"/>
      <c r="GWQ127" s="140"/>
      <c r="GWR127" s="140"/>
      <c r="GWS127" s="140"/>
      <c r="GWT127" s="140"/>
      <c r="GWU127" s="140"/>
      <c r="GWV127" s="140"/>
      <c r="GWW127" s="140"/>
      <c r="GWX127" s="140"/>
      <c r="GWY127" s="140"/>
      <c r="GWZ127" s="140"/>
      <c r="GXA127" s="140"/>
      <c r="GXB127" s="140"/>
      <c r="GXC127" s="140"/>
      <c r="GXD127" s="140"/>
      <c r="GXE127" s="140"/>
      <c r="GXF127" s="140"/>
      <c r="GXG127" s="140"/>
      <c r="GXH127" s="140"/>
      <c r="GXI127" s="140"/>
      <c r="GXJ127" s="140"/>
      <c r="GXK127" s="140"/>
      <c r="GXL127" s="140"/>
      <c r="GXM127" s="140"/>
      <c r="GXN127" s="140"/>
      <c r="GXO127" s="140"/>
      <c r="GXP127" s="140"/>
      <c r="GXQ127" s="140"/>
      <c r="GXR127" s="140"/>
      <c r="GXS127" s="140"/>
      <c r="GXT127" s="140"/>
      <c r="GXU127" s="140"/>
      <c r="GXV127" s="140"/>
      <c r="GXW127" s="140"/>
      <c r="GXX127" s="140"/>
      <c r="GXY127" s="140"/>
      <c r="GXZ127" s="140"/>
      <c r="GYA127" s="140"/>
      <c r="GYB127" s="140"/>
      <c r="GYC127" s="140"/>
      <c r="GYD127" s="140"/>
      <c r="GYE127" s="140"/>
      <c r="GYF127" s="140"/>
      <c r="GYG127" s="140"/>
      <c r="GYH127" s="140"/>
      <c r="GYI127" s="140"/>
      <c r="GYJ127" s="140"/>
      <c r="GYK127" s="140"/>
      <c r="GYL127" s="140"/>
      <c r="GYM127" s="140"/>
      <c r="GYN127" s="140"/>
      <c r="GYO127" s="140"/>
      <c r="GYP127" s="140"/>
      <c r="GYQ127" s="140"/>
      <c r="GYR127" s="140"/>
      <c r="GYS127" s="140"/>
      <c r="GYT127" s="140"/>
      <c r="GYU127" s="140"/>
      <c r="GYV127" s="140"/>
      <c r="GYW127" s="140"/>
      <c r="GYX127" s="140"/>
      <c r="GYY127" s="140"/>
      <c r="GYZ127" s="140"/>
      <c r="GZA127" s="140"/>
      <c r="GZB127" s="140"/>
      <c r="GZC127" s="140"/>
      <c r="GZD127" s="140"/>
      <c r="GZE127" s="140"/>
      <c r="GZF127" s="140"/>
      <c r="GZG127" s="140"/>
      <c r="GZH127" s="140"/>
      <c r="GZI127" s="140"/>
      <c r="GZJ127" s="140"/>
      <c r="GZK127" s="140"/>
      <c r="GZL127" s="140"/>
      <c r="GZM127" s="140"/>
      <c r="GZN127" s="140"/>
      <c r="GZO127" s="140"/>
      <c r="GZP127" s="140"/>
      <c r="GZQ127" s="140"/>
      <c r="GZR127" s="140"/>
      <c r="GZS127" s="140"/>
      <c r="GZT127" s="140"/>
      <c r="GZU127" s="140"/>
      <c r="GZV127" s="140"/>
      <c r="GZW127" s="140"/>
      <c r="GZX127" s="140"/>
      <c r="GZY127" s="140"/>
      <c r="GZZ127" s="140"/>
      <c r="HAA127" s="140"/>
      <c r="HAB127" s="140"/>
      <c r="HAC127" s="140"/>
      <c r="HAD127" s="140"/>
      <c r="HAE127" s="140"/>
      <c r="HAF127" s="140"/>
      <c r="HAG127" s="140"/>
      <c r="HAH127" s="140"/>
      <c r="HAI127" s="140"/>
      <c r="HAJ127" s="140"/>
      <c r="HAK127" s="140"/>
      <c r="HAL127" s="140"/>
      <c r="HAM127" s="140"/>
      <c r="HAN127" s="140"/>
      <c r="HAO127" s="140"/>
      <c r="HAP127" s="140"/>
      <c r="HAQ127" s="140"/>
      <c r="HAR127" s="140"/>
      <c r="HAS127" s="140"/>
      <c r="HAT127" s="140"/>
      <c r="HAU127" s="140"/>
      <c r="HAV127" s="140"/>
      <c r="HAW127" s="140"/>
      <c r="HAX127" s="140"/>
      <c r="HAY127" s="140"/>
      <c r="HAZ127" s="140"/>
      <c r="HBA127" s="140"/>
      <c r="HBB127" s="140"/>
      <c r="HBC127" s="140"/>
      <c r="HBD127" s="140"/>
      <c r="HBE127" s="140"/>
      <c r="HBF127" s="140"/>
      <c r="HBG127" s="140"/>
      <c r="HBH127" s="140"/>
      <c r="HBI127" s="140"/>
      <c r="HBJ127" s="140"/>
      <c r="HBK127" s="140"/>
      <c r="HBL127" s="140"/>
      <c r="HBM127" s="140"/>
      <c r="HBN127" s="140"/>
      <c r="HBO127" s="140"/>
      <c r="HBP127" s="140"/>
      <c r="HBQ127" s="140"/>
      <c r="HBR127" s="140"/>
      <c r="HBS127" s="140"/>
      <c r="HBT127" s="140"/>
      <c r="HBU127" s="140"/>
      <c r="HBV127" s="140"/>
      <c r="HBW127" s="140"/>
      <c r="HBX127" s="140"/>
      <c r="HBY127" s="140"/>
      <c r="HBZ127" s="140"/>
      <c r="HCA127" s="140"/>
      <c r="HCB127" s="140"/>
      <c r="HCC127" s="140"/>
      <c r="HCD127" s="140"/>
      <c r="HCE127" s="140"/>
      <c r="HCF127" s="140"/>
      <c r="HCG127" s="140"/>
      <c r="HCH127" s="140"/>
      <c r="HCI127" s="140"/>
      <c r="HCJ127" s="140"/>
      <c r="HCK127" s="140"/>
      <c r="HCL127" s="140"/>
      <c r="HCM127" s="140"/>
      <c r="HCN127" s="140"/>
      <c r="HCO127" s="140"/>
      <c r="HCP127" s="140"/>
      <c r="HCQ127" s="140"/>
      <c r="HCR127" s="140"/>
      <c r="HCS127" s="140"/>
      <c r="HCT127" s="140"/>
      <c r="HCU127" s="140"/>
      <c r="HCV127" s="140"/>
      <c r="HCW127" s="140"/>
      <c r="HCX127" s="140"/>
      <c r="HCY127" s="140"/>
      <c r="HCZ127" s="140"/>
      <c r="HDA127" s="140"/>
      <c r="HDB127" s="140"/>
      <c r="HDC127" s="140"/>
      <c r="HDD127" s="140"/>
      <c r="HDE127" s="140"/>
      <c r="HDF127" s="140"/>
      <c r="HDG127" s="140"/>
      <c r="HDH127" s="140"/>
      <c r="HDI127" s="140"/>
      <c r="HDJ127" s="140"/>
      <c r="HDK127" s="140"/>
      <c r="HDL127" s="140"/>
      <c r="HDM127" s="140"/>
      <c r="HDN127" s="140"/>
      <c r="HDO127" s="140"/>
      <c r="HDP127" s="140"/>
      <c r="HDQ127" s="140"/>
      <c r="HDR127" s="140"/>
      <c r="HDS127" s="140"/>
      <c r="HDT127" s="140"/>
      <c r="HDU127" s="140"/>
      <c r="HDV127" s="140"/>
      <c r="HDW127" s="140"/>
      <c r="HDX127" s="140"/>
      <c r="HDY127" s="140"/>
      <c r="HDZ127" s="140"/>
      <c r="HEA127" s="140"/>
      <c r="HEB127" s="140"/>
      <c r="HEC127" s="140"/>
      <c r="HED127" s="140"/>
      <c r="HEE127" s="140"/>
      <c r="HEF127" s="140"/>
      <c r="HEG127" s="140"/>
      <c r="HEH127" s="140"/>
      <c r="HEI127" s="140"/>
      <c r="HEJ127" s="140"/>
      <c r="HEK127" s="140"/>
      <c r="HEL127" s="140"/>
      <c r="HEM127" s="140"/>
      <c r="HEN127" s="140"/>
      <c r="HEO127" s="140"/>
      <c r="HEP127" s="140"/>
      <c r="HEQ127" s="140"/>
      <c r="HER127" s="140"/>
      <c r="HES127" s="140"/>
      <c r="HET127" s="140"/>
      <c r="HEU127" s="140"/>
      <c r="HEV127" s="140"/>
      <c r="HEW127" s="140"/>
      <c r="HEX127" s="140"/>
      <c r="HEY127" s="140"/>
      <c r="HEZ127" s="140"/>
      <c r="HFA127" s="140"/>
      <c r="HFB127" s="140"/>
      <c r="HFC127" s="140"/>
      <c r="HFD127" s="140"/>
      <c r="HFE127" s="140"/>
      <c r="HFF127" s="140"/>
      <c r="HFG127" s="140"/>
      <c r="HFH127" s="140"/>
      <c r="HFI127" s="140"/>
      <c r="HFJ127" s="140"/>
      <c r="HFK127" s="140"/>
      <c r="HFL127" s="140"/>
      <c r="HFM127" s="140"/>
      <c r="HFN127" s="140"/>
      <c r="HFO127" s="140"/>
      <c r="HFP127" s="140"/>
      <c r="HFQ127" s="140"/>
      <c r="HFR127" s="140"/>
      <c r="HFS127" s="140"/>
      <c r="HFT127" s="140"/>
      <c r="HFU127" s="140"/>
      <c r="HFV127" s="140"/>
      <c r="HFW127" s="140"/>
      <c r="HFX127" s="140"/>
      <c r="HFY127" s="140"/>
      <c r="HFZ127" s="140"/>
      <c r="HGA127" s="140"/>
      <c r="HGB127" s="140"/>
      <c r="HGC127" s="140"/>
      <c r="HGD127" s="140"/>
      <c r="HGE127" s="140"/>
      <c r="HGF127" s="140"/>
      <c r="HGG127" s="140"/>
      <c r="HGH127" s="140"/>
      <c r="HGI127" s="140"/>
      <c r="HGJ127" s="140"/>
      <c r="HGK127" s="140"/>
      <c r="HGL127" s="140"/>
      <c r="HGM127" s="140"/>
      <c r="HGN127" s="140"/>
      <c r="HGO127" s="140"/>
      <c r="HGP127" s="140"/>
      <c r="HGQ127" s="140"/>
      <c r="HGR127" s="140"/>
      <c r="HGS127" s="140"/>
      <c r="HGT127" s="140"/>
      <c r="HGU127" s="140"/>
      <c r="HGV127" s="140"/>
      <c r="HGW127" s="140"/>
      <c r="HGX127" s="140"/>
      <c r="HGY127" s="140"/>
      <c r="HGZ127" s="140"/>
      <c r="HHA127" s="140"/>
      <c r="HHB127" s="140"/>
      <c r="HHC127" s="140"/>
      <c r="HHD127" s="140"/>
      <c r="HHE127" s="140"/>
      <c r="HHF127" s="140"/>
      <c r="HHG127" s="140"/>
      <c r="HHH127" s="140"/>
      <c r="HHI127" s="140"/>
      <c r="HHJ127" s="140"/>
      <c r="HHK127" s="140"/>
      <c r="HHL127" s="140"/>
      <c r="HHM127" s="140"/>
      <c r="HHN127" s="140"/>
      <c r="HHO127" s="140"/>
      <c r="HHP127" s="140"/>
      <c r="HHQ127" s="140"/>
      <c r="HHR127" s="140"/>
      <c r="HHS127" s="140"/>
      <c r="HHT127" s="140"/>
      <c r="HHU127" s="140"/>
      <c r="HHV127" s="140"/>
      <c r="HHW127" s="140"/>
      <c r="HHX127" s="140"/>
      <c r="HHY127" s="140"/>
      <c r="HHZ127" s="140"/>
      <c r="HIA127" s="140"/>
      <c r="HIB127" s="140"/>
      <c r="HIC127" s="140"/>
      <c r="HID127" s="140"/>
      <c r="HIE127" s="140"/>
      <c r="HIF127" s="140"/>
      <c r="HIG127" s="140"/>
      <c r="HIH127" s="140"/>
      <c r="HII127" s="140"/>
      <c r="HIJ127" s="140"/>
      <c r="HIK127" s="140"/>
      <c r="HIL127" s="140"/>
      <c r="HIM127" s="140"/>
      <c r="HIN127" s="140"/>
      <c r="HIO127" s="140"/>
      <c r="HIP127" s="140"/>
      <c r="HIQ127" s="140"/>
      <c r="HIR127" s="140"/>
      <c r="HIS127" s="140"/>
      <c r="HIT127" s="140"/>
      <c r="HIU127" s="140"/>
      <c r="HIV127" s="140"/>
      <c r="HIW127" s="140"/>
      <c r="HIX127" s="140"/>
      <c r="HIY127" s="140"/>
      <c r="HIZ127" s="140"/>
      <c r="HJA127" s="140"/>
      <c r="HJB127" s="140"/>
      <c r="HJC127" s="140"/>
      <c r="HJD127" s="140"/>
      <c r="HJE127" s="140"/>
      <c r="HJF127" s="140"/>
      <c r="HJG127" s="140"/>
      <c r="HJH127" s="140"/>
      <c r="HJI127" s="140"/>
      <c r="HJJ127" s="140"/>
      <c r="HJK127" s="140"/>
      <c r="HJL127" s="140"/>
      <c r="HJM127" s="140"/>
      <c r="HJN127" s="140"/>
      <c r="HJO127" s="140"/>
      <c r="HJP127" s="140"/>
      <c r="HJQ127" s="140"/>
      <c r="HJR127" s="140"/>
      <c r="HJS127" s="140"/>
      <c r="HJT127" s="140"/>
      <c r="HJU127" s="140"/>
      <c r="HJV127" s="140"/>
      <c r="HJW127" s="140"/>
      <c r="HJX127" s="140"/>
      <c r="HJY127" s="140"/>
      <c r="HJZ127" s="140"/>
      <c r="HKA127" s="140"/>
      <c r="HKB127" s="140"/>
      <c r="HKC127" s="140"/>
      <c r="HKD127" s="140"/>
      <c r="HKE127" s="140"/>
      <c r="HKF127" s="140"/>
      <c r="HKG127" s="140"/>
      <c r="HKH127" s="140"/>
      <c r="HKI127" s="140"/>
      <c r="HKJ127" s="140"/>
      <c r="HKK127" s="140"/>
      <c r="HKL127" s="140"/>
      <c r="HKM127" s="140"/>
      <c r="HKN127" s="140"/>
      <c r="HKO127" s="140"/>
      <c r="HKP127" s="140"/>
      <c r="HKQ127" s="140"/>
      <c r="HKR127" s="140"/>
      <c r="HKS127" s="140"/>
      <c r="HKT127" s="140"/>
      <c r="HKU127" s="140"/>
      <c r="HKV127" s="140"/>
      <c r="HKW127" s="140"/>
      <c r="HKX127" s="140"/>
      <c r="HKY127" s="140"/>
      <c r="HKZ127" s="140"/>
      <c r="HLA127" s="140"/>
      <c r="HLB127" s="140"/>
      <c r="HLC127" s="140"/>
      <c r="HLD127" s="140"/>
      <c r="HLE127" s="140"/>
      <c r="HLF127" s="140"/>
      <c r="HLG127" s="140"/>
      <c r="HLH127" s="140"/>
      <c r="HLI127" s="140"/>
      <c r="HLJ127" s="140"/>
      <c r="HLK127" s="140"/>
      <c r="HLL127" s="140"/>
      <c r="HLM127" s="140"/>
      <c r="HLN127" s="140"/>
      <c r="HLO127" s="140"/>
      <c r="HLP127" s="140"/>
      <c r="HLQ127" s="140"/>
      <c r="HLR127" s="140"/>
      <c r="HLS127" s="140"/>
      <c r="HLT127" s="140"/>
      <c r="HLU127" s="140"/>
      <c r="HLV127" s="140"/>
      <c r="HLW127" s="140"/>
      <c r="HLX127" s="140"/>
      <c r="HLY127" s="140"/>
      <c r="HLZ127" s="140"/>
      <c r="HMA127" s="140"/>
      <c r="HMB127" s="140"/>
      <c r="HMC127" s="140"/>
      <c r="HMD127" s="140"/>
      <c r="HME127" s="140"/>
      <c r="HMF127" s="140"/>
      <c r="HMG127" s="140"/>
      <c r="HMH127" s="140"/>
      <c r="HMI127" s="140"/>
      <c r="HMJ127" s="140"/>
      <c r="HMK127" s="140"/>
      <c r="HML127" s="140"/>
      <c r="HMM127" s="140"/>
      <c r="HMN127" s="140"/>
      <c r="HMO127" s="140"/>
      <c r="HMP127" s="140"/>
      <c r="HMQ127" s="140"/>
      <c r="HMR127" s="140"/>
      <c r="HMS127" s="140"/>
      <c r="HMT127" s="140"/>
      <c r="HMU127" s="140"/>
      <c r="HMV127" s="140"/>
      <c r="HMW127" s="140"/>
      <c r="HMX127" s="140"/>
      <c r="HMY127" s="140"/>
      <c r="HMZ127" s="140"/>
      <c r="HNA127" s="140"/>
      <c r="HNB127" s="140"/>
      <c r="HNC127" s="140"/>
      <c r="HND127" s="140"/>
      <c r="HNE127" s="140"/>
      <c r="HNF127" s="140"/>
      <c r="HNG127" s="140"/>
      <c r="HNH127" s="140"/>
      <c r="HNI127" s="140"/>
      <c r="HNJ127" s="140"/>
      <c r="HNK127" s="140"/>
      <c r="HNL127" s="140"/>
      <c r="HNM127" s="140"/>
      <c r="HNN127" s="140"/>
      <c r="HNO127" s="140"/>
      <c r="HNP127" s="140"/>
      <c r="HNQ127" s="140"/>
      <c r="HNR127" s="140"/>
      <c r="HNS127" s="140"/>
      <c r="HNT127" s="140"/>
      <c r="HNU127" s="140"/>
      <c r="HNV127" s="140"/>
      <c r="HNW127" s="140"/>
      <c r="HNX127" s="140"/>
      <c r="HNY127" s="140"/>
      <c r="HNZ127" s="140"/>
      <c r="HOA127" s="140"/>
      <c r="HOB127" s="140"/>
      <c r="HOC127" s="140"/>
      <c r="HOD127" s="140"/>
      <c r="HOE127" s="140"/>
      <c r="HOF127" s="140"/>
      <c r="HOG127" s="140"/>
      <c r="HOH127" s="140"/>
      <c r="HOI127" s="140"/>
      <c r="HOJ127" s="140"/>
      <c r="HOK127" s="140"/>
      <c r="HOL127" s="140"/>
      <c r="HOM127" s="140"/>
      <c r="HON127" s="140"/>
      <c r="HOO127" s="140"/>
      <c r="HOP127" s="140"/>
      <c r="HOQ127" s="140"/>
      <c r="HOR127" s="140"/>
      <c r="HOS127" s="140"/>
      <c r="HOT127" s="140"/>
      <c r="HOU127" s="140"/>
      <c r="HOV127" s="140"/>
      <c r="HOW127" s="140"/>
      <c r="HOX127" s="140"/>
      <c r="HOY127" s="140"/>
      <c r="HOZ127" s="140"/>
      <c r="HPA127" s="140"/>
      <c r="HPB127" s="140"/>
      <c r="HPC127" s="140"/>
      <c r="HPD127" s="140"/>
      <c r="HPE127" s="140"/>
      <c r="HPF127" s="140"/>
      <c r="HPG127" s="140"/>
      <c r="HPH127" s="140"/>
      <c r="HPI127" s="140"/>
      <c r="HPJ127" s="140"/>
      <c r="HPK127" s="140"/>
      <c r="HPL127" s="140"/>
      <c r="HPM127" s="140"/>
      <c r="HPN127" s="140"/>
      <c r="HPO127" s="140"/>
      <c r="HPP127" s="140"/>
      <c r="HPQ127" s="140"/>
      <c r="HPR127" s="140"/>
      <c r="HPS127" s="140"/>
      <c r="HPT127" s="140"/>
      <c r="HPU127" s="140"/>
      <c r="HPV127" s="140"/>
      <c r="HPW127" s="140"/>
      <c r="HPX127" s="140"/>
      <c r="HPY127" s="140"/>
      <c r="HPZ127" s="140"/>
      <c r="HQA127" s="140"/>
      <c r="HQB127" s="140"/>
      <c r="HQC127" s="140"/>
      <c r="HQD127" s="140"/>
      <c r="HQE127" s="140"/>
      <c r="HQF127" s="140"/>
      <c r="HQG127" s="140"/>
      <c r="HQH127" s="140"/>
      <c r="HQI127" s="140"/>
      <c r="HQJ127" s="140"/>
      <c r="HQK127" s="140"/>
      <c r="HQL127" s="140"/>
      <c r="HQM127" s="140"/>
      <c r="HQN127" s="140"/>
      <c r="HQO127" s="140"/>
      <c r="HQP127" s="140"/>
      <c r="HQQ127" s="140"/>
      <c r="HQR127" s="140"/>
      <c r="HQS127" s="140"/>
      <c r="HQT127" s="140"/>
      <c r="HQU127" s="140"/>
      <c r="HQV127" s="140"/>
      <c r="HQW127" s="140"/>
      <c r="HQX127" s="140"/>
      <c r="HQY127" s="140"/>
      <c r="HQZ127" s="140"/>
      <c r="HRA127" s="140"/>
      <c r="HRB127" s="140"/>
      <c r="HRC127" s="140"/>
      <c r="HRD127" s="140"/>
      <c r="HRE127" s="140"/>
      <c r="HRF127" s="140"/>
      <c r="HRG127" s="140"/>
      <c r="HRH127" s="140"/>
      <c r="HRI127" s="140"/>
      <c r="HRJ127" s="140"/>
      <c r="HRK127" s="140"/>
      <c r="HRL127" s="140"/>
      <c r="HRM127" s="140"/>
      <c r="HRN127" s="140"/>
      <c r="HRO127" s="140"/>
      <c r="HRP127" s="140"/>
      <c r="HRQ127" s="140"/>
      <c r="HRR127" s="140"/>
      <c r="HRS127" s="140"/>
      <c r="HRT127" s="140"/>
      <c r="HRU127" s="140"/>
      <c r="HRV127" s="140"/>
      <c r="HRW127" s="140"/>
      <c r="HRX127" s="140"/>
      <c r="HRY127" s="140"/>
      <c r="HRZ127" s="140"/>
      <c r="HSA127" s="140"/>
      <c r="HSB127" s="140"/>
      <c r="HSC127" s="140"/>
      <c r="HSD127" s="140"/>
      <c r="HSE127" s="140"/>
      <c r="HSF127" s="140"/>
      <c r="HSG127" s="140"/>
      <c r="HSH127" s="140"/>
      <c r="HSI127" s="140"/>
      <c r="HSJ127" s="140"/>
      <c r="HSK127" s="140"/>
      <c r="HSL127" s="140"/>
      <c r="HSM127" s="140"/>
      <c r="HSN127" s="140"/>
      <c r="HSO127" s="140"/>
      <c r="HSP127" s="140"/>
      <c r="HSQ127" s="140"/>
      <c r="HSR127" s="140"/>
      <c r="HSS127" s="140"/>
      <c r="HST127" s="140"/>
      <c r="HSU127" s="140"/>
      <c r="HSV127" s="140"/>
      <c r="HSW127" s="140"/>
      <c r="HSX127" s="140"/>
      <c r="HSY127" s="140"/>
      <c r="HSZ127" s="140"/>
      <c r="HTA127" s="140"/>
      <c r="HTB127" s="140"/>
      <c r="HTC127" s="140"/>
      <c r="HTD127" s="140"/>
      <c r="HTE127" s="140"/>
      <c r="HTF127" s="140"/>
      <c r="HTG127" s="140"/>
      <c r="HTH127" s="140"/>
      <c r="HTI127" s="140"/>
      <c r="HTJ127" s="140"/>
      <c r="HTK127" s="140"/>
      <c r="HTL127" s="140"/>
      <c r="HTM127" s="140"/>
      <c r="HTN127" s="140"/>
      <c r="HTO127" s="140"/>
      <c r="HTP127" s="140"/>
      <c r="HTQ127" s="140"/>
      <c r="HTR127" s="140"/>
      <c r="HTS127" s="140"/>
      <c r="HTT127" s="140"/>
      <c r="HTU127" s="140"/>
      <c r="HTV127" s="140"/>
      <c r="HTW127" s="140"/>
      <c r="HTX127" s="140"/>
      <c r="HTY127" s="140"/>
      <c r="HTZ127" s="140"/>
      <c r="HUA127" s="140"/>
      <c r="HUB127" s="140"/>
      <c r="HUC127" s="140"/>
      <c r="HUD127" s="140"/>
      <c r="HUE127" s="140"/>
      <c r="HUF127" s="140"/>
      <c r="HUG127" s="140"/>
      <c r="HUH127" s="140"/>
      <c r="HUI127" s="140"/>
      <c r="HUJ127" s="140"/>
      <c r="HUK127" s="140"/>
      <c r="HUL127" s="140"/>
      <c r="HUM127" s="140"/>
      <c r="HUN127" s="140"/>
      <c r="HUO127" s="140"/>
      <c r="HUP127" s="140"/>
      <c r="HUQ127" s="140"/>
      <c r="HUR127" s="140"/>
      <c r="HUS127" s="140"/>
      <c r="HUT127" s="140"/>
      <c r="HUU127" s="140"/>
      <c r="HUV127" s="140"/>
      <c r="HUW127" s="140"/>
      <c r="HUX127" s="140"/>
      <c r="HUY127" s="140"/>
      <c r="HUZ127" s="140"/>
      <c r="HVA127" s="140"/>
      <c r="HVB127" s="140"/>
      <c r="HVC127" s="140"/>
      <c r="HVD127" s="140"/>
      <c r="HVE127" s="140"/>
      <c r="HVF127" s="140"/>
      <c r="HVG127" s="140"/>
      <c r="HVH127" s="140"/>
      <c r="HVI127" s="140"/>
      <c r="HVJ127" s="140"/>
      <c r="HVK127" s="140"/>
      <c r="HVL127" s="140"/>
      <c r="HVM127" s="140"/>
      <c r="HVN127" s="140"/>
      <c r="HVO127" s="140"/>
      <c r="HVP127" s="140"/>
      <c r="HVQ127" s="140"/>
      <c r="HVR127" s="140"/>
      <c r="HVS127" s="140"/>
      <c r="HVT127" s="140"/>
      <c r="HVU127" s="140"/>
      <c r="HVV127" s="140"/>
      <c r="HVW127" s="140"/>
      <c r="HVX127" s="140"/>
      <c r="HVY127" s="140"/>
      <c r="HVZ127" s="140"/>
      <c r="HWA127" s="140"/>
      <c r="HWB127" s="140"/>
      <c r="HWC127" s="140"/>
      <c r="HWD127" s="140"/>
      <c r="HWE127" s="140"/>
      <c r="HWF127" s="140"/>
      <c r="HWG127" s="140"/>
      <c r="HWH127" s="140"/>
      <c r="HWI127" s="140"/>
      <c r="HWJ127" s="140"/>
      <c r="HWK127" s="140"/>
      <c r="HWL127" s="140"/>
      <c r="HWM127" s="140"/>
      <c r="HWN127" s="140"/>
      <c r="HWO127" s="140"/>
      <c r="HWP127" s="140"/>
      <c r="HWQ127" s="140"/>
      <c r="HWR127" s="140"/>
      <c r="HWS127" s="140"/>
      <c r="HWT127" s="140"/>
      <c r="HWU127" s="140"/>
      <c r="HWV127" s="140"/>
      <c r="HWW127" s="140"/>
      <c r="HWX127" s="140"/>
      <c r="HWY127" s="140"/>
      <c r="HWZ127" s="140"/>
      <c r="HXA127" s="140"/>
      <c r="HXB127" s="140"/>
      <c r="HXC127" s="140"/>
      <c r="HXD127" s="140"/>
      <c r="HXE127" s="140"/>
      <c r="HXF127" s="140"/>
      <c r="HXG127" s="140"/>
      <c r="HXH127" s="140"/>
      <c r="HXI127" s="140"/>
      <c r="HXJ127" s="140"/>
      <c r="HXK127" s="140"/>
      <c r="HXL127" s="140"/>
      <c r="HXM127" s="140"/>
      <c r="HXN127" s="140"/>
      <c r="HXO127" s="140"/>
      <c r="HXP127" s="140"/>
      <c r="HXQ127" s="140"/>
      <c r="HXR127" s="140"/>
      <c r="HXS127" s="140"/>
      <c r="HXT127" s="140"/>
      <c r="HXU127" s="140"/>
      <c r="HXV127" s="140"/>
      <c r="HXW127" s="140"/>
      <c r="HXX127" s="140"/>
      <c r="HXY127" s="140"/>
      <c r="HXZ127" s="140"/>
      <c r="HYA127" s="140"/>
      <c r="HYB127" s="140"/>
      <c r="HYC127" s="140"/>
      <c r="HYD127" s="140"/>
      <c r="HYE127" s="140"/>
      <c r="HYF127" s="140"/>
      <c r="HYG127" s="140"/>
      <c r="HYH127" s="140"/>
      <c r="HYI127" s="140"/>
      <c r="HYJ127" s="140"/>
      <c r="HYK127" s="140"/>
      <c r="HYL127" s="140"/>
      <c r="HYM127" s="140"/>
      <c r="HYN127" s="140"/>
      <c r="HYO127" s="140"/>
      <c r="HYP127" s="140"/>
      <c r="HYQ127" s="140"/>
      <c r="HYR127" s="140"/>
      <c r="HYS127" s="140"/>
      <c r="HYT127" s="140"/>
      <c r="HYU127" s="140"/>
      <c r="HYV127" s="140"/>
      <c r="HYW127" s="140"/>
      <c r="HYX127" s="140"/>
      <c r="HYY127" s="140"/>
      <c r="HYZ127" s="140"/>
      <c r="HZA127" s="140"/>
      <c r="HZB127" s="140"/>
      <c r="HZC127" s="140"/>
      <c r="HZD127" s="140"/>
      <c r="HZE127" s="140"/>
      <c r="HZF127" s="140"/>
      <c r="HZG127" s="140"/>
      <c r="HZH127" s="140"/>
      <c r="HZI127" s="140"/>
      <c r="HZJ127" s="140"/>
      <c r="HZK127" s="140"/>
      <c r="HZL127" s="140"/>
      <c r="HZM127" s="140"/>
      <c r="HZN127" s="140"/>
      <c r="HZO127" s="140"/>
      <c r="HZP127" s="140"/>
      <c r="HZQ127" s="140"/>
      <c r="HZR127" s="140"/>
      <c r="HZS127" s="140"/>
      <c r="HZT127" s="140"/>
      <c r="HZU127" s="140"/>
      <c r="HZV127" s="140"/>
      <c r="HZW127" s="140"/>
      <c r="HZX127" s="140"/>
      <c r="HZY127" s="140"/>
      <c r="HZZ127" s="140"/>
      <c r="IAA127" s="140"/>
      <c r="IAB127" s="140"/>
      <c r="IAC127" s="140"/>
      <c r="IAD127" s="140"/>
      <c r="IAE127" s="140"/>
      <c r="IAF127" s="140"/>
      <c r="IAG127" s="140"/>
      <c r="IAH127" s="140"/>
      <c r="IAI127" s="140"/>
      <c r="IAJ127" s="140"/>
      <c r="IAK127" s="140"/>
      <c r="IAL127" s="140"/>
      <c r="IAM127" s="140"/>
      <c r="IAN127" s="140"/>
      <c r="IAO127" s="140"/>
      <c r="IAP127" s="140"/>
      <c r="IAQ127" s="140"/>
      <c r="IAR127" s="140"/>
      <c r="IAS127" s="140"/>
      <c r="IAT127" s="140"/>
      <c r="IAU127" s="140"/>
      <c r="IAV127" s="140"/>
      <c r="IAW127" s="140"/>
      <c r="IAX127" s="140"/>
      <c r="IAY127" s="140"/>
      <c r="IAZ127" s="140"/>
      <c r="IBA127" s="140"/>
      <c r="IBB127" s="140"/>
      <c r="IBC127" s="140"/>
      <c r="IBD127" s="140"/>
      <c r="IBE127" s="140"/>
      <c r="IBF127" s="140"/>
      <c r="IBG127" s="140"/>
      <c r="IBH127" s="140"/>
      <c r="IBI127" s="140"/>
      <c r="IBJ127" s="140"/>
      <c r="IBK127" s="140"/>
      <c r="IBL127" s="140"/>
      <c r="IBM127" s="140"/>
      <c r="IBN127" s="140"/>
      <c r="IBO127" s="140"/>
      <c r="IBP127" s="140"/>
      <c r="IBQ127" s="140"/>
      <c r="IBR127" s="140"/>
      <c r="IBS127" s="140"/>
      <c r="IBT127" s="140"/>
      <c r="IBU127" s="140"/>
      <c r="IBV127" s="140"/>
      <c r="IBW127" s="140"/>
      <c r="IBX127" s="140"/>
      <c r="IBY127" s="140"/>
      <c r="IBZ127" s="140"/>
      <c r="ICA127" s="140"/>
      <c r="ICB127" s="140"/>
      <c r="ICC127" s="140"/>
      <c r="ICD127" s="140"/>
      <c r="ICE127" s="140"/>
      <c r="ICF127" s="140"/>
      <c r="ICG127" s="140"/>
      <c r="ICH127" s="140"/>
      <c r="ICI127" s="140"/>
      <c r="ICJ127" s="140"/>
      <c r="ICK127" s="140"/>
      <c r="ICL127" s="140"/>
      <c r="ICM127" s="140"/>
      <c r="ICN127" s="140"/>
      <c r="ICO127" s="140"/>
      <c r="ICP127" s="140"/>
      <c r="ICQ127" s="140"/>
      <c r="ICR127" s="140"/>
      <c r="ICS127" s="140"/>
      <c r="ICT127" s="140"/>
      <c r="ICU127" s="140"/>
      <c r="ICV127" s="140"/>
      <c r="ICW127" s="140"/>
      <c r="ICX127" s="140"/>
      <c r="ICY127" s="140"/>
      <c r="ICZ127" s="140"/>
      <c r="IDA127" s="140"/>
      <c r="IDB127" s="140"/>
      <c r="IDC127" s="140"/>
      <c r="IDD127" s="140"/>
      <c r="IDE127" s="140"/>
      <c r="IDF127" s="140"/>
      <c r="IDG127" s="140"/>
      <c r="IDH127" s="140"/>
      <c r="IDI127" s="140"/>
      <c r="IDJ127" s="140"/>
      <c r="IDK127" s="140"/>
      <c r="IDL127" s="140"/>
      <c r="IDM127" s="140"/>
      <c r="IDN127" s="140"/>
      <c r="IDO127" s="140"/>
      <c r="IDP127" s="140"/>
      <c r="IDQ127" s="140"/>
      <c r="IDR127" s="140"/>
      <c r="IDS127" s="140"/>
      <c r="IDT127" s="140"/>
      <c r="IDU127" s="140"/>
      <c r="IDV127" s="140"/>
      <c r="IDW127" s="140"/>
      <c r="IDX127" s="140"/>
      <c r="IDY127" s="140"/>
      <c r="IDZ127" s="140"/>
      <c r="IEA127" s="140"/>
      <c r="IEB127" s="140"/>
      <c r="IEC127" s="140"/>
      <c r="IED127" s="140"/>
      <c r="IEE127" s="140"/>
      <c r="IEF127" s="140"/>
      <c r="IEG127" s="140"/>
      <c r="IEH127" s="140"/>
      <c r="IEI127" s="140"/>
      <c r="IEJ127" s="140"/>
      <c r="IEK127" s="140"/>
      <c r="IEL127" s="140"/>
      <c r="IEM127" s="140"/>
      <c r="IEN127" s="140"/>
      <c r="IEO127" s="140"/>
      <c r="IEP127" s="140"/>
      <c r="IEQ127" s="140"/>
      <c r="IER127" s="140"/>
      <c r="IES127" s="140"/>
      <c r="IET127" s="140"/>
      <c r="IEU127" s="140"/>
      <c r="IEV127" s="140"/>
      <c r="IEW127" s="140"/>
      <c r="IEX127" s="140"/>
      <c r="IEY127" s="140"/>
      <c r="IEZ127" s="140"/>
      <c r="IFA127" s="140"/>
      <c r="IFB127" s="140"/>
      <c r="IFC127" s="140"/>
      <c r="IFD127" s="140"/>
      <c r="IFE127" s="140"/>
      <c r="IFF127" s="140"/>
      <c r="IFG127" s="140"/>
      <c r="IFH127" s="140"/>
      <c r="IFI127" s="140"/>
      <c r="IFJ127" s="140"/>
      <c r="IFK127" s="140"/>
      <c r="IFL127" s="140"/>
      <c r="IFM127" s="140"/>
      <c r="IFN127" s="140"/>
      <c r="IFO127" s="140"/>
      <c r="IFP127" s="140"/>
      <c r="IFQ127" s="140"/>
      <c r="IFR127" s="140"/>
      <c r="IFS127" s="140"/>
      <c r="IFT127" s="140"/>
      <c r="IFU127" s="140"/>
      <c r="IFV127" s="140"/>
      <c r="IFW127" s="140"/>
      <c r="IFX127" s="140"/>
      <c r="IFY127" s="140"/>
      <c r="IFZ127" s="140"/>
      <c r="IGA127" s="140"/>
      <c r="IGB127" s="140"/>
      <c r="IGC127" s="140"/>
      <c r="IGD127" s="140"/>
      <c r="IGE127" s="140"/>
      <c r="IGF127" s="140"/>
      <c r="IGG127" s="140"/>
      <c r="IGH127" s="140"/>
      <c r="IGI127" s="140"/>
      <c r="IGJ127" s="140"/>
      <c r="IGK127" s="140"/>
      <c r="IGL127" s="140"/>
      <c r="IGM127" s="140"/>
      <c r="IGN127" s="140"/>
      <c r="IGO127" s="140"/>
      <c r="IGP127" s="140"/>
      <c r="IGQ127" s="140"/>
      <c r="IGR127" s="140"/>
      <c r="IGS127" s="140"/>
      <c r="IGT127" s="140"/>
      <c r="IGU127" s="140"/>
      <c r="IGV127" s="140"/>
      <c r="IGW127" s="140"/>
      <c r="IGX127" s="140"/>
      <c r="IGY127" s="140"/>
      <c r="IGZ127" s="140"/>
      <c r="IHA127" s="140"/>
      <c r="IHB127" s="140"/>
      <c r="IHC127" s="140"/>
      <c r="IHD127" s="140"/>
      <c r="IHE127" s="140"/>
      <c r="IHF127" s="140"/>
      <c r="IHG127" s="140"/>
      <c r="IHH127" s="140"/>
      <c r="IHI127" s="140"/>
      <c r="IHJ127" s="140"/>
      <c r="IHK127" s="140"/>
      <c r="IHL127" s="140"/>
      <c r="IHM127" s="140"/>
      <c r="IHN127" s="140"/>
      <c r="IHO127" s="140"/>
      <c r="IHP127" s="140"/>
      <c r="IHQ127" s="140"/>
      <c r="IHR127" s="140"/>
      <c r="IHS127" s="140"/>
      <c r="IHT127" s="140"/>
      <c r="IHU127" s="140"/>
      <c r="IHV127" s="140"/>
      <c r="IHW127" s="140"/>
      <c r="IHX127" s="140"/>
      <c r="IHY127" s="140"/>
      <c r="IHZ127" s="140"/>
      <c r="IIA127" s="140"/>
      <c r="IIB127" s="140"/>
      <c r="IIC127" s="140"/>
      <c r="IID127" s="140"/>
      <c r="IIE127" s="140"/>
      <c r="IIF127" s="140"/>
      <c r="IIG127" s="140"/>
      <c r="IIH127" s="140"/>
      <c r="III127" s="140"/>
      <c r="IIJ127" s="140"/>
      <c r="IIK127" s="140"/>
      <c r="IIL127" s="140"/>
      <c r="IIM127" s="140"/>
      <c r="IIN127" s="140"/>
      <c r="IIO127" s="140"/>
      <c r="IIP127" s="140"/>
      <c r="IIQ127" s="140"/>
      <c r="IIR127" s="140"/>
      <c r="IIS127" s="140"/>
      <c r="IIT127" s="140"/>
      <c r="IIU127" s="140"/>
      <c r="IIV127" s="140"/>
      <c r="IIW127" s="140"/>
      <c r="IIX127" s="140"/>
      <c r="IIY127" s="140"/>
      <c r="IIZ127" s="140"/>
      <c r="IJA127" s="140"/>
      <c r="IJB127" s="140"/>
      <c r="IJC127" s="140"/>
      <c r="IJD127" s="140"/>
      <c r="IJE127" s="140"/>
      <c r="IJF127" s="140"/>
      <c r="IJG127" s="140"/>
      <c r="IJH127" s="140"/>
      <c r="IJI127" s="140"/>
      <c r="IJJ127" s="140"/>
      <c r="IJK127" s="140"/>
      <c r="IJL127" s="140"/>
      <c r="IJM127" s="140"/>
      <c r="IJN127" s="140"/>
      <c r="IJO127" s="140"/>
      <c r="IJP127" s="140"/>
      <c r="IJQ127" s="140"/>
      <c r="IJR127" s="140"/>
      <c r="IJS127" s="140"/>
      <c r="IJT127" s="140"/>
      <c r="IJU127" s="140"/>
      <c r="IJV127" s="140"/>
      <c r="IJW127" s="140"/>
      <c r="IJX127" s="140"/>
      <c r="IJY127" s="140"/>
      <c r="IJZ127" s="140"/>
      <c r="IKA127" s="140"/>
      <c r="IKB127" s="140"/>
      <c r="IKC127" s="140"/>
      <c r="IKD127" s="140"/>
      <c r="IKE127" s="140"/>
      <c r="IKF127" s="140"/>
      <c r="IKG127" s="140"/>
      <c r="IKH127" s="140"/>
      <c r="IKI127" s="140"/>
      <c r="IKJ127" s="140"/>
      <c r="IKK127" s="140"/>
      <c r="IKL127" s="140"/>
      <c r="IKM127" s="140"/>
      <c r="IKN127" s="140"/>
      <c r="IKO127" s="140"/>
      <c r="IKP127" s="140"/>
      <c r="IKQ127" s="140"/>
      <c r="IKR127" s="140"/>
      <c r="IKS127" s="140"/>
      <c r="IKT127" s="140"/>
      <c r="IKU127" s="140"/>
      <c r="IKV127" s="140"/>
      <c r="IKW127" s="140"/>
      <c r="IKX127" s="140"/>
      <c r="IKY127" s="140"/>
      <c r="IKZ127" s="140"/>
      <c r="ILA127" s="140"/>
      <c r="ILB127" s="140"/>
      <c r="ILC127" s="140"/>
      <c r="ILD127" s="140"/>
      <c r="ILE127" s="140"/>
      <c r="ILF127" s="140"/>
      <c r="ILG127" s="140"/>
      <c r="ILH127" s="140"/>
      <c r="ILI127" s="140"/>
      <c r="ILJ127" s="140"/>
      <c r="ILK127" s="140"/>
      <c r="ILL127" s="140"/>
      <c r="ILM127" s="140"/>
      <c r="ILN127" s="140"/>
      <c r="ILO127" s="140"/>
      <c r="ILP127" s="140"/>
      <c r="ILQ127" s="140"/>
      <c r="ILR127" s="140"/>
      <c r="ILS127" s="140"/>
      <c r="ILT127" s="140"/>
      <c r="ILU127" s="140"/>
      <c r="ILV127" s="140"/>
      <c r="ILW127" s="140"/>
      <c r="ILX127" s="140"/>
      <c r="ILY127" s="140"/>
      <c r="ILZ127" s="140"/>
      <c r="IMA127" s="140"/>
      <c r="IMB127" s="140"/>
      <c r="IMC127" s="140"/>
      <c r="IMD127" s="140"/>
      <c r="IME127" s="140"/>
      <c r="IMF127" s="140"/>
      <c r="IMG127" s="140"/>
      <c r="IMH127" s="140"/>
      <c r="IMI127" s="140"/>
      <c r="IMJ127" s="140"/>
      <c r="IMK127" s="140"/>
      <c r="IML127" s="140"/>
      <c r="IMM127" s="140"/>
      <c r="IMN127" s="140"/>
      <c r="IMO127" s="140"/>
      <c r="IMP127" s="140"/>
      <c r="IMQ127" s="140"/>
      <c r="IMR127" s="140"/>
      <c r="IMS127" s="140"/>
      <c r="IMT127" s="140"/>
      <c r="IMU127" s="140"/>
      <c r="IMV127" s="140"/>
      <c r="IMW127" s="140"/>
      <c r="IMX127" s="140"/>
      <c r="IMY127" s="140"/>
      <c r="IMZ127" s="140"/>
      <c r="INA127" s="140"/>
      <c r="INB127" s="140"/>
      <c r="INC127" s="140"/>
      <c r="IND127" s="140"/>
      <c r="INE127" s="140"/>
      <c r="INF127" s="140"/>
      <c r="ING127" s="140"/>
      <c r="INH127" s="140"/>
      <c r="INI127" s="140"/>
      <c r="INJ127" s="140"/>
      <c r="INK127" s="140"/>
      <c r="INL127" s="140"/>
      <c r="INM127" s="140"/>
      <c r="INN127" s="140"/>
      <c r="INO127" s="140"/>
      <c r="INP127" s="140"/>
      <c r="INQ127" s="140"/>
      <c r="INR127" s="140"/>
      <c r="INS127" s="140"/>
      <c r="INT127" s="140"/>
      <c r="INU127" s="140"/>
      <c r="INV127" s="140"/>
      <c r="INW127" s="140"/>
      <c r="INX127" s="140"/>
      <c r="INY127" s="140"/>
      <c r="INZ127" s="140"/>
      <c r="IOA127" s="140"/>
      <c r="IOB127" s="140"/>
      <c r="IOC127" s="140"/>
      <c r="IOD127" s="140"/>
      <c r="IOE127" s="140"/>
      <c r="IOF127" s="140"/>
      <c r="IOG127" s="140"/>
      <c r="IOH127" s="140"/>
      <c r="IOI127" s="140"/>
      <c r="IOJ127" s="140"/>
      <c r="IOK127" s="140"/>
      <c r="IOL127" s="140"/>
      <c r="IOM127" s="140"/>
      <c r="ION127" s="140"/>
      <c r="IOO127" s="140"/>
      <c r="IOP127" s="140"/>
      <c r="IOQ127" s="140"/>
      <c r="IOR127" s="140"/>
      <c r="IOS127" s="140"/>
      <c r="IOT127" s="140"/>
      <c r="IOU127" s="140"/>
      <c r="IOV127" s="140"/>
      <c r="IOW127" s="140"/>
      <c r="IOX127" s="140"/>
      <c r="IOY127" s="140"/>
      <c r="IOZ127" s="140"/>
      <c r="IPA127" s="140"/>
      <c r="IPB127" s="140"/>
      <c r="IPC127" s="140"/>
      <c r="IPD127" s="140"/>
      <c r="IPE127" s="140"/>
      <c r="IPF127" s="140"/>
      <c r="IPG127" s="140"/>
      <c r="IPH127" s="140"/>
      <c r="IPI127" s="140"/>
      <c r="IPJ127" s="140"/>
      <c r="IPK127" s="140"/>
      <c r="IPL127" s="140"/>
      <c r="IPM127" s="140"/>
      <c r="IPN127" s="140"/>
      <c r="IPO127" s="140"/>
      <c r="IPP127" s="140"/>
      <c r="IPQ127" s="140"/>
      <c r="IPR127" s="140"/>
      <c r="IPS127" s="140"/>
      <c r="IPT127" s="140"/>
      <c r="IPU127" s="140"/>
      <c r="IPV127" s="140"/>
      <c r="IPW127" s="140"/>
      <c r="IPX127" s="140"/>
      <c r="IPY127" s="140"/>
      <c r="IPZ127" s="140"/>
      <c r="IQA127" s="140"/>
      <c r="IQB127" s="140"/>
      <c r="IQC127" s="140"/>
      <c r="IQD127" s="140"/>
      <c r="IQE127" s="140"/>
      <c r="IQF127" s="140"/>
      <c r="IQG127" s="140"/>
      <c r="IQH127" s="140"/>
      <c r="IQI127" s="140"/>
      <c r="IQJ127" s="140"/>
      <c r="IQK127" s="140"/>
      <c r="IQL127" s="140"/>
      <c r="IQM127" s="140"/>
      <c r="IQN127" s="140"/>
      <c r="IQO127" s="140"/>
      <c r="IQP127" s="140"/>
      <c r="IQQ127" s="140"/>
      <c r="IQR127" s="140"/>
      <c r="IQS127" s="140"/>
      <c r="IQT127" s="140"/>
      <c r="IQU127" s="140"/>
      <c r="IQV127" s="140"/>
      <c r="IQW127" s="140"/>
      <c r="IQX127" s="140"/>
      <c r="IQY127" s="140"/>
      <c r="IQZ127" s="140"/>
      <c r="IRA127" s="140"/>
      <c r="IRB127" s="140"/>
      <c r="IRC127" s="140"/>
      <c r="IRD127" s="140"/>
      <c r="IRE127" s="140"/>
      <c r="IRF127" s="140"/>
      <c r="IRG127" s="140"/>
      <c r="IRH127" s="140"/>
      <c r="IRI127" s="140"/>
      <c r="IRJ127" s="140"/>
      <c r="IRK127" s="140"/>
      <c r="IRL127" s="140"/>
      <c r="IRM127" s="140"/>
      <c r="IRN127" s="140"/>
      <c r="IRO127" s="140"/>
      <c r="IRP127" s="140"/>
      <c r="IRQ127" s="140"/>
      <c r="IRR127" s="140"/>
      <c r="IRS127" s="140"/>
      <c r="IRT127" s="140"/>
      <c r="IRU127" s="140"/>
      <c r="IRV127" s="140"/>
      <c r="IRW127" s="140"/>
      <c r="IRX127" s="140"/>
      <c r="IRY127" s="140"/>
      <c r="IRZ127" s="140"/>
      <c r="ISA127" s="140"/>
      <c r="ISB127" s="140"/>
      <c r="ISC127" s="140"/>
      <c r="ISD127" s="140"/>
      <c r="ISE127" s="140"/>
      <c r="ISF127" s="140"/>
      <c r="ISG127" s="140"/>
      <c r="ISH127" s="140"/>
      <c r="ISI127" s="140"/>
      <c r="ISJ127" s="140"/>
      <c r="ISK127" s="140"/>
      <c r="ISL127" s="140"/>
      <c r="ISM127" s="140"/>
      <c r="ISN127" s="140"/>
      <c r="ISO127" s="140"/>
      <c r="ISP127" s="140"/>
      <c r="ISQ127" s="140"/>
      <c r="ISR127" s="140"/>
      <c r="ISS127" s="140"/>
      <c r="IST127" s="140"/>
      <c r="ISU127" s="140"/>
      <c r="ISV127" s="140"/>
      <c r="ISW127" s="140"/>
      <c r="ISX127" s="140"/>
      <c r="ISY127" s="140"/>
      <c r="ISZ127" s="140"/>
      <c r="ITA127" s="140"/>
      <c r="ITB127" s="140"/>
      <c r="ITC127" s="140"/>
      <c r="ITD127" s="140"/>
      <c r="ITE127" s="140"/>
      <c r="ITF127" s="140"/>
      <c r="ITG127" s="140"/>
      <c r="ITH127" s="140"/>
      <c r="ITI127" s="140"/>
      <c r="ITJ127" s="140"/>
      <c r="ITK127" s="140"/>
      <c r="ITL127" s="140"/>
      <c r="ITM127" s="140"/>
      <c r="ITN127" s="140"/>
      <c r="ITO127" s="140"/>
      <c r="ITP127" s="140"/>
      <c r="ITQ127" s="140"/>
      <c r="ITR127" s="140"/>
      <c r="ITS127" s="140"/>
      <c r="ITT127" s="140"/>
      <c r="ITU127" s="140"/>
      <c r="ITV127" s="140"/>
      <c r="ITW127" s="140"/>
      <c r="ITX127" s="140"/>
      <c r="ITY127" s="140"/>
      <c r="ITZ127" s="140"/>
      <c r="IUA127" s="140"/>
      <c r="IUB127" s="140"/>
      <c r="IUC127" s="140"/>
      <c r="IUD127" s="140"/>
      <c r="IUE127" s="140"/>
      <c r="IUF127" s="140"/>
      <c r="IUG127" s="140"/>
      <c r="IUH127" s="140"/>
      <c r="IUI127" s="140"/>
      <c r="IUJ127" s="140"/>
      <c r="IUK127" s="140"/>
      <c r="IUL127" s="140"/>
      <c r="IUM127" s="140"/>
      <c r="IUN127" s="140"/>
      <c r="IUO127" s="140"/>
      <c r="IUP127" s="140"/>
      <c r="IUQ127" s="140"/>
      <c r="IUR127" s="140"/>
      <c r="IUS127" s="140"/>
      <c r="IUT127" s="140"/>
      <c r="IUU127" s="140"/>
      <c r="IUV127" s="140"/>
      <c r="IUW127" s="140"/>
      <c r="IUX127" s="140"/>
      <c r="IUY127" s="140"/>
      <c r="IUZ127" s="140"/>
      <c r="IVA127" s="140"/>
      <c r="IVB127" s="140"/>
      <c r="IVC127" s="140"/>
      <c r="IVD127" s="140"/>
      <c r="IVE127" s="140"/>
      <c r="IVF127" s="140"/>
      <c r="IVG127" s="140"/>
      <c r="IVH127" s="140"/>
      <c r="IVI127" s="140"/>
      <c r="IVJ127" s="140"/>
      <c r="IVK127" s="140"/>
      <c r="IVL127" s="140"/>
      <c r="IVM127" s="140"/>
      <c r="IVN127" s="140"/>
      <c r="IVO127" s="140"/>
      <c r="IVP127" s="140"/>
      <c r="IVQ127" s="140"/>
      <c r="IVR127" s="140"/>
      <c r="IVS127" s="140"/>
      <c r="IVT127" s="140"/>
      <c r="IVU127" s="140"/>
      <c r="IVV127" s="140"/>
      <c r="IVW127" s="140"/>
      <c r="IVX127" s="140"/>
      <c r="IVY127" s="140"/>
      <c r="IVZ127" s="140"/>
      <c r="IWA127" s="140"/>
      <c r="IWB127" s="140"/>
      <c r="IWC127" s="140"/>
      <c r="IWD127" s="140"/>
      <c r="IWE127" s="140"/>
      <c r="IWF127" s="140"/>
      <c r="IWG127" s="140"/>
      <c r="IWH127" s="140"/>
      <c r="IWI127" s="140"/>
      <c r="IWJ127" s="140"/>
      <c r="IWK127" s="140"/>
      <c r="IWL127" s="140"/>
      <c r="IWM127" s="140"/>
      <c r="IWN127" s="140"/>
      <c r="IWO127" s="140"/>
      <c r="IWP127" s="140"/>
      <c r="IWQ127" s="140"/>
      <c r="IWR127" s="140"/>
      <c r="IWS127" s="140"/>
      <c r="IWT127" s="140"/>
      <c r="IWU127" s="140"/>
      <c r="IWV127" s="140"/>
      <c r="IWW127" s="140"/>
      <c r="IWX127" s="140"/>
      <c r="IWY127" s="140"/>
      <c r="IWZ127" s="140"/>
      <c r="IXA127" s="140"/>
      <c r="IXB127" s="140"/>
      <c r="IXC127" s="140"/>
      <c r="IXD127" s="140"/>
      <c r="IXE127" s="140"/>
      <c r="IXF127" s="140"/>
      <c r="IXG127" s="140"/>
      <c r="IXH127" s="140"/>
      <c r="IXI127" s="140"/>
      <c r="IXJ127" s="140"/>
      <c r="IXK127" s="140"/>
      <c r="IXL127" s="140"/>
      <c r="IXM127" s="140"/>
      <c r="IXN127" s="140"/>
      <c r="IXO127" s="140"/>
      <c r="IXP127" s="140"/>
      <c r="IXQ127" s="140"/>
      <c r="IXR127" s="140"/>
      <c r="IXS127" s="140"/>
      <c r="IXT127" s="140"/>
      <c r="IXU127" s="140"/>
      <c r="IXV127" s="140"/>
      <c r="IXW127" s="140"/>
      <c r="IXX127" s="140"/>
      <c r="IXY127" s="140"/>
      <c r="IXZ127" s="140"/>
      <c r="IYA127" s="140"/>
      <c r="IYB127" s="140"/>
      <c r="IYC127" s="140"/>
      <c r="IYD127" s="140"/>
      <c r="IYE127" s="140"/>
      <c r="IYF127" s="140"/>
      <c r="IYG127" s="140"/>
      <c r="IYH127" s="140"/>
      <c r="IYI127" s="140"/>
      <c r="IYJ127" s="140"/>
      <c r="IYK127" s="140"/>
      <c r="IYL127" s="140"/>
      <c r="IYM127" s="140"/>
      <c r="IYN127" s="140"/>
      <c r="IYO127" s="140"/>
      <c r="IYP127" s="140"/>
      <c r="IYQ127" s="140"/>
      <c r="IYR127" s="140"/>
      <c r="IYS127" s="140"/>
      <c r="IYT127" s="140"/>
      <c r="IYU127" s="140"/>
      <c r="IYV127" s="140"/>
      <c r="IYW127" s="140"/>
      <c r="IYX127" s="140"/>
      <c r="IYY127" s="140"/>
      <c r="IYZ127" s="140"/>
      <c r="IZA127" s="140"/>
      <c r="IZB127" s="140"/>
      <c r="IZC127" s="140"/>
      <c r="IZD127" s="140"/>
      <c r="IZE127" s="140"/>
      <c r="IZF127" s="140"/>
      <c r="IZG127" s="140"/>
      <c r="IZH127" s="140"/>
      <c r="IZI127" s="140"/>
      <c r="IZJ127" s="140"/>
      <c r="IZK127" s="140"/>
      <c r="IZL127" s="140"/>
      <c r="IZM127" s="140"/>
      <c r="IZN127" s="140"/>
      <c r="IZO127" s="140"/>
      <c r="IZP127" s="140"/>
      <c r="IZQ127" s="140"/>
      <c r="IZR127" s="140"/>
      <c r="IZS127" s="140"/>
      <c r="IZT127" s="140"/>
      <c r="IZU127" s="140"/>
      <c r="IZV127" s="140"/>
      <c r="IZW127" s="140"/>
      <c r="IZX127" s="140"/>
      <c r="IZY127" s="140"/>
      <c r="IZZ127" s="140"/>
      <c r="JAA127" s="140"/>
      <c r="JAB127" s="140"/>
      <c r="JAC127" s="140"/>
      <c r="JAD127" s="140"/>
      <c r="JAE127" s="140"/>
      <c r="JAF127" s="140"/>
      <c r="JAG127" s="140"/>
      <c r="JAH127" s="140"/>
      <c r="JAI127" s="140"/>
      <c r="JAJ127" s="140"/>
      <c r="JAK127" s="140"/>
      <c r="JAL127" s="140"/>
      <c r="JAM127" s="140"/>
      <c r="JAN127" s="140"/>
      <c r="JAO127" s="140"/>
      <c r="JAP127" s="140"/>
      <c r="JAQ127" s="140"/>
      <c r="JAR127" s="140"/>
      <c r="JAS127" s="140"/>
      <c r="JAT127" s="140"/>
      <c r="JAU127" s="140"/>
      <c r="JAV127" s="140"/>
      <c r="JAW127" s="140"/>
      <c r="JAX127" s="140"/>
      <c r="JAY127" s="140"/>
      <c r="JAZ127" s="140"/>
      <c r="JBA127" s="140"/>
      <c r="JBB127" s="140"/>
      <c r="JBC127" s="140"/>
      <c r="JBD127" s="140"/>
      <c r="JBE127" s="140"/>
      <c r="JBF127" s="140"/>
      <c r="JBG127" s="140"/>
      <c r="JBH127" s="140"/>
      <c r="JBI127" s="140"/>
      <c r="JBJ127" s="140"/>
      <c r="JBK127" s="140"/>
      <c r="JBL127" s="140"/>
      <c r="JBM127" s="140"/>
      <c r="JBN127" s="140"/>
      <c r="JBO127" s="140"/>
      <c r="JBP127" s="140"/>
      <c r="JBQ127" s="140"/>
      <c r="JBR127" s="140"/>
      <c r="JBS127" s="140"/>
      <c r="JBT127" s="140"/>
      <c r="JBU127" s="140"/>
      <c r="JBV127" s="140"/>
      <c r="JBW127" s="140"/>
      <c r="JBX127" s="140"/>
      <c r="JBY127" s="140"/>
      <c r="JBZ127" s="140"/>
      <c r="JCA127" s="140"/>
      <c r="JCB127" s="140"/>
      <c r="JCC127" s="140"/>
      <c r="JCD127" s="140"/>
      <c r="JCE127" s="140"/>
      <c r="JCF127" s="140"/>
      <c r="JCG127" s="140"/>
      <c r="JCH127" s="140"/>
      <c r="JCI127" s="140"/>
      <c r="JCJ127" s="140"/>
      <c r="JCK127" s="140"/>
      <c r="JCL127" s="140"/>
      <c r="JCM127" s="140"/>
      <c r="JCN127" s="140"/>
      <c r="JCO127" s="140"/>
      <c r="JCP127" s="140"/>
      <c r="JCQ127" s="140"/>
      <c r="JCR127" s="140"/>
      <c r="JCS127" s="140"/>
      <c r="JCT127" s="140"/>
      <c r="JCU127" s="140"/>
      <c r="JCV127" s="140"/>
      <c r="JCW127" s="140"/>
      <c r="JCX127" s="140"/>
      <c r="JCY127" s="140"/>
      <c r="JCZ127" s="140"/>
      <c r="JDA127" s="140"/>
      <c r="JDB127" s="140"/>
      <c r="JDC127" s="140"/>
      <c r="JDD127" s="140"/>
      <c r="JDE127" s="140"/>
      <c r="JDF127" s="140"/>
      <c r="JDG127" s="140"/>
      <c r="JDH127" s="140"/>
      <c r="JDI127" s="140"/>
      <c r="JDJ127" s="140"/>
      <c r="JDK127" s="140"/>
      <c r="JDL127" s="140"/>
      <c r="JDM127" s="140"/>
      <c r="JDN127" s="140"/>
      <c r="JDO127" s="140"/>
      <c r="JDP127" s="140"/>
      <c r="JDQ127" s="140"/>
      <c r="JDR127" s="140"/>
      <c r="JDS127" s="140"/>
      <c r="JDT127" s="140"/>
      <c r="JDU127" s="140"/>
      <c r="JDV127" s="140"/>
      <c r="JDW127" s="140"/>
      <c r="JDX127" s="140"/>
      <c r="JDY127" s="140"/>
      <c r="JDZ127" s="140"/>
      <c r="JEA127" s="140"/>
      <c r="JEB127" s="140"/>
      <c r="JEC127" s="140"/>
      <c r="JED127" s="140"/>
      <c r="JEE127" s="140"/>
      <c r="JEF127" s="140"/>
      <c r="JEG127" s="140"/>
      <c r="JEH127" s="140"/>
      <c r="JEI127" s="140"/>
      <c r="JEJ127" s="140"/>
      <c r="JEK127" s="140"/>
      <c r="JEL127" s="140"/>
      <c r="JEM127" s="140"/>
      <c r="JEN127" s="140"/>
      <c r="JEO127" s="140"/>
      <c r="JEP127" s="140"/>
      <c r="JEQ127" s="140"/>
      <c r="JER127" s="140"/>
      <c r="JES127" s="140"/>
      <c r="JET127" s="140"/>
      <c r="JEU127" s="140"/>
      <c r="JEV127" s="140"/>
      <c r="JEW127" s="140"/>
      <c r="JEX127" s="140"/>
      <c r="JEY127" s="140"/>
      <c r="JEZ127" s="140"/>
      <c r="JFA127" s="140"/>
      <c r="JFB127" s="140"/>
      <c r="JFC127" s="140"/>
      <c r="JFD127" s="140"/>
      <c r="JFE127" s="140"/>
      <c r="JFF127" s="140"/>
      <c r="JFG127" s="140"/>
      <c r="JFH127" s="140"/>
      <c r="JFI127" s="140"/>
      <c r="JFJ127" s="140"/>
      <c r="JFK127" s="140"/>
      <c r="JFL127" s="140"/>
      <c r="JFM127" s="140"/>
      <c r="JFN127" s="140"/>
      <c r="JFO127" s="140"/>
      <c r="JFP127" s="140"/>
      <c r="JFQ127" s="140"/>
      <c r="JFR127" s="140"/>
      <c r="JFS127" s="140"/>
      <c r="JFT127" s="140"/>
      <c r="JFU127" s="140"/>
      <c r="JFV127" s="140"/>
      <c r="JFW127" s="140"/>
      <c r="JFX127" s="140"/>
      <c r="JFY127" s="140"/>
      <c r="JFZ127" s="140"/>
      <c r="JGA127" s="140"/>
      <c r="JGB127" s="140"/>
      <c r="JGC127" s="140"/>
      <c r="JGD127" s="140"/>
      <c r="JGE127" s="140"/>
      <c r="JGF127" s="140"/>
      <c r="JGG127" s="140"/>
      <c r="JGH127" s="140"/>
      <c r="JGI127" s="140"/>
      <c r="JGJ127" s="140"/>
      <c r="JGK127" s="140"/>
      <c r="JGL127" s="140"/>
      <c r="JGM127" s="140"/>
      <c r="JGN127" s="140"/>
      <c r="JGO127" s="140"/>
      <c r="JGP127" s="140"/>
      <c r="JGQ127" s="140"/>
      <c r="JGR127" s="140"/>
      <c r="JGS127" s="140"/>
      <c r="JGT127" s="140"/>
      <c r="JGU127" s="140"/>
      <c r="JGV127" s="140"/>
      <c r="JGW127" s="140"/>
      <c r="JGX127" s="140"/>
      <c r="JGY127" s="140"/>
      <c r="JGZ127" s="140"/>
      <c r="JHA127" s="140"/>
      <c r="JHB127" s="140"/>
      <c r="JHC127" s="140"/>
      <c r="JHD127" s="140"/>
      <c r="JHE127" s="140"/>
      <c r="JHF127" s="140"/>
      <c r="JHG127" s="140"/>
      <c r="JHH127" s="140"/>
      <c r="JHI127" s="140"/>
      <c r="JHJ127" s="140"/>
      <c r="JHK127" s="140"/>
      <c r="JHL127" s="140"/>
      <c r="JHM127" s="140"/>
      <c r="JHN127" s="140"/>
      <c r="JHO127" s="140"/>
      <c r="JHP127" s="140"/>
      <c r="JHQ127" s="140"/>
      <c r="JHR127" s="140"/>
      <c r="JHS127" s="140"/>
      <c r="JHT127" s="140"/>
      <c r="JHU127" s="140"/>
      <c r="JHV127" s="140"/>
      <c r="JHW127" s="140"/>
      <c r="JHX127" s="140"/>
      <c r="JHY127" s="140"/>
      <c r="JHZ127" s="140"/>
      <c r="JIA127" s="140"/>
      <c r="JIB127" s="140"/>
      <c r="JIC127" s="140"/>
      <c r="JID127" s="140"/>
      <c r="JIE127" s="140"/>
      <c r="JIF127" s="140"/>
      <c r="JIG127" s="140"/>
      <c r="JIH127" s="140"/>
      <c r="JII127" s="140"/>
      <c r="JIJ127" s="140"/>
      <c r="JIK127" s="140"/>
      <c r="JIL127" s="140"/>
      <c r="JIM127" s="140"/>
      <c r="JIN127" s="140"/>
      <c r="JIO127" s="140"/>
      <c r="JIP127" s="140"/>
      <c r="JIQ127" s="140"/>
      <c r="JIR127" s="140"/>
      <c r="JIS127" s="140"/>
      <c r="JIT127" s="140"/>
      <c r="JIU127" s="140"/>
      <c r="JIV127" s="140"/>
      <c r="JIW127" s="140"/>
      <c r="JIX127" s="140"/>
      <c r="JIY127" s="140"/>
      <c r="JIZ127" s="140"/>
      <c r="JJA127" s="140"/>
      <c r="JJB127" s="140"/>
      <c r="JJC127" s="140"/>
      <c r="JJD127" s="140"/>
      <c r="JJE127" s="140"/>
      <c r="JJF127" s="140"/>
      <c r="JJG127" s="140"/>
      <c r="JJH127" s="140"/>
      <c r="JJI127" s="140"/>
      <c r="JJJ127" s="140"/>
      <c r="JJK127" s="140"/>
      <c r="JJL127" s="140"/>
      <c r="JJM127" s="140"/>
      <c r="JJN127" s="140"/>
      <c r="JJO127" s="140"/>
      <c r="JJP127" s="140"/>
      <c r="JJQ127" s="140"/>
      <c r="JJR127" s="140"/>
      <c r="JJS127" s="140"/>
      <c r="JJT127" s="140"/>
      <c r="JJU127" s="140"/>
      <c r="JJV127" s="140"/>
      <c r="JJW127" s="140"/>
      <c r="JJX127" s="140"/>
      <c r="JJY127" s="140"/>
      <c r="JJZ127" s="140"/>
      <c r="JKA127" s="140"/>
      <c r="JKB127" s="140"/>
      <c r="JKC127" s="140"/>
      <c r="JKD127" s="140"/>
      <c r="JKE127" s="140"/>
      <c r="JKF127" s="140"/>
      <c r="JKG127" s="140"/>
      <c r="JKH127" s="140"/>
      <c r="JKI127" s="140"/>
      <c r="JKJ127" s="140"/>
      <c r="JKK127" s="140"/>
      <c r="JKL127" s="140"/>
      <c r="JKM127" s="140"/>
      <c r="JKN127" s="140"/>
      <c r="JKO127" s="140"/>
      <c r="JKP127" s="140"/>
      <c r="JKQ127" s="140"/>
      <c r="JKR127" s="140"/>
      <c r="JKS127" s="140"/>
      <c r="JKT127" s="140"/>
      <c r="JKU127" s="140"/>
      <c r="JKV127" s="140"/>
      <c r="JKW127" s="140"/>
      <c r="JKX127" s="140"/>
      <c r="JKY127" s="140"/>
      <c r="JKZ127" s="140"/>
      <c r="JLA127" s="140"/>
      <c r="JLB127" s="140"/>
      <c r="JLC127" s="140"/>
      <c r="JLD127" s="140"/>
      <c r="JLE127" s="140"/>
      <c r="JLF127" s="140"/>
      <c r="JLG127" s="140"/>
      <c r="JLH127" s="140"/>
      <c r="JLI127" s="140"/>
      <c r="JLJ127" s="140"/>
      <c r="JLK127" s="140"/>
      <c r="JLL127" s="140"/>
      <c r="JLM127" s="140"/>
      <c r="JLN127" s="140"/>
      <c r="JLO127" s="140"/>
      <c r="JLP127" s="140"/>
      <c r="JLQ127" s="140"/>
      <c r="JLR127" s="140"/>
      <c r="JLS127" s="140"/>
      <c r="JLT127" s="140"/>
      <c r="JLU127" s="140"/>
      <c r="JLV127" s="140"/>
      <c r="JLW127" s="140"/>
      <c r="JLX127" s="140"/>
      <c r="JLY127" s="140"/>
      <c r="JLZ127" s="140"/>
      <c r="JMA127" s="140"/>
      <c r="JMB127" s="140"/>
      <c r="JMC127" s="140"/>
      <c r="JMD127" s="140"/>
      <c r="JME127" s="140"/>
      <c r="JMF127" s="140"/>
      <c r="JMG127" s="140"/>
      <c r="JMH127" s="140"/>
      <c r="JMI127" s="140"/>
      <c r="JMJ127" s="140"/>
      <c r="JMK127" s="140"/>
      <c r="JML127" s="140"/>
      <c r="JMM127" s="140"/>
      <c r="JMN127" s="140"/>
      <c r="JMO127" s="140"/>
      <c r="JMP127" s="140"/>
      <c r="JMQ127" s="140"/>
      <c r="JMR127" s="140"/>
      <c r="JMS127" s="140"/>
      <c r="JMT127" s="140"/>
      <c r="JMU127" s="140"/>
      <c r="JMV127" s="140"/>
      <c r="JMW127" s="140"/>
      <c r="JMX127" s="140"/>
      <c r="JMY127" s="140"/>
      <c r="JMZ127" s="140"/>
      <c r="JNA127" s="140"/>
      <c r="JNB127" s="140"/>
      <c r="JNC127" s="140"/>
      <c r="JND127" s="140"/>
      <c r="JNE127" s="140"/>
      <c r="JNF127" s="140"/>
      <c r="JNG127" s="140"/>
      <c r="JNH127" s="140"/>
      <c r="JNI127" s="140"/>
      <c r="JNJ127" s="140"/>
      <c r="JNK127" s="140"/>
      <c r="JNL127" s="140"/>
      <c r="JNM127" s="140"/>
      <c r="JNN127" s="140"/>
      <c r="JNO127" s="140"/>
      <c r="JNP127" s="140"/>
      <c r="JNQ127" s="140"/>
      <c r="JNR127" s="140"/>
      <c r="JNS127" s="140"/>
      <c r="JNT127" s="140"/>
      <c r="JNU127" s="140"/>
      <c r="JNV127" s="140"/>
      <c r="JNW127" s="140"/>
      <c r="JNX127" s="140"/>
      <c r="JNY127" s="140"/>
      <c r="JNZ127" s="140"/>
      <c r="JOA127" s="140"/>
      <c r="JOB127" s="140"/>
      <c r="JOC127" s="140"/>
      <c r="JOD127" s="140"/>
      <c r="JOE127" s="140"/>
      <c r="JOF127" s="140"/>
      <c r="JOG127" s="140"/>
      <c r="JOH127" s="140"/>
      <c r="JOI127" s="140"/>
      <c r="JOJ127" s="140"/>
      <c r="JOK127" s="140"/>
      <c r="JOL127" s="140"/>
      <c r="JOM127" s="140"/>
      <c r="JON127" s="140"/>
      <c r="JOO127" s="140"/>
      <c r="JOP127" s="140"/>
      <c r="JOQ127" s="140"/>
      <c r="JOR127" s="140"/>
      <c r="JOS127" s="140"/>
      <c r="JOT127" s="140"/>
      <c r="JOU127" s="140"/>
      <c r="JOV127" s="140"/>
      <c r="JOW127" s="140"/>
      <c r="JOX127" s="140"/>
      <c r="JOY127" s="140"/>
      <c r="JOZ127" s="140"/>
      <c r="JPA127" s="140"/>
      <c r="JPB127" s="140"/>
      <c r="JPC127" s="140"/>
      <c r="JPD127" s="140"/>
      <c r="JPE127" s="140"/>
      <c r="JPF127" s="140"/>
      <c r="JPG127" s="140"/>
      <c r="JPH127" s="140"/>
      <c r="JPI127" s="140"/>
      <c r="JPJ127" s="140"/>
      <c r="JPK127" s="140"/>
      <c r="JPL127" s="140"/>
      <c r="JPM127" s="140"/>
      <c r="JPN127" s="140"/>
      <c r="JPO127" s="140"/>
      <c r="JPP127" s="140"/>
      <c r="JPQ127" s="140"/>
      <c r="JPR127" s="140"/>
      <c r="JPS127" s="140"/>
      <c r="JPT127" s="140"/>
      <c r="JPU127" s="140"/>
      <c r="JPV127" s="140"/>
      <c r="JPW127" s="140"/>
      <c r="JPX127" s="140"/>
      <c r="JPY127" s="140"/>
      <c r="JPZ127" s="140"/>
      <c r="JQA127" s="140"/>
      <c r="JQB127" s="140"/>
      <c r="JQC127" s="140"/>
      <c r="JQD127" s="140"/>
      <c r="JQE127" s="140"/>
      <c r="JQF127" s="140"/>
      <c r="JQG127" s="140"/>
      <c r="JQH127" s="140"/>
      <c r="JQI127" s="140"/>
      <c r="JQJ127" s="140"/>
      <c r="JQK127" s="140"/>
      <c r="JQL127" s="140"/>
      <c r="JQM127" s="140"/>
      <c r="JQN127" s="140"/>
      <c r="JQO127" s="140"/>
      <c r="JQP127" s="140"/>
      <c r="JQQ127" s="140"/>
      <c r="JQR127" s="140"/>
      <c r="JQS127" s="140"/>
      <c r="JQT127" s="140"/>
      <c r="JQU127" s="140"/>
      <c r="JQV127" s="140"/>
      <c r="JQW127" s="140"/>
      <c r="JQX127" s="140"/>
      <c r="JQY127" s="140"/>
      <c r="JQZ127" s="140"/>
      <c r="JRA127" s="140"/>
      <c r="JRB127" s="140"/>
      <c r="JRC127" s="140"/>
      <c r="JRD127" s="140"/>
      <c r="JRE127" s="140"/>
      <c r="JRF127" s="140"/>
      <c r="JRG127" s="140"/>
      <c r="JRH127" s="140"/>
      <c r="JRI127" s="140"/>
      <c r="JRJ127" s="140"/>
      <c r="JRK127" s="140"/>
      <c r="JRL127" s="140"/>
      <c r="JRM127" s="140"/>
      <c r="JRN127" s="140"/>
      <c r="JRO127" s="140"/>
      <c r="JRP127" s="140"/>
      <c r="JRQ127" s="140"/>
      <c r="JRR127" s="140"/>
      <c r="JRS127" s="140"/>
      <c r="JRT127" s="140"/>
      <c r="JRU127" s="140"/>
      <c r="JRV127" s="140"/>
      <c r="JRW127" s="140"/>
      <c r="JRX127" s="140"/>
      <c r="JRY127" s="140"/>
      <c r="JRZ127" s="140"/>
      <c r="JSA127" s="140"/>
      <c r="JSB127" s="140"/>
      <c r="JSC127" s="140"/>
      <c r="JSD127" s="140"/>
      <c r="JSE127" s="140"/>
      <c r="JSF127" s="140"/>
      <c r="JSG127" s="140"/>
      <c r="JSH127" s="140"/>
      <c r="JSI127" s="140"/>
      <c r="JSJ127" s="140"/>
      <c r="JSK127" s="140"/>
      <c r="JSL127" s="140"/>
      <c r="JSM127" s="140"/>
      <c r="JSN127" s="140"/>
      <c r="JSO127" s="140"/>
      <c r="JSP127" s="140"/>
      <c r="JSQ127" s="140"/>
      <c r="JSR127" s="140"/>
      <c r="JSS127" s="140"/>
      <c r="JST127" s="140"/>
      <c r="JSU127" s="140"/>
      <c r="JSV127" s="140"/>
      <c r="JSW127" s="140"/>
      <c r="JSX127" s="140"/>
      <c r="JSY127" s="140"/>
      <c r="JSZ127" s="140"/>
      <c r="JTA127" s="140"/>
      <c r="JTB127" s="140"/>
      <c r="JTC127" s="140"/>
      <c r="JTD127" s="140"/>
      <c r="JTE127" s="140"/>
      <c r="JTF127" s="140"/>
      <c r="JTG127" s="140"/>
      <c r="JTH127" s="140"/>
      <c r="JTI127" s="140"/>
      <c r="JTJ127" s="140"/>
      <c r="JTK127" s="140"/>
      <c r="JTL127" s="140"/>
      <c r="JTM127" s="140"/>
      <c r="JTN127" s="140"/>
      <c r="JTO127" s="140"/>
      <c r="JTP127" s="140"/>
      <c r="JTQ127" s="140"/>
      <c r="JTR127" s="140"/>
      <c r="JTS127" s="140"/>
      <c r="JTT127" s="140"/>
      <c r="JTU127" s="140"/>
      <c r="JTV127" s="140"/>
      <c r="JTW127" s="140"/>
      <c r="JTX127" s="140"/>
      <c r="JTY127" s="140"/>
      <c r="JTZ127" s="140"/>
      <c r="JUA127" s="140"/>
      <c r="JUB127" s="140"/>
      <c r="JUC127" s="140"/>
      <c r="JUD127" s="140"/>
      <c r="JUE127" s="140"/>
      <c r="JUF127" s="140"/>
      <c r="JUG127" s="140"/>
      <c r="JUH127" s="140"/>
      <c r="JUI127" s="140"/>
      <c r="JUJ127" s="140"/>
      <c r="JUK127" s="140"/>
      <c r="JUL127" s="140"/>
      <c r="JUM127" s="140"/>
      <c r="JUN127" s="140"/>
      <c r="JUO127" s="140"/>
      <c r="JUP127" s="140"/>
      <c r="JUQ127" s="140"/>
      <c r="JUR127" s="140"/>
      <c r="JUS127" s="140"/>
      <c r="JUT127" s="140"/>
      <c r="JUU127" s="140"/>
      <c r="JUV127" s="140"/>
      <c r="JUW127" s="140"/>
      <c r="JUX127" s="140"/>
      <c r="JUY127" s="140"/>
      <c r="JUZ127" s="140"/>
      <c r="JVA127" s="140"/>
      <c r="JVB127" s="140"/>
      <c r="JVC127" s="140"/>
      <c r="JVD127" s="140"/>
      <c r="JVE127" s="140"/>
      <c r="JVF127" s="140"/>
      <c r="JVG127" s="140"/>
      <c r="JVH127" s="140"/>
      <c r="JVI127" s="140"/>
      <c r="JVJ127" s="140"/>
      <c r="JVK127" s="140"/>
      <c r="JVL127" s="140"/>
      <c r="JVM127" s="140"/>
      <c r="JVN127" s="140"/>
      <c r="JVO127" s="140"/>
      <c r="JVP127" s="140"/>
      <c r="JVQ127" s="140"/>
      <c r="JVR127" s="140"/>
      <c r="JVS127" s="140"/>
      <c r="JVT127" s="140"/>
      <c r="JVU127" s="140"/>
      <c r="JVV127" s="140"/>
      <c r="JVW127" s="140"/>
      <c r="JVX127" s="140"/>
      <c r="JVY127" s="140"/>
      <c r="JVZ127" s="140"/>
      <c r="JWA127" s="140"/>
      <c r="JWB127" s="140"/>
      <c r="JWC127" s="140"/>
      <c r="JWD127" s="140"/>
      <c r="JWE127" s="140"/>
      <c r="JWF127" s="140"/>
      <c r="JWG127" s="140"/>
      <c r="JWH127" s="140"/>
      <c r="JWI127" s="140"/>
      <c r="JWJ127" s="140"/>
      <c r="JWK127" s="140"/>
      <c r="JWL127" s="140"/>
      <c r="JWM127" s="140"/>
      <c r="JWN127" s="140"/>
      <c r="JWO127" s="140"/>
      <c r="JWP127" s="140"/>
      <c r="JWQ127" s="140"/>
      <c r="JWR127" s="140"/>
      <c r="JWS127" s="140"/>
      <c r="JWT127" s="140"/>
      <c r="JWU127" s="140"/>
      <c r="JWV127" s="140"/>
      <c r="JWW127" s="140"/>
      <c r="JWX127" s="140"/>
      <c r="JWY127" s="140"/>
      <c r="JWZ127" s="140"/>
      <c r="JXA127" s="140"/>
      <c r="JXB127" s="140"/>
      <c r="JXC127" s="140"/>
      <c r="JXD127" s="140"/>
      <c r="JXE127" s="140"/>
      <c r="JXF127" s="140"/>
      <c r="JXG127" s="140"/>
      <c r="JXH127" s="140"/>
      <c r="JXI127" s="140"/>
      <c r="JXJ127" s="140"/>
      <c r="JXK127" s="140"/>
      <c r="JXL127" s="140"/>
      <c r="JXM127" s="140"/>
      <c r="JXN127" s="140"/>
      <c r="JXO127" s="140"/>
      <c r="JXP127" s="140"/>
      <c r="JXQ127" s="140"/>
      <c r="JXR127" s="140"/>
      <c r="JXS127" s="140"/>
      <c r="JXT127" s="140"/>
      <c r="JXU127" s="140"/>
      <c r="JXV127" s="140"/>
      <c r="JXW127" s="140"/>
      <c r="JXX127" s="140"/>
      <c r="JXY127" s="140"/>
      <c r="JXZ127" s="140"/>
      <c r="JYA127" s="140"/>
      <c r="JYB127" s="140"/>
      <c r="JYC127" s="140"/>
      <c r="JYD127" s="140"/>
      <c r="JYE127" s="140"/>
      <c r="JYF127" s="140"/>
      <c r="JYG127" s="140"/>
      <c r="JYH127" s="140"/>
      <c r="JYI127" s="140"/>
      <c r="JYJ127" s="140"/>
      <c r="JYK127" s="140"/>
      <c r="JYL127" s="140"/>
      <c r="JYM127" s="140"/>
      <c r="JYN127" s="140"/>
      <c r="JYO127" s="140"/>
      <c r="JYP127" s="140"/>
      <c r="JYQ127" s="140"/>
      <c r="JYR127" s="140"/>
      <c r="JYS127" s="140"/>
      <c r="JYT127" s="140"/>
      <c r="JYU127" s="140"/>
      <c r="JYV127" s="140"/>
      <c r="JYW127" s="140"/>
      <c r="JYX127" s="140"/>
      <c r="JYY127" s="140"/>
      <c r="JYZ127" s="140"/>
      <c r="JZA127" s="140"/>
      <c r="JZB127" s="140"/>
      <c r="JZC127" s="140"/>
      <c r="JZD127" s="140"/>
      <c r="JZE127" s="140"/>
      <c r="JZF127" s="140"/>
      <c r="JZG127" s="140"/>
      <c r="JZH127" s="140"/>
      <c r="JZI127" s="140"/>
      <c r="JZJ127" s="140"/>
      <c r="JZK127" s="140"/>
      <c r="JZL127" s="140"/>
      <c r="JZM127" s="140"/>
      <c r="JZN127" s="140"/>
      <c r="JZO127" s="140"/>
      <c r="JZP127" s="140"/>
      <c r="JZQ127" s="140"/>
      <c r="JZR127" s="140"/>
      <c r="JZS127" s="140"/>
      <c r="JZT127" s="140"/>
      <c r="JZU127" s="140"/>
      <c r="JZV127" s="140"/>
      <c r="JZW127" s="140"/>
      <c r="JZX127" s="140"/>
      <c r="JZY127" s="140"/>
      <c r="JZZ127" s="140"/>
      <c r="KAA127" s="140"/>
      <c r="KAB127" s="140"/>
      <c r="KAC127" s="140"/>
      <c r="KAD127" s="140"/>
      <c r="KAE127" s="140"/>
      <c r="KAF127" s="140"/>
      <c r="KAG127" s="140"/>
      <c r="KAH127" s="140"/>
      <c r="KAI127" s="140"/>
      <c r="KAJ127" s="140"/>
      <c r="KAK127" s="140"/>
      <c r="KAL127" s="140"/>
      <c r="KAM127" s="140"/>
      <c r="KAN127" s="140"/>
      <c r="KAO127" s="140"/>
      <c r="KAP127" s="140"/>
      <c r="KAQ127" s="140"/>
      <c r="KAR127" s="140"/>
      <c r="KAS127" s="140"/>
      <c r="KAT127" s="140"/>
      <c r="KAU127" s="140"/>
      <c r="KAV127" s="140"/>
      <c r="KAW127" s="140"/>
      <c r="KAX127" s="140"/>
      <c r="KAY127" s="140"/>
      <c r="KAZ127" s="140"/>
      <c r="KBA127" s="140"/>
      <c r="KBB127" s="140"/>
      <c r="KBC127" s="140"/>
      <c r="KBD127" s="140"/>
      <c r="KBE127" s="140"/>
      <c r="KBF127" s="140"/>
      <c r="KBG127" s="140"/>
      <c r="KBH127" s="140"/>
      <c r="KBI127" s="140"/>
      <c r="KBJ127" s="140"/>
      <c r="KBK127" s="140"/>
      <c r="KBL127" s="140"/>
      <c r="KBM127" s="140"/>
      <c r="KBN127" s="140"/>
      <c r="KBO127" s="140"/>
      <c r="KBP127" s="140"/>
      <c r="KBQ127" s="140"/>
      <c r="KBR127" s="140"/>
      <c r="KBS127" s="140"/>
      <c r="KBT127" s="140"/>
      <c r="KBU127" s="140"/>
      <c r="KBV127" s="140"/>
      <c r="KBW127" s="140"/>
      <c r="KBX127" s="140"/>
      <c r="KBY127" s="140"/>
      <c r="KBZ127" s="140"/>
      <c r="KCA127" s="140"/>
      <c r="KCB127" s="140"/>
      <c r="KCC127" s="140"/>
      <c r="KCD127" s="140"/>
      <c r="KCE127" s="140"/>
      <c r="KCF127" s="140"/>
      <c r="KCG127" s="140"/>
      <c r="KCH127" s="140"/>
      <c r="KCI127" s="140"/>
      <c r="KCJ127" s="140"/>
      <c r="KCK127" s="140"/>
      <c r="KCL127" s="140"/>
      <c r="KCM127" s="140"/>
      <c r="KCN127" s="140"/>
      <c r="KCO127" s="140"/>
      <c r="KCP127" s="140"/>
      <c r="KCQ127" s="140"/>
      <c r="KCR127" s="140"/>
      <c r="KCS127" s="140"/>
      <c r="KCT127" s="140"/>
      <c r="KCU127" s="140"/>
      <c r="KCV127" s="140"/>
      <c r="KCW127" s="140"/>
      <c r="KCX127" s="140"/>
      <c r="KCY127" s="140"/>
      <c r="KCZ127" s="140"/>
      <c r="KDA127" s="140"/>
      <c r="KDB127" s="140"/>
      <c r="KDC127" s="140"/>
      <c r="KDD127" s="140"/>
      <c r="KDE127" s="140"/>
      <c r="KDF127" s="140"/>
      <c r="KDG127" s="140"/>
      <c r="KDH127" s="140"/>
      <c r="KDI127" s="140"/>
      <c r="KDJ127" s="140"/>
      <c r="KDK127" s="140"/>
      <c r="KDL127" s="140"/>
      <c r="KDM127" s="140"/>
      <c r="KDN127" s="140"/>
      <c r="KDO127" s="140"/>
      <c r="KDP127" s="140"/>
      <c r="KDQ127" s="140"/>
      <c r="KDR127" s="140"/>
      <c r="KDS127" s="140"/>
      <c r="KDT127" s="140"/>
      <c r="KDU127" s="140"/>
      <c r="KDV127" s="140"/>
      <c r="KDW127" s="140"/>
      <c r="KDX127" s="140"/>
      <c r="KDY127" s="140"/>
      <c r="KDZ127" s="140"/>
      <c r="KEA127" s="140"/>
      <c r="KEB127" s="140"/>
      <c r="KEC127" s="140"/>
      <c r="KED127" s="140"/>
      <c r="KEE127" s="140"/>
      <c r="KEF127" s="140"/>
      <c r="KEG127" s="140"/>
      <c r="KEH127" s="140"/>
      <c r="KEI127" s="140"/>
      <c r="KEJ127" s="140"/>
      <c r="KEK127" s="140"/>
      <c r="KEL127" s="140"/>
      <c r="KEM127" s="140"/>
      <c r="KEN127" s="140"/>
      <c r="KEO127" s="140"/>
      <c r="KEP127" s="140"/>
      <c r="KEQ127" s="140"/>
      <c r="KER127" s="140"/>
      <c r="KES127" s="140"/>
      <c r="KET127" s="140"/>
      <c r="KEU127" s="140"/>
      <c r="KEV127" s="140"/>
      <c r="KEW127" s="140"/>
      <c r="KEX127" s="140"/>
      <c r="KEY127" s="140"/>
      <c r="KEZ127" s="140"/>
      <c r="KFA127" s="140"/>
      <c r="KFB127" s="140"/>
      <c r="KFC127" s="140"/>
      <c r="KFD127" s="140"/>
      <c r="KFE127" s="140"/>
      <c r="KFF127" s="140"/>
      <c r="KFG127" s="140"/>
      <c r="KFH127" s="140"/>
      <c r="KFI127" s="140"/>
      <c r="KFJ127" s="140"/>
      <c r="KFK127" s="140"/>
      <c r="KFL127" s="140"/>
      <c r="KFM127" s="140"/>
      <c r="KFN127" s="140"/>
      <c r="KFO127" s="140"/>
      <c r="KFP127" s="140"/>
      <c r="KFQ127" s="140"/>
      <c r="KFR127" s="140"/>
      <c r="KFS127" s="140"/>
      <c r="KFT127" s="140"/>
      <c r="KFU127" s="140"/>
      <c r="KFV127" s="140"/>
      <c r="KFW127" s="140"/>
      <c r="KFX127" s="140"/>
      <c r="KFY127" s="140"/>
      <c r="KFZ127" s="140"/>
      <c r="KGA127" s="140"/>
      <c r="KGB127" s="140"/>
      <c r="KGC127" s="140"/>
      <c r="KGD127" s="140"/>
      <c r="KGE127" s="140"/>
      <c r="KGF127" s="140"/>
      <c r="KGG127" s="140"/>
      <c r="KGH127" s="140"/>
      <c r="KGI127" s="140"/>
      <c r="KGJ127" s="140"/>
      <c r="KGK127" s="140"/>
      <c r="KGL127" s="140"/>
      <c r="KGM127" s="140"/>
      <c r="KGN127" s="140"/>
      <c r="KGO127" s="140"/>
      <c r="KGP127" s="140"/>
      <c r="KGQ127" s="140"/>
      <c r="KGR127" s="140"/>
      <c r="KGS127" s="140"/>
      <c r="KGT127" s="140"/>
      <c r="KGU127" s="140"/>
      <c r="KGV127" s="140"/>
      <c r="KGW127" s="140"/>
      <c r="KGX127" s="140"/>
      <c r="KGY127" s="140"/>
      <c r="KGZ127" s="140"/>
      <c r="KHA127" s="140"/>
      <c r="KHB127" s="140"/>
      <c r="KHC127" s="140"/>
      <c r="KHD127" s="140"/>
      <c r="KHE127" s="140"/>
      <c r="KHF127" s="140"/>
      <c r="KHG127" s="140"/>
      <c r="KHH127" s="140"/>
      <c r="KHI127" s="140"/>
      <c r="KHJ127" s="140"/>
      <c r="KHK127" s="140"/>
      <c r="KHL127" s="140"/>
      <c r="KHM127" s="140"/>
      <c r="KHN127" s="140"/>
      <c r="KHO127" s="140"/>
      <c r="KHP127" s="140"/>
      <c r="KHQ127" s="140"/>
      <c r="KHR127" s="140"/>
      <c r="KHS127" s="140"/>
      <c r="KHT127" s="140"/>
      <c r="KHU127" s="140"/>
      <c r="KHV127" s="140"/>
      <c r="KHW127" s="140"/>
      <c r="KHX127" s="140"/>
      <c r="KHY127" s="140"/>
      <c r="KHZ127" s="140"/>
      <c r="KIA127" s="140"/>
      <c r="KIB127" s="140"/>
      <c r="KIC127" s="140"/>
      <c r="KID127" s="140"/>
      <c r="KIE127" s="140"/>
      <c r="KIF127" s="140"/>
      <c r="KIG127" s="140"/>
      <c r="KIH127" s="140"/>
      <c r="KII127" s="140"/>
      <c r="KIJ127" s="140"/>
      <c r="KIK127" s="140"/>
      <c r="KIL127" s="140"/>
      <c r="KIM127" s="140"/>
      <c r="KIN127" s="140"/>
      <c r="KIO127" s="140"/>
      <c r="KIP127" s="140"/>
      <c r="KIQ127" s="140"/>
      <c r="KIR127" s="140"/>
      <c r="KIS127" s="140"/>
      <c r="KIT127" s="140"/>
      <c r="KIU127" s="140"/>
      <c r="KIV127" s="140"/>
      <c r="KIW127" s="140"/>
      <c r="KIX127" s="140"/>
      <c r="KIY127" s="140"/>
      <c r="KIZ127" s="140"/>
      <c r="KJA127" s="140"/>
      <c r="KJB127" s="140"/>
      <c r="KJC127" s="140"/>
      <c r="KJD127" s="140"/>
      <c r="KJE127" s="140"/>
      <c r="KJF127" s="140"/>
      <c r="KJG127" s="140"/>
      <c r="KJH127" s="140"/>
      <c r="KJI127" s="140"/>
      <c r="KJJ127" s="140"/>
      <c r="KJK127" s="140"/>
      <c r="KJL127" s="140"/>
      <c r="KJM127" s="140"/>
      <c r="KJN127" s="140"/>
      <c r="KJO127" s="140"/>
      <c r="KJP127" s="140"/>
      <c r="KJQ127" s="140"/>
      <c r="KJR127" s="140"/>
      <c r="KJS127" s="140"/>
      <c r="KJT127" s="140"/>
      <c r="KJU127" s="140"/>
      <c r="KJV127" s="140"/>
      <c r="KJW127" s="140"/>
      <c r="KJX127" s="140"/>
      <c r="KJY127" s="140"/>
      <c r="KJZ127" s="140"/>
      <c r="KKA127" s="140"/>
      <c r="KKB127" s="140"/>
      <c r="KKC127" s="140"/>
      <c r="KKD127" s="140"/>
      <c r="KKE127" s="140"/>
      <c r="KKF127" s="140"/>
      <c r="KKG127" s="140"/>
      <c r="KKH127" s="140"/>
      <c r="KKI127" s="140"/>
      <c r="KKJ127" s="140"/>
      <c r="KKK127" s="140"/>
      <c r="KKL127" s="140"/>
      <c r="KKM127" s="140"/>
      <c r="KKN127" s="140"/>
      <c r="KKO127" s="140"/>
      <c r="KKP127" s="140"/>
      <c r="KKQ127" s="140"/>
      <c r="KKR127" s="140"/>
      <c r="KKS127" s="140"/>
      <c r="KKT127" s="140"/>
      <c r="KKU127" s="140"/>
      <c r="KKV127" s="140"/>
      <c r="KKW127" s="140"/>
      <c r="KKX127" s="140"/>
      <c r="KKY127" s="140"/>
      <c r="KKZ127" s="140"/>
      <c r="KLA127" s="140"/>
      <c r="KLB127" s="140"/>
      <c r="KLC127" s="140"/>
      <c r="KLD127" s="140"/>
      <c r="KLE127" s="140"/>
      <c r="KLF127" s="140"/>
      <c r="KLG127" s="140"/>
      <c r="KLH127" s="140"/>
      <c r="KLI127" s="140"/>
      <c r="KLJ127" s="140"/>
      <c r="KLK127" s="140"/>
      <c r="KLL127" s="140"/>
      <c r="KLM127" s="140"/>
      <c r="KLN127" s="140"/>
      <c r="KLO127" s="140"/>
      <c r="KLP127" s="140"/>
      <c r="KLQ127" s="140"/>
      <c r="KLR127" s="140"/>
      <c r="KLS127" s="140"/>
      <c r="KLT127" s="140"/>
      <c r="KLU127" s="140"/>
      <c r="KLV127" s="140"/>
      <c r="KLW127" s="140"/>
      <c r="KLX127" s="140"/>
      <c r="KLY127" s="140"/>
      <c r="KLZ127" s="140"/>
      <c r="KMA127" s="140"/>
      <c r="KMB127" s="140"/>
      <c r="KMC127" s="140"/>
      <c r="KMD127" s="140"/>
      <c r="KME127" s="140"/>
      <c r="KMF127" s="140"/>
      <c r="KMG127" s="140"/>
      <c r="KMH127" s="140"/>
      <c r="KMI127" s="140"/>
      <c r="KMJ127" s="140"/>
      <c r="KMK127" s="140"/>
      <c r="KML127" s="140"/>
      <c r="KMM127" s="140"/>
      <c r="KMN127" s="140"/>
      <c r="KMO127" s="140"/>
      <c r="KMP127" s="140"/>
      <c r="KMQ127" s="140"/>
      <c r="KMR127" s="140"/>
      <c r="KMS127" s="140"/>
      <c r="KMT127" s="140"/>
      <c r="KMU127" s="140"/>
      <c r="KMV127" s="140"/>
      <c r="KMW127" s="140"/>
      <c r="KMX127" s="140"/>
      <c r="KMY127" s="140"/>
      <c r="KMZ127" s="140"/>
      <c r="KNA127" s="140"/>
      <c r="KNB127" s="140"/>
      <c r="KNC127" s="140"/>
      <c r="KND127" s="140"/>
      <c r="KNE127" s="140"/>
      <c r="KNF127" s="140"/>
      <c r="KNG127" s="140"/>
      <c r="KNH127" s="140"/>
      <c r="KNI127" s="140"/>
      <c r="KNJ127" s="140"/>
      <c r="KNK127" s="140"/>
      <c r="KNL127" s="140"/>
      <c r="KNM127" s="140"/>
      <c r="KNN127" s="140"/>
      <c r="KNO127" s="140"/>
      <c r="KNP127" s="140"/>
      <c r="KNQ127" s="140"/>
      <c r="KNR127" s="140"/>
      <c r="KNS127" s="140"/>
      <c r="KNT127" s="140"/>
      <c r="KNU127" s="140"/>
      <c r="KNV127" s="140"/>
      <c r="KNW127" s="140"/>
      <c r="KNX127" s="140"/>
      <c r="KNY127" s="140"/>
      <c r="KNZ127" s="140"/>
      <c r="KOA127" s="140"/>
      <c r="KOB127" s="140"/>
      <c r="KOC127" s="140"/>
      <c r="KOD127" s="140"/>
      <c r="KOE127" s="140"/>
      <c r="KOF127" s="140"/>
      <c r="KOG127" s="140"/>
      <c r="KOH127" s="140"/>
      <c r="KOI127" s="140"/>
      <c r="KOJ127" s="140"/>
      <c r="KOK127" s="140"/>
      <c r="KOL127" s="140"/>
      <c r="KOM127" s="140"/>
      <c r="KON127" s="140"/>
      <c r="KOO127" s="140"/>
      <c r="KOP127" s="140"/>
      <c r="KOQ127" s="140"/>
      <c r="KOR127" s="140"/>
      <c r="KOS127" s="140"/>
      <c r="KOT127" s="140"/>
      <c r="KOU127" s="140"/>
      <c r="KOV127" s="140"/>
      <c r="KOW127" s="140"/>
      <c r="KOX127" s="140"/>
      <c r="KOY127" s="140"/>
      <c r="KOZ127" s="140"/>
      <c r="KPA127" s="140"/>
      <c r="KPB127" s="140"/>
      <c r="KPC127" s="140"/>
      <c r="KPD127" s="140"/>
      <c r="KPE127" s="140"/>
      <c r="KPF127" s="140"/>
      <c r="KPG127" s="140"/>
      <c r="KPH127" s="140"/>
      <c r="KPI127" s="140"/>
      <c r="KPJ127" s="140"/>
      <c r="KPK127" s="140"/>
      <c r="KPL127" s="140"/>
      <c r="KPM127" s="140"/>
      <c r="KPN127" s="140"/>
      <c r="KPO127" s="140"/>
      <c r="KPP127" s="140"/>
      <c r="KPQ127" s="140"/>
      <c r="KPR127" s="140"/>
      <c r="KPS127" s="140"/>
      <c r="KPT127" s="140"/>
      <c r="KPU127" s="140"/>
      <c r="KPV127" s="140"/>
      <c r="KPW127" s="140"/>
      <c r="KPX127" s="140"/>
      <c r="KPY127" s="140"/>
      <c r="KPZ127" s="140"/>
      <c r="KQA127" s="140"/>
      <c r="KQB127" s="140"/>
      <c r="KQC127" s="140"/>
      <c r="KQD127" s="140"/>
      <c r="KQE127" s="140"/>
      <c r="KQF127" s="140"/>
      <c r="KQG127" s="140"/>
      <c r="KQH127" s="140"/>
      <c r="KQI127" s="140"/>
      <c r="KQJ127" s="140"/>
      <c r="KQK127" s="140"/>
      <c r="KQL127" s="140"/>
      <c r="KQM127" s="140"/>
      <c r="KQN127" s="140"/>
      <c r="KQO127" s="140"/>
      <c r="KQP127" s="140"/>
      <c r="KQQ127" s="140"/>
      <c r="KQR127" s="140"/>
      <c r="KQS127" s="140"/>
      <c r="KQT127" s="140"/>
      <c r="KQU127" s="140"/>
      <c r="KQV127" s="140"/>
      <c r="KQW127" s="140"/>
      <c r="KQX127" s="140"/>
      <c r="KQY127" s="140"/>
      <c r="KQZ127" s="140"/>
      <c r="KRA127" s="140"/>
      <c r="KRB127" s="140"/>
      <c r="KRC127" s="140"/>
      <c r="KRD127" s="140"/>
      <c r="KRE127" s="140"/>
      <c r="KRF127" s="140"/>
      <c r="KRG127" s="140"/>
      <c r="KRH127" s="140"/>
      <c r="KRI127" s="140"/>
      <c r="KRJ127" s="140"/>
      <c r="KRK127" s="140"/>
      <c r="KRL127" s="140"/>
      <c r="KRM127" s="140"/>
      <c r="KRN127" s="140"/>
      <c r="KRO127" s="140"/>
      <c r="KRP127" s="140"/>
      <c r="KRQ127" s="140"/>
      <c r="KRR127" s="140"/>
      <c r="KRS127" s="140"/>
      <c r="KRT127" s="140"/>
      <c r="KRU127" s="140"/>
      <c r="KRV127" s="140"/>
      <c r="KRW127" s="140"/>
      <c r="KRX127" s="140"/>
      <c r="KRY127" s="140"/>
      <c r="KRZ127" s="140"/>
      <c r="KSA127" s="140"/>
      <c r="KSB127" s="140"/>
      <c r="KSC127" s="140"/>
      <c r="KSD127" s="140"/>
      <c r="KSE127" s="140"/>
      <c r="KSF127" s="140"/>
      <c r="KSG127" s="140"/>
      <c r="KSH127" s="140"/>
      <c r="KSI127" s="140"/>
      <c r="KSJ127" s="140"/>
      <c r="KSK127" s="140"/>
      <c r="KSL127" s="140"/>
      <c r="KSM127" s="140"/>
      <c r="KSN127" s="140"/>
      <c r="KSO127" s="140"/>
      <c r="KSP127" s="140"/>
      <c r="KSQ127" s="140"/>
      <c r="KSR127" s="140"/>
      <c r="KSS127" s="140"/>
      <c r="KST127" s="140"/>
      <c r="KSU127" s="140"/>
      <c r="KSV127" s="140"/>
      <c r="KSW127" s="140"/>
      <c r="KSX127" s="140"/>
      <c r="KSY127" s="140"/>
      <c r="KSZ127" s="140"/>
      <c r="KTA127" s="140"/>
      <c r="KTB127" s="140"/>
      <c r="KTC127" s="140"/>
      <c r="KTD127" s="140"/>
      <c r="KTE127" s="140"/>
      <c r="KTF127" s="140"/>
      <c r="KTG127" s="140"/>
      <c r="KTH127" s="140"/>
      <c r="KTI127" s="140"/>
      <c r="KTJ127" s="140"/>
      <c r="KTK127" s="140"/>
      <c r="KTL127" s="140"/>
      <c r="KTM127" s="140"/>
      <c r="KTN127" s="140"/>
      <c r="KTO127" s="140"/>
      <c r="KTP127" s="140"/>
      <c r="KTQ127" s="140"/>
      <c r="KTR127" s="140"/>
      <c r="KTS127" s="140"/>
      <c r="KTT127" s="140"/>
      <c r="KTU127" s="140"/>
      <c r="KTV127" s="140"/>
      <c r="KTW127" s="140"/>
      <c r="KTX127" s="140"/>
      <c r="KTY127" s="140"/>
      <c r="KTZ127" s="140"/>
      <c r="KUA127" s="140"/>
      <c r="KUB127" s="140"/>
      <c r="KUC127" s="140"/>
      <c r="KUD127" s="140"/>
      <c r="KUE127" s="140"/>
      <c r="KUF127" s="140"/>
      <c r="KUG127" s="140"/>
      <c r="KUH127" s="140"/>
      <c r="KUI127" s="140"/>
      <c r="KUJ127" s="140"/>
      <c r="KUK127" s="140"/>
      <c r="KUL127" s="140"/>
      <c r="KUM127" s="140"/>
      <c r="KUN127" s="140"/>
      <c r="KUO127" s="140"/>
      <c r="KUP127" s="140"/>
      <c r="KUQ127" s="140"/>
      <c r="KUR127" s="140"/>
      <c r="KUS127" s="140"/>
      <c r="KUT127" s="140"/>
      <c r="KUU127" s="140"/>
      <c r="KUV127" s="140"/>
      <c r="KUW127" s="140"/>
      <c r="KUX127" s="140"/>
      <c r="KUY127" s="140"/>
      <c r="KUZ127" s="140"/>
      <c r="KVA127" s="140"/>
      <c r="KVB127" s="140"/>
      <c r="KVC127" s="140"/>
      <c r="KVD127" s="140"/>
      <c r="KVE127" s="140"/>
      <c r="KVF127" s="140"/>
      <c r="KVG127" s="140"/>
      <c r="KVH127" s="140"/>
      <c r="KVI127" s="140"/>
      <c r="KVJ127" s="140"/>
      <c r="KVK127" s="140"/>
      <c r="KVL127" s="140"/>
      <c r="KVM127" s="140"/>
      <c r="KVN127" s="140"/>
      <c r="KVO127" s="140"/>
      <c r="KVP127" s="140"/>
      <c r="KVQ127" s="140"/>
      <c r="KVR127" s="140"/>
      <c r="KVS127" s="140"/>
      <c r="KVT127" s="140"/>
      <c r="KVU127" s="140"/>
      <c r="KVV127" s="140"/>
      <c r="KVW127" s="140"/>
      <c r="KVX127" s="140"/>
      <c r="KVY127" s="140"/>
      <c r="KVZ127" s="140"/>
      <c r="KWA127" s="140"/>
      <c r="KWB127" s="140"/>
      <c r="KWC127" s="140"/>
      <c r="KWD127" s="140"/>
      <c r="KWE127" s="140"/>
      <c r="KWF127" s="140"/>
      <c r="KWG127" s="140"/>
      <c r="KWH127" s="140"/>
      <c r="KWI127" s="140"/>
      <c r="KWJ127" s="140"/>
      <c r="KWK127" s="140"/>
      <c r="KWL127" s="140"/>
      <c r="KWM127" s="140"/>
      <c r="KWN127" s="140"/>
      <c r="KWO127" s="140"/>
      <c r="KWP127" s="140"/>
      <c r="KWQ127" s="140"/>
      <c r="KWR127" s="140"/>
      <c r="KWS127" s="140"/>
      <c r="KWT127" s="140"/>
      <c r="KWU127" s="140"/>
      <c r="KWV127" s="140"/>
      <c r="KWW127" s="140"/>
      <c r="KWX127" s="140"/>
      <c r="KWY127" s="140"/>
      <c r="KWZ127" s="140"/>
      <c r="KXA127" s="140"/>
      <c r="KXB127" s="140"/>
      <c r="KXC127" s="140"/>
      <c r="KXD127" s="140"/>
      <c r="KXE127" s="140"/>
      <c r="KXF127" s="140"/>
      <c r="KXG127" s="140"/>
      <c r="KXH127" s="140"/>
      <c r="KXI127" s="140"/>
      <c r="KXJ127" s="140"/>
      <c r="KXK127" s="140"/>
      <c r="KXL127" s="140"/>
      <c r="KXM127" s="140"/>
      <c r="KXN127" s="140"/>
      <c r="KXO127" s="140"/>
      <c r="KXP127" s="140"/>
      <c r="KXQ127" s="140"/>
      <c r="KXR127" s="140"/>
      <c r="KXS127" s="140"/>
      <c r="KXT127" s="140"/>
      <c r="KXU127" s="140"/>
      <c r="KXV127" s="140"/>
      <c r="KXW127" s="140"/>
      <c r="KXX127" s="140"/>
      <c r="KXY127" s="140"/>
      <c r="KXZ127" s="140"/>
      <c r="KYA127" s="140"/>
      <c r="KYB127" s="140"/>
      <c r="KYC127" s="140"/>
      <c r="KYD127" s="140"/>
      <c r="KYE127" s="140"/>
      <c r="KYF127" s="140"/>
      <c r="KYG127" s="140"/>
      <c r="KYH127" s="140"/>
      <c r="KYI127" s="140"/>
      <c r="KYJ127" s="140"/>
      <c r="KYK127" s="140"/>
      <c r="KYL127" s="140"/>
      <c r="KYM127" s="140"/>
      <c r="KYN127" s="140"/>
      <c r="KYO127" s="140"/>
      <c r="KYP127" s="140"/>
      <c r="KYQ127" s="140"/>
      <c r="KYR127" s="140"/>
      <c r="KYS127" s="140"/>
      <c r="KYT127" s="140"/>
      <c r="KYU127" s="140"/>
      <c r="KYV127" s="140"/>
      <c r="KYW127" s="140"/>
      <c r="KYX127" s="140"/>
      <c r="KYY127" s="140"/>
      <c r="KYZ127" s="140"/>
      <c r="KZA127" s="140"/>
      <c r="KZB127" s="140"/>
      <c r="KZC127" s="140"/>
      <c r="KZD127" s="140"/>
      <c r="KZE127" s="140"/>
      <c r="KZF127" s="140"/>
      <c r="KZG127" s="140"/>
      <c r="KZH127" s="140"/>
      <c r="KZI127" s="140"/>
      <c r="KZJ127" s="140"/>
      <c r="KZK127" s="140"/>
      <c r="KZL127" s="140"/>
      <c r="KZM127" s="140"/>
      <c r="KZN127" s="140"/>
      <c r="KZO127" s="140"/>
      <c r="KZP127" s="140"/>
      <c r="KZQ127" s="140"/>
      <c r="KZR127" s="140"/>
      <c r="KZS127" s="140"/>
      <c r="KZT127" s="140"/>
      <c r="KZU127" s="140"/>
      <c r="KZV127" s="140"/>
      <c r="KZW127" s="140"/>
      <c r="KZX127" s="140"/>
      <c r="KZY127" s="140"/>
      <c r="KZZ127" s="140"/>
      <c r="LAA127" s="140"/>
      <c r="LAB127" s="140"/>
      <c r="LAC127" s="140"/>
      <c r="LAD127" s="140"/>
      <c r="LAE127" s="140"/>
      <c r="LAF127" s="140"/>
      <c r="LAG127" s="140"/>
      <c r="LAH127" s="140"/>
      <c r="LAI127" s="140"/>
      <c r="LAJ127" s="140"/>
      <c r="LAK127" s="140"/>
      <c r="LAL127" s="140"/>
      <c r="LAM127" s="140"/>
      <c r="LAN127" s="140"/>
      <c r="LAO127" s="140"/>
      <c r="LAP127" s="140"/>
      <c r="LAQ127" s="140"/>
      <c r="LAR127" s="140"/>
      <c r="LAS127" s="140"/>
      <c r="LAT127" s="140"/>
      <c r="LAU127" s="140"/>
      <c r="LAV127" s="140"/>
      <c r="LAW127" s="140"/>
      <c r="LAX127" s="140"/>
      <c r="LAY127" s="140"/>
      <c r="LAZ127" s="140"/>
      <c r="LBA127" s="140"/>
      <c r="LBB127" s="140"/>
      <c r="LBC127" s="140"/>
      <c r="LBD127" s="140"/>
      <c r="LBE127" s="140"/>
      <c r="LBF127" s="140"/>
      <c r="LBG127" s="140"/>
      <c r="LBH127" s="140"/>
      <c r="LBI127" s="140"/>
      <c r="LBJ127" s="140"/>
      <c r="LBK127" s="140"/>
      <c r="LBL127" s="140"/>
      <c r="LBM127" s="140"/>
      <c r="LBN127" s="140"/>
      <c r="LBO127" s="140"/>
      <c r="LBP127" s="140"/>
      <c r="LBQ127" s="140"/>
      <c r="LBR127" s="140"/>
      <c r="LBS127" s="140"/>
      <c r="LBT127" s="140"/>
      <c r="LBU127" s="140"/>
      <c r="LBV127" s="140"/>
      <c r="LBW127" s="140"/>
      <c r="LBX127" s="140"/>
      <c r="LBY127" s="140"/>
      <c r="LBZ127" s="140"/>
      <c r="LCA127" s="140"/>
      <c r="LCB127" s="140"/>
      <c r="LCC127" s="140"/>
      <c r="LCD127" s="140"/>
      <c r="LCE127" s="140"/>
      <c r="LCF127" s="140"/>
      <c r="LCG127" s="140"/>
      <c r="LCH127" s="140"/>
      <c r="LCI127" s="140"/>
      <c r="LCJ127" s="140"/>
      <c r="LCK127" s="140"/>
      <c r="LCL127" s="140"/>
      <c r="LCM127" s="140"/>
      <c r="LCN127" s="140"/>
      <c r="LCO127" s="140"/>
      <c r="LCP127" s="140"/>
      <c r="LCQ127" s="140"/>
      <c r="LCR127" s="140"/>
      <c r="LCS127" s="140"/>
      <c r="LCT127" s="140"/>
      <c r="LCU127" s="140"/>
      <c r="LCV127" s="140"/>
      <c r="LCW127" s="140"/>
      <c r="LCX127" s="140"/>
      <c r="LCY127" s="140"/>
      <c r="LCZ127" s="140"/>
      <c r="LDA127" s="140"/>
      <c r="LDB127" s="140"/>
      <c r="LDC127" s="140"/>
      <c r="LDD127" s="140"/>
      <c r="LDE127" s="140"/>
      <c r="LDF127" s="140"/>
      <c r="LDG127" s="140"/>
      <c r="LDH127" s="140"/>
      <c r="LDI127" s="140"/>
      <c r="LDJ127" s="140"/>
      <c r="LDK127" s="140"/>
      <c r="LDL127" s="140"/>
      <c r="LDM127" s="140"/>
      <c r="LDN127" s="140"/>
      <c r="LDO127" s="140"/>
      <c r="LDP127" s="140"/>
      <c r="LDQ127" s="140"/>
      <c r="LDR127" s="140"/>
      <c r="LDS127" s="140"/>
      <c r="LDT127" s="140"/>
      <c r="LDU127" s="140"/>
      <c r="LDV127" s="140"/>
      <c r="LDW127" s="140"/>
      <c r="LDX127" s="140"/>
      <c r="LDY127" s="140"/>
      <c r="LDZ127" s="140"/>
      <c r="LEA127" s="140"/>
      <c r="LEB127" s="140"/>
      <c r="LEC127" s="140"/>
      <c r="LED127" s="140"/>
      <c r="LEE127" s="140"/>
      <c r="LEF127" s="140"/>
      <c r="LEG127" s="140"/>
      <c r="LEH127" s="140"/>
      <c r="LEI127" s="140"/>
      <c r="LEJ127" s="140"/>
      <c r="LEK127" s="140"/>
      <c r="LEL127" s="140"/>
      <c r="LEM127" s="140"/>
      <c r="LEN127" s="140"/>
      <c r="LEO127" s="140"/>
      <c r="LEP127" s="140"/>
      <c r="LEQ127" s="140"/>
      <c r="LER127" s="140"/>
      <c r="LES127" s="140"/>
      <c r="LET127" s="140"/>
      <c r="LEU127" s="140"/>
      <c r="LEV127" s="140"/>
      <c r="LEW127" s="140"/>
      <c r="LEX127" s="140"/>
      <c r="LEY127" s="140"/>
      <c r="LEZ127" s="140"/>
      <c r="LFA127" s="140"/>
      <c r="LFB127" s="140"/>
      <c r="LFC127" s="140"/>
      <c r="LFD127" s="140"/>
      <c r="LFE127" s="140"/>
      <c r="LFF127" s="140"/>
      <c r="LFG127" s="140"/>
      <c r="LFH127" s="140"/>
      <c r="LFI127" s="140"/>
      <c r="LFJ127" s="140"/>
      <c r="LFK127" s="140"/>
      <c r="LFL127" s="140"/>
      <c r="LFM127" s="140"/>
      <c r="LFN127" s="140"/>
      <c r="LFO127" s="140"/>
      <c r="LFP127" s="140"/>
      <c r="LFQ127" s="140"/>
      <c r="LFR127" s="140"/>
      <c r="LFS127" s="140"/>
      <c r="LFT127" s="140"/>
      <c r="LFU127" s="140"/>
      <c r="LFV127" s="140"/>
      <c r="LFW127" s="140"/>
      <c r="LFX127" s="140"/>
      <c r="LFY127" s="140"/>
      <c r="LFZ127" s="140"/>
      <c r="LGA127" s="140"/>
      <c r="LGB127" s="140"/>
      <c r="LGC127" s="140"/>
      <c r="LGD127" s="140"/>
      <c r="LGE127" s="140"/>
      <c r="LGF127" s="140"/>
      <c r="LGG127" s="140"/>
      <c r="LGH127" s="140"/>
      <c r="LGI127" s="140"/>
      <c r="LGJ127" s="140"/>
      <c r="LGK127" s="140"/>
      <c r="LGL127" s="140"/>
      <c r="LGM127" s="140"/>
      <c r="LGN127" s="140"/>
      <c r="LGO127" s="140"/>
      <c r="LGP127" s="140"/>
      <c r="LGQ127" s="140"/>
      <c r="LGR127" s="140"/>
      <c r="LGS127" s="140"/>
      <c r="LGT127" s="140"/>
      <c r="LGU127" s="140"/>
      <c r="LGV127" s="140"/>
      <c r="LGW127" s="140"/>
      <c r="LGX127" s="140"/>
      <c r="LGY127" s="140"/>
      <c r="LGZ127" s="140"/>
      <c r="LHA127" s="140"/>
      <c r="LHB127" s="140"/>
      <c r="LHC127" s="140"/>
      <c r="LHD127" s="140"/>
      <c r="LHE127" s="140"/>
      <c r="LHF127" s="140"/>
      <c r="LHG127" s="140"/>
      <c r="LHH127" s="140"/>
      <c r="LHI127" s="140"/>
      <c r="LHJ127" s="140"/>
      <c r="LHK127" s="140"/>
      <c r="LHL127" s="140"/>
      <c r="LHM127" s="140"/>
      <c r="LHN127" s="140"/>
      <c r="LHO127" s="140"/>
      <c r="LHP127" s="140"/>
      <c r="LHQ127" s="140"/>
      <c r="LHR127" s="140"/>
      <c r="LHS127" s="140"/>
      <c r="LHT127" s="140"/>
      <c r="LHU127" s="140"/>
      <c r="LHV127" s="140"/>
      <c r="LHW127" s="140"/>
      <c r="LHX127" s="140"/>
      <c r="LHY127" s="140"/>
      <c r="LHZ127" s="140"/>
      <c r="LIA127" s="140"/>
      <c r="LIB127" s="140"/>
      <c r="LIC127" s="140"/>
      <c r="LID127" s="140"/>
      <c r="LIE127" s="140"/>
      <c r="LIF127" s="140"/>
      <c r="LIG127" s="140"/>
      <c r="LIH127" s="140"/>
      <c r="LII127" s="140"/>
      <c r="LIJ127" s="140"/>
      <c r="LIK127" s="140"/>
      <c r="LIL127" s="140"/>
      <c r="LIM127" s="140"/>
      <c r="LIN127" s="140"/>
      <c r="LIO127" s="140"/>
      <c r="LIP127" s="140"/>
      <c r="LIQ127" s="140"/>
      <c r="LIR127" s="140"/>
      <c r="LIS127" s="140"/>
      <c r="LIT127" s="140"/>
      <c r="LIU127" s="140"/>
      <c r="LIV127" s="140"/>
      <c r="LIW127" s="140"/>
      <c r="LIX127" s="140"/>
      <c r="LIY127" s="140"/>
      <c r="LIZ127" s="140"/>
      <c r="LJA127" s="140"/>
      <c r="LJB127" s="140"/>
      <c r="LJC127" s="140"/>
      <c r="LJD127" s="140"/>
      <c r="LJE127" s="140"/>
      <c r="LJF127" s="140"/>
      <c r="LJG127" s="140"/>
      <c r="LJH127" s="140"/>
      <c r="LJI127" s="140"/>
      <c r="LJJ127" s="140"/>
      <c r="LJK127" s="140"/>
      <c r="LJL127" s="140"/>
      <c r="LJM127" s="140"/>
      <c r="LJN127" s="140"/>
      <c r="LJO127" s="140"/>
      <c r="LJP127" s="140"/>
      <c r="LJQ127" s="140"/>
      <c r="LJR127" s="140"/>
      <c r="LJS127" s="140"/>
      <c r="LJT127" s="140"/>
      <c r="LJU127" s="140"/>
      <c r="LJV127" s="140"/>
      <c r="LJW127" s="140"/>
      <c r="LJX127" s="140"/>
      <c r="LJY127" s="140"/>
      <c r="LJZ127" s="140"/>
      <c r="LKA127" s="140"/>
      <c r="LKB127" s="140"/>
      <c r="LKC127" s="140"/>
      <c r="LKD127" s="140"/>
      <c r="LKE127" s="140"/>
      <c r="LKF127" s="140"/>
      <c r="LKG127" s="140"/>
      <c r="LKH127" s="140"/>
      <c r="LKI127" s="140"/>
      <c r="LKJ127" s="140"/>
      <c r="LKK127" s="140"/>
      <c r="LKL127" s="140"/>
      <c r="LKM127" s="140"/>
      <c r="LKN127" s="140"/>
      <c r="LKO127" s="140"/>
      <c r="LKP127" s="140"/>
      <c r="LKQ127" s="140"/>
      <c r="LKR127" s="140"/>
      <c r="LKS127" s="140"/>
      <c r="LKT127" s="140"/>
      <c r="LKU127" s="140"/>
      <c r="LKV127" s="140"/>
      <c r="LKW127" s="140"/>
      <c r="LKX127" s="140"/>
      <c r="LKY127" s="140"/>
      <c r="LKZ127" s="140"/>
      <c r="LLA127" s="140"/>
      <c r="LLB127" s="140"/>
      <c r="LLC127" s="140"/>
      <c r="LLD127" s="140"/>
      <c r="LLE127" s="140"/>
      <c r="LLF127" s="140"/>
      <c r="LLG127" s="140"/>
      <c r="LLH127" s="140"/>
      <c r="LLI127" s="140"/>
      <c r="LLJ127" s="140"/>
      <c r="LLK127" s="140"/>
      <c r="LLL127" s="140"/>
      <c r="LLM127" s="140"/>
      <c r="LLN127" s="140"/>
      <c r="LLO127" s="140"/>
      <c r="LLP127" s="140"/>
      <c r="LLQ127" s="140"/>
      <c r="LLR127" s="140"/>
      <c r="LLS127" s="140"/>
      <c r="LLT127" s="140"/>
      <c r="LLU127" s="140"/>
      <c r="LLV127" s="140"/>
      <c r="LLW127" s="140"/>
      <c r="LLX127" s="140"/>
      <c r="LLY127" s="140"/>
      <c r="LLZ127" s="140"/>
      <c r="LMA127" s="140"/>
      <c r="LMB127" s="140"/>
      <c r="LMC127" s="140"/>
      <c r="LMD127" s="140"/>
      <c r="LME127" s="140"/>
      <c r="LMF127" s="140"/>
      <c r="LMG127" s="140"/>
      <c r="LMH127" s="140"/>
      <c r="LMI127" s="140"/>
      <c r="LMJ127" s="140"/>
      <c r="LMK127" s="140"/>
      <c r="LML127" s="140"/>
      <c r="LMM127" s="140"/>
      <c r="LMN127" s="140"/>
      <c r="LMO127" s="140"/>
      <c r="LMP127" s="140"/>
      <c r="LMQ127" s="140"/>
      <c r="LMR127" s="140"/>
      <c r="LMS127" s="140"/>
      <c r="LMT127" s="140"/>
      <c r="LMU127" s="140"/>
      <c r="LMV127" s="140"/>
      <c r="LMW127" s="140"/>
      <c r="LMX127" s="140"/>
      <c r="LMY127" s="140"/>
      <c r="LMZ127" s="140"/>
      <c r="LNA127" s="140"/>
      <c r="LNB127" s="140"/>
      <c r="LNC127" s="140"/>
      <c r="LND127" s="140"/>
      <c r="LNE127" s="140"/>
      <c r="LNF127" s="140"/>
      <c r="LNG127" s="140"/>
      <c r="LNH127" s="140"/>
      <c r="LNI127" s="140"/>
      <c r="LNJ127" s="140"/>
      <c r="LNK127" s="140"/>
      <c r="LNL127" s="140"/>
      <c r="LNM127" s="140"/>
      <c r="LNN127" s="140"/>
      <c r="LNO127" s="140"/>
      <c r="LNP127" s="140"/>
      <c r="LNQ127" s="140"/>
      <c r="LNR127" s="140"/>
      <c r="LNS127" s="140"/>
      <c r="LNT127" s="140"/>
      <c r="LNU127" s="140"/>
      <c r="LNV127" s="140"/>
      <c r="LNW127" s="140"/>
      <c r="LNX127" s="140"/>
      <c r="LNY127" s="140"/>
      <c r="LNZ127" s="140"/>
      <c r="LOA127" s="140"/>
      <c r="LOB127" s="140"/>
      <c r="LOC127" s="140"/>
      <c r="LOD127" s="140"/>
      <c r="LOE127" s="140"/>
      <c r="LOF127" s="140"/>
      <c r="LOG127" s="140"/>
      <c r="LOH127" s="140"/>
      <c r="LOI127" s="140"/>
      <c r="LOJ127" s="140"/>
      <c r="LOK127" s="140"/>
      <c r="LOL127" s="140"/>
      <c r="LOM127" s="140"/>
      <c r="LON127" s="140"/>
      <c r="LOO127" s="140"/>
      <c r="LOP127" s="140"/>
      <c r="LOQ127" s="140"/>
      <c r="LOR127" s="140"/>
      <c r="LOS127" s="140"/>
      <c r="LOT127" s="140"/>
      <c r="LOU127" s="140"/>
      <c r="LOV127" s="140"/>
      <c r="LOW127" s="140"/>
      <c r="LOX127" s="140"/>
      <c r="LOY127" s="140"/>
      <c r="LOZ127" s="140"/>
      <c r="LPA127" s="140"/>
      <c r="LPB127" s="140"/>
      <c r="LPC127" s="140"/>
      <c r="LPD127" s="140"/>
      <c r="LPE127" s="140"/>
      <c r="LPF127" s="140"/>
      <c r="LPG127" s="140"/>
      <c r="LPH127" s="140"/>
      <c r="LPI127" s="140"/>
      <c r="LPJ127" s="140"/>
      <c r="LPK127" s="140"/>
      <c r="LPL127" s="140"/>
      <c r="LPM127" s="140"/>
      <c r="LPN127" s="140"/>
      <c r="LPO127" s="140"/>
      <c r="LPP127" s="140"/>
      <c r="LPQ127" s="140"/>
      <c r="LPR127" s="140"/>
      <c r="LPS127" s="140"/>
      <c r="LPT127" s="140"/>
      <c r="LPU127" s="140"/>
      <c r="LPV127" s="140"/>
      <c r="LPW127" s="140"/>
      <c r="LPX127" s="140"/>
      <c r="LPY127" s="140"/>
      <c r="LPZ127" s="140"/>
      <c r="LQA127" s="140"/>
      <c r="LQB127" s="140"/>
      <c r="LQC127" s="140"/>
      <c r="LQD127" s="140"/>
      <c r="LQE127" s="140"/>
      <c r="LQF127" s="140"/>
      <c r="LQG127" s="140"/>
      <c r="LQH127" s="140"/>
      <c r="LQI127" s="140"/>
      <c r="LQJ127" s="140"/>
      <c r="LQK127" s="140"/>
      <c r="LQL127" s="140"/>
      <c r="LQM127" s="140"/>
      <c r="LQN127" s="140"/>
      <c r="LQO127" s="140"/>
      <c r="LQP127" s="140"/>
      <c r="LQQ127" s="140"/>
      <c r="LQR127" s="140"/>
      <c r="LQS127" s="140"/>
      <c r="LQT127" s="140"/>
      <c r="LQU127" s="140"/>
      <c r="LQV127" s="140"/>
      <c r="LQW127" s="140"/>
      <c r="LQX127" s="140"/>
      <c r="LQY127" s="140"/>
      <c r="LQZ127" s="140"/>
      <c r="LRA127" s="140"/>
      <c r="LRB127" s="140"/>
      <c r="LRC127" s="140"/>
      <c r="LRD127" s="140"/>
      <c r="LRE127" s="140"/>
      <c r="LRF127" s="140"/>
      <c r="LRG127" s="140"/>
      <c r="LRH127" s="140"/>
      <c r="LRI127" s="140"/>
      <c r="LRJ127" s="140"/>
      <c r="LRK127" s="140"/>
      <c r="LRL127" s="140"/>
      <c r="LRM127" s="140"/>
      <c r="LRN127" s="140"/>
      <c r="LRO127" s="140"/>
      <c r="LRP127" s="140"/>
      <c r="LRQ127" s="140"/>
      <c r="LRR127" s="140"/>
      <c r="LRS127" s="140"/>
      <c r="LRT127" s="140"/>
      <c r="LRU127" s="140"/>
      <c r="LRV127" s="140"/>
      <c r="LRW127" s="140"/>
      <c r="LRX127" s="140"/>
      <c r="LRY127" s="140"/>
      <c r="LRZ127" s="140"/>
      <c r="LSA127" s="140"/>
      <c r="LSB127" s="140"/>
      <c r="LSC127" s="140"/>
      <c r="LSD127" s="140"/>
      <c r="LSE127" s="140"/>
      <c r="LSF127" s="140"/>
      <c r="LSG127" s="140"/>
      <c r="LSH127" s="140"/>
      <c r="LSI127" s="140"/>
      <c r="LSJ127" s="140"/>
      <c r="LSK127" s="140"/>
      <c r="LSL127" s="140"/>
      <c r="LSM127" s="140"/>
      <c r="LSN127" s="140"/>
      <c r="LSO127" s="140"/>
      <c r="LSP127" s="140"/>
      <c r="LSQ127" s="140"/>
      <c r="LSR127" s="140"/>
      <c r="LSS127" s="140"/>
      <c r="LST127" s="140"/>
      <c r="LSU127" s="140"/>
      <c r="LSV127" s="140"/>
      <c r="LSW127" s="140"/>
      <c r="LSX127" s="140"/>
      <c r="LSY127" s="140"/>
      <c r="LSZ127" s="140"/>
      <c r="LTA127" s="140"/>
      <c r="LTB127" s="140"/>
      <c r="LTC127" s="140"/>
      <c r="LTD127" s="140"/>
      <c r="LTE127" s="140"/>
      <c r="LTF127" s="140"/>
      <c r="LTG127" s="140"/>
      <c r="LTH127" s="140"/>
      <c r="LTI127" s="140"/>
      <c r="LTJ127" s="140"/>
      <c r="LTK127" s="140"/>
      <c r="LTL127" s="140"/>
      <c r="LTM127" s="140"/>
      <c r="LTN127" s="140"/>
      <c r="LTO127" s="140"/>
      <c r="LTP127" s="140"/>
      <c r="LTQ127" s="140"/>
      <c r="LTR127" s="140"/>
      <c r="LTS127" s="140"/>
      <c r="LTT127" s="140"/>
      <c r="LTU127" s="140"/>
      <c r="LTV127" s="140"/>
      <c r="LTW127" s="140"/>
      <c r="LTX127" s="140"/>
      <c r="LTY127" s="140"/>
      <c r="LTZ127" s="140"/>
      <c r="LUA127" s="140"/>
      <c r="LUB127" s="140"/>
      <c r="LUC127" s="140"/>
      <c r="LUD127" s="140"/>
      <c r="LUE127" s="140"/>
      <c r="LUF127" s="140"/>
      <c r="LUG127" s="140"/>
      <c r="LUH127" s="140"/>
      <c r="LUI127" s="140"/>
      <c r="LUJ127" s="140"/>
      <c r="LUK127" s="140"/>
      <c r="LUL127" s="140"/>
      <c r="LUM127" s="140"/>
      <c r="LUN127" s="140"/>
      <c r="LUO127" s="140"/>
      <c r="LUP127" s="140"/>
      <c r="LUQ127" s="140"/>
      <c r="LUR127" s="140"/>
      <c r="LUS127" s="140"/>
      <c r="LUT127" s="140"/>
      <c r="LUU127" s="140"/>
      <c r="LUV127" s="140"/>
      <c r="LUW127" s="140"/>
      <c r="LUX127" s="140"/>
      <c r="LUY127" s="140"/>
      <c r="LUZ127" s="140"/>
      <c r="LVA127" s="140"/>
      <c r="LVB127" s="140"/>
      <c r="LVC127" s="140"/>
      <c r="LVD127" s="140"/>
      <c r="LVE127" s="140"/>
      <c r="LVF127" s="140"/>
      <c r="LVG127" s="140"/>
      <c r="LVH127" s="140"/>
      <c r="LVI127" s="140"/>
      <c r="LVJ127" s="140"/>
      <c r="LVK127" s="140"/>
      <c r="LVL127" s="140"/>
      <c r="LVM127" s="140"/>
      <c r="LVN127" s="140"/>
      <c r="LVO127" s="140"/>
      <c r="LVP127" s="140"/>
      <c r="LVQ127" s="140"/>
      <c r="LVR127" s="140"/>
      <c r="LVS127" s="140"/>
      <c r="LVT127" s="140"/>
      <c r="LVU127" s="140"/>
      <c r="LVV127" s="140"/>
      <c r="LVW127" s="140"/>
      <c r="LVX127" s="140"/>
      <c r="LVY127" s="140"/>
      <c r="LVZ127" s="140"/>
      <c r="LWA127" s="140"/>
      <c r="LWB127" s="140"/>
      <c r="LWC127" s="140"/>
      <c r="LWD127" s="140"/>
      <c r="LWE127" s="140"/>
      <c r="LWF127" s="140"/>
      <c r="LWG127" s="140"/>
      <c r="LWH127" s="140"/>
      <c r="LWI127" s="140"/>
      <c r="LWJ127" s="140"/>
      <c r="LWK127" s="140"/>
      <c r="LWL127" s="140"/>
      <c r="LWM127" s="140"/>
      <c r="LWN127" s="140"/>
      <c r="LWO127" s="140"/>
      <c r="LWP127" s="140"/>
      <c r="LWQ127" s="140"/>
      <c r="LWR127" s="140"/>
      <c r="LWS127" s="140"/>
      <c r="LWT127" s="140"/>
      <c r="LWU127" s="140"/>
      <c r="LWV127" s="140"/>
      <c r="LWW127" s="140"/>
      <c r="LWX127" s="140"/>
      <c r="LWY127" s="140"/>
      <c r="LWZ127" s="140"/>
      <c r="LXA127" s="140"/>
      <c r="LXB127" s="140"/>
      <c r="LXC127" s="140"/>
      <c r="LXD127" s="140"/>
      <c r="LXE127" s="140"/>
      <c r="LXF127" s="140"/>
      <c r="LXG127" s="140"/>
      <c r="LXH127" s="140"/>
      <c r="LXI127" s="140"/>
      <c r="LXJ127" s="140"/>
      <c r="LXK127" s="140"/>
      <c r="LXL127" s="140"/>
      <c r="LXM127" s="140"/>
      <c r="LXN127" s="140"/>
      <c r="LXO127" s="140"/>
      <c r="LXP127" s="140"/>
      <c r="LXQ127" s="140"/>
      <c r="LXR127" s="140"/>
      <c r="LXS127" s="140"/>
      <c r="LXT127" s="140"/>
      <c r="LXU127" s="140"/>
      <c r="LXV127" s="140"/>
      <c r="LXW127" s="140"/>
      <c r="LXX127" s="140"/>
      <c r="LXY127" s="140"/>
      <c r="LXZ127" s="140"/>
      <c r="LYA127" s="140"/>
      <c r="LYB127" s="140"/>
      <c r="LYC127" s="140"/>
      <c r="LYD127" s="140"/>
      <c r="LYE127" s="140"/>
      <c r="LYF127" s="140"/>
      <c r="LYG127" s="140"/>
      <c r="LYH127" s="140"/>
      <c r="LYI127" s="140"/>
      <c r="LYJ127" s="140"/>
      <c r="LYK127" s="140"/>
      <c r="LYL127" s="140"/>
      <c r="LYM127" s="140"/>
      <c r="LYN127" s="140"/>
      <c r="LYO127" s="140"/>
      <c r="LYP127" s="140"/>
      <c r="LYQ127" s="140"/>
      <c r="LYR127" s="140"/>
      <c r="LYS127" s="140"/>
      <c r="LYT127" s="140"/>
      <c r="LYU127" s="140"/>
      <c r="LYV127" s="140"/>
      <c r="LYW127" s="140"/>
      <c r="LYX127" s="140"/>
      <c r="LYY127" s="140"/>
      <c r="LYZ127" s="140"/>
      <c r="LZA127" s="140"/>
      <c r="LZB127" s="140"/>
      <c r="LZC127" s="140"/>
      <c r="LZD127" s="140"/>
      <c r="LZE127" s="140"/>
      <c r="LZF127" s="140"/>
      <c r="LZG127" s="140"/>
      <c r="LZH127" s="140"/>
      <c r="LZI127" s="140"/>
      <c r="LZJ127" s="140"/>
      <c r="LZK127" s="140"/>
      <c r="LZL127" s="140"/>
      <c r="LZM127" s="140"/>
      <c r="LZN127" s="140"/>
      <c r="LZO127" s="140"/>
      <c r="LZP127" s="140"/>
      <c r="LZQ127" s="140"/>
      <c r="LZR127" s="140"/>
      <c r="LZS127" s="140"/>
      <c r="LZT127" s="140"/>
      <c r="LZU127" s="140"/>
      <c r="LZV127" s="140"/>
      <c r="LZW127" s="140"/>
      <c r="LZX127" s="140"/>
      <c r="LZY127" s="140"/>
      <c r="LZZ127" s="140"/>
      <c r="MAA127" s="140"/>
      <c r="MAB127" s="140"/>
      <c r="MAC127" s="140"/>
      <c r="MAD127" s="140"/>
      <c r="MAE127" s="140"/>
      <c r="MAF127" s="140"/>
      <c r="MAG127" s="140"/>
      <c r="MAH127" s="140"/>
      <c r="MAI127" s="140"/>
      <c r="MAJ127" s="140"/>
      <c r="MAK127" s="140"/>
      <c r="MAL127" s="140"/>
      <c r="MAM127" s="140"/>
      <c r="MAN127" s="140"/>
      <c r="MAO127" s="140"/>
      <c r="MAP127" s="140"/>
      <c r="MAQ127" s="140"/>
      <c r="MAR127" s="140"/>
      <c r="MAS127" s="140"/>
      <c r="MAT127" s="140"/>
      <c r="MAU127" s="140"/>
      <c r="MAV127" s="140"/>
      <c r="MAW127" s="140"/>
      <c r="MAX127" s="140"/>
      <c r="MAY127" s="140"/>
      <c r="MAZ127" s="140"/>
      <c r="MBA127" s="140"/>
      <c r="MBB127" s="140"/>
      <c r="MBC127" s="140"/>
      <c r="MBD127" s="140"/>
      <c r="MBE127" s="140"/>
      <c r="MBF127" s="140"/>
      <c r="MBG127" s="140"/>
      <c r="MBH127" s="140"/>
      <c r="MBI127" s="140"/>
      <c r="MBJ127" s="140"/>
      <c r="MBK127" s="140"/>
      <c r="MBL127" s="140"/>
      <c r="MBM127" s="140"/>
      <c r="MBN127" s="140"/>
      <c r="MBO127" s="140"/>
      <c r="MBP127" s="140"/>
      <c r="MBQ127" s="140"/>
      <c r="MBR127" s="140"/>
      <c r="MBS127" s="140"/>
      <c r="MBT127" s="140"/>
      <c r="MBU127" s="140"/>
      <c r="MBV127" s="140"/>
      <c r="MBW127" s="140"/>
      <c r="MBX127" s="140"/>
      <c r="MBY127" s="140"/>
      <c r="MBZ127" s="140"/>
      <c r="MCA127" s="140"/>
      <c r="MCB127" s="140"/>
      <c r="MCC127" s="140"/>
      <c r="MCD127" s="140"/>
      <c r="MCE127" s="140"/>
      <c r="MCF127" s="140"/>
      <c r="MCG127" s="140"/>
      <c r="MCH127" s="140"/>
      <c r="MCI127" s="140"/>
      <c r="MCJ127" s="140"/>
      <c r="MCK127" s="140"/>
      <c r="MCL127" s="140"/>
      <c r="MCM127" s="140"/>
      <c r="MCN127" s="140"/>
      <c r="MCO127" s="140"/>
      <c r="MCP127" s="140"/>
      <c r="MCQ127" s="140"/>
      <c r="MCR127" s="140"/>
      <c r="MCS127" s="140"/>
      <c r="MCT127" s="140"/>
      <c r="MCU127" s="140"/>
      <c r="MCV127" s="140"/>
      <c r="MCW127" s="140"/>
      <c r="MCX127" s="140"/>
      <c r="MCY127" s="140"/>
      <c r="MCZ127" s="140"/>
      <c r="MDA127" s="140"/>
      <c r="MDB127" s="140"/>
      <c r="MDC127" s="140"/>
      <c r="MDD127" s="140"/>
      <c r="MDE127" s="140"/>
      <c r="MDF127" s="140"/>
      <c r="MDG127" s="140"/>
      <c r="MDH127" s="140"/>
      <c r="MDI127" s="140"/>
      <c r="MDJ127" s="140"/>
      <c r="MDK127" s="140"/>
      <c r="MDL127" s="140"/>
      <c r="MDM127" s="140"/>
      <c r="MDN127" s="140"/>
      <c r="MDO127" s="140"/>
      <c r="MDP127" s="140"/>
      <c r="MDQ127" s="140"/>
      <c r="MDR127" s="140"/>
      <c r="MDS127" s="140"/>
      <c r="MDT127" s="140"/>
      <c r="MDU127" s="140"/>
      <c r="MDV127" s="140"/>
      <c r="MDW127" s="140"/>
      <c r="MDX127" s="140"/>
      <c r="MDY127" s="140"/>
      <c r="MDZ127" s="140"/>
      <c r="MEA127" s="140"/>
      <c r="MEB127" s="140"/>
      <c r="MEC127" s="140"/>
      <c r="MED127" s="140"/>
      <c r="MEE127" s="140"/>
      <c r="MEF127" s="140"/>
      <c r="MEG127" s="140"/>
      <c r="MEH127" s="140"/>
      <c r="MEI127" s="140"/>
      <c r="MEJ127" s="140"/>
      <c r="MEK127" s="140"/>
      <c r="MEL127" s="140"/>
      <c r="MEM127" s="140"/>
      <c r="MEN127" s="140"/>
      <c r="MEO127" s="140"/>
      <c r="MEP127" s="140"/>
      <c r="MEQ127" s="140"/>
      <c r="MER127" s="140"/>
      <c r="MES127" s="140"/>
      <c r="MET127" s="140"/>
      <c r="MEU127" s="140"/>
      <c r="MEV127" s="140"/>
      <c r="MEW127" s="140"/>
      <c r="MEX127" s="140"/>
      <c r="MEY127" s="140"/>
      <c r="MEZ127" s="140"/>
      <c r="MFA127" s="140"/>
      <c r="MFB127" s="140"/>
      <c r="MFC127" s="140"/>
      <c r="MFD127" s="140"/>
      <c r="MFE127" s="140"/>
      <c r="MFF127" s="140"/>
      <c r="MFG127" s="140"/>
      <c r="MFH127" s="140"/>
      <c r="MFI127" s="140"/>
      <c r="MFJ127" s="140"/>
      <c r="MFK127" s="140"/>
      <c r="MFL127" s="140"/>
      <c r="MFM127" s="140"/>
      <c r="MFN127" s="140"/>
      <c r="MFO127" s="140"/>
      <c r="MFP127" s="140"/>
      <c r="MFQ127" s="140"/>
      <c r="MFR127" s="140"/>
      <c r="MFS127" s="140"/>
      <c r="MFT127" s="140"/>
      <c r="MFU127" s="140"/>
      <c r="MFV127" s="140"/>
      <c r="MFW127" s="140"/>
      <c r="MFX127" s="140"/>
      <c r="MFY127" s="140"/>
      <c r="MFZ127" s="140"/>
      <c r="MGA127" s="140"/>
      <c r="MGB127" s="140"/>
      <c r="MGC127" s="140"/>
      <c r="MGD127" s="140"/>
      <c r="MGE127" s="140"/>
      <c r="MGF127" s="140"/>
      <c r="MGG127" s="140"/>
      <c r="MGH127" s="140"/>
      <c r="MGI127" s="140"/>
      <c r="MGJ127" s="140"/>
      <c r="MGK127" s="140"/>
      <c r="MGL127" s="140"/>
      <c r="MGM127" s="140"/>
      <c r="MGN127" s="140"/>
      <c r="MGO127" s="140"/>
      <c r="MGP127" s="140"/>
      <c r="MGQ127" s="140"/>
      <c r="MGR127" s="140"/>
      <c r="MGS127" s="140"/>
      <c r="MGT127" s="140"/>
      <c r="MGU127" s="140"/>
      <c r="MGV127" s="140"/>
      <c r="MGW127" s="140"/>
      <c r="MGX127" s="140"/>
      <c r="MGY127" s="140"/>
      <c r="MGZ127" s="140"/>
      <c r="MHA127" s="140"/>
      <c r="MHB127" s="140"/>
      <c r="MHC127" s="140"/>
      <c r="MHD127" s="140"/>
      <c r="MHE127" s="140"/>
      <c r="MHF127" s="140"/>
      <c r="MHG127" s="140"/>
      <c r="MHH127" s="140"/>
      <c r="MHI127" s="140"/>
      <c r="MHJ127" s="140"/>
      <c r="MHK127" s="140"/>
      <c r="MHL127" s="140"/>
      <c r="MHM127" s="140"/>
      <c r="MHN127" s="140"/>
      <c r="MHO127" s="140"/>
      <c r="MHP127" s="140"/>
      <c r="MHQ127" s="140"/>
      <c r="MHR127" s="140"/>
      <c r="MHS127" s="140"/>
      <c r="MHT127" s="140"/>
      <c r="MHU127" s="140"/>
      <c r="MHV127" s="140"/>
      <c r="MHW127" s="140"/>
      <c r="MHX127" s="140"/>
      <c r="MHY127" s="140"/>
      <c r="MHZ127" s="140"/>
      <c r="MIA127" s="140"/>
      <c r="MIB127" s="140"/>
      <c r="MIC127" s="140"/>
      <c r="MID127" s="140"/>
      <c r="MIE127" s="140"/>
      <c r="MIF127" s="140"/>
      <c r="MIG127" s="140"/>
      <c r="MIH127" s="140"/>
      <c r="MII127" s="140"/>
      <c r="MIJ127" s="140"/>
      <c r="MIK127" s="140"/>
      <c r="MIL127" s="140"/>
      <c r="MIM127" s="140"/>
      <c r="MIN127" s="140"/>
      <c r="MIO127" s="140"/>
      <c r="MIP127" s="140"/>
      <c r="MIQ127" s="140"/>
      <c r="MIR127" s="140"/>
      <c r="MIS127" s="140"/>
      <c r="MIT127" s="140"/>
      <c r="MIU127" s="140"/>
      <c r="MIV127" s="140"/>
      <c r="MIW127" s="140"/>
      <c r="MIX127" s="140"/>
      <c r="MIY127" s="140"/>
      <c r="MIZ127" s="140"/>
      <c r="MJA127" s="140"/>
      <c r="MJB127" s="140"/>
      <c r="MJC127" s="140"/>
      <c r="MJD127" s="140"/>
      <c r="MJE127" s="140"/>
      <c r="MJF127" s="140"/>
      <c r="MJG127" s="140"/>
      <c r="MJH127" s="140"/>
      <c r="MJI127" s="140"/>
      <c r="MJJ127" s="140"/>
      <c r="MJK127" s="140"/>
      <c r="MJL127" s="140"/>
      <c r="MJM127" s="140"/>
      <c r="MJN127" s="140"/>
      <c r="MJO127" s="140"/>
      <c r="MJP127" s="140"/>
      <c r="MJQ127" s="140"/>
      <c r="MJR127" s="140"/>
      <c r="MJS127" s="140"/>
      <c r="MJT127" s="140"/>
      <c r="MJU127" s="140"/>
      <c r="MJV127" s="140"/>
      <c r="MJW127" s="140"/>
      <c r="MJX127" s="140"/>
      <c r="MJY127" s="140"/>
      <c r="MJZ127" s="140"/>
      <c r="MKA127" s="140"/>
      <c r="MKB127" s="140"/>
      <c r="MKC127" s="140"/>
      <c r="MKD127" s="140"/>
      <c r="MKE127" s="140"/>
      <c r="MKF127" s="140"/>
      <c r="MKG127" s="140"/>
      <c r="MKH127" s="140"/>
      <c r="MKI127" s="140"/>
      <c r="MKJ127" s="140"/>
      <c r="MKK127" s="140"/>
      <c r="MKL127" s="140"/>
      <c r="MKM127" s="140"/>
      <c r="MKN127" s="140"/>
      <c r="MKO127" s="140"/>
      <c r="MKP127" s="140"/>
      <c r="MKQ127" s="140"/>
      <c r="MKR127" s="140"/>
      <c r="MKS127" s="140"/>
      <c r="MKT127" s="140"/>
      <c r="MKU127" s="140"/>
      <c r="MKV127" s="140"/>
      <c r="MKW127" s="140"/>
      <c r="MKX127" s="140"/>
      <c r="MKY127" s="140"/>
      <c r="MKZ127" s="140"/>
      <c r="MLA127" s="140"/>
      <c r="MLB127" s="140"/>
      <c r="MLC127" s="140"/>
      <c r="MLD127" s="140"/>
      <c r="MLE127" s="140"/>
      <c r="MLF127" s="140"/>
      <c r="MLG127" s="140"/>
      <c r="MLH127" s="140"/>
      <c r="MLI127" s="140"/>
      <c r="MLJ127" s="140"/>
      <c r="MLK127" s="140"/>
      <c r="MLL127" s="140"/>
      <c r="MLM127" s="140"/>
      <c r="MLN127" s="140"/>
      <c r="MLO127" s="140"/>
      <c r="MLP127" s="140"/>
      <c r="MLQ127" s="140"/>
      <c r="MLR127" s="140"/>
      <c r="MLS127" s="140"/>
      <c r="MLT127" s="140"/>
      <c r="MLU127" s="140"/>
      <c r="MLV127" s="140"/>
      <c r="MLW127" s="140"/>
      <c r="MLX127" s="140"/>
      <c r="MLY127" s="140"/>
      <c r="MLZ127" s="140"/>
      <c r="MMA127" s="140"/>
      <c r="MMB127" s="140"/>
      <c r="MMC127" s="140"/>
      <c r="MMD127" s="140"/>
      <c r="MME127" s="140"/>
      <c r="MMF127" s="140"/>
      <c r="MMG127" s="140"/>
      <c r="MMH127" s="140"/>
      <c r="MMI127" s="140"/>
      <c r="MMJ127" s="140"/>
      <c r="MMK127" s="140"/>
      <c r="MML127" s="140"/>
      <c r="MMM127" s="140"/>
      <c r="MMN127" s="140"/>
      <c r="MMO127" s="140"/>
      <c r="MMP127" s="140"/>
      <c r="MMQ127" s="140"/>
      <c r="MMR127" s="140"/>
      <c r="MMS127" s="140"/>
      <c r="MMT127" s="140"/>
      <c r="MMU127" s="140"/>
      <c r="MMV127" s="140"/>
      <c r="MMW127" s="140"/>
      <c r="MMX127" s="140"/>
      <c r="MMY127" s="140"/>
      <c r="MMZ127" s="140"/>
      <c r="MNA127" s="140"/>
      <c r="MNB127" s="140"/>
      <c r="MNC127" s="140"/>
      <c r="MND127" s="140"/>
      <c r="MNE127" s="140"/>
      <c r="MNF127" s="140"/>
      <c r="MNG127" s="140"/>
      <c r="MNH127" s="140"/>
      <c r="MNI127" s="140"/>
      <c r="MNJ127" s="140"/>
      <c r="MNK127" s="140"/>
      <c r="MNL127" s="140"/>
      <c r="MNM127" s="140"/>
      <c r="MNN127" s="140"/>
      <c r="MNO127" s="140"/>
      <c r="MNP127" s="140"/>
      <c r="MNQ127" s="140"/>
      <c r="MNR127" s="140"/>
      <c r="MNS127" s="140"/>
      <c r="MNT127" s="140"/>
      <c r="MNU127" s="140"/>
      <c r="MNV127" s="140"/>
      <c r="MNW127" s="140"/>
      <c r="MNX127" s="140"/>
      <c r="MNY127" s="140"/>
      <c r="MNZ127" s="140"/>
      <c r="MOA127" s="140"/>
      <c r="MOB127" s="140"/>
      <c r="MOC127" s="140"/>
      <c r="MOD127" s="140"/>
      <c r="MOE127" s="140"/>
      <c r="MOF127" s="140"/>
      <c r="MOG127" s="140"/>
      <c r="MOH127" s="140"/>
      <c r="MOI127" s="140"/>
      <c r="MOJ127" s="140"/>
      <c r="MOK127" s="140"/>
      <c r="MOL127" s="140"/>
      <c r="MOM127" s="140"/>
      <c r="MON127" s="140"/>
      <c r="MOO127" s="140"/>
      <c r="MOP127" s="140"/>
      <c r="MOQ127" s="140"/>
      <c r="MOR127" s="140"/>
      <c r="MOS127" s="140"/>
      <c r="MOT127" s="140"/>
      <c r="MOU127" s="140"/>
      <c r="MOV127" s="140"/>
      <c r="MOW127" s="140"/>
      <c r="MOX127" s="140"/>
      <c r="MOY127" s="140"/>
      <c r="MOZ127" s="140"/>
      <c r="MPA127" s="140"/>
      <c r="MPB127" s="140"/>
      <c r="MPC127" s="140"/>
      <c r="MPD127" s="140"/>
      <c r="MPE127" s="140"/>
      <c r="MPF127" s="140"/>
      <c r="MPG127" s="140"/>
      <c r="MPH127" s="140"/>
      <c r="MPI127" s="140"/>
      <c r="MPJ127" s="140"/>
      <c r="MPK127" s="140"/>
      <c r="MPL127" s="140"/>
      <c r="MPM127" s="140"/>
      <c r="MPN127" s="140"/>
      <c r="MPO127" s="140"/>
      <c r="MPP127" s="140"/>
      <c r="MPQ127" s="140"/>
      <c r="MPR127" s="140"/>
      <c r="MPS127" s="140"/>
      <c r="MPT127" s="140"/>
      <c r="MPU127" s="140"/>
      <c r="MPV127" s="140"/>
      <c r="MPW127" s="140"/>
      <c r="MPX127" s="140"/>
      <c r="MPY127" s="140"/>
      <c r="MPZ127" s="140"/>
      <c r="MQA127" s="140"/>
      <c r="MQB127" s="140"/>
      <c r="MQC127" s="140"/>
      <c r="MQD127" s="140"/>
      <c r="MQE127" s="140"/>
      <c r="MQF127" s="140"/>
      <c r="MQG127" s="140"/>
      <c r="MQH127" s="140"/>
      <c r="MQI127" s="140"/>
      <c r="MQJ127" s="140"/>
      <c r="MQK127" s="140"/>
      <c r="MQL127" s="140"/>
      <c r="MQM127" s="140"/>
      <c r="MQN127" s="140"/>
      <c r="MQO127" s="140"/>
      <c r="MQP127" s="140"/>
      <c r="MQQ127" s="140"/>
      <c r="MQR127" s="140"/>
      <c r="MQS127" s="140"/>
      <c r="MQT127" s="140"/>
      <c r="MQU127" s="140"/>
      <c r="MQV127" s="140"/>
      <c r="MQW127" s="140"/>
      <c r="MQX127" s="140"/>
      <c r="MQY127" s="140"/>
      <c r="MQZ127" s="140"/>
      <c r="MRA127" s="140"/>
      <c r="MRB127" s="140"/>
      <c r="MRC127" s="140"/>
      <c r="MRD127" s="140"/>
      <c r="MRE127" s="140"/>
      <c r="MRF127" s="140"/>
      <c r="MRG127" s="140"/>
      <c r="MRH127" s="140"/>
      <c r="MRI127" s="140"/>
      <c r="MRJ127" s="140"/>
      <c r="MRK127" s="140"/>
      <c r="MRL127" s="140"/>
      <c r="MRM127" s="140"/>
      <c r="MRN127" s="140"/>
      <c r="MRO127" s="140"/>
      <c r="MRP127" s="140"/>
      <c r="MRQ127" s="140"/>
      <c r="MRR127" s="140"/>
      <c r="MRS127" s="140"/>
      <c r="MRT127" s="140"/>
      <c r="MRU127" s="140"/>
      <c r="MRV127" s="140"/>
      <c r="MRW127" s="140"/>
      <c r="MRX127" s="140"/>
      <c r="MRY127" s="140"/>
      <c r="MRZ127" s="140"/>
      <c r="MSA127" s="140"/>
      <c r="MSB127" s="140"/>
      <c r="MSC127" s="140"/>
      <c r="MSD127" s="140"/>
      <c r="MSE127" s="140"/>
      <c r="MSF127" s="140"/>
      <c r="MSG127" s="140"/>
      <c r="MSH127" s="140"/>
      <c r="MSI127" s="140"/>
      <c r="MSJ127" s="140"/>
      <c r="MSK127" s="140"/>
      <c r="MSL127" s="140"/>
      <c r="MSM127" s="140"/>
      <c r="MSN127" s="140"/>
      <c r="MSO127" s="140"/>
      <c r="MSP127" s="140"/>
      <c r="MSQ127" s="140"/>
      <c r="MSR127" s="140"/>
      <c r="MSS127" s="140"/>
      <c r="MST127" s="140"/>
      <c r="MSU127" s="140"/>
      <c r="MSV127" s="140"/>
      <c r="MSW127" s="140"/>
      <c r="MSX127" s="140"/>
      <c r="MSY127" s="140"/>
      <c r="MSZ127" s="140"/>
      <c r="MTA127" s="140"/>
      <c r="MTB127" s="140"/>
      <c r="MTC127" s="140"/>
      <c r="MTD127" s="140"/>
      <c r="MTE127" s="140"/>
      <c r="MTF127" s="140"/>
      <c r="MTG127" s="140"/>
      <c r="MTH127" s="140"/>
      <c r="MTI127" s="140"/>
      <c r="MTJ127" s="140"/>
      <c r="MTK127" s="140"/>
      <c r="MTL127" s="140"/>
      <c r="MTM127" s="140"/>
      <c r="MTN127" s="140"/>
      <c r="MTO127" s="140"/>
      <c r="MTP127" s="140"/>
      <c r="MTQ127" s="140"/>
      <c r="MTR127" s="140"/>
      <c r="MTS127" s="140"/>
      <c r="MTT127" s="140"/>
      <c r="MTU127" s="140"/>
      <c r="MTV127" s="140"/>
      <c r="MTW127" s="140"/>
      <c r="MTX127" s="140"/>
      <c r="MTY127" s="140"/>
      <c r="MTZ127" s="140"/>
      <c r="MUA127" s="140"/>
      <c r="MUB127" s="140"/>
      <c r="MUC127" s="140"/>
      <c r="MUD127" s="140"/>
      <c r="MUE127" s="140"/>
      <c r="MUF127" s="140"/>
      <c r="MUG127" s="140"/>
      <c r="MUH127" s="140"/>
      <c r="MUI127" s="140"/>
      <c r="MUJ127" s="140"/>
      <c r="MUK127" s="140"/>
      <c r="MUL127" s="140"/>
      <c r="MUM127" s="140"/>
      <c r="MUN127" s="140"/>
      <c r="MUO127" s="140"/>
      <c r="MUP127" s="140"/>
      <c r="MUQ127" s="140"/>
      <c r="MUR127" s="140"/>
      <c r="MUS127" s="140"/>
      <c r="MUT127" s="140"/>
      <c r="MUU127" s="140"/>
      <c r="MUV127" s="140"/>
      <c r="MUW127" s="140"/>
      <c r="MUX127" s="140"/>
      <c r="MUY127" s="140"/>
      <c r="MUZ127" s="140"/>
      <c r="MVA127" s="140"/>
      <c r="MVB127" s="140"/>
      <c r="MVC127" s="140"/>
      <c r="MVD127" s="140"/>
      <c r="MVE127" s="140"/>
      <c r="MVF127" s="140"/>
      <c r="MVG127" s="140"/>
      <c r="MVH127" s="140"/>
      <c r="MVI127" s="140"/>
      <c r="MVJ127" s="140"/>
      <c r="MVK127" s="140"/>
      <c r="MVL127" s="140"/>
      <c r="MVM127" s="140"/>
      <c r="MVN127" s="140"/>
      <c r="MVO127" s="140"/>
      <c r="MVP127" s="140"/>
      <c r="MVQ127" s="140"/>
      <c r="MVR127" s="140"/>
      <c r="MVS127" s="140"/>
      <c r="MVT127" s="140"/>
      <c r="MVU127" s="140"/>
      <c r="MVV127" s="140"/>
      <c r="MVW127" s="140"/>
      <c r="MVX127" s="140"/>
      <c r="MVY127" s="140"/>
      <c r="MVZ127" s="140"/>
      <c r="MWA127" s="140"/>
      <c r="MWB127" s="140"/>
      <c r="MWC127" s="140"/>
      <c r="MWD127" s="140"/>
      <c r="MWE127" s="140"/>
      <c r="MWF127" s="140"/>
      <c r="MWG127" s="140"/>
      <c r="MWH127" s="140"/>
      <c r="MWI127" s="140"/>
      <c r="MWJ127" s="140"/>
      <c r="MWK127" s="140"/>
      <c r="MWL127" s="140"/>
      <c r="MWM127" s="140"/>
      <c r="MWN127" s="140"/>
      <c r="MWO127" s="140"/>
      <c r="MWP127" s="140"/>
      <c r="MWQ127" s="140"/>
      <c r="MWR127" s="140"/>
      <c r="MWS127" s="140"/>
      <c r="MWT127" s="140"/>
      <c r="MWU127" s="140"/>
      <c r="MWV127" s="140"/>
      <c r="MWW127" s="140"/>
      <c r="MWX127" s="140"/>
      <c r="MWY127" s="140"/>
      <c r="MWZ127" s="140"/>
      <c r="MXA127" s="140"/>
      <c r="MXB127" s="140"/>
      <c r="MXC127" s="140"/>
      <c r="MXD127" s="140"/>
      <c r="MXE127" s="140"/>
      <c r="MXF127" s="140"/>
      <c r="MXG127" s="140"/>
      <c r="MXH127" s="140"/>
      <c r="MXI127" s="140"/>
      <c r="MXJ127" s="140"/>
      <c r="MXK127" s="140"/>
      <c r="MXL127" s="140"/>
      <c r="MXM127" s="140"/>
      <c r="MXN127" s="140"/>
      <c r="MXO127" s="140"/>
      <c r="MXP127" s="140"/>
      <c r="MXQ127" s="140"/>
      <c r="MXR127" s="140"/>
      <c r="MXS127" s="140"/>
      <c r="MXT127" s="140"/>
      <c r="MXU127" s="140"/>
      <c r="MXV127" s="140"/>
      <c r="MXW127" s="140"/>
      <c r="MXX127" s="140"/>
      <c r="MXY127" s="140"/>
      <c r="MXZ127" s="140"/>
      <c r="MYA127" s="140"/>
      <c r="MYB127" s="140"/>
      <c r="MYC127" s="140"/>
      <c r="MYD127" s="140"/>
      <c r="MYE127" s="140"/>
      <c r="MYF127" s="140"/>
      <c r="MYG127" s="140"/>
      <c r="MYH127" s="140"/>
      <c r="MYI127" s="140"/>
      <c r="MYJ127" s="140"/>
      <c r="MYK127" s="140"/>
      <c r="MYL127" s="140"/>
      <c r="MYM127" s="140"/>
      <c r="MYN127" s="140"/>
      <c r="MYO127" s="140"/>
      <c r="MYP127" s="140"/>
      <c r="MYQ127" s="140"/>
      <c r="MYR127" s="140"/>
      <c r="MYS127" s="140"/>
      <c r="MYT127" s="140"/>
      <c r="MYU127" s="140"/>
      <c r="MYV127" s="140"/>
      <c r="MYW127" s="140"/>
      <c r="MYX127" s="140"/>
      <c r="MYY127" s="140"/>
      <c r="MYZ127" s="140"/>
      <c r="MZA127" s="140"/>
      <c r="MZB127" s="140"/>
      <c r="MZC127" s="140"/>
      <c r="MZD127" s="140"/>
      <c r="MZE127" s="140"/>
      <c r="MZF127" s="140"/>
      <c r="MZG127" s="140"/>
      <c r="MZH127" s="140"/>
      <c r="MZI127" s="140"/>
      <c r="MZJ127" s="140"/>
      <c r="MZK127" s="140"/>
      <c r="MZL127" s="140"/>
      <c r="MZM127" s="140"/>
      <c r="MZN127" s="140"/>
      <c r="MZO127" s="140"/>
      <c r="MZP127" s="140"/>
      <c r="MZQ127" s="140"/>
      <c r="MZR127" s="140"/>
      <c r="MZS127" s="140"/>
      <c r="MZT127" s="140"/>
      <c r="MZU127" s="140"/>
      <c r="MZV127" s="140"/>
      <c r="MZW127" s="140"/>
      <c r="MZX127" s="140"/>
      <c r="MZY127" s="140"/>
      <c r="MZZ127" s="140"/>
      <c r="NAA127" s="140"/>
      <c r="NAB127" s="140"/>
      <c r="NAC127" s="140"/>
      <c r="NAD127" s="140"/>
      <c r="NAE127" s="140"/>
      <c r="NAF127" s="140"/>
      <c r="NAG127" s="140"/>
      <c r="NAH127" s="140"/>
      <c r="NAI127" s="140"/>
      <c r="NAJ127" s="140"/>
      <c r="NAK127" s="140"/>
      <c r="NAL127" s="140"/>
      <c r="NAM127" s="140"/>
      <c r="NAN127" s="140"/>
      <c r="NAO127" s="140"/>
      <c r="NAP127" s="140"/>
      <c r="NAQ127" s="140"/>
      <c r="NAR127" s="140"/>
      <c r="NAS127" s="140"/>
      <c r="NAT127" s="140"/>
      <c r="NAU127" s="140"/>
      <c r="NAV127" s="140"/>
      <c r="NAW127" s="140"/>
      <c r="NAX127" s="140"/>
      <c r="NAY127" s="140"/>
      <c r="NAZ127" s="140"/>
      <c r="NBA127" s="140"/>
      <c r="NBB127" s="140"/>
      <c r="NBC127" s="140"/>
      <c r="NBD127" s="140"/>
      <c r="NBE127" s="140"/>
      <c r="NBF127" s="140"/>
      <c r="NBG127" s="140"/>
      <c r="NBH127" s="140"/>
      <c r="NBI127" s="140"/>
      <c r="NBJ127" s="140"/>
      <c r="NBK127" s="140"/>
      <c r="NBL127" s="140"/>
      <c r="NBM127" s="140"/>
      <c r="NBN127" s="140"/>
      <c r="NBO127" s="140"/>
      <c r="NBP127" s="140"/>
      <c r="NBQ127" s="140"/>
      <c r="NBR127" s="140"/>
      <c r="NBS127" s="140"/>
      <c r="NBT127" s="140"/>
      <c r="NBU127" s="140"/>
      <c r="NBV127" s="140"/>
      <c r="NBW127" s="140"/>
      <c r="NBX127" s="140"/>
      <c r="NBY127" s="140"/>
      <c r="NBZ127" s="140"/>
      <c r="NCA127" s="140"/>
      <c r="NCB127" s="140"/>
      <c r="NCC127" s="140"/>
      <c r="NCD127" s="140"/>
      <c r="NCE127" s="140"/>
      <c r="NCF127" s="140"/>
      <c r="NCG127" s="140"/>
      <c r="NCH127" s="140"/>
      <c r="NCI127" s="140"/>
      <c r="NCJ127" s="140"/>
      <c r="NCK127" s="140"/>
      <c r="NCL127" s="140"/>
      <c r="NCM127" s="140"/>
      <c r="NCN127" s="140"/>
      <c r="NCO127" s="140"/>
      <c r="NCP127" s="140"/>
      <c r="NCQ127" s="140"/>
      <c r="NCR127" s="140"/>
      <c r="NCS127" s="140"/>
      <c r="NCT127" s="140"/>
      <c r="NCU127" s="140"/>
      <c r="NCV127" s="140"/>
      <c r="NCW127" s="140"/>
      <c r="NCX127" s="140"/>
      <c r="NCY127" s="140"/>
      <c r="NCZ127" s="140"/>
      <c r="NDA127" s="140"/>
      <c r="NDB127" s="140"/>
      <c r="NDC127" s="140"/>
      <c r="NDD127" s="140"/>
      <c r="NDE127" s="140"/>
      <c r="NDF127" s="140"/>
      <c r="NDG127" s="140"/>
      <c r="NDH127" s="140"/>
      <c r="NDI127" s="140"/>
      <c r="NDJ127" s="140"/>
      <c r="NDK127" s="140"/>
      <c r="NDL127" s="140"/>
      <c r="NDM127" s="140"/>
      <c r="NDN127" s="140"/>
      <c r="NDO127" s="140"/>
      <c r="NDP127" s="140"/>
      <c r="NDQ127" s="140"/>
      <c r="NDR127" s="140"/>
      <c r="NDS127" s="140"/>
      <c r="NDT127" s="140"/>
      <c r="NDU127" s="140"/>
      <c r="NDV127" s="140"/>
      <c r="NDW127" s="140"/>
      <c r="NDX127" s="140"/>
      <c r="NDY127" s="140"/>
      <c r="NDZ127" s="140"/>
      <c r="NEA127" s="140"/>
      <c r="NEB127" s="140"/>
      <c r="NEC127" s="140"/>
      <c r="NED127" s="140"/>
      <c r="NEE127" s="140"/>
      <c r="NEF127" s="140"/>
      <c r="NEG127" s="140"/>
      <c r="NEH127" s="140"/>
      <c r="NEI127" s="140"/>
      <c r="NEJ127" s="140"/>
      <c r="NEK127" s="140"/>
      <c r="NEL127" s="140"/>
      <c r="NEM127" s="140"/>
      <c r="NEN127" s="140"/>
      <c r="NEO127" s="140"/>
      <c r="NEP127" s="140"/>
      <c r="NEQ127" s="140"/>
      <c r="NER127" s="140"/>
      <c r="NES127" s="140"/>
      <c r="NET127" s="140"/>
      <c r="NEU127" s="140"/>
      <c r="NEV127" s="140"/>
      <c r="NEW127" s="140"/>
      <c r="NEX127" s="140"/>
      <c r="NEY127" s="140"/>
      <c r="NEZ127" s="140"/>
      <c r="NFA127" s="140"/>
      <c r="NFB127" s="140"/>
      <c r="NFC127" s="140"/>
      <c r="NFD127" s="140"/>
      <c r="NFE127" s="140"/>
      <c r="NFF127" s="140"/>
      <c r="NFG127" s="140"/>
      <c r="NFH127" s="140"/>
      <c r="NFI127" s="140"/>
      <c r="NFJ127" s="140"/>
      <c r="NFK127" s="140"/>
      <c r="NFL127" s="140"/>
      <c r="NFM127" s="140"/>
      <c r="NFN127" s="140"/>
      <c r="NFO127" s="140"/>
      <c r="NFP127" s="140"/>
      <c r="NFQ127" s="140"/>
      <c r="NFR127" s="140"/>
      <c r="NFS127" s="140"/>
      <c r="NFT127" s="140"/>
      <c r="NFU127" s="140"/>
      <c r="NFV127" s="140"/>
      <c r="NFW127" s="140"/>
      <c r="NFX127" s="140"/>
      <c r="NFY127" s="140"/>
      <c r="NFZ127" s="140"/>
      <c r="NGA127" s="140"/>
      <c r="NGB127" s="140"/>
      <c r="NGC127" s="140"/>
      <c r="NGD127" s="140"/>
      <c r="NGE127" s="140"/>
      <c r="NGF127" s="140"/>
      <c r="NGG127" s="140"/>
      <c r="NGH127" s="140"/>
      <c r="NGI127" s="140"/>
      <c r="NGJ127" s="140"/>
      <c r="NGK127" s="140"/>
      <c r="NGL127" s="140"/>
      <c r="NGM127" s="140"/>
      <c r="NGN127" s="140"/>
      <c r="NGO127" s="140"/>
      <c r="NGP127" s="140"/>
      <c r="NGQ127" s="140"/>
      <c r="NGR127" s="140"/>
      <c r="NGS127" s="140"/>
      <c r="NGT127" s="140"/>
      <c r="NGU127" s="140"/>
      <c r="NGV127" s="140"/>
      <c r="NGW127" s="140"/>
      <c r="NGX127" s="140"/>
      <c r="NGY127" s="140"/>
      <c r="NGZ127" s="140"/>
      <c r="NHA127" s="140"/>
      <c r="NHB127" s="140"/>
      <c r="NHC127" s="140"/>
      <c r="NHD127" s="140"/>
      <c r="NHE127" s="140"/>
      <c r="NHF127" s="140"/>
      <c r="NHG127" s="140"/>
      <c r="NHH127" s="140"/>
      <c r="NHI127" s="140"/>
      <c r="NHJ127" s="140"/>
      <c r="NHK127" s="140"/>
      <c r="NHL127" s="140"/>
      <c r="NHM127" s="140"/>
      <c r="NHN127" s="140"/>
      <c r="NHO127" s="140"/>
      <c r="NHP127" s="140"/>
      <c r="NHQ127" s="140"/>
      <c r="NHR127" s="140"/>
      <c r="NHS127" s="140"/>
      <c r="NHT127" s="140"/>
      <c r="NHU127" s="140"/>
      <c r="NHV127" s="140"/>
      <c r="NHW127" s="140"/>
      <c r="NHX127" s="140"/>
      <c r="NHY127" s="140"/>
      <c r="NHZ127" s="140"/>
      <c r="NIA127" s="140"/>
      <c r="NIB127" s="140"/>
      <c r="NIC127" s="140"/>
      <c r="NID127" s="140"/>
      <c r="NIE127" s="140"/>
      <c r="NIF127" s="140"/>
      <c r="NIG127" s="140"/>
      <c r="NIH127" s="140"/>
      <c r="NII127" s="140"/>
      <c r="NIJ127" s="140"/>
      <c r="NIK127" s="140"/>
      <c r="NIL127" s="140"/>
      <c r="NIM127" s="140"/>
      <c r="NIN127" s="140"/>
      <c r="NIO127" s="140"/>
      <c r="NIP127" s="140"/>
      <c r="NIQ127" s="140"/>
      <c r="NIR127" s="140"/>
      <c r="NIS127" s="140"/>
      <c r="NIT127" s="140"/>
      <c r="NIU127" s="140"/>
      <c r="NIV127" s="140"/>
      <c r="NIW127" s="140"/>
      <c r="NIX127" s="140"/>
      <c r="NIY127" s="140"/>
      <c r="NIZ127" s="140"/>
      <c r="NJA127" s="140"/>
      <c r="NJB127" s="140"/>
      <c r="NJC127" s="140"/>
      <c r="NJD127" s="140"/>
      <c r="NJE127" s="140"/>
      <c r="NJF127" s="140"/>
      <c r="NJG127" s="140"/>
      <c r="NJH127" s="140"/>
      <c r="NJI127" s="140"/>
      <c r="NJJ127" s="140"/>
      <c r="NJK127" s="140"/>
      <c r="NJL127" s="140"/>
      <c r="NJM127" s="140"/>
      <c r="NJN127" s="140"/>
      <c r="NJO127" s="140"/>
      <c r="NJP127" s="140"/>
      <c r="NJQ127" s="140"/>
      <c r="NJR127" s="140"/>
      <c r="NJS127" s="140"/>
      <c r="NJT127" s="140"/>
      <c r="NJU127" s="140"/>
      <c r="NJV127" s="140"/>
      <c r="NJW127" s="140"/>
      <c r="NJX127" s="140"/>
      <c r="NJY127" s="140"/>
      <c r="NJZ127" s="140"/>
      <c r="NKA127" s="140"/>
      <c r="NKB127" s="140"/>
      <c r="NKC127" s="140"/>
      <c r="NKD127" s="140"/>
      <c r="NKE127" s="140"/>
      <c r="NKF127" s="140"/>
      <c r="NKG127" s="140"/>
      <c r="NKH127" s="140"/>
      <c r="NKI127" s="140"/>
      <c r="NKJ127" s="140"/>
      <c r="NKK127" s="140"/>
      <c r="NKL127" s="140"/>
      <c r="NKM127" s="140"/>
      <c r="NKN127" s="140"/>
      <c r="NKO127" s="140"/>
      <c r="NKP127" s="140"/>
      <c r="NKQ127" s="140"/>
      <c r="NKR127" s="140"/>
      <c r="NKS127" s="140"/>
      <c r="NKT127" s="140"/>
      <c r="NKU127" s="140"/>
      <c r="NKV127" s="140"/>
      <c r="NKW127" s="140"/>
      <c r="NKX127" s="140"/>
      <c r="NKY127" s="140"/>
      <c r="NKZ127" s="140"/>
      <c r="NLA127" s="140"/>
      <c r="NLB127" s="140"/>
      <c r="NLC127" s="140"/>
      <c r="NLD127" s="140"/>
      <c r="NLE127" s="140"/>
      <c r="NLF127" s="140"/>
      <c r="NLG127" s="140"/>
      <c r="NLH127" s="140"/>
      <c r="NLI127" s="140"/>
      <c r="NLJ127" s="140"/>
      <c r="NLK127" s="140"/>
      <c r="NLL127" s="140"/>
      <c r="NLM127" s="140"/>
      <c r="NLN127" s="140"/>
      <c r="NLO127" s="140"/>
      <c r="NLP127" s="140"/>
      <c r="NLQ127" s="140"/>
      <c r="NLR127" s="140"/>
      <c r="NLS127" s="140"/>
      <c r="NLT127" s="140"/>
      <c r="NLU127" s="140"/>
      <c r="NLV127" s="140"/>
      <c r="NLW127" s="140"/>
      <c r="NLX127" s="140"/>
      <c r="NLY127" s="140"/>
      <c r="NLZ127" s="140"/>
      <c r="NMA127" s="140"/>
      <c r="NMB127" s="140"/>
      <c r="NMC127" s="140"/>
      <c r="NMD127" s="140"/>
      <c r="NME127" s="140"/>
      <c r="NMF127" s="140"/>
      <c r="NMG127" s="140"/>
      <c r="NMH127" s="140"/>
      <c r="NMI127" s="140"/>
      <c r="NMJ127" s="140"/>
      <c r="NMK127" s="140"/>
      <c r="NML127" s="140"/>
      <c r="NMM127" s="140"/>
      <c r="NMN127" s="140"/>
      <c r="NMO127" s="140"/>
      <c r="NMP127" s="140"/>
      <c r="NMQ127" s="140"/>
      <c r="NMR127" s="140"/>
      <c r="NMS127" s="140"/>
      <c r="NMT127" s="140"/>
      <c r="NMU127" s="140"/>
      <c r="NMV127" s="140"/>
      <c r="NMW127" s="140"/>
      <c r="NMX127" s="140"/>
      <c r="NMY127" s="140"/>
      <c r="NMZ127" s="140"/>
      <c r="NNA127" s="140"/>
      <c r="NNB127" s="140"/>
      <c r="NNC127" s="140"/>
      <c r="NND127" s="140"/>
      <c r="NNE127" s="140"/>
      <c r="NNF127" s="140"/>
      <c r="NNG127" s="140"/>
      <c r="NNH127" s="140"/>
      <c r="NNI127" s="140"/>
      <c r="NNJ127" s="140"/>
      <c r="NNK127" s="140"/>
      <c r="NNL127" s="140"/>
      <c r="NNM127" s="140"/>
      <c r="NNN127" s="140"/>
      <c r="NNO127" s="140"/>
      <c r="NNP127" s="140"/>
      <c r="NNQ127" s="140"/>
      <c r="NNR127" s="140"/>
      <c r="NNS127" s="140"/>
      <c r="NNT127" s="140"/>
      <c r="NNU127" s="140"/>
      <c r="NNV127" s="140"/>
      <c r="NNW127" s="140"/>
      <c r="NNX127" s="140"/>
      <c r="NNY127" s="140"/>
      <c r="NNZ127" s="140"/>
      <c r="NOA127" s="140"/>
      <c r="NOB127" s="140"/>
      <c r="NOC127" s="140"/>
      <c r="NOD127" s="140"/>
      <c r="NOE127" s="140"/>
      <c r="NOF127" s="140"/>
      <c r="NOG127" s="140"/>
      <c r="NOH127" s="140"/>
      <c r="NOI127" s="140"/>
      <c r="NOJ127" s="140"/>
      <c r="NOK127" s="140"/>
      <c r="NOL127" s="140"/>
      <c r="NOM127" s="140"/>
      <c r="NON127" s="140"/>
      <c r="NOO127" s="140"/>
      <c r="NOP127" s="140"/>
      <c r="NOQ127" s="140"/>
      <c r="NOR127" s="140"/>
      <c r="NOS127" s="140"/>
      <c r="NOT127" s="140"/>
      <c r="NOU127" s="140"/>
      <c r="NOV127" s="140"/>
      <c r="NOW127" s="140"/>
      <c r="NOX127" s="140"/>
      <c r="NOY127" s="140"/>
      <c r="NOZ127" s="140"/>
      <c r="NPA127" s="140"/>
      <c r="NPB127" s="140"/>
      <c r="NPC127" s="140"/>
      <c r="NPD127" s="140"/>
      <c r="NPE127" s="140"/>
      <c r="NPF127" s="140"/>
      <c r="NPG127" s="140"/>
      <c r="NPH127" s="140"/>
      <c r="NPI127" s="140"/>
      <c r="NPJ127" s="140"/>
      <c r="NPK127" s="140"/>
      <c r="NPL127" s="140"/>
      <c r="NPM127" s="140"/>
      <c r="NPN127" s="140"/>
      <c r="NPO127" s="140"/>
      <c r="NPP127" s="140"/>
      <c r="NPQ127" s="140"/>
      <c r="NPR127" s="140"/>
      <c r="NPS127" s="140"/>
      <c r="NPT127" s="140"/>
      <c r="NPU127" s="140"/>
      <c r="NPV127" s="140"/>
      <c r="NPW127" s="140"/>
      <c r="NPX127" s="140"/>
      <c r="NPY127" s="140"/>
      <c r="NPZ127" s="140"/>
      <c r="NQA127" s="140"/>
      <c r="NQB127" s="140"/>
      <c r="NQC127" s="140"/>
      <c r="NQD127" s="140"/>
      <c r="NQE127" s="140"/>
      <c r="NQF127" s="140"/>
      <c r="NQG127" s="140"/>
      <c r="NQH127" s="140"/>
      <c r="NQI127" s="140"/>
      <c r="NQJ127" s="140"/>
      <c r="NQK127" s="140"/>
      <c r="NQL127" s="140"/>
      <c r="NQM127" s="140"/>
      <c r="NQN127" s="140"/>
      <c r="NQO127" s="140"/>
      <c r="NQP127" s="140"/>
      <c r="NQQ127" s="140"/>
      <c r="NQR127" s="140"/>
      <c r="NQS127" s="140"/>
      <c r="NQT127" s="140"/>
      <c r="NQU127" s="140"/>
      <c r="NQV127" s="140"/>
      <c r="NQW127" s="140"/>
      <c r="NQX127" s="140"/>
      <c r="NQY127" s="140"/>
      <c r="NQZ127" s="140"/>
      <c r="NRA127" s="140"/>
      <c r="NRB127" s="140"/>
      <c r="NRC127" s="140"/>
      <c r="NRD127" s="140"/>
      <c r="NRE127" s="140"/>
      <c r="NRF127" s="140"/>
      <c r="NRG127" s="140"/>
      <c r="NRH127" s="140"/>
      <c r="NRI127" s="140"/>
      <c r="NRJ127" s="140"/>
      <c r="NRK127" s="140"/>
      <c r="NRL127" s="140"/>
      <c r="NRM127" s="140"/>
      <c r="NRN127" s="140"/>
      <c r="NRO127" s="140"/>
      <c r="NRP127" s="140"/>
      <c r="NRQ127" s="140"/>
      <c r="NRR127" s="140"/>
      <c r="NRS127" s="140"/>
      <c r="NRT127" s="140"/>
      <c r="NRU127" s="140"/>
      <c r="NRV127" s="140"/>
      <c r="NRW127" s="140"/>
      <c r="NRX127" s="140"/>
      <c r="NRY127" s="140"/>
      <c r="NRZ127" s="140"/>
      <c r="NSA127" s="140"/>
      <c r="NSB127" s="140"/>
      <c r="NSC127" s="140"/>
      <c r="NSD127" s="140"/>
      <c r="NSE127" s="140"/>
      <c r="NSF127" s="140"/>
      <c r="NSG127" s="140"/>
      <c r="NSH127" s="140"/>
      <c r="NSI127" s="140"/>
      <c r="NSJ127" s="140"/>
      <c r="NSK127" s="140"/>
      <c r="NSL127" s="140"/>
      <c r="NSM127" s="140"/>
      <c r="NSN127" s="140"/>
      <c r="NSO127" s="140"/>
      <c r="NSP127" s="140"/>
      <c r="NSQ127" s="140"/>
      <c r="NSR127" s="140"/>
      <c r="NSS127" s="140"/>
      <c r="NST127" s="140"/>
      <c r="NSU127" s="140"/>
      <c r="NSV127" s="140"/>
      <c r="NSW127" s="140"/>
      <c r="NSX127" s="140"/>
      <c r="NSY127" s="140"/>
      <c r="NSZ127" s="140"/>
      <c r="NTA127" s="140"/>
      <c r="NTB127" s="140"/>
      <c r="NTC127" s="140"/>
      <c r="NTD127" s="140"/>
      <c r="NTE127" s="140"/>
      <c r="NTF127" s="140"/>
      <c r="NTG127" s="140"/>
      <c r="NTH127" s="140"/>
      <c r="NTI127" s="140"/>
      <c r="NTJ127" s="140"/>
      <c r="NTK127" s="140"/>
      <c r="NTL127" s="140"/>
      <c r="NTM127" s="140"/>
      <c r="NTN127" s="140"/>
      <c r="NTO127" s="140"/>
      <c r="NTP127" s="140"/>
      <c r="NTQ127" s="140"/>
      <c r="NTR127" s="140"/>
      <c r="NTS127" s="140"/>
      <c r="NTT127" s="140"/>
      <c r="NTU127" s="140"/>
      <c r="NTV127" s="140"/>
      <c r="NTW127" s="140"/>
      <c r="NTX127" s="140"/>
      <c r="NTY127" s="140"/>
      <c r="NTZ127" s="140"/>
      <c r="NUA127" s="140"/>
      <c r="NUB127" s="140"/>
      <c r="NUC127" s="140"/>
      <c r="NUD127" s="140"/>
      <c r="NUE127" s="140"/>
      <c r="NUF127" s="140"/>
      <c r="NUG127" s="140"/>
      <c r="NUH127" s="140"/>
      <c r="NUI127" s="140"/>
      <c r="NUJ127" s="140"/>
      <c r="NUK127" s="140"/>
      <c r="NUL127" s="140"/>
      <c r="NUM127" s="140"/>
      <c r="NUN127" s="140"/>
      <c r="NUO127" s="140"/>
      <c r="NUP127" s="140"/>
      <c r="NUQ127" s="140"/>
      <c r="NUR127" s="140"/>
      <c r="NUS127" s="140"/>
      <c r="NUT127" s="140"/>
      <c r="NUU127" s="140"/>
      <c r="NUV127" s="140"/>
      <c r="NUW127" s="140"/>
      <c r="NUX127" s="140"/>
      <c r="NUY127" s="140"/>
      <c r="NUZ127" s="140"/>
      <c r="NVA127" s="140"/>
      <c r="NVB127" s="140"/>
      <c r="NVC127" s="140"/>
      <c r="NVD127" s="140"/>
      <c r="NVE127" s="140"/>
      <c r="NVF127" s="140"/>
      <c r="NVG127" s="140"/>
      <c r="NVH127" s="140"/>
      <c r="NVI127" s="140"/>
      <c r="NVJ127" s="140"/>
      <c r="NVK127" s="140"/>
      <c r="NVL127" s="140"/>
      <c r="NVM127" s="140"/>
      <c r="NVN127" s="140"/>
      <c r="NVO127" s="140"/>
      <c r="NVP127" s="140"/>
      <c r="NVQ127" s="140"/>
      <c r="NVR127" s="140"/>
      <c r="NVS127" s="140"/>
      <c r="NVT127" s="140"/>
      <c r="NVU127" s="140"/>
      <c r="NVV127" s="140"/>
      <c r="NVW127" s="140"/>
      <c r="NVX127" s="140"/>
      <c r="NVY127" s="140"/>
      <c r="NVZ127" s="140"/>
      <c r="NWA127" s="140"/>
      <c r="NWB127" s="140"/>
      <c r="NWC127" s="140"/>
      <c r="NWD127" s="140"/>
      <c r="NWE127" s="140"/>
      <c r="NWF127" s="140"/>
      <c r="NWG127" s="140"/>
      <c r="NWH127" s="140"/>
      <c r="NWI127" s="140"/>
      <c r="NWJ127" s="140"/>
      <c r="NWK127" s="140"/>
      <c r="NWL127" s="140"/>
      <c r="NWM127" s="140"/>
      <c r="NWN127" s="140"/>
      <c r="NWO127" s="140"/>
      <c r="NWP127" s="140"/>
      <c r="NWQ127" s="140"/>
      <c r="NWR127" s="140"/>
      <c r="NWS127" s="140"/>
      <c r="NWT127" s="140"/>
      <c r="NWU127" s="140"/>
      <c r="NWV127" s="140"/>
      <c r="NWW127" s="140"/>
      <c r="NWX127" s="140"/>
      <c r="NWY127" s="140"/>
      <c r="NWZ127" s="140"/>
      <c r="NXA127" s="140"/>
      <c r="NXB127" s="140"/>
      <c r="NXC127" s="140"/>
      <c r="NXD127" s="140"/>
      <c r="NXE127" s="140"/>
      <c r="NXF127" s="140"/>
      <c r="NXG127" s="140"/>
      <c r="NXH127" s="140"/>
      <c r="NXI127" s="140"/>
      <c r="NXJ127" s="140"/>
      <c r="NXK127" s="140"/>
      <c r="NXL127" s="140"/>
      <c r="NXM127" s="140"/>
      <c r="NXN127" s="140"/>
      <c r="NXO127" s="140"/>
      <c r="NXP127" s="140"/>
      <c r="NXQ127" s="140"/>
      <c r="NXR127" s="140"/>
      <c r="NXS127" s="140"/>
      <c r="NXT127" s="140"/>
      <c r="NXU127" s="140"/>
      <c r="NXV127" s="140"/>
      <c r="NXW127" s="140"/>
      <c r="NXX127" s="140"/>
      <c r="NXY127" s="140"/>
      <c r="NXZ127" s="140"/>
      <c r="NYA127" s="140"/>
      <c r="NYB127" s="140"/>
      <c r="NYC127" s="140"/>
      <c r="NYD127" s="140"/>
      <c r="NYE127" s="140"/>
      <c r="NYF127" s="140"/>
      <c r="NYG127" s="140"/>
      <c r="NYH127" s="140"/>
      <c r="NYI127" s="140"/>
      <c r="NYJ127" s="140"/>
      <c r="NYK127" s="140"/>
      <c r="NYL127" s="140"/>
      <c r="NYM127" s="140"/>
      <c r="NYN127" s="140"/>
      <c r="NYO127" s="140"/>
      <c r="NYP127" s="140"/>
      <c r="NYQ127" s="140"/>
      <c r="NYR127" s="140"/>
      <c r="NYS127" s="140"/>
      <c r="NYT127" s="140"/>
      <c r="NYU127" s="140"/>
      <c r="NYV127" s="140"/>
      <c r="NYW127" s="140"/>
      <c r="NYX127" s="140"/>
      <c r="NYY127" s="140"/>
      <c r="NYZ127" s="140"/>
      <c r="NZA127" s="140"/>
      <c r="NZB127" s="140"/>
      <c r="NZC127" s="140"/>
      <c r="NZD127" s="140"/>
      <c r="NZE127" s="140"/>
      <c r="NZF127" s="140"/>
      <c r="NZG127" s="140"/>
      <c r="NZH127" s="140"/>
      <c r="NZI127" s="140"/>
      <c r="NZJ127" s="140"/>
      <c r="NZK127" s="140"/>
      <c r="NZL127" s="140"/>
      <c r="NZM127" s="140"/>
      <c r="NZN127" s="140"/>
      <c r="NZO127" s="140"/>
      <c r="NZP127" s="140"/>
      <c r="NZQ127" s="140"/>
      <c r="NZR127" s="140"/>
      <c r="NZS127" s="140"/>
      <c r="NZT127" s="140"/>
      <c r="NZU127" s="140"/>
      <c r="NZV127" s="140"/>
      <c r="NZW127" s="140"/>
      <c r="NZX127" s="140"/>
      <c r="NZY127" s="140"/>
      <c r="NZZ127" s="140"/>
      <c r="OAA127" s="140"/>
      <c r="OAB127" s="140"/>
      <c r="OAC127" s="140"/>
      <c r="OAD127" s="140"/>
      <c r="OAE127" s="140"/>
      <c r="OAF127" s="140"/>
      <c r="OAG127" s="140"/>
      <c r="OAH127" s="140"/>
      <c r="OAI127" s="140"/>
      <c r="OAJ127" s="140"/>
      <c r="OAK127" s="140"/>
      <c r="OAL127" s="140"/>
      <c r="OAM127" s="140"/>
      <c r="OAN127" s="140"/>
      <c r="OAO127" s="140"/>
      <c r="OAP127" s="140"/>
      <c r="OAQ127" s="140"/>
      <c r="OAR127" s="140"/>
      <c r="OAS127" s="140"/>
      <c r="OAT127" s="140"/>
      <c r="OAU127" s="140"/>
      <c r="OAV127" s="140"/>
      <c r="OAW127" s="140"/>
      <c r="OAX127" s="140"/>
      <c r="OAY127" s="140"/>
      <c r="OAZ127" s="140"/>
      <c r="OBA127" s="140"/>
      <c r="OBB127" s="140"/>
      <c r="OBC127" s="140"/>
      <c r="OBD127" s="140"/>
      <c r="OBE127" s="140"/>
      <c r="OBF127" s="140"/>
      <c r="OBG127" s="140"/>
      <c r="OBH127" s="140"/>
      <c r="OBI127" s="140"/>
      <c r="OBJ127" s="140"/>
      <c r="OBK127" s="140"/>
      <c r="OBL127" s="140"/>
      <c r="OBM127" s="140"/>
      <c r="OBN127" s="140"/>
      <c r="OBO127" s="140"/>
      <c r="OBP127" s="140"/>
      <c r="OBQ127" s="140"/>
      <c r="OBR127" s="140"/>
      <c r="OBS127" s="140"/>
      <c r="OBT127" s="140"/>
      <c r="OBU127" s="140"/>
      <c r="OBV127" s="140"/>
      <c r="OBW127" s="140"/>
      <c r="OBX127" s="140"/>
      <c r="OBY127" s="140"/>
      <c r="OBZ127" s="140"/>
      <c r="OCA127" s="140"/>
      <c r="OCB127" s="140"/>
      <c r="OCC127" s="140"/>
      <c r="OCD127" s="140"/>
      <c r="OCE127" s="140"/>
      <c r="OCF127" s="140"/>
      <c r="OCG127" s="140"/>
      <c r="OCH127" s="140"/>
      <c r="OCI127" s="140"/>
      <c r="OCJ127" s="140"/>
      <c r="OCK127" s="140"/>
      <c r="OCL127" s="140"/>
      <c r="OCM127" s="140"/>
      <c r="OCN127" s="140"/>
      <c r="OCO127" s="140"/>
      <c r="OCP127" s="140"/>
      <c r="OCQ127" s="140"/>
      <c r="OCR127" s="140"/>
      <c r="OCS127" s="140"/>
      <c r="OCT127" s="140"/>
      <c r="OCU127" s="140"/>
      <c r="OCV127" s="140"/>
      <c r="OCW127" s="140"/>
      <c r="OCX127" s="140"/>
      <c r="OCY127" s="140"/>
      <c r="OCZ127" s="140"/>
      <c r="ODA127" s="140"/>
      <c r="ODB127" s="140"/>
      <c r="ODC127" s="140"/>
      <c r="ODD127" s="140"/>
      <c r="ODE127" s="140"/>
      <c r="ODF127" s="140"/>
      <c r="ODG127" s="140"/>
      <c r="ODH127" s="140"/>
      <c r="ODI127" s="140"/>
      <c r="ODJ127" s="140"/>
      <c r="ODK127" s="140"/>
      <c r="ODL127" s="140"/>
      <c r="ODM127" s="140"/>
      <c r="ODN127" s="140"/>
      <c r="ODO127" s="140"/>
      <c r="ODP127" s="140"/>
      <c r="ODQ127" s="140"/>
      <c r="ODR127" s="140"/>
      <c r="ODS127" s="140"/>
      <c r="ODT127" s="140"/>
      <c r="ODU127" s="140"/>
      <c r="ODV127" s="140"/>
      <c r="ODW127" s="140"/>
      <c r="ODX127" s="140"/>
      <c r="ODY127" s="140"/>
      <c r="ODZ127" s="140"/>
      <c r="OEA127" s="140"/>
      <c r="OEB127" s="140"/>
      <c r="OEC127" s="140"/>
      <c r="OED127" s="140"/>
      <c r="OEE127" s="140"/>
      <c r="OEF127" s="140"/>
      <c r="OEG127" s="140"/>
      <c r="OEH127" s="140"/>
      <c r="OEI127" s="140"/>
      <c r="OEJ127" s="140"/>
      <c r="OEK127" s="140"/>
      <c r="OEL127" s="140"/>
      <c r="OEM127" s="140"/>
      <c r="OEN127" s="140"/>
      <c r="OEO127" s="140"/>
      <c r="OEP127" s="140"/>
      <c r="OEQ127" s="140"/>
      <c r="OER127" s="140"/>
      <c r="OES127" s="140"/>
      <c r="OET127" s="140"/>
      <c r="OEU127" s="140"/>
      <c r="OEV127" s="140"/>
      <c r="OEW127" s="140"/>
      <c r="OEX127" s="140"/>
      <c r="OEY127" s="140"/>
      <c r="OEZ127" s="140"/>
      <c r="OFA127" s="140"/>
      <c r="OFB127" s="140"/>
      <c r="OFC127" s="140"/>
      <c r="OFD127" s="140"/>
      <c r="OFE127" s="140"/>
      <c r="OFF127" s="140"/>
      <c r="OFG127" s="140"/>
      <c r="OFH127" s="140"/>
      <c r="OFI127" s="140"/>
      <c r="OFJ127" s="140"/>
      <c r="OFK127" s="140"/>
      <c r="OFL127" s="140"/>
      <c r="OFM127" s="140"/>
      <c r="OFN127" s="140"/>
      <c r="OFO127" s="140"/>
      <c r="OFP127" s="140"/>
      <c r="OFQ127" s="140"/>
      <c r="OFR127" s="140"/>
      <c r="OFS127" s="140"/>
      <c r="OFT127" s="140"/>
      <c r="OFU127" s="140"/>
      <c r="OFV127" s="140"/>
      <c r="OFW127" s="140"/>
      <c r="OFX127" s="140"/>
      <c r="OFY127" s="140"/>
      <c r="OFZ127" s="140"/>
      <c r="OGA127" s="140"/>
      <c r="OGB127" s="140"/>
      <c r="OGC127" s="140"/>
      <c r="OGD127" s="140"/>
      <c r="OGE127" s="140"/>
      <c r="OGF127" s="140"/>
      <c r="OGG127" s="140"/>
      <c r="OGH127" s="140"/>
      <c r="OGI127" s="140"/>
      <c r="OGJ127" s="140"/>
      <c r="OGK127" s="140"/>
      <c r="OGL127" s="140"/>
      <c r="OGM127" s="140"/>
      <c r="OGN127" s="140"/>
      <c r="OGO127" s="140"/>
      <c r="OGP127" s="140"/>
      <c r="OGQ127" s="140"/>
      <c r="OGR127" s="140"/>
      <c r="OGS127" s="140"/>
      <c r="OGT127" s="140"/>
      <c r="OGU127" s="140"/>
      <c r="OGV127" s="140"/>
      <c r="OGW127" s="140"/>
      <c r="OGX127" s="140"/>
      <c r="OGY127" s="140"/>
      <c r="OGZ127" s="140"/>
      <c r="OHA127" s="140"/>
      <c r="OHB127" s="140"/>
      <c r="OHC127" s="140"/>
      <c r="OHD127" s="140"/>
      <c r="OHE127" s="140"/>
      <c r="OHF127" s="140"/>
      <c r="OHG127" s="140"/>
      <c r="OHH127" s="140"/>
      <c r="OHI127" s="140"/>
      <c r="OHJ127" s="140"/>
      <c r="OHK127" s="140"/>
      <c r="OHL127" s="140"/>
      <c r="OHM127" s="140"/>
      <c r="OHN127" s="140"/>
      <c r="OHO127" s="140"/>
      <c r="OHP127" s="140"/>
      <c r="OHQ127" s="140"/>
      <c r="OHR127" s="140"/>
      <c r="OHS127" s="140"/>
      <c r="OHT127" s="140"/>
      <c r="OHU127" s="140"/>
      <c r="OHV127" s="140"/>
      <c r="OHW127" s="140"/>
      <c r="OHX127" s="140"/>
      <c r="OHY127" s="140"/>
      <c r="OHZ127" s="140"/>
      <c r="OIA127" s="140"/>
      <c r="OIB127" s="140"/>
      <c r="OIC127" s="140"/>
      <c r="OID127" s="140"/>
      <c r="OIE127" s="140"/>
      <c r="OIF127" s="140"/>
      <c r="OIG127" s="140"/>
      <c r="OIH127" s="140"/>
      <c r="OII127" s="140"/>
      <c r="OIJ127" s="140"/>
      <c r="OIK127" s="140"/>
      <c r="OIL127" s="140"/>
      <c r="OIM127" s="140"/>
      <c r="OIN127" s="140"/>
      <c r="OIO127" s="140"/>
      <c r="OIP127" s="140"/>
      <c r="OIQ127" s="140"/>
      <c r="OIR127" s="140"/>
      <c r="OIS127" s="140"/>
      <c r="OIT127" s="140"/>
      <c r="OIU127" s="140"/>
      <c r="OIV127" s="140"/>
      <c r="OIW127" s="140"/>
      <c r="OIX127" s="140"/>
      <c r="OIY127" s="140"/>
      <c r="OIZ127" s="140"/>
      <c r="OJA127" s="140"/>
      <c r="OJB127" s="140"/>
      <c r="OJC127" s="140"/>
      <c r="OJD127" s="140"/>
      <c r="OJE127" s="140"/>
      <c r="OJF127" s="140"/>
      <c r="OJG127" s="140"/>
      <c r="OJH127" s="140"/>
      <c r="OJI127" s="140"/>
      <c r="OJJ127" s="140"/>
      <c r="OJK127" s="140"/>
      <c r="OJL127" s="140"/>
      <c r="OJM127" s="140"/>
      <c r="OJN127" s="140"/>
      <c r="OJO127" s="140"/>
      <c r="OJP127" s="140"/>
      <c r="OJQ127" s="140"/>
      <c r="OJR127" s="140"/>
      <c r="OJS127" s="140"/>
      <c r="OJT127" s="140"/>
      <c r="OJU127" s="140"/>
      <c r="OJV127" s="140"/>
      <c r="OJW127" s="140"/>
      <c r="OJX127" s="140"/>
      <c r="OJY127" s="140"/>
      <c r="OJZ127" s="140"/>
      <c r="OKA127" s="140"/>
      <c r="OKB127" s="140"/>
      <c r="OKC127" s="140"/>
      <c r="OKD127" s="140"/>
      <c r="OKE127" s="140"/>
      <c r="OKF127" s="140"/>
      <c r="OKG127" s="140"/>
      <c r="OKH127" s="140"/>
      <c r="OKI127" s="140"/>
      <c r="OKJ127" s="140"/>
      <c r="OKK127" s="140"/>
      <c r="OKL127" s="140"/>
      <c r="OKM127" s="140"/>
      <c r="OKN127" s="140"/>
      <c r="OKO127" s="140"/>
      <c r="OKP127" s="140"/>
      <c r="OKQ127" s="140"/>
      <c r="OKR127" s="140"/>
      <c r="OKS127" s="140"/>
      <c r="OKT127" s="140"/>
      <c r="OKU127" s="140"/>
      <c r="OKV127" s="140"/>
      <c r="OKW127" s="140"/>
      <c r="OKX127" s="140"/>
      <c r="OKY127" s="140"/>
      <c r="OKZ127" s="140"/>
      <c r="OLA127" s="140"/>
      <c r="OLB127" s="140"/>
      <c r="OLC127" s="140"/>
      <c r="OLD127" s="140"/>
      <c r="OLE127" s="140"/>
      <c r="OLF127" s="140"/>
      <c r="OLG127" s="140"/>
      <c r="OLH127" s="140"/>
      <c r="OLI127" s="140"/>
      <c r="OLJ127" s="140"/>
      <c r="OLK127" s="140"/>
      <c r="OLL127" s="140"/>
      <c r="OLM127" s="140"/>
      <c r="OLN127" s="140"/>
      <c r="OLO127" s="140"/>
      <c r="OLP127" s="140"/>
      <c r="OLQ127" s="140"/>
      <c r="OLR127" s="140"/>
      <c r="OLS127" s="140"/>
      <c r="OLT127" s="140"/>
      <c r="OLU127" s="140"/>
      <c r="OLV127" s="140"/>
      <c r="OLW127" s="140"/>
      <c r="OLX127" s="140"/>
      <c r="OLY127" s="140"/>
      <c r="OLZ127" s="140"/>
      <c r="OMA127" s="140"/>
      <c r="OMB127" s="140"/>
      <c r="OMC127" s="140"/>
      <c r="OMD127" s="140"/>
      <c r="OME127" s="140"/>
      <c r="OMF127" s="140"/>
      <c r="OMG127" s="140"/>
      <c r="OMH127" s="140"/>
      <c r="OMI127" s="140"/>
      <c r="OMJ127" s="140"/>
      <c r="OMK127" s="140"/>
      <c r="OML127" s="140"/>
      <c r="OMM127" s="140"/>
      <c r="OMN127" s="140"/>
      <c r="OMO127" s="140"/>
      <c r="OMP127" s="140"/>
      <c r="OMQ127" s="140"/>
      <c r="OMR127" s="140"/>
      <c r="OMS127" s="140"/>
      <c r="OMT127" s="140"/>
      <c r="OMU127" s="140"/>
      <c r="OMV127" s="140"/>
      <c r="OMW127" s="140"/>
      <c r="OMX127" s="140"/>
      <c r="OMY127" s="140"/>
      <c r="OMZ127" s="140"/>
      <c r="ONA127" s="140"/>
      <c r="ONB127" s="140"/>
      <c r="ONC127" s="140"/>
      <c r="OND127" s="140"/>
      <c r="ONE127" s="140"/>
      <c r="ONF127" s="140"/>
      <c r="ONG127" s="140"/>
      <c r="ONH127" s="140"/>
      <c r="ONI127" s="140"/>
      <c r="ONJ127" s="140"/>
      <c r="ONK127" s="140"/>
      <c r="ONL127" s="140"/>
      <c r="ONM127" s="140"/>
      <c r="ONN127" s="140"/>
      <c r="ONO127" s="140"/>
      <c r="ONP127" s="140"/>
      <c r="ONQ127" s="140"/>
      <c r="ONR127" s="140"/>
      <c r="ONS127" s="140"/>
      <c r="ONT127" s="140"/>
      <c r="ONU127" s="140"/>
      <c r="ONV127" s="140"/>
      <c r="ONW127" s="140"/>
      <c r="ONX127" s="140"/>
      <c r="ONY127" s="140"/>
      <c r="ONZ127" s="140"/>
      <c r="OOA127" s="140"/>
      <c r="OOB127" s="140"/>
      <c r="OOC127" s="140"/>
      <c r="OOD127" s="140"/>
      <c r="OOE127" s="140"/>
      <c r="OOF127" s="140"/>
      <c r="OOG127" s="140"/>
      <c r="OOH127" s="140"/>
      <c r="OOI127" s="140"/>
      <c r="OOJ127" s="140"/>
      <c r="OOK127" s="140"/>
      <c r="OOL127" s="140"/>
      <c r="OOM127" s="140"/>
      <c r="OON127" s="140"/>
      <c r="OOO127" s="140"/>
      <c r="OOP127" s="140"/>
      <c r="OOQ127" s="140"/>
      <c r="OOR127" s="140"/>
      <c r="OOS127" s="140"/>
      <c r="OOT127" s="140"/>
      <c r="OOU127" s="140"/>
      <c r="OOV127" s="140"/>
      <c r="OOW127" s="140"/>
      <c r="OOX127" s="140"/>
      <c r="OOY127" s="140"/>
      <c r="OOZ127" s="140"/>
      <c r="OPA127" s="140"/>
      <c r="OPB127" s="140"/>
      <c r="OPC127" s="140"/>
      <c r="OPD127" s="140"/>
      <c r="OPE127" s="140"/>
      <c r="OPF127" s="140"/>
      <c r="OPG127" s="140"/>
      <c r="OPH127" s="140"/>
      <c r="OPI127" s="140"/>
      <c r="OPJ127" s="140"/>
      <c r="OPK127" s="140"/>
      <c r="OPL127" s="140"/>
      <c r="OPM127" s="140"/>
      <c r="OPN127" s="140"/>
      <c r="OPO127" s="140"/>
      <c r="OPP127" s="140"/>
      <c r="OPQ127" s="140"/>
      <c r="OPR127" s="140"/>
      <c r="OPS127" s="140"/>
      <c r="OPT127" s="140"/>
      <c r="OPU127" s="140"/>
      <c r="OPV127" s="140"/>
      <c r="OPW127" s="140"/>
      <c r="OPX127" s="140"/>
      <c r="OPY127" s="140"/>
      <c r="OPZ127" s="140"/>
      <c r="OQA127" s="140"/>
      <c r="OQB127" s="140"/>
      <c r="OQC127" s="140"/>
      <c r="OQD127" s="140"/>
      <c r="OQE127" s="140"/>
      <c r="OQF127" s="140"/>
      <c r="OQG127" s="140"/>
      <c r="OQH127" s="140"/>
      <c r="OQI127" s="140"/>
      <c r="OQJ127" s="140"/>
      <c r="OQK127" s="140"/>
      <c r="OQL127" s="140"/>
      <c r="OQM127" s="140"/>
      <c r="OQN127" s="140"/>
      <c r="OQO127" s="140"/>
      <c r="OQP127" s="140"/>
      <c r="OQQ127" s="140"/>
      <c r="OQR127" s="140"/>
      <c r="OQS127" s="140"/>
      <c r="OQT127" s="140"/>
      <c r="OQU127" s="140"/>
      <c r="OQV127" s="140"/>
      <c r="OQW127" s="140"/>
      <c r="OQX127" s="140"/>
      <c r="OQY127" s="140"/>
      <c r="OQZ127" s="140"/>
      <c r="ORA127" s="140"/>
      <c r="ORB127" s="140"/>
      <c r="ORC127" s="140"/>
      <c r="ORD127" s="140"/>
      <c r="ORE127" s="140"/>
      <c r="ORF127" s="140"/>
      <c r="ORG127" s="140"/>
      <c r="ORH127" s="140"/>
      <c r="ORI127" s="140"/>
      <c r="ORJ127" s="140"/>
      <c r="ORK127" s="140"/>
      <c r="ORL127" s="140"/>
      <c r="ORM127" s="140"/>
      <c r="ORN127" s="140"/>
      <c r="ORO127" s="140"/>
      <c r="ORP127" s="140"/>
      <c r="ORQ127" s="140"/>
      <c r="ORR127" s="140"/>
      <c r="ORS127" s="140"/>
      <c r="ORT127" s="140"/>
      <c r="ORU127" s="140"/>
      <c r="ORV127" s="140"/>
      <c r="ORW127" s="140"/>
      <c r="ORX127" s="140"/>
      <c r="ORY127" s="140"/>
      <c r="ORZ127" s="140"/>
      <c r="OSA127" s="140"/>
      <c r="OSB127" s="140"/>
      <c r="OSC127" s="140"/>
      <c r="OSD127" s="140"/>
      <c r="OSE127" s="140"/>
      <c r="OSF127" s="140"/>
      <c r="OSG127" s="140"/>
      <c r="OSH127" s="140"/>
      <c r="OSI127" s="140"/>
      <c r="OSJ127" s="140"/>
      <c r="OSK127" s="140"/>
      <c r="OSL127" s="140"/>
      <c r="OSM127" s="140"/>
      <c r="OSN127" s="140"/>
      <c r="OSO127" s="140"/>
      <c r="OSP127" s="140"/>
      <c r="OSQ127" s="140"/>
      <c r="OSR127" s="140"/>
      <c r="OSS127" s="140"/>
      <c r="OST127" s="140"/>
      <c r="OSU127" s="140"/>
      <c r="OSV127" s="140"/>
      <c r="OSW127" s="140"/>
      <c r="OSX127" s="140"/>
      <c r="OSY127" s="140"/>
      <c r="OSZ127" s="140"/>
      <c r="OTA127" s="140"/>
      <c r="OTB127" s="140"/>
      <c r="OTC127" s="140"/>
      <c r="OTD127" s="140"/>
      <c r="OTE127" s="140"/>
      <c r="OTF127" s="140"/>
      <c r="OTG127" s="140"/>
      <c r="OTH127" s="140"/>
      <c r="OTI127" s="140"/>
      <c r="OTJ127" s="140"/>
      <c r="OTK127" s="140"/>
      <c r="OTL127" s="140"/>
      <c r="OTM127" s="140"/>
      <c r="OTN127" s="140"/>
      <c r="OTO127" s="140"/>
      <c r="OTP127" s="140"/>
      <c r="OTQ127" s="140"/>
      <c r="OTR127" s="140"/>
      <c r="OTS127" s="140"/>
      <c r="OTT127" s="140"/>
      <c r="OTU127" s="140"/>
      <c r="OTV127" s="140"/>
      <c r="OTW127" s="140"/>
      <c r="OTX127" s="140"/>
      <c r="OTY127" s="140"/>
      <c r="OTZ127" s="140"/>
      <c r="OUA127" s="140"/>
      <c r="OUB127" s="140"/>
      <c r="OUC127" s="140"/>
      <c r="OUD127" s="140"/>
      <c r="OUE127" s="140"/>
      <c r="OUF127" s="140"/>
      <c r="OUG127" s="140"/>
      <c r="OUH127" s="140"/>
      <c r="OUI127" s="140"/>
      <c r="OUJ127" s="140"/>
      <c r="OUK127" s="140"/>
      <c r="OUL127" s="140"/>
      <c r="OUM127" s="140"/>
      <c r="OUN127" s="140"/>
      <c r="OUO127" s="140"/>
      <c r="OUP127" s="140"/>
      <c r="OUQ127" s="140"/>
      <c r="OUR127" s="140"/>
      <c r="OUS127" s="140"/>
      <c r="OUT127" s="140"/>
      <c r="OUU127" s="140"/>
      <c r="OUV127" s="140"/>
      <c r="OUW127" s="140"/>
      <c r="OUX127" s="140"/>
      <c r="OUY127" s="140"/>
      <c r="OUZ127" s="140"/>
      <c r="OVA127" s="140"/>
      <c r="OVB127" s="140"/>
      <c r="OVC127" s="140"/>
      <c r="OVD127" s="140"/>
      <c r="OVE127" s="140"/>
      <c r="OVF127" s="140"/>
      <c r="OVG127" s="140"/>
      <c r="OVH127" s="140"/>
      <c r="OVI127" s="140"/>
      <c r="OVJ127" s="140"/>
      <c r="OVK127" s="140"/>
      <c r="OVL127" s="140"/>
      <c r="OVM127" s="140"/>
      <c r="OVN127" s="140"/>
      <c r="OVO127" s="140"/>
      <c r="OVP127" s="140"/>
      <c r="OVQ127" s="140"/>
      <c r="OVR127" s="140"/>
      <c r="OVS127" s="140"/>
      <c r="OVT127" s="140"/>
      <c r="OVU127" s="140"/>
      <c r="OVV127" s="140"/>
      <c r="OVW127" s="140"/>
      <c r="OVX127" s="140"/>
      <c r="OVY127" s="140"/>
      <c r="OVZ127" s="140"/>
      <c r="OWA127" s="140"/>
      <c r="OWB127" s="140"/>
      <c r="OWC127" s="140"/>
      <c r="OWD127" s="140"/>
      <c r="OWE127" s="140"/>
      <c r="OWF127" s="140"/>
      <c r="OWG127" s="140"/>
      <c r="OWH127" s="140"/>
      <c r="OWI127" s="140"/>
      <c r="OWJ127" s="140"/>
      <c r="OWK127" s="140"/>
      <c r="OWL127" s="140"/>
      <c r="OWM127" s="140"/>
      <c r="OWN127" s="140"/>
      <c r="OWO127" s="140"/>
      <c r="OWP127" s="140"/>
      <c r="OWQ127" s="140"/>
      <c r="OWR127" s="140"/>
      <c r="OWS127" s="140"/>
      <c r="OWT127" s="140"/>
      <c r="OWU127" s="140"/>
      <c r="OWV127" s="140"/>
      <c r="OWW127" s="140"/>
      <c r="OWX127" s="140"/>
      <c r="OWY127" s="140"/>
      <c r="OWZ127" s="140"/>
      <c r="OXA127" s="140"/>
      <c r="OXB127" s="140"/>
      <c r="OXC127" s="140"/>
      <c r="OXD127" s="140"/>
      <c r="OXE127" s="140"/>
      <c r="OXF127" s="140"/>
      <c r="OXG127" s="140"/>
      <c r="OXH127" s="140"/>
      <c r="OXI127" s="140"/>
      <c r="OXJ127" s="140"/>
      <c r="OXK127" s="140"/>
      <c r="OXL127" s="140"/>
      <c r="OXM127" s="140"/>
      <c r="OXN127" s="140"/>
      <c r="OXO127" s="140"/>
      <c r="OXP127" s="140"/>
      <c r="OXQ127" s="140"/>
      <c r="OXR127" s="140"/>
      <c r="OXS127" s="140"/>
      <c r="OXT127" s="140"/>
      <c r="OXU127" s="140"/>
      <c r="OXV127" s="140"/>
      <c r="OXW127" s="140"/>
      <c r="OXX127" s="140"/>
      <c r="OXY127" s="140"/>
      <c r="OXZ127" s="140"/>
      <c r="OYA127" s="140"/>
      <c r="OYB127" s="140"/>
      <c r="OYC127" s="140"/>
      <c r="OYD127" s="140"/>
      <c r="OYE127" s="140"/>
      <c r="OYF127" s="140"/>
      <c r="OYG127" s="140"/>
      <c r="OYH127" s="140"/>
      <c r="OYI127" s="140"/>
      <c r="OYJ127" s="140"/>
      <c r="OYK127" s="140"/>
      <c r="OYL127" s="140"/>
      <c r="OYM127" s="140"/>
      <c r="OYN127" s="140"/>
      <c r="OYO127" s="140"/>
      <c r="OYP127" s="140"/>
      <c r="OYQ127" s="140"/>
      <c r="OYR127" s="140"/>
      <c r="OYS127" s="140"/>
      <c r="OYT127" s="140"/>
      <c r="OYU127" s="140"/>
      <c r="OYV127" s="140"/>
      <c r="OYW127" s="140"/>
      <c r="OYX127" s="140"/>
      <c r="OYY127" s="140"/>
      <c r="OYZ127" s="140"/>
      <c r="OZA127" s="140"/>
      <c r="OZB127" s="140"/>
      <c r="OZC127" s="140"/>
      <c r="OZD127" s="140"/>
      <c r="OZE127" s="140"/>
      <c r="OZF127" s="140"/>
      <c r="OZG127" s="140"/>
      <c r="OZH127" s="140"/>
      <c r="OZI127" s="140"/>
      <c r="OZJ127" s="140"/>
      <c r="OZK127" s="140"/>
      <c r="OZL127" s="140"/>
      <c r="OZM127" s="140"/>
      <c r="OZN127" s="140"/>
      <c r="OZO127" s="140"/>
      <c r="OZP127" s="140"/>
      <c r="OZQ127" s="140"/>
      <c r="OZR127" s="140"/>
      <c r="OZS127" s="140"/>
      <c r="OZT127" s="140"/>
      <c r="OZU127" s="140"/>
      <c r="OZV127" s="140"/>
      <c r="OZW127" s="140"/>
      <c r="OZX127" s="140"/>
      <c r="OZY127" s="140"/>
      <c r="OZZ127" s="140"/>
      <c r="PAA127" s="140"/>
      <c r="PAB127" s="140"/>
      <c r="PAC127" s="140"/>
      <c r="PAD127" s="140"/>
      <c r="PAE127" s="140"/>
      <c r="PAF127" s="140"/>
      <c r="PAG127" s="140"/>
      <c r="PAH127" s="140"/>
      <c r="PAI127" s="140"/>
      <c r="PAJ127" s="140"/>
      <c r="PAK127" s="140"/>
      <c r="PAL127" s="140"/>
      <c r="PAM127" s="140"/>
      <c r="PAN127" s="140"/>
      <c r="PAO127" s="140"/>
      <c r="PAP127" s="140"/>
      <c r="PAQ127" s="140"/>
      <c r="PAR127" s="140"/>
      <c r="PAS127" s="140"/>
      <c r="PAT127" s="140"/>
      <c r="PAU127" s="140"/>
      <c r="PAV127" s="140"/>
      <c r="PAW127" s="140"/>
      <c r="PAX127" s="140"/>
      <c r="PAY127" s="140"/>
      <c r="PAZ127" s="140"/>
      <c r="PBA127" s="140"/>
      <c r="PBB127" s="140"/>
      <c r="PBC127" s="140"/>
      <c r="PBD127" s="140"/>
      <c r="PBE127" s="140"/>
      <c r="PBF127" s="140"/>
      <c r="PBG127" s="140"/>
      <c r="PBH127" s="140"/>
      <c r="PBI127" s="140"/>
      <c r="PBJ127" s="140"/>
      <c r="PBK127" s="140"/>
      <c r="PBL127" s="140"/>
      <c r="PBM127" s="140"/>
      <c r="PBN127" s="140"/>
      <c r="PBO127" s="140"/>
      <c r="PBP127" s="140"/>
      <c r="PBQ127" s="140"/>
      <c r="PBR127" s="140"/>
      <c r="PBS127" s="140"/>
      <c r="PBT127" s="140"/>
      <c r="PBU127" s="140"/>
      <c r="PBV127" s="140"/>
      <c r="PBW127" s="140"/>
      <c r="PBX127" s="140"/>
      <c r="PBY127" s="140"/>
      <c r="PBZ127" s="140"/>
      <c r="PCA127" s="140"/>
      <c r="PCB127" s="140"/>
      <c r="PCC127" s="140"/>
      <c r="PCD127" s="140"/>
      <c r="PCE127" s="140"/>
      <c r="PCF127" s="140"/>
      <c r="PCG127" s="140"/>
      <c r="PCH127" s="140"/>
      <c r="PCI127" s="140"/>
      <c r="PCJ127" s="140"/>
      <c r="PCK127" s="140"/>
      <c r="PCL127" s="140"/>
      <c r="PCM127" s="140"/>
      <c r="PCN127" s="140"/>
      <c r="PCO127" s="140"/>
      <c r="PCP127" s="140"/>
      <c r="PCQ127" s="140"/>
      <c r="PCR127" s="140"/>
      <c r="PCS127" s="140"/>
      <c r="PCT127" s="140"/>
      <c r="PCU127" s="140"/>
      <c r="PCV127" s="140"/>
      <c r="PCW127" s="140"/>
      <c r="PCX127" s="140"/>
      <c r="PCY127" s="140"/>
      <c r="PCZ127" s="140"/>
      <c r="PDA127" s="140"/>
      <c r="PDB127" s="140"/>
      <c r="PDC127" s="140"/>
      <c r="PDD127" s="140"/>
      <c r="PDE127" s="140"/>
      <c r="PDF127" s="140"/>
      <c r="PDG127" s="140"/>
      <c r="PDH127" s="140"/>
      <c r="PDI127" s="140"/>
      <c r="PDJ127" s="140"/>
      <c r="PDK127" s="140"/>
      <c r="PDL127" s="140"/>
      <c r="PDM127" s="140"/>
      <c r="PDN127" s="140"/>
      <c r="PDO127" s="140"/>
      <c r="PDP127" s="140"/>
      <c r="PDQ127" s="140"/>
      <c r="PDR127" s="140"/>
      <c r="PDS127" s="140"/>
      <c r="PDT127" s="140"/>
      <c r="PDU127" s="140"/>
      <c r="PDV127" s="140"/>
      <c r="PDW127" s="140"/>
      <c r="PDX127" s="140"/>
      <c r="PDY127" s="140"/>
      <c r="PDZ127" s="140"/>
      <c r="PEA127" s="140"/>
      <c r="PEB127" s="140"/>
      <c r="PEC127" s="140"/>
      <c r="PED127" s="140"/>
      <c r="PEE127" s="140"/>
      <c r="PEF127" s="140"/>
      <c r="PEG127" s="140"/>
      <c r="PEH127" s="140"/>
      <c r="PEI127" s="140"/>
      <c r="PEJ127" s="140"/>
      <c r="PEK127" s="140"/>
      <c r="PEL127" s="140"/>
      <c r="PEM127" s="140"/>
      <c r="PEN127" s="140"/>
      <c r="PEO127" s="140"/>
      <c r="PEP127" s="140"/>
      <c r="PEQ127" s="140"/>
      <c r="PER127" s="140"/>
      <c r="PES127" s="140"/>
      <c r="PET127" s="140"/>
      <c r="PEU127" s="140"/>
      <c r="PEV127" s="140"/>
      <c r="PEW127" s="140"/>
      <c r="PEX127" s="140"/>
      <c r="PEY127" s="140"/>
      <c r="PEZ127" s="140"/>
      <c r="PFA127" s="140"/>
      <c r="PFB127" s="140"/>
      <c r="PFC127" s="140"/>
      <c r="PFD127" s="140"/>
      <c r="PFE127" s="140"/>
      <c r="PFF127" s="140"/>
      <c r="PFG127" s="140"/>
      <c r="PFH127" s="140"/>
      <c r="PFI127" s="140"/>
      <c r="PFJ127" s="140"/>
      <c r="PFK127" s="140"/>
      <c r="PFL127" s="140"/>
      <c r="PFM127" s="140"/>
      <c r="PFN127" s="140"/>
      <c r="PFO127" s="140"/>
      <c r="PFP127" s="140"/>
      <c r="PFQ127" s="140"/>
      <c r="PFR127" s="140"/>
      <c r="PFS127" s="140"/>
      <c r="PFT127" s="140"/>
      <c r="PFU127" s="140"/>
      <c r="PFV127" s="140"/>
      <c r="PFW127" s="140"/>
      <c r="PFX127" s="140"/>
      <c r="PFY127" s="140"/>
      <c r="PFZ127" s="140"/>
      <c r="PGA127" s="140"/>
      <c r="PGB127" s="140"/>
      <c r="PGC127" s="140"/>
      <c r="PGD127" s="140"/>
      <c r="PGE127" s="140"/>
      <c r="PGF127" s="140"/>
      <c r="PGG127" s="140"/>
      <c r="PGH127" s="140"/>
      <c r="PGI127" s="140"/>
      <c r="PGJ127" s="140"/>
      <c r="PGK127" s="140"/>
      <c r="PGL127" s="140"/>
      <c r="PGM127" s="140"/>
      <c r="PGN127" s="140"/>
      <c r="PGO127" s="140"/>
      <c r="PGP127" s="140"/>
      <c r="PGQ127" s="140"/>
      <c r="PGR127" s="140"/>
      <c r="PGS127" s="140"/>
      <c r="PGT127" s="140"/>
      <c r="PGU127" s="140"/>
      <c r="PGV127" s="140"/>
      <c r="PGW127" s="140"/>
      <c r="PGX127" s="140"/>
      <c r="PGY127" s="140"/>
      <c r="PGZ127" s="140"/>
      <c r="PHA127" s="140"/>
      <c r="PHB127" s="140"/>
      <c r="PHC127" s="140"/>
      <c r="PHD127" s="140"/>
      <c r="PHE127" s="140"/>
      <c r="PHF127" s="140"/>
      <c r="PHG127" s="140"/>
      <c r="PHH127" s="140"/>
      <c r="PHI127" s="140"/>
      <c r="PHJ127" s="140"/>
      <c r="PHK127" s="140"/>
      <c r="PHL127" s="140"/>
      <c r="PHM127" s="140"/>
      <c r="PHN127" s="140"/>
      <c r="PHO127" s="140"/>
      <c r="PHP127" s="140"/>
      <c r="PHQ127" s="140"/>
      <c r="PHR127" s="140"/>
      <c r="PHS127" s="140"/>
      <c r="PHT127" s="140"/>
      <c r="PHU127" s="140"/>
      <c r="PHV127" s="140"/>
      <c r="PHW127" s="140"/>
      <c r="PHX127" s="140"/>
      <c r="PHY127" s="140"/>
      <c r="PHZ127" s="140"/>
      <c r="PIA127" s="140"/>
      <c r="PIB127" s="140"/>
      <c r="PIC127" s="140"/>
      <c r="PID127" s="140"/>
      <c r="PIE127" s="140"/>
      <c r="PIF127" s="140"/>
      <c r="PIG127" s="140"/>
      <c r="PIH127" s="140"/>
      <c r="PII127" s="140"/>
      <c r="PIJ127" s="140"/>
      <c r="PIK127" s="140"/>
      <c r="PIL127" s="140"/>
      <c r="PIM127" s="140"/>
      <c r="PIN127" s="140"/>
      <c r="PIO127" s="140"/>
      <c r="PIP127" s="140"/>
      <c r="PIQ127" s="140"/>
      <c r="PIR127" s="140"/>
      <c r="PIS127" s="140"/>
      <c r="PIT127" s="140"/>
      <c r="PIU127" s="140"/>
      <c r="PIV127" s="140"/>
      <c r="PIW127" s="140"/>
      <c r="PIX127" s="140"/>
      <c r="PIY127" s="140"/>
      <c r="PIZ127" s="140"/>
      <c r="PJA127" s="140"/>
      <c r="PJB127" s="140"/>
      <c r="PJC127" s="140"/>
      <c r="PJD127" s="140"/>
      <c r="PJE127" s="140"/>
      <c r="PJF127" s="140"/>
      <c r="PJG127" s="140"/>
      <c r="PJH127" s="140"/>
      <c r="PJI127" s="140"/>
      <c r="PJJ127" s="140"/>
      <c r="PJK127" s="140"/>
      <c r="PJL127" s="140"/>
      <c r="PJM127" s="140"/>
      <c r="PJN127" s="140"/>
      <c r="PJO127" s="140"/>
      <c r="PJP127" s="140"/>
      <c r="PJQ127" s="140"/>
      <c r="PJR127" s="140"/>
      <c r="PJS127" s="140"/>
      <c r="PJT127" s="140"/>
      <c r="PJU127" s="140"/>
      <c r="PJV127" s="140"/>
      <c r="PJW127" s="140"/>
      <c r="PJX127" s="140"/>
      <c r="PJY127" s="140"/>
      <c r="PJZ127" s="140"/>
      <c r="PKA127" s="140"/>
      <c r="PKB127" s="140"/>
      <c r="PKC127" s="140"/>
      <c r="PKD127" s="140"/>
      <c r="PKE127" s="140"/>
      <c r="PKF127" s="140"/>
      <c r="PKG127" s="140"/>
      <c r="PKH127" s="140"/>
      <c r="PKI127" s="140"/>
      <c r="PKJ127" s="140"/>
      <c r="PKK127" s="140"/>
      <c r="PKL127" s="140"/>
      <c r="PKM127" s="140"/>
      <c r="PKN127" s="140"/>
      <c r="PKO127" s="140"/>
      <c r="PKP127" s="140"/>
      <c r="PKQ127" s="140"/>
      <c r="PKR127" s="140"/>
      <c r="PKS127" s="140"/>
      <c r="PKT127" s="140"/>
      <c r="PKU127" s="140"/>
      <c r="PKV127" s="140"/>
      <c r="PKW127" s="140"/>
      <c r="PKX127" s="140"/>
      <c r="PKY127" s="140"/>
      <c r="PKZ127" s="140"/>
      <c r="PLA127" s="140"/>
      <c r="PLB127" s="140"/>
      <c r="PLC127" s="140"/>
      <c r="PLD127" s="140"/>
      <c r="PLE127" s="140"/>
      <c r="PLF127" s="140"/>
      <c r="PLG127" s="140"/>
      <c r="PLH127" s="140"/>
      <c r="PLI127" s="140"/>
      <c r="PLJ127" s="140"/>
      <c r="PLK127" s="140"/>
      <c r="PLL127" s="140"/>
      <c r="PLM127" s="140"/>
      <c r="PLN127" s="140"/>
      <c r="PLO127" s="140"/>
      <c r="PLP127" s="140"/>
      <c r="PLQ127" s="140"/>
      <c r="PLR127" s="140"/>
      <c r="PLS127" s="140"/>
      <c r="PLT127" s="140"/>
      <c r="PLU127" s="140"/>
      <c r="PLV127" s="140"/>
      <c r="PLW127" s="140"/>
      <c r="PLX127" s="140"/>
      <c r="PLY127" s="140"/>
      <c r="PLZ127" s="140"/>
      <c r="PMA127" s="140"/>
      <c r="PMB127" s="140"/>
      <c r="PMC127" s="140"/>
      <c r="PMD127" s="140"/>
      <c r="PME127" s="140"/>
      <c r="PMF127" s="140"/>
      <c r="PMG127" s="140"/>
      <c r="PMH127" s="140"/>
      <c r="PMI127" s="140"/>
      <c r="PMJ127" s="140"/>
      <c r="PMK127" s="140"/>
      <c r="PML127" s="140"/>
      <c r="PMM127" s="140"/>
      <c r="PMN127" s="140"/>
      <c r="PMO127" s="140"/>
      <c r="PMP127" s="140"/>
      <c r="PMQ127" s="140"/>
      <c r="PMR127" s="140"/>
      <c r="PMS127" s="140"/>
      <c r="PMT127" s="140"/>
      <c r="PMU127" s="140"/>
      <c r="PMV127" s="140"/>
      <c r="PMW127" s="140"/>
      <c r="PMX127" s="140"/>
      <c r="PMY127" s="140"/>
      <c r="PMZ127" s="140"/>
      <c r="PNA127" s="140"/>
      <c r="PNB127" s="140"/>
      <c r="PNC127" s="140"/>
      <c r="PND127" s="140"/>
      <c r="PNE127" s="140"/>
      <c r="PNF127" s="140"/>
      <c r="PNG127" s="140"/>
      <c r="PNH127" s="140"/>
      <c r="PNI127" s="140"/>
      <c r="PNJ127" s="140"/>
      <c r="PNK127" s="140"/>
      <c r="PNL127" s="140"/>
      <c r="PNM127" s="140"/>
      <c r="PNN127" s="140"/>
      <c r="PNO127" s="140"/>
      <c r="PNP127" s="140"/>
      <c r="PNQ127" s="140"/>
      <c r="PNR127" s="140"/>
      <c r="PNS127" s="140"/>
      <c r="PNT127" s="140"/>
      <c r="PNU127" s="140"/>
      <c r="PNV127" s="140"/>
      <c r="PNW127" s="140"/>
      <c r="PNX127" s="140"/>
      <c r="PNY127" s="140"/>
      <c r="PNZ127" s="140"/>
      <c r="POA127" s="140"/>
      <c r="POB127" s="140"/>
      <c r="POC127" s="140"/>
      <c r="POD127" s="140"/>
      <c r="POE127" s="140"/>
      <c r="POF127" s="140"/>
      <c r="POG127" s="140"/>
      <c r="POH127" s="140"/>
      <c r="POI127" s="140"/>
      <c r="POJ127" s="140"/>
      <c r="POK127" s="140"/>
      <c r="POL127" s="140"/>
      <c r="POM127" s="140"/>
      <c r="PON127" s="140"/>
      <c r="POO127" s="140"/>
      <c r="POP127" s="140"/>
      <c r="POQ127" s="140"/>
      <c r="POR127" s="140"/>
      <c r="POS127" s="140"/>
      <c r="POT127" s="140"/>
      <c r="POU127" s="140"/>
      <c r="POV127" s="140"/>
      <c r="POW127" s="140"/>
      <c r="POX127" s="140"/>
      <c r="POY127" s="140"/>
      <c r="POZ127" s="140"/>
      <c r="PPA127" s="140"/>
      <c r="PPB127" s="140"/>
      <c r="PPC127" s="140"/>
      <c r="PPD127" s="140"/>
      <c r="PPE127" s="140"/>
      <c r="PPF127" s="140"/>
      <c r="PPG127" s="140"/>
      <c r="PPH127" s="140"/>
      <c r="PPI127" s="140"/>
      <c r="PPJ127" s="140"/>
      <c r="PPK127" s="140"/>
      <c r="PPL127" s="140"/>
      <c r="PPM127" s="140"/>
      <c r="PPN127" s="140"/>
      <c r="PPO127" s="140"/>
      <c r="PPP127" s="140"/>
      <c r="PPQ127" s="140"/>
      <c r="PPR127" s="140"/>
      <c r="PPS127" s="140"/>
      <c r="PPT127" s="140"/>
      <c r="PPU127" s="140"/>
      <c r="PPV127" s="140"/>
      <c r="PPW127" s="140"/>
      <c r="PPX127" s="140"/>
      <c r="PPY127" s="140"/>
      <c r="PPZ127" s="140"/>
      <c r="PQA127" s="140"/>
      <c r="PQB127" s="140"/>
      <c r="PQC127" s="140"/>
      <c r="PQD127" s="140"/>
      <c r="PQE127" s="140"/>
      <c r="PQF127" s="140"/>
      <c r="PQG127" s="140"/>
      <c r="PQH127" s="140"/>
      <c r="PQI127" s="140"/>
      <c r="PQJ127" s="140"/>
      <c r="PQK127" s="140"/>
      <c r="PQL127" s="140"/>
      <c r="PQM127" s="140"/>
      <c r="PQN127" s="140"/>
      <c r="PQO127" s="140"/>
      <c r="PQP127" s="140"/>
      <c r="PQQ127" s="140"/>
      <c r="PQR127" s="140"/>
      <c r="PQS127" s="140"/>
      <c r="PQT127" s="140"/>
      <c r="PQU127" s="140"/>
      <c r="PQV127" s="140"/>
      <c r="PQW127" s="140"/>
      <c r="PQX127" s="140"/>
      <c r="PQY127" s="140"/>
      <c r="PQZ127" s="140"/>
      <c r="PRA127" s="140"/>
      <c r="PRB127" s="140"/>
      <c r="PRC127" s="140"/>
      <c r="PRD127" s="140"/>
      <c r="PRE127" s="140"/>
      <c r="PRF127" s="140"/>
      <c r="PRG127" s="140"/>
      <c r="PRH127" s="140"/>
      <c r="PRI127" s="140"/>
      <c r="PRJ127" s="140"/>
      <c r="PRK127" s="140"/>
      <c r="PRL127" s="140"/>
      <c r="PRM127" s="140"/>
      <c r="PRN127" s="140"/>
      <c r="PRO127" s="140"/>
      <c r="PRP127" s="140"/>
      <c r="PRQ127" s="140"/>
      <c r="PRR127" s="140"/>
      <c r="PRS127" s="140"/>
      <c r="PRT127" s="140"/>
      <c r="PRU127" s="140"/>
      <c r="PRV127" s="140"/>
      <c r="PRW127" s="140"/>
      <c r="PRX127" s="140"/>
      <c r="PRY127" s="140"/>
      <c r="PRZ127" s="140"/>
      <c r="PSA127" s="140"/>
      <c r="PSB127" s="140"/>
      <c r="PSC127" s="140"/>
      <c r="PSD127" s="140"/>
      <c r="PSE127" s="140"/>
      <c r="PSF127" s="140"/>
      <c r="PSG127" s="140"/>
      <c r="PSH127" s="140"/>
      <c r="PSI127" s="140"/>
      <c r="PSJ127" s="140"/>
      <c r="PSK127" s="140"/>
      <c r="PSL127" s="140"/>
      <c r="PSM127" s="140"/>
      <c r="PSN127" s="140"/>
      <c r="PSO127" s="140"/>
      <c r="PSP127" s="140"/>
      <c r="PSQ127" s="140"/>
      <c r="PSR127" s="140"/>
      <c r="PSS127" s="140"/>
      <c r="PST127" s="140"/>
      <c r="PSU127" s="140"/>
      <c r="PSV127" s="140"/>
      <c r="PSW127" s="140"/>
      <c r="PSX127" s="140"/>
      <c r="PSY127" s="140"/>
      <c r="PSZ127" s="140"/>
      <c r="PTA127" s="140"/>
      <c r="PTB127" s="140"/>
      <c r="PTC127" s="140"/>
      <c r="PTD127" s="140"/>
      <c r="PTE127" s="140"/>
      <c r="PTF127" s="140"/>
      <c r="PTG127" s="140"/>
      <c r="PTH127" s="140"/>
      <c r="PTI127" s="140"/>
      <c r="PTJ127" s="140"/>
      <c r="PTK127" s="140"/>
      <c r="PTL127" s="140"/>
      <c r="PTM127" s="140"/>
      <c r="PTN127" s="140"/>
      <c r="PTO127" s="140"/>
      <c r="PTP127" s="140"/>
      <c r="PTQ127" s="140"/>
      <c r="PTR127" s="140"/>
      <c r="PTS127" s="140"/>
      <c r="PTT127" s="140"/>
      <c r="PTU127" s="140"/>
      <c r="PTV127" s="140"/>
      <c r="PTW127" s="140"/>
      <c r="PTX127" s="140"/>
      <c r="PTY127" s="140"/>
      <c r="PTZ127" s="140"/>
      <c r="PUA127" s="140"/>
      <c r="PUB127" s="140"/>
      <c r="PUC127" s="140"/>
      <c r="PUD127" s="140"/>
      <c r="PUE127" s="140"/>
      <c r="PUF127" s="140"/>
      <c r="PUG127" s="140"/>
      <c r="PUH127" s="140"/>
      <c r="PUI127" s="140"/>
      <c r="PUJ127" s="140"/>
      <c r="PUK127" s="140"/>
      <c r="PUL127" s="140"/>
      <c r="PUM127" s="140"/>
      <c r="PUN127" s="140"/>
      <c r="PUO127" s="140"/>
      <c r="PUP127" s="140"/>
      <c r="PUQ127" s="140"/>
      <c r="PUR127" s="140"/>
      <c r="PUS127" s="140"/>
      <c r="PUT127" s="140"/>
      <c r="PUU127" s="140"/>
      <c r="PUV127" s="140"/>
      <c r="PUW127" s="140"/>
      <c r="PUX127" s="140"/>
      <c r="PUY127" s="140"/>
      <c r="PUZ127" s="140"/>
      <c r="PVA127" s="140"/>
      <c r="PVB127" s="140"/>
      <c r="PVC127" s="140"/>
      <c r="PVD127" s="140"/>
      <c r="PVE127" s="140"/>
      <c r="PVF127" s="140"/>
      <c r="PVG127" s="140"/>
      <c r="PVH127" s="140"/>
      <c r="PVI127" s="140"/>
      <c r="PVJ127" s="140"/>
      <c r="PVK127" s="140"/>
      <c r="PVL127" s="140"/>
      <c r="PVM127" s="140"/>
      <c r="PVN127" s="140"/>
      <c r="PVO127" s="140"/>
      <c r="PVP127" s="140"/>
      <c r="PVQ127" s="140"/>
      <c r="PVR127" s="140"/>
      <c r="PVS127" s="140"/>
      <c r="PVT127" s="140"/>
      <c r="PVU127" s="140"/>
      <c r="PVV127" s="140"/>
      <c r="PVW127" s="140"/>
      <c r="PVX127" s="140"/>
      <c r="PVY127" s="140"/>
      <c r="PVZ127" s="140"/>
      <c r="PWA127" s="140"/>
      <c r="PWB127" s="140"/>
      <c r="PWC127" s="140"/>
      <c r="PWD127" s="140"/>
      <c r="PWE127" s="140"/>
      <c r="PWF127" s="140"/>
      <c r="PWG127" s="140"/>
      <c r="PWH127" s="140"/>
      <c r="PWI127" s="140"/>
      <c r="PWJ127" s="140"/>
      <c r="PWK127" s="140"/>
      <c r="PWL127" s="140"/>
      <c r="PWM127" s="140"/>
      <c r="PWN127" s="140"/>
      <c r="PWO127" s="140"/>
      <c r="PWP127" s="140"/>
      <c r="PWQ127" s="140"/>
      <c r="PWR127" s="140"/>
      <c r="PWS127" s="140"/>
      <c r="PWT127" s="140"/>
      <c r="PWU127" s="140"/>
      <c r="PWV127" s="140"/>
      <c r="PWW127" s="140"/>
      <c r="PWX127" s="140"/>
      <c r="PWY127" s="140"/>
      <c r="PWZ127" s="140"/>
      <c r="PXA127" s="140"/>
      <c r="PXB127" s="140"/>
      <c r="PXC127" s="140"/>
      <c r="PXD127" s="140"/>
      <c r="PXE127" s="140"/>
      <c r="PXF127" s="140"/>
      <c r="PXG127" s="140"/>
      <c r="PXH127" s="140"/>
      <c r="PXI127" s="140"/>
      <c r="PXJ127" s="140"/>
      <c r="PXK127" s="140"/>
      <c r="PXL127" s="140"/>
      <c r="PXM127" s="140"/>
      <c r="PXN127" s="140"/>
      <c r="PXO127" s="140"/>
      <c r="PXP127" s="140"/>
      <c r="PXQ127" s="140"/>
      <c r="PXR127" s="140"/>
      <c r="PXS127" s="140"/>
      <c r="PXT127" s="140"/>
      <c r="PXU127" s="140"/>
      <c r="PXV127" s="140"/>
      <c r="PXW127" s="140"/>
      <c r="PXX127" s="140"/>
      <c r="PXY127" s="140"/>
      <c r="PXZ127" s="140"/>
      <c r="PYA127" s="140"/>
      <c r="PYB127" s="140"/>
      <c r="PYC127" s="140"/>
      <c r="PYD127" s="140"/>
      <c r="PYE127" s="140"/>
      <c r="PYF127" s="140"/>
      <c r="PYG127" s="140"/>
      <c r="PYH127" s="140"/>
      <c r="PYI127" s="140"/>
      <c r="PYJ127" s="140"/>
      <c r="PYK127" s="140"/>
      <c r="PYL127" s="140"/>
      <c r="PYM127" s="140"/>
      <c r="PYN127" s="140"/>
      <c r="PYO127" s="140"/>
      <c r="PYP127" s="140"/>
      <c r="PYQ127" s="140"/>
      <c r="PYR127" s="140"/>
      <c r="PYS127" s="140"/>
      <c r="PYT127" s="140"/>
      <c r="PYU127" s="140"/>
      <c r="PYV127" s="140"/>
      <c r="PYW127" s="140"/>
      <c r="PYX127" s="140"/>
      <c r="PYY127" s="140"/>
      <c r="PYZ127" s="140"/>
      <c r="PZA127" s="140"/>
      <c r="PZB127" s="140"/>
      <c r="PZC127" s="140"/>
      <c r="PZD127" s="140"/>
      <c r="PZE127" s="140"/>
      <c r="PZF127" s="140"/>
      <c r="PZG127" s="140"/>
      <c r="PZH127" s="140"/>
      <c r="PZI127" s="140"/>
      <c r="PZJ127" s="140"/>
      <c r="PZK127" s="140"/>
      <c r="PZL127" s="140"/>
      <c r="PZM127" s="140"/>
      <c r="PZN127" s="140"/>
      <c r="PZO127" s="140"/>
      <c r="PZP127" s="140"/>
      <c r="PZQ127" s="140"/>
      <c r="PZR127" s="140"/>
      <c r="PZS127" s="140"/>
      <c r="PZT127" s="140"/>
      <c r="PZU127" s="140"/>
      <c r="PZV127" s="140"/>
      <c r="PZW127" s="140"/>
      <c r="PZX127" s="140"/>
      <c r="PZY127" s="140"/>
      <c r="PZZ127" s="140"/>
      <c r="QAA127" s="140"/>
      <c r="QAB127" s="140"/>
      <c r="QAC127" s="140"/>
      <c r="QAD127" s="140"/>
      <c r="QAE127" s="140"/>
      <c r="QAF127" s="140"/>
      <c r="QAG127" s="140"/>
      <c r="QAH127" s="140"/>
      <c r="QAI127" s="140"/>
      <c r="QAJ127" s="140"/>
      <c r="QAK127" s="140"/>
      <c r="QAL127" s="140"/>
      <c r="QAM127" s="140"/>
      <c r="QAN127" s="140"/>
      <c r="QAO127" s="140"/>
      <c r="QAP127" s="140"/>
      <c r="QAQ127" s="140"/>
      <c r="QAR127" s="140"/>
      <c r="QAS127" s="140"/>
      <c r="QAT127" s="140"/>
      <c r="QAU127" s="140"/>
      <c r="QAV127" s="140"/>
      <c r="QAW127" s="140"/>
      <c r="QAX127" s="140"/>
      <c r="QAY127" s="140"/>
      <c r="QAZ127" s="140"/>
      <c r="QBA127" s="140"/>
      <c r="QBB127" s="140"/>
      <c r="QBC127" s="140"/>
      <c r="QBD127" s="140"/>
      <c r="QBE127" s="140"/>
      <c r="QBF127" s="140"/>
      <c r="QBG127" s="140"/>
      <c r="QBH127" s="140"/>
      <c r="QBI127" s="140"/>
      <c r="QBJ127" s="140"/>
      <c r="QBK127" s="140"/>
      <c r="QBL127" s="140"/>
      <c r="QBM127" s="140"/>
      <c r="QBN127" s="140"/>
      <c r="QBO127" s="140"/>
      <c r="QBP127" s="140"/>
      <c r="QBQ127" s="140"/>
      <c r="QBR127" s="140"/>
      <c r="QBS127" s="140"/>
      <c r="QBT127" s="140"/>
      <c r="QBU127" s="140"/>
      <c r="QBV127" s="140"/>
      <c r="QBW127" s="140"/>
      <c r="QBX127" s="140"/>
      <c r="QBY127" s="140"/>
      <c r="QBZ127" s="140"/>
      <c r="QCA127" s="140"/>
      <c r="QCB127" s="140"/>
      <c r="QCC127" s="140"/>
      <c r="QCD127" s="140"/>
      <c r="QCE127" s="140"/>
      <c r="QCF127" s="140"/>
      <c r="QCG127" s="140"/>
      <c r="QCH127" s="140"/>
      <c r="QCI127" s="140"/>
      <c r="QCJ127" s="140"/>
      <c r="QCK127" s="140"/>
      <c r="QCL127" s="140"/>
      <c r="QCM127" s="140"/>
      <c r="QCN127" s="140"/>
      <c r="QCO127" s="140"/>
      <c r="QCP127" s="140"/>
      <c r="QCQ127" s="140"/>
      <c r="QCR127" s="140"/>
      <c r="QCS127" s="140"/>
      <c r="QCT127" s="140"/>
      <c r="QCU127" s="140"/>
      <c r="QCV127" s="140"/>
      <c r="QCW127" s="140"/>
      <c r="QCX127" s="140"/>
      <c r="QCY127" s="140"/>
      <c r="QCZ127" s="140"/>
      <c r="QDA127" s="140"/>
      <c r="QDB127" s="140"/>
      <c r="QDC127" s="140"/>
      <c r="QDD127" s="140"/>
      <c r="QDE127" s="140"/>
      <c r="QDF127" s="140"/>
      <c r="QDG127" s="140"/>
      <c r="QDH127" s="140"/>
      <c r="QDI127" s="140"/>
      <c r="QDJ127" s="140"/>
      <c r="QDK127" s="140"/>
      <c r="QDL127" s="140"/>
      <c r="QDM127" s="140"/>
      <c r="QDN127" s="140"/>
      <c r="QDO127" s="140"/>
      <c r="QDP127" s="140"/>
      <c r="QDQ127" s="140"/>
      <c r="QDR127" s="140"/>
      <c r="QDS127" s="140"/>
      <c r="QDT127" s="140"/>
      <c r="QDU127" s="140"/>
      <c r="QDV127" s="140"/>
      <c r="QDW127" s="140"/>
      <c r="QDX127" s="140"/>
      <c r="QDY127" s="140"/>
      <c r="QDZ127" s="140"/>
      <c r="QEA127" s="140"/>
      <c r="QEB127" s="140"/>
      <c r="QEC127" s="140"/>
      <c r="QED127" s="140"/>
      <c r="QEE127" s="140"/>
      <c r="QEF127" s="140"/>
      <c r="QEG127" s="140"/>
      <c r="QEH127" s="140"/>
      <c r="QEI127" s="140"/>
      <c r="QEJ127" s="140"/>
      <c r="QEK127" s="140"/>
      <c r="QEL127" s="140"/>
      <c r="QEM127" s="140"/>
      <c r="QEN127" s="140"/>
      <c r="QEO127" s="140"/>
      <c r="QEP127" s="140"/>
      <c r="QEQ127" s="140"/>
      <c r="QER127" s="140"/>
      <c r="QES127" s="140"/>
      <c r="QET127" s="140"/>
      <c r="QEU127" s="140"/>
      <c r="QEV127" s="140"/>
      <c r="QEW127" s="140"/>
      <c r="QEX127" s="140"/>
      <c r="QEY127" s="140"/>
      <c r="QEZ127" s="140"/>
      <c r="QFA127" s="140"/>
      <c r="QFB127" s="140"/>
      <c r="QFC127" s="140"/>
      <c r="QFD127" s="140"/>
      <c r="QFE127" s="140"/>
      <c r="QFF127" s="140"/>
      <c r="QFG127" s="140"/>
      <c r="QFH127" s="140"/>
      <c r="QFI127" s="140"/>
      <c r="QFJ127" s="140"/>
      <c r="QFK127" s="140"/>
      <c r="QFL127" s="140"/>
      <c r="QFM127" s="140"/>
      <c r="QFN127" s="140"/>
      <c r="QFO127" s="140"/>
      <c r="QFP127" s="140"/>
      <c r="QFQ127" s="140"/>
      <c r="QFR127" s="140"/>
      <c r="QFS127" s="140"/>
      <c r="QFT127" s="140"/>
      <c r="QFU127" s="140"/>
      <c r="QFV127" s="140"/>
      <c r="QFW127" s="140"/>
      <c r="QFX127" s="140"/>
      <c r="QFY127" s="140"/>
      <c r="QFZ127" s="140"/>
      <c r="QGA127" s="140"/>
      <c r="QGB127" s="140"/>
      <c r="QGC127" s="140"/>
      <c r="QGD127" s="140"/>
      <c r="QGE127" s="140"/>
      <c r="QGF127" s="140"/>
      <c r="QGG127" s="140"/>
      <c r="QGH127" s="140"/>
      <c r="QGI127" s="140"/>
      <c r="QGJ127" s="140"/>
      <c r="QGK127" s="140"/>
      <c r="QGL127" s="140"/>
      <c r="QGM127" s="140"/>
      <c r="QGN127" s="140"/>
      <c r="QGO127" s="140"/>
      <c r="QGP127" s="140"/>
      <c r="QGQ127" s="140"/>
      <c r="QGR127" s="140"/>
      <c r="QGS127" s="140"/>
      <c r="QGT127" s="140"/>
      <c r="QGU127" s="140"/>
      <c r="QGV127" s="140"/>
      <c r="QGW127" s="140"/>
      <c r="QGX127" s="140"/>
      <c r="QGY127" s="140"/>
      <c r="QGZ127" s="140"/>
      <c r="QHA127" s="140"/>
      <c r="QHB127" s="140"/>
      <c r="QHC127" s="140"/>
      <c r="QHD127" s="140"/>
      <c r="QHE127" s="140"/>
      <c r="QHF127" s="140"/>
      <c r="QHG127" s="140"/>
      <c r="QHH127" s="140"/>
      <c r="QHI127" s="140"/>
      <c r="QHJ127" s="140"/>
      <c r="QHK127" s="140"/>
      <c r="QHL127" s="140"/>
      <c r="QHM127" s="140"/>
      <c r="QHN127" s="140"/>
      <c r="QHO127" s="140"/>
      <c r="QHP127" s="140"/>
      <c r="QHQ127" s="140"/>
      <c r="QHR127" s="140"/>
      <c r="QHS127" s="140"/>
      <c r="QHT127" s="140"/>
      <c r="QHU127" s="140"/>
      <c r="QHV127" s="140"/>
      <c r="QHW127" s="140"/>
      <c r="QHX127" s="140"/>
      <c r="QHY127" s="140"/>
      <c r="QHZ127" s="140"/>
      <c r="QIA127" s="140"/>
      <c r="QIB127" s="140"/>
      <c r="QIC127" s="140"/>
      <c r="QID127" s="140"/>
      <c r="QIE127" s="140"/>
      <c r="QIF127" s="140"/>
      <c r="QIG127" s="140"/>
      <c r="QIH127" s="140"/>
      <c r="QII127" s="140"/>
      <c r="QIJ127" s="140"/>
      <c r="QIK127" s="140"/>
      <c r="QIL127" s="140"/>
      <c r="QIM127" s="140"/>
      <c r="QIN127" s="140"/>
      <c r="QIO127" s="140"/>
      <c r="QIP127" s="140"/>
      <c r="QIQ127" s="140"/>
      <c r="QIR127" s="140"/>
      <c r="QIS127" s="140"/>
      <c r="QIT127" s="140"/>
      <c r="QIU127" s="140"/>
      <c r="QIV127" s="140"/>
      <c r="QIW127" s="140"/>
      <c r="QIX127" s="140"/>
      <c r="QIY127" s="140"/>
      <c r="QIZ127" s="140"/>
      <c r="QJA127" s="140"/>
      <c r="QJB127" s="140"/>
      <c r="QJC127" s="140"/>
      <c r="QJD127" s="140"/>
      <c r="QJE127" s="140"/>
      <c r="QJF127" s="140"/>
      <c r="QJG127" s="140"/>
      <c r="QJH127" s="140"/>
      <c r="QJI127" s="140"/>
      <c r="QJJ127" s="140"/>
      <c r="QJK127" s="140"/>
      <c r="QJL127" s="140"/>
      <c r="QJM127" s="140"/>
      <c r="QJN127" s="140"/>
      <c r="QJO127" s="140"/>
      <c r="QJP127" s="140"/>
      <c r="QJQ127" s="140"/>
      <c r="QJR127" s="140"/>
      <c r="QJS127" s="140"/>
      <c r="QJT127" s="140"/>
      <c r="QJU127" s="140"/>
      <c r="QJV127" s="140"/>
      <c r="QJW127" s="140"/>
      <c r="QJX127" s="140"/>
      <c r="QJY127" s="140"/>
      <c r="QJZ127" s="140"/>
      <c r="QKA127" s="140"/>
      <c r="QKB127" s="140"/>
      <c r="QKC127" s="140"/>
      <c r="QKD127" s="140"/>
      <c r="QKE127" s="140"/>
      <c r="QKF127" s="140"/>
      <c r="QKG127" s="140"/>
      <c r="QKH127" s="140"/>
      <c r="QKI127" s="140"/>
      <c r="QKJ127" s="140"/>
      <c r="QKK127" s="140"/>
      <c r="QKL127" s="140"/>
      <c r="QKM127" s="140"/>
      <c r="QKN127" s="140"/>
      <c r="QKO127" s="140"/>
      <c r="QKP127" s="140"/>
      <c r="QKQ127" s="140"/>
      <c r="QKR127" s="140"/>
      <c r="QKS127" s="140"/>
      <c r="QKT127" s="140"/>
      <c r="QKU127" s="140"/>
      <c r="QKV127" s="140"/>
      <c r="QKW127" s="140"/>
      <c r="QKX127" s="140"/>
      <c r="QKY127" s="140"/>
      <c r="QKZ127" s="140"/>
      <c r="QLA127" s="140"/>
      <c r="QLB127" s="140"/>
      <c r="QLC127" s="140"/>
      <c r="QLD127" s="140"/>
      <c r="QLE127" s="140"/>
      <c r="QLF127" s="140"/>
      <c r="QLG127" s="140"/>
      <c r="QLH127" s="140"/>
      <c r="QLI127" s="140"/>
      <c r="QLJ127" s="140"/>
      <c r="QLK127" s="140"/>
      <c r="QLL127" s="140"/>
      <c r="QLM127" s="140"/>
      <c r="QLN127" s="140"/>
      <c r="QLO127" s="140"/>
      <c r="QLP127" s="140"/>
      <c r="QLQ127" s="140"/>
      <c r="QLR127" s="140"/>
      <c r="QLS127" s="140"/>
      <c r="QLT127" s="140"/>
      <c r="QLU127" s="140"/>
      <c r="QLV127" s="140"/>
      <c r="QLW127" s="140"/>
      <c r="QLX127" s="140"/>
      <c r="QLY127" s="140"/>
      <c r="QLZ127" s="140"/>
      <c r="QMA127" s="140"/>
      <c r="QMB127" s="140"/>
      <c r="QMC127" s="140"/>
      <c r="QMD127" s="140"/>
      <c r="QME127" s="140"/>
      <c r="QMF127" s="140"/>
      <c r="QMG127" s="140"/>
      <c r="QMH127" s="140"/>
      <c r="QMI127" s="140"/>
      <c r="QMJ127" s="140"/>
      <c r="QMK127" s="140"/>
      <c r="QML127" s="140"/>
      <c r="QMM127" s="140"/>
      <c r="QMN127" s="140"/>
      <c r="QMO127" s="140"/>
      <c r="QMP127" s="140"/>
      <c r="QMQ127" s="140"/>
      <c r="QMR127" s="140"/>
      <c r="QMS127" s="140"/>
      <c r="QMT127" s="140"/>
      <c r="QMU127" s="140"/>
      <c r="QMV127" s="140"/>
      <c r="QMW127" s="140"/>
      <c r="QMX127" s="140"/>
      <c r="QMY127" s="140"/>
      <c r="QMZ127" s="140"/>
      <c r="QNA127" s="140"/>
      <c r="QNB127" s="140"/>
      <c r="QNC127" s="140"/>
      <c r="QND127" s="140"/>
      <c r="QNE127" s="140"/>
      <c r="QNF127" s="140"/>
      <c r="QNG127" s="140"/>
      <c r="QNH127" s="140"/>
      <c r="QNI127" s="140"/>
      <c r="QNJ127" s="140"/>
      <c r="QNK127" s="140"/>
      <c r="QNL127" s="140"/>
      <c r="QNM127" s="140"/>
      <c r="QNN127" s="140"/>
      <c r="QNO127" s="140"/>
      <c r="QNP127" s="140"/>
      <c r="QNQ127" s="140"/>
      <c r="QNR127" s="140"/>
      <c r="QNS127" s="140"/>
      <c r="QNT127" s="140"/>
      <c r="QNU127" s="140"/>
      <c r="QNV127" s="140"/>
      <c r="QNW127" s="140"/>
      <c r="QNX127" s="140"/>
      <c r="QNY127" s="140"/>
      <c r="QNZ127" s="140"/>
      <c r="QOA127" s="140"/>
      <c r="QOB127" s="140"/>
      <c r="QOC127" s="140"/>
      <c r="QOD127" s="140"/>
      <c r="QOE127" s="140"/>
      <c r="QOF127" s="140"/>
      <c r="QOG127" s="140"/>
      <c r="QOH127" s="140"/>
      <c r="QOI127" s="140"/>
      <c r="QOJ127" s="140"/>
      <c r="QOK127" s="140"/>
      <c r="QOL127" s="140"/>
      <c r="QOM127" s="140"/>
      <c r="QON127" s="140"/>
      <c r="QOO127" s="140"/>
      <c r="QOP127" s="140"/>
      <c r="QOQ127" s="140"/>
      <c r="QOR127" s="140"/>
      <c r="QOS127" s="140"/>
      <c r="QOT127" s="140"/>
      <c r="QOU127" s="140"/>
      <c r="QOV127" s="140"/>
      <c r="QOW127" s="140"/>
      <c r="QOX127" s="140"/>
      <c r="QOY127" s="140"/>
      <c r="QOZ127" s="140"/>
      <c r="QPA127" s="140"/>
      <c r="QPB127" s="140"/>
      <c r="QPC127" s="140"/>
      <c r="QPD127" s="140"/>
      <c r="QPE127" s="140"/>
      <c r="QPF127" s="140"/>
      <c r="QPG127" s="140"/>
      <c r="QPH127" s="140"/>
      <c r="QPI127" s="140"/>
      <c r="QPJ127" s="140"/>
      <c r="QPK127" s="140"/>
      <c r="QPL127" s="140"/>
      <c r="QPM127" s="140"/>
      <c r="QPN127" s="140"/>
      <c r="QPO127" s="140"/>
      <c r="QPP127" s="140"/>
      <c r="QPQ127" s="140"/>
      <c r="QPR127" s="140"/>
      <c r="QPS127" s="140"/>
      <c r="QPT127" s="140"/>
      <c r="QPU127" s="140"/>
      <c r="QPV127" s="140"/>
      <c r="QPW127" s="140"/>
      <c r="QPX127" s="140"/>
      <c r="QPY127" s="140"/>
      <c r="QPZ127" s="140"/>
      <c r="QQA127" s="140"/>
      <c r="QQB127" s="140"/>
      <c r="QQC127" s="140"/>
      <c r="QQD127" s="140"/>
      <c r="QQE127" s="140"/>
      <c r="QQF127" s="140"/>
      <c r="QQG127" s="140"/>
      <c r="QQH127" s="140"/>
      <c r="QQI127" s="140"/>
      <c r="QQJ127" s="140"/>
      <c r="QQK127" s="140"/>
      <c r="QQL127" s="140"/>
      <c r="QQM127" s="140"/>
      <c r="QQN127" s="140"/>
      <c r="QQO127" s="140"/>
      <c r="QQP127" s="140"/>
      <c r="QQQ127" s="140"/>
      <c r="QQR127" s="140"/>
      <c r="QQS127" s="140"/>
      <c r="QQT127" s="140"/>
      <c r="QQU127" s="140"/>
      <c r="QQV127" s="140"/>
      <c r="QQW127" s="140"/>
      <c r="QQX127" s="140"/>
      <c r="QQY127" s="140"/>
      <c r="QQZ127" s="140"/>
      <c r="QRA127" s="140"/>
      <c r="QRB127" s="140"/>
      <c r="QRC127" s="140"/>
      <c r="QRD127" s="140"/>
      <c r="QRE127" s="140"/>
      <c r="QRF127" s="140"/>
      <c r="QRG127" s="140"/>
      <c r="QRH127" s="140"/>
      <c r="QRI127" s="140"/>
      <c r="QRJ127" s="140"/>
      <c r="QRK127" s="140"/>
      <c r="QRL127" s="140"/>
      <c r="QRM127" s="140"/>
      <c r="QRN127" s="140"/>
      <c r="QRO127" s="140"/>
      <c r="QRP127" s="140"/>
      <c r="QRQ127" s="140"/>
      <c r="QRR127" s="140"/>
      <c r="QRS127" s="140"/>
      <c r="QRT127" s="140"/>
      <c r="QRU127" s="140"/>
      <c r="QRV127" s="140"/>
      <c r="QRW127" s="140"/>
      <c r="QRX127" s="140"/>
      <c r="QRY127" s="140"/>
      <c r="QRZ127" s="140"/>
      <c r="QSA127" s="140"/>
      <c r="QSB127" s="140"/>
      <c r="QSC127" s="140"/>
      <c r="QSD127" s="140"/>
      <c r="QSE127" s="140"/>
      <c r="QSF127" s="140"/>
      <c r="QSG127" s="140"/>
      <c r="QSH127" s="140"/>
      <c r="QSI127" s="140"/>
      <c r="QSJ127" s="140"/>
      <c r="QSK127" s="140"/>
      <c r="QSL127" s="140"/>
      <c r="QSM127" s="140"/>
      <c r="QSN127" s="140"/>
      <c r="QSO127" s="140"/>
      <c r="QSP127" s="140"/>
      <c r="QSQ127" s="140"/>
      <c r="QSR127" s="140"/>
      <c r="QSS127" s="140"/>
      <c r="QST127" s="140"/>
      <c r="QSU127" s="140"/>
      <c r="QSV127" s="140"/>
      <c r="QSW127" s="140"/>
      <c r="QSX127" s="140"/>
      <c r="QSY127" s="140"/>
      <c r="QSZ127" s="140"/>
      <c r="QTA127" s="140"/>
      <c r="QTB127" s="140"/>
      <c r="QTC127" s="140"/>
      <c r="QTD127" s="140"/>
      <c r="QTE127" s="140"/>
      <c r="QTF127" s="140"/>
      <c r="QTG127" s="140"/>
      <c r="QTH127" s="140"/>
      <c r="QTI127" s="140"/>
      <c r="QTJ127" s="140"/>
      <c r="QTK127" s="140"/>
      <c r="QTL127" s="140"/>
      <c r="QTM127" s="140"/>
      <c r="QTN127" s="140"/>
      <c r="QTO127" s="140"/>
      <c r="QTP127" s="140"/>
      <c r="QTQ127" s="140"/>
      <c r="QTR127" s="140"/>
      <c r="QTS127" s="140"/>
      <c r="QTT127" s="140"/>
      <c r="QTU127" s="140"/>
      <c r="QTV127" s="140"/>
      <c r="QTW127" s="140"/>
      <c r="QTX127" s="140"/>
      <c r="QTY127" s="140"/>
      <c r="QTZ127" s="140"/>
      <c r="QUA127" s="140"/>
      <c r="QUB127" s="140"/>
      <c r="QUC127" s="140"/>
      <c r="QUD127" s="140"/>
      <c r="QUE127" s="140"/>
      <c r="QUF127" s="140"/>
      <c r="QUG127" s="140"/>
      <c r="QUH127" s="140"/>
      <c r="QUI127" s="140"/>
      <c r="QUJ127" s="140"/>
      <c r="QUK127" s="140"/>
      <c r="QUL127" s="140"/>
      <c r="QUM127" s="140"/>
      <c r="QUN127" s="140"/>
      <c r="QUO127" s="140"/>
      <c r="QUP127" s="140"/>
      <c r="QUQ127" s="140"/>
      <c r="QUR127" s="140"/>
      <c r="QUS127" s="140"/>
      <c r="QUT127" s="140"/>
      <c r="QUU127" s="140"/>
      <c r="QUV127" s="140"/>
      <c r="QUW127" s="140"/>
      <c r="QUX127" s="140"/>
      <c r="QUY127" s="140"/>
      <c r="QUZ127" s="140"/>
      <c r="QVA127" s="140"/>
      <c r="QVB127" s="140"/>
      <c r="QVC127" s="140"/>
      <c r="QVD127" s="140"/>
      <c r="QVE127" s="140"/>
      <c r="QVF127" s="140"/>
      <c r="QVG127" s="140"/>
      <c r="QVH127" s="140"/>
      <c r="QVI127" s="140"/>
      <c r="QVJ127" s="140"/>
      <c r="QVK127" s="140"/>
      <c r="QVL127" s="140"/>
      <c r="QVM127" s="140"/>
      <c r="QVN127" s="140"/>
      <c r="QVO127" s="140"/>
      <c r="QVP127" s="140"/>
      <c r="QVQ127" s="140"/>
      <c r="QVR127" s="140"/>
      <c r="QVS127" s="140"/>
      <c r="QVT127" s="140"/>
      <c r="QVU127" s="140"/>
      <c r="QVV127" s="140"/>
      <c r="QVW127" s="140"/>
      <c r="QVX127" s="140"/>
      <c r="QVY127" s="140"/>
      <c r="QVZ127" s="140"/>
      <c r="QWA127" s="140"/>
      <c r="QWB127" s="140"/>
      <c r="QWC127" s="140"/>
      <c r="QWD127" s="140"/>
      <c r="QWE127" s="140"/>
      <c r="QWF127" s="140"/>
      <c r="QWG127" s="140"/>
      <c r="QWH127" s="140"/>
      <c r="QWI127" s="140"/>
      <c r="QWJ127" s="140"/>
      <c r="QWK127" s="140"/>
      <c r="QWL127" s="140"/>
      <c r="QWM127" s="140"/>
      <c r="QWN127" s="140"/>
      <c r="QWO127" s="140"/>
      <c r="QWP127" s="140"/>
      <c r="QWQ127" s="140"/>
      <c r="QWR127" s="140"/>
      <c r="QWS127" s="140"/>
      <c r="QWT127" s="140"/>
      <c r="QWU127" s="140"/>
      <c r="QWV127" s="140"/>
      <c r="QWW127" s="140"/>
      <c r="QWX127" s="140"/>
      <c r="QWY127" s="140"/>
      <c r="QWZ127" s="140"/>
      <c r="QXA127" s="140"/>
      <c r="QXB127" s="140"/>
      <c r="QXC127" s="140"/>
      <c r="QXD127" s="140"/>
      <c r="QXE127" s="140"/>
      <c r="QXF127" s="140"/>
      <c r="QXG127" s="140"/>
      <c r="QXH127" s="140"/>
      <c r="QXI127" s="140"/>
      <c r="QXJ127" s="140"/>
      <c r="QXK127" s="140"/>
      <c r="QXL127" s="140"/>
      <c r="QXM127" s="140"/>
      <c r="QXN127" s="140"/>
      <c r="QXO127" s="140"/>
      <c r="QXP127" s="140"/>
      <c r="QXQ127" s="140"/>
      <c r="QXR127" s="140"/>
      <c r="QXS127" s="140"/>
      <c r="QXT127" s="140"/>
      <c r="QXU127" s="140"/>
      <c r="QXV127" s="140"/>
      <c r="QXW127" s="140"/>
      <c r="QXX127" s="140"/>
      <c r="QXY127" s="140"/>
      <c r="QXZ127" s="140"/>
      <c r="QYA127" s="140"/>
      <c r="QYB127" s="140"/>
      <c r="QYC127" s="140"/>
      <c r="QYD127" s="140"/>
      <c r="QYE127" s="140"/>
      <c r="QYF127" s="140"/>
      <c r="QYG127" s="140"/>
      <c r="QYH127" s="140"/>
      <c r="QYI127" s="140"/>
      <c r="QYJ127" s="140"/>
      <c r="QYK127" s="140"/>
      <c r="QYL127" s="140"/>
      <c r="QYM127" s="140"/>
      <c r="QYN127" s="140"/>
      <c r="QYO127" s="140"/>
      <c r="QYP127" s="140"/>
      <c r="QYQ127" s="140"/>
      <c r="QYR127" s="140"/>
      <c r="QYS127" s="140"/>
      <c r="QYT127" s="140"/>
      <c r="QYU127" s="140"/>
      <c r="QYV127" s="140"/>
      <c r="QYW127" s="140"/>
      <c r="QYX127" s="140"/>
      <c r="QYY127" s="140"/>
      <c r="QYZ127" s="140"/>
      <c r="QZA127" s="140"/>
      <c r="QZB127" s="140"/>
      <c r="QZC127" s="140"/>
      <c r="QZD127" s="140"/>
      <c r="QZE127" s="140"/>
      <c r="QZF127" s="140"/>
      <c r="QZG127" s="140"/>
      <c r="QZH127" s="140"/>
      <c r="QZI127" s="140"/>
      <c r="QZJ127" s="140"/>
      <c r="QZK127" s="140"/>
      <c r="QZL127" s="140"/>
      <c r="QZM127" s="140"/>
      <c r="QZN127" s="140"/>
      <c r="QZO127" s="140"/>
      <c r="QZP127" s="140"/>
      <c r="QZQ127" s="140"/>
      <c r="QZR127" s="140"/>
      <c r="QZS127" s="140"/>
      <c r="QZT127" s="140"/>
      <c r="QZU127" s="140"/>
      <c r="QZV127" s="140"/>
      <c r="QZW127" s="140"/>
      <c r="QZX127" s="140"/>
      <c r="QZY127" s="140"/>
      <c r="QZZ127" s="140"/>
      <c r="RAA127" s="140"/>
      <c r="RAB127" s="140"/>
      <c r="RAC127" s="140"/>
      <c r="RAD127" s="140"/>
      <c r="RAE127" s="140"/>
      <c r="RAF127" s="140"/>
      <c r="RAG127" s="140"/>
      <c r="RAH127" s="140"/>
      <c r="RAI127" s="140"/>
      <c r="RAJ127" s="140"/>
      <c r="RAK127" s="140"/>
      <c r="RAL127" s="140"/>
      <c r="RAM127" s="140"/>
      <c r="RAN127" s="140"/>
      <c r="RAO127" s="140"/>
      <c r="RAP127" s="140"/>
      <c r="RAQ127" s="140"/>
      <c r="RAR127" s="140"/>
      <c r="RAS127" s="140"/>
      <c r="RAT127" s="140"/>
      <c r="RAU127" s="140"/>
      <c r="RAV127" s="140"/>
      <c r="RAW127" s="140"/>
      <c r="RAX127" s="140"/>
      <c r="RAY127" s="140"/>
      <c r="RAZ127" s="140"/>
      <c r="RBA127" s="140"/>
      <c r="RBB127" s="140"/>
      <c r="RBC127" s="140"/>
      <c r="RBD127" s="140"/>
      <c r="RBE127" s="140"/>
      <c r="RBF127" s="140"/>
      <c r="RBG127" s="140"/>
      <c r="RBH127" s="140"/>
      <c r="RBI127" s="140"/>
      <c r="RBJ127" s="140"/>
      <c r="RBK127" s="140"/>
      <c r="RBL127" s="140"/>
      <c r="RBM127" s="140"/>
      <c r="RBN127" s="140"/>
      <c r="RBO127" s="140"/>
      <c r="RBP127" s="140"/>
      <c r="RBQ127" s="140"/>
      <c r="RBR127" s="140"/>
      <c r="RBS127" s="140"/>
      <c r="RBT127" s="140"/>
      <c r="RBU127" s="140"/>
      <c r="RBV127" s="140"/>
      <c r="RBW127" s="140"/>
      <c r="RBX127" s="140"/>
      <c r="RBY127" s="140"/>
      <c r="RBZ127" s="140"/>
      <c r="RCA127" s="140"/>
      <c r="RCB127" s="140"/>
      <c r="RCC127" s="140"/>
      <c r="RCD127" s="140"/>
      <c r="RCE127" s="140"/>
      <c r="RCF127" s="140"/>
      <c r="RCG127" s="140"/>
      <c r="RCH127" s="140"/>
      <c r="RCI127" s="140"/>
      <c r="RCJ127" s="140"/>
      <c r="RCK127" s="140"/>
      <c r="RCL127" s="140"/>
      <c r="RCM127" s="140"/>
      <c r="RCN127" s="140"/>
      <c r="RCO127" s="140"/>
      <c r="RCP127" s="140"/>
      <c r="RCQ127" s="140"/>
      <c r="RCR127" s="140"/>
      <c r="RCS127" s="140"/>
      <c r="RCT127" s="140"/>
      <c r="RCU127" s="140"/>
      <c r="RCV127" s="140"/>
      <c r="RCW127" s="140"/>
      <c r="RCX127" s="140"/>
      <c r="RCY127" s="140"/>
      <c r="RCZ127" s="140"/>
      <c r="RDA127" s="140"/>
      <c r="RDB127" s="140"/>
      <c r="RDC127" s="140"/>
      <c r="RDD127" s="140"/>
      <c r="RDE127" s="140"/>
      <c r="RDF127" s="140"/>
      <c r="RDG127" s="140"/>
      <c r="RDH127" s="140"/>
      <c r="RDI127" s="140"/>
      <c r="RDJ127" s="140"/>
      <c r="RDK127" s="140"/>
      <c r="RDL127" s="140"/>
      <c r="RDM127" s="140"/>
      <c r="RDN127" s="140"/>
      <c r="RDO127" s="140"/>
      <c r="RDP127" s="140"/>
      <c r="RDQ127" s="140"/>
      <c r="RDR127" s="140"/>
      <c r="RDS127" s="140"/>
      <c r="RDT127" s="140"/>
      <c r="RDU127" s="140"/>
      <c r="RDV127" s="140"/>
      <c r="RDW127" s="140"/>
      <c r="RDX127" s="140"/>
      <c r="RDY127" s="140"/>
      <c r="RDZ127" s="140"/>
      <c r="REA127" s="140"/>
      <c r="REB127" s="140"/>
      <c r="REC127" s="140"/>
      <c r="RED127" s="140"/>
      <c r="REE127" s="140"/>
      <c r="REF127" s="140"/>
      <c r="REG127" s="140"/>
      <c r="REH127" s="140"/>
      <c r="REI127" s="140"/>
      <c r="REJ127" s="140"/>
      <c r="REK127" s="140"/>
      <c r="REL127" s="140"/>
      <c r="REM127" s="140"/>
      <c r="REN127" s="140"/>
      <c r="REO127" s="140"/>
      <c r="REP127" s="140"/>
      <c r="REQ127" s="140"/>
      <c r="RER127" s="140"/>
      <c r="RES127" s="140"/>
      <c r="RET127" s="140"/>
      <c r="REU127" s="140"/>
      <c r="REV127" s="140"/>
      <c r="REW127" s="140"/>
      <c r="REX127" s="140"/>
      <c r="REY127" s="140"/>
      <c r="REZ127" s="140"/>
      <c r="RFA127" s="140"/>
      <c r="RFB127" s="140"/>
      <c r="RFC127" s="140"/>
      <c r="RFD127" s="140"/>
      <c r="RFE127" s="140"/>
      <c r="RFF127" s="140"/>
      <c r="RFG127" s="140"/>
      <c r="RFH127" s="140"/>
      <c r="RFI127" s="140"/>
      <c r="RFJ127" s="140"/>
      <c r="RFK127" s="140"/>
      <c r="RFL127" s="140"/>
      <c r="RFM127" s="140"/>
      <c r="RFN127" s="140"/>
      <c r="RFO127" s="140"/>
      <c r="RFP127" s="140"/>
      <c r="RFQ127" s="140"/>
      <c r="RFR127" s="140"/>
      <c r="RFS127" s="140"/>
      <c r="RFT127" s="140"/>
      <c r="RFU127" s="140"/>
      <c r="RFV127" s="140"/>
      <c r="RFW127" s="140"/>
      <c r="RFX127" s="140"/>
      <c r="RFY127" s="140"/>
      <c r="RFZ127" s="140"/>
      <c r="RGA127" s="140"/>
      <c r="RGB127" s="140"/>
      <c r="RGC127" s="140"/>
      <c r="RGD127" s="140"/>
      <c r="RGE127" s="140"/>
      <c r="RGF127" s="140"/>
      <c r="RGG127" s="140"/>
      <c r="RGH127" s="140"/>
      <c r="RGI127" s="140"/>
      <c r="RGJ127" s="140"/>
      <c r="RGK127" s="140"/>
      <c r="RGL127" s="140"/>
      <c r="RGM127" s="140"/>
      <c r="RGN127" s="140"/>
      <c r="RGO127" s="140"/>
      <c r="RGP127" s="140"/>
      <c r="RGQ127" s="140"/>
      <c r="RGR127" s="140"/>
      <c r="RGS127" s="140"/>
      <c r="RGT127" s="140"/>
      <c r="RGU127" s="140"/>
      <c r="RGV127" s="140"/>
      <c r="RGW127" s="140"/>
      <c r="RGX127" s="140"/>
      <c r="RGY127" s="140"/>
      <c r="RGZ127" s="140"/>
      <c r="RHA127" s="140"/>
      <c r="RHB127" s="140"/>
      <c r="RHC127" s="140"/>
      <c r="RHD127" s="140"/>
      <c r="RHE127" s="140"/>
      <c r="RHF127" s="140"/>
      <c r="RHG127" s="140"/>
      <c r="RHH127" s="140"/>
      <c r="RHI127" s="140"/>
      <c r="RHJ127" s="140"/>
      <c r="RHK127" s="140"/>
      <c r="RHL127" s="140"/>
      <c r="RHM127" s="140"/>
      <c r="RHN127" s="140"/>
      <c r="RHO127" s="140"/>
      <c r="RHP127" s="140"/>
      <c r="RHQ127" s="140"/>
      <c r="RHR127" s="140"/>
      <c r="RHS127" s="140"/>
      <c r="RHT127" s="140"/>
      <c r="RHU127" s="140"/>
      <c r="RHV127" s="140"/>
      <c r="RHW127" s="140"/>
      <c r="RHX127" s="140"/>
      <c r="RHY127" s="140"/>
      <c r="RHZ127" s="140"/>
      <c r="RIA127" s="140"/>
      <c r="RIB127" s="140"/>
      <c r="RIC127" s="140"/>
      <c r="RID127" s="140"/>
      <c r="RIE127" s="140"/>
      <c r="RIF127" s="140"/>
      <c r="RIG127" s="140"/>
      <c r="RIH127" s="140"/>
      <c r="RII127" s="140"/>
      <c r="RIJ127" s="140"/>
      <c r="RIK127" s="140"/>
      <c r="RIL127" s="140"/>
      <c r="RIM127" s="140"/>
      <c r="RIN127" s="140"/>
      <c r="RIO127" s="140"/>
      <c r="RIP127" s="140"/>
      <c r="RIQ127" s="140"/>
      <c r="RIR127" s="140"/>
      <c r="RIS127" s="140"/>
      <c r="RIT127" s="140"/>
      <c r="RIU127" s="140"/>
      <c r="RIV127" s="140"/>
      <c r="RIW127" s="140"/>
      <c r="RIX127" s="140"/>
      <c r="RIY127" s="140"/>
      <c r="RIZ127" s="140"/>
      <c r="RJA127" s="140"/>
      <c r="RJB127" s="140"/>
      <c r="RJC127" s="140"/>
      <c r="RJD127" s="140"/>
      <c r="RJE127" s="140"/>
      <c r="RJF127" s="140"/>
      <c r="RJG127" s="140"/>
      <c r="RJH127" s="140"/>
      <c r="RJI127" s="140"/>
      <c r="RJJ127" s="140"/>
      <c r="RJK127" s="140"/>
      <c r="RJL127" s="140"/>
      <c r="RJM127" s="140"/>
      <c r="RJN127" s="140"/>
      <c r="RJO127" s="140"/>
      <c r="RJP127" s="140"/>
      <c r="RJQ127" s="140"/>
      <c r="RJR127" s="140"/>
      <c r="RJS127" s="140"/>
      <c r="RJT127" s="140"/>
      <c r="RJU127" s="140"/>
      <c r="RJV127" s="140"/>
      <c r="RJW127" s="140"/>
      <c r="RJX127" s="140"/>
      <c r="RJY127" s="140"/>
      <c r="RJZ127" s="140"/>
      <c r="RKA127" s="140"/>
      <c r="RKB127" s="140"/>
      <c r="RKC127" s="140"/>
      <c r="RKD127" s="140"/>
      <c r="RKE127" s="140"/>
      <c r="RKF127" s="140"/>
      <c r="RKG127" s="140"/>
      <c r="RKH127" s="140"/>
      <c r="RKI127" s="140"/>
      <c r="RKJ127" s="140"/>
      <c r="RKK127" s="140"/>
      <c r="RKL127" s="140"/>
      <c r="RKM127" s="140"/>
      <c r="RKN127" s="140"/>
      <c r="RKO127" s="140"/>
      <c r="RKP127" s="140"/>
      <c r="RKQ127" s="140"/>
      <c r="RKR127" s="140"/>
      <c r="RKS127" s="140"/>
      <c r="RKT127" s="140"/>
      <c r="RKU127" s="140"/>
      <c r="RKV127" s="140"/>
      <c r="RKW127" s="140"/>
      <c r="RKX127" s="140"/>
      <c r="RKY127" s="140"/>
      <c r="RKZ127" s="140"/>
      <c r="RLA127" s="140"/>
      <c r="RLB127" s="140"/>
      <c r="RLC127" s="140"/>
      <c r="RLD127" s="140"/>
      <c r="RLE127" s="140"/>
      <c r="RLF127" s="140"/>
      <c r="RLG127" s="140"/>
      <c r="RLH127" s="140"/>
      <c r="RLI127" s="140"/>
      <c r="RLJ127" s="140"/>
      <c r="RLK127" s="140"/>
      <c r="RLL127" s="140"/>
      <c r="RLM127" s="140"/>
      <c r="RLN127" s="140"/>
      <c r="RLO127" s="140"/>
      <c r="RLP127" s="140"/>
      <c r="RLQ127" s="140"/>
      <c r="RLR127" s="140"/>
      <c r="RLS127" s="140"/>
      <c r="RLT127" s="140"/>
      <c r="RLU127" s="140"/>
      <c r="RLV127" s="140"/>
      <c r="RLW127" s="140"/>
      <c r="RLX127" s="140"/>
      <c r="RLY127" s="140"/>
      <c r="RLZ127" s="140"/>
      <c r="RMA127" s="140"/>
      <c r="RMB127" s="140"/>
      <c r="RMC127" s="140"/>
      <c r="RMD127" s="140"/>
      <c r="RME127" s="140"/>
      <c r="RMF127" s="140"/>
      <c r="RMG127" s="140"/>
      <c r="RMH127" s="140"/>
      <c r="RMI127" s="140"/>
      <c r="RMJ127" s="140"/>
      <c r="RMK127" s="140"/>
      <c r="RML127" s="140"/>
      <c r="RMM127" s="140"/>
      <c r="RMN127" s="140"/>
      <c r="RMO127" s="140"/>
      <c r="RMP127" s="140"/>
      <c r="RMQ127" s="140"/>
      <c r="RMR127" s="140"/>
      <c r="RMS127" s="140"/>
      <c r="RMT127" s="140"/>
      <c r="RMU127" s="140"/>
      <c r="RMV127" s="140"/>
      <c r="RMW127" s="140"/>
      <c r="RMX127" s="140"/>
      <c r="RMY127" s="140"/>
      <c r="RMZ127" s="140"/>
      <c r="RNA127" s="140"/>
      <c r="RNB127" s="140"/>
      <c r="RNC127" s="140"/>
      <c r="RND127" s="140"/>
      <c r="RNE127" s="140"/>
      <c r="RNF127" s="140"/>
      <c r="RNG127" s="140"/>
      <c r="RNH127" s="140"/>
      <c r="RNI127" s="140"/>
      <c r="RNJ127" s="140"/>
      <c r="RNK127" s="140"/>
      <c r="RNL127" s="140"/>
      <c r="RNM127" s="140"/>
      <c r="RNN127" s="140"/>
      <c r="RNO127" s="140"/>
      <c r="RNP127" s="140"/>
      <c r="RNQ127" s="140"/>
      <c r="RNR127" s="140"/>
      <c r="RNS127" s="140"/>
      <c r="RNT127" s="140"/>
      <c r="RNU127" s="140"/>
      <c r="RNV127" s="140"/>
      <c r="RNW127" s="140"/>
      <c r="RNX127" s="140"/>
      <c r="RNY127" s="140"/>
      <c r="RNZ127" s="140"/>
      <c r="ROA127" s="140"/>
      <c r="ROB127" s="140"/>
      <c r="ROC127" s="140"/>
      <c r="ROD127" s="140"/>
      <c r="ROE127" s="140"/>
      <c r="ROF127" s="140"/>
      <c r="ROG127" s="140"/>
      <c r="ROH127" s="140"/>
      <c r="ROI127" s="140"/>
      <c r="ROJ127" s="140"/>
      <c r="ROK127" s="140"/>
      <c r="ROL127" s="140"/>
      <c r="ROM127" s="140"/>
      <c r="RON127" s="140"/>
      <c r="ROO127" s="140"/>
      <c r="ROP127" s="140"/>
      <c r="ROQ127" s="140"/>
      <c r="ROR127" s="140"/>
      <c r="ROS127" s="140"/>
      <c r="ROT127" s="140"/>
      <c r="ROU127" s="140"/>
      <c r="ROV127" s="140"/>
      <c r="ROW127" s="140"/>
      <c r="ROX127" s="140"/>
      <c r="ROY127" s="140"/>
      <c r="ROZ127" s="140"/>
      <c r="RPA127" s="140"/>
      <c r="RPB127" s="140"/>
      <c r="RPC127" s="140"/>
      <c r="RPD127" s="140"/>
      <c r="RPE127" s="140"/>
      <c r="RPF127" s="140"/>
      <c r="RPG127" s="140"/>
      <c r="RPH127" s="140"/>
      <c r="RPI127" s="140"/>
      <c r="RPJ127" s="140"/>
      <c r="RPK127" s="140"/>
      <c r="RPL127" s="140"/>
      <c r="RPM127" s="140"/>
      <c r="RPN127" s="140"/>
      <c r="RPO127" s="140"/>
      <c r="RPP127" s="140"/>
      <c r="RPQ127" s="140"/>
      <c r="RPR127" s="140"/>
      <c r="RPS127" s="140"/>
      <c r="RPT127" s="140"/>
      <c r="RPU127" s="140"/>
      <c r="RPV127" s="140"/>
      <c r="RPW127" s="140"/>
      <c r="RPX127" s="140"/>
      <c r="RPY127" s="140"/>
      <c r="RPZ127" s="140"/>
      <c r="RQA127" s="140"/>
      <c r="RQB127" s="140"/>
      <c r="RQC127" s="140"/>
      <c r="RQD127" s="140"/>
      <c r="RQE127" s="140"/>
      <c r="RQF127" s="140"/>
      <c r="RQG127" s="140"/>
      <c r="RQH127" s="140"/>
      <c r="RQI127" s="140"/>
      <c r="RQJ127" s="140"/>
      <c r="RQK127" s="140"/>
      <c r="RQL127" s="140"/>
      <c r="RQM127" s="140"/>
      <c r="RQN127" s="140"/>
      <c r="RQO127" s="140"/>
      <c r="RQP127" s="140"/>
      <c r="RQQ127" s="140"/>
      <c r="RQR127" s="140"/>
      <c r="RQS127" s="140"/>
      <c r="RQT127" s="140"/>
      <c r="RQU127" s="140"/>
      <c r="RQV127" s="140"/>
      <c r="RQW127" s="140"/>
      <c r="RQX127" s="140"/>
      <c r="RQY127" s="140"/>
      <c r="RQZ127" s="140"/>
      <c r="RRA127" s="140"/>
      <c r="RRB127" s="140"/>
      <c r="RRC127" s="140"/>
      <c r="RRD127" s="140"/>
      <c r="RRE127" s="140"/>
      <c r="RRF127" s="140"/>
      <c r="RRG127" s="140"/>
      <c r="RRH127" s="140"/>
      <c r="RRI127" s="140"/>
      <c r="RRJ127" s="140"/>
      <c r="RRK127" s="140"/>
      <c r="RRL127" s="140"/>
      <c r="RRM127" s="140"/>
      <c r="RRN127" s="140"/>
      <c r="RRO127" s="140"/>
      <c r="RRP127" s="140"/>
      <c r="RRQ127" s="140"/>
      <c r="RRR127" s="140"/>
      <c r="RRS127" s="140"/>
      <c r="RRT127" s="140"/>
      <c r="RRU127" s="140"/>
      <c r="RRV127" s="140"/>
      <c r="RRW127" s="140"/>
      <c r="RRX127" s="140"/>
      <c r="RRY127" s="140"/>
      <c r="RRZ127" s="140"/>
      <c r="RSA127" s="140"/>
      <c r="RSB127" s="140"/>
      <c r="RSC127" s="140"/>
      <c r="RSD127" s="140"/>
      <c r="RSE127" s="140"/>
      <c r="RSF127" s="140"/>
      <c r="RSG127" s="140"/>
      <c r="RSH127" s="140"/>
      <c r="RSI127" s="140"/>
      <c r="RSJ127" s="140"/>
      <c r="RSK127" s="140"/>
      <c r="RSL127" s="140"/>
      <c r="RSM127" s="140"/>
      <c r="RSN127" s="140"/>
      <c r="RSO127" s="140"/>
      <c r="RSP127" s="140"/>
      <c r="RSQ127" s="140"/>
      <c r="RSR127" s="140"/>
      <c r="RSS127" s="140"/>
      <c r="RST127" s="140"/>
      <c r="RSU127" s="140"/>
      <c r="RSV127" s="140"/>
      <c r="RSW127" s="140"/>
      <c r="RSX127" s="140"/>
      <c r="RSY127" s="140"/>
      <c r="RSZ127" s="140"/>
      <c r="RTA127" s="140"/>
      <c r="RTB127" s="140"/>
      <c r="RTC127" s="140"/>
      <c r="RTD127" s="140"/>
      <c r="RTE127" s="140"/>
      <c r="RTF127" s="140"/>
      <c r="RTG127" s="140"/>
      <c r="RTH127" s="140"/>
      <c r="RTI127" s="140"/>
      <c r="RTJ127" s="140"/>
      <c r="RTK127" s="140"/>
      <c r="RTL127" s="140"/>
      <c r="RTM127" s="140"/>
      <c r="RTN127" s="140"/>
      <c r="RTO127" s="140"/>
      <c r="RTP127" s="140"/>
      <c r="RTQ127" s="140"/>
      <c r="RTR127" s="140"/>
      <c r="RTS127" s="140"/>
      <c r="RTT127" s="140"/>
      <c r="RTU127" s="140"/>
      <c r="RTV127" s="140"/>
      <c r="RTW127" s="140"/>
      <c r="RTX127" s="140"/>
      <c r="RTY127" s="140"/>
      <c r="RTZ127" s="140"/>
      <c r="RUA127" s="140"/>
      <c r="RUB127" s="140"/>
      <c r="RUC127" s="140"/>
      <c r="RUD127" s="140"/>
      <c r="RUE127" s="140"/>
      <c r="RUF127" s="140"/>
      <c r="RUG127" s="140"/>
      <c r="RUH127" s="140"/>
      <c r="RUI127" s="140"/>
      <c r="RUJ127" s="140"/>
      <c r="RUK127" s="140"/>
      <c r="RUL127" s="140"/>
      <c r="RUM127" s="140"/>
      <c r="RUN127" s="140"/>
      <c r="RUO127" s="140"/>
      <c r="RUP127" s="140"/>
      <c r="RUQ127" s="140"/>
      <c r="RUR127" s="140"/>
      <c r="RUS127" s="140"/>
      <c r="RUT127" s="140"/>
      <c r="RUU127" s="140"/>
      <c r="RUV127" s="140"/>
      <c r="RUW127" s="140"/>
      <c r="RUX127" s="140"/>
      <c r="RUY127" s="140"/>
      <c r="RUZ127" s="140"/>
      <c r="RVA127" s="140"/>
      <c r="RVB127" s="140"/>
      <c r="RVC127" s="140"/>
      <c r="RVD127" s="140"/>
      <c r="RVE127" s="140"/>
      <c r="RVF127" s="140"/>
      <c r="RVG127" s="140"/>
      <c r="RVH127" s="140"/>
      <c r="RVI127" s="140"/>
      <c r="RVJ127" s="140"/>
      <c r="RVK127" s="140"/>
      <c r="RVL127" s="140"/>
      <c r="RVM127" s="140"/>
      <c r="RVN127" s="140"/>
      <c r="RVO127" s="140"/>
      <c r="RVP127" s="140"/>
      <c r="RVQ127" s="140"/>
      <c r="RVR127" s="140"/>
      <c r="RVS127" s="140"/>
      <c r="RVT127" s="140"/>
      <c r="RVU127" s="140"/>
      <c r="RVV127" s="140"/>
      <c r="RVW127" s="140"/>
      <c r="RVX127" s="140"/>
      <c r="RVY127" s="140"/>
      <c r="RVZ127" s="140"/>
      <c r="RWA127" s="140"/>
      <c r="RWB127" s="140"/>
      <c r="RWC127" s="140"/>
      <c r="RWD127" s="140"/>
      <c r="RWE127" s="140"/>
      <c r="RWF127" s="140"/>
      <c r="RWG127" s="140"/>
      <c r="RWH127" s="140"/>
      <c r="RWI127" s="140"/>
      <c r="RWJ127" s="140"/>
      <c r="RWK127" s="140"/>
      <c r="RWL127" s="140"/>
      <c r="RWM127" s="140"/>
      <c r="RWN127" s="140"/>
      <c r="RWO127" s="140"/>
      <c r="RWP127" s="140"/>
      <c r="RWQ127" s="140"/>
      <c r="RWR127" s="140"/>
      <c r="RWS127" s="140"/>
      <c r="RWT127" s="140"/>
      <c r="RWU127" s="140"/>
      <c r="RWV127" s="140"/>
      <c r="RWW127" s="140"/>
      <c r="RWX127" s="140"/>
      <c r="RWY127" s="140"/>
      <c r="RWZ127" s="140"/>
      <c r="RXA127" s="140"/>
      <c r="RXB127" s="140"/>
      <c r="RXC127" s="140"/>
      <c r="RXD127" s="140"/>
      <c r="RXE127" s="140"/>
      <c r="RXF127" s="140"/>
      <c r="RXG127" s="140"/>
      <c r="RXH127" s="140"/>
      <c r="RXI127" s="140"/>
      <c r="RXJ127" s="140"/>
      <c r="RXK127" s="140"/>
      <c r="RXL127" s="140"/>
      <c r="RXM127" s="140"/>
      <c r="RXN127" s="140"/>
      <c r="RXO127" s="140"/>
      <c r="RXP127" s="140"/>
      <c r="RXQ127" s="140"/>
      <c r="RXR127" s="140"/>
      <c r="RXS127" s="140"/>
      <c r="RXT127" s="140"/>
      <c r="RXU127" s="140"/>
      <c r="RXV127" s="140"/>
      <c r="RXW127" s="140"/>
      <c r="RXX127" s="140"/>
      <c r="RXY127" s="140"/>
      <c r="RXZ127" s="140"/>
      <c r="RYA127" s="140"/>
      <c r="RYB127" s="140"/>
      <c r="RYC127" s="140"/>
      <c r="RYD127" s="140"/>
      <c r="RYE127" s="140"/>
      <c r="RYF127" s="140"/>
      <c r="RYG127" s="140"/>
      <c r="RYH127" s="140"/>
      <c r="RYI127" s="140"/>
      <c r="RYJ127" s="140"/>
      <c r="RYK127" s="140"/>
      <c r="RYL127" s="140"/>
      <c r="RYM127" s="140"/>
      <c r="RYN127" s="140"/>
      <c r="RYO127" s="140"/>
      <c r="RYP127" s="140"/>
      <c r="RYQ127" s="140"/>
      <c r="RYR127" s="140"/>
      <c r="RYS127" s="140"/>
      <c r="RYT127" s="140"/>
      <c r="RYU127" s="140"/>
      <c r="RYV127" s="140"/>
      <c r="RYW127" s="140"/>
      <c r="RYX127" s="140"/>
      <c r="RYY127" s="140"/>
      <c r="RYZ127" s="140"/>
      <c r="RZA127" s="140"/>
      <c r="RZB127" s="140"/>
      <c r="RZC127" s="140"/>
      <c r="RZD127" s="140"/>
      <c r="RZE127" s="140"/>
      <c r="RZF127" s="140"/>
      <c r="RZG127" s="140"/>
      <c r="RZH127" s="140"/>
      <c r="RZI127" s="140"/>
      <c r="RZJ127" s="140"/>
      <c r="RZK127" s="140"/>
      <c r="RZL127" s="140"/>
      <c r="RZM127" s="140"/>
      <c r="RZN127" s="140"/>
      <c r="RZO127" s="140"/>
      <c r="RZP127" s="140"/>
      <c r="RZQ127" s="140"/>
      <c r="RZR127" s="140"/>
      <c r="RZS127" s="140"/>
      <c r="RZT127" s="140"/>
      <c r="RZU127" s="140"/>
      <c r="RZV127" s="140"/>
      <c r="RZW127" s="140"/>
      <c r="RZX127" s="140"/>
      <c r="RZY127" s="140"/>
      <c r="RZZ127" s="140"/>
      <c r="SAA127" s="140"/>
      <c r="SAB127" s="140"/>
      <c r="SAC127" s="140"/>
      <c r="SAD127" s="140"/>
      <c r="SAE127" s="140"/>
      <c r="SAF127" s="140"/>
      <c r="SAG127" s="140"/>
      <c r="SAH127" s="140"/>
      <c r="SAI127" s="140"/>
      <c r="SAJ127" s="140"/>
      <c r="SAK127" s="140"/>
      <c r="SAL127" s="140"/>
      <c r="SAM127" s="140"/>
      <c r="SAN127" s="140"/>
      <c r="SAO127" s="140"/>
      <c r="SAP127" s="140"/>
      <c r="SAQ127" s="140"/>
      <c r="SAR127" s="140"/>
      <c r="SAS127" s="140"/>
      <c r="SAT127" s="140"/>
      <c r="SAU127" s="140"/>
      <c r="SAV127" s="140"/>
      <c r="SAW127" s="140"/>
      <c r="SAX127" s="140"/>
      <c r="SAY127" s="140"/>
      <c r="SAZ127" s="140"/>
      <c r="SBA127" s="140"/>
      <c r="SBB127" s="140"/>
      <c r="SBC127" s="140"/>
      <c r="SBD127" s="140"/>
      <c r="SBE127" s="140"/>
      <c r="SBF127" s="140"/>
      <c r="SBG127" s="140"/>
      <c r="SBH127" s="140"/>
      <c r="SBI127" s="140"/>
      <c r="SBJ127" s="140"/>
      <c r="SBK127" s="140"/>
      <c r="SBL127" s="140"/>
      <c r="SBM127" s="140"/>
      <c r="SBN127" s="140"/>
      <c r="SBO127" s="140"/>
      <c r="SBP127" s="140"/>
      <c r="SBQ127" s="140"/>
      <c r="SBR127" s="140"/>
      <c r="SBS127" s="140"/>
      <c r="SBT127" s="140"/>
      <c r="SBU127" s="140"/>
      <c r="SBV127" s="140"/>
      <c r="SBW127" s="140"/>
      <c r="SBX127" s="140"/>
      <c r="SBY127" s="140"/>
      <c r="SBZ127" s="140"/>
      <c r="SCA127" s="140"/>
      <c r="SCB127" s="140"/>
      <c r="SCC127" s="140"/>
      <c r="SCD127" s="140"/>
      <c r="SCE127" s="140"/>
      <c r="SCF127" s="140"/>
      <c r="SCG127" s="140"/>
      <c r="SCH127" s="140"/>
      <c r="SCI127" s="140"/>
      <c r="SCJ127" s="140"/>
      <c r="SCK127" s="140"/>
      <c r="SCL127" s="140"/>
      <c r="SCM127" s="140"/>
      <c r="SCN127" s="140"/>
      <c r="SCO127" s="140"/>
      <c r="SCP127" s="140"/>
      <c r="SCQ127" s="140"/>
      <c r="SCR127" s="140"/>
      <c r="SCS127" s="140"/>
      <c r="SCT127" s="140"/>
      <c r="SCU127" s="140"/>
      <c r="SCV127" s="140"/>
      <c r="SCW127" s="140"/>
      <c r="SCX127" s="140"/>
      <c r="SCY127" s="140"/>
      <c r="SCZ127" s="140"/>
      <c r="SDA127" s="140"/>
      <c r="SDB127" s="140"/>
      <c r="SDC127" s="140"/>
      <c r="SDD127" s="140"/>
      <c r="SDE127" s="140"/>
      <c r="SDF127" s="140"/>
      <c r="SDG127" s="140"/>
      <c r="SDH127" s="140"/>
      <c r="SDI127" s="140"/>
      <c r="SDJ127" s="140"/>
      <c r="SDK127" s="140"/>
      <c r="SDL127" s="140"/>
      <c r="SDM127" s="140"/>
      <c r="SDN127" s="140"/>
      <c r="SDO127" s="140"/>
      <c r="SDP127" s="140"/>
      <c r="SDQ127" s="140"/>
      <c r="SDR127" s="140"/>
      <c r="SDS127" s="140"/>
      <c r="SDT127" s="140"/>
      <c r="SDU127" s="140"/>
      <c r="SDV127" s="140"/>
      <c r="SDW127" s="140"/>
      <c r="SDX127" s="140"/>
      <c r="SDY127" s="140"/>
      <c r="SDZ127" s="140"/>
      <c r="SEA127" s="140"/>
      <c r="SEB127" s="140"/>
      <c r="SEC127" s="140"/>
      <c r="SED127" s="140"/>
      <c r="SEE127" s="140"/>
      <c r="SEF127" s="140"/>
      <c r="SEG127" s="140"/>
      <c r="SEH127" s="140"/>
      <c r="SEI127" s="140"/>
      <c r="SEJ127" s="140"/>
      <c r="SEK127" s="140"/>
      <c r="SEL127" s="140"/>
      <c r="SEM127" s="140"/>
      <c r="SEN127" s="140"/>
      <c r="SEO127" s="140"/>
      <c r="SEP127" s="140"/>
      <c r="SEQ127" s="140"/>
      <c r="SER127" s="140"/>
      <c r="SES127" s="140"/>
      <c r="SET127" s="140"/>
      <c r="SEU127" s="140"/>
      <c r="SEV127" s="140"/>
      <c r="SEW127" s="140"/>
      <c r="SEX127" s="140"/>
      <c r="SEY127" s="140"/>
      <c r="SEZ127" s="140"/>
      <c r="SFA127" s="140"/>
      <c r="SFB127" s="140"/>
      <c r="SFC127" s="140"/>
      <c r="SFD127" s="140"/>
      <c r="SFE127" s="140"/>
      <c r="SFF127" s="140"/>
      <c r="SFG127" s="140"/>
      <c r="SFH127" s="140"/>
      <c r="SFI127" s="140"/>
      <c r="SFJ127" s="140"/>
      <c r="SFK127" s="140"/>
      <c r="SFL127" s="140"/>
      <c r="SFM127" s="140"/>
      <c r="SFN127" s="140"/>
      <c r="SFO127" s="140"/>
      <c r="SFP127" s="140"/>
      <c r="SFQ127" s="140"/>
      <c r="SFR127" s="140"/>
      <c r="SFS127" s="140"/>
      <c r="SFT127" s="140"/>
      <c r="SFU127" s="140"/>
      <c r="SFV127" s="140"/>
      <c r="SFW127" s="140"/>
      <c r="SFX127" s="140"/>
      <c r="SFY127" s="140"/>
      <c r="SFZ127" s="140"/>
      <c r="SGA127" s="140"/>
      <c r="SGB127" s="140"/>
      <c r="SGC127" s="140"/>
      <c r="SGD127" s="140"/>
      <c r="SGE127" s="140"/>
      <c r="SGF127" s="140"/>
      <c r="SGG127" s="140"/>
      <c r="SGH127" s="140"/>
      <c r="SGI127" s="140"/>
      <c r="SGJ127" s="140"/>
      <c r="SGK127" s="140"/>
      <c r="SGL127" s="140"/>
      <c r="SGM127" s="140"/>
      <c r="SGN127" s="140"/>
      <c r="SGO127" s="140"/>
      <c r="SGP127" s="140"/>
      <c r="SGQ127" s="140"/>
      <c r="SGR127" s="140"/>
      <c r="SGS127" s="140"/>
      <c r="SGT127" s="140"/>
      <c r="SGU127" s="140"/>
      <c r="SGV127" s="140"/>
      <c r="SGW127" s="140"/>
      <c r="SGX127" s="140"/>
      <c r="SGY127" s="140"/>
      <c r="SGZ127" s="140"/>
      <c r="SHA127" s="140"/>
      <c r="SHB127" s="140"/>
      <c r="SHC127" s="140"/>
      <c r="SHD127" s="140"/>
      <c r="SHE127" s="140"/>
      <c r="SHF127" s="140"/>
      <c r="SHG127" s="140"/>
      <c r="SHH127" s="140"/>
      <c r="SHI127" s="140"/>
      <c r="SHJ127" s="140"/>
      <c r="SHK127" s="140"/>
      <c r="SHL127" s="140"/>
      <c r="SHM127" s="140"/>
      <c r="SHN127" s="140"/>
      <c r="SHO127" s="140"/>
      <c r="SHP127" s="140"/>
      <c r="SHQ127" s="140"/>
      <c r="SHR127" s="140"/>
      <c r="SHS127" s="140"/>
      <c r="SHT127" s="140"/>
      <c r="SHU127" s="140"/>
      <c r="SHV127" s="140"/>
      <c r="SHW127" s="140"/>
      <c r="SHX127" s="140"/>
      <c r="SHY127" s="140"/>
      <c r="SHZ127" s="140"/>
      <c r="SIA127" s="140"/>
      <c r="SIB127" s="140"/>
      <c r="SIC127" s="140"/>
      <c r="SID127" s="140"/>
      <c r="SIE127" s="140"/>
      <c r="SIF127" s="140"/>
      <c r="SIG127" s="140"/>
      <c r="SIH127" s="140"/>
      <c r="SII127" s="140"/>
      <c r="SIJ127" s="140"/>
      <c r="SIK127" s="140"/>
      <c r="SIL127" s="140"/>
      <c r="SIM127" s="140"/>
      <c r="SIN127" s="140"/>
      <c r="SIO127" s="140"/>
      <c r="SIP127" s="140"/>
      <c r="SIQ127" s="140"/>
      <c r="SIR127" s="140"/>
      <c r="SIS127" s="140"/>
      <c r="SIT127" s="140"/>
      <c r="SIU127" s="140"/>
      <c r="SIV127" s="140"/>
      <c r="SIW127" s="140"/>
      <c r="SIX127" s="140"/>
      <c r="SIY127" s="140"/>
      <c r="SIZ127" s="140"/>
      <c r="SJA127" s="140"/>
      <c r="SJB127" s="140"/>
      <c r="SJC127" s="140"/>
      <c r="SJD127" s="140"/>
      <c r="SJE127" s="140"/>
      <c r="SJF127" s="140"/>
      <c r="SJG127" s="140"/>
      <c r="SJH127" s="140"/>
      <c r="SJI127" s="140"/>
      <c r="SJJ127" s="140"/>
      <c r="SJK127" s="140"/>
      <c r="SJL127" s="140"/>
      <c r="SJM127" s="140"/>
      <c r="SJN127" s="140"/>
      <c r="SJO127" s="140"/>
      <c r="SJP127" s="140"/>
      <c r="SJQ127" s="140"/>
      <c r="SJR127" s="140"/>
      <c r="SJS127" s="140"/>
      <c r="SJT127" s="140"/>
      <c r="SJU127" s="140"/>
      <c r="SJV127" s="140"/>
      <c r="SJW127" s="140"/>
      <c r="SJX127" s="140"/>
      <c r="SJY127" s="140"/>
      <c r="SJZ127" s="140"/>
      <c r="SKA127" s="140"/>
      <c r="SKB127" s="140"/>
      <c r="SKC127" s="140"/>
      <c r="SKD127" s="140"/>
      <c r="SKE127" s="140"/>
      <c r="SKF127" s="140"/>
      <c r="SKG127" s="140"/>
      <c r="SKH127" s="140"/>
      <c r="SKI127" s="140"/>
      <c r="SKJ127" s="140"/>
      <c r="SKK127" s="140"/>
      <c r="SKL127" s="140"/>
      <c r="SKM127" s="140"/>
      <c r="SKN127" s="140"/>
      <c r="SKO127" s="140"/>
      <c r="SKP127" s="140"/>
      <c r="SKQ127" s="140"/>
      <c r="SKR127" s="140"/>
      <c r="SKS127" s="140"/>
      <c r="SKT127" s="140"/>
      <c r="SKU127" s="140"/>
      <c r="SKV127" s="140"/>
      <c r="SKW127" s="140"/>
      <c r="SKX127" s="140"/>
      <c r="SKY127" s="140"/>
      <c r="SKZ127" s="140"/>
      <c r="SLA127" s="140"/>
      <c r="SLB127" s="140"/>
      <c r="SLC127" s="140"/>
      <c r="SLD127" s="140"/>
      <c r="SLE127" s="140"/>
      <c r="SLF127" s="140"/>
      <c r="SLG127" s="140"/>
      <c r="SLH127" s="140"/>
      <c r="SLI127" s="140"/>
      <c r="SLJ127" s="140"/>
      <c r="SLK127" s="140"/>
      <c r="SLL127" s="140"/>
      <c r="SLM127" s="140"/>
      <c r="SLN127" s="140"/>
      <c r="SLO127" s="140"/>
      <c r="SLP127" s="140"/>
      <c r="SLQ127" s="140"/>
      <c r="SLR127" s="140"/>
      <c r="SLS127" s="140"/>
      <c r="SLT127" s="140"/>
      <c r="SLU127" s="140"/>
      <c r="SLV127" s="140"/>
      <c r="SLW127" s="140"/>
      <c r="SLX127" s="140"/>
      <c r="SLY127" s="140"/>
      <c r="SLZ127" s="140"/>
      <c r="SMA127" s="140"/>
      <c r="SMB127" s="140"/>
      <c r="SMC127" s="140"/>
      <c r="SMD127" s="140"/>
      <c r="SME127" s="140"/>
      <c r="SMF127" s="140"/>
      <c r="SMG127" s="140"/>
      <c r="SMH127" s="140"/>
      <c r="SMI127" s="140"/>
      <c r="SMJ127" s="140"/>
      <c r="SMK127" s="140"/>
      <c r="SML127" s="140"/>
      <c r="SMM127" s="140"/>
      <c r="SMN127" s="140"/>
      <c r="SMO127" s="140"/>
      <c r="SMP127" s="140"/>
      <c r="SMQ127" s="140"/>
      <c r="SMR127" s="140"/>
      <c r="SMS127" s="140"/>
      <c r="SMT127" s="140"/>
      <c r="SMU127" s="140"/>
      <c r="SMV127" s="140"/>
      <c r="SMW127" s="140"/>
      <c r="SMX127" s="140"/>
      <c r="SMY127" s="140"/>
      <c r="SMZ127" s="140"/>
      <c r="SNA127" s="140"/>
      <c r="SNB127" s="140"/>
      <c r="SNC127" s="140"/>
      <c r="SND127" s="140"/>
      <c r="SNE127" s="140"/>
      <c r="SNF127" s="140"/>
      <c r="SNG127" s="140"/>
      <c r="SNH127" s="140"/>
      <c r="SNI127" s="140"/>
      <c r="SNJ127" s="140"/>
      <c r="SNK127" s="140"/>
      <c r="SNL127" s="140"/>
      <c r="SNM127" s="140"/>
      <c r="SNN127" s="140"/>
      <c r="SNO127" s="140"/>
      <c r="SNP127" s="140"/>
      <c r="SNQ127" s="140"/>
      <c r="SNR127" s="140"/>
      <c r="SNS127" s="140"/>
      <c r="SNT127" s="140"/>
      <c r="SNU127" s="140"/>
      <c r="SNV127" s="140"/>
      <c r="SNW127" s="140"/>
      <c r="SNX127" s="140"/>
      <c r="SNY127" s="140"/>
      <c r="SNZ127" s="140"/>
      <c r="SOA127" s="140"/>
      <c r="SOB127" s="140"/>
      <c r="SOC127" s="140"/>
      <c r="SOD127" s="140"/>
      <c r="SOE127" s="140"/>
      <c r="SOF127" s="140"/>
      <c r="SOG127" s="140"/>
      <c r="SOH127" s="140"/>
      <c r="SOI127" s="140"/>
      <c r="SOJ127" s="140"/>
      <c r="SOK127" s="140"/>
      <c r="SOL127" s="140"/>
      <c r="SOM127" s="140"/>
      <c r="SON127" s="140"/>
      <c r="SOO127" s="140"/>
      <c r="SOP127" s="140"/>
      <c r="SOQ127" s="140"/>
      <c r="SOR127" s="140"/>
      <c r="SOS127" s="140"/>
      <c r="SOT127" s="140"/>
      <c r="SOU127" s="140"/>
      <c r="SOV127" s="140"/>
      <c r="SOW127" s="140"/>
      <c r="SOX127" s="140"/>
      <c r="SOY127" s="140"/>
      <c r="SOZ127" s="140"/>
      <c r="SPA127" s="140"/>
      <c r="SPB127" s="140"/>
      <c r="SPC127" s="140"/>
      <c r="SPD127" s="140"/>
      <c r="SPE127" s="140"/>
      <c r="SPF127" s="140"/>
      <c r="SPG127" s="140"/>
      <c r="SPH127" s="140"/>
      <c r="SPI127" s="140"/>
      <c r="SPJ127" s="140"/>
      <c r="SPK127" s="140"/>
      <c r="SPL127" s="140"/>
      <c r="SPM127" s="140"/>
      <c r="SPN127" s="140"/>
      <c r="SPO127" s="140"/>
      <c r="SPP127" s="140"/>
      <c r="SPQ127" s="140"/>
      <c r="SPR127" s="140"/>
      <c r="SPS127" s="140"/>
      <c r="SPT127" s="140"/>
      <c r="SPU127" s="140"/>
      <c r="SPV127" s="140"/>
      <c r="SPW127" s="140"/>
      <c r="SPX127" s="140"/>
      <c r="SPY127" s="140"/>
      <c r="SPZ127" s="140"/>
      <c r="SQA127" s="140"/>
      <c r="SQB127" s="140"/>
      <c r="SQC127" s="140"/>
      <c r="SQD127" s="140"/>
      <c r="SQE127" s="140"/>
      <c r="SQF127" s="140"/>
      <c r="SQG127" s="140"/>
      <c r="SQH127" s="140"/>
      <c r="SQI127" s="140"/>
      <c r="SQJ127" s="140"/>
      <c r="SQK127" s="140"/>
      <c r="SQL127" s="140"/>
      <c r="SQM127" s="140"/>
      <c r="SQN127" s="140"/>
      <c r="SQO127" s="140"/>
      <c r="SQP127" s="140"/>
      <c r="SQQ127" s="140"/>
      <c r="SQR127" s="140"/>
      <c r="SQS127" s="140"/>
      <c r="SQT127" s="140"/>
      <c r="SQU127" s="140"/>
      <c r="SQV127" s="140"/>
      <c r="SQW127" s="140"/>
      <c r="SQX127" s="140"/>
      <c r="SQY127" s="140"/>
      <c r="SQZ127" s="140"/>
      <c r="SRA127" s="140"/>
      <c r="SRB127" s="140"/>
      <c r="SRC127" s="140"/>
      <c r="SRD127" s="140"/>
      <c r="SRE127" s="140"/>
      <c r="SRF127" s="140"/>
      <c r="SRG127" s="140"/>
      <c r="SRH127" s="140"/>
      <c r="SRI127" s="140"/>
      <c r="SRJ127" s="140"/>
      <c r="SRK127" s="140"/>
      <c r="SRL127" s="140"/>
      <c r="SRM127" s="140"/>
      <c r="SRN127" s="140"/>
      <c r="SRO127" s="140"/>
      <c r="SRP127" s="140"/>
      <c r="SRQ127" s="140"/>
      <c r="SRR127" s="140"/>
      <c r="SRS127" s="140"/>
      <c r="SRT127" s="140"/>
      <c r="SRU127" s="140"/>
      <c r="SRV127" s="140"/>
      <c r="SRW127" s="140"/>
      <c r="SRX127" s="140"/>
      <c r="SRY127" s="140"/>
      <c r="SRZ127" s="140"/>
      <c r="SSA127" s="140"/>
      <c r="SSB127" s="140"/>
      <c r="SSC127" s="140"/>
      <c r="SSD127" s="140"/>
      <c r="SSE127" s="140"/>
      <c r="SSF127" s="140"/>
      <c r="SSG127" s="140"/>
      <c r="SSH127" s="140"/>
      <c r="SSI127" s="140"/>
      <c r="SSJ127" s="140"/>
      <c r="SSK127" s="140"/>
      <c r="SSL127" s="140"/>
      <c r="SSM127" s="140"/>
      <c r="SSN127" s="140"/>
      <c r="SSO127" s="140"/>
      <c r="SSP127" s="140"/>
      <c r="SSQ127" s="140"/>
      <c r="SSR127" s="140"/>
      <c r="SSS127" s="140"/>
      <c r="SST127" s="140"/>
      <c r="SSU127" s="140"/>
      <c r="SSV127" s="140"/>
      <c r="SSW127" s="140"/>
      <c r="SSX127" s="140"/>
      <c r="SSY127" s="140"/>
      <c r="SSZ127" s="140"/>
      <c r="STA127" s="140"/>
      <c r="STB127" s="140"/>
      <c r="STC127" s="140"/>
      <c r="STD127" s="140"/>
      <c r="STE127" s="140"/>
      <c r="STF127" s="140"/>
      <c r="STG127" s="140"/>
      <c r="STH127" s="140"/>
      <c r="STI127" s="140"/>
      <c r="STJ127" s="140"/>
      <c r="STK127" s="140"/>
      <c r="STL127" s="140"/>
      <c r="STM127" s="140"/>
      <c r="STN127" s="140"/>
      <c r="STO127" s="140"/>
      <c r="STP127" s="140"/>
      <c r="STQ127" s="140"/>
      <c r="STR127" s="140"/>
      <c r="STS127" s="140"/>
      <c r="STT127" s="140"/>
      <c r="STU127" s="140"/>
      <c r="STV127" s="140"/>
      <c r="STW127" s="140"/>
      <c r="STX127" s="140"/>
      <c r="STY127" s="140"/>
      <c r="STZ127" s="140"/>
      <c r="SUA127" s="140"/>
      <c r="SUB127" s="140"/>
      <c r="SUC127" s="140"/>
      <c r="SUD127" s="140"/>
      <c r="SUE127" s="140"/>
      <c r="SUF127" s="140"/>
      <c r="SUG127" s="140"/>
      <c r="SUH127" s="140"/>
      <c r="SUI127" s="140"/>
      <c r="SUJ127" s="140"/>
      <c r="SUK127" s="140"/>
      <c r="SUL127" s="140"/>
      <c r="SUM127" s="140"/>
      <c r="SUN127" s="140"/>
      <c r="SUO127" s="140"/>
      <c r="SUP127" s="140"/>
      <c r="SUQ127" s="140"/>
      <c r="SUR127" s="140"/>
      <c r="SUS127" s="140"/>
      <c r="SUT127" s="140"/>
      <c r="SUU127" s="140"/>
      <c r="SUV127" s="140"/>
      <c r="SUW127" s="140"/>
      <c r="SUX127" s="140"/>
      <c r="SUY127" s="140"/>
      <c r="SUZ127" s="140"/>
      <c r="SVA127" s="140"/>
      <c r="SVB127" s="140"/>
      <c r="SVC127" s="140"/>
      <c r="SVD127" s="140"/>
      <c r="SVE127" s="140"/>
      <c r="SVF127" s="140"/>
      <c r="SVG127" s="140"/>
      <c r="SVH127" s="140"/>
      <c r="SVI127" s="140"/>
      <c r="SVJ127" s="140"/>
      <c r="SVK127" s="140"/>
      <c r="SVL127" s="140"/>
      <c r="SVM127" s="140"/>
      <c r="SVN127" s="140"/>
      <c r="SVO127" s="140"/>
      <c r="SVP127" s="140"/>
      <c r="SVQ127" s="140"/>
      <c r="SVR127" s="140"/>
      <c r="SVS127" s="140"/>
      <c r="SVT127" s="140"/>
      <c r="SVU127" s="140"/>
      <c r="SVV127" s="140"/>
      <c r="SVW127" s="140"/>
      <c r="SVX127" s="140"/>
      <c r="SVY127" s="140"/>
      <c r="SVZ127" s="140"/>
      <c r="SWA127" s="140"/>
      <c r="SWB127" s="140"/>
      <c r="SWC127" s="140"/>
      <c r="SWD127" s="140"/>
      <c r="SWE127" s="140"/>
      <c r="SWF127" s="140"/>
      <c r="SWG127" s="140"/>
      <c r="SWH127" s="140"/>
      <c r="SWI127" s="140"/>
      <c r="SWJ127" s="140"/>
      <c r="SWK127" s="140"/>
      <c r="SWL127" s="140"/>
      <c r="SWM127" s="140"/>
      <c r="SWN127" s="140"/>
      <c r="SWO127" s="140"/>
      <c r="SWP127" s="140"/>
      <c r="SWQ127" s="140"/>
      <c r="SWR127" s="140"/>
      <c r="SWS127" s="140"/>
      <c r="SWT127" s="140"/>
      <c r="SWU127" s="140"/>
      <c r="SWV127" s="140"/>
      <c r="SWW127" s="140"/>
      <c r="SWX127" s="140"/>
      <c r="SWY127" s="140"/>
      <c r="SWZ127" s="140"/>
      <c r="SXA127" s="140"/>
      <c r="SXB127" s="140"/>
      <c r="SXC127" s="140"/>
      <c r="SXD127" s="140"/>
      <c r="SXE127" s="140"/>
      <c r="SXF127" s="140"/>
      <c r="SXG127" s="140"/>
      <c r="SXH127" s="140"/>
      <c r="SXI127" s="140"/>
      <c r="SXJ127" s="140"/>
      <c r="SXK127" s="140"/>
      <c r="SXL127" s="140"/>
      <c r="SXM127" s="140"/>
      <c r="SXN127" s="140"/>
      <c r="SXO127" s="140"/>
      <c r="SXP127" s="140"/>
      <c r="SXQ127" s="140"/>
      <c r="SXR127" s="140"/>
      <c r="SXS127" s="140"/>
      <c r="SXT127" s="140"/>
      <c r="SXU127" s="140"/>
      <c r="SXV127" s="140"/>
      <c r="SXW127" s="140"/>
      <c r="SXX127" s="140"/>
      <c r="SXY127" s="140"/>
      <c r="SXZ127" s="140"/>
      <c r="SYA127" s="140"/>
      <c r="SYB127" s="140"/>
      <c r="SYC127" s="140"/>
      <c r="SYD127" s="140"/>
      <c r="SYE127" s="140"/>
      <c r="SYF127" s="140"/>
      <c r="SYG127" s="140"/>
      <c r="SYH127" s="140"/>
      <c r="SYI127" s="140"/>
      <c r="SYJ127" s="140"/>
      <c r="SYK127" s="140"/>
      <c r="SYL127" s="140"/>
      <c r="SYM127" s="140"/>
      <c r="SYN127" s="140"/>
      <c r="SYO127" s="140"/>
      <c r="SYP127" s="140"/>
      <c r="SYQ127" s="140"/>
      <c r="SYR127" s="140"/>
      <c r="SYS127" s="140"/>
      <c r="SYT127" s="140"/>
      <c r="SYU127" s="140"/>
      <c r="SYV127" s="140"/>
      <c r="SYW127" s="140"/>
      <c r="SYX127" s="140"/>
      <c r="SYY127" s="140"/>
      <c r="SYZ127" s="140"/>
      <c r="SZA127" s="140"/>
      <c r="SZB127" s="140"/>
      <c r="SZC127" s="140"/>
      <c r="SZD127" s="140"/>
      <c r="SZE127" s="140"/>
      <c r="SZF127" s="140"/>
      <c r="SZG127" s="140"/>
      <c r="SZH127" s="140"/>
      <c r="SZI127" s="140"/>
      <c r="SZJ127" s="140"/>
      <c r="SZK127" s="140"/>
      <c r="SZL127" s="140"/>
      <c r="SZM127" s="140"/>
      <c r="SZN127" s="140"/>
      <c r="SZO127" s="140"/>
      <c r="SZP127" s="140"/>
      <c r="SZQ127" s="140"/>
      <c r="SZR127" s="140"/>
      <c r="SZS127" s="140"/>
      <c r="SZT127" s="140"/>
      <c r="SZU127" s="140"/>
      <c r="SZV127" s="140"/>
      <c r="SZW127" s="140"/>
      <c r="SZX127" s="140"/>
      <c r="SZY127" s="140"/>
      <c r="SZZ127" s="140"/>
      <c r="TAA127" s="140"/>
      <c r="TAB127" s="140"/>
      <c r="TAC127" s="140"/>
      <c r="TAD127" s="140"/>
      <c r="TAE127" s="140"/>
      <c r="TAF127" s="140"/>
      <c r="TAG127" s="140"/>
      <c r="TAH127" s="140"/>
      <c r="TAI127" s="140"/>
      <c r="TAJ127" s="140"/>
      <c r="TAK127" s="140"/>
      <c r="TAL127" s="140"/>
      <c r="TAM127" s="140"/>
      <c r="TAN127" s="140"/>
      <c r="TAO127" s="140"/>
      <c r="TAP127" s="140"/>
      <c r="TAQ127" s="140"/>
      <c r="TAR127" s="140"/>
      <c r="TAS127" s="140"/>
      <c r="TAT127" s="140"/>
      <c r="TAU127" s="140"/>
      <c r="TAV127" s="140"/>
      <c r="TAW127" s="140"/>
      <c r="TAX127" s="140"/>
      <c r="TAY127" s="140"/>
      <c r="TAZ127" s="140"/>
      <c r="TBA127" s="140"/>
      <c r="TBB127" s="140"/>
      <c r="TBC127" s="140"/>
      <c r="TBD127" s="140"/>
      <c r="TBE127" s="140"/>
      <c r="TBF127" s="140"/>
      <c r="TBG127" s="140"/>
      <c r="TBH127" s="140"/>
      <c r="TBI127" s="140"/>
      <c r="TBJ127" s="140"/>
      <c r="TBK127" s="140"/>
      <c r="TBL127" s="140"/>
      <c r="TBM127" s="140"/>
      <c r="TBN127" s="140"/>
      <c r="TBO127" s="140"/>
      <c r="TBP127" s="140"/>
      <c r="TBQ127" s="140"/>
      <c r="TBR127" s="140"/>
      <c r="TBS127" s="140"/>
      <c r="TBT127" s="140"/>
      <c r="TBU127" s="140"/>
      <c r="TBV127" s="140"/>
      <c r="TBW127" s="140"/>
      <c r="TBX127" s="140"/>
      <c r="TBY127" s="140"/>
      <c r="TBZ127" s="140"/>
      <c r="TCA127" s="140"/>
      <c r="TCB127" s="140"/>
      <c r="TCC127" s="140"/>
      <c r="TCD127" s="140"/>
      <c r="TCE127" s="140"/>
      <c r="TCF127" s="140"/>
      <c r="TCG127" s="140"/>
      <c r="TCH127" s="140"/>
      <c r="TCI127" s="140"/>
      <c r="TCJ127" s="140"/>
      <c r="TCK127" s="140"/>
      <c r="TCL127" s="140"/>
      <c r="TCM127" s="140"/>
      <c r="TCN127" s="140"/>
      <c r="TCO127" s="140"/>
      <c r="TCP127" s="140"/>
      <c r="TCQ127" s="140"/>
      <c r="TCR127" s="140"/>
      <c r="TCS127" s="140"/>
      <c r="TCT127" s="140"/>
      <c r="TCU127" s="140"/>
      <c r="TCV127" s="140"/>
      <c r="TCW127" s="140"/>
      <c r="TCX127" s="140"/>
      <c r="TCY127" s="140"/>
      <c r="TCZ127" s="140"/>
      <c r="TDA127" s="140"/>
      <c r="TDB127" s="140"/>
      <c r="TDC127" s="140"/>
      <c r="TDD127" s="140"/>
      <c r="TDE127" s="140"/>
      <c r="TDF127" s="140"/>
      <c r="TDG127" s="140"/>
      <c r="TDH127" s="140"/>
      <c r="TDI127" s="140"/>
      <c r="TDJ127" s="140"/>
      <c r="TDK127" s="140"/>
      <c r="TDL127" s="140"/>
      <c r="TDM127" s="140"/>
      <c r="TDN127" s="140"/>
      <c r="TDO127" s="140"/>
      <c r="TDP127" s="140"/>
      <c r="TDQ127" s="140"/>
      <c r="TDR127" s="140"/>
      <c r="TDS127" s="140"/>
      <c r="TDT127" s="140"/>
      <c r="TDU127" s="140"/>
      <c r="TDV127" s="140"/>
      <c r="TDW127" s="140"/>
      <c r="TDX127" s="140"/>
      <c r="TDY127" s="140"/>
      <c r="TDZ127" s="140"/>
      <c r="TEA127" s="140"/>
      <c r="TEB127" s="140"/>
      <c r="TEC127" s="140"/>
      <c r="TED127" s="140"/>
      <c r="TEE127" s="140"/>
      <c r="TEF127" s="140"/>
      <c r="TEG127" s="140"/>
      <c r="TEH127" s="140"/>
      <c r="TEI127" s="140"/>
      <c r="TEJ127" s="140"/>
      <c r="TEK127" s="140"/>
      <c r="TEL127" s="140"/>
      <c r="TEM127" s="140"/>
      <c r="TEN127" s="140"/>
      <c r="TEO127" s="140"/>
      <c r="TEP127" s="140"/>
      <c r="TEQ127" s="140"/>
      <c r="TER127" s="140"/>
      <c r="TES127" s="140"/>
      <c r="TET127" s="140"/>
      <c r="TEU127" s="140"/>
      <c r="TEV127" s="140"/>
      <c r="TEW127" s="140"/>
      <c r="TEX127" s="140"/>
      <c r="TEY127" s="140"/>
      <c r="TEZ127" s="140"/>
      <c r="TFA127" s="140"/>
      <c r="TFB127" s="140"/>
      <c r="TFC127" s="140"/>
      <c r="TFD127" s="140"/>
      <c r="TFE127" s="140"/>
      <c r="TFF127" s="140"/>
      <c r="TFG127" s="140"/>
      <c r="TFH127" s="140"/>
      <c r="TFI127" s="140"/>
      <c r="TFJ127" s="140"/>
      <c r="TFK127" s="140"/>
      <c r="TFL127" s="140"/>
      <c r="TFM127" s="140"/>
      <c r="TFN127" s="140"/>
      <c r="TFO127" s="140"/>
      <c r="TFP127" s="140"/>
      <c r="TFQ127" s="140"/>
      <c r="TFR127" s="140"/>
      <c r="TFS127" s="140"/>
      <c r="TFT127" s="140"/>
      <c r="TFU127" s="140"/>
      <c r="TFV127" s="140"/>
      <c r="TFW127" s="140"/>
      <c r="TFX127" s="140"/>
      <c r="TFY127" s="140"/>
      <c r="TFZ127" s="140"/>
      <c r="TGA127" s="140"/>
      <c r="TGB127" s="140"/>
      <c r="TGC127" s="140"/>
      <c r="TGD127" s="140"/>
      <c r="TGE127" s="140"/>
      <c r="TGF127" s="140"/>
      <c r="TGG127" s="140"/>
      <c r="TGH127" s="140"/>
      <c r="TGI127" s="140"/>
      <c r="TGJ127" s="140"/>
      <c r="TGK127" s="140"/>
      <c r="TGL127" s="140"/>
      <c r="TGM127" s="140"/>
      <c r="TGN127" s="140"/>
      <c r="TGO127" s="140"/>
      <c r="TGP127" s="140"/>
      <c r="TGQ127" s="140"/>
      <c r="TGR127" s="140"/>
      <c r="TGS127" s="140"/>
      <c r="TGT127" s="140"/>
      <c r="TGU127" s="140"/>
      <c r="TGV127" s="140"/>
      <c r="TGW127" s="140"/>
      <c r="TGX127" s="140"/>
      <c r="TGY127" s="140"/>
      <c r="TGZ127" s="140"/>
      <c r="THA127" s="140"/>
      <c r="THB127" s="140"/>
      <c r="THC127" s="140"/>
      <c r="THD127" s="140"/>
      <c r="THE127" s="140"/>
      <c r="THF127" s="140"/>
      <c r="THG127" s="140"/>
      <c r="THH127" s="140"/>
      <c r="THI127" s="140"/>
      <c r="THJ127" s="140"/>
      <c r="THK127" s="140"/>
      <c r="THL127" s="140"/>
      <c r="THM127" s="140"/>
      <c r="THN127" s="140"/>
      <c r="THO127" s="140"/>
      <c r="THP127" s="140"/>
      <c r="THQ127" s="140"/>
      <c r="THR127" s="140"/>
      <c r="THS127" s="140"/>
      <c r="THT127" s="140"/>
      <c r="THU127" s="140"/>
      <c r="THV127" s="140"/>
      <c r="THW127" s="140"/>
      <c r="THX127" s="140"/>
      <c r="THY127" s="140"/>
      <c r="THZ127" s="140"/>
      <c r="TIA127" s="140"/>
      <c r="TIB127" s="140"/>
      <c r="TIC127" s="140"/>
      <c r="TID127" s="140"/>
      <c r="TIE127" s="140"/>
      <c r="TIF127" s="140"/>
      <c r="TIG127" s="140"/>
      <c r="TIH127" s="140"/>
      <c r="TII127" s="140"/>
      <c r="TIJ127" s="140"/>
      <c r="TIK127" s="140"/>
      <c r="TIL127" s="140"/>
      <c r="TIM127" s="140"/>
      <c r="TIN127" s="140"/>
      <c r="TIO127" s="140"/>
      <c r="TIP127" s="140"/>
      <c r="TIQ127" s="140"/>
      <c r="TIR127" s="140"/>
      <c r="TIS127" s="140"/>
      <c r="TIT127" s="140"/>
      <c r="TIU127" s="140"/>
      <c r="TIV127" s="140"/>
      <c r="TIW127" s="140"/>
      <c r="TIX127" s="140"/>
      <c r="TIY127" s="140"/>
      <c r="TIZ127" s="140"/>
      <c r="TJA127" s="140"/>
      <c r="TJB127" s="140"/>
      <c r="TJC127" s="140"/>
      <c r="TJD127" s="140"/>
      <c r="TJE127" s="140"/>
      <c r="TJF127" s="140"/>
      <c r="TJG127" s="140"/>
      <c r="TJH127" s="140"/>
      <c r="TJI127" s="140"/>
      <c r="TJJ127" s="140"/>
      <c r="TJK127" s="140"/>
      <c r="TJL127" s="140"/>
      <c r="TJM127" s="140"/>
      <c r="TJN127" s="140"/>
      <c r="TJO127" s="140"/>
      <c r="TJP127" s="140"/>
      <c r="TJQ127" s="140"/>
      <c r="TJR127" s="140"/>
      <c r="TJS127" s="140"/>
      <c r="TJT127" s="140"/>
      <c r="TJU127" s="140"/>
      <c r="TJV127" s="140"/>
      <c r="TJW127" s="140"/>
      <c r="TJX127" s="140"/>
      <c r="TJY127" s="140"/>
      <c r="TJZ127" s="140"/>
      <c r="TKA127" s="140"/>
      <c r="TKB127" s="140"/>
      <c r="TKC127" s="140"/>
      <c r="TKD127" s="140"/>
      <c r="TKE127" s="140"/>
      <c r="TKF127" s="140"/>
      <c r="TKG127" s="140"/>
      <c r="TKH127" s="140"/>
      <c r="TKI127" s="140"/>
      <c r="TKJ127" s="140"/>
      <c r="TKK127" s="140"/>
      <c r="TKL127" s="140"/>
      <c r="TKM127" s="140"/>
      <c r="TKN127" s="140"/>
      <c r="TKO127" s="140"/>
      <c r="TKP127" s="140"/>
      <c r="TKQ127" s="140"/>
      <c r="TKR127" s="140"/>
      <c r="TKS127" s="140"/>
      <c r="TKT127" s="140"/>
      <c r="TKU127" s="140"/>
      <c r="TKV127" s="140"/>
      <c r="TKW127" s="140"/>
      <c r="TKX127" s="140"/>
      <c r="TKY127" s="140"/>
      <c r="TKZ127" s="140"/>
      <c r="TLA127" s="140"/>
      <c r="TLB127" s="140"/>
      <c r="TLC127" s="140"/>
      <c r="TLD127" s="140"/>
      <c r="TLE127" s="140"/>
      <c r="TLF127" s="140"/>
      <c r="TLG127" s="140"/>
      <c r="TLH127" s="140"/>
      <c r="TLI127" s="140"/>
      <c r="TLJ127" s="140"/>
      <c r="TLK127" s="140"/>
      <c r="TLL127" s="140"/>
      <c r="TLM127" s="140"/>
      <c r="TLN127" s="140"/>
      <c r="TLO127" s="140"/>
      <c r="TLP127" s="140"/>
      <c r="TLQ127" s="140"/>
      <c r="TLR127" s="140"/>
      <c r="TLS127" s="140"/>
      <c r="TLT127" s="140"/>
      <c r="TLU127" s="140"/>
      <c r="TLV127" s="140"/>
      <c r="TLW127" s="140"/>
      <c r="TLX127" s="140"/>
      <c r="TLY127" s="140"/>
      <c r="TLZ127" s="140"/>
      <c r="TMA127" s="140"/>
      <c r="TMB127" s="140"/>
      <c r="TMC127" s="140"/>
      <c r="TMD127" s="140"/>
      <c r="TME127" s="140"/>
      <c r="TMF127" s="140"/>
      <c r="TMG127" s="140"/>
      <c r="TMH127" s="140"/>
      <c r="TMI127" s="140"/>
      <c r="TMJ127" s="140"/>
      <c r="TMK127" s="140"/>
      <c r="TML127" s="140"/>
      <c r="TMM127" s="140"/>
      <c r="TMN127" s="140"/>
      <c r="TMO127" s="140"/>
      <c r="TMP127" s="140"/>
      <c r="TMQ127" s="140"/>
      <c r="TMR127" s="140"/>
      <c r="TMS127" s="140"/>
      <c r="TMT127" s="140"/>
      <c r="TMU127" s="140"/>
      <c r="TMV127" s="140"/>
      <c r="TMW127" s="140"/>
      <c r="TMX127" s="140"/>
      <c r="TMY127" s="140"/>
      <c r="TMZ127" s="140"/>
      <c r="TNA127" s="140"/>
      <c r="TNB127" s="140"/>
      <c r="TNC127" s="140"/>
      <c r="TND127" s="140"/>
      <c r="TNE127" s="140"/>
      <c r="TNF127" s="140"/>
      <c r="TNG127" s="140"/>
      <c r="TNH127" s="140"/>
      <c r="TNI127" s="140"/>
      <c r="TNJ127" s="140"/>
      <c r="TNK127" s="140"/>
      <c r="TNL127" s="140"/>
      <c r="TNM127" s="140"/>
      <c r="TNN127" s="140"/>
      <c r="TNO127" s="140"/>
      <c r="TNP127" s="140"/>
      <c r="TNQ127" s="140"/>
      <c r="TNR127" s="140"/>
      <c r="TNS127" s="140"/>
      <c r="TNT127" s="140"/>
      <c r="TNU127" s="140"/>
      <c r="TNV127" s="140"/>
      <c r="TNW127" s="140"/>
      <c r="TNX127" s="140"/>
      <c r="TNY127" s="140"/>
      <c r="TNZ127" s="140"/>
      <c r="TOA127" s="140"/>
      <c r="TOB127" s="140"/>
      <c r="TOC127" s="140"/>
      <c r="TOD127" s="140"/>
      <c r="TOE127" s="140"/>
      <c r="TOF127" s="140"/>
      <c r="TOG127" s="140"/>
      <c r="TOH127" s="140"/>
      <c r="TOI127" s="140"/>
      <c r="TOJ127" s="140"/>
      <c r="TOK127" s="140"/>
      <c r="TOL127" s="140"/>
      <c r="TOM127" s="140"/>
      <c r="TON127" s="140"/>
      <c r="TOO127" s="140"/>
      <c r="TOP127" s="140"/>
      <c r="TOQ127" s="140"/>
      <c r="TOR127" s="140"/>
      <c r="TOS127" s="140"/>
      <c r="TOT127" s="140"/>
      <c r="TOU127" s="140"/>
      <c r="TOV127" s="140"/>
      <c r="TOW127" s="140"/>
      <c r="TOX127" s="140"/>
      <c r="TOY127" s="140"/>
      <c r="TOZ127" s="140"/>
      <c r="TPA127" s="140"/>
      <c r="TPB127" s="140"/>
      <c r="TPC127" s="140"/>
      <c r="TPD127" s="140"/>
      <c r="TPE127" s="140"/>
      <c r="TPF127" s="140"/>
      <c r="TPG127" s="140"/>
      <c r="TPH127" s="140"/>
      <c r="TPI127" s="140"/>
      <c r="TPJ127" s="140"/>
      <c r="TPK127" s="140"/>
      <c r="TPL127" s="140"/>
      <c r="TPM127" s="140"/>
      <c r="TPN127" s="140"/>
      <c r="TPO127" s="140"/>
      <c r="TPP127" s="140"/>
      <c r="TPQ127" s="140"/>
      <c r="TPR127" s="140"/>
      <c r="TPS127" s="140"/>
      <c r="TPT127" s="140"/>
      <c r="TPU127" s="140"/>
      <c r="TPV127" s="140"/>
      <c r="TPW127" s="140"/>
      <c r="TPX127" s="140"/>
      <c r="TPY127" s="140"/>
      <c r="TPZ127" s="140"/>
      <c r="TQA127" s="140"/>
      <c r="TQB127" s="140"/>
      <c r="TQC127" s="140"/>
      <c r="TQD127" s="140"/>
      <c r="TQE127" s="140"/>
      <c r="TQF127" s="140"/>
      <c r="TQG127" s="140"/>
      <c r="TQH127" s="140"/>
      <c r="TQI127" s="140"/>
      <c r="TQJ127" s="140"/>
      <c r="TQK127" s="140"/>
      <c r="TQL127" s="140"/>
      <c r="TQM127" s="140"/>
      <c r="TQN127" s="140"/>
      <c r="TQO127" s="140"/>
      <c r="TQP127" s="140"/>
      <c r="TQQ127" s="140"/>
      <c r="TQR127" s="140"/>
      <c r="TQS127" s="140"/>
      <c r="TQT127" s="140"/>
      <c r="TQU127" s="140"/>
      <c r="TQV127" s="140"/>
      <c r="TQW127" s="140"/>
      <c r="TQX127" s="140"/>
      <c r="TQY127" s="140"/>
      <c r="TQZ127" s="140"/>
      <c r="TRA127" s="140"/>
      <c r="TRB127" s="140"/>
      <c r="TRC127" s="140"/>
      <c r="TRD127" s="140"/>
      <c r="TRE127" s="140"/>
      <c r="TRF127" s="140"/>
      <c r="TRG127" s="140"/>
      <c r="TRH127" s="140"/>
      <c r="TRI127" s="140"/>
      <c r="TRJ127" s="140"/>
      <c r="TRK127" s="140"/>
      <c r="TRL127" s="140"/>
      <c r="TRM127" s="140"/>
      <c r="TRN127" s="140"/>
      <c r="TRO127" s="140"/>
      <c r="TRP127" s="140"/>
      <c r="TRQ127" s="140"/>
      <c r="TRR127" s="140"/>
      <c r="TRS127" s="140"/>
      <c r="TRT127" s="140"/>
      <c r="TRU127" s="140"/>
      <c r="TRV127" s="140"/>
      <c r="TRW127" s="140"/>
      <c r="TRX127" s="140"/>
      <c r="TRY127" s="140"/>
      <c r="TRZ127" s="140"/>
      <c r="TSA127" s="140"/>
      <c r="TSB127" s="140"/>
      <c r="TSC127" s="140"/>
      <c r="TSD127" s="140"/>
      <c r="TSE127" s="140"/>
      <c r="TSF127" s="140"/>
      <c r="TSG127" s="140"/>
      <c r="TSH127" s="140"/>
      <c r="TSI127" s="140"/>
      <c r="TSJ127" s="140"/>
      <c r="TSK127" s="140"/>
      <c r="TSL127" s="140"/>
      <c r="TSM127" s="140"/>
      <c r="TSN127" s="140"/>
      <c r="TSO127" s="140"/>
      <c r="TSP127" s="140"/>
      <c r="TSQ127" s="140"/>
      <c r="TSR127" s="140"/>
      <c r="TSS127" s="140"/>
      <c r="TST127" s="140"/>
      <c r="TSU127" s="140"/>
      <c r="TSV127" s="140"/>
      <c r="TSW127" s="140"/>
      <c r="TSX127" s="140"/>
      <c r="TSY127" s="140"/>
      <c r="TSZ127" s="140"/>
      <c r="TTA127" s="140"/>
      <c r="TTB127" s="140"/>
      <c r="TTC127" s="140"/>
      <c r="TTD127" s="140"/>
      <c r="TTE127" s="140"/>
      <c r="TTF127" s="140"/>
      <c r="TTG127" s="140"/>
      <c r="TTH127" s="140"/>
      <c r="TTI127" s="140"/>
      <c r="TTJ127" s="140"/>
      <c r="TTK127" s="140"/>
      <c r="TTL127" s="140"/>
      <c r="TTM127" s="140"/>
      <c r="TTN127" s="140"/>
      <c r="TTO127" s="140"/>
      <c r="TTP127" s="140"/>
      <c r="TTQ127" s="140"/>
      <c r="TTR127" s="140"/>
      <c r="TTS127" s="140"/>
      <c r="TTT127" s="140"/>
      <c r="TTU127" s="140"/>
      <c r="TTV127" s="140"/>
      <c r="TTW127" s="140"/>
      <c r="TTX127" s="140"/>
      <c r="TTY127" s="140"/>
      <c r="TTZ127" s="140"/>
      <c r="TUA127" s="140"/>
      <c r="TUB127" s="140"/>
      <c r="TUC127" s="140"/>
      <c r="TUD127" s="140"/>
      <c r="TUE127" s="140"/>
      <c r="TUF127" s="140"/>
      <c r="TUG127" s="140"/>
      <c r="TUH127" s="140"/>
      <c r="TUI127" s="140"/>
      <c r="TUJ127" s="140"/>
      <c r="TUK127" s="140"/>
      <c r="TUL127" s="140"/>
      <c r="TUM127" s="140"/>
      <c r="TUN127" s="140"/>
      <c r="TUO127" s="140"/>
      <c r="TUP127" s="140"/>
      <c r="TUQ127" s="140"/>
      <c r="TUR127" s="140"/>
      <c r="TUS127" s="140"/>
      <c r="TUT127" s="140"/>
      <c r="TUU127" s="140"/>
      <c r="TUV127" s="140"/>
      <c r="TUW127" s="140"/>
      <c r="TUX127" s="140"/>
      <c r="TUY127" s="140"/>
      <c r="TUZ127" s="140"/>
      <c r="TVA127" s="140"/>
      <c r="TVB127" s="140"/>
      <c r="TVC127" s="140"/>
      <c r="TVD127" s="140"/>
      <c r="TVE127" s="140"/>
      <c r="TVF127" s="140"/>
      <c r="TVG127" s="140"/>
      <c r="TVH127" s="140"/>
      <c r="TVI127" s="140"/>
      <c r="TVJ127" s="140"/>
      <c r="TVK127" s="140"/>
      <c r="TVL127" s="140"/>
      <c r="TVM127" s="140"/>
      <c r="TVN127" s="140"/>
      <c r="TVO127" s="140"/>
      <c r="TVP127" s="140"/>
      <c r="TVQ127" s="140"/>
      <c r="TVR127" s="140"/>
      <c r="TVS127" s="140"/>
      <c r="TVT127" s="140"/>
      <c r="TVU127" s="140"/>
      <c r="TVV127" s="140"/>
      <c r="TVW127" s="140"/>
      <c r="TVX127" s="140"/>
      <c r="TVY127" s="140"/>
      <c r="TVZ127" s="140"/>
      <c r="TWA127" s="140"/>
      <c r="TWB127" s="140"/>
      <c r="TWC127" s="140"/>
      <c r="TWD127" s="140"/>
      <c r="TWE127" s="140"/>
      <c r="TWF127" s="140"/>
      <c r="TWG127" s="140"/>
      <c r="TWH127" s="140"/>
      <c r="TWI127" s="140"/>
      <c r="TWJ127" s="140"/>
      <c r="TWK127" s="140"/>
      <c r="TWL127" s="140"/>
      <c r="TWM127" s="140"/>
      <c r="TWN127" s="140"/>
      <c r="TWO127" s="140"/>
      <c r="TWP127" s="140"/>
      <c r="TWQ127" s="140"/>
      <c r="TWR127" s="140"/>
      <c r="TWS127" s="140"/>
      <c r="TWT127" s="140"/>
      <c r="TWU127" s="140"/>
      <c r="TWV127" s="140"/>
      <c r="TWW127" s="140"/>
      <c r="TWX127" s="140"/>
      <c r="TWY127" s="140"/>
      <c r="TWZ127" s="140"/>
      <c r="TXA127" s="140"/>
      <c r="TXB127" s="140"/>
      <c r="TXC127" s="140"/>
      <c r="TXD127" s="140"/>
      <c r="TXE127" s="140"/>
      <c r="TXF127" s="140"/>
      <c r="TXG127" s="140"/>
      <c r="TXH127" s="140"/>
      <c r="TXI127" s="140"/>
      <c r="TXJ127" s="140"/>
      <c r="TXK127" s="140"/>
      <c r="TXL127" s="140"/>
      <c r="TXM127" s="140"/>
      <c r="TXN127" s="140"/>
      <c r="TXO127" s="140"/>
      <c r="TXP127" s="140"/>
      <c r="TXQ127" s="140"/>
      <c r="TXR127" s="140"/>
      <c r="TXS127" s="140"/>
      <c r="TXT127" s="140"/>
      <c r="TXU127" s="140"/>
      <c r="TXV127" s="140"/>
      <c r="TXW127" s="140"/>
      <c r="TXX127" s="140"/>
      <c r="TXY127" s="140"/>
      <c r="TXZ127" s="140"/>
      <c r="TYA127" s="140"/>
      <c r="TYB127" s="140"/>
      <c r="TYC127" s="140"/>
      <c r="TYD127" s="140"/>
      <c r="TYE127" s="140"/>
      <c r="TYF127" s="140"/>
      <c r="TYG127" s="140"/>
      <c r="TYH127" s="140"/>
      <c r="TYI127" s="140"/>
      <c r="TYJ127" s="140"/>
      <c r="TYK127" s="140"/>
      <c r="TYL127" s="140"/>
      <c r="TYM127" s="140"/>
      <c r="TYN127" s="140"/>
      <c r="TYO127" s="140"/>
      <c r="TYP127" s="140"/>
      <c r="TYQ127" s="140"/>
      <c r="TYR127" s="140"/>
      <c r="TYS127" s="140"/>
      <c r="TYT127" s="140"/>
      <c r="TYU127" s="140"/>
      <c r="TYV127" s="140"/>
      <c r="TYW127" s="140"/>
      <c r="TYX127" s="140"/>
      <c r="TYY127" s="140"/>
      <c r="TYZ127" s="140"/>
      <c r="TZA127" s="140"/>
      <c r="TZB127" s="140"/>
      <c r="TZC127" s="140"/>
      <c r="TZD127" s="140"/>
      <c r="TZE127" s="140"/>
      <c r="TZF127" s="140"/>
      <c r="TZG127" s="140"/>
      <c r="TZH127" s="140"/>
      <c r="TZI127" s="140"/>
      <c r="TZJ127" s="140"/>
      <c r="TZK127" s="140"/>
      <c r="TZL127" s="140"/>
      <c r="TZM127" s="140"/>
      <c r="TZN127" s="140"/>
      <c r="TZO127" s="140"/>
      <c r="TZP127" s="140"/>
      <c r="TZQ127" s="140"/>
      <c r="TZR127" s="140"/>
      <c r="TZS127" s="140"/>
      <c r="TZT127" s="140"/>
      <c r="TZU127" s="140"/>
      <c r="TZV127" s="140"/>
      <c r="TZW127" s="140"/>
      <c r="TZX127" s="140"/>
      <c r="TZY127" s="140"/>
      <c r="TZZ127" s="140"/>
      <c r="UAA127" s="140"/>
      <c r="UAB127" s="140"/>
      <c r="UAC127" s="140"/>
      <c r="UAD127" s="140"/>
      <c r="UAE127" s="140"/>
      <c r="UAF127" s="140"/>
      <c r="UAG127" s="140"/>
      <c r="UAH127" s="140"/>
      <c r="UAI127" s="140"/>
      <c r="UAJ127" s="140"/>
      <c r="UAK127" s="140"/>
      <c r="UAL127" s="140"/>
      <c r="UAM127" s="140"/>
      <c r="UAN127" s="140"/>
      <c r="UAO127" s="140"/>
      <c r="UAP127" s="140"/>
      <c r="UAQ127" s="140"/>
      <c r="UAR127" s="140"/>
      <c r="UAS127" s="140"/>
      <c r="UAT127" s="140"/>
      <c r="UAU127" s="140"/>
      <c r="UAV127" s="140"/>
      <c r="UAW127" s="140"/>
      <c r="UAX127" s="140"/>
      <c r="UAY127" s="140"/>
      <c r="UAZ127" s="140"/>
      <c r="UBA127" s="140"/>
      <c r="UBB127" s="140"/>
      <c r="UBC127" s="140"/>
      <c r="UBD127" s="140"/>
      <c r="UBE127" s="140"/>
      <c r="UBF127" s="140"/>
      <c r="UBG127" s="140"/>
      <c r="UBH127" s="140"/>
      <c r="UBI127" s="140"/>
      <c r="UBJ127" s="140"/>
      <c r="UBK127" s="140"/>
      <c r="UBL127" s="140"/>
      <c r="UBM127" s="140"/>
      <c r="UBN127" s="140"/>
      <c r="UBO127" s="140"/>
      <c r="UBP127" s="140"/>
      <c r="UBQ127" s="140"/>
      <c r="UBR127" s="140"/>
      <c r="UBS127" s="140"/>
      <c r="UBT127" s="140"/>
      <c r="UBU127" s="140"/>
      <c r="UBV127" s="140"/>
      <c r="UBW127" s="140"/>
      <c r="UBX127" s="140"/>
      <c r="UBY127" s="140"/>
      <c r="UBZ127" s="140"/>
      <c r="UCA127" s="140"/>
      <c r="UCB127" s="140"/>
      <c r="UCC127" s="140"/>
      <c r="UCD127" s="140"/>
      <c r="UCE127" s="140"/>
      <c r="UCF127" s="140"/>
      <c r="UCG127" s="140"/>
      <c r="UCH127" s="140"/>
      <c r="UCI127" s="140"/>
      <c r="UCJ127" s="140"/>
      <c r="UCK127" s="140"/>
      <c r="UCL127" s="140"/>
      <c r="UCM127" s="140"/>
      <c r="UCN127" s="140"/>
      <c r="UCO127" s="140"/>
      <c r="UCP127" s="140"/>
      <c r="UCQ127" s="140"/>
      <c r="UCR127" s="140"/>
      <c r="UCS127" s="140"/>
      <c r="UCT127" s="140"/>
      <c r="UCU127" s="140"/>
      <c r="UCV127" s="140"/>
      <c r="UCW127" s="140"/>
      <c r="UCX127" s="140"/>
      <c r="UCY127" s="140"/>
      <c r="UCZ127" s="140"/>
      <c r="UDA127" s="140"/>
      <c r="UDB127" s="140"/>
      <c r="UDC127" s="140"/>
      <c r="UDD127" s="140"/>
      <c r="UDE127" s="140"/>
      <c r="UDF127" s="140"/>
      <c r="UDG127" s="140"/>
      <c r="UDH127" s="140"/>
      <c r="UDI127" s="140"/>
      <c r="UDJ127" s="140"/>
      <c r="UDK127" s="140"/>
      <c r="UDL127" s="140"/>
      <c r="UDM127" s="140"/>
      <c r="UDN127" s="140"/>
      <c r="UDO127" s="140"/>
      <c r="UDP127" s="140"/>
      <c r="UDQ127" s="140"/>
      <c r="UDR127" s="140"/>
      <c r="UDS127" s="140"/>
      <c r="UDT127" s="140"/>
      <c r="UDU127" s="140"/>
      <c r="UDV127" s="140"/>
      <c r="UDW127" s="140"/>
      <c r="UDX127" s="140"/>
      <c r="UDY127" s="140"/>
      <c r="UDZ127" s="140"/>
      <c r="UEA127" s="140"/>
      <c r="UEB127" s="140"/>
      <c r="UEC127" s="140"/>
      <c r="UED127" s="140"/>
      <c r="UEE127" s="140"/>
      <c r="UEF127" s="140"/>
      <c r="UEG127" s="140"/>
      <c r="UEH127" s="140"/>
      <c r="UEI127" s="140"/>
      <c r="UEJ127" s="140"/>
      <c r="UEK127" s="140"/>
      <c r="UEL127" s="140"/>
      <c r="UEM127" s="140"/>
      <c r="UEN127" s="140"/>
      <c r="UEO127" s="140"/>
      <c r="UEP127" s="140"/>
      <c r="UEQ127" s="140"/>
      <c r="UER127" s="140"/>
      <c r="UES127" s="140"/>
      <c r="UET127" s="140"/>
      <c r="UEU127" s="140"/>
      <c r="UEV127" s="140"/>
      <c r="UEW127" s="140"/>
      <c r="UEX127" s="140"/>
      <c r="UEY127" s="140"/>
      <c r="UEZ127" s="140"/>
      <c r="UFA127" s="140"/>
      <c r="UFB127" s="140"/>
      <c r="UFC127" s="140"/>
      <c r="UFD127" s="140"/>
      <c r="UFE127" s="140"/>
      <c r="UFF127" s="140"/>
      <c r="UFG127" s="140"/>
      <c r="UFH127" s="140"/>
      <c r="UFI127" s="140"/>
      <c r="UFJ127" s="140"/>
      <c r="UFK127" s="140"/>
      <c r="UFL127" s="140"/>
      <c r="UFM127" s="140"/>
      <c r="UFN127" s="140"/>
      <c r="UFO127" s="140"/>
      <c r="UFP127" s="140"/>
      <c r="UFQ127" s="140"/>
      <c r="UFR127" s="140"/>
      <c r="UFS127" s="140"/>
      <c r="UFT127" s="140"/>
      <c r="UFU127" s="140"/>
      <c r="UFV127" s="140"/>
      <c r="UFW127" s="140"/>
      <c r="UFX127" s="140"/>
      <c r="UFY127" s="140"/>
      <c r="UFZ127" s="140"/>
      <c r="UGA127" s="140"/>
      <c r="UGB127" s="140"/>
      <c r="UGC127" s="140"/>
      <c r="UGD127" s="140"/>
      <c r="UGE127" s="140"/>
      <c r="UGF127" s="140"/>
      <c r="UGG127" s="140"/>
      <c r="UGH127" s="140"/>
      <c r="UGI127" s="140"/>
      <c r="UGJ127" s="140"/>
      <c r="UGK127" s="140"/>
      <c r="UGL127" s="140"/>
      <c r="UGM127" s="140"/>
      <c r="UGN127" s="140"/>
      <c r="UGO127" s="140"/>
      <c r="UGP127" s="140"/>
      <c r="UGQ127" s="140"/>
      <c r="UGR127" s="140"/>
      <c r="UGS127" s="140"/>
      <c r="UGT127" s="140"/>
      <c r="UGU127" s="140"/>
      <c r="UGV127" s="140"/>
      <c r="UGW127" s="140"/>
      <c r="UGX127" s="140"/>
      <c r="UGY127" s="140"/>
      <c r="UGZ127" s="140"/>
      <c r="UHA127" s="140"/>
      <c r="UHB127" s="140"/>
      <c r="UHC127" s="140"/>
      <c r="UHD127" s="140"/>
      <c r="UHE127" s="140"/>
      <c r="UHF127" s="140"/>
      <c r="UHG127" s="140"/>
      <c r="UHH127" s="140"/>
      <c r="UHI127" s="140"/>
      <c r="UHJ127" s="140"/>
      <c r="UHK127" s="140"/>
      <c r="UHL127" s="140"/>
      <c r="UHM127" s="140"/>
      <c r="UHN127" s="140"/>
      <c r="UHO127" s="140"/>
      <c r="UHP127" s="140"/>
      <c r="UHQ127" s="140"/>
      <c r="UHR127" s="140"/>
      <c r="UHS127" s="140"/>
      <c r="UHT127" s="140"/>
      <c r="UHU127" s="140"/>
      <c r="UHV127" s="140"/>
      <c r="UHW127" s="140"/>
      <c r="UHX127" s="140"/>
      <c r="UHY127" s="140"/>
      <c r="UHZ127" s="140"/>
      <c r="UIA127" s="140"/>
      <c r="UIB127" s="140"/>
      <c r="UIC127" s="140"/>
      <c r="UID127" s="140"/>
      <c r="UIE127" s="140"/>
      <c r="UIF127" s="140"/>
      <c r="UIG127" s="140"/>
      <c r="UIH127" s="140"/>
      <c r="UII127" s="140"/>
      <c r="UIJ127" s="140"/>
      <c r="UIK127" s="140"/>
      <c r="UIL127" s="140"/>
      <c r="UIM127" s="140"/>
      <c r="UIN127" s="140"/>
      <c r="UIO127" s="140"/>
      <c r="UIP127" s="140"/>
      <c r="UIQ127" s="140"/>
      <c r="UIR127" s="140"/>
      <c r="UIS127" s="140"/>
      <c r="UIT127" s="140"/>
      <c r="UIU127" s="140"/>
      <c r="UIV127" s="140"/>
      <c r="UIW127" s="140"/>
      <c r="UIX127" s="140"/>
      <c r="UIY127" s="140"/>
      <c r="UIZ127" s="140"/>
      <c r="UJA127" s="140"/>
      <c r="UJB127" s="140"/>
      <c r="UJC127" s="140"/>
      <c r="UJD127" s="140"/>
      <c r="UJE127" s="140"/>
      <c r="UJF127" s="140"/>
      <c r="UJG127" s="140"/>
      <c r="UJH127" s="140"/>
      <c r="UJI127" s="140"/>
      <c r="UJJ127" s="140"/>
      <c r="UJK127" s="140"/>
      <c r="UJL127" s="140"/>
      <c r="UJM127" s="140"/>
      <c r="UJN127" s="140"/>
      <c r="UJO127" s="140"/>
      <c r="UJP127" s="140"/>
      <c r="UJQ127" s="140"/>
      <c r="UJR127" s="140"/>
      <c r="UJS127" s="140"/>
      <c r="UJT127" s="140"/>
      <c r="UJU127" s="140"/>
      <c r="UJV127" s="140"/>
      <c r="UJW127" s="140"/>
      <c r="UJX127" s="140"/>
      <c r="UJY127" s="140"/>
      <c r="UJZ127" s="140"/>
      <c r="UKA127" s="140"/>
      <c r="UKB127" s="140"/>
      <c r="UKC127" s="140"/>
      <c r="UKD127" s="140"/>
      <c r="UKE127" s="140"/>
      <c r="UKF127" s="140"/>
      <c r="UKG127" s="140"/>
      <c r="UKH127" s="140"/>
      <c r="UKI127" s="140"/>
      <c r="UKJ127" s="140"/>
      <c r="UKK127" s="140"/>
      <c r="UKL127" s="140"/>
      <c r="UKM127" s="140"/>
      <c r="UKN127" s="140"/>
      <c r="UKO127" s="140"/>
      <c r="UKP127" s="140"/>
      <c r="UKQ127" s="140"/>
      <c r="UKR127" s="140"/>
      <c r="UKS127" s="140"/>
      <c r="UKT127" s="140"/>
      <c r="UKU127" s="140"/>
      <c r="UKV127" s="140"/>
      <c r="UKW127" s="140"/>
      <c r="UKX127" s="140"/>
      <c r="UKY127" s="140"/>
      <c r="UKZ127" s="140"/>
      <c r="ULA127" s="140"/>
      <c r="ULB127" s="140"/>
      <c r="ULC127" s="140"/>
      <c r="ULD127" s="140"/>
      <c r="ULE127" s="140"/>
      <c r="ULF127" s="140"/>
      <c r="ULG127" s="140"/>
      <c r="ULH127" s="140"/>
      <c r="ULI127" s="140"/>
      <c r="ULJ127" s="140"/>
      <c r="ULK127" s="140"/>
      <c r="ULL127" s="140"/>
      <c r="ULM127" s="140"/>
      <c r="ULN127" s="140"/>
      <c r="ULO127" s="140"/>
      <c r="ULP127" s="140"/>
      <c r="ULQ127" s="140"/>
      <c r="ULR127" s="140"/>
      <c r="ULS127" s="140"/>
      <c r="ULT127" s="140"/>
      <c r="ULU127" s="140"/>
      <c r="ULV127" s="140"/>
      <c r="ULW127" s="140"/>
      <c r="ULX127" s="140"/>
      <c r="ULY127" s="140"/>
      <c r="ULZ127" s="140"/>
      <c r="UMA127" s="140"/>
      <c r="UMB127" s="140"/>
      <c r="UMC127" s="140"/>
      <c r="UMD127" s="140"/>
      <c r="UME127" s="140"/>
      <c r="UMF127" s="140"/>
      <c r="UMG127" s="140"/>
      <c r="UMH127" s="140"/>
      <c r="UMI127" s="140"/>
      <c r="UMJ127" s="140"/>
      <c r="UMK127" s="140"/>
      <c r="UML127" s="140"/>
      <c r="UMM127" s="140"/>
      <c r="UMN127" s="140"/>
      <c r="UMO127" s="140"/>
      <c r="UMP127" s="140"/>
      <c r="UMQ127" s="140"/>
      <c r="UMR127" s="140"/>
      <c r="UMS127" s="140"/>
      <c r="UMT127" s="140"/>
      <c r="UMU127" s="140"/>
      <c r="UMV127" s="140"/>
      <c r="UMW127" s="140"/>
      <c r="UMX127" s="140"/>
      <c r="UMY127" s="140"/>
      <c r="UMZ127" s="140"/>
      <c r="UNA127" s="140"/>
      <c r="UNB127" s="140"/>
      <c r="UNC127" s="140"/>
      <c r="UND127" s="140"/>
      <c r="UNE127" s="140"/>
      <c r="UNF127" s="140"/>
      <c r="UNG127" s="140"/>
      <c r="UNH127" s="140"/>
      <c r="UNI127" s="140"/>
      <c r="UNJ127" s="140"/>
      <c r="UNK127" s="140"/>
      <c r="UNL127" s="140"/>
      <c r="UNM127" s="140"/>
      <c r="UNN127" s="140"/>
      <c r="UNO127" s="140"/>
      <c r="UNP127" s="140"/>
      <c r="UNQ127" s="140"/>
      <c r="UNR127" s="140"/>
      <c r="UNS127" s="140"/>
      <c r="UNT127" s="140"/>
      <c r="UNU127" s="140"/>
      <c r="UNV127" s="140"/>
      <c r="UNW127" s="140"/>
      <c r="UNX127" s="140"/>
      <c r="UNY127" s="140"/>
      <c r="UNZ127" s="140"/>
      <c r="UOA127" s="140"/>
      <c r="UOB127" s="140"/>
      <c r="UOC127" s="140"/>
      <c r="UOD127" s="140"/>
      <c r="UOE127" s="140"/>
      <c r="UOF127" s="140"/>
      <c r="UOG127" s="140"/>
      <c r="UOH127" s="140"/>
      <c r="UOI127" s="140"/>
      <c r="UOJ127" s="140"/>
      <c r="UOK127" s="140"/>
      <c r="UOL127" s="140"/>
      <c r="UOM127" s="140"/>
      <c r="UON127" s="140"/>
      <c r="UOO127" s="140"/>
      <c r="UOP127" s="140"/>
      <c r="UOQ127" s="140"/>
      <c r="UOR127" s="140"/>
      <c r="UOS127" s="140"/>
      <c r="UOT127" s="140"/>
      <c r="UOU127" s="140"/>
      <c r="UOV127" s="140"/>
      <c r="UOW127" s="140"/>
      <c r="UOX127" s="140"/>
      <c r="UOY127" s="140"/>
      <c r="UOZ127" s="140"/>
      <c r="UPA127" s="140"/>
      <c r="UPB127" s="140"/>
      <c r="UPC127" s="140"/>
      <c r="UPD127" s="140"/>
      <c r="UPE127" s="140"/>
      <c r="UPF127" s="140"/>
      <c r="UPG127" s="140"/>
      <c r="UPH127" s="140"/>
      <c r="UPI127" s="140"/>
      <c r="UPJ127" s="140"/>
      <c r="UPK127" s="140"/>
      <c r="UPL127" s="140"/>
      <c r="UPM127" s="140"/>
      <c r="UPN127" s="140"/>
      <c r="UPO127" s="140"/>
      <c r="UPP127" s="140"/>
      <c r="UPQ127" s="140"/>
      <c r="UPR127" s="140"/>
      <c r="UPS127" s="140"/>
      <c r="UPT127" s="140"/>
      <c r="UPU127" s="140"/>
      <c r="UPV127" s="140"/>
      <c r="UPW127" s="140"/>
      <c r="UPX127" s="140"/>
      <c r="UPY127" s="140"/>
      <c r="UPZ127" s="140"/>
      <c r="UQA127" s="140"/>
      <c r="UQB127" s="140"/>
      <c r="UQC127" s="140"/>
      <c r="UQD127" s="140"/>
      <c r="UQE127" s="140"/>
      <c r="UQF127" s="140"/>
      <c r="UQG127" s="140"/>
      <c r="UQH127" s="140"/>
      <c r="UQI127" s="140"/>
      <c r="UQJ127" s="140"/>
      <c r="UQK127" s="140"/>
      <c r="UQL127" s="140"/>
      <c r="UQM127" s="140"/>
      <c r="UQN127" s="140"/>
      <c r="UQO127" s="140"/>
      <c r="UQP127" s="140"/>
      <c r="UQQ127" s="140"/>
      <c r="UQR127" s="140"/>
      <c r="UQS127" s="140"/>
      <c r="UQT127" s="140"/>
      <c r="UQU127" s="140"/>
      <c r="UQV127" s="140"/>
      <c r="UQW127" s="140"/>
      <c r="UQX127" s="140"/>
      <c r="UQY127" s="140"/>
      <c r="UQZ127" s="140"/>
      <c r="URA127" s="140"/>
      <c r="URB127" s="140"/>
      <c r="URC127" s="140"/>
      <c r="URD127" s="140"/>
      <c r="URE127" s="140"/>
      <c r="URF127" s="140"/>
      <c r="URG127" s="140"/>
      <c r="URH127" s="140"/>
      <c r="URI127" s="140"/>
      <c r="URJ127" s="140"/>
      <c r="URK127" s="140"/>
      <c r="URL127" s="140"/>
      <c r="URM127" s="140"/>
      <c r="URN127" s="140"/>
      <c r="URO127" s="140"/>
      <c r="URP127" s="140"/>
      <c r="URQ127" s="140"/>
      <c r="URR127" s="140"/>
      <c r="URS127" s="140"/>
      <c r="URT127" s="140"/>
      <c r="URU127" s="140"/>
      <c r="URV127" s="140"/>
      <c r="URW127" s="140"/>
      <c r="URX127" s="140"/>
      <c r="URY127" s="140"/>
      <c r="URZ127" s="140"/>
      <c r="USA127" s="140"/>
      <c r="USB127" s="140"/>
      <c r="USC127" s="140"/>
      <c r="USD127" s="140"/>
      <c r="USE127" s="140"/>
      <c r="USF127" s="140"/>
      <c r="USG127" s="140"/>
      <c r="USH127" s="140"/>
      <c r="USI127" s="140"/>
      <c r="USJ127" s="140"/>
      <c r="USK127" s="140"/>
      <c r="USL127" s="140"/>
      <c r="USM127" s="140"/>
      <c r="USN127" s="140"/>
      <c r="USO127" s="140"/>
      <c r="USP127" s="140"/>
      <c r="USQ127" s="140"/>
      <c r="USR127" s="140"/>
      <c r="USS127" s="140"/>
      <c r="UST127" s="140"/>
      <c r="USU127" s="140"/>
      <c r="USV127" s="140"/>
      <c r="USW127" s="140"/>
      <c r="USX127" s="140"/>
      <c r="USY127" s="140"/>
      <c r="USZ127" s="140"/>
      <c r="UTA127" s="140"/>
      <c r="UTB127" s="140"/>
      <c r="UTC127" s="140"/>
      <c r="UTD127" s="140"/>
      <c r="UTE127" s="140"/>
      <c r="UTF127" s="140"/>
      <c r="UTG127" s="140"/>
      <c r="UTH127" s="140"/>
      <c r="UTI127" s="140"/>
      <c r="UTJ127" s="140"/>
      <c r="UTK127" s="140"/>
      <c r="UTL127" s="140"/>
      <c r="UTM127" s="140"/>
      <c r="UTN127" s="140"/>
      <c r="UTO127" s="140"/>
      <c r="UTP127" s="140"/>
      <c r="UTQ127" s="140"/>
      <c r="UTR127" s="140"/>
      <c r="UTS127" s="140"/>
      <c r="UTT127" s="140"/>
      <c r="UTU127" s="140"/>
      <c r="UTV127" s="140"/>
      <c r="UTW127" s="140"/>
      <c r="UTX127" s="140"/>
      <c r="UTY127" s="140"/>
      <c r="UTZ127" s="140"/>
      <c r="UUA127" s="140"/>
      <c r="UUB127" s="140"/>
      <c r="UUC127" s="140"/>
      <c r="UUD127" s="140"/>
      <c r="UUE127" s="140"/>
      <c r="UUF127" s="140"/>
      <c r="UUG127" s="140"/>
      <c r="UUH127" s="140"/>
      <c r="UUI127" s="140"/>
      <c r="UUJ127" s="140"/>
      <c r="UUK127" s="140"/>
      <c r="UUL127" s="140"/>
      <c r="UUM127" s="140"/>
      <c r="UUN127" s="140"/>
      <c r="UUO127" s="140"/>
      <c r="UUP127" s="140"/>
      <c r="UUQ127" s="140"/>
      <c r="UUR127" s="140"/>
      <c r="UUS127" s="140"/>
      <c r="UUT127" s="140"/>
      <c r="UUU127" s="140"/>
      <c r="UUV127" s="140"/>
      <c r="UUW127" s="140"/>
      <c r="UUX127" s="140"/>
      <c r="UUY127" s="140"/>
      <c r="UUZ127" s="140"/>
      <c r="UVA127" s="140"/>
      <c r="UVB127" s="140"/>
      <c r="UVC127" s="140"/>
      <c r="UVD127" s="140"/>
      <c r="UVE127" s="140"/>
      <c r="UVF127" s="140"/>
      <c r="UVG127" s="140"/>
      <c r="UVH127" s="140"/>
      <c r="UVI127" s="140"/>
      <c r="UVJ127" s="140"/>
      <c r="UVK127" s="140"/>
      <c r="UVL127" s="140"/>
      <c r="UVM127" s="140"/>
      <c r="UVN127" s="140"/>
      <c r="UVO127" s="140"/>
      <c r="UVP127" s="140"/>
      <c r="UVQ127" s="140"/>
      <c r="UVR127" s="140"/>
      <c r="UVS127" s="140"/>
      <c r="UVT127" s="140"/>
      <c r="UVU127" s="140"/>
      <c r="UVV127" s="140"/>
      <c r="UVW127" s="140"/>
      <c r="UVX127" s="140"/>
      <c r="UVY127" s="140"/>
      <c r="UVZ127" s="140"/>
      <c r="UWA127" s="140"/>
      <c r="UWB127" s="140"/>
      <c r="UWC127" s="140"/>
      <c r="UWD127" s="140"/>
      <c r="UWE127" s="140"/>
      <c r="UWF127" s="140"/>
      <c r="UWG127" s="140"/>
      <c r="UWH127" s="140"/>
      <c r="UWI127" s="140"/>
      <c r="UWJ127" s="140"/>
      <c r="UWK127" s="140"/>
      <c r="UWL127" s="140"/>
      <c r="UWM127" s="140"/>
      <c r="UWN127" s="140"/>
      <c r="UWO127" s="140"/>
      <c r="UWP127" s="140"/>
      <c r="UWQ127" s="140"/>
      <c r="UWR127" s="140"/>
      <c r="UWS127" s="140"/>
      <c r="UWT127" s="140"/>
      <c r="UWU127" s="140"/>
      <c r="UWV127" s="140"/>
      <c r="UWW127" s="140"/>
      <c r="UWX127" s="140"/>
      <c r="UWY127" s="140"/>
      <c r="UWZ127" s="140"/>
      <c r="UXA127" s="140"/>
      <c r="UXB127" s="140"/>
      <c r="UXC127" s="140"/>
      <c r="UXD127" s="140"/>
      <c r="UXE127" s="140"/>
      <c r="UXF127" s="140"/>
      <c r="UXG127" s="140"/>
      <c r="UXH127" s="140"/>
      <c r="UXI127" s="140"/>
      <c r="UXJ127" s="140"/>
      <c r="UXK127" s="140"/>
      <c r="UXL127" s="140"/>
      <c r="UXM127" s="140"/>
      <c r="UXN127" s="140"/>
      <c r="UXO127" s="140"/>
      <c r="UXP127" s="140"/>
      <c r="UXQ127" s="140"/>
      <c r="UXR127" s="140"/>
      <c r="UXS127" s="140"/>
      <c r="UXT127" s="140"/>
      <c r="UXU127" s="140"/>
      <c r="UXV127" s="140"/>
      <c r="UXW127" s="140"/>
      <c r="UXX127" s="140"/>
      <c r="UXY127" s="140"/>
      <c r="UXZ127" s="140"/>
      <c r="UYA127" s="140"/>
      <c r="UYB127" s="140"/>
      <c r="UYC127" s="140"/>
      <c r="UYD127" s="140"/>
      <c r="UYE127" s="140"/>
      <c r="UYF127" s="140"/>
      <c r="UYG127" s="140"/>
      <c r="UYH127" s="140"/>
      <c r="UYI127" s="140"/>
      <c r="UYJ127" s="140"/>
      <c r="UYK127" s="140"/>
      <c r="UYL127" s="140"/>
      <c r="UYM127" s="140"/>
      <c r="UYN127" s="140"/>
      <c r="UYO127" s="140"/>
      <c r="UYP127" s="140"/>
      <c r="UYQ127" s="140"/>
      <c r="UYR127" s="140"/>
      <c r="UYS127" s="140"/>
      <c r="UYT127" s="140"/>
      <c r="UYU127" s="140"/>
      <c r="UYV127" s="140"/>
      <c r="UYW127" s="140"/>
      <c r="UYX127" s="140"/>
      <c r="UYY127" s="140"/>
      <c r="UYZ127" s="140"/>
      <c r="UZA127" s="140"/>
      <c r="UZB127" s="140"/>
      <c r="UZC127" s="140"/>
      <c r="UZD127" s="140"/>
      <c r="UZE127" s="140"/>
      <c r="UZF127" s="140"/>
      <c r="UZG127" s="140"/>
      <c r="UZH127" s="140"/>
      <c r="UZI127" s="140"/>
      <c r="UZJ127" s="140"/>
      <c r="UZK127" s="140"/>
      <c r="UZL127" s="140"/>
      <c r="UZM127" s="140"/>
      <c r="UZN127" s="140"/>
      <c r="UZO127" s="140"/>
      <c r="UZP127" s="140"/>
      <c r="UZQ127" s="140"/>
      <c r="UZR127" s="140"/>
      <c r="UZS127" s="140"/>
      <c r="UZT127" s="140"/>
      <c r="UZU127" s="140"/>
      <c r="UZV127" s="140"/>
      <c r="UZW127" s="140"/>
      <c r="UZX127" s="140"/>
      <c r="UZY127" s="140"/>
      <c r="UZZ127" s="140"/>
      <c r="VAA127" s="140"/>
      <c r="VAB127" s="140"/>
      <c r="VAC127" s="140"/>
      <c r="VAD127" s="140"/>
      <c r="VAE127" s="140"/>
      <c r="VAF127" s="140"/>
      <c r="VAG127" s="140"/>
      <c r="VAH127" s="140"/>
      <c r="VAI127" s="140"/>
      <c r="VAJ127" s="140"/>
      <c r="VAK127" s="140"/>
      <c r="VAL127" s="140"/>
      <c r="VAM127" s="140"/>
      <c r="VAN127" s="140"/>
      <c r="VAO127" s="140"/>
      <c r="VAP127" s="140"/>
      <c r="VAQ127" s="140"/>
      <c r="VAR127" s="140"/>
      <c r="VAS127" s="140"/>
      <c r="VAT127" s="140"/>
      <c r="VAU127" s="140"/>
      <c r="VAV127" s="140"/>
      <c r="VAW127" s="140"/>
      <c r="VAX127" s="140"/>
      <c r="VAY127" s="140"/>
      <c r="VAZ127" s="140"/>
      <c r="VBA127" s="140"/>
      <c r="VBB127" s="140"/>
      <c r="VBC127" s="140"/>
      <c r="VBD127" s="140"/>
      <c r="VBE127" s="140"/>
      <c r="VBF127" s="140"/>
      <c r="VBG127" s="140"/>
      <c r="VBH127" s="140"/>
      <c r="VBI127" s="140"/>
      <c r="VBJ127" s="140"/>
      <c r="VBK127" s="140"/>
      <c r="VBL127" s="140"/>
      <c r="VBM127" s="140"/>
      <c r="VBN127" s="140"/>
      <c r="VBO127" s="140"/>
      <c r="VBP127" s="140"/>
      <c r="VBQ127" s="140"/>
      <c r="VBR127" s="140"/>
      <c r="VBS127" s="140"/>
      <c r="VBT127" s="140"/>
      <c r="VBU127" s="140"/>
      <c r="VBV127" s="140"/>
      <c r="VBW127" s="140"/>
      <c r="VBX127" s="140"/>
      <c r="VBY127" s="140"/>
      <c r="VBZ127" s="140"/>
      <c r="VCA127" s="140"/>
      <c r="VCB127" s="140"/>
      <c r="VCC127" s="140"/>
      <c r="VCD127" s="140"/>
      <c r="VCE127" s="140"/>
      <c r="VCF127" s="140"/>
      <c r="VCG127" s="140"/>
      <c r="VCH127" s="140"/>
      <c r="VCI127" s="140"/>
      <c r="VCJ127" s="140"/>
      <c r="VCK127" s="140"/>
      <c r="VCL127" s="140"/>
      <c r="VCM127" s="140"/>
      <c r="VCN127" s="140"/>
      <c r="VCO127" s="140"/>
      <c r="VCP127" s="140"/>
      <c r="VCQ127" s="140"/>
      <c r="VCR127" s="140"/>
      <c r="VCS127" s="140"/>
      <c r="VCT127" s="140"/>
      <c r="VCU127" s="140"/>
      <c r="VCV127" s="140"/>
      <c r="VCW127" s="140"/>
      <c r="VCX127" s="140"/>
      <c r="VCY127" s="140"/>
      <c r="VCZ127" s="140"/>
      <c r="VDA127" s="140"/>
      <c r="VDB127" s="140"/>
      <c r="VDC127" s="140"/>
      <c r="VDD127" s="140"/>
      <c r="VDE127" s="140"/>
      <c r="VDF127" s="140"/>
      <c r="VDG127" s="140"/>
      <c r="VDH127" s="140"/>
      <c r="VDI127" s="140"/>
      <c r="VDJ127" s="140"/>
      <c r="VDK127" s="140"/>
      <c r="VDL127" s="140"/>
      <c r="VDM127" s="140"/>
      <c r="VDN127" s="140"/>
      <c r="VDO127" s="140"/>
      <c r="VDP127" s="140"/>
      <c r="VDQ127" s="140"/>
      <c r="VDR127" s="140"/>
      <c r="VDS127" s="140"/>
      <c r="VDT127" s="140"/>
      <c r="VDU127" s="140"/>
      <c r="VDV127" s="140"/>
      <c r="VDW127" s="140"/>
      <c r="VDX127" s="140"/>
      <c r="VDY127" s="140"/>
      <c r="VDZ127" s="140"/>
      <c r="VEA127" s="140"/>
      <c r="VEB127" s="140"/>
      <c r="VEC127" s="140"/>
      <c r="VED127" s="140"/>
      <c r="VEE127" s="140"/>
      <c r="VEF127" s="140"/>
      <c r="VEG127" s="140"/>
      <c r="VEH127" s="140"/>
      <c r="VEI127" s="140"/>
      <c r="VEJ127" s="140"/>
      <c r="VEK127" s="140"/>
      <c r="VEL127" s="140"/>
      <c r="VEM127" s="140"/>
      <c r="VEN127" s="140"/>
      <c r="VEO127" s="140"/>
      <c r="VEP127" s="140"/>
      <c r="VEQ127" s="140"/>
      <c r="VER127" s="140"/>
      <c r="VES127" s="140"/>
      <c r="VET127" s="140"/>
      <c r="VEU127" s="140"/>
      <c r="VEV127" s="140"/>
      <c r="VEW127" s="140"/>
      <c r="VEX127" s="140"/>
      <c r="VEY127" s="140"/>
      <c r="VEZ127" s="140"/>
      <c r="VFA127" s="140"/>
      <c r="VFB127" s="140"/>
      <c r="VFC127" s="140"/>
      <c r="VFD127" s="140"/>
      <c r="VFE127" s="140"/>
      <c r="VFF127" s="140"/>
      <c r="VFG127" s="140"/>
      <c r="VFH127" s="140"/>
      <c r="VFI127" s="140"/>
      <c r="VFJ127" s="140"/>
      <c r="VFK127" s="140"/>
      <c r="VFL127" s="140"/>
      <c r="VFM127" s="140"/>
      <c r="VFN127" s="140"/>
      <c r="VFO127" s="140"/>
      <c r="VFP127" s="140"/>
      <c r="VFQ127" s="140"/>
      <c r="VFR127" s="140"/>
      <c r="VFS127" s="140"/>
      <c r="VFT127" s="140"/>
      <c r="VFU127" s="140"/>
      <c r="VFV127" s="140"/>
      <c r="VFW127" s="140"/>
      <c r="VFX127" s="140"/>
      <c r="VFY127" s="140"/>
      <c r="VFZ127" s="140"/>
      <c r="VGA127" s="140"/>
      <c r="VGB127" s="140"/>
      <c r="VGC127" s="140"/>
      <c r="VGD127" s="140"/>
      <c r="VGE127" s="140"/>
      <c r="VGF127" s="140"/>
      <c r="VGG127" s="140"/>
      <c r="VGH127" s="140"/>
      <c r="VGI127" s="140"/>
      <c r="VGJ127" s="140"/>
      <c r="VGK127" s="140"/>
      <c r="VGL127" s="140"/>
      <c r="VGM127" s="140"/>
      <c r="VGN127" s="140"/>
      <c r="VGO127" s="140"/>
      <c r="VGP127" s="140"/>
      <c r="VGQ127" s="140"/>
      <c r="VGR127" s="140"/>
      <c r="VGS127" s="140"/>
      <c r="VGT127" s="140"/>
      <c r="VGU127" s="140"/>
      <c r="VGV127" s="140"/>
      <c r="VGW127" s="140"/>
      <c r="VGX127" s="140"/>
      <c r="VGY127" s="140"/>
      <c r="VGZ127" s="140"/>
      <c r="VHA127" s="140"/>
      <c r="VHB127" s="140"/>
      <c r="VHC127" s="140"/>
      <c r="VHD127" s="140"/>
      <c r="VHE127" s="140"/>
      <c r="VHF127" s="140"/>
      <c r="VHG127" s="140"/>
      <c r="VHH127" s="140"/>
      <c r="VHI127" s="140"/>
      <c r="VHJ127" s="140"/>
      <c r="VHK127" s="140"/>
      <c r="VHL127" s="140"/>
      <c r="VHM127" s="140"/>
      <c r="VHN127" s="140"/>
      <c r="VHO127" s="140"/>
      <c r="VHP127" s="140"/>
      <c r="VHQ127" s="140"/>
      <c r="VHR127" s="140"/>
      <c r="VHS127" s="140"/>
      <c r="VHT127" s="140"/>
      <c r="VHU127" s="140"/>
      <c r="VHV127" s="140"/>
      <c r="VHW127" s="140"/>
      <c r="VHX127" s="140"/>
      <c r="VHY127" s="140"/>
      <c r="VHZ127" s="140"/>
      <c r="VIA127" s="140"/>
      <c r="VIB127" s="140"/>
      <c r="VIC127" s="140"/>
      <c r="VID127" s="140"/>
      <c r="VIE127" s="140"/>
      <c r="VIF127" s="140"/>
      <c r="VIG127" s="140"/>
      <c r="VIH127" s="140"/>
      <c r="VII127" s="140"/>
      <c r="VIJ127" s="140"/>
      <c r="VIK127" s="140"/>
      <c r="VIL127" s="140"/>
      <c r="VIM127" s="140"/>
      <c r="VIN127" s="140"/>
      <c r="VIO127" s="140"/>
      <c r="VIP127" s="140"/>
      <c r="VIQ127" s="140"/>
      <c r="VIR127" s="140"/>
      <c r="VIS127" s="140"/>
      <c r="VIT127" s="140"/>
      <c r="VIU127" s="140"/>
      <c r="VIV127" s="140"/>
      <c r="VIW127" s="140"/>
      <c r="VIX127" s="140"/>
      <c r="VIY127" s="140"/>
      <c r="VIZ127" s="140"/>
      <c r="VJA127" s="140"/>
      <c r="VJB127" s="140"/>
      <c r="VJC127" s="140"/>
      <c r="VJD127" s="140"/>
      <c r="VJE127" s="140"/>
      <c r="VJF127" s="140"/>
      <c r="VJG127" s="140"/>
      <c r="VJH127" s="140"/>
      <c r="VJI127" s="140"/>
      <c r="VJJ127" s="140"/>
      <c r="VJK127" s="140"/>
      <c r="VJL127" s="140"/>
      <c r="VJM127" s="140"/>
      <c r="VJN127" s="140"/>
      <c r="VJO127" s="140"/>
      <c r="VJP127" s="140"/>
      <c r="VJQ127" s="140"/>
      <c r="VJR127" s="140"/>
      <c r="VJS127" s="140"/>
      <c r="VJT127" s="140"/>
      <c r="VJU127" s="140"/>
      <c r="VJV127" s="140"/>
      <c r="VJW127" s="140"/>
      <c r="VJX127" s="140"/>
      <c r="VJY127" s="140"/>
      <c r="VJZ127" s="140"/>
      <c r="VKA127" s="140"/>
      <c r="VKB127" s="140"/>
      <c r="VKC127" s="140"/>
      <c r="VKD127" s="140"/>
      <c r="VKE127" s="140"/>
      <c r="VKF127" s="140"/>
      <c r="VKG127" s="140"/>
      <c r="VKH127" s="140"/>
      <c r="VKI127" s="140"/>
      <c r="VKJ127" s="140"/>
      <c r="VKK127" s="140"/>
      <c r="VKL127" s="140"/>
      <c r="VKM127" s="140"/>
      <c r="VKN127" s="140"/>
      <c r="VKO127" s="140"/>
      <c r="VKP127" s="140"/>
      <c r="VKQ127" s="140"/>
      <c r="VKR127" s="140"/>
      <c r="VKS127" s="140"/>
      <c r="VKT127" s="140"/>
      <c r="VKU127" s="140"/>
      <c r="VKV127" s="140"/>
      <c r="VKW127" s="140"/>
      <c r="VKX127" s="140"/>
      <c r="VKY127" s="140"/>
      <c r="VKZ127" s="140"/>
      <c r="VLA127" s="140"/>
      <c r="VLB127" s="140"/>
      <c r="VLC127" s="140"/>
      <c r="VLD127" s="140"/>
      <c r="VLE127" s="140"/>
      <c r="VLF127" s="140"/>
      <c r="VLG127" s="140"/>
      <c r="VLH127" s="140"/>
      <c r="VLI127" s="140"/>
      <c r="VLJ127" s="140"/>
      <c r="VLK127" s="140"/>
      <c r="VLL127" s="140"/>
      <c r="VLM127" s="140"/>
      <c r="VLN127" s="140"/>
      <c r="VLO127" s="140"/>
      <c r="VLP127" s="140"/>
      <c r="VLQ127" s="140"/>
      <c r="VLR127" s="140"/>
      <c r="VLS127" s="140"/>
      <c r="VLT127" s="140"/>
      <c r="VLU127" s="140"/>
      <c r="VLV127" s="140"/>
      <c r="VLW127" s="140"/>
      <c r="VLX127" s="140"/>
      <c r="VLY127" s="140"/>
      <c r="VLZ127" s="140"/>
      <c r="VMA127" s="140"/>
      <c r="VMB127" s="140"/>
      <c r="VMC127" s="140"/>
      <c r="VMD127" s="140"/>
      <c r="VME127" s="140"/>
      <c r="VMF127" s="140"/>
      <c r="VMG127" s="140"/>
      <c r="VMH127" s="140"/>
      <c r="VMI127" s="140"/>
      <c r="VMJ127" s="140"/>
      <c r="VMK127" s="140"/>
      <c r="VML127" s="140"/>
      <c r="VMM127" s="140"/>
      <c r="VMN127" s="140"/>
      <c r="VMO127" s="140"/>
      <c r="VMP127" s="140"/>
      <c r="VMQ127" s="140"/>
      <c r="VMR127" s="140"/>
      <c r="VMS127" s="140"/>
      <c r="VMT127" s="140"/>
      <c r="VMU127" s="140"/>
      <c r="VMV127" s="140"/>
      <c r="VMW127" s="140"/>
      <c r="VMX127" s="140"/>
      <c r="VMY127" s="140"/>
      <c r="VMZ127" s="140"/>
      <c r="VNA127" s="140"/>
      <c r="VNB127" s="140"/>
      <c r="VNC127" s="140"/>
      <c r="VND127" s="140"/>
      <c r="VNE127" s="140"/>
      <c r="VNF127" s="140"/>
      <c r="VNG127" s="140"/>
      <c r="VNH127" s="140"/>
      <c r="VNI127" s="140"/>
      <c r="VNJ127" s="140"/>
      <c r="VNK127" s="140"/>
      <c r="VNL127" s="140"/>
      <c r="VNM127" s="140"/>
      <c r="VNN127" s="140"/>
      <c r="VNO127" s="140"/>
      <c r="VNP127" s="140"/>
      <c r="VNQ127" s="140"/>
      <c r="VNR127" s="140"/>
      <c r="VNS127" s="140"/>
      <c r="VNT127" s="140"/>
      <c r="VNU127" s="140"/>
      <c r="VNV127" s="140"/>
      <c r="VNW127" s="140"/>
      <c r="VNX127" s="140"/>
      <c r="VNY127" s="140"/>
      <c r="VNZ127" s="140"/>
      <c r="VOA127" s="140"/>
      <c r="VOB127" s="140"/>
      <c r="VOC127" s="140"/>
      <c r="VOD127" s="140"/>
      <c r="VOE127" s="140"/>
      <c r="VOF127" s="140"/>
      <c r="VOG127" s="140"/>
      <c r="VOH127" s="140"/>
      <c r="VOI127" s="140"/>
      <c r="VOJ127" s="140"/>
      <c r="VOK127" s="140"/>
      <c r="VOL127" s="140"/>
      <c r="VOM127" s="140"/>
      <c r="VON127" s="140"/>
      <c r="VOO127" s="140"/>
      <c r="VOP127" s="140"/>
      <c r="VOQ127" s="140"/>
      <c r="VOR127" s="140"/>
      <c r="VOS127" s="140"/>
      <c r="VOT127" s="140"/>
      <c r="VOU127" s="140"/>
      <c r="VOV127" s="140"/>
      <c r="VOW127" s="140"/>
      <c r="VOX127" s="140"/>
      <c r="VOY127" s="140"/>
      <c r="VOZ127" s="140"/>
      <c r="VPA127" s="140"/>
      <c r="VPB127" s="140"/>
      <c r="VPC127" s="140"/>
      <c r="VPD127" s="140"/>
      <c r="VPE127" s="140"/>
      <c r="VPF127" s="140"/>
      <c r="VPG127" s="140"/>
      <c r="VPH127" s="140"/>
      <c r="VPI127" s="140"/>
      <c r="VPJ127" s="140"/>
      <c r="VPK127" s="140"/>
      <c r="VPL127" s="140"/>
      <c r="VPM127" s="140"/>
      <c r="VPN127" s="140"/>
      <c r="VPO127" s="140"/>
      <c r="VPP127" s="140"/>
      <c r="VPQ127" s="140"/>
      <c r="VPR127" s="140"/>
      <c r="VPS127" s="140"/>
      <c r="VPT127" s="140"/>
      <c r="VPU127" s="140"/>
      <c r="VPV127" s="140"/>
      <c r="VPW127" s="140"/>
      <c r="VPX127" s="140"/>
      <c r="VPY127" s="140"/>
      <c r="VPZ127" s="140"/>
      <c r="VQA127" s="140"/>
      <c r="VQB127" s="140"/>
      <c r="VQC127" s="140"/>
      <c r="VQD127" s="140"/>
      <c r="VQE127" s="140"/>
      <c r="VQF127" s="140"/>
      <c r="VQG127" s="140"/>
      <c r="VQH127" s="140"/>
      <c r="VQI127" s="140"/>
      <c r="VQJ127" s="140"/>
      <c r="VQK127" s="140"/>
      <c r="VQL127" s="140"/>
      <c r="VQM127" s="140"/>
      <c r="VQN127" s="140"/>
      <c r="VQO127" s="140"/>
      <c r="VQP127" s="140"/>
      <c r="VQQ127" s="140"/>
      <c r="VQR127" s="140"/>
      <c r="VQS127" s="140"/>
      <c r="VQT127" s="140"/>
      <c r="VQU127" s="140"/>
      <c r="VQV127" s="140"/>
      <c r="VQW127" s="140"/>
      <c r="VQX127" s="140"/>
      <c r="VQY127" s="140"/>
      <c r="VQZ127" s="140"/>
      <c r="VRA127" s="140"/>
      <c r="VRB127" s="140"/>
      <c r="VRC127" s="140"/>
      <c r="VRD127" s="140"/>
      <c r="VRE127" s="140"/>
      <c r="VRF127" s="140"/>
      <c r="VRG127" s="140"/>
      <c r="VRH127" s="140"/>
      <c r="VRI127" s="140"/>
      <c r="VRJ127" s="140"/>
      <c r="VRK127" s="140"/>
      <c r="VRL127" s="140"/>
      <c r="VRM127" s="140"/>
      <c r="VRN127" s="140"/>
      <c r="VRO127" s="140"/>
      <c r="VRP127" s="140"/>
      <c r="VRQ127" s="140"/>
      <c r="VRR127" s="140"/>
      <c r="VRS127" s="140"/>
      <c r="VRT127" s="140"/>
      <c r="VRU127" s="140"/>
      <c r="VRV127" s="140"/>
      <c r="VRW127" s="140"/>
      <c r="VRX127" s="140"/>
      <c r="VRY127" s="140"/>
      <c r="VRZ127" s="140"/>
      <c r="VSA127" s="140"/>
      <c r="VSB127" s="140"/>
      <c r="VSC127" s="140"/>
      <c r="VSD127" s="140"/>
      <c r="VSE127" s="140"/>
      <c r="VSF127" s="140"/>
      <c r="VSG127" s="140"/>
      <c r="VSH127" s="140"/>
      <c r="VSI127" s="140"/>
      <c r="VSJ127" s="140"/>
      <c r="VSK127" s="140"/>
      <c r="VSL127" s="140"/>
      <c r="VSM127" s="140"/>
      <c r="VSN127" s="140"/>
      <c r="VSO127" s="140"/>
      <c r="VSP127" s="140"/>
      <c r="VSQ127" s="140"/>
      <c r="VSR127" s="140"/>
      <c r="VSS127" s="140"/>
      <c r="VST127" s="140"/>
      <c r="VSU127" s="140"/>
      <c r="VSV127" s="140"/>
      <c r="VSW127" s="140"/>
      <c r="VSX127" s="140"/>
      <c r="VSY127" s="140"/>
      <c r="VSZ127" s="140"/>
      <c r="VTA127" s="140"/>
      <c r="VTB127" s="140"/>
      <c r="VTC127" s="140"/>
      <c r="VTD127" s="140"/>
      <c r="VTE127" s="140"/>
      <c r="VTF127" s="140"/>
      <c r="VTG127" s="140"/>
      <c r="VTH127" s="140"/>
      <c r="VTI127" s="140"/>
      <c r="VTJ127" s="140"/>
      <c r="VTK127" s="140"/>
      <c r="VTL127" s="140"/>
      <c r="VTM127" s="140"/>
      <c r="VTN127" s="140"/>
      <c r="VTO127" s="140"/>
      <c r="VTP127" s="140"/>
      <c r="VTQ127" s="140"/>
      <c r="VTR127" s="140"/>
      <c r="VTS127" s="140"/>
      <c r="VTT127" s="140"/>
      <c r="VTU127" s="140"/>
      <c r="VTV127" s="140"/>
      <c r="VTW127" s="140"/>
      <c r="VTX127" s="140"/>
      <c r="VTY127" s="140"/>
      <c r="VTZ127" s="140"/>
      <c r="VUA127" s="140"/>
      <c r="VUB127" s="140"/>
      <c r="VUC127" s="140"/>
      <c r="VUD127" s="140"/>
      <c r="VUE127" s="140"/>
      <c r="VUF127" s="140"/>
      <c r="VUG127" s="140"/>
      <c r="VUH127" s="140"/>
      <c r="VUI127" s="140"/>
      <c r="VUJ127" s="140"/>
      <c r="VUK127" s="140"/>
      <c r="VUL127" s="140"/>
      <c r="VUM127" s="140"/>
      <c r="VUN127" s="140"/>
      <c r="VUO127" s="140"/>
      <c r="VUP127" s="140"/>
      <c r="VUQ127" s="140"/>
      <c r="VUR127" s="140"/>
      <c r="VUS127" s="140"/>
      <c r="VUT127" s="140"/>
      <c r="VUU127" s="140"/>
      <c r="VUV127" s="140"/>
      <c r="VUW127" s="140"/>
      <c r="VUX127" s="140"/>
      <c r="VUY127" s="140"/>
      <c r="VUZ127" s="140"/>
      <c r="VVA127" s="140"/>
      <c r="VVB127" s="140"/>
      <c r="VVC127" s="140"/>
      <c r="VVD127" s="140"/>
      <c r="VVE127" s="140"/>
      <c r="VVF127" s="140"/>
      <c r="VVG127" s="140"/>
      <c r="VVH127" s="140"/>
      <c r="VVI127" s="140"/>
      <c r="VVJ127" s="140"/>
      <c r="VVK127" s="140"/>
      <c r="VVL127" s="140"/>
      <c r="VVM127" s="140"/>
      <c r="VVN127" s="140"/>
      <c r="VVO127" s="140"/>
      <c r="VVP127" s="140"/>
      <c r="VVQ127" s="140"/>
      <c r="VVR127" s="140"/>
      <c r="VVS127" s="140"/>
      <c r="VVT127" s="140"/>
      <c r="VVU127" s="140"/>
      <c r="VVV127" s="140"/>
      <c r="VVW127" s="140"/>
      <c r="VVX127" s="140"/>
      <c r="VVY127" s="140"/>
      <c r="VVZ127" s="140"/>
      <c r="VWA127" s="140"/>
      <c r="VWB127" s="140"/>
      <c r="VWC127" s="140"/>
      <c r="VWD127" s="140"/>
      <c r="VWE127" s="140"/>
      <c r="VWF127" s="140"/>
      <c r="VWG127" s="140"/>
      <c r="VWH127" s="140"/>
      <c r="VWI127" s="140"/>
      <c r="VWJ127" s="140"/>
      <c r="VWK127" s="140"/>
      <c r="VWL127" s="140"/>
      <c r="VWM127" s="140"/>
      <c r="VWN127" s="140"/>
      <c r="VWO127" s="140"/>
      <c r="VWP127" s="140"/>
      <c r="VWQ127" s="140"/>
      <c r="VWR127" s="140"/>
      <c r="VWS127" s="140"/>
      <c r="VWT127" s="140"/>
      <c r="VWU127" s="140"/>
      <c r="VWV127" s="140"/>
      <c r="VWW127" s="140"/>
      <c r="VWX127" s="140"/>
      <c r="VWY127" s="140"/>
      <c r="VWZ127" s="140"/>
      <c r="VXA127" s="140"/>
      <c r="VXB127" s="140"/>
      <c r="VXC127" s="140"/>
      <c r="VXD127" s="140"/>
      <c r="VXE127" s="140"/>
      <c r="VXF127" s="140"/>
      <c r="VXG127" s="140"/>
      <c r="VXH127" s="140"/>
      <c r="VXI127" s="140"/>
      <c r="VXJ127" s="140"/>
      <c r="VXK127" s="140"/>
      <c r="VXL127" s="140"/>
      <c r="VXM127" s="140"/>
      <c r="VXN127" s="140"/>
      <c r="VXO127" s="140"/>
      <c r="VXP127" s="140"/>
      <c r="VXQ127" s="140"/>
      <c r="VXR127" s="140"/>
      <c r="VXS127" s="140"/>
      <c r="VXT127" s="140"/>
      <c r="VXU127" s="140"/>
      <c r="VXV127" s="140"/>
      <c r="VXW127" s="140"/>
      <c r="VXX127" s="140"/>
      <c r="VXY127" s="140"/>
      <c r="VXZ127" s="140"/>
      <c r="VYA127" s="140"/>
      <c r="VYB127" s="140"/>
      <c r="VYC127" s="140"/>
      <c r="VYD127" s="140"/>
      <c r="VYE127" s="140"/>
      <c r="VYF127" s="140"/>
      <c r="VYG127" s="140"/>
      <c r="VYH127" s="140"/>
      <c r="VYI127" s="140"/>
      <c r="VYJ127" s="140"/>
      <c r="VYK127" s="140"/>
      <c r="VYL127" s="140"/>
      <c r="VYM127" s="140"/>
      <c r="VYN127" s="140"/>
      <c r="VYO127" s="140"/>
      <c r="VYP127" s="140"/>
      <c r="VYQ127" s="140"/>
      <c r="VYR127" s="140"/>
      <c r="VYS127" s="140"/>
      <c r="VYT127" s="140"/>
      <c r="VYU127" s="140"/>
      <c r="VYV127" s="140"/>
      <c r="VYW127" s="140"/>
      <c r="VYX127" s="140"/>
      <c r="VYY127" s="140"/>
      <c r="VYZ127" s="140"/>
      <c r="VZA127" s="140"/>
      <c r="VZB127" s="140"/>
      <c r="VZC127" s="140"/>
      <c r="VZD127" s="140"/>
      <c r="VZE127" s="140"/>
      <c r="VZF127" s="140"/>
      <c r="VZG127" s="140"/>
      <c r="VZH127" s="140"/>
      <c r="VZI127" s="140"/>
      <c r="VZJ127" s="140"/>
      <c r="VZK127" s="140"/>
      <c r="VZL127" s="140"/>
      <c r="VZM127" s="140"/>
      <c r="VZN127" s="140"/>
      <c r="VZO127" s="140"/>
      <c r="VZP127" s="140"/>
      <c r="VZQ127" s="140"/>
      <c r="VZR127" s="140"/>
      <c r="VZS127" s="140"/>
      <c r="VZT127" s="140"/>
      <c r="VZU127" s="140"/>
      <c r="VZV127" s="140"/>
      <c r="VZW127" s="140"/>
      <c r="VZX127" s="140"/>
      <c r="VZY127" s="140"/>
      <c r="VZZ127" s="140"/>
      <c r="WAA127" s="140"/>
      <c r="WAB127" s="140"/>
      <c r="WAC127" s="140"/>
      <c r="WAD127" s="140"/>
      <c r="WAE127" s="140"/>
      <c r="WAF127" s="140"/>
      <c r="WAG127" s="140"/>
      <c r="WAH127" s="140"/>
      <c r="WAI127" s="140"/>
      <c r="WAJ127" s="140"/>
      <c r="WAK127" s="140"/>
      <c r="WAL127" s="140"/>
      <c r="WAM127" s="140"/>
      <c r="WAN127" s="140"/>
      <c r="WAO127" s="140"/>
      <c r="WAP127" s="140"/>
      <c r="WAQ127" s="140"/>
      <c r="WAR127" s="140"/>
      <c r="WAS127" s="140"/>
      <c r="WAT127" s="140"/>
      <c r="WAU127" s="140"/>
      <c r="WAV127" s="140"/>
      <c r="WAW127" s="140"/>
      <c r="WAX127" s="140"/>
      <c r="WAY127" s="140"/>
      <c r="WAZ127" s="140"/>
      <c r="WBA127" s="140"/>
      <c r="WBB127" s="140"/>
      <c r="WBC127" s="140"/>
      <c r="WBD127" s="140"/>
      <c r="WBE127" s="140"/>
      <c r="WBF127" s="140"/>
      <c r="WBG127" s="140"/>
      <c r="WBH127" s="140"/>
      <c r="WBI127" s="140"/>
      <c r="WBJ127" s="140"/>
      <c r="WBK127" s="140"/>
      <c r="WBL127" s="140"/>
      <c r="WBM127" s="140"/>
      <c r="WBN127" s="140"/>
      <c r="WBO127" s="140"/>
      <c r="WBP127" s="140"/>
      <c r="WBQ127" s="140"/>
      <c r="WBR127" s="140"/>
      <c r="WBS127" s="140"/>
      <c r="WBT127" s="140"/>
      <c r="WBU127" s="140"/>
      <c r="WBV127" s="140"/>
      <c r="WBW127" s="140"/>
      <c r="WBX127" s="140"/>
      <c r="WBY127" s="140"/>
      <c r="WBZ127" s="140"/>
      <c r="WCA127" s="140"/>
      <c r="WCB127" s="140"/>
      <c r="WCC127" s="140"/>
      <c r="WCD127" s="140"/>
      <c r="WCE127" s="140"/>
      <c r="WCF127" s="140"/>
      <c r="WCG127" s="140"/>
      <c r="WCH127" s="140"/>
      <c r="WCI127" s="140"/>
      <c r="WCJ127" s="140"/>
      <c r="WCK127" s="140"/>
      <c r="WCL127" s="140"/>
      <c r="WCM127" s="140"/>
      <c r="WCN127" s="140"/>
      <c r="WCO127" s="140"/>
      <c r="WCP127" s="140"/>
      <c r="WCQ127" s="140"/>
      <c r="WCR127" s="140"/>
      <c r="WCS127" s="140"/>
      <c r="WCT127" s="140"/>
      <c r="WCU127" s="140"/>
      <c r="WCV127" s="140"/>
      <c r="WCW127" s="140"/>
      <c r="WCX127" s="140"/>
      <c r="WCY127" s="140"/>
      <c r="WCZ127" s="140"/>
      <c r="WDA127" s="140"/>
      <c r="WDB127" s="140"/>
      <c r="WDC127" s="140"/>
      <c r="WDD127" s="140"/>
      <c r="WDE127" s="140"/>
      <c r="WDF127" s="140"/>
      <c r="WDG127" s="140"/>
      <c r="WDH127" s="140"/>
      <c r="WDI127" s="140"/>
      <c r="WDJ127" s="140"/>
      <c r="WDK127" s="140"/>
      <c r="WDL127" s="140"/>
      <c r="WDM127" s="140"/>
      <c r="WDN127" s="140"/>
      <c r="WDO127" s="140"/>
      <c r="WDP127" s="140"/>
      <c r="WDQ127" s="140"/>
      <c r="WDR127" s="140"/>
      <c r="WDS127" s="140"/>
      <c r="WDT127" s="140"/>
      <c r="WDU127" s="140"/>
      <c r="WDV127" s="140"/>
      <c r="WDW127" s="140"/>
      <c r="WDX127" s="140"/>
      <c r="WDY127" s="140"/>
      <c r="WDZ127" s="140"/>
      <c r="WEA127" s="140"/>
      <c r="WEB127" s="140"/>
      <c r="WEC127" s="140"/>
      <c r="WED127" s="140"/>
      <c r="WEE127" s="140"/>
      <c r="WEF127" s="140"/>
      <c r="WEG127" s="140"/>
      <c r="WEH127" s="140"/>
      <c r="WEI127" s="140"/>
      <c r="WEJ127" s="140"/>
      <c r="WEK127" s="140"/>
      <c r="WEL127" s="140"/>
      <c r="WEM127" s="140"/>
      <c r="WEN127" s="140"/>
      <c r="WEO127" s="140"/>
      <c r="WEP127" s="140"/>
      <c r="WEQ127" s="140"/>
      <c r="WER127" s="140"/>
      <c r="WES127" s="140"/>
      <c r="WET127" s="140"/>
      <c r="WEU127" s="140"/>
      <c r="WEV127" s="140"/>
      <c r="WEW127" s="140"/>
      <c r="WEX127" s="140"/>
      <c r="WEY127" s="140"/>
      <c r="WEZ127" s="140"/>
      <c r="WFA127" s="140"/>
      <c r="WFB127" s="140"/>
      <c r="WFC127" s="140"/>
      <c r="WFD127" s="140"/>
      <c r="WFE127" s="140"/>
      <c r="WFF127" s="140"/>
      <c r="WFG127" s="140"/>
      <c r="WFH127" s="140"/>
      <c r="WFI127" s="140"/>
      <c r="WFJ127" s="140"/>
      <c r="WFK127" s="140"/>
      <c r="WFL127" s="140"/>
      <c r="WFM127" s="140"/>
      <c r="WFN127" s="140"/>
      <c r="WFO127" s="140"/>
      <c r="WFP127" s="140"/>
      <c r="WFQ127" s="140"/>
      <c r="WFR127" s="140"/>
      <c r="WFS127" s="140"/>
      <c r="WFT127" s="140"/>
      <c r="WFU127" s="140"/>
      <c r="WFV127" s="140"/>
      <c r="WFW127" s="140"/>
      <c r="WFX127" s="140"/>
      <c r="WFY127" s="140"/>
      <c r="WFZ127" s="140"/>
      <c r="WGA127" s="140"/>
      <c r="WGB127" s="140"/>
      <c r="WGC127" s="140"/>
      <c r="WGD127" s="140"/>
      <c r="WGE127" s="140"/>
      <c r="WGF127" s="140"/>
      <c r="WGG127" s="140"/>
      <c r="WGH127" s="140"/>
      <c r="WGI127" s="140"/>
      <c r="WGJ127" s="140"/>
      <c r="WGK127" s="140"/>
      <c r="WGL127" s="140"/>
      <c r="WGM127" s="140"/>
      <c r="WGN127" s="140"/>
      <c r="WGO127" s="140"/>
      <c r="WGP127" s="140"/>
      <c r="WGQ127" s="140"/>
      <c r="WGR127" s="140"/>
      <c r="WGS127" s="140"/>
      <c r="WGT127" s="140"/>
      <c r="WGU127" s="140"/>
      <c r="WGV127" s="140"/>
      <c r="WGW127" s="140"/>
      <c r="WGX127" s="140"/>
      <c r="WGY127" s="140"/>
      <c r="WGZ127" s="140"/>
      <c r="WHA127" s="140"/>
      <c r="WHB127" s="140"/>
      <c r="WHC127" s="140"/>
      <c r="WHD127" s="140"/>
      <c r="WHE127" s="140"/>
      <c r="WHF127" s="140"/>
      <c r="WHG127" s="140"/>
      <c r="WHH127" s="140"/>
      <c r="WHI127" s="140"/>
      <c r="WHJ127" s="140"/>
      <c r="WHK127" s="140"/>
      <c r="WHL127" s="140"/>
      <c r="WHM127" s="140"/>
      <c r="WHN127" s="140"/>
      <c r="WHO127" s="140"/>
      <c r="WHP127" s="140"/>
      <c r="WHQ127" s="140"/>
      <c r="WHR127" s="140"/>
      <c r="WHS127" s="140"/>
      <c r="WHT127" s="140"/>
      <c r="WHU127" s="140"/>
      <c r="WHV127" s="140"/>
      <c r="WHW127" s="140"/>
      <c r="WHX127" s="140"/>
      <c r="WHY127" s="140"/>
      <c r="WHZ127" s="140"/>
      <c r="WIA127" s="140"/>
      <c r="WIB127" s="140"/>
      <c r="WIC127" s="140"/>
      <c r="WID127" s="140"/>
      <c r="WIE127" s="140"/>
      <c r="WIF127" s="140"/>
      <c r="WIG127" s="140"/>
      <c r="WIH127" s="140"/>
      <c r="WII127" s="140"/>
      <c r="WIJ127" s="140"/>
      <c r="WIK127" s="140"/>
      <c r="WIL127" s="140"/>
      <c r="WIM127" s="140"/>
      <c r="WIN127" s="140"/>
      <c r="WIO127" s="140"/>
      <c r="WIP127" s="140"/>
      <c r="WIQ127" s="140"/>
      <c r="WIR127" s="140"/>
      <c r="WIS127" s="140"/>
      <c r="WIT127" s="140"/>
      <c r="WIU127" s="140"/>
      <c r="WIV127" s="140"/>
      <c r="WIW127" s="140"/>
      <c r="WIX127" s="140"/>
      <c r="WIY127" s="140"/>
      <c r="WIZ127" s="140"/>
      <c r="WJA127" s="140"/>
      <c r="WJB127" s="140"/>
      <c r="WJC127" s="140"/>
      <c r="WJD127" s="140"/>
      <c r="WJE127" s="140"/>
      <c r="WJF127" s="140"/>
      <c r="WJG127" s="140"/>
      <c r="WJH127" s="140"/>
      <c r="WJI127" s="140"/>
      <c r="WJJ127" s="140"/>
      <c r="WJK127" s="140"/>
      <c r="WJL127" s="140"/>
      <c r="WJM127" s="140"/>
      <c r="WJN127" s="140"/>
      <c r="WJO127" s="140"/>
      <c r="WJP127" s="140"/>
      <c r="WJQ127" s="140"/>
      <c r="WJR127" s="140"/>
      <c r="WJS127" s="140"/>
      <c r="WJT127" s="140"/>
      <c r="WJU127" s="140"/>
      <c r="WJV127" s="140"/>
      <c r="WJW127" s="140"/>
      <c r="WJX127" s="140"/>
      <c r="WJY127" s="140"/>
      <c r="WJZ127" s="140"/>
      <c r="WKA127" s="140"/>
      <c r="WKB127" s="140"/>
      <c r="WKC127" s="140"/>
      <c r="WKD127" s="140"/>
      <c r="WKE127" s="140"/>
      <c r="WKF127" s="140"/>
      <c r="WKG127" s="140"/>
      <c r="WKH127" s="140"/>
      <c r="WKI127" s="140"/>
      <c r="WKJ127" s="140"/>
      <c r="WKK127" s="140"/>
      <c r="WKL127" s="140"/>
      <c r="WKM127" s="140"/>
      <c r="WKN127" s="140"/>
      <c r="WKO127" s="140"/>
      <c r="WKP127" s="140"/>
      <c r="WKQ127" s="140"/>
      <c r="WKR127" s="140"/>
      <c r="WKS127" s="140"/>
      <c r="WKT127" s="140"/>
      <c r="WKU127" s="140"/>
      <c r="WKV127" s="140"/>
      <c r="WKW127" s="140"/>
      <c r="WKX127" s="140"/>
      <c r="WKY127" s="140"/>
      <c r="WKZ127" s="140"/>
      <c r="WLA127" s="140"/>
      <c r="WLB127" s="140"/>
      <c r="WLC127" s="140"/>
      <c r="WLD127" s="140"/>
      <c r="WLE127" s="140"/>
      <c r="WLF127" s="140"/>
      <c r="WLG127" s="140"/>
      <c r="WLH127" s="140"/>
      <c r="WLI127" s="140"/>
      <c r="WLJ127" s="140"/>
      <c r="WLK127" s="140"/>
      <c r="WLL127" s="140"/>
      <c r="WLM127" s="140"/>
      <c r="WLN127" s="140"/>
      <c r="WLO127" s="140"/>
      <c r="WLP127" s="140"/>
      <c r="WLQ127" s="140"/>
      <c r="WLR127" s="140"/>
      <c r="WLS127" s="140"/>
      <c r="WLT127" s="140"/>
      <c r="WLU127" s="140"/>
      <c r="WLV127" s="140"/>
      <c r="WLW127" s="140"/>
      <c r="WLX127" s="140"/>
      <c r="WLY127" s="140"/>
      <c r="WLZ127" s="140"/>
      <c r="WMA127" s="140"/>
      <c r="WMB127" s="140"/>
      <c r="WMC127" s="140"/>
      <c r="WMD127" s="140"/>
      <c r="WME127" s="140"/>
      <c r="WMF127" s="140"/>
      <c r="WMG127" s="140"/>
      <c r="WMH127" s="140"/>
      <c r="WMI127" s="140"/>
      <c r="WMJ127" s="140"/>
      <c r="WMK127" s="140"/>
      <c r="WML127" s="140"/>
      <c r="WMM127" s="140"/>
      <c r="WMN127" s="140"/>
      <c r="WMO127" s="140"/>
      <c r="WMP127" s="140"/>
      <c r="WMQ127" s="140"/>
      <c r="WMR127" s="140"/>
      <c r="WMS127" s="140"/>
      <c r="WMT127" s="140"/>
      <c r="WMU127" s="140"/>
      <c r="WMV127" s="140"/>
      <c r="WMW127" s="140"/>
      <c r="WMX127" s="140"/>
      <c r="WMY127" s="140"/>
      <c r="WMZ127" s="140"/>
      <c r="WNA127" s="140"/>
      <c r="WNB127" s="140"/>
      <c r="WNC127" s="140"/>
      <c r="WND127" s="140"/>
      <c r="WNE127" s="140"/>
      <c r="WNF127" s="140"/>
      <c r="WNG127" s="140"/>
      <c r="WNH127" s="140"/>
      <c r="WNI127" s="140"/>
      <c r="WNJ127" s="140"/>
      <c r="WNK127" s="140"/>
      <c r="WNL127" s="140"/>
      <c r="WNM127" s="140"/>
      <c r="WNN127" s="140"/>
      <c r="WNO127" s="140"/>
      <c r="WNP127" s="140"/>
      <c r="WNQ127" s="140"/>
      <c r="WNR127" s="140"/>
      <c r="WNS127" s="140"/>
      <c r="WNT127" s="140"/>
      <c r="WNU127" s="140"/>
      <c r="WNV127" s="140"/>
      <c r="WNW127" s="140"/>
      <c r="WNX127" s="140"/>
      <c r="WNY127" s="140"/>
      <c r="WNZ127" s="140"/>
      <c r="WOA127" s="140"/>
      <c r="WOB127" s="140"/>
      <c r="WOC127" s="140"/>
      <c r="WOD127" s="140"/>
      <c r="WOE127" s="140"/>
      <c r="WOF127" s="140"/>
      <c r="WOG127" s="140"/>
      <c r="WOH127" s="140"/>
      <c r="WOI127" s="140"/>
      <c r="WOJ127" s="140"/>
      <c r="WOK127" s="140"/>
      <c r="WOL127" s="140"/>
      <c r="WOM127" s="140"/>
      <c r="WON127" s="140"/>
      <c r="WOO127" s="140"/>
      <c r="WOP127" s="140"/>
      <c r="WOQ127" s="140"/>
      <c r="WOR127" s="140"/>
      <c r="WOS127" s="140"/>
      <c r="WOT127" s="140"/>
      <c r="WOU127" s="140"/>
      <c r="WOV127" s="140"/>
      <c r="WOW127" s="140"/>
      <c r="WOX127" s="140"/>
      <c r="WOY127" s="140"/>
      <c r="WOZ127" s="140"/>
      <c r="WPA127" s="140"/>
      <c r="WPB127" s="140"/>
      <c r="WPC127" s="140"/>
      <c r="WPD127" s="140"/>
      <c r="WPE127" s="140"/>
      <c r="WPF127" s="140"/>
      <c r="WPG127" s="140"/>
      <c r="WPH127" s="140"/>
      <c r="WPI127" s="140"/>
      <c r="WPJ127" s="140"/>
      <c r="WPK127" s="140"/>
      <c r="WPL127" s="140"/>
      <c r="WPM127" s="140"/>
      <c r="WPN127" s="140"/>
      <c r="WPO127" s="140"/>
      <c r="WPP127" s="140"/>
      <c r="WPQ127" s="140"/>
      <c r="WPR127" s="140"/>
      <c r="WPS127" s="140"/>
      <c r="WPT127" s="140"/>
      <c r="WPU127" s="140"/>
      <c r="WPV127" s="140"/>
      <c r="WPW127" s="140"/>
      <c r="WPX127" s="140"/>
      <c r="WPY127" s="140"/>
      <c r="WPZ127" s="140"/>
      <c r="WQA127" s="140"/>
      <c r="WQB127" s="140"/>
      <c r="WQC127" s="140"/>
      <c r="WQD127" s="140"/>
      <c r="WQE127" s="140"/>
      <c r="WQF127" s="140"/>
      <c r="WQG127" s="140"/>
      <c r="WQH127" s="140"/>
      <c r="WQI127" s="140"/>
      <c r="WQJ127" s="140"/>
      <c r="WQK127" s="140"/>
      <c r="WQL127" s="140"/>
      <c r="WQM127" s="140"/>
      <c r="WQN127" s="140"/>
      <c r="WQO127" s="140"/>
      <c r="WQP127" s="140"/>
      <c r="WQQ127" s="140"/>
      <c r="WQR127" s="140"/>
      <c r="WQS127" s="140"/>
      <c r="WQT127" s="140"/>
      <c r="WQU127" s="140"/>
      <c r="WQV127" s="140"/>
      <c r="WQW127" s="140"/>
      <c r="WQX127" s="140"/>
      <c r="WQY127" s="140"/>
      <c r="WQZ127" s="140"/>
      <c r="WRA127" s="140"/>
      <c r="WRB127" s="140"/>
      <c r="WRC127" s="140"/>
      <c r="WRD127" s="140"/>
      <c r="WRE127" s="140"/>
      <c r="WRF127" s="140"/>
      <c r="WRG127" s="140"/>
      <c r="WRH127" s="140"/>
      <c r="WRI127" s="140"/>
      <c r="WRJ127" s="140"/>
      <c r="WRK127" s="140"/>
      <c r="WRL127" s="140"/>
      <c r="WRM127" s="140"/>
      <c r="WRN127" s="140"/>
      <c r="WRO127" s="140"/>
      <c r="WRP127" s="140"/>
      <c r="WRQ127" s="140"/>
      <c r="WRR127" s="140"/>
      <c r="WRS127" s="140"/>
      <c r="WRT127" s="140"/>
      <c r="WRU127" s="140"/>
      <c r="WRV127" s="140"/>
      <c r="WRW127" s="140"/>
      <c r="WRX127" s="140"/>
      <c r="WRY127" s="140"/>
      <c r="WRZ127" s="140"/>
      <c r="WSA127" s="140"/>
      <c r="WSB127" s="140"/>
      <c r="WSC127" s="140"/>
      <c r="WSD127" s="140"/>
      <c r="WSE127" s="140"/>
      <c r="WSF127" s="140"/>
      <c r="WSG127" s="140"/>
      <c r="WSH127" s="140"/>
      <c r="WSI127" s="140"/>
      <c r="WSJ127" s="140"/>
      <c r="WSK127" s="140"/>
      <c r="WSL127" s="140"/>
      <c r="WSM127" s="140"/>
      <c r="WSN127" s="140"/>
      <c r="WSO127" s="140"/>
      <c r="WSP127" s="140"/>
      <c r="WSQ127" s="140"/>
      <c r="WSR127" s="140"/>
      <c r="WSS127" s="140"/>
      <c r="WST127" s="140"/>
      <c r="WSU127" s="140"/>
      <c r="WSV127" s="140"/>
      <c r="WSW127" s="140"/>
      <c r="WSX127" s="140"/>
      <c r="WSY127" s="140"/>
      <c r="WSZ127" s="140"/>
      <c r="WTA127" s="140"/>
      <c r="WTB127" s="140"/>
      <c r="WTC127" s="140"/>
      <c r="WTD127" s="140"/>
      <c r="WTE127" s="140"/>
      <c r="WTF127" s="140"/>
      <c r="WTG127" s="140"/>
      <c r="WTH127" s="140"/>
      <c r="WTI127" s="140"/>
      <c r="WTJ127" s="140"/>
      <c r="WTK127" s="140"/>
      <c r="WTL127" s="140"/>
      <c r="WTM127" s="140"/>
      <c r="WTN127" s="140"/>
      <c r="WTO127" s="140"/>
      <c r="WTP127" s="140"/>
      <c r="WTQ127" s="140"/>
      <c r="WTR127" s="140"/>
      <c r="WTS127" s="140"/>
      <c r="WTT127" s="140"/>
      <c r="WTU127" s="140"/>
      <c r="WTV127" s="140"/>
      <c r="WTW127" s="140"/>
      <c r="WTX127" s="140"/>
      <c r="WTY127" s="140"/>
      <c r="WTZ127" s="140"/>
      <c r="WUA127" s="140"/>
      <c r="WUB127" s="140"/>
      <c r="WUC127" s="140"/>
      <c r="WUD127" s="140"/>
      <c r="WUE127" s="140"/>
      <c r="WUF127" s="140"/>
      <c r="WUG127" s="140"/>
      <c r="WUH127" s="140"/>
      <c r="WUI127" s="140"/>
      <c r="WUJ127" s="140"/>
      <c r="WUK127" s="140"/>
      <c r="WUL127" s="140"/>
      <c r="WUM127" s="140"/>
      <c r="WUN127" s="140"/>
      <c r="WUO127" s="140"/>
      <c r="WUP127" s="140"/>
      <c r="WUQ127" s="140"/>
      <c r="WUR127" s="140"/>
      <c r="WUS127" s="140"/>
      <c r="WUT127" s="140"/>
      <c r="WUU127" s="140"/>
      <c r="WUV127" s="140"/>
      <c r="WUW127" s="140"/>
      <c r="WUX127" s="140"/>
      <c r="WUY127" s="140"/>
      <c r="WUZ127" s="140"/>
      <c r="WVA127" s="140"/>
      <c r="WVB127" s="140"/>
      <c r="WVC127" s="140"/>
      <c r="WVD127" s="140"/>
      <c r="WVE127" s="140"/>
      <c r="WVF127" s="140"/>
      <c r="WVG127" s="140"/>
      <c r="WVH127" s="140"/>
      <c r="WVI127" s="140"/>
      <c r="WVJ127" s="140"/>
      <c r="WVK127" s="140"/>
      <c r="WVL127" s="140"/>
      <c r="WVM127" s="140"/>
      <c r="WVN127" s="140"/>
      <c r="WVO127" s="140"/>
      <c r="WVP127" s="140"/>
      <c r="WVQ127" s="140"/>
      <c r="WVR127" s="140"/>
      <c r="WVS127" s="140"/>
      <c r="WVT127" s="140"/>
      <c r="WVU127" s="140"/>
      <c r="WVV127" s="140"/>
      <c r="WVW127" s="140"/>
      <c r="WVX127" s="140"/>
      <c r="WVY127" s="140"/>
      <c r="WVZ127" s="140"/>
      <c r="WWA127" s="140"/>
      <c r="WWB127" s="140"/>
      <c r="WWC127" s="140"/>
      <c r="WWD127" s="140"/>
      <c r="WWE127" s="140"/>
      <c r="WWF127" s="140"/>
      <c r="WWG127" s="140"/>
      <c r="WWH127" s="140"/>
      <c r="WWI127" s="140"/>
      <c r="WWJ127" s="140"/>
      <c r="WWK127" s="140"/>
      <c r="WWL127" s="140"/>
      <c r="WWM127" s="140"/>
      <c r="WWN127" s="140"/>
      <c r="WWO127" s="140"/>
      <c r="WWP127" s="140"/>
      <c r="WWQ127" s="140"/>
      <c r="WWR127" s="140"/>
      <c r="WWS127" s="140"/>
      <c r="WWT127" s="140"/>
      <c r="WWU127" s="140"/>
      <c r="WWV127" s="140"/>
      <c r="WWW127" s="140"/>
      <c r="WWX127" s="140"/>
      <c r="WWY127" s="140"/>
      <c r="WWZ127" s="140"/>
      <c r="WXA127" s="140"/>
      <c r="WXB127" s="140"/>
      <c r="WXC127" s="140"/>
      <c r="WXD127" s="140"/>
      <c r="WXE127" s="140"/>
      <c r="WXF127" s="140"/>
      <c r="WXG127" s="140"/>
      <c r="WXH127" s="140"/>
      <c r="WXI127" s="140"/>
      <c r="WXJ127" s="140"/>
      <c r="WXK127" s="140"/>
      <c r="WXL127" s="140"/>
      <c r="WXM127" s="140"/>
      <c r="WXN127" s="140"/>
      <c r="WXO127" s="140"/>
      <c r="WXP127" s="140"/>
      <c r="WXQ127" s="140"/>
      <c r="WXR127" s="140"/>
      <c r="WXS127" s="140"/>
      <c r="WXT127" s="140"/>
      <c r="WXU127" s="140"/>
      <c r="WXV127" s="140"/>
      <c r="WXW127" s="140"/>
      <c r="WXX127" s="140"/>
      <c r="WXY127" s="140"/>
      <c r="WXZ127" s="140"/>
      <c r="WYA127" s="140"/>
      <c r="WYB127" s="140"/>
      <c r="WYC127" s="140"/>
      <c r="WYD127" s="140"/>
      <c r="WYE127" s="140"/>
      <c r="WYF127" s="140"/>
      <c r="WYG127" s="140"/>
      <c r="WYH127" s="140"/>
      <c r="WYI127" s="140"/>
      <c r="WYJ127" s="140"/>
      <c r="WYK127" s="140"/>
      <c r="WYL127" s="140"/>
      <c r="WYM127" s="140"/>
      <c r="WYN127" s="140"/>
      <c r="WYO127" s="140"/>
      <c r="WYP127" s="140"/>
      <c r="WYQ127" s="140"/>
      <c r="WYR127" s="140"/>
      <c r="WYS127" s="140"/>
      <c r="WYT127" s="140"/>
      <c r="WYU127" s="140"/>
      <c r="WYV127" s="140"/>
      <c r="WYW127" s="140"/>
      <c r="WYX127" s="140"/>
      <c r="WYY127" s="140"/>
      <c r="WYZ127" s="140"/>
      <c r="WZA127" s="140"/>
      <c r="WZB127" s="140"/>
      <c r="WZC127" s="140"/>
      <c r="WZD127" s="140"/>
      <c r="WZE127" s="140"/>
      <c r="WZF127" s="140"/>
      <c r="WZG127" s="140"/>
      <c r="WZH127" s="140"/>
      <c r="WZI127" s="140"/>
      <c r="WZJ127" s="140"/>
      <c r="WZK127" s="140"/>
      <c r="WZL127" s="140"/>
      <c r="WZM127" s="140"/>
      <c r="WZN127" s="140"/>
      <c r="WZO127" s="140"/>
      <c r="WZP127" s="140"/>
      <c r="WZQ127" s="140"/>
      <c r="WZR127" s="140"/>
      <c r="WZS127" s="140"/>
      <c r="WZT127" s="140"/>
      <c r="WZU127" s="140"/>
      <c r="WZV127" s="140"/>
      <c r="WZW127" s="140"/>
      <c r="WZX127" s="140"/>
      <c r="WZY127" s="140"/>
      <c r="WZZ127" s="140"/>
      <c r="XAA127" s="140"/>
      <c r="XAB127" s="140"/>
      <c r="XAC127" s="140"/>
      <c r="XAD127" s="140"/>
      <c r="XAE127" s="140"/>
      <c r="XAF127" s="140"/>
      <c r="XAG127" s="140"/>
      <c r="XAH127" s="140"/>
      <c r="XAI127" s="140"/>
      <c r="XAJ127" s="140"/>
      <c r="XAK127" s="140"/>
      <c r="XAL127" s="140"/>
      <c r="XAM127" s="140"/>
      <c r="XAN127" s="140"/>
      <c r="XAO127" s="140"/>
      <c r="XAP127" s="140"/>
      <c r="XAQ127" s="140"/>
      <c r="XAR127" s="140"/>
      <c r="XAS127" s="140"/>
      <c r="XAT127" s="140"/>
      <c r="XAU127" s="140"/>
      <c r="XAV127" s="140"/>
      <c r="XAW127" s="140"/>
      <c r="XAX127" s="140"/>
      <c r="XAY127" s="140"/>
      <c r="XAZ127" s="140"/>
    </row>
    <row r="128" spans="2:16276" s="22" customFormat="1" x14ac:dyDescent="0.3"/>
    <row r="129" s="22" customFormat="1" x14ac:dyDescent="0.3"/>
    <row r="130" s="22" customFormat="1" x14ac:dyDescent="0.3"/>
    <row r="131" s="22" customFormat="1" hidden="1" x14ac:dyDescent="0.3"/>
    <row r="132" s="22" customFormat="1" hidden="1" x14ac:dyDescent="0.3"/>
    <row r="133" s="22" customFormat="1" hidden="1" x14ac:dyDescent="0.3"/>
    <row r="134" s="22" customFormat="1" hidden="1" x14ac:dyDescent="0.3"/>
    <row r="135" s="22" customFormat="1" hidden="1" x14ac:dyDescent="0.3"/>
    <row r="136" s="22" customFormat="1" hidden="1" x14ac:dyDescent="0.3"/>
    <row r="137" s="22" customFormat="1" hidden="1" x14ac:dyDescent="0.3"/>
    <row r="138" s="22" customFormat="1" hidden="1" x14ac:dyDescent="0.3"/>
    <row r="139" s="22" customFormat="1" hidden="1" x14ac:dyDescent="0.3"/>
    <row r="140" s="22" customFormat="1" hidden="1" x14ac:dyDescent="0.3"/>
    <row r="141" s="22" customFormat="1" hidden="1" x14ac:dyDescent="0.3"/>
    <row r="142" s="22" customFormat="1" hidden="1" x14ac:dyDescent="0.3"/>
    <row r="143" s="22" customFormat="1" hidden="1" x14ac:dyDescent="0.3"/>
    <row r="144" s="22" customFormat="1" hidden="1" x14ac:dyDescent="0.3"/>
    <row r="145" s="22" customFormat="1" hidden="1" x14ac:dyDescent="0.3"/>
    <row r="146" s="22" customFormat="1" hidden="1" x14ac:dyDescent="0.3"/>
    <row r="147" s="22" customFormat="1" hidden="1" x14ac:dyDescent="0.3"/>
    <row r="148" s="22" customFormat="1" hidden="1" x14ac:dyDescent="0.3"/>
    <row r="149" s="22" customFormat="1" hidden="1" x14ac:dyDescent="0.3"/>
    <row r="150" s="22" customFormat="1" hidden="1" x14ac:dyDescent="0.3"/>
    <row r="151" s="22" customFormat="1" hidden="1" x14ac:dyDescent="0.3"/>
    <row r="152" s="22" customFormat="1" hidden="1" x14ac:dyDescent="0.3"/>
    <row r="153" s="22" customFormat="1" hidden="1" x14ac:dyDescent="0.3"/>
    <row r="154" s="22" customFormat="1" hidden="1" x14ac:dyDescent="0.3"/>
    <row r="155" s="22" customFormat="1" hidden="1" x14ac:dyDescent="0.3"/>
    <row r="156" s="22" customFormat="1" hidden="1" x14ac:dyDescent="0.3"/>
    <row r="157" s="22" customFormat="1" hidden="1" x14ac:dyDescent="0.3"/>
    <row r="158" s="22" customFormat="1" hidden="1" x14ac:dyDescent="0.3"/>
    <row r="159" s="22" customFormat="1" hidden="1" x14ac:dyDescent="0.3"/>
    <row r="160" s="22" customFormat="1" hidden="1" x14ac:dyDescent="0.3"/>
    <row r="161" s="22" customFormat="1" hidden="1" x14ac:dyDescent="0.3"/>
    <row r="162" s="22" customFormat="1" hidden="1" x14ac:dyDescent="0.3"/>
    <row r="163" s="22" customFormat="1" hidden="1" x14ac:dyDescent="0.3"/>
    <row r="164" s="22" customFormat="1" hidden="1" x14ac:dyDescent="0.3"/>
    <row r="165" s="22" customFormat="1" hidden="1" x14ac:dyDescent="0.3"/>
    <row r="166" s="22" customFormat="1" hidden="1" x14ac:dyDescent="0.3"/>
    <row r="167" s="22" customFormat="1" hidden="1" x14ac:dyDescent="0.3"/>
    <row r="168" s="22" customFormat="1" hidden="1" x14ac:dyDescent="0.3"/>
    <row r="169" s="22" customFormat="1" hidden="1" x14ac:dyDescent="0.3"/>
    <row r="170" s="22" customFormat="1" hidden="1" x14ac:dyDescent="0.3"/>
    <row r="171" s="22" customFormat="1" hidden="1" x14ac:dyDescent="0.3"/>
    <row r="172" s="22" customFormat="1" hidden="1" x14ac:dyDescent="0.3"/>
    <row r="173" s="22" customFormat="1" hidden="1" x14ac:dyDescent="0.3"/>
    <row r="174" s="22" customFormat="1" hidden="1" x14ac:dyDescent="0.3"/>
    <row r="175" s="22" customFormat="1" hidden="1" x14ac:dyDescent="0.3"/>
    <row r="176" s="22" customFormat="1" hidden="1" x14ac:dyDescent="0.3"/>
    <row r="177" s="22" customFormat="1" hidden="1" x14ac:dyDescent="0.3"/>
    <row r="178" s="22" customFormat="1" hidden="1" x14ac:dyDescent="0.3"/>
    <row r="179" s="22" customFormat="1" hidden="1" x14ac:dyDescent="0.3"/>
    <row r="180" s="22" customFormat="1" hidden="1" x14ac:dyDescent="0.3"/>
    <row r="181" s="22" customFormat="1" hidden="1" x14ac:dyDescent="0.3"/>
    <row r="182" s="22" customFormat="1" hidden="1" x14ac:dyDescent="0.3"/>
    <row r="183" s="22" customFormat="1" hidden="1" x14ac:dyDescent="0.3"/>
    <row r="184" s="22" customFormat="1" hidden="1" x14ac:dyDescent="0.3"/>
    <row r="185" s="22" customFormat="1" hidden="1" x14ac:dyDescent="0.3"/>
    <row r="186" s="22" customFormat="1" hidden="1" x14ac:dyDescent="0.3"/>
    <row r="187" x14ac:dyDescent="0.3"/>
    <row r="188" x14ac:dyDescent="0.3"/>
    <row r="189" x14ac:dyDescent="0.3"/>
    <row r="190" x14ac:dyDescent="0.3"/>
  </sheetData>
  <sheetProtection algorithmName="SHA-512" hashValue="wbsq3mvVqtEVzgk3/AlpgOSqJBitLglNokStLo405BBmGZq0kAP3zuvBGeNUfH3WFkoEe1DBC4Fnj3iyI35ufA==" saltValue="5lLJGy1tlRLwPGNQnmMtww==" spinCount="100000" sheet="1" autoFilter="0"/>
  <mergeCells count="12">
    <mergeCell ref="F13:Q14"/>
    <mergeCell ref="B127:Y127"/>
    <mergeCell ref="H17:O17"/>
    <mergeCell ref="D47:G47"/>
    <mergeCell ref="C41:L41"/>
    <mergeCell ref="H20:O20"/>
    <mergeCell ref="H25:O25"/>
    <mergeCell ref="H27:O27"/>
    <mergeCell ref="H21:O21"/>
    <mergeCell ref="H22:O22"/>
    <mergeCell ref="H23:O23"/>
    <mergeCell ref="R21:Z23"/>
  </mergeCells>
  <conditionalFormatting sqref="C79">
    <cfRule type="containsText" dxfId="1699" priority="1" operator="containsText" text="NOT APPLICABLE">
      <formula>NOT(ISERROR(SEARCH("NOT APPLICABLE",C79)))</formula>
    </cfRule>
  </conditionalFormatting>
  <conditionalFormatting sqref="Y126">
    <cfRule type="expression" dxfId="1698" priority="2" stopIfTrue="1">
      <formula>VisibleFailures&gt;0</formula>
    </cfRule>
    <cfRule type="expression" dxfId="1697" priority="3" stopIfTrue="1">
      <formula>AND(AllInputsOK=TRUE,ShowPassCond=TRUE,ShowPassSHG=TRUE)</formula>
    </cfRule>
  </conditionalFormatting>
  <dataValidations count="2">
    <dataValidation type="list" allowBlank="1" showInputMessage="1" showErrorMessage="1" sqref="I77" xr:uid="{00000000-0002-0000-0000-000000000000}">
      <formula1>"Yes,No"</formula1>
    </dataValidation>
    <dataValidation type="whole" allowBlank="1" showInputMessage="1" showErrorMessage="1" sqref="H23:O23" xr:uid="{00000000-0002-0000-0000-000001000000}">
      <formula1>0</formula1>
      <formula2>9999</formula2>
    </dataValidation>
  </dataValidations>
  <hyperlinks>
    <hyperlink ref="D58" location="'13.2 Building Fabric'!A1" display="Goto Building Fabric Calculator" xr:uid="{00000000-0004-0000-0000-000000000000}"/>
    <hyperlink ref="C41:L41" r:id="rId1" display="Refer to the ABC Climate Zone Map to search for climate zone your building is located in" xr:uid="{00000000-0004-0000-0000-000001000000}"/>
    <hyperlink ref="D70" location="'13.3 External Glazing'!A1" display="Go To External Glazing Calculator" xr:uid="{00000000-0004-0000-0000-000002000000}"/>
    <hyperlink ref="D84" location="'13.4 Building Sealing'!A1" display="Go To External Glazing Calculator" xr:uid="{00000000-0004-0000-0000-000003000000}"/>
    <hyperlink ref="D96" location="'13.5 Ceiling Fans'!A1" display="Go To External Glazing Calculator" xr:uid="{00000000-0004-0000-0000-000004000000}"/>
    <hyperlink ref="D108" location="'13.6 Whole-of-Home Energy Usage'!A1" display="Go To Whole-of-Home Calculator Calculator" xr:uid="{00000000-0004-0000-0000-000005000000}"/>
    <hyperlink ref="D120" location="'13.7 Services'!A1" display="Go To Services Calculator" xr:uid="{00000000-0004-0000-0000-000006000000}"/>
  </hyperlinks>
  <pageMargins left="0.7" right="0.7" top="0.75" bottom="0.75" header="0.3" footer="0.3"/>
  <pageSetup paperSize="8" scale="70" fitToHeight="0"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025" r:id="rId5" name="Option Button 1">
              <controlPr locked="0" defaultSize="0" autoFill="0" autoLine="0" autoPict="0">
                <anchor moveWithCells="1">
                  <from>
                    <xdr:col>2</xdr:col>
                    <xdr:colOff>19050</xdr:colOff>
                    <xdr:row>29</xdr:row>
                    <xdr:rowOff>171450</xdr:rowOff>
                  </from>
                  <to>
                    <xdr:col>2</xdr:col>
                    <xdr:colOff>641350</xdr:colOff>
                    <xdr:row>30</xdr:row>
                    <xdr:rowOff>260350</xdr:rowOff>
                  </to>
                </anchor>
              </controlPr>
            </control>
          </mc:Choice>
        </mc:AlternateContent>
        <mc:AlternateContent xmlns:mc="http://schemas.openxmlformats.org/markup-compatibility/2006">
          <mc:Choice Requires="x14">
            <control shapeId="1026" r:id="rId6" name="Option Button 2">
              <controlPr locked="0" defaultSize="0" autoFill="0" autoLine="0" autoPict="0">
                <anchor moveWithCells="1">
                  <from>
                    <xdr:col>2</xdr:col>
                    <xdr:colOff>19050</xdr:colOff>
                    <xdr:row>30</xdr:row>
                    <xdr:rowOff>336550</xdr:rowOff>
                  </from>
                  <to>
                    <xdr:col>2</xdr:col>
                    <xdr:colOff>641350</xdr:colOff>
                    <xdr:row>31</xdr:row>
                    <xdr:rowOff>228600</xdr:rowOff>
                  </to>
                </anchor>
              </controlPr>
            </control>
          </mc:Choice>
        </mc:AlternateContent>
        <mc:AlternateContent xmlns:mc="http://schemas.openxmlformats.org/markup-compatibility/2006">
          <mc:Choice Requires="x14">
            <control shapeId="1027" r:id="rId7" name="Option Button 3">
              <controlPr locked="0" defaultSize="0" autoFill="0" autoLine="0" autoPict="0" altText="">
                <anchor moveWithCells="1">
                  <from>
                    <xdr:col>2</xdr:col>
                    <xdr:colOff>19050</xdr:colOff>
                    <xdr:row>31</xdr:row>
                    <xdr:rowOff>336550</xdr:rowOff>
                  </from>
                  <to>
                    <xdr:col>2</xdr:col>
                    <xdr:colOff>628650</xdr:colOff>
                    <xdr:row>33</xdr:row>
                    <xdr:rowOff>69850</xdr:rowOff>
                  </to>
                </anchor>
              </controlPr>
            </control>
          </mc:Choice>
        </mc:AlternateContent>
        <mc:AlternateContent xmlns:mc="http://schemas.openxmlformats.org/markup-compatibility/2006">
          <mc:Choice Requires="x14">
            <control shapeId="1028" r:id="rId8" name="Check Box 4">
              <controlPr locked="0" defaultSize="0" autoFill="0" autoLine="0" autoPict="0">
                <anchor moveWithCells="1">
                  <from>
                    <xdr:col>2</xdr:col>
                    <xdr:colOff>19050</xdr:colOff>
                    <xdr:row>36</xdr:row>
                    <xdr:rowOff>0</xdr:rowOff>
                  </from>
                  <to>
                    <xdr:col>2</xdr:col>
                    <xdr:colOff>260350</xdr:colOff>
                    <xdr:row>37</xdr:row>
                    <xdr:rowOff>107950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2000000}">
          <x14:formula1>
            <xm:f>D_List!$D$9:$D$16</xm:f>
          </x14:formula1>
          <xm:sqref>D43</xm:sqref>
        </x14:dataValidation>
        <x14:dataValidation type="list" allowBlank="1" showInputMessage="1" showErrorMessage="1" xr:uid="{00000000-0002-0000-0000-000003000000}">
          <x14:formula1>
            <xm:f>D_List!$F$9:$F$10</xm:f>
          </x14:formula1>
          <xm:sqref>D47:G47</xm:sqref>
        </x14:dataValidation>
        <x14:dataValidation type="list" allowBlank="1" showInputMessage="1" showErrorMessage="1" xr:uid="{00000000-0002-0000-0000-000004000000}">
          <x14:formula1>
            <xm:f>D_List!$AC$9:$AC$11</xm:f>
          </x14:formula1>
          <xm:sqref>H27:O27</xm:sqref>
        </x14:dataValidation>
        <x14:dataValidation type="list" allowBlank="1" showInputMessage="1" showErrorMessage="1" xr:uid="{00000000-0002-0000-0000-000005000000}">
          <x14:formula1>
            <xm:f>D_List!$AO$9:$AO$16</xm:f>
          </x14:formula1>
          <xm:sqref>H22:O22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5"/>
  <dimension ref="A1:AF68"/>
  <sheetViews>
    <sheetView workbookViewId="0">
      <selection activeCell="K75" sqref="K75"/>
    </sheetView>
  </sheetViews>
  <sheetFormatPr defaultColWidth="8" defaultRowHeight="12.5" x14ac:dyDescent="0.25"/>
  <cols>
    <col min="1" max="1" width="26.58203125" style="460" customWidth="1"/>
    <col min="2" max="2" width="11.08203125" style="168" customWidth="1"/>
    <col min="3" max="3" width="12.5" style="168" customWidth="1"/>
    <col min="4" max="4" width="8" style="168"/>
    <col min="5" max="5" width="9.58203125" style="168" customWidth="1"/>
    <col min="6" max="7" width="10.83203125" style="168" customWidth="1"/>
    <col min="8" max="8" width="8.08203125" style="168" customWidth="1"/>
    <col min="9" max="12" width="8" style="168"/>
    <col min="13" max="13" width="55" style="168" customWidth="1"/>
    <col min="14" max="15" width="8" style="168"/>
    <col min="16" max="16" width="47.58203125" style="168" customWidth="1"/>
    <col min="17" max="18" width="11.08203125" style="168" customWidth="1"/>
    <col min="19" max="16384" width="8" style="168"/>
  </cols>
  <sheetData>
    <row r="1" spans="1:32" s="460" customFormat="1" x14ac:dyDescent="0.25">
      <c r="A1" s="458" t="s">
        <v>1114</v>
      </c>
      <c r="B1" s="459" t="s">
        <v>1294</v>
      </c>
      <c r="M1" s="1585" t="s">
        <v>1295</v>
      </c>
      <c r="N1" s="1585"/>
      <c r="O1" s="461"/>
      <c r="P1" s="1586" t="s">
        <v>1296</v>
      </c>
      <c r="Q1" s="1586"/>
      <c r="R1" s="461"/>
      <c r="S1" s="168"/>
      <c r="T1" s="168"/>
      <c r="U1" s="168"/>
      <c r="V1" s="461"/>
      <c r="W1" s="461"/>
      <c r="X1" s="461"/>
      <c r="Y1" s="461"/>
      <c r="Z1" s="461"/>
      <c r="AA1" s="461"/>
      <c r="AB1" s="461"/>
      <c r="AC1" s="461"/>
      <c r="AD1" s="461"/>
      <c r="AE1" s="461"/>
      <c r="AF1" s="461"/>
    </row>
    <row r="2" spans="1:32" s="460" customFormat="1" ht="39" x14ac:dyDescent="0.25">
      <c r="B2" s="462" t="s">
        <v>1297</v>
      </c>
      <c r="C2" s="463" t="s">
        <v>1298</v>
      </c>
      <c r="D2" s="464" t="s">
        <v>1230</v>
      </c>
      <c r="E2" s="464" t="s">
        <v>1231</v>
      </c>
      <c r="F2" s="464" t="s">
        <v>1232</v>
      </c>
      <c r="G2" s="464" t="s">
        <v>1233</v>
      </c>
      <c r="H2" s="464" t="s">
        <v>1234</v>
      </c>
      <c r="I2" s="464" t="s">
        <v>1235</v>
      </c>
      <c r="J2" s="464" t="s">
        <v>1236</v>
      </c>
      <c r="K2" s="465" t="s">
        <v>1237</v>
      </c>
      <c r="M2" s="461"/>
      <c r="N2" s="461"/>
      <c r="O2" s="461"/>
      <c r="P2" s="461"/>
      <c r="Q2" s="461"/>
      <c r="R2" s="461"/>
      <c r="S2" s="168"/>
      <c r="T2" s="168"/>
      <c r="U2" s="168"/>
      <c r="V2" s="461"/>
      <c r="W2" s="461"/>
      <c r="X2" s="461"/>
      <c r="Y2" s="461"/>
      <c r="Z2" s="461"/>
      <c r="AA2" s="461"/>
      <c r="AB2" s="461"/>
      <c r="AC2" s="461"/>
      <c r="AD2" s="461"/>
      <c r="AE2" s="461"/>
      <c r="AF2" s="461"/>
    </row>
    <row r="3" spans="1:32" s="460" customFormat="1" x14ac:dyDescent="0.25">
      <c r="B3" s="466">
        <v>0</v>
      </c>
      <c r="C3" s="467">
        <v>0</v>
      </c>
      <c r="D3" s="467">
        <v>1.3520000000000001</v>
      </c>
      <c r="E3" s="467">
        <v>1.6421999999999999</v>
      </c>
      <c r="F3" s="467">
        <v>1.6899000000000002</v>
      </c>
      <c r="G3" s="467">
        <v>1.6182000000000001</v>
      </c>
      <c r="H3" s="467">
        <v>1.131</v>
      </c>
      <c r="I3" s="467">
        <v>1.651</v>
      </c>
      <c r="J3" s="467">
        <v>1.7160000000000002</v>
      </c>
      <c r="K3" s="468">
        <v>1.6575000000000002</v>
      </c>
      <c r="M3" s="461"/>
      <c r="N3" s="461"/>
      <c r="O3" s="461"/>
      <c r="P3" s="461"/>
      <c r="Q3" s="461"/>
      <c r="R3" s="461"/>
      <c r="S3" s="168"/>
      <c r="T3" s="168"/>
      <c r="U3" s="168"/>
      <c r="V3" s="461"/>
      <c r="W3" s="461"/>
      <c r="X3" s="461"/>
      <c r="Y3" s="461"/>
      <c r="Z3" s="461"/>
      <c r="AA3" s="461"/>
      <c r="AB3" s="461"/>
      <c r="AC3" s="461"/>
      <c r="AD3" s="461"/>
      <c r="AE3" s="461"/>
      <c r="AF3" s="461"/>
    </row>
    <row r="4" spans="1:32" s="460" customFormat="1" ht="13" x14ac:dyDescent="0.25">
      <c r="B4" s="469">
        <v>105</v>
      </c>
      <c r="C4" s="470">
        <v>0.05</v>
      </c>
      <c r="D4" s="470">
        <v>1.1440000000000001</v>
      </c>
      <c r="E4" s="470">
        <v>1.4466999999999999</v>
      </c>
      <c r="F4" s="470">
        <v>1.5589000000000002</v>
      </c>
      <c r="G4" s="470">
        <v>1.47465</v>
      </c>
      <c r="H4" s="470">
        <v>0.97500000000000009</v>
      </c>
      <c r="I4" s="470">
        <v>1.5209999999999999</v>
      </c>
      <c r="J4" s="470">
        <v>1.5990000000000002</v>
      </c>
      <c r="K4" s="471">
        <v>1.4625000000000001</v>
      </c>
      <c r="M4" s="472" t="s">
        <v>1299</v>
      </c>
      <c r="N4" s="465" t="s">
        <v>1300</v>
      </c>
      <c r="O4" s="461"/>
      <c r="P4" s="472" t="s">
        <v>1301</v>
      </c>
      <c r="Q4" s="465" t="s">
        <v>1302</v>
      </c>
      <c r="R4" s="461"/>
      <c r="S4" s="168"/>
      <c r="T4" s="168"/>
      <c r="U4" s="168"/>
      <c r="V4" s="461"/>
      <c r="W4" s="461"/>
      <c r="X4" s="461"/>
      <c r="Y4" s="461"/>
      <c r="Z4" s="461"/>
      <c r="AA4" s="461"/>
      <c r="AB4" s="461"/>
      <c r="AC4" s="461"/>
      <c r="AD4" s="461"/>
      <c r="AE4" s="461"/>
      <c r="AF4" s="461"/>
    </row>
    <row r="5" spans="1:32" s="460" customFormat="1" x14ac:dyDescent="0.25">
      <c r="B5" s="466">
        <v>210</v>
      </c>
      <c r="C5" s="467">
        <v>0.1</v>
      </c>
      <c r="D5" s="467">
        <v>1.0660000000000001</v>
      </c>
      <c r="E5" s="467">
        <v>1.3294000000000001</v>
      </c>
      <c r="F5" s="467">
        <v>1.4541000000000004</v>
      </c>
      <c r="G5" s="467">
        <v>1.39635</v>
      </c>
      <c r="H5" s="467">
        <v>0.88400000000000001</v>
      </c>
      <c r="I5" s="467">
        <v>1.417</v>
      </c>
      <c r="J5" s="467">
        <v>1.4949999999999999</v>
      </c>
      <c r="K5" s="468">
        <v>1.3455000000000001</v>
      </c>
      <c r="M5" s="473" t="s">
        <v>1303</v>
      </c>
      <c r="N5" s="474">
        <v>0.6</v>
      </c>
      <c r="O5" s="461"/>
      <c r="P5" s="473" t="s">
        <v>1304</v>
      </c>
      <c r="Q5" s="475">
        <v>6.7212360090037948E-2</v>
      </c>
      <c r="R5" s="461"/>
      <c r="S5" s="168"/>
      <c r="T5" s="168"/>
      <c r="U5" s="168"/>
      <c r="V5" s="461"/>
      <c r="W5" s="461"/>
      <c r="X5" s="461"/>
      <c r="Y5" s="461"/>
      <c r="Z5" s="461"/>
      <c r="AA5" s="461"/>
      <c r="AB5" s="461"/>
      <c r="AC5" s="461"/>
      <c r="AD5" s="461"/>
      <c r="AE5" s="461"/>
      <c r="AF5" s="461"/>
    </row>
    <row r="6" spans="1:32" s="460" customFormat="1" x14ac:dyDescent="0.25">
      <c r="B6" s="469">
        <v>420</v>
      </c>
      <c r="C6" s="470">
        <v>0.2</v>
      </c>
      <c r="D6" s="470">
        <v>0.96199999999999997</v>
      </c>
      <c r="E6" s="470">
        <v>1.1534499999999999</v>
      </c>
      <c r="F6" s="470">
        <v>1.3230999999999999</v>
      </c>
      <c r="G6" s="470">
        <v>1.2267000000000001</v>
      </c>
      <c r="H6" s="470">
        <v>0.71499999999999997</v>
      </c>
      <c r="I6" s="470">
        <v>1.2219999999999998</v>
      </c>
      <c r="J6" s="470">
        <v>1.3</v>
      </c>
      <c r="K6" s="471">
        <v>1.1700000000000002</v>
      </c>
      <c r="M6" s="476" t="s">
        <v>1305</v>
      </c>
      <c r="N6" s="477">
        <v>1.2</v>
      </c>
      <c r="O6" s="461"/>
      <c r="P6" s="476" t="s">
        <v>1306</v>
      </c>
      <c r="Q6" s="478">
        <v>7.1833186922944811E-2</v>
      </c>
      <c r="R6" s="461"/>
      <c r="S6" s="168"/>
      <c r="T6" s="168"/>
      <c r="U6" s="168"/>
      <c r="V6" s="461"/>
      <c r="W6" s="461"/>
      <c r="X6" s="461"/>
      <c r="Y6" s="461"/>
      <c r="Z6" s="461"/>
      <c r="AA6" s="461"/>
      <c r="AB6" s="461"/>
      <c r="AC6" s="461"/>
      <c r="AD6" s="461"/>
      <c r="AE6" s="461"/>
      <c r="AF6" s="461"/>
    </row>
    <row r="7" spans="1:32" s="460" customFormat="1" x14ac:dyDescent="0.25">
      <c r="B7" s="466">
        <v>840</v>
      </c>
      <c r="C7" s="467">
        <v>0.4</v>
      </c>
      <c r="D7" s="467">
        <v>0.78</v>
      </c>
      <c r="E7" s="467">
        <v>0.87974999999999992</v>
      </c>
      <c r="F7" s="467">
        <v>1.0349000000000002</v>
      </c>
      <c r="G7" s="467">
        <v>0.90044999999999997</v>
      </c>
      <c r="H7" s="467">
        <v>0.54599999999999993</v>
      </c>
      <c r="I7" s="467">
        <v>0.97499999999999998</v>
      </c>
      <c r="J7" s="467">
        <v>1.079</v>
      </c>
      <c r="K7" s="468">
        <v>0.9165000000000002</v>
      </c>
      <c r="L7" s="460" t="s">
        <v>1094</v>
      </c>
      <c r="M7" s="473" t="s">
        <v>1307</v>
      </c>
      <c r="N7" s="479">
        <v>1.1499999999999999</v>
      </c>
      <c r="O7" s="461"/>
      <c r="P7" s="473" t="s">
        <v>1308</v>
      </c>
      <c r="Q7" s="475">
        <v>7.6967438959507972E-2</v>
      </c>
      <c r="R7" s="461"/>
      <c r="S7" s="168"/>
      <c r="T7" s="168"/>
      <c r="U7" s="168"/>
      <c r="V7" s="461"/>
      <c r="W7" s="461"/>
      <c r="X7" s="461"/>
      <c r="Y7" s="461"/>
      <c r="Z7" s="461"/>
      <c r="AA7" s="461"/>
      <c r="AB7" s="461"/>
      <c r="AC7" s="461"/>
      <c r="AD7" s="461"/>
      <c r="AE7" s="461"/>
      <c r="AF7" s="461"/>
    </row>
    <row r="8" spans="1:32" s="460" customFormat="1" x14ac:dyDescent="0.25">
      <c r="B8" s="469">
        <v>1260</v>
      </c>
      <c r="C8" s="470">
        <v>0.6</v>
      </c>
      <c r="D8" s="470">
        <v>0.65</v>
      </c>
      <c r="E8" s="470">
        <v>0.72334999999999994</v>
      </c>
      <c r="F8" s="470">
        <v>0.86460000000000015</v>
      </c>
      <c r="G8" s="470">
        <v>0.76995000000000002</v>
      </c>
      <c r="H8" s="470">
        <v>0.442</v>
      </c>
      <c r="I8" s="470">
        <v>0.78</v>
      </c>
      <c r="J8" s="470">
        <v>0.8580000000000001</v>
      </c>
      <c r="K8" s="471">
        <v>0.7410000000000001</v>
      </c>
      <c r="L8" s="460" t="s">
        <v>1085</v>
      </c>
      <c r="M8" s="476" t="s">
        <v>1309</v>
      </c>
      <c r="N8" s="480">
        <v>1</v>
      </c>
      <c r="O8" s="461"/>
      <c r="P8" s="481" t="s">
        <v>1310</v>
      </c>
      <c r="Q8" s="482">
        <v>8.2672163444578145E-2</v>
      </c>
      <c r="R8" s="461"/>
      <c r="S8" s="168"/>
      <c r="T8" s="168"/>
      <c r="U8" s="168"/>
      <c r="V8" s="461"/>
      <c r="W8" s="461"/>
      <c r="X8" s="461"/>
      <c r="Y8" s="461"/>
      <c r="Z8" s="461"/>
      <c r="AA8" s="461"/>
      <c r="AB8" s="461"/>
      <c r="AC8" s="461"/>
      <c r="AD8" s="461"/>
      <c r="AE8" s="461"/>
      <c r="AF8" s="461"/>
    </row>
    <row r="9" spans="1:32" s="460" customFormat="1" x14ac:dyDescent="0.25">
      <c r="B9" s="466">
        <v>1680</v>
      </c>
      <c r="C9" s="467">
        <v>0.8</v>
      </c>
      <c r="D9" s="467">
        <v>0.57200000000000006</v>
      </c>
      <c r="E9" s="467">
        <v>0.60604999999999998</v>
      </c>
      <c r="F9" s="467">
        <v>0.69430000000000014</v>
      </c>
      <c r="G9" s="467">
        <v>0.61335000000000006</v>
      </c>
      <c r="H9" s="467">
        <v>0.38999999999999996</v>
      </c>
      <c r="I9" s="467">
        <v>0.67600000000000005</v>
      </c>
      <c r="J9" s="467">
        <v>0.754</v>
      </c>
      <c r="K9" s="468">
        <v>0.62400000000000011</v>
      </c>
      <c r="L9" s="460" t="s">
        <v>1075</v>
      </c>
      <c r="M9" s="473" t="s">
        <v>1311</v>
      </c>
      <c r="N9" s="479">
        <v>0.90781913797078717</v>
      </c>
      <c r="O9" s="461"/>
      <c r="P9" s="461"/>
      <c r="Q9" s="461"/>
      <c r="R9" s="461"/>
      <c r="S9" s="168"/>
      <c r="T9" s="168"/>
      <c r="U9" s="168"/>
      <c r="V9" s="461"/>
      <c r="W9" s="461"/>
      <c r="X9" s="461"/>
      <c r="Y9" s="461"/>
      <c r="Z9" s="461"/>
      <c r="AA9" s="461"/>
      <c r="AB9" s="461"/>
      <c r="AC9" s="461"/>
      <c r="AD9" s="461"/>
      <c r="AE9" s="461"/>
      <c r="AF9" s="461"/>
    </row>
    <row r="10" spans="1:32" s="460" customFormat="1" x14ac:dyDescent="0.25">
      <c r="B10" s="469">
        <v>2100</v>
      </c>
      <c r="C10" s="470">
        <v>1</v>
      </c>
      <c r="D10" s="470">
        <v>0.49399999999999999</v>
      </c>
      <c r="E10" s="470">
        <v>0.50829999999999997</v>
      </c>
      <c r="F10" s="470">
        <v>0.58950000000000002</v>
      </c>
      <c r="G10" s="470">
        <v>0.53505000000000003</v>
      </c>
      <c r="H10" s="470">
        <v>0.32499999999999996</v>
      </c>
      <c r="I10" s="470">
        <v>0.55900000000000005</v>
      </c>
      <c r="J10" s="470">
        <v>0.624</v>
      </c>
      <c r="K10" s="471">
        <v>0.54600000000000015</v>
      </c>
      <c r="M10" s="481" t="s">
        <v>1312</v>
      </c>
      <c r="N10" s="483">
        <v>0.75</v>
      </c>
      <c r="O10" s="461"/>
      <c r="P10" s="461"/>
      <c r="Q10" s="461"/>
      <c r="R10" s="461"/>
      <c r="S10" s="168"/>
      <c r="T10" s="168"/>
      <c r="U10" s="168"/>
      <c r="V10" s="461"/>
      <c r="W10" s="461"/>
      <c r="X10" s="461"/>
      <c r="Y10" s="461"/>
      <c r="Z10" s="461"/>
      <c r="AA10" s="461"/>
      <c r="AB10" s="461"/>
      <c r="AC10" s="461"/>
      <c r="AD10" s="461"/>
      <c r="AE10" s="461"/>
      <c r="AF10" s="461"/>
    </row>
    <row r="11" spans="1:32" s="460" customFormat="1" x14ac:dyDescent="0.25">
      <c r="B11" s="466">
        <v>2520</v>
      </c>
      <c r="C11" s="467">
        <v>1.2</v>
      </c>
      <c r="D11" s="467">
        <v>0.46800000000000003</v>
      </c>
      <c r="E11" s="467">
        <v>0.44964999999999999</v>
      </c>
      <c r="F11" s="467">
        <v>0.48470000000000008</v>
      </c>
      <c r="G11" s="467">
        <v>0.43065000000000009</v>
      </c>
      <c r="H11" s="467">
        <v>0.28600000000000003</v>
      </c>
      <c r="I11" s="467">
        <v>0.50700000000000001</v>
      </c>
      <c r="J11" s="467">
        <v>0.54600000000000004</v>
      </c>
      <c r="K11" s="468">
        <v>0.50700000000000012</v>
      </c>
      <c r="M11" s="461" t="s">
        <v>1313</v>
      </c>
      <c r="N11" s="461"/>
      <c r="O11" s="461"/>
      <c r="P11" s="461"/>
      <c r="Q11" s="461"/>
      <c r="R11" s="461"/>
      <c r="S11" s="168"/>
      <c r="T11" s="168"/>
      <c r="U11" s="168"/>
      <c r="V11" s="461"/>
      <c r="W11" s="461"/>
      <c r="X11" s="461"/>
      <c r="Y11" s="461"/>
      <c r="Z11" s="461"/>
      <c r="AA11" s="461"/>
      <c r="AB11" s="461"/>
      <c r="AC11" s="461"/>
      <c r="AD11" s="461"/>
      <c r="AE11" s="461"/>
      <c r="AF11" s="461"/>
    </row>
    <row r="12" spans="1:32" s="460" customFormat="1" x14ac:dyDescent="0.25">
      <c r="B12" s="469">
        <v>2940</v>
      </c>
      <c r="C12" s="470">
        <v>1.4</v>
      </c>
      <c r="D12" s="470">
        <v>0.44200000000000006</v>
      </c>
      <c r="E12" s="470">
        <v>0.41054999999999997</v>
      </c>
      <c r="F12" s="470">
        <v>0.41920000000000002</v>
      </c>
      <c r="G12" s="470">
        <v>0.39149999999999996</v>
      </c>
      <c r="H12" s="470">
        <v>0.28600000000000003</v>
      </c>
      <c r="I12" s="470">
        <v>0.41599999999999998</v>
      </c>
      <c r="J12" s="470">
        <v>0.48099999999999998</v>
      </c>
      <c r="K12" s="471">
        <v>0.4290000000000001</v>
      </c>
      <c r="M12" s="461"/>
      <c r="N12" s="461"/>
      <c r="O12" s="461"/>
      <c r="P12" s="461"/>
      <c r="Q12" s="461"/>
      <c r="R12" s="461"/>
      <c r="S12" s="168"/>
      <c r="T12" s="168"/>
      <c r="U12" s="168"/>
      <c r="V12" s="461"/>
      <c r="W12" s="461"/>
      <c r="X12" s="461"/>
      <c r="Y12" s="461"/>
      <c r="Z12" s="461"/>
      <c r="AA12" s="461"/>
      <c r="AB12" s="461"/>
      <c r="AC12" s="461"/>
      <c r="AD12" s="461"/>
      <c r="AE12" s="461"/>
      <c r="AF12" s="461"/>
    </row>
    <row r="13" spans="1:32" s="460" customFormat="1" x14ac:dyDescent="0.25">
      <c r="B13" s="466">
        <v>3360</v>
      </c>
      <c r="C13" s="467">
        <v>1.6</v>
      </c>
      <c r="D13" s="467">
        <v>0.39</v>
      </c>
      <c r="E13" s="467">
        <v>0.35189999999999994</v>
      </c>
      <c r="F13" s="467">
        <v>0.36680000000000007</v>
      </c>
      <c r="G13" s="467">
        <v>0.33930000000000005</v>
      </c>
      <c r="H13" s="467">
        <v>0.23399999999999999</v>
      </c>
      <c r="I13" s="467">
        <v>0.377</v>
      </c>
      <c r="J13" s="467">
        <v>0.44200000000000006</v>
      </c>
      <c r="K13" s="468">
        <v>0.40950000000000009</v>
      </c>
      <c r="M13" s="481" t="s">
        <v>1312</v>
      </c>
      <c r="N13" s="483">
        <v>0.75186507055881702</v>
      </c>
      <c r="O13" s="461"/>
      <c r="P13" s="461"/>
      <c r="Q13" s="461"/>
      <c r="R13" s="461"/>
      <c r="S13" s="168"/>
      <c r="T13" s="168"/>
      <c r="U13" s="168"/>
      <c r="V13" s="461"/>
      <c r="W13" s="461"/>
      <c r="X13" s="461"/>
      <c r="Y13" s="461"/>
      <c r="Z13" s="461"/>
      <c r="AA13" s="461"/>
      <c r="AB13" s="461"/>
      <c r="AC13" s="461"/>
      <c r="AD13" s="461"/>
      <c r="AE13" s="461"/>
      <c r="AF13" s="461"/>
    </row>
    <row r="14" spans="1:32" s="460" customFormat="1" ht="13" thickBot="1" x14ac:dyDescent="0.3">
      <c r="B14" s="469">
        <v>3780</v>
      </c>
      <c r="C14" s="470">
        <v>1.8</v>
      </c>
      <c r="D14" s="470">
        <v>0.33800000000000002</v>
      </c>
      <c r="E14" s="470">
        <v>0.35189999999999994</v>
      </c>
      <c r="F14" s="470">
        <v>0.35370000000000007</v>
      </c>
      <c r="G14" s="470">
        <v>0.28710000000000002</v>
      </c>
      <c r="H14" s="470">
        <v>0.221</v>
      </c>
      <c r="I14" s="470">
        <v>0.36400000000000005</v>
      </c>
      <c r="J14" s="470">
        <v>0.39</v>
      </c>
      <c r="K14" s="471">
        <v>0.35100000000000003</v>
      </c>
      <c r="M14" s="461" t="s">
        <v>1314</v>
      </c>
      <c r="N14" s="461"/>
      <c r="O14" s="461"/>
      <c r="P14" s="461"/>
      <c r="Q14" s="461"/>
      <c r="R14" s="461"/>
      <c r="S14" s="168"/>
      <c r="T14" s="168"/>
      <c r="U14" s="168"/>
      <c r="V14" s="461"/>
      <c r="W14" s="461"/>
      <c r="X14" s="461"/>
      <c r="Y14" s="461"/>
      <c r="Z14" s="461"/>
      <c r="AA14" s="461"/>
      <c r="AB14" s="461"/>
      <c r="AC14" s="461"/>
      <c r="AD14" s="461"/>
      <c r="AE14" s="461"/>
      <c r="AF14" s="461"/>
    </row>
    <row r="15" spans="1:32" s="460" customFormat="1" x14ac:dyDescent="0.25">
      <c r="B15" s="484">
        <v>4200</v>
      </c>
      <c r="C15" s="485">
        <v>2</v>
      </c>
      <c r="D15" s="485">
        <v>0.312</v>
      </c>
      <c r="E15" s="485">
        <v>0.33235000000000003</v>
      </c>
      <c r="F15" s="485">
        <v>0.30130000000000007</v>
      </c>
      <c r="G15" s="485">
        <v>0.27405000000000002</v>
      </c>
      <c r="H15" s="485">
        <v>0.20799999999999999</v>
      </c>
      <c r="I15" s="485">
        <v>0.312</v>
      </c>
      <c r="J15" s="485">
        <v>0.36400000000000005</v>
      </c>
      <c r="K15" s="486">
        <v>0.33150000000000007</v>
      </c>
      <c r="L15" s="487" t="s">
        <v>1094</v>
      </c>
      <c r="M15" s="488" t="s">
        <v>1307</v>
      </c>
      <c r="N15" s="489">
        <v>1.1499999999999999</v>
      </c>
      <c r="O15" s="461"/>
      <c r="P15" s="461"/>
      <c r="Q15" s="461"/>
      <c r="R15" s="461"/>
      <c r="S15" s="168"/>
      <c r="T15" s="168"/>
      <c r="U15" s="168"/>
      <c r="V15" s="461"/>
      <c r="W15" s="461"/>
      <c r="X15" s="461"/>
      <c r="Y15" s="461"/>
      <c r="Z15" s="461"/>
      <c r="AA15" s="461"/>
      <c r="AB15" s="461"/>
      <c r="AC15" s="461"/>
      <c r="AD15" s="461"/>
      <c r="AE15" s="461"/>
      <c r="AF15" s="461"/>
    </row>
    <row r="16" spans="1:32" s="460" customFormat="1" x14ac:dyDescent="0.25">
      <c r="L16" s="490" t="s">
        <v>1075</v>
      </c>
      <c r="M16" s="1413" t="s">
        <v>1311</v>
      </c>
      <c r="N16" s="491">
        <v>0.90781913797078717</v>
      </c>
      <c r="O16" s="461"/>
      <c r="P16" s="461"/>
      <c r="Q16" s="461"/>
      <c r="R16" s="461"/>
      <c r="S16" s="168"/>
      <c r="T16" s="168"/>
      <c r="U16" s="168"/>
      <c r="V16" s="461"/>
      <c r="W16" s="461"/>
      <c r="X16" s="461"/>
      <c r="Y16" s="461"/>
      <c r="Z16" s="461"/>
      <c r="AA16" s="461"/>
      <c r="AB16" s="461"/>
      <c r="AC16" s="461"/>
      <c r="AD16" s="461"/>
      <c r="AE16" s="461"/>
      <c r="AF16" s="461"/>
    </row>
    <row r="17" spans="1:32" s="460" customFormat="1" ht="13" thickBot="1" x14ac:dyDescent="0.3">
      <c r="L17" s="492" t="s">
        <v>1085</v>
      </c>
      <c r="M17" s="493" t="s">
        <v>1309</v>
      </c>
      <c r="N17" s="494">
        <v>1</v>
      </c>
      <c r="O17" s="461"/>
      <c r="P17" s="461"/>
      <c r="Q17" s="461"/>
      <c r="R17" s="461"/>
      <c r="S17" s="168"/>
      <c r="T17" s="168"/>
      <c r="U17" s="168"/>
      <c r="V17" s="461"/>
      <c r="W17" s="461"/>
      <c r="X17" s="461"/>
      <c r="Y17" s="461"/>
      <c r="Z17" s="461"/>
      <c r="AA17" s="461"/>
      <c r="AB17" s="461"/>
      <c r="AC17" s="461"/>
      <c r="AD17" s="461"/>
      <c r="AE17" s="461"/>
      <c r="AF17" s="461"/>
    </row>
    <row r="18" spans="1:32" x14ac:dyDescent="0.25">
      <c r="A18" s="495" t="s">
        <v>1242</v>
      </c>
      <c r="F18" s="433"/>
      <c r="G18" s="433"/>
      <c r="I18" s="496"/>
      <c r="J18" s="496"/>
      <c r="Q18" s="433"/>
      <c r="R18" s="433"/>
      <c r="AB18" s="433"/>
      <c r="AC18" s="433"/>
      <c r="AD18" s="433"/>
    </row>
    <row r="19" spans="1:32" x14ac:dyDescent="0.25">
      <c r="F19" s="433"/>
      <c r="G19" s="433"/>
      <c r="I19" s="496"/>
      <c r="J19" s="496"/>
      <c r="Q19" s="433"/>
      <c r="R19" s="433"/>
      <c r="AB19" s="433"/>
      <c r="AC19" s="433"/>
      <c r="AD19" s="433"/>
    </row>
    <row r="20" spans="1:32" s="460" customFormat="1" ht="47.25" customHeight="1" x14ac:dyDescent="0.25">
      <c r="B20" s="459" t="s">
        <v>1315</v>
      </c>
      <c r="M20" s="1585" t="s">
        <v>1316</v>
      </c>
      <c r="N20" s="1585"/>
      <c r="O20" s="461"/>
      <c r="P20" s="459" t="s">
        <v>1317</v>
      </c>
      <c r="Q20" s="461"/>
      <c r="R20" s="461"/>
      <c r="S20" s="168"/>
      <c r="T20" s="168"/>
      <c r="U20" s="168"/>
      <c r="V20" s="461"/>
      <c r="W20" s="461"/>
      <c r="X20" s="461"/>
      <c r="Y20" s="461"/>
      <c r="Z20" s="461"/>
      <c r="AA20" s="461"/>
      <c r="AB20" s="461"/>
      <c r="AC20" s="461"/>
      <c r="AD20" s="461"/>
      <c r="AE20" s="461"/>
      <c r="AF20" s="461"/>
    </row>
    <row r="21" spans="1:32" s="460" customFormat="1" x14ac:dyDescent="0.25">
      <c r="M21" s="461"/>
      <c r="N21" s="461"/>
      <c r="O21" s="461"/>
      <c r="P21" s="461"/>
      <c r="Q21" s="461"/>
      <c r="R21" s="461"/>
      <c r="S21" s="168"/>
      <c r="T21" s="168"/>
      <c r="U21" s="168"/>
      <c r="V21" s="461"/>
      <c r="W21" s="461"/>
      <c r="X21" s="461"/>
      <c r="Y21" s="461"/>
      <c r="Z21" s="461"/>
      <c r="AA21" s="461"/>
      <c r="AB21" s="461"/>
      <c r="AC21" s="461"/>
      <c r="AD21" s="461"/>
      <c r="AE21" s="461"/>
      <c r="AF21" s="461"/>
    </row>
    <row r="22" spans="1:32" s="460" customFormat="1" ht="39" x14ac:dyDescent="0.25">
      <c r="B22" s="472" t="s">
        <v>1297</v>
      </c>
      <c r="C22" s="463" t="s">
        <v>1298</v>
      </c>
      <c r="D22" s="497" t="s">
        <v>1230</v>
      </c>
      <c r="E22" s="497" t="s">
        <v>1231</v>
      </c>
      <c r="F22" s="497" t="s">
        <v>1232</v>
      </c>
      <c r="G22" s="497" t="s">
        <v>1233</v>
      </c>
      <c r="H22" s="497" t="s">
        <v>1234</v>
      </c>
      <c r="I22" s="497" t="s">
        <v>1235</v>
      </c>
      <c r="J22" s="497" t="s">
        <v>1236</v>
      </c>
      <c r="K22" s="498" t="s">
        <v>1237</v>
      </c>
      <c r="M22" s="461"/>
      <c r="N22" s="461"/>
      <c r="O22" s="461"/>
      <c r="P22" s="461"/>
      <c r="Q22" s="461"/>
      <c r="R22" s="461"/>
      <c r="S22" s="168"/>
      <c r="T22" s="168"/>
      <c r="U22" s="168"/>
      <c r="V22" s="461"/>
      <c r="W22" s="461"/>
      <c r="X22" s="461"/>
      <c r="Y22" s="461"/>
      <c r="Z22" s="461"/>
      <c r="AA22" s="461"/>
      <c r="AB22" s="461"/>
      <c r="AC22" s="461"/>
      <c r="AD22" s="461"/>
      <c r="AE22" s="461"/>
      <c r="AF22" s="461"/>
    </row>
    <row r="23" spans="1:32" s="460" customFormat="1" ht="13" x14ac:dyDescent="0.25">
      <c r="B23" s="466">
        <v>0</v>
      </c>
      <c r="C23" s="499">
        <v>0</v>
      </c>
      <c r="D23" s="467">
        <v>0.60839999999999994</v>
      </c>
      <c r="E23" s="467">
        <v>0.9575999999999999</v>
      </c>
      <c r="F23" s="467">
        <v>1.4319000000000002</v>
      </c>
      <c r="G23" s="467">
        <v>1.1903999999999999</v>
      </c>
      <c r="H23" s="467">
        <v>0.70469999999999999</v>
      </c>
      <c r="I23" s="467">
        <v>1.1493500000000001</v>
      </c>
      <c r="J23" s="467">
        <v>1.32</v>
      </c>
      <c r="K23" s="468">
        <v>0.9222499999999999</v>
      </c>
      <c r="M23" s="472" t="s">
        <v>1299</v>
      </c>
      <c r="N23" s="465" t="s">
        <v>1300</v>
      </c>
      <c r="O23" s="461"/>
      <c r="P23" s="472" t="s">
        <v>1301</v>
      </c>
      <c r="Q23" s="465" t="s">
        <v>1302</v>
      </c>
      <c r="R23" s="461"/>
      <c r="S23" s="168"/>
      <c r="T23" s="168"/>
      <c r="U23" s="168"/>
      <c r="V23" s="461"/>
      <c r="W23" s="461"/>
      <c r="X23" s="461"/>
      <c r="Y23" s="461"/>
      <c r="Z23" s="461"/>
      <c r="AA23" s="461"/>
      <c r="AB23" s="461"/>
      <c r="AC23" s="461"/>
      <c r="AD23" s="461"/>
      <c r="AE23" s="461"/>
      <c r="AF23" s="461"/>
    </row>
    <row r="24" spans="1:32" s="460" customFormat="1" x14ac:dyDescent="0.25">
      <c r="B24" s="469">
        <v>105</v>
      </c>
      <c r="C24" s="500">
        <v>0.05</v>
      </c>
      <c r="D24" s="470">
        <v>0.51479999999999992</v>
      </c>
      <c r="E24" s="470">
        <v>0.84359999999999991</v>
      </c>
      <c r="F24" s="470">
        <v>1.3209000000000002</v>
      </c>
      <c r="G24" s="470">
        <v>1.0847999999999998</v>
      </c>
      <c r="H24" s="470">
        <v>0.60750000000000004</v>
      </c>
      <c r="I24" s="470">
        <v>1.0588500000000001</v>
      </c>
      <c r="J24" s="470">
        <v>1.23</v>
      </c>
      <c r="K24" s="471">
        <v>0.81374999999999986</v>
      </c>
      <c r="M24" s="473" t="s">
        <v>1303</v>
      </c>
      <c r="N24" s="479">
        <v>0.56999999999999995</v>
      </c>
      <c r="O24" s="461"/>
      <c r="P24" s="473" t="s">
        <v>1304</v>
      </c>
      <c r="Q24" s="475">
        <v>4.3094094436355757E-2</v>
      </c>
      <c r="R24" s="461"/>
      <c r="S24" s="168"/>
      <c r="T24" s="168"/>
      <c r="U24" s="168"/>
      <c r="V24" s="461"/>
      <c r="W24" s="461"/>
      <c r="X24" s="461"/>
      <c r="Y24" s="461"/>
      <c r="Z24" s="461"/>
      <c r="AA24" s="461"/>
      <c r="AB24" s="461"/>
      <c r="AC24" s="461"/>
      <c r="AD24" s="461"/>
      <c r="AE24" s="461"/>
      <c r="AF24" s="461"/>
    </row>
    <row r="25" spans="1:32" s="460" customFormat="1" x14ac:dyDescent="0.25">
      <c r="B25" s="466">
        <v>210</v>
      </c>
      <c r="C25" s="499">
        <v>0.1</v>
      </c>
      <c r="D25" s="467">
        <v>0.47969999999999996</v>
      </c>
      <c r="E25" s="467">
        <v>0.7752</v>
      </c>
      <c r="F25" s="467">
        <v>1.2321000000000002</v>
      </c>
      <c r="G25" s="467">
        <v>1.0271999999999999</v>
      </c>
      <c r="H25" s="467">
        <v>0.55080000000000007</v>
      </c>
      <c r="I25" s="467">
        <v>0.98645000000000016</v>
      </c>
      <c r="J25" s="467">
        <v>1.1499999999999999</v>
      </c>
      <c r="K25" s="468">
        <v>0.74864999999999993</v>
      </c>
      <c r="M25" s="476" t="s">
        <v>1305</v>
      </c>
      <c r="N25" s="480">
        <v>1.35</v>
      </c>
      <c r="O25" s="461"/>
      <c r="P25" s="476" t="s">
        <v>1306</v>
      </c>
      <c r="Q25" s="478">
        <v>4.9671538045378313E-2</v>
      </c>
      <c r="R25" s="461"/>
      <c r="S25" s="168"/>
      <c r="T25" s="168"/>
      <c r="U25" s="168"/>
      <c r="V25" s="461"/>
      <c r="W25" s="461"/>
      <c r="X25" s="461"/>
      <c r="Y25" s="461"/>
      <c r="Z25" s="461"/>
      <c r="AA25" s="461"/>
      <c r="AB25" s="461"/>
      <c r="AC25" s="461"/>
      <c r="AD25" s="461"/>
      <c r="AE25" s="461"/>
      <c r="AF25" s="461"/>
    </row>
    <row r="26" spans="1:32" s="460" customFormat="1" x14ac:dyDescent="0.25">
      <c r="B26" s="469">
        <v>420</v>
      </c>
      <c r="C26" s="500">
        <v>0.2</v>
      </c>
      <c r="D26" s="470">
        <v>0.4328999999999999</v>
      </c>
      <c r="E26" s="470">
        <v>0.67259999999999986</v>
      </c>
      <c r="F26" s="470">
        <v>1.1211</v>
      </c>
      <c r="G26" s="470">
        <v>0.90239999999999987</v>
      </c>
      <c r="H26" s="470">
        <v>0.44550000000000001</v>
      </c>
      <c r="I26" s="470">
        <v>0.85070000000000001</v>
      </c>
      <c r="J26" s="470">
        <v>1</v>
      </c>
      <c r="K26" s="471">
        <v>0.65100000000000002</v>
      </c>
      <c r="M26" s="473" t="s">
        <v>1307</v>
      </c>
      <c r="N26" s="479">
        <v>1.19</v>
      </c>
      <c r="O26" s="461"/>
      <c r="P26" s="473" t="s">
        <v>1308</v>
      </c>
      <c r="Q26" s="475">
        <v>5.4056500451393354E-2</v>
      </c>
      <c r="R26" s="461"/>
      <c r="S26" s="168"/>
      <c r="T26" s="168"/>
      <c r="U26" s="168"/>
      <c r="V26" s="461"/>
      <c r="W26" s="461"/>
      <c r="X26" s="461"/>
      <c r="Y26" s="461"/>
      <c r="Z26" s="461"/>
      <c r="AA26" s="461"/>
      <c r="AB26" s="461"/>
      <c r="AC26" s="461"/>
      <c r="AD26" s="461"/>
      <c r="AE26" s="461"/>
      <c r="AF26" s="461"/>
    </row>
    <row r="27" spans="1:32" s="460" customFormat="1" x14ac:dyDescent="0.25">
      <c r="B27" s="466">
        <v>840</v>
      </c>
      <c r="C27" s="499">
        <v>0.4</v>
      </c>
      <c r="D27" s="467">
        <v>0.35099999999999992</v>
      </c>
      <c r="E27" s="467">
        <v>0.5129999999999999</v>
      </c>
      <c r="F27" s="467">
        <v>0.87690000000000012</v>
      </c>
      <c r="G27" s="467">
        <v>0.66239999999999988</v>
      </c>
      <c r="H27" s="467">
        <v>0.34019999999999995</v>
      </c>
      <c r="I27" s="467">
        <v>0.67874999999999996</v>
      </c>
      <c r="J27" s="467">
        <v>0.82999999999999985</v>
      </c>
      <c r="K27" s="468">
        <v>0.50995000000000001</v>
      </c>
      <c r="M27" s="476" t="s">
        <v>1309</v>
      </c>
      <c r="N27" s="480">
        <v>1</v>
      </c>
      <c r="O27" s="461"/>
      <c r="P27" s="481" t="s">
        <v>1310</v>
      </c>
      <c r="Q27" s="482">
        <v>5.6979808722070042E-2</v>
      </c>
      <c r="R27" s="461"/>
      <c r="S27" s="168"/>
      <c r="T27" s="168"/>
      <c r="U27" s="168"/>
      <c r="V27" s="461"/>
      <c r="W27" s="461"/>
      <c r="X27" s="461"/>
      <c r="Y27" s="461"/>
      <c r="Z27" s="461"/>
      <c r="AA27" s="461"/>
      <c r="AB27" s="461"/>
      <c r="AC27" s="461"/>
      <c r="AD27" s="461"/>
      <c r="AE27" s="461"/>
      <c r="AF27" s="461"/>
    </row>
    <row r="28" spans="1:32" s="460" customFormat="1" x14ac:dyDescent="0.25">
      <c r="B28" s="469">
        <v>1260</v>
      </c>
      <c r="C28" s="500">
        <v>0.6</v>
      </c>
      <c r="D28" s="470">
        <v>0.29249999999999993</v>
      </c>
      <c r="E28" s="470">
        <v>0.42179999999999995</v>
      </c>
      <c r="F28" s="470">
        <v>0.73260000000000014</v>
      </c>
      <c r="G28" s="470">
        <v>0.5663999999999999</v>
      </c>
      <c r="H28" s="470">
        <v>0.27540000000000003</v>
      </c>
      <c r="I28" s="470">
        <v>0.54300000000000004</v>
      </c>
      <c r="J28" s="470">
        <v>0.66</v>
      </c>
      <c r="K28" s="471">
        <v>0.4123</v>
      </c>
      <c r="M28" s="501" t="s">
        <v>1311</v>
      </c>
      <c r="N28" s="502">
        <v>0.87</v>
      </c>
      <c r="O28" s="461"/>
      <c r="P28" s="461"/>
      <c r="Q28" s="461"/>
      <c r="R28" s="461"/>
      <c r="S28" s="168"/>
      <c r="T28" s="168"/>
      <c r="U28" s="168"/>
      <c r="V28" s="461"/>
      <c r="W28" s="461"/>
      <c r="X28" s="461"/>
      <c r="Y28" s="461"/>
      <c r="Z28" s="461"/>
      <c r="AA28" s="461"/>
      <c r="AB28" s="461"/>
      <c r="AC28" s="461"/>
      <c r="AD28" s="461"/>
      <c r="AE28" s="461"/>
      <c r="AF28" s="461"/>
    </row>
    <row r="29" spans="1:32" s="460" customFormat="1" x14ac:dyDescent="0.25">
      <c r="B29" s="466">
        <v>1680</v>
      </c>
      <c r="C29" s="499">
        <v>0.8</v>
      </c>
      <c r="D29" s="467">
        <v>0.25739999999999996</v>
      </c>
      <c r="E29" s="467">
        <v>0.35339999999999999</v>
      </c>
      <c r="F29" s="467">
        <v>0.58830000000000005</v>
      </c>
      <c r="G29" s="467">
        <v>0.45119999999999993</v>
      </c>
      <c r="H29" s="467">
        <v>0.24299999999999997</v>
      </c>
      <c r="I29" s="467">
        <v>0.47060000000000002</v>
      </c>
      <c r="J29" s="467">
        <v>0.57999999999999996</v>
      </c>
      <c r="K29" s="468">
        <v>0.34719999999999995</v>
      </c>
      <c r="M29" s="461"/>
      <c r="N29" s="461"/>
      <c r="O29" s="461"/>
      <c r="P29" s="461"/>
      <c r="Q29" s="461"/>
      <c r="R29" s="461"/>
      <c r="S29" s="168"/>
      <c r="T29" s="168"/>
      <c r="U29" s="168"/>
      <c r="V29" s="461"/>
      <c r="W29" s="461"/>
      <c r="X29" s="461"/>
      <c r="Y29" s="461"/>
      <c r="Z29" s="461"/>
      <c r="AA29" s="461"/>
      <c r="AB29" s="461"/>
      <c r="AC29" s="461"/>
      <c r="AD29" s="461"/>
      <c r="AE29" s="461"/>
      <c r="AF29" s="461"/>
    </row>
    <row r="30" spans="1:32" s="460" customFormat="1" ht="13" thickBot="1" x14ac:dyDescent="0.3">
      <c r="B30" s="469">
        <v>2100</v>
      </c>
      <c r="C30" s="500">
        <v>1</v>
      </c>
      <c r="D30" s="470">
        <v>0.22229999999999997</v>
      </c>
      <c r="E30" s="470">
        <v>0.2964</v>
      </c>
      <c r="F30" s="470">
        <v>0.49950000000000006</v>
      </c>
      <c r="G30" s="470">
        <v>0.39359999999999995</v>
      </c>
      <c r="H30" s="470">
        <v>0.20249999999999999</v>
      </c>
      <c r="I30" s="470">
        <v>0.38915000000000005</v>
      </c>
      <c r="J30" s="470">
        <v>0.48</v>
      </c>
      <c r="K30" s="471">
        <v>0.30380000000000001</v>
      </c>
      <c r="M30" s="461" t="s">
        <v>1318</v>
      </c>
      <c r="N30" s="461"/>
      <c r="O30" s="461"/>
      <c r="P30" s="461"/>
      <c r="Q30" s="461"/>
      <c r="R30" s="461"/>
      <c r="S30" s="168"/>
      <c r="T30" s="168"/>
      <c r="U30" s="168"/>
      <c r="V30" s="461"/>
      <c r="W30" s="461"/>
      <c r="X30" s="461"/>
      <c r="Y30" s="461"/>
      <c r="Z30" s="461"/>
      <c r="AA30" s="461"/>
      <c r="AB30" s="461"/>
      <c r="AC30" s="461"/>
      <c r="AD30" s="461"/>
      <c r="AE30" s="461"/>
      <c r="AF30" s="461"/>
    </row>
    <row r="31" spans="1:32" s="460" customFormat="1" x14ac:dyDescent="0.25">
      <c r="B31" s="466">
        <v>2520</v>
      </c>
      <c r="C31" s="499">
        <v>1.2</v>
      </c>
      <c r="D31" s="467">
        <v>0.21059999999999998</v>
      </c>
      <c r="E31" s="467">
        <v>0.26219999999999999</v>
      </c>
      <c r="F31" s="467">
        <v>0.41070000000000007</v>
      </c>
      <c r="G31" s="467">
        <v>0.31680000000000003</v>
      </c>
      <c r="H31" s="467">
        <v>0.17820000000000003</v>
      </c>
      <c r="I31" s="467">
        <v>0.35295000000000004</v>
      </c>
      <c r="J31" s="467">
        <v>0.42000000000000004</v>
      </c>
      <c r="K31" s="468">
        <v>0.28210000000000002</v>
      </c>
      <c r="L31" s="487" t="s">
        <v>1094</v>
      </c>
      <c r="M31" s="488" t="s">
        <v>1307</v>
      </c>
      <c r="N31" s="503">
        <v>1.19</v>
      </c>
      <c r="O31" s="461"/>
      <c r="P31" s="461"/>
      <c r="Q31" s="461"/>
      <c r="R31" s="461"/>
      <c r="S31" s="168"/>
      <c r="T31" s="168"/>
      <c r="U31" s="168"/>
      <c r="V31" s="461"/>
      <c r="W31" s="461"/>
      <c r="X31" s="461"/>
      <c r="Y31" s="461"/>
      <c r="Z31" s="461"/>
      <c r="AA31" s="461"/>
      <c r="AB31" s="461"/>
      <c r="AC31" s="461"/>
      <c r="AD31" s="461"/>
      <c r="AE31" s="461"/>
      <c r="AF31" s="461"/>
    </row>
    <row r="32" spans="1:32" s="460" customFormat="1" x14ac:dyDescent="0.25">
      <c r="B32" s="469">
        <v>2940</v>
      </c>
      <c r="C32" s="500">
        <v>1.4</v>
      </c>
      <c r="D32" s="470">
        <v>0.19889999999999999</v>
      </c>
      <c r="E32" s="470">
        <v>0.23939999999999997</v>
      </c>
      <c r="F32" s="470">
        <v>0.35520000000000002</v>
      </c>
      <c r="G32" s="470">
        <v>0.28799999999999998</v>
      </c>
      <c r="H32" s="470">
        <v>0.17820000000000003</v>
      </c>
      <c r="I32" s="470">
        <v>0.28960000000000002</v>
      </c>
      <c r="J32" s="470">
        <v>0.37</v>
      </c>
      <c r="K32" s="471">
        <v>0.2387</v>
      </c>
      <c r="L32" s="490" t="s">
        <v>1075</v>
      </c>
      <c r="M32" s="1413" t="s">
        <v>1311</v>
      </c>
      <c r="N32" s="504">
        <v>0.87</v>
      </c>
      <c r="O32" s="461"/>
      <c r="P32" s="461"/>
      <c r="Q32" s="461"/>
      <c r="R32" s="461"/>
      <c r="S32" s="168"/>
      <c r="T32" s="168"/>
      <c r="U32" s="168"/>
      <c r="V32" s="461"/>
      <c r="W32" s="461"/>
      <c r="X32" s="461"/>
      <c r="Y32" s="461"/>
      <c r="Z32" s="461"/>
      <c r="AA32" s="461"/>
      <c r="AB32" s="461"/>
      <c r="AC32" s="461"/>
      <c r="AD32" s="461"/>
      <c r="AE32" s="461"/>
      <c r="AF32" s="461"/>
    </row>
    <row r="33" spans="2:32" s="460" customFormat="1" ht="13" thickBot="1" x14ac:dyDescent="0.3">
      <c r="B33" s="466">
        <v>3360</v>
      </c>
      <c r="C33" s="499">
        <v>1.6</v>
      </c>
      <c r="D33" s="467">
        <v>0.17549999999999996</v>
      </c>
      <c r="E33" s="467">
        <v>0.20519999999999997</v>
      </c>
      <c r="F33" s="467">
        <v>0.31080000000000008</v>
      </c>
      <c r="G33" s="467">
        <v>0.24959999999999999</v>
      </c>
      <c r="H33" s="467">
        <v>0.14579999999999999</v>
      </c>
      <c r="I33" s="467">
        <v>0.26245000000000002</v>
      </c>
      <c r="J33" s="467">
        <v>0.34</v>
      </c>
      <c r="K33" s="468">
        <v>0.22785</v>
      </c>
      <c r="L33" s="492" t="s">
        <v>1085</v>
      </c>
      <c r="M33" s="493" t="s">
        <v>1309</v>
      </c>
      <c r="N33" s="505">
        <v>1</v>
      </c>
      <c r="O33" s="461"/>
      <c r="P33" s="461"/>
      <c r="Q33" s="461"/>
      <c r="R33" s="461"/>
      <c r="S33" s="168"/>
      <c r="T33" s="168"/>
      <c r="U33" s="168"/>
      <c r="V33" s="461"/>
      <c r="W33" s="461"/>
      <c r="X33" s="461"/>
      <c r="Y33" s="461"/>
      <c r="Z33" s="461"/>
      <c r="AA33" s="461"/>
      <c r="AB33" s="461"/>
      <c r="AC33" s="461"/>
      <c r="AD33" s="461"/>
      <c r="AE33" s="461"/>
      <c r="AF33" s="461"/>
    </row>
    <row r="34" spans="2:32" s="460" customFormat="1" x14ac:dyDescent="0.25">
      <c r="B34" s="469">
        <v>3780</v>
      </c>
      <c r="C34" s="500">
        <v>1.8</v>
      </c>
      <c r="D34" s="470">
        <v>0.15209999999999999</v>
      </c>
      <c r="E34" s="470">
        <v>0.20519999999999997</v>
      </c>
      <c r="F34" s="470">
        <v>0.29970000000000008</v>
      </c>
      <c r="G34" s="470">
        <v>0.2112</v>
      </c>
      <c r="H34" s="470">
        <v>0.13770000000000002</v>
      </c>
      <c r="I34" s="470">
        <v>0.25340000000000007</v>
      </c>
      <c r="J34" s="470">
        <v>0.3</v>
      </c>
      <c r="K34" s="471">
        <v>0.19529999999999997</v>
      </c>
      <c r="M34" s="461"/>
      <c r="N34" s="461"/>
      <c r="O34" s="461"/>
      <c r="P34" s="461"/>
      <c r="Q34" s="461"/>
      <c r="R34" s="461"/>
      <c r="S34" s="168"/>
      <c r="T34" s="168"/>
      <c r="U34" s="168"/>
      <c r="V34" s="461"/>
      <c r="W34" s="461"/>
      <c r="X34" s="461"/>
      <c r="Y34" s="461"/>
      <c r="Z34" s="461"/>
      <c r="AA34" s="461"/>
      <c r="AB34" s="461"/>
      <c r="AC34" s="461"/>
      <c r="AD34" s="461"/>
      <c r="AE34" s="461"/>
      <c r="AF34" s="461"/>
    </row>
    <row r="35" spans="2:32" s="460" customFormat="1" x14ac:dyDescent="0.25">
      <c r="B35" s="484">
        <v>4200</v>
      </c>
      <c r="C35" s="506">
        <v>2</v>
      </c>
      <c r="D35" s="485">
        <v>0.14039999999999997</v>
      </c>
      <c r="E35" s="485">
        <v>0.1938</v>
      </c>
      <c r="F35" s="485">
        <v>0.25530000000000003</v>
      </c>
      <c r="G35" s="485">
        <v>0.20159999999999997</v>
      </c>
      <c r="H35" s="485">
        <v>0.12959999999999999</v>
      </c>
      <c r="I35" s="485">
        <v>0.2172</v>
      </c>
      <c r="J35" s="485">
        <v>0.28000000000000003</v>
      </c>
      <c r="K35" s="486">
        <v>0.18445</v>
      </c>
      <c r="O35" s="461"/>
      <c r="P35" s="461"/>
      <c r="Q35" s="461"/>
      <c r="R35" s="461"/>
      <c r="S35" s="168"/>
      <c r="T35" s="168"/>
      <c r="U35" s="168"/>
      <c r="V35" s="461"/>
      <c r="W35" s="461"/>
      <c r="X35" s="461"/>
      <c r="Y35" s="461"/>
      <c r="Z35" s="461"/>
      <c r="AA35" s="461"/>
      <c r="AB35" s="461"/>
      <c r="AC35" s="461"/>
      <c r="AD35" s="461"/>
      <c r="AE35" s="461"/>
      <c r="AF35" s="461"/>
    </row>
    <row r="36" spans="2:32" x14ac:dyDescent="0.25">
      <c r="C36" s="507"/>
      <c r="D36" s="507"/>
      <c r="E36" s="507"/>
      <c r="F36" s="507"/>
      <c r="G36" s="508"/>
      <c r="O36" s="507"/>
      <c r="P36" s="507"/>
      <c r="Q36" s="507"/>
      <c r="R36" s="508"/>
    </row>
    <row r="37" spans="2:32" x14ac:dyDescent="0.25">
      <c r="C37" s="509"/>
      <c r="D37" s="509"/>
      <c r="E37" s="509"/>
      <c r="F37" s="509"/>
      <c r="G37" s="507"/>
      <c r="I37" s="510"/>
      <c r="J37" s="510"/>
      <c r="K37" s="510"/>
    </row>
    <row r="38" spans="2:32" x14ac:dyDescent="0.25">
      <c r="C38" s="509"/>
      <c r="D38" s="509"/>
      <c r="E38" s="509"/>
      <c r="F38" s="509"/>
      <c r="G38" s="507"/>
      <c r="I38" s="510"/>
      <c r="J38" s="510"/>
      <c r="K38" s="510"/>
    </row>
    <row r="39" spans="2:32" x14ac:dyDescent="0.25">
      <c r="C39" s="509"/>
      <c r="D39" s="509"/>
      <c r="E39" s="509"/>
      <c r="F39" s="509"/>
      <c r="G39" s="507"/>
      <c r="I39" s="510"/>
      <c r="J39" s="510"/>
      <c r="K39" s="510"/>
    </row>
    <row r="40" spans="2:32" x14ac:dyDescent="0.25">
      <c r="C40" s="509"/>
      <c r="D40" s="509"/>
      <c r="E40" s="509"/>
      <c r="F40" s="509"/>
      <c r="G40" s="507"/>
      <c r="I40" s="510"/>
      <c r="J40" s="510"/>
      <c r="K40" s="510"/>
    </row>
    <row r="42" spans="2:32" x14ac:dyDescent="0.25">
      <c r="C42" s="1584"/>
      <c r="D42" s="1584"/>
      <c r="E42" s="1584"/>
      <c r="N42" s="1584"/>
      <c r="O42" s="1584"/>
      <c r="P42" s="1584"/>
    </row>
    <row r="44" spans="2:32" x14ac:dyDescent="0.25">
      <c r="C44" s="507"/>
      <c r="D44" s="510"/>
      <c r="E44" s="507"/>
    </row>
    <row r="45" spans="2:32" x14ac:dyDescent="0.25">
      <c r="C45" s="507"/>
      <c r="D45" s="510"/>
      <c r="E45" s="507"/>
    </row>
    <row r="46" spans="2:32" x14ac:dyDescent="0.25">
      <c r="C46" s="507"/>
      <c r="D46" s="510"/>
      <c r="E46" s="507"/>
    </row>
    <row r="47" spans="2:32" x14ac:dyDescent="0.25">
      <c r="C47" s="507"/>
      <c r="D47" s="510"/>
      <c r="E47" s="507"/>
    </row>
    <row r="49" spans="1:10" x14ac:dyDescent="0.25">
      <c r="C49" s="1584"/>
      <c r="D49" s="1584"/>
      <c r="E49" s="1584"/>
      <c r="F49" s="1584"/>
      <c r="G49" s="1584"/>
      <c r="H49" s="1584"/>
      <c r="I49" s="1584"/>
      <c r="J49" s="1584"/>
    </row>
    <row r="52" spans="1:10" x14ac:dyDescent="0.25">
      <c r="C52" s="433"/>
      <c r="D52" s="433"/>
      <c r="E52" s="433"/>
      <c r="F52" s="433"/>
      <c r="G52" s="433"/>
      <c r="H52" s="433"/>
      <c r="I52" s="433"/>
      <c r="J52" s="433"/>
    </row>
    <row r="53" spans="1:10" x14ac:dyDescent="0.25">
      <c r="C53" s="433"/>
      <c r="D53" s="433"/>
      <c r="E53" s="433"/>
      <c r="F53" s="433"/>
      <c r="G53" s="433"/>
      <c r="H53" s="433"/>
      <c r="I53" s="433"/>
      <c r="J53" s="433"/>
    </row>
    <row r="54" spans="1:10" x14ac:dyDescent="0.25">
      <c r="C54" s="433"/>
      <c r="D54" s="433"/>
      <c r="E54" s="433"/>
      <c r="F54" s="433"/>
      <c r="G54" s="433"/>
      <c r="H54" s="433"/>
      <c r="I54" s="433"/>
      <c r="J54" s="433"/>
    </row>
    <row r="55" spans="1:10" x14ac:dyDescent="0.25">
      <c r="A55" s="168"/>
      <c r="C55" s="433"/>
      <c r="D55" s="433"/>
      <c r="E55" s="433"/>
      <c r="F55" s="433"/>
      <c r="G55" s="433"/>
      <c r="H55" s="433"/>
      <c r="I55" s="433"/>
      <c r="J55" s="433"/>
    </row>
    <row r="56" spans="1:10" x14ac:dyDescent="0.25">
      <c r="C56" s="433"/>
      <c r="D56" s="433"/>
      <c r="E56" s="433"/>
      <c r="F56" s="433"/>
      <c r="G56" s="433"/>
      <c r="H56" s="433"/>
      <c r="I56" s="433"/>
      <c r="J56" s="433"/>
    </row>
    <row r="57" spans="1:10" x14ac:dyDescent="0.25">
      <c r="D57" s="433"/>
      <c r="E57" s="433"/>
      <c r="F57" s="433"/>
      <c r="G57" s="433"/>
      <c r="H57" s="433"/>
      <c r="I57" s="433"/>
      <c r="J57" s="433"/>
    </row>
    <row r="58" spans="1:10" x14ac:dyDescent="0.25">
      <c r="C58" s="433"/>
      <c r="D58" s="433"/>
      <c r="E58" s="433"/>
      <c r="F58" s="433"/>
      <c r="G58" s="433"/>
      <c r="H58" s="433"/>
      <c r="I58" s="433"/>
      <c r="J58" s="433"/>
    </row>
    <row r="59" spans="1:10" x14ac:dyDescent="0.25">
      <c r="C59" s="433"/>
      <c r="D59" s="433"/>
      <c r="E59" s="433"/>
      <c r="F59" s="433"/>
      <c r="G59" s="433"/>
      <c r="H59" s="433"/>
      <c r="I59" s="433"/>
      <c r="J59" s="433"/>
    </row>
    <row r="60" spans="1:10" x14ac:dyDescent="0.25">
      <c r="C60" s="433"/>
      <c r="D60" s="433"/>
      <c r="E60" s="433"/>
      <c r="F60" s="433"/>
      <c r="G60" s="433"/>
      <c r="H60" s="433"/>
      <c r="I60" s="433"/>
      <c r="J60" s="433"/>
    </row>
    <row r="61" spans="1:10" x14ac:dyDescent="0.25">
      <c r="C61" s="433"/>
      <c r="D61" s="433"/>
      <c r="E61" s="433"/>
      <c r="F61" s="433"/>
      <c r="G61" s="433"/>
      <c r="H61" s="433"/>
      <c r="I61" s="433"/>
      <c r="J61" s="433"/>
    </row>
    <row r="62" spans="1:10" x14ac:dyDescent="0.25">
      <c r="C62" s="433"/>
      <c r="D62" s="433"/>
      <c r="E62" s="433"/>
      <c r="F62" s="433"/>
      <c r="G62" s="433"/>
      <c r="H62" s="433"/>
      <c r="I62" s="433"/>
      <c r="J62" s="433"/>
    </row>
    <row r="67" spans="3:7" x14ac:dyDescent="0.25">
      <c r="C67" s="507"/>
      <c r="D67" s="507"/>
      <c r="E67" s="507"/>
      <c r="F67" s="507"/>
      <c r="G67" s="507"/>
    </row>
    <row r="68" spans="3:7" x14ac:dyDescent="0.25">
      <c r="C68" s="507"/>
      <c r="D68" s="507"/>
      <c r="E68" s="507"/>
      <c r="F68" s="507"/>
      <c r="G68" s="507"/>
    </row>
  </sheetData>
  <sheetProtection algorithmName="SHA-512" hashValue="r60P2qHWUKzTjiKMlyNzhaK6VAIPvXQKsk0UmDI/Qnz/EQu/NzcG+e75G/4McJJKNxKaZNM1mfIg3lQxWKNu4A==" saltValue="TzF6bo//s/qJ1A9RKTokEA==" spinCount="100000" sheet="1" objects="1" scenarios="1" autoFilter="0"/>
  <mergeCells count="6">
    <mergeCell ref="C49:J49"/>
    <mergeCell ref="M1:N1"/>
    <mergeCell ref="P1:Q1"/>
    <mergeCell ref="M20:N20"/>
    <mergeCell ref="C42:E42"/>
    <mergeCell ref="N42:P4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6"/>
  <dimension ref="A1:AF70"/>
  <sheetViews>
    <sheetView topLeftCell="A10" workbookViewId="0">
      <selection activeCell="K75" sqref="K75"/>
    </sheetView>
  </sheetViews>
  <sheetFormatPr defaultColWidth="8" defaultRowHeight="12.5" x14ac:dyDescent="0.3"/>
  <cols>
    <col min="1" max="1" width="26.58203125" style="460" customWidth="1"/>
    <col min="2" max="2" width="9" style="460" customWidth="1"/>
    <col min="3" max="3" width="8.08203125" style="460" customWidth="1"/>
    <col min="4" max="11" width="8.83203125" style="460" customWidth="1"/>
    <col min="12" max="12" width="8" style="460"/>
    <col min="13" max="13" width="55.5" style="461" customWidth="1"/>
    <col min="14" max="15" width="8" style="461"/>
    <col min="16" max="16" width="47.58203125" style="461" customWidth="1"/>
    <col min="17" max="18" width="11.08203125" style="461" customWidth="1"/>
    <col min="19" max="19" width="8" style="461"/>
    <col min="20" max="20" width="14.58203125" style="461" customWidth="1"/>
    <col min="21" max="21" width="15.83203125" style="461" customWidth="1"/>
    <col min="22" max="25" width="8" style="461"/>
    <col min="26" max="26" width="14.58203125" style="461" customWidth="1"/>
    <col min="27" max="27" width="15.83203125" style="461" customWidth="1"/>
    <col min="28" max="32" width="8" style="461"/>
    <col min="33" max="16384" width="8" style="460"/>
  </cols>
  <sheetData>
    <row r="1" spans="1:21" x14ac:dyDescent="0.25">
      <c r="A1" s="458" t="s">
        <v>1114</v>
      </c>
      <c r="B1" s="459" t="s">
        <v>1294</v>
      </c>
      <c r="M1" s="1585" t="s">
        <v>1319</v>
      </c>
      <c r="N1" s="1585"/>
      <c r="P1" s="1586" t="s">
        <v>1296</v>
      </c>
      <c r="Q1" s="1586"/>
      <c r="S1" s="168"/>
      <c r="T1" s="168"/>
      <c r="U1" s="168"/>
    </row>
    <row r="2" spans="1:21" ht="52" x14ac:dyDescent="0.25">
      <c r="B2" s="462" t="s">
        <v>1297</v>
      </c>
      <c r="C2" s="463" t="s">
        <v>1298</v>
      </c>
      <c r="D2" s="464" t="s">
        <v>1230</v>
      </c>
      <c r="E2" s="464" t="s">
        <v>1231</v>
      </c>
      <c r="F2" s="464" t="s">
        <v>1232</v>
      </c>
      <c r="G2" s="464" t="s">
        <v>1233</v>
      </c>
      <c r="H2" s="464" t="s">
        <v>1234</v>
      </c>
      <c r="I2" s="464" t="s">
        <v>1235</v>
      </c>
      <c r="J2" s="464" t="s">
        <v>1236</v>
      </c>
      <c r="K2" s="465" t="s">
        <v>1237</v>
      </c>
      <c r="S2" s="168"/>
      <c r="T2" s="168"/>
      <c r="U2" s="168"/>
    </row>
    <row r="3" spans="1:21" x14ac:dyDescent="0.25">
      <c r="B3" s="466">
        <v>0</v>
      </c>
      <c r="C3" s="467">
        <v>0</v>
      </c>
      <c r="D3" s="467">
        <v>0.59039999999999992</v>
      </c>
      <c r="E3" s="467">
        <v>1.0762499999999999</v>
      </c>
      <c r="F3" s="467">
        <v>1.5005999999999999</v>
      </c>
      <c r="G3" s="467">
        <v>0.92560000000000009</v>
      </c>
      <c r="H3" s="467">
        <v>0.39600000000000002</v>
      </c>
      <c r="I3" s="467">
        <v>1.0528000000000002</v>
      </c>
      <c r="J3" s="467">
        <v>1.7822000000000002</v>
      </c>
      <c r="K3" s="468">
        <v>1.1932500000000001</v>
      </c>
      <c r="S3" s="168"/>
      <c r="T3" s="168"/>
      <c r="U3" s="168"/>
    </row>
    <row r="4" spans="1:21" ht="13" x14ac:dyDescent="0.25">
      <c r="B4" s="469">
        <v>105</v>
      </c>
      <c r="C4" s="470">
        <v>0.05</v>
      </c>
      <c r="D4" s="470">
        <v>0.49199999999999994</v>
      </c>
      <c r="E4" s="470">
        <v>0.94299999999999995</v>
      </c>
      <c r="F4" s="470">
        <v>1.3530000000000002</v>
      </c>
      <c r="G4" s="470">
        <v>0.81880000000000008</v>
      </c>
      <c r="H4" s="470">
        <v>0.33</v>
      </c>
      <c r="I4" s="470">
        <v>0.94940000000000002</v>
      </c>
      <c r="J4" s="470">
        <v>1.6359000000000001</v>
      </c>
      <c r="K4" s="471">
        <v>1.0642499999999999</v>
      </c>
      <c r="M4" s="472" t="s">
        <v>1299</v>
      </c>
      <c r="N4" s="465" t="s">
        <v>1300</v>
      </c>
      <c r="P4" s="472" t="s">
        <v>1301</v>
      </c>
      <c r="Q4" s="465" t="s">
        <v>1302</v>
      </c>
      <c r="S4" s="168"/>
      <c r="T4" s="168"/>
      <c r="U4" s="168"/>
    </row>
    <row r="5" spans="1:21" x14ac:dyDescent="0.25">
      <c r="B5" s="466">
        <v>210</v>
      </c>
      <c r="C5" s="467">
        <v>0.1</v>
      </c>
      <c r="D5" s="467">
        <v>0.45099999999999996</v>
      </c>
      <c r="E5" s="467">
        <v>0.87124999999999986</v>
      </c>
      <c r="F5" s="467">
        <v>1.2792000000000001</v>
      </c>
      <c r="G5" s="467">
        <v>0.76540000000000008</v>
      </c>
      <c r="H5" s="467">
        <v>0.3135</v>
      </c>
      <c r="I5" s="467">
        <v>0.88360000000000005</v>
      </c>
      <c r="J5" s="467">
        <v>1.5162</v>
      </c>
      <c r="K5" s="468">
        <v>0.96750000000000003</v>
      </c>
      <c r="M5" s="473" t="s">
        <v>1303</v>
      </c>
      <c r="N5" s="474">
        <v>0.6</v>
      </c>
      <c r="P5" s="473" t="s">
        <v>1304</v>
      </c>
      <c r="Q5" s="475">
        <v>5.9472570145539569E-2</v>
      </c>
      <c r="S5" s="168"/>
      <c r="T5" s="168"/>
      <c r="U5" s="168"/>
    </row>
    <row r="6" spans="1:21" x14ac:dyDescent="0.25">
      <c r="B6" s="469">
        <v>420</v>
      </c>
      <c r="C6" s="470">
        <v>0.2</v>
      </c>
      <c r="D6" s="470">
        <v>0.38539999999999996</v>
      </c>
      <c r="E6" s="470">
        <v>0.75849999999999984</v>
      </c>
      <c r="F6" s="470">
        <v>1.1315999999999999</v>
      </c>
      <c r="G6" s="470">
        <v>0.6764</v>
      </c>
      <c r="H6" s="470">
        <v>0.27500000000000002</v>
      </c>
      <c r="I6" s="470">
        <v>0.78959999999999997</v>
      </c>
      <c r="J6" s="470">
        <v>1.33</v>
      </c>
      <c r="K6" s="471">
        <v>0.83850000000000002</v>
      </c>
      <c r="M6" s="476" t="s">
        <v>1305</v>
      </c>
      <c r="N6" s="477">
        <v>1.2</v>
      </c>
      <c r="P6" s="476" t="s">
        <v>1306</v>
      </c>
      <c r="Q6" s="478">
        <v>6.4026766119675116E-2</v>
      </c>
      <c r="S6" s="168"/>
      <c r="T6" s="168"/>
      <c r="U6" s="168"/>
    </row>
    <row r="7" spans="1:21" x14ac:dyDescent="0.25">
      <c r="B7" s="466">
        <v>840</v>
      </c>
      <c r="C7" s="467">
        <v>0.4</v>
      </c>
      <c r="D7" s="467">
        <v>0.31980000000000003</v>
      </c>
      <c r="E7" s="467">
        <v>0.57399999999999995</v>
      </c>
      <c r="F7" s="467">
        <v>0.89789999999999992</v>
      </c>
      <c r="G7" s="467">
        <v>0.54289999999999994</v>
      </c>
      <c r="H7" s="467">
        <v>0.22000000000000003</v>
      </c>
      <c r="I7" s="467">
        <v>0.62980000000000014</v>
      </c>
      <c r="J7" s="467">
        <v>1.1038999999999999</v>
      </c>
      <c r="K7" s="468">
        <v>0.64500000000000002</v>
      </c>
      <c r="L7" s="460" t="s">
        <v>1094</v>
      </c>
      <c r="M7" s="473" t="s">
        <v>1307</v>
      </c>
      <c r="N7" s="479">
        <v>1.1894491104011204</v>
      </c>
      <c r="P7" s="473" t="s">
        <v>1308</v>
      </c>
      <c r="Q7" s="475">
        <v>6.816694427798016E-2</v>
      </c>
      <c r="S7" s="168"/>
      <c r="T7" s="168"/>
      <c r="U7" s="168"/>
    </row>
    <row r="8" spans="1:21" x14ac:dyDescent="0.25">
      <c r="B8" s="469">
        <v>1260</v>
      </c>
      <c r="C8" s="470">
        <v>0.6</v>
      </c>
      <c r="D8" s="470">
        <v>0.27060000000000001</v>
      </c>
      <c r="E8" s="470">
        <v>0.45099999999999996</v>
      </c>
      <c r="F8" s="470">
        <v>0.73799999999999999</v>
      </c>
      <c r="G8" s="470">
        <v>0.43610000000000004</v>
      </c>
      <c r="H8" s="470">
        <v>0.18150000000000002</v>
      </c>
      <c r="I8" s="470">
        <v>0.51700000000000002</v>
      </c>
      <c r="J8" s="470">
        <v>0.89110000000000011</v>
      </c>
      <c r="K8" s="471">
        <v>0.48375000000000001</v>
      </c>
      <c r="L8" s="460" t="s">
        <v>1085</v>
      </c>
      <c r="M8" s="476" t="s">
        <v>1309</v>
      </c>
      <c r="N8" s="480">
        <v>1</v>
      </c>
      <c r="P8" s="481" t="s">
        <v>1310</v>
      </c>
      <c r="Q8" s="482">
        <v>7.1930742603712017E-2</v>
      </c>
      <c r="S8" s="168"/>
      <c r="T8" s="168"/>
      <c r="U8" s="168"/>
    </row>
    <row r="9" spans="1:21" x14ac:dyDescent="0.25">
      <c r="B9" s="466">
        <v>1680</v>
      </c>
      <c r="C9" s="467">
        <v>0.8</v>
      </c>
      <c r="D9" s="467">
        <v>0.23779999999999998</v>
      </c>
      <c r="E9" s="467">
        <v>0.37924999999999992</v>
      </c>
      <c r="F9" s="467">
        <v>0.61499999999999999</v>
      </c>
      <c r="G9" s="467">
        <v>0.3649</v>
      </c>
      <c r="H9" s="467">
        <v>0.1595</v>
      </c>
      <c r="I9" s="467">
        <v>0.43240000000000006</v>
      </c>
      <c r="J9" s="467">
        <v>0.77139999999999997</v>
      </c>
      <c r="K9" s="468">
        <v>0.41925000000000001</v>
      </c>
      <c r="L9" s="460" t="s">
        <v>1075</v>
      </c>
      <c r="M9" s="473" t="s">
        <v>1311</v>
      </c>
      <c r="N9" s="479">
        <v>0.90781913797078717</v>
      </c>
      <c r="S9" s="168"/>
      <c r="T9" s="168"/>
      <c r="U9" s="168"/>
    </row>
    <row r="10" spans="1:21" x14ac:dyDescent="0.25">
      <c r="B10" s="469">
        <v>2100</v>
      </c>
      <c r="C10" s="470">
        <v>1</v>
      </c>
      <c r="D10" s="470">
        <v>0.2132</v>
      </c>
      <c r="E10" s="470">
        <v>0.30749999999999994</v>
      </c>
      <c r="F10" s="470">
        <v>0.52889999999999993</v>
      </c>
      <c r="G10" s="470">
        <v>0.3115</v>
      </c>
      <c r="H10" s="470">
        <v>0.13200000000000001</v>
      </c>
      <c r="I10" s="470">
        <v>0.37600000000000006</v>
      </c>
      <c r="J10" s="470">
        <v>0.62509999999999999</v>
      </c>
      <c r="K10" s="471">
        <v>0.34400000000000003</v>
      </c>
      <c r="M10" s="481" t="s">
        <v>1312</v>
      </c>
      <c r="N10" s="483">
        <v>0.75</v>
      </c>
      <c r="S10" s="168"/>
      <c r="T10" s="168"/>
      <c r="U10" s="168"/>
    </row>
    <row r="11" spans="1:21" x14ac:dyDescent="0.25">
      <c r="B11" s="466">
        <v>2520</v>
      </c>
      <c r="C11" s="467">
        <v>1.2</v>
      </c>
      <c r="D11" s="467">
        <v>0.18859999999999999</v>
      </c>
      <c r="E11" s="467">
        <v>0.27675</v>
      </c>
      <c r="F11" s="467">
        <v>0.43049999999999994</v>
      </c>
      <c r="G11" s="467">
        <v>0.26700000000000002</v>
      </c>
      <c r="H11" s="467">
        <v>0.12100000000000001</v>
      </c>
      <c r="I11" s="467">
        <v>0.31960000000000005</v>
      </c>
      <c r="J11" s="467">
        <v>0.54530000000000001</v>
      </c>
      <c r="K11" s="468">
        <v>0.30099999999999999</v>
      </c>
      <c r="M11" s="461" t="s">
        <v>1313</v>
      </c>
      <c r="S11" s="168"/>
      <c r="T11" s="168"/>
      <c r="U11" s="168"/>
    </row>
    <row r="12" spans="1:21" x14ac:dyDescent="0.25">
      <c r="B12" s="469">
        <v>2940</v>
      </c>
      <c r="C12" s="470">
        <v>1.4</v>
      </c>
      <c r="D12" s="470">
        <v>0.17219999999999999</v>
      </c>
      <c r="E12" s="470">
        <v>0.24599999999999997</v>
      </c>
      <c r="F12" s="470">
        <v>0.39360000000000001</v>
      </c>
      <c r="G12" s="470">
        <v>0.24920000000000006</v>
      </c>
      <c r="H12" s="470">
        <v>0.11550000000000002</v>
      </c>
      <c r="I12" s="470">
        <v>0.28200000000000003</v>
      </c>
      <c r="J12" s="470">
        <v>0.47880000000000006</v>
      </c>
      <c r="K12" s="471">
        <v>0.25800000000000001</v>
      </c>
      <c r="S12" s="168"/>
      <c r="T12" s="168"/>
      <c r="U12" s="168"/>
    </row>
    <row r="13" spans="1:21" x14ac:dyDescent="0.25">
      <c r="B13" s="466">
        <v>3360</v>
      </c>
      <c r="C13" s="467">
        <v>1.6</v>
      </c>
      <c r="D13" s="467">
        <v>0.15579999999999999</v>
      </c>
      <c r="E13" s="467">
        <v>0.23574999999999999</v>
      </c>
      <c r="F13" s="467">
        <v>0.34440000000000004</v>
      </c>
      <c r="G13" s="467">
        <v>0.2225</v>
      </c>
      <c r="H13" s="467">
        <v>0.10450000000000001</v>
      </c>
      <c r="I13" s="467">
        <v>0.25380000000000003</v>
      </c>
      <c r="J13" s="467">
        <v>0.4123</v>
      </c>
      <c r="K13" s="468">
        <v>0.23649999999999999</v>
      </c>
      <c r="M13" s="481" t="s">
        <v>1312</v>
      </c>
      <c r="N13" s="483">
        <v>0.75186507055881702</v>
      </c>
      <c r="S13" s="168"/>
      <c r="T13" s="168"/>
      <c r="U13" s="168"/>
    </row>
    <row r="14" spans="1:21" ht="13" thickBot="1" x14ac:dyDescent="0.35">
      <c r="B14" s="469">
        <v>3780</v>
      </c>
      <c r="C14" s="470">
        <v>1.8</v>
      </c>
      <c r="D14" s="470">
        <v>0.1394</v>
      </c>
      <c r="E14" s="470">
        <v>0.20499999999999999</v>
      </c>
      <c r="F14" s="470">
        <v>0.29519999999999996</v>
      </c>
      <c r="G14" s="470">
        <v>0.19580000000000003</v>
      </c>
      <c r="H14" s="470">
        <v>9.3500000000000014E-2</v>
      </c>
      <c r="I14" s="470">
        <v>0.24440000000000003</v>
      </c>
      <c r="J14" s="470">
        <v>0.37240000000000006</v>
      </c>
      <c r="K14" s="471">
        <v>0.21500000000000002</v>
      </c>
      <c r="M14" s="461" t="s">
        <v>1314</v>
      </c>
    </row>
    <row r="15" spans="1:21" x14ac:dyDescent="0.3">
      <c r="B15" s="484">
        <v>4200</v>
      </c>
      <c r="C15" s="485">
        <v>2</v>
      </c>
      <c r="D15" s="485">
        <v>0.1394</v>
      </c>
      <c r="E15" s="485">
        <v>0.19474999999999998</v>
      </c>
      <c r="F15" s="485">
        <v>0.27060000000000001</v>
      </c>
      <c r="G15" s="485">
        <v>0.18689999999999998</v>
      </c>
      <c r="H15" s="485">
        <v>8.8000000000000009E-2</v>
      </c>
      <c r="I15" s="485">
        <v>0.20680000000000004</v>
      </c>
      <c r="J15" s="485">
        <v>0.35910000000000003</v>
      </c>
      <c r="K15" s="486">
        <v>0.20425000000000001</v>
      </c>
      <c r="L15" s="487" t="s">
        <v>1094</v>
      </c>
      <c r="M15" s="488" t="s">
        <v>1307</v>
      </c>
      <c r="N15" s="503">
        <v>1.1894491104011204</v>
      </c>
    </row>
    <row r="16" spans="1:21" x14ac:dyDescent="0.3">
      <c r="L16" s="490" t="s">
        <v>1075</v>
      </c>
      <c r="M16" s="1413" t="s">
        <v>1311</v>
      </c>
      <c r="N16" s="504">
        <v>0.90781913797078717</v>
      </c>
    </row>
    <row r="17" spans="1:27" ht="13" thickBot="1" x14ac:dyDescent="0.35">
      <c r="L17" s="492" t="s">
        <v>1085</v>
      </c>
      <c r="M17" s="493" t="s">
        <v>1309</v>
      </c>
      <c r="N17" s="505">
        <v>1</v>
      </c>
    </row>
    <row r="18" spans="1:27" x14ac:dyDescent="0.3">
      <c r="A18" s="511" t="s">
        <v>1251</v>
      </c>
      <c r="B18" s="459" t="s">
        <v>1320</v>
      </c>
      <c r="M18" s="1585" t="s">
        <v>1321</v>
      </c>
      <c r="N18" s="1585"/>
      <c r="P18" s="461" t="s">
        <v>1322</v>
      </c>
    </row>
    <row r="20" spans="1:27" ht="52" x14ac:dyDescent="0.25">
      <c r="B20" s="462" t="s">
        <v>1297</v>
      </c>
      <c r="C20" s="463" t="s">
        <v>1298</v>
      </c>
      <c r="D20" s="464" t="s">
        <v>1230</v>
      </c>
      <c r="E20" s="464" t="s">
        <v>1231</v>
      </c>
      <c r="F20" s="464" t="s">
        <v>1232</v>
      </c>
      <c r="G20" s="464" t="s">
        <v>1233</v>
      </c>
      <c r="H20" s="464" t="s">
        <v>1234</v>
      </c>
      <c r="I20" s="464" t="s">
        <v>1235</v>
      </c>
      <c r="J20" s="464" t="s">
        <v>1236</v>
      </c>
      <c r="K20" s="465" t="s">
        <v>1237</v>
      </c>
      <c r="Y20" s="168"/>
      <c r="Z20" s="168"/>
      <c r="AA20" s="168"/>
    </row>
    <row r="21" spans="1:27" ht="13" x14ac:dyDescent="0.25">
      <c r="B21" s="466">
        <v>0</v>
      </c>
      <c r="C21" s="467">
        <v>0</v>
      </c>
      <c r="D21" s="467">
        <v>1.4880000000000002</v>
      </c>
      <c r="E21" s="467">
        <v>1.476</v>
      </c>
      <c r="F21" s="467">
        <v>1.075</v>
      </c>
      <c r="G21" s="467">
        <v>0.47000000000000003</v>
      </c>
      <c r="H21" s="467">
        <v>0.40700000000000003</v>
      </c>
      <c r="I21" s="467">
        <v>0.46124999999999994</v>
      </c>
      <c r="J21" s="467">
        <v>1.0465</v>
      </c>
      <c r="K21" s="468">
        <v>1.4430000000000001</v>
      </c>
      <c r="M21" s="472" t="s">
        <v>1299</v>
      </c>
      <c r="N21" s="465" t="s">
        <v>1300</v>
      </c>
      <c r="P21" s="1414" t="s">
        <v>1230</v>
      </c>
      <c r="Q21" s="1414" t="s">
        <v>1231</v>
      </c>
      <c r="R21" s="1414" t="s">
        <v>1232</v>
      </c>
      <c r="S21" s="1414" t="s">
        <v>1233</v>
      </c>
      <c r="T21" s="1414" t="s">
        <v>1234</v>
      </c>
      <c r="U21" s="1414" t="s">
        <v>1235</v>
      </c>
      <c r="V21" s="1414" t="s">
        <v>1236</v>
      </c>
      <c r="W21" s="1414" t="s">
        <v>1237</v>
      </c>
      <c r="Y21" s="168"/>
      <c r="Z21" s="168"/>
      <c r="AA21" s="168"/>
    </row>
    <row r="22" spans="1:27" x14ac:dyDescent="0.25">
      <c r="B22" s="469">
        <v>105</v>
      </c>
      <c r="C22" s="470">
        <v>0.05</v>
      </c>
      <c r="D22" s="470">
        <v>1.4400000000000002</v>
      </c>
      <c r="E22" s="470">
        <v>1.40425</v>
      </c>
      <c r="F22" s="470">
        <v>1</v>
      </c>
      <c r="G22" s="470">
        <v>0.39950000000000002</v>
      </c>
      <c r="H22" s="470">
        <v>0.34100000000000003</v>
      </c>
      <c r="I22" s="470">
        <v>0.40499999999999997</v>
      </c>
      <c r="J22" s="470">
        <v>0.96599999999999997</v>
      </c>
      <c r="K22" s="471">
        <v>1.3845000000000001</v>
      </c>
      <c r="M22" s="473" t="s">
        <v>1303</v>
      </c>
      <c r="N22" s="474">
        <v>0.4</v>
      </c>
      <c r="O22" s="461" t="s">
        <v>1323</v>
      </c>
      <c r="P22" s="1415">
        <v>1.1100000000000001</v>
      </c>
      <c r="Q22" s="1415">
        <v>0.97</v>
      </c>
      <c r="R22" s="1415">
        <v>0.83</v>
      </c>
      <c r="S22" s="1415">
        <v>0.81</v>
      </c>
      <c r="T22" s="1415">
        <v>0.79</v>
      </c>
      <c r="U22" s="1415">
        <v>0.81499999999999995</v>
      </c>
      <c r="V22" s="1415">
        <v>0.84</v>
      </c>
      <c r="W22" s="1415">
        <v>0.97500000000000009</v>
      </c>
      <c r="Y22" s="168"/>
      <c r="Z22" s="168"/>
      <c r="AA22" s="168"/>
    </row>
    <row r="23" spans="1:27" x14ac:dyDescent="0.25">
      <c r="B23" s="466">
        <v>210</v>
      </c>
      <c r="C23" s="467">
        <v>0.1</v>
      </c>
      <c r="D23" s="467">
        <v>1.3840000000000001</v>
      </c>
      <c r="E23" s="467">
        <v>1.3632500000000001</v>
      </c>
      <c r="F23" s="467">
        <v>0.95</v>
      </c>
      <c r="G23" s="467">
        <v>0.376</v>
      </c>
      <c r="H23" s="467">
        <v>0.31900000000000001</v>
      </c>
      <c r="I23" s="467">
        <v>0.38250000000000001</v>
      </c>
      <c r="J23" s="467">
        <v>0.93149999999999999</v>
      </c>
      <c r="K23" s="468">
        <v>1.3065000000000002</v>
      </c>
      <c r="M23" s="476" t="s">
        <v>1305</v>
      </c>
      <c r="N23" s="477">
        <v>1.1000000000000001</v>
      </c>
      <c r="O23" s="461" t="s">
        <v>1324</v>
      </c>
      <c r="P23" s="512">
        <v>0.99900000000000011</v>
      </c>
      <c r="Q23" s="512">
        <v>0.873</v>
      </c>
      <c r="R23" s="512">
        <v>0.747</v>
      </c>
      <c r="S23" s="512">
        <v>0.72900000000000009</v>
      </c>
      <c r="T23" s="512">
        <v>0.71100000000000008</v>
      </c>
      <c r="U23" s="512">
        <v>0.73349999999999993</v>
      </c>
      <c r="V23" s="512">
        <v>0.75600000000000001</v>
      </c>
      <c r="W23" s="512">
        <v>0.87750000000000006</v>
      </c>
      <c r="Y23" s="168"/>
      <c r="Z23" s="168"/>
      <c r="AA23" s="168"/>
    </row>
    <row r="24" spans="1:27" x14ac:dyDescent="0.25">
      <c r="B24" s="469">
        <v>420</v>
      </c>
      <c r="C24" s="470">
        <v>0.2</v>
      </c>
      <c r="D24" s="470">
        <v>1.2080000000000002</v>
      </c>
      <c r="E24" s="470">
        <v>1.2095</v>
      </c>
      <c r="F24" s="470">
        <v>0.85000000000000009</v>
      </c>
      <c r="G24" s="470">
        <v>0.34074999999999994</v>
      </c>
      <c r="H24" s="470">
        <v>0.29700000000000004</v>
      </c>
      <c r="I24" s="470">
        <v>0.33749999999999997</v>
      </c>
      <c r="J24" s="470">
        <v>0.83949999999999991</v>
      </c>
      <c r="K24" s="471">
        <v>1.17</v>
      </c>
      <c r="M24" s="473" t="s">
        <v>1325</v>
      </c>
      <c r="N24" s="474">
        <v>0.9</v>
      </c>
      <c r="Y24" s="168"/>
      <c r="Z24" s="168"/>
      <c r="AA24" s="168"/>
    </row>
    <row r="25" spans="1:27" x14ac:dyDescent="0.25">
      <c r="B25" s="466">
        <v>840</v>
      </c>
      <c r="C25" s="467">
        <v>0.4</v>
      </c>
      <c r="D25" s="467">
        <v>1</v>
      </c>
      <c r="E25" s="467">
        <v>0.97375</v>
      </c>
      <c r="F25" s="467">
        <v>0.67499999999999993</v>
      </c>
      <c r="G25" s="467">
        <v>0.28200000000000003</v>
      </c>
      <c r="H25" s="467">
        <v>0.253</v>
      </c>
      <c r="I25" s="467">
        <v>0.28124999999999994</v>
      </c>
      <c r="J25" s="467">
        <v>0.7014999999999999</v>
      </c>
      <c r="K25" s="468">
        <v>0.96525000000000016</v>
      </c>
      <c r="M25" s="476" t="s">
        <v>1326</v>
      </c>
      <c r="N25" s="477">
        <v>1.8</v>
      </c>
      <c r="P25" s="459" t="s">
        <v>1327</v>
      </c>
      <c r="Y25" s="168"/>
      <c r="Z25" s="168"/>
      <c r="AA25" s="168"/>
    </row>
    <row r="26" spans="1:27" x14ac:dyDescent="0.25">
      <c r="B26" s="469">
        <v>1260</v>
      </c>
      <c r="C26" s="470">
        <v>0.6</v>
      </c>
      <c r="D26" s="470">
        <v>0.83200000000000007</v>
      </c>
      <c r="E26" s="470">
        <v>0.7995000000000001</v>
      </c>
      <c r="F26" s="470">
        <v>0.6</v>
      </c>
      <c r="G26" s="470">
        <v>0.24674999999999997</v>
      </c>
      <c r="H26" s="470">
        <v>0.22000000000000003</v>
      </c>
      <c r="I26" s="470">
        <v>0.24749999999999997</v>
      </c>
      <c r="J26" s="470">
        <v>0.58650000000000002</v>
      </c>
      <c r="K26" s="471">
        <v>0.80924999999999991</v>
      </c>
      <c r="L26" s="460" t="s">
        <v>1094</v>
      </c>
      <c r="M26" s="473" t="s">
        <v>1307</v>
      </c>
      <c r="N26" s="479">
        <v>1.03250584222305</v>
      </c>
      <c r="Y26" s="168"/>
      <c r="Z26" s="168"/>
      <c r="AA26" s="168"/>
    </row>
    <row r="27" spans="1:27" ht="13" x14ac:dyDescent="0.25">
      <c r="B27" s="466">
        <v>1680</v>
      </c>
      <c r="C27" s="467">
        <v>0.8</v>
      </c>
      <c r="D27" s="467">
        <v>0.62400000000000011</v>
      </c>
      <c r="E27" s="467">
        <v>0.63550000000000006</v>
      </c>
      <c r="F27" s="467">
        <v>0.48749999999999999</v>
      </c>
      <c r="G27" s="467">
        <v>0.21149999999999999</v>
      </c>
      <c r="H27" s="467">
        <v>0.20899999999999999</v>
      </c>
      <c r="I27" s="467">
        <v>0.22499999999999998</v>
      </c>
      <c r="J27" s="467">
        <v>0.50600000000000001</v>
      </c>
      <c r="K27" s="468">
        <v>0.66300000000000003</v>
      </c>
      <c r="L27" s="460" t="s">
        <v>1085</v>
      </c>
      <c r="M27" s="476" t="s">
        <v>1309</v>
      </c>
      <c r="N27" s="480">
        <v>1</v>
      </c>
      <c r="P27" s="513" t="s">
        <v>1328</v>
      </c>
      <c r="Y27" s="168"/>
      <c r="Z27" s="168"/>
      <c r="AA27" s="168"/>
    </row>
    <row r="28" spans="1:27" x14ac:dyDescent="0.25">
      <c r="B28" s="469">
        <v>2100</v>
      </c>
      <c r="C28" s="470">
        <v>1</v>
      </c>
      <c r="D28" s="470">
        <v>0.43200000000000011</v>
      </c>
      <c r="E28" s="470">
        <v>0.54325000000000001</v>
      </c>
      <c r="F28" s="470">
        <v>0.39999999999999997</v>
      </c>
      <c r="G28" s="470">
        <v>0.19975000000000001</v>
      </c>
      <c r="H28" s="470">
        <v>0.19800000000000001</v>
      </c>
      <c r="I28" s="470">
        <v>0.19125</v>
      </c>
      <c r="J28" s="470">
        <v>0.42549999999999999</v>
      </c>
      <c r="K28" s="471">
        <v>0.54600000000000004</v>
      </c>
      <c r="L28" s="460" t="s">
        <v>1075</v>
      </c>
      <c r="M28" s="473" t="s">
        <v>1311</v>
      </c>
      <c r="N28" s="479">
        <v>0.97983567156805806</v>
      </c>
      <c r="P28" s="514">
        <v>9.5989827330437247</v>
      </c>
      <c r="Y28" s="168"/>
      <c r="Z28" s="168"/>
      <c r="AA28" s="168"/>
    </row>
    <row r="29" spans="1:27" x14ac:dyDescent="0.25">
      <c r="B29" s="466">
        <v>2520</v>
      </c>
      <c r="C29" s="467">
        <v>1.2</v>
      </c>
      <c r="D29" s="467">
        <v>0.26400000000000007</v>
      </c>
      <c r="E29" s="467">
        <v>0.43049999999999999</v>
      </c>
      <c r="F29" s="467">
        <v>0.35000000000000003</v>
      </c>
      <c r="G29" s="467">
        <v>0.17624999999999999</v>
      </c>
      <c r="H29" s="467">
        <v>0.18700000000000003</v>
      </c>
      <c r="I29" s="467">
        <v>0.18</v>
      </c>
      <c r="J29" s="467">
        <v>0.40249999999999997</v>
      </c>
      <c r="K29" s="468">
        <v>0.44850000000000001</v>
      </c>
      <c r="M29" s="481" t="s">
        <v>1329</v>
      </c>
      <c r="N29" s="483">
        <v>1.1399999999999999</v>
      </c>
      <c r="Y29" s="168"/>
      <c r="Z29" s="168"/>
      <c r="AA29" s="168"/>
    </row>
    <row r="30" spans="1:27" x14ac:dyDescent="0.3">
      <c r="B30" s="469">
        <v>2940</v>
      </c>
      <c r="C30" s="470">
        <v>1.4</v>
      </c>
      <c r="D30" s="470">
        <v>0.22400000000000003</v>
      </c>
      <c r="E30" s="470">
        <v>0.36899999999999999</v>
      </c>
      <c r="F30" s="470">
        <v>0.28750000000000003</v>
      </c>
      <c r="G30" s="470">
        <v>0.16450000000000004</v>
      </c>
      <c r="H30" s="470">
        <v>0.17600000000000002</v>
      </c>
      <c r="I30" s="470">
        <v>0.16874999999999998</v>
      </c>
      <c r="J30" s="470">
        <v>0.35649999999999998</v>
      </c>
      <c r="K30" s="471">
        <v>0.3705</v>
      </c>
    </row>
    <row r="31" spans="1:27" x14ac:dyDescent="0.3">
      <c r="B31" s="466">
        <v>3360</v>
      </c>
      <c r="C31" s="467">
        <v>1.6</v>
      </c>
      <c r="D31" s="467">
        <v>0.17600000000000002</v>
      </c>
      <c r="E31" s="467">
        <v>0.29725000000000001</v>
      </c>
      <c r="F31" s="467">
        <v>0.27500000000000002</v>
      </c>
      <c r="G31" s="467">
        <v>0.16450000000000004</v>
      </c>
      <c r="H31" s="467">
        <v>0.16500000000000001</v>
      </c>
      <c r="I31" s="467">
        <v>0.1575</v>
      </c>
      <c r="J31" s="467">
        <v>0.29899999999999999</v>
      </c>
      <c r="K31" s="468">
        <v>0.33150000000000002</v>
      </c>
    </row>
    <row r="32" spans="1:27" x14ac:dyDescent="0.3">
      <c r="B32" s="469">
        <v>3780</v>
      </c>
      <c r="C32" s="470">
        <v>1.8</v>
      </c>
      <c r="D32" s="470">
        <v>0.15200000000000002</v>
      </c>
      <c r="E32" s="470">
        <v>0.25624999999999998</v>
      </c>
      <c r="F32" s="470">
        <v>0.23749999999999999</v>
      </c>
      <c r="G32" s="470">
        <v>0.15275000000000002</v>
      </c>
      <c r="H32" s="470">
        <v>0.15400000000000003</v>
      </c>
      <c r="I32" s="470">
        <v>0.14624999999999999</v>
      </c>
      <c r="J32" s="470">
        <v>0.26450000000000001</v>
      </c>
      <c r="K32" s="471">
        <v>0.27300000000000002</v>
      </c>
      <c r="M32" s="481" t="s">
        <v>1329</v>
      </c>
      <c r="N32" s="483">
        <v>1.1390733775295834</v>
      </c>
    </row>
    <row r="33" spans="1:21" ht="13" thickBot="1" x14ac:dyDescent="0.35">
      <c r="B33" s="484">
        <v>4200</v>
      </c>
      <c r="C33" s="485">
        <v>2</v>
      </c>
      <c r="D33" s="485">
        <v>0.12000000000000001</v>
      </c>
      <c r="E33" s="485">
        <v>0.19475000000000001</v>
      </c>
      <c r="F33" s="485">
        <v>0.21250000000000002</v>
      </c>
      <c r="G33" s="485">
        <v>0.14100000000000001</v>
      </c>
      <c r="H33" s="485">
        <v>0.15400000000000003</v>
      </c>
      <c r="I33" s="485">
        <v>0.14624999999999999</v>
      </c>
      <c r="J33" s="485">
        <v>0.253</v>
      </c>
      <c r="K33" s="486">
        <v>0.26325000000000004</v>
      </c>
      <c r="M33" s="461" t="s">
        <v>1330</v>
      </c>
    </row>
    <row r="34" spans="1:21" x14ac:dyDescent="0.3">
      <c r="L34" s="487" t="s">
        <v>1094</v>
      </c>
      <c r="M34" s="488" t="s">
        <v>1307</v>
      </c>
      <c r="N34" s="503">
        <v>1.03250584222305</v>
      </c>
    </row>
    <row r="35" spans="1:21" x14ac:dyDescent="0.3">
      <c r="L35" s="490" t="s">
        <v>1075</v>
      </c>
      <c r="M35" s="1413" t="s">
        <v>1311</v>
      </c>
      <c r="N35" s="504">
        <v>0.97983567156805806</v>
      </c>
    </row>
    <row r="36" spans="1:21" ht="13" thickBot="1" x14ac:dyDescent="0.35">
      <c r="L36" s="492" t="s">
        <v>1085</v>
      </c>
      <c r="M36" s="493" t="s">
        <v>1309</v>
      </c>
      <c r="N36" s="505">
        <v>1</v>
      </c>
    </row>
    <row r="38" spans="1:21" x14ac:dyDescent="0.25">
      <c r="A38" s="495" t="s">
        <v>1242</v>
      </c>
      <c r="B38" s="459" t="s">
        <v>1315</v>
      </c>
      <c r="M38" s="1585" t="s">
        <v>1316</v>
      </c>
      <c r="N38" s="1585"/>
      <c r="P38" s="459" t="s">
        <v>1317</v>
      </c>
      <c r="S38" s="168"/>
      <c r="T38" s="168"/>
      <c r="U38" s="168"/>
    </row>
    <row r="39" spans="1:21" x14ac:dyDescent="0.25">
      <c r="S39" s="168"/>
      <c r="T39" s="168"/>
      <c r="U39" s="168"/>
    </row>
    <row r="40" spans="1:21" ht="52" x14ac:dyDescent="0.25">
      <c r="B40" s="472" t="s">
        <v>1297</v>
      </c>
      <c r="C40" s="463" t="s">
        <v>1298</v>
      </c>
      <c r="D40" s="497" t="s">
        <v>1230</v>
      </c>
      <c r="E40" s="497" t="s">
        <v>1231</v>
      </c>
      <c r="F40" s="497" t="s">
        <v>1232</v>
      </c>
      <c r="G40" s="497" t="s">
        <v>1233</v>
      </c>
      <c r="H40" s="497" t="s">
        <v>1234</v>
      </c>
      <c r="I40" s="497" t="s">
        <v>1235</v>
      </c>
      <c r="J40" s="497" t="s">
        <v>1236</v>
      </c>
      <c r="K40" s="498" t="s">
        <v>1237</v>
      </c>
      <c r="S40" s="168"/>
      <c r="T40" s="168"/>
      <c r="U40" s="168"/>
    </row>
    <row r="41" spans="1:21" ht="13" x14ac:dyDescent="0.25">
      <c r="B41" s="466">
        <v>0</v>
      </c>
      <c r="C41" s="499">
        <v>0</v>
      </c>
      <c r="D41" s="467">
        <v>0.432</v>
      </c>
      <c r="E41" s="467">
        <v>0.81374999999999997</v>
      </c>
      <c r="F41" s="467">
        <v>1.159</v>
      </c>
      <c r="G41" s="467">
        <v>0.754</v>
      </c>
      <c r="H41" s="467">
        <v>0.36</v>
      </c>
      <c r="I41" s="467">
        <v>1.0640000000000001</v>
      </c>
      <c r="J41" s="467">
        <v>1.8759999999999999</v>
      </c>
      <c r="K41" s="468">
        <v>1.1100000000000001</v>
      </c>
      <c r="M41" s="472" t="s">
        <v>1299</v>
      </c>
      <c r="N41" s="465" t="s">
        <v>1300</v>
      </c>
      <c r="P41" s="472" t="s">
        <v>1301</v>
      </c>
      <c r="Q41" s="465" t="s">
        <v>1302</v>
      </c>
      <c r="S41" s="168"/>
      <c r="T41" s="168"/>
      <c r="U41" s="168"/>
    </row>
    <row r="42" spans="1:21" x14ac:dyDescent="0.25">
      <c r="B42" s="469">
        <v>105</v>
      </c>
      <c r="C42" s="500">
        <v>0.05</v>
      </c>
      <c r="D42" s="470">
        <v>0.36</v>
      </c>
      <c r="E42" s="470">
        <v>0.71299999999999997</v>
      </c>
      <c r="F42" s="470">
        <v>1.0450000000000002</v>
      </c>
      <c r="G42" s="470">
        <v>0.66699999999999993</v>
      </c>
      <c r="H42" s="470">
        <v>0.3</v>
      </c>
      <c r="I42" s="470">
        <v>0.95949999999999991</v>
      </c>
      <c r="J42" s="470">
        <v>1.722</v>
      </c>
      <c r="K42" s="471">
        <v>0.99</v>
      </c>
      <c r="M42" s="473" t="s">
        <v>1303</v>
      </c>
      <c r="N42" s="479">
        <v>0.4</v>
      </c>
      <c r="P42" s="473" t="s">
        <v>1304</v>
      </c>
      <c r="Q42" s="475">
        <v>3.2395572687842586E-2</v>
      </c>
      <c r="S42" s="168"/>
      <c r="T42" s="168"/>
      <c r="U42" s="168"/>
    </row>
    <row r="43" spans="1:21" x14ac:dyDescent="0.25">
      <c r="B43" s="466">
        <v>210</v>
      </c>
      <c r="C43" s="499">
        <v>0.1</v>
      </c>
      <c r="D43" s="467">
        <v>0.33</v>
      </c>
      <c r="E43" s="467">
        <v>0.65874999999999995</v>
      </c>
      <c r="F43" s="467">
        <v>0.9880000000000001</v>
      </c>
      <c r="G43" s="467">
        <v>0.62349999999999994</v>
      </c>
      <c r="H43" s="467">
        <v>0.28499999999999998</v>
      </c>
      <c r="I43" s="467">
        <v>0.8929999999999999</v>
      </c>
      <c r="J43" s="467">
        <v>1.5959999999999996</v>
      </c>
      <c r="K43" s="468">
        <v>0.9</v>
      </c>
      <c r="M43" s="476" t="s">
        <v>1305</v>
      </c>
      <c r="N43" s="480">
        <v>1.1000000000000001</v>
      </c>
      <c r="P43" s="476" t="s">
        <v>1306</v>
      </c>
      <c r="Q43" s="478">
        <v>4.0434670432203487E-2</v>
      </c>
      <c r="S43" s="168"/>
      <c r="T43" s="168"/>
      <c r="U43" s="168"/>
    </row>
    <row r="44" spans="1:21" x14ac:dyDescent="0.25">
      <c r="B44" s="469">
        <v>420</v>
      </c>
      <c r="C44" s="500">
        <v>0.2</v>
      </c>
      <c r="D44" s="470">
        <v>0.28200000000000003</v>
      </c>
      <c r="E44" s="470">
        <v>0.5734999999999999</v>
      </c>
      <c r="F44" s="470">
        <v>0.87400000000000011</v>
      </c>
      <c r="G44" s="470">
        <v>0.55099999999999993</v>
      </c>
      <c r="H44" s="470">
        <v>0.24999999999999997</v>
      </c>
      <c r="I44" s="470">
        <v>0.79799999999999993</v>
      </c>
      <c r="J44" s="470">
        <v>1.3999999999999997</v>
      </c>
      <c r="K44" s="471">
        <v>0.78</v>
      </c>
      <c r="L44" s="460" t="s">
        <v>1094</v>
      </c>
      <c r="M44" s="473" t="s">
        <v>1307</v>
      </c>
      <c r="N44" s="479">
        <v>1</v>
      </c>
      <c r="P44" s="473" t="s">
        <v>1308</v>
      </c>
      <c r="Q44" s="475">
        <v>4.5794068928444093E-2</v>
      </c>
      <c r="S44" s="168"/>
      <c r="T44" s="168"/>
      <c r="U44" s="168"/>
    </row>
    <row r="45" spans="1:21" x14ac:dyDescent="0.25">
      <c r="B45" s="466">
        <v>840</v>
      </c>
      <c r="C45" s="499">
        <v>0.4</v>
      </c>
      <c r="D45" s="467">
        <v>0.23400000000000004</v>
      </c>
      <c r="E45" s="467">
        <v>0.434</v>
      </c>
      <c r="F45" s="467">
        <v>0.69350000000000001</v>
      </c>
      <c r="G45" s="467">
        <v>0.44224999999999992</v>
      </c>
      <c r="H45" s="467">
        <v>0.2</v>
      </c>
      <c r="I45" s="467">
        <v>0.63650000000000007</v>
      </c>
      <c r="J45" s="467">
        <v>1.1619999999999997</v>
      </c>
      <c r="K45" s="468">
        <v>0.6</v>
      </c>
      <c r="L45" s="460" t="s">
        <v>1085</v>
      </c>
      <c r="M45" s="476" t="s">
        <v>1309</v>
      </c>
      <c r="N45" s="480">
        <v>0.9</v>
      </c>
      <c r="P45" s="481" t="s">
        <v>1310</v>
      </c>
      <c r="Q45" s="482">
        <v>4.9367001259271154E-2</v>
      </c>
      <c r="S45" s="168"/>
      <c r="T45" s="168"/>
      <c r="U45" s="168"/>
    </row>
    <row r="46" spans="1:21" x14ac:dyDescent="0.25">
      <c r="B46" s="469">
        <v>1260</v>
      </c>
      <c r="C46" s="500">
        <v>0.6</v>
      </c>
      <c r="D46" s="470">
        <v>0.19800000000000001</v>
      </c>
      <c r="E46" s="470">
        <v>0.34099999999999997</v>
      </c>
      <c r="F46" s="470">
        <v>0.56999999999999995</v>
      </c>
      <c r="G46" s="470">
        <v>0.35525000000000001</v>
      </c>
      <c r="H46" s="470">
        <v>0.16500000000000001</v>
      </c>
      <c r="I46" s="470">
        <v>0.52249999999999996</v>
      </c>
      <c r="J46" s="470">
        <v>0.93799999999999994</v>
      </c>
      <c r="K46" s="471">
        <v>0.45</v>
      </c>
      <c r="L46" s="460" t="s">
        <v>1075</v>
      </c>
      <c r="M46" s="501" t="s">
        <v>1311</v>
      </c>
      <c r="N46" s="502">
        <v>0.68</v>
      </c>
      <c r="S46" s="168"/>
      <c r="T46" s="168"/>
      <c r="U46" s="168"/>
    </row>
    <row r="47" spans="1:21" x14ac:dyDescent="0.25">
      <c r="B47" s="466">
        <v>1680</v>
      </c>
      <c r="C47" s="499">
        <v>0.8</v>
      </c>
      <c r="D47" s="467">
        <v>0.17400000000000002</v>
      </c>
      <c r="E47" s="467">
        <v>0.28674999999999995</v>
      </c>
      <c r="F47" s="467">
        <v>0.47500000000000003</v>
      </c>
      <c r="G47" s="467">
        <v>0.29725000000000001</v>
      </c>
      <c r="H47" s="467">
        <v>0.14499999999999999</v>
      </c>
      <c r="I47" s="467">
        <v>0.437</v>
      </c>
      <c r="J47" s="467">
        <v>0.81199999999999983</v>
      </c>
      <c r="K47" s="468">
        <v>0.39</v>
      </c>
      <c r="S47" s="168"/>
      <c r="T47" s="168"/>
      <c r="U47" s="168"/>
    </row>
    <row r="48" spans="1:21" ht="13" thickBot="1" x14ac:dyDescent="0.3">
      <c r="B48" s="469">
        <v>2100</v>
      </c>
      <c r="C48" s="500">
        <v>1</v>
      </c>
      <c r="D48" s="470">
        <v>0.15600000000000003</v>
      </c>
      <c r="E48" s="470">
        <v>0.23249999999999998</v>
      </c>
      <c r="F48" s="470">
        <v>0.40850000000000003</v>
      </c>
      <c r="G48" s="470">
        <v>0.25374999999999998</v>
      </c>
      <c r="H48" s="470">
        <v>0.12</v>
      </c>
      <c r="I48" s="470">
        <v>0.38</v>
      </c>
      <c r="J48" s="470">
        <v>0.65799999999999992</v>
      </c>
      <c r="K48" s="471">
        <v>0.32</v>
      </c>
      <c r="M48" s="461" t="s">
        <v>1318</v>
      </c>
      <c r="S48" s="168"/>
      <c r="T48" s="168"/>
      <c r="U48" s="168"/>
    </row>
    <row r="49" spans="1:27" x14ac:dyDescent="0.25">
      <c r="B49" s="466">
        <v>2520</v>
      </c>
      <c r="C49" s="499">
        <v>1.2</v>
      </c>
      <c r="D49" s="467">
        <v>0.13800000000000001</v>
      </c>
      <c r="E49" s="467">
        <v>0.20925000000000002</v>
      </c>
      <c r="F49" s="467">
        <v>0.33250000000000002</v>
      </c>
      <c r="G49" s="467">
        <v>0.21749999999999997</v>
      </c>
      <c r="H49" s="467">
        <v>0.11</v>
      </c>
      <c r="I49" s="467">
        <v>0.32300000000000001</v>
      </c>
      <c r="J49" s="467">
        <v>0.57399999999999984</v>
      </c>
      <c r="K49" s="468">
        <v>0.28000000000000003</v>
      </c>
      <c r="L49" s="487" t="s">
        <v>1094</v>
      </c>
      <c r="M49" s="488" t="s">
        <v>1307</v>
      </c>
      <c r="N49" s="503">
        <v>1</v>
      </c>
      <c r="S49" s="168"/>
      <c r="T49" s="168"/>
      <c r="U49" s="168"/>
    </row>
    <row r="50" spans="1:27" x14ac:dyDescent="0.25">
      <c r="B50" s="469">
        <v>2940</v>
      </c>
      <c r="C50" s="500">
        <v>1.4</v>
      </c>
      <c r="D50" s="470">
        <v>0.126</v>
      </c>
      <c r="E50" s="470">
        <v>0.186</v>
      </c>
      <c r="F50" s="470">
        <v>0.30400000000000005</v>
      </c>
      <c r="G50" s="470">
        <v>0.20300000000000004</v>
      </c>
      <c r="H50" s="470">
        <v>0.105</v>
      </c>
      <c r="I50" s="470">
        <v>0.28500000000000003</v>
      </c>
      <c r="J50" s="470">
        <v>0.504</v>
      </c>
      <c r="K50" s="471">
        <v>0.24</v>
      </c>
      <c r="L50" s="490" t="s">
        <v>1075</v>
      </c>
      <c r="M50" s="1413" t="s">
        <v>1311</v>
      </c>
      <c r="N50" s="504">
        <v>0.68</v>
      </c>
      <c r="S50" s="168"/>
      <c r="T50" s="168"/>
      <c r="U50" s="168"/>
    </row>
    <row r="51" spans="1:27" ht="13" thickBot="1" x14ac:dyDescent="0.35">
      <c r="B51" s="466">
        <v>3360</v>
      </c>
      <c r="C51" s="499">
        <v>1.6</v>
      </c>
      <c r="D51" s="467">
        <v>0.114</v>
      </c>
      <c r="E51" s="467">
        <v>0.17824999999999999</v>
      </c>
      <c r="F51" s="467">
        <v>0.26600000000000007</v>
      </c>
      <c r="G51" s="467">
        <v>0.18124999999999999</v>
      </c>
      <c r="H51" s="467">
        <v>9.5000000000000001E-2</v>
      </c>
      <c r="I51" s="467">
        <v>0.25650000000000001</v>
      </c>
      <c r="J51" s="467">
        <v>0.43399999999999994</v>
      </c>
      <c r="K51" s="468">
        <v>0.22</v>
      </c>
      <c r="L51" s="492" t="s">
        <v>1085</v>
      </c>
      <c r="M51" s="493" t="s">
        <v>1309</v>
      </c>
      <c r="N51" s="505">
        <v>0.9</v>
      </c>
    </row>
    <row r="52" spans="1:27" x14ac:dyDescent="0.3">
      <c r="B52" s="469">
        <v>3780</v>
      </c>
      <c r="C52" s="500">
        <v>1.8</v>
      </c>
      <c r="D52" s="470">
        <v>0.10200000000000001</v>
      </c>
      <c r="E52" s="470">
        <v>0.155</v>
      </c>
      <c r="F52" s="470">
        <v>0.22800000000000001</v>
      </c>
      <c r="G52" s="470">
        <v>0.1595</v>
      </c>
      <c r="H52" s="470">
        <v>8.5000000000000006E-2</v>
      </c>
      <c r="I52" s="470">
        <v>0.247</v>
      </c>
      <c r="J52" s="470">
        <v>0.39200000000000002</v>
      </c>
      <c r="K52" s="471">
        <v>0.2</v>
      </c>
    </row>
    <row r="53" spans="1:27" x14ac:dyDescent="0.3">
      <c r="B53" s="484">
        <v>4200</v>
      </c>
      <c r="C53" s="506">
        <v>2</v>
      </c>
      <c r="D53" s="485">
        <v>0.10200000000000001</v>
      </c>
      <c r="E53" s="485">
        <v>0.14724999999999999</v>
      </c>
      <c r="F53" s="485">
        <v>0.20900000000000002</v>
      </c>
      <c r="G53" s="485">
        <v>0.15225</v>
      </c>
      <c r="H53" s="485">
        <v>0.08</v>
      </c>
      <c r="I53" s="485">
        <v>0.20900000000000002</v>
      </c>
      <c r="J53" s="485">
        <v>0.378</v>
      </c>
      <c r="K53" s="486">
        <v>0.19000000000000003</v>
      </c>
    </row>
    <row r="55" spans="1:27" x14ac:dyDescent="0.3">
      <c r="A55" s="515" t="s">
        <v>1252</v>
      </c>
      <c r="B55" s="459" t="s">
        <v>1320</v>
      </c>
      <c r="M55" s="1585" t="s">
        <v>1331</v>
      </c>
      <c r="N55" s="1585"/>
      <c r="P55" s="461" t="s">
        <v>1322</v>
      </c>
    </row>
    <row r="57" spans="1:27" ht="52" x14ac:dyDescent="0.25">
      <c r="B57" s="462" t="s">
        <v>1297</v>
      </c>
      <c r="C57" s="463" t="s">
        <v>1298</v>
      </c>
      <c r="D57" s="497" t="s">
        <v>1230</v>
      </c>
      <c r="E57" s="497" t="s">
        <v>1231</v>
      </c>
      <c r="F57" s="497" t="s">
        <v>1232</v>
      </c>
      <c r="G57" s="497" t="s">
        <v>1233</v>
      </c>
      <c r="H57" s="497" t="s">
        <v>1234</v>
      </c>
      <c r="I57" s="497" t="s">
        <v>1235</v>
      </c>
      <c r="J57" s="497" t="s">
        <v>1236</v>
      </c>
      <c r="K57" s="498" t="s">
        <v>1237</v>
      </c>
      <c r="Y57" s="168"/>
      <c r="Z57" s="168"/>
      <c r="AA57" s="168"/>
    </row>
    <row r="58" spans="1:27" ht="13" x14ac:dyDescent="0.25">
      <c r="B58" s="466">
        <v>0</v>
      </c>
      <c r="C58" s="499">
        <v>0</v>
      </c>
      <c r="D58" s="467">
        <v>1.6740000000000002</v>
      </c>
      <c r="E58" s="467">
        <v>1.3606666666666667</v>
      </c>
      <c r="F58" s="467">
        <v>1.204</v>
      </c>
      <c r="G58" s="467">
        <v>0.52466666666666673</v>
      </c>
      <c r="H58" s="467">
        <v>0.185</v>
      </c>
      <c r="I58" s="467">
        <v>0.85033333333333339</v>
      </c>
      <c r="J58" s="467">
        <v>1.1830000000000001</v>
      </c>
      <c r="K58" s="468">
        <v>1.5103333333333335</v>
      </c>
      <c r="M58" s="472" t="s">
        <v>1299</v>
      </c>
      <c r="N58" s="465" t="s">
        <v>1300</v>
      </c>
      <c r="P58" s="472" t="s">
        <v>1230</v>
      </c>
      <c r="Q58" s="497" t="s">
        <v>1231</v>
      </c>
      <c r="R58" s="497" t="s">
        <v>1232</v>
      </c>
      <c r="S58" s="497" t="s">
        <v>1233</v>
      </c>
      <c r="T58" s="497" t="s">
        <v>1234</v>
      </c>
      <c r="U58" s="497" t="s">
        <v>1235</v>
      </c>
      <c r="V58" s="497" t="s">
        <v>1236</v>
      </c>
      <c r="W58" s="498" t="s">
        <v>1237</v>
      </c>
      <c r="Y58" s="168"/>
      <c r="Z58" s="168"/>
      <c r="AA58" s="168"/>
    </row>
    <row r="59" spans="1:27" x14ac:dyDescent="0.25">
      <c r="B59" s="469">
        <v>105</v>
      </c>
      <c r="C59" s="500">
        <v>0.05</v>
      </c>
      <c r="D59" s="470">
        <v>1.62</v>
      </c>
      <c r="E59" s="470">
        <v>1.2945231481481483</v>
      </c>
      <c r="F59" s="470">
        <v>1.1200000000000001</v>
      </c>
      <c r="G59" s="470">
        <v>0.44596666666666668</v>
      </c>
      <c r="H59" s="470">
        <v>0.155</v>
      </c>
      <c r="I59" s="470">
        <v>0.74663414634146341</v>
      </c>
      <c r="J59" s="470">
        <v>1.0920000000000001</v>
      </c>
      <c r="K59" s="471">
        <v>1.4491036036036038</v>
      </c>
      <c r="M59" s="473" t="s">
        <v>1303</v>
      </c>
      <c r="N59" s="479">
        <v>1</v>
      </c>
      <c r="O59" s="461" t="s">
        <v>1323</v>
      </c>
      <c r="P59" s="516">
        <v>1.2</v>
      </c>
      <c r="Q59" s="517">
        <v>0.97499999999999998</v>
      </c>
      <c r="R59" s="517">
        <v>0.75</v>
      </c>
      <c r="S59" s="517">
        <v>0.75</v>
      </c>
      <c r="T59" s="517">
        <v>0.75</v>
      </c>
      <c r="U59" s="517">
        <v>0.77500000000000002</v>
      </c>
      <c r="V59" s="517">
        <v>0.8</v>
      </c>
      <c r="W59" s="502">
        <v>1</v>
      </c>
      <c r="Y59" s="168"/>
      <c r="Z59" s="168"/>
      <c r="AA59" s="168"/>
    </row>
    <row r="60" spans="1:27" x14ac:dyDescent="0.25">
      <c r="B60" s="466">
        <v>210</v>
      </c>
      <c r="C60" s="499">
        <v>0.1</v>
      </c>
      <c r="D60" s="467">
        <v>1.5570000000000002</v>
      </c>
      <c r="E60" s="467">
        <v>1.256726851851852</v>
      </c>
      <c r="F60" s="467">
        <v>1.0640000000000001</v>
      </c>
      <c r="G60" s="467">
        <v>0.41973333333333335</v>
      </c>
      <c r="H60" s="467">
        <v>0.14499999999999999</v>
      </c>
      <c r="I60" s="467">
        <v>0.70515447154471556</v>
      </c>
      <c r="J60" s="467">
        <v>1.0530000000000002</v>
      </c>
      <c r="K60" s="468">
        <v>1.3674639639639643</v>
      </c>
      <c r="M60" s="476" t="s">
        <v>1305</v>
      </c>
      <c r="N60" s="480">
        <v>1.2</v>
      </c>
      <c r="O60" s="461" t="s">
        <v>1324</v>
      </c>
      <c r="P60" s="512">
        <v>0.84</v>
      </c>
      <c r="Q60" s="512">
        <v>0.6825</v>
      </c>
      <c r="R60" s="512">
        <v>0.52499999999999991</v>
      </c>
      <c r="S60" s="512">
        <v>0.52499999999999991</v>
      </c>
      <c r="T60" s="512">
        <v>0.52499999999999991</v>
      </c>
      <c r="U60" s="512">
        <v>0.54249999999999998</v>
      </c>
      <c r="V60" s="512">
        <v>0.55999999999999994</v>
      </c>
      <c r="W60" s="512">
        <v>0.7</v>
      </c>
      <c r="Y60" s="168"/>
      <c r="Z60" s="168"/>
      <c r="AA60" s="168"/>
    </row>
    <row r="61" spans="1:27" x14ac:dyDescent="0.25">
      <c r="B61" s="469">
        <v>420</v>
      </c>
      <c r="C61" s="500">
        <v>0.2</v>
      </c>
      <c r="D61" s="470">
        <v>1.359</v>
      </c>
      <c r="E61" s="470">
        <v>1.1149907407407407</v>
      </c>
      <c r="F61" s="470">
        <v>0.95200000000000007</v>
      </c>
      <c r="G61" s="470">
        <v>0.3803833333333333</v>
      </c>
      <c r="H61" s="470">
        <v>0.13500000000000001</v>
      </c>
      <c r="I61" s="470">
        <v>0.62219512195121951</v>
      </c>
      <c r="J61" s="470">
        <v>0.94899999999999995</v>
      </c>
      <c r="K61" s="471">
        <v>1.2245945945945946</v>
      </c>
      <c r="M61" s="473" t="s">
        <v>1325</v>
      </c>
      <c r="N61" s="479">
        <v>0.7</v>
      </c>
      <c r="Y61" s="168"/>
      <c r="Z61" s="168"/>
      <c r="AA61" s="168"/>
    </row>
    <row r="62" spans="1:27" x14ac:dyDescent="0.25">
      <c r="B62" s="466">
        <v>840</v>
      </c>
      <c r="C62" s="499">
        <v>0.4</v>
      </c>
      <c r="D62" s="467">
        <v>1.125</v>
      </c>
      <c r="E62" s="467">
        <v>0.89766203703703706</v>
      </c>
      <c r="F62" s="467">
        <v>0.75600000000000001</v>
      </c>
      <c r="G62" s="467">
        <v>0.31480000000000002</v>
      </c>
      <c r="H62" s="467">
        <v>0.11499999999999999</v>
      </c>
      <c r="I62" s="467">
        <v>0.51849593495934965</v>
      </c>
      <c r="J62" s="467">
        <v>0.79299999999999993</v>
      </c>
      <c r="K62" s="468">
        <v>1.0102905405405407</v>
      </c>
      <c r="M62" s="476" t="s">
        <v>1326</v>
      </c>
      <c r="N62" s="480">
        <v>1.02</v>
      </c>
      <c r="P62" s="459" t="s">
        <v>1332</v>
      </c>
      <c r="Y62" s="168"/>
      <c r="Z62" s="168"/>
      <c r="AA62" s="168"/>
    </row>
    <row r="63" spans="1:27" ht="13" thickBot="1" x14ac:dyDescent="0.3">
      <c r="B63" s="469">
        <v>1260</v>
      </c>
      <c r="C63" s="500">
        <v>0.6</v>
      </c>
      <c r="D63" s="470">
        <v>0.93599999999999994</v>
      </c>
      <c r="E63" s="470">
        <v>0.73702777777777784</v>
      </c>
      <c r="F63" s="470">
        <v>0.67199999999999993</v>
      </c>
      <c r="G63" s="470">
        <v>0.27544999999999997</v>
      </c>
      <c r="H63" s="470">
        <v>0.1</v>
      </c>
      <c r="I63" s="470">
        <v>0.4562764227642277</v>
      </c>
      <c r="J63" s="470">
        <v>0.66300000000000003</v>
      </c>
      <c r="K63" s="471">
        <v>0.84701126126126125</v>
      </c>
      <c r="L63" s="460" t="s">
        <v>1094</v>
      </c>
      <c r="M63" s="473" t="s">
        <v>1307</v>
      </c>
      <c r="N63" s="479">
        <v>1.03250584222305</v>
      </c>
      <c r="Y63" s="168"/>
      <c r="Z63" s="168"/>
      <c r="AA63" s="168"/>
    </row>
    <row r="64" spans="1:27" ht="13.5" thickBot="1" x14ac:dyDescent="0.3">
      <c r="B64" s="466">
        <v>1680</v>
      </c>
      <c r="C64" s="499">
        <v>0.8</v>
      </c>
      <c r="D64" s="467">
        <v>0.70200000000000007</v>
      </c>
      <c r="E64" s="467">
        <v>0.58584259259259264</v>
      </c>
      <c r="F64" s="467">
        <v>0.54600000000000004</v>
      </c>
      <c r="G64" s="467">
        <v>0.2361</v>
      </c>
      <c r="H64" s="467">
        <v>9.4999999999999987E-2</v>
      </c>
      <c r="I64" s="467">
        <v>0.41479674796747973</v>
      </c>
      <c r="J64" s="467">
        <v>0.57200000000000006</v>
      </c>
      <c r="K64" s="468">
        <v>0.69393693693693703</v>
      </c>
      <c r="L64" s="460" t="s">
        <v>1085</v>
      </c>
      <c r="M64" s="476" t="s">
        <v>1309</v>
      </c>
      <c r="N64" s="480">
        <v>0.99</v>
      </c>
      <c r="P64" s="518" t="s">
        <v>1333</v>
      </c>
      <c r="Y64" s="168"/>
      <c r="Z64" s="168"/>
      <c r="AA64" s="168"/>
    </row>
    <row r="65" spans="2:27" ht="13.5" thickBot="1" x14ac:dyDescent="0.3">
      <c r="B65" s="469">
        <v>2100</v>
      </c>
      <c r="C65" s="500">
        <v>1</v>
      </c>
      <c r="D65" s="470">
        <v>0.4860000000000001</v>
      </c>
      <c r="E65" s="470">
        <v>0.50080092592592595</v>
      </c>
      <c r="F65" s="470">
        <v>0.44799999999999995</v>
      </c>
      <c r="G65" s="470">
        <v>0.22298333333333334</v>
      </c>
      <c r="H65" s="470">
        <v>0.09</v>
      </c>
      <c r="I65" s="470">
        <v>0.35257723577235778</v>
      </c>
      <c r="J65" s="470">
        <v>0.48100000000000004</v>
      </c>
      <c r="K65" s="471">
        <v>0.57147747747747757</v>
      </c>
      <c r="L65" s="460" t="s">
        <v>1075</v>
      </c>
      <c r="M65" s="501" t="s">
        <v>1311</v>
      </c>
      <c r="N65" s="502">
        <v>0.97</v>
      </c>
      <c r="P65" s="519">
        <v>9.3665972059342959</v>
      </c>
      <c r="Y65" s="168"/>
      <c r="Z65" s="168"/>
      <c r="AA65" s="168"/>
    </row>
    <row r="66" spans="2:27" x14ac:dyDescent="0.25">
      <c r="B66" s="466">
        <v>2520</v>
      </c>
      <c r="C66" s="499">
        <v>1.2</v>
      </c>
      <c r="D66" s="467">
        <v>0.29700000000000004</v>
      </c>
      <c r="E66" s="467">
        <v>0.39686111111111116</v>
      </c>
      <c r="F66" s="467">
        <v>0.39200000000000002</v>
      </c>
      <c r="G66" s="467">
        <v>0.19674999999999998</v>
      </c>
      <c r="H66" s="467">
        <v>8.5000000000000006E-2</v>
      </c>
      <c r="I66" s="467">
        <v>0.33183739837398379</v>
      </c>
      <c r="J66" s="467">
        <v>0.45499999999999996</v>
      </c>
      <c r="K66" s="468">
        <v>0.46942792792792798</v>
      </c>
      <c r="Y66" s="168"/>
      <c r="Z66" s="168"/>
      <c r="AA66" s="168"/>
    </row>
    <row r="67" spans="2:27" ht="13" thickBot="1" x14ac:dyDescent="0.35">
      <c r="B67" s="469">
        <v>2940</v>
      </c>
      <c r="C67" s="500">
        <v>1.4</v>
      </c>
      <c r="D67" s="470">
        <v>0.25200000000000006</v>
      </c>
      <c r="E67" s="470">
        <v>0.34016666666666667</v>
      </c>
      <c r="F67" s="470">
        <v>0.32200000000000001</v>
      </c>
      <c r="G67" s="470">
        <v>0.18363333333333337</v>
      </c>
      <c r="H67" s="470">
        <v>0.08</v>
      </c>
      <c r="I67" s="470">
        <v>0.31109756097560975</v>
      </c>
      <c r="J67" s="470">
        <v>0.40300000000000002</v>
      </c>
      <c r="K67" s="471">
        <v>0.38778828828828832</v>
      </c>
      <c r="M67" s="461" t="s">
        <v>1334</v>
      </c>
    </row>
    <row r="68" spans="2:27" x14ac:dyDescent="0.3">
      <c r="B68" s="466">
        <v>3360</v>
      </c>
      <c r="C68" s="499">
        <v>1.6</v>
      </c>
      <c r="D68" s="467">
        <v>0.19800000000000001</v>
      </c>
      <c r="E68" s="467">
        <v>0.27402314814814815</v>
      </c>
      <c r="F68" s="467">
        <v>0.308</v>
      </c>
      <c r="G68" s="467">
        <v>0.18363333333333337</v>
      </c>
      <c r="H68" s="467">
        <v>7.4999999999999997E-2</v>
      </c>
      <c r="I68" s="467">
        <v>0.29035772357723583</v>
      </c>
      <c r="J68" s="467">
        <v>0.33800000000000002</v>
      </c>
      <c r="K68" s="468">
        <v>0.34696846846846852</v>
      </c>
      <c r="L68" s="487" t="s">
        <v>1094</v>
      </c>
      <c r="M68" s="488" t="s">
        <v>1305</v>
      </c>
      <c r="N68" s="503">
        <v>1.03250584222305</v>
      </c>
    </row>
    <row r="69" spans="2:27" x14ac:dyDescent="0.3">
      <c r="B69" s="469">
        <v>3780</v>
      </c>
      <c r="C69" s="500">
        <v>1.8</v>
      </c>
      <c r="D69" s="470">
        <v>0.17100000000000001</v>
      </c>
      <c r="E69" s="470">
        <v>0.23622685185185185</v>
      </c>
      <c r="F69" s="470">
        <v>0.26600000000000001</v>
      </c>
      <c r="G69" s="470">
        <v>0.17051666666666671</v>
      </c>
      <c r="H69" s="470">
        <v>7.0000000000000007E-2</v>
      </c>
      <c r="I69" s="470">
        <v>0.26961788617886179</v>
      </c>
      <c r="J69" s="470">
        <v>0.29899999999999999</v>
      </c>
      <c r="K69" s="471">
        <v>0.28573873873873878</v>
      </c>
      <c r="L69" s="490" t="s">
        <v>1075</v>
      </c>
      <c r="M69" s="1413" t="s">
        <v>1326</v>
      </c>
      <c r="N69" s="504">
        <v>0.97</v>
      </c>
    </row>
    <row r="70" spans="2:27" ht="13" thickBot="1" x14ac:dyDescent="0.35">
      <c r="B70" s="484">
        <v>4200</v>
      </c>
      <c r="C70" s="506">
        <v>2</v>
      </c>
      <c r="D70" s="485">
        <v>0.13500000000000001</v>
      </c>
      <c r="E70" s="485">
        <v>0.17953240740740742</v>
      </c>
      <c r="F70" s="485">
        <v>0.23800000000000002</v>
      </c>
      <c r="G70" s="485">
        <v>0.15740000000000001</v>
      </c>
      <c r="H70" s="485">
        <v>7.0000000000000007E-2</v>
      </c>
      <c r="I70" s="485">
        <v>0.26961788617886179</v>
      </c>
      <c r="J70" s="485">
        <v>0.28600000000000003</v>
      </c>
      <c r="K70" s="486">
        <v>0.27553378378378385</v>
      </c>
      <c r="L70" s="492" t="s">
        <v>1085</v>
      </c>
      <c r="M70" s="493" t="s">
        <v>1325</v>
      </c>
      <c r="N70" s="505">
        <v>0.99</v>
      </c>
    </row>
  </sheetData>
  <sheetProtection algorithmName="SHA-512" hashValue="i55lvOtEIwsBbEnXpJqvMld3M1OTa7b9BItRJWFwfs2Vq7JHzn1DSShosbluQU+7d6INhOKnGgCuDbAM1zcXWQ==" saltValue="bVfekScahYQMxUJvOaWITw==" spinCount="100000" sheet="1" objects="1" scenarios="1" autoFilter="0"/>
  <mergeCells count="5">
    <mergeCell ref="M1:N1"/>
    <mergeCell ref="P1:Q1"/>
    <mergeCell ref="M18:N18"/>
    <mergeCell ref="M38:N38"/>
    <mergeCell ref="M55:N55"/>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7"/>
  <dimension ref="A1:AF72"/>
  <sheetViews>
    <sheetView topLeftCell="N1" workbookViewId="0">
      <selection activeCell="K75" sqref="K75"/>
    </sheetView>
  </sheetViews>
  <sheetFormatPr defaultColWidth="8" defaultRowHeight="12.5" x14ac:dyDescent="0.3"/>
  <cols>
    <col min="1" max="1" width="26.58203125" style="460" customWidth="1"/>
    <col min="2" max="2" width="9" style="460" customWidth="1"/>
    <col min="3" max="3" width="8.08203125" style="460" customWidth="1"/>
    <col min="4" max="11" width="8.83203125" style="460" customWidth="1"/>
    <col min="12" max="12" width="8" style="460"/>
    <col min="13" max="13" width="55.5" style="461" customWidth="1"/>
    <col min="14" max="15" width="8" style="461"/>
    <col min="16" max="16" width="47.58203125" style="461" customWidth="1"/>
    <col min="17" max="18" width="11.08203125" style="461" customWidth="1"/>
    <col min="19" max="19" width="8" style="461"/>
    <col min="20" max="20" width="14.58203125" style="461" customWidth="1"/>
    <col min="21" max="21" width="15.83203125" style="461" customWidth="1"/>
    <col min="22" max="25" width="8" style="461"/>
    <col min="26" max="26" width="14.58203125" style="461" customWidth="1"/>
    <col min="27" max="27" width="15.83203125" style="461" customWidth="1"/>
    <col min="28" max="32" width="8" style="461"/>
    <col min="33" max="16384" width="8" style="460"/>
  </cols>
  <sheetData>
    <row r="1" spans="1:21" x14ac:dyDescent="0.25">
      <c r="A1" s="458" t="s">
        <v>1114</v>
      </c>
      <c r="B1" s="459" t="s">
        <v>1294</v>
      </c>
      <c r="M1" s="1585" t="s">
        <v>1319</v>
      </c>
      <c r="N1" s="1585"/>
      <c r="P1" s="1586" t="s">
        <v>1296</v>
      </c>
      <c r="Q1" s="1586"/>
      <c r="S1" s="168"/>
      <c r="T1" s="168"/>
      <c r="U1" s="168"/>
    </row>
    <row r="2" spans="1:21" ht="26" x14ac:dyDescent="0.25">
      <c r="B2" s="462" t="s">
        <v>1297</v>
      </c>
      <c r="C2" s="463" t="s">
        <v>1335</v>
      </c>
      <c r="D2" s="464" t="s">
        <v>1230</v>
      </c>
      <c r="E2" s="464" t="s">
        <v>1231</v>
      </c>
      <c r="F2" s="464" t="s">
        <v>1232</v>
      </c>
      <c r="G2" s="464" t="s">
        <v>1233</v>
      </c>
      <c r="H2" s="464" t="s">
        <v>1234</v>
      </c>
      <c r="I2" s="464" t="s">
        <v>1235</v>
      </c>
      <c r="J2" s="464" t="s">
        <v>1236</v>
      </c>
      <c r="K2" s="465" t="s">
        <v>1237</v>
      </c>
      <c r="S2" s="168"/>
      <c r="T2" s="168"/>
      <c r="U2" s="168"/>
    </row>
    <row r="3" spans="1:21" x14ac:dyDescent="0.25">
      <c r="B3" s="466">
        <v>0</v>
      </c>
      <c r="C3" s="467">
        <v>0</v>
      </c>
      <c r="D3" s="467">
        <v>0.95200000000000007</v>
      </c>
      <c r="E3" s="467">
        <v>1.508</v>
      </c>
      <c r="F3" s="467">
        <v>1.704</v>
      </c>
      <c r="G3" s="467">
        <v>1.5339999999999998</v>
      </c>
      <c r="H3" s="467">
        <v>0.92399999999999993</v>
      </c>
      <c r="I3" s="467">
        <v>1.4499999999999997</v>
      </c>
      <c r="J3" s="467">
        <v>1.4960000000000002</v>
      </c>
      <c r="K3" s="468">
        <v>1.4139999999999999</v>
      </c>
      <c r="S3" s="168"/>
      <c r="T3" s="168"/>
      <c r="U3" s="168"/>
    </row>
    <row r="4" spans="1:21" ht="13" x14ac:dyDescent="0.25">
      <c r="B4" s="469">
        <v>105</v>
      </c>
      <c r="C4" s="470">
        <v>0.05</v>
      </c>
      <c r="D4" s="470">
        <v>0.79899999999999993</v>
      </c>
      <c r="E4" s="470">
        <v>1.3629999999999998</v>
      </c>
      <c r="F4" s="470">
        <v>1.5840000000000001</v>
      </c>
      <c r="G4" s="470">
        <v>1.4039999999999999</v>
      </c>
      <c r="H4" s="470">
        <v>0.79799999999999982</v>
      </c>
      <c r="I4" s="470">
        <v>1.3124999999999998</v>
      </c>
      <c r="J4" s="470">
        <v>1.3860000000000001</v>
      </c>
      <c r="K4" s="471">
        <v>1.26</v>
      </c>
      <c r="M4" s="472" t="s">
        <v>1299</v>
      </c>
      <c r="N4" s="465" t="s">
        <v>1300</v>
      </c>
      <c r="P4" s="472" t="s">
        <v>1301</v>
      </c>
      <c r="Q4" s="465" t="s">
        <v>1302</v>
      </c>
      <c r="S4" s="168"/>
      <c r="T4" s="168"/>
      <c r="U4" s="168"/>
    </row>
    <row r="5" spans="1:21" x14ac:dyDescent="0.25">
      <c r="B5" s="466">
        <v>210</v>
      </c>
      <c r="C5" s="467">
        <v>0.1</v>
      </c>
      <c r="D5" s="467">
        <v>0.748</v>
      </c>
      <c r="E5" s="467">
        <v>1.2324999999999999</v>
      </c>
      <c r="F5" s="467">
        <v>1.5</v>
      </c>
      <c r="G5" s="467">
        <v>1.3259999999999998</v>
      </c>
      <c r="H5" s="467">
        <v>0.75600000000000001</v>
      </c>
      <c r="I5" s="467">
        <v>1.2374999999999998</v>
      </c>
      <c r="J5" s="467">
        <v>1.3089999999999999</v>
      </c>
      <c r="K5" s="468">
        <v>1.1619999999999999</v>
      </c>
      <c r="M5" s="473" t="s">
        <v>1303</v>
      </c>
      <c r="N5" s="474">
        <v>0.9</v>
      </c>
      <c r="P5" s="473" t="s">
        <v>1304</v>
      </c>
      <c r="Q5" s="475">
        <v>9.4545843120608403E-2</v>
      </c>
      <c r="S5" s="168"/>
      <c r="T5" s="168"/>
      <c r="U5" s="168"/>
    </row>
    <row r="6" spans="1:21" x14ac:dyDescent="0.25">
      <c r="B6" s="469">
        <v>420</v>
      </c>
      <c r="C6" s="470">
        <v>0.2</v>
      </c>
      <c r="D6" s="470">
        <v>0.64600000000000002</v>
      </c>
      <c r="E6" s="470">
        <v>1.0585</v>
      </c>
      <c r="F6" s="470">
        <v>1.32</v>
      </c>
      <c r="G6" s="470">
        <v>1.17</v>
      </c>
      <c r="H6" s="470">
        <v>0.64400000000000002</v>
      </c>
      <c r="I6" s="470">
        <v>1.0874999999999999</v>
      </c>
      <c r="J6" s="470">
        <v>1.1660000000000001</v>
      </c>
      <c r="K6" s="471">
        <v>1.022</v>
      </c>
      <c r="M6" s="476" t="s">
        <v>1305</v>
      </c>
      <c r="N6" s="477">
        <v>1.7</v>
      </c>
      <c r="P6" s="476" t="s">
        <v>1306</v>
      </c>
      <c r="Q6" s="478">
        <v>9.8522129991632124E-2</v>
      </c>
      <c r="S6" s="168"/>
      <c r="T6" s="168"/>
      <c r="U6" s="168"/>
    </row>
    <row r="7" spans="1:21" x14ac:dyDescent="0.25">
      <c r="B7" s="466">
        <v>840</v>
      </c>
      <c r="C7" s="467">
        <v>0.4</v>
      </c>
      <c r="D7" s="467">
        <v>0.54400000000000004</v>
      </c>
      <c r="E7" s="467">
        <v>0.81200000000000017</v>
      </c>
      <c r="F7" s="467">
        <v>1.056</v>
      </c>
      <c r="G7" s="467">
        <v>0.92299999999999982</v>
      </c>
      <c r="H7" s="467">
        <v>0.53199999999999992</v>
      </c>
      <c r="I7" s="467">
        <v>0.89999999999999991</v>
      </c>
      <c r="J7" s="467">
        <v>0.92400000000000004</v>
      </c>
      <c r="K7" s="468">
        <v>0.78400000000000003</v>
      </c>
      <c r="L7" s="460" t="s">
        <v>1094</v>
      </c>
      <c r="M7" s="473" t="s">
        <v>1307</v>
      </c>
      <c r="N7" s="479">
        <v>1.2119804587626077</v>
      </c>
      <c r="P7" s="473" t="s">
        <v>1308</v>
      </c>
      <c r="Q7" s="475">
        <v>0.10011264474004161</v>
      </c>
      <c r="S7" s="168"/>
      <c r="T7" s="168"/>
      <c r="U7" s="168"/>
    </row>
    <row r="8" spans="1:21" x14ac:dyDescent="0.25">
      <c r="B8" s="469">
        <v>1260</v>
      </c>
      <c r="C8" s="470">
        <v>0.6</v>
      </c>
      <c r="D8" s="470">
        <v>0.47600000000000003</v>
      </c>
      <c r="E8" s="470">
        <v>0.62349999999999994</v>
      </c>
      <c r="F8" s="470">
        <v>0.8879999999999999</v>
      </c>
      <c r="G8" s="470">
        <v>0.75399999999999989</v>
      </c>
      <c r="H8" s="470">
        <v>0.43399999999999994</v>
      </c>
      <c r="I8" s="470">
        <v>0.7124999999999998</v>
      </c>
      <c r="J8" s="470">
        <v>0.78100000000000003</v>
      </c>
      <c r="K8" s="471">
        <v>0.61599999999999999</v>
      </c>
      <c r="L8" s="460" t="s">
        <v>1085</v>
      </c>
      <c r="M8" s="476" t="s">
        <v>1309</v>
      </c>
      <c r="N8" s="480">
        <v>1</v>
      </c>
      <c r="P8" s="481" t="s">
        <v>1310</v>
      </c>
      <c r="Q8" s="482">
        <v>0.10074885063940539</v>
      </c>
      <c r="S8" s="168"/>
      <c r="T8" s="168"/>
      <c r="U8" s="168"/>
    </row>
    <row r="9" spans="1:21" x14ac:dyDescent="0.25">
      <c r="B9" s="466">
        <v>1680</v>
      </c>
      <c r="C9" s="467">
        <v>0.8</v>
      </c>
      <c r="D9" s="467">
        <v>0.40799999999999997</v>
      </c>
      <c r="E9" s="467">
        <v>0.50749999999999995</v>
      </c>
      <c r="F9" s="467">
        <v>0.70799999999999996</v>
      </c>
      <c r="G9" s="467">
        <v>0.61099999999999988</v>
      </c>
      <c r="H9" s="467">
        <v>0.378</v>
      </c>
      <c r="I9" s="467">
        <v>0.62499999999999989</v>
      </c>
      <c r="J9" s="467">
        <v>0.66</v>
      </c>
      <c r="K9" s="468">
        <v>0.48999999999999994</v>
      </c>
      <c r="L9" s="460" t="s">
        <v>1075</v>
      </c>
      <c r="M9" s="473" t="s">
        <v>1311</v>
      </c>
      <c r="N9" s="479">
        <v>0.8849782375332953</v>
      </c>
      <c r="S9" s="168"/>
      <c r="T9" s="168"/>
      <c r="U9" s="168"/>
    </row>
    <row r="10" spans="1:21" x14ac:dyDescent="0.25">
      <c r="B10" s="469">
        <v>2100</v>
      </c>
      <c r="C10" s="470">
        <v>1</v>
      </c>
      <c r="D10" s="470">
        <v>0.34</v>
      </c>
      <c r="E10" s="470">
        <v>0.42049999999999993</v>
      </c>
      <c r="F10" s="470">
        <v>0.60000000000000009</v>
      </c>
      <c r="G10" s="470">
        <v>0.52</v>
      </c>
      <c r="H10" s="470">
        <v>0.33599999999999991</v>
      </c>
      <c r="I10" s="470">
        <v>0.53749999999999998</v>
      </c>
      <c r="J10" s="470">
        <v>0.58300000000000007</v>
      </c>
      <c r="K10" s="471">
        <v>0.40599999999999997</v>
      </c>
      <c r="M10" s="481" t="s">
        <v>1312</v>
      </c>
      <c r="N10" s="483">
        <v>0.89</v>
      </c>
      <c r="S10" s="168"/>
      <c r="T10" s="168"/>
      <c r="U10" s="168"/>
    </row>
    <row r="11" spans="1:21" x14ac:dyDescent="0.25">
      <c r="B11" s="466">
        <v>2520</v>
      </c>
      <c r="C11" s="467">
        <v>1.2</v>
      </c>
      <c r="D11" s="467">
        <v>0.32300000000000001</v>
      </c>
      <c r="E11" s="467">
        <v>0.377</v>
      </c>
      <c r="F11" s="467">
        <v>0.504</v>
      </c>
      <c r="G11" s="467">
        <v>0.44199999999999995</v>
      </c>
      <c r="H11" s="467">
        <v>0.29399999999999998</v>
      </c>
      <c r="I11" s="467">
        <v>0.46249999999999997</v>
      </c>
      <c r="J11" s="467">
        <v>0.47300000000000003</v>
      </c>
      <c r="K11" s="468">
        <v>0.36399999999999999</v>
      </c>
      <c r="M11" s="461" t="s">
        <v>1313</v>
      </c>
      <c r="S11" s="168"/>
      <c r="T11" s="168"/>
      <c r="U11" s="168"/>
    </row>
    <row r="12" spans="1:21" x14ac:dyDescent="0.25">
      <c r="B12" s="469">
        <v>2940</v>
      </c>
      <c r="C12" s="470">
        <v>1.4</v>
      </c>
      <c r="D12" s="470">
        <v>0.28899999999999998</v>
      </c>
      <c r="E12" s="470">
        <v>0.31900000000000001</v>
      </c>
      <c r="F12" s="470">
        <v>0.42</v>
      </c>
      <c r="G12" s="470">
        <v>0.40299999999999997</v>
      </c>
      <c r="H12" s="470">
        <v>0.27999999999999997</v>
      </c>
      <c r="I12" s="470">
        <v>0.4</v>
      </c>
      <c r="J12" s="470">
        <v>0.45100000000000007</v>
      </c>
      <c r="K12" s="471">
        <v>0.32200000000000001</v>
      </c>
      <c r="S12" s="168"/>
      <c r="T12" s="168"/>
      <c r="U12" s="168"/>
    </row>
    <row r="13" spans="1:21" x14ac:dyDescent="0.25">
      <c r="B13" s="466">
        <v>3360</v>
      </c>
      <c r="C13" s="467">
        <v>1.6</v>
      </c>
      <c r="D13" s="467">
        <v>0.28899999999999998</v>
      </c>
      <c r="E13" s="467">
        <v>0.29000000000000004</v>
      </c>
      <c r="F13" s="467">
        <v>0.39600000000000002</v>
      </c>
      <c r="G13" s="467">
        <v>0.35099999999999998</v>
      </c>
      <c r="H13" s="467">
        <v>0.22399999999999998</v>
      </c>
      <c r="I13" s="467">
        <v>0.38749999999999996</v>
      </c>
      <c r="J13" s="467">
        <v>0.38500000000000001</v>
      </c>
      <c r="K13" s="468">
        <v>0.29399999999999998</v>
      </c>
      <c r="M13" s="481" t="s">
        <v>1312</v>
      </c>
      <c r="N13" s="483">
        <v>0.72424062792401578</v>
      </c>
      <c r="S13" s="168"/>
      <c r="T13" s="168"/>
      <c r="U13" s="168"/>
    </row>
    <row r="14" spans="1:21" ht="13" thickBot="1" x14ac:dyDescent="0.35">
      <c r="B14" s="469">
        <v>3780</v>
      </c>
      <c r="C14" s="470">
        <v>1.8</v>
      </c>
      <c r="D14" s="470">
        <v>0.255</v>
      </c>
      <c r="E14" s="470">
        <v>0.27549999999999997</v>
      </c>
      <c r="F14" s="470">
        <v>0.36</v>
      </c>
      <c r="G14" s="470">
        <v>0.312</v>
      </c>
      <c r="H14" s="470">
        <v>0.22399999999999998</v>
      </c>
      <c r="I14" s="470">
        <v>0.35</v>
      </c>
      <c r="J14" s="470">
        <v>0.36300000000000004</v>
      </c>
      <c r="K14" s="471">
        <v>0.26599999999999996</v>
      </c>
      <c r="M14" s="461" t="s">
        <v>1314</v>
      </c>
    </row>
    <row r="15" spans="1:21" x14ac:dyDescent="0.3">
      <c r="B15" s="484">
        <v>4200</v>
      </c>
      <c r="C15" s="485">
        <v>2</v>
      </c>
      <c r="D15" s="485">
        <v>0.255</v>
      </c>
      <c r="E15" s="485">
        <v>0.26100000000000001</v>
      </c>
      <c r="F15" s="485">
        <v>0.30000000000000004</v>
      </c>
      <c r="G15" s="485">
        <v>0.312</v>
      </c>
      <c r="H15" s="485">
        <v>0.20999999999999996</v>
      </c>
      <c r="I15" s="485">
        <v>0.29999999999999993</v>
      </c>
      <c r="J15" s="485">
        <v>0.29700000000000004</v>
      </c>
      <c r="K15" s="486">
        <v>0.23799999999999999</v>
      </c>
      <c r="L15" s="487" t="s">
        <v>1094</v>
      </c>
      <c r="M15" s="488" t="s">
        <v>1307</v>
      </c>
      <c r="N15" s="503">
        <v>1.2119804587626077</v>
      </c>
    </row>
    <row r="16" spans="1:21" x14ac:dyDescent="0.3">
      <c r="L16" s="490" t="s">
        <v>1075</v>
      </c>
      <c r="M16" s="1413" t="s">
        <v>1311</v>
      </c>
      <c r="N16" s="504">
        <v>0.8849782375332953</v>
      </c>
    </row>
    <row r="17" spans="1:29" ht="13" thickBot="1" x14ac:dyDescent="0.35">
      <c r="L17" s="492" t="s">
        <v>1085</v>
      </c>
      <c r="M17" s="493" t="s">
        <v>1309</v>
      </c>
      <c r="N17" s="505">
        <v>1</v>
      </c>
    </row>
    <row r="18" spans="1:29" x14ac:dyDescent="0.3">
      <c r="A18" s="511" t="s">
        <v>1251</v>
      </c>
      <c r="B18" s="459" t="s">
        <v>1320</v>
      </c>
      <c r="M18" s="1585" t="s">
        <v>1319</v>
      </c>
      <c r="N18" s="1585"/>
      <c r="P18" s="461" t="s">
        <v>1322</v>
      </c>
    </row>
    <row r="20" spans="1:29" ht="52" x14ac:dyDescent="0.25">
      <c r="B20" s="462" t="s">
        <v>1297</v>
      </c>
      <c r="C20" s="463" t="s">
        <v>1298</v>
      </c>
      <c r="D20" s="464" t="s">
        <v>1230</v>
      </c>
      <c r="E20" s="464" t="s">
        <v>1231</v>
      </c>
      <c r="F20" s="464" t="s">
        <v>1232</v>
      </c>
      <c r="G20" s="464" t="s">
        <v>1233</v>
      </c>
      <c r="H20" s="464" t="s">
        <v>1234</v>
      </c>
      <c r="I20" s="464" t="s">
        <v>1235</v>
      </c>
      <c r="J20" s="464" t="s">
        <v>1236</v>
      </c>
      <c r="K20" s="465" t="s">
        <v>1237</v>
      </c>
      <c r="Y20" s="168"/>
      <c r="Z20" s="168"/>
      <c r="AA20" s="168"/>
      <c r="AB20" s="168"/>
      <c r="AC20" s="168"/>
    </row>
    <row r="21" spans="1:29" ht="13" x14ac:dyDescent="0.25">
      <c r="B21" s="466">
        <v>0</v>
      </c>
      <c r="C21" s="467">
        <v>0</v>
      </c>
      <c r="D21" s="467">
        <v>1.3632</v>
      </c>
      <c r="E21" s="467">
        <v>1.1621999999999999</v>
      </c>
      <c r="F21" s="467">
        <v>0.748</v>
      </c>
      <c r="G21" s="467">
        <v>0.37760000000000005</v>
      </c>
      <c r="H21" s="467">
        <v>0.3775</v>
      </c>
      <c r="I21" s="467">
        <v>0.43064999999999998</v>
      </c>
      <c r="J21" s="467">
        <v>1.0449999999999999</v>
      </c>
      <c r="K21" s="468">
        <v>1.4118000000000002</v>
      </c>
      <c r="M21" s="472" t="s">
        <v>1299</v>
      </c>
      <c r="N21" s="465" t="s">
        <v>1300</v>
      </c>
      <c r="P21" s="1414" t="s">
        <v>1230</v>
      </c>
      <c r="Q21" s="1414" t="s">
        <v>1231</v>
      </c>
      <c r="R21" s="1414" t="s">
        <v>1232</v>
      </c>
      <c r="S21" s="1414" t="s">
        <v>1233</v>
      </c>
      <c r="T21" s="1414" t="s">
        <v>1234</v>
      </c>
      <c r="U21" s="1414" t="s">
        <v>1235</v>
      </c>
      <c r="V21" s="1414" t="s">
        <v>1236</v>
      </c>
      <c r="W21" s="1414" t="s">
        <v>1237</v>
      </c>
      <c r="Y21" s="168"/>
      <c r="Z21" s="168"/>
      <c r="AA21" s="168"/>
      <c r="AB21" s="168"/>
      <c r="AC21" s="168"/>
    </row>
    <row r="22" spans="1:29" x14ac:dyDescent="0.25">
      <c r="B22" s="469">
        <v>105</v>
      </c>
      <c r="C22" s="470">
        <v>0.05</v>
      </c>
      <c r="D22" s="470">
        <v>1.349</v>
      </c>
      <c r="E22" s="470">
        <v>1.1231999999999998</v>
      </c>
      <c r="F22" s="470">
        <v>0.69699999999999995</v>
      </c>
      <c r="G22" s="470">
        <v>0.33040000000000008</v>
      </c>
      <c r="H22" s="470">
        <v>0.3322</v>
      </c>
      <c r="I22" s="470">
        <v>0.37844999999999995</v>
      </c>
      <c r="J22" s="470">
        <v>1.0010000000000001</v>
      </c>
      <c r="K22" s="471">
        <v>1.3756000000000002</v>
      </c>
      <c r="M22" s="473" t="s">
        <v>1303</v>
      </c>
      <c r="N22" s="474">
        <v>0.26</v>
      </c>
      <c r="P22" s="1415">
        <v>1.25</v>
      </c>
      <c r="Q22" s="1415">
        <v>1.08</v>
      </c>
      <c r="R22" s="1415">
        <v>0.91</v>
      </c>
      <c r="S22" s="1415">
        <v>0.85499999999999998</v>
      </c>
      <c r="T22" s="1415">
        <v>0.8</v>
      </c>
      <c r="U22" s="1415">
        <v>1</v>
      </c>
      <c r="V22" s="1415">
        <v>1.2</v>
      </c>
      <c r="W22" s="1415">
        <v>1.2250000000000001</v>
      </c>
      <c r="Y22" s="168"/>
      <c r="Z22" s="168"/>
      <c r="AA22" s="168"/>
      <c r="AB22" s="168"/>
      <c r="AC22" s="168"/>
    </row>
    <row r="23" spans="1:29" x14ac:dyDescent="0.25">
      <c r="B23" s="466">
        <v>210</v>
      </c>
      <c r="C23" s="467">
        <v>0.1</v>
      </c>
      <c r="D23" s="467">
        <v>1.2496</v>
      </c>
      <c r="E23" s="467">
        <v>1.0686</v>
      </c>
      <c r="F23" s="467">
        <v>0.66300000000000003</v>
      </c>
      <c r="G23" s="467">
        <v>0.31860000000000005</v>
      </c>
      <c r="H23" s="467">
        <v>0.31709999999999999</v>
      </c>
      <c r="I23" s="467">
        <v>0.3654</v>
      </c>
      <c r="J23" s="467">
        <v>0.95699999999999996</v>
      </c>
      <c r="K23" s="468">
        <v>1.3032000000000001</v>
      </c>
      <c r="M23" s="476" t="s">
        <v>1305</v>
      </c>
      <c r="N23" s="477">
        <v>1.19</v>
      </c>
      <c r="O23" s="461" t="s">
        <v>1324</v>
      </c>
      <c r="P23" s="512">
        <v>1.3875000000000002</v>
      </c>
      <c r="Q23" s="512">
        <v>1.1988000000000001</v>
      </c>
      <c r="R23" s="512">
        <v>1.0101000000000002</v>
      </c>
      <c r="S23" s="512">
        <v>0.94905000000000006</v>
      </c>
      <c r="T23" s="512">
        <v>0.88800000000000012</v>
      </c>
      <c r="U23" s="512">
        <v>1.1100000000000001</v>
      </c>
      <c r="V23" s="512">
        <v>1.3320000000000001</v>
      </c>
      <c r="W23" s="512">
        <v>1.3597500000000002</v>
      </c>
      <c r="Y23" s="168"/>
      <c r="Z23" s="168"/>
      <c r="AA23" s="168"/>
      <c r="AB23" s="168"/>
      <c r="AC23" s="168"/>
    </row>
    <row r="24" spans="1:29" x14ac:dyDescent="0.25">
      <c r="B24" s="469">
        <v>420</v>
      </c>
      <c r="C24" s="470">
        <v>0.2</v>
      </c>
      <c r="D24" s="470">
        <v>1.1147</v>
      </c>
      <c r="E24" s="470">
        <v>0.9516</v>
      </c>
      <c r="F24" s="470">
        <v>0.59499999999999997</v>
      </c>
      <c r="G24" s="470">
        <v>0.28320000000000001</v>
      </c>
      <c r="H24" s="470">
        <v>0.30200000000000005</v>
      </c>
      <c r="I24" s="470">
        <v>0.32624999999999998</v>
      </c>
      <c r="J24" s="470">
        <v>0.8580000000000001</v>
      </c>
      <c r="K24" s="471">
        <v>1.1765000000000001</v>
      </c>
      <c r="M24" s="473" t="s">
        <v>1325</v>
      </c>
      <c r="N24" s="474">
        <v>1.1100000000000001</v>
      </c>
      <c r="Y24" s="168"/>
      <c r="Z24" s="168"/>
      <c r="AA24" s="168"/>
      <c r="AB24" s="168"/>
      <c r="AC24" s="168"/>
    </row>
    <row r="25" spans="1:29" x14ac:dyDescent="0.25">
      <c r="B25" s="466">
        <v>840</v>
      </c>
      <c r="C25" s="467">
        <v>0.4</v>
      </c>
      <c r="D25" s="467">
        <v>0.88750000000000007</v>
      </c>
      <c r="E25" s="467">
        <v>0.77999999999999992</v>
      </c>
      <c r="F25" s="467">
        <v>0.51</v>
      </c>
      <c r="G25" s="467">
        <v>0.23600000000000004</v>
      </c>
      <c r="H25" s="467">
        <v>0.27179999999999999</v>
      </c>
      <c r="I25" s="467">
        <v>0.27404999999999996</v>
      </c>
      <c r="J25" s="467">
        <v>0.73699999999999999</v>
      </c>
      <c r="K25" s="468">
        <v>0.97740000000000005</v>
      </c>
      <c r="M25" s="476" t="s">
        <v>1326</v>
      </c>
      <c r="N25" s="477">
        <v>0.79</v>
      </c>
      <c r="P25" s="459" t="s">
        <v>1327</v>
      </c>
      <c r="Y25" s="168"/>
      <c r="Z25" s="168"/>
      <c r="AA25" s="168"/>
      <c r="AB25" s="168"/>
      <c r="AC25" s="168"/>
    </row>
    <row r="26" spans="1:29" x14ac:dyDescent="0.25">
      <c r="B26" s="469">
        <v>1260</v>
      </c>
      <c r="C26" s="470">
        <v>0.6</v>
      </c>
      <c r="D26" s="470">
        <v>0.66739999999999999</v>
      </c>
      <c r="E26" s="470">
        <v>0.60060000000000002</v>
      </c>
      <c r="F26" s="470">
        <v>0.40799999999999997</v>
      </c>
      <c r="G26" s="470">
        <v>0.21240000000000003</v>
      </c>
      <c r="H26" s="470">
        <v>0.25670000000000004</v>
      </c>
      <c r="I26" s="470">
        <v>0.23489999999999997</v>
      </c>
      <c r="J26" s="470">
        <v>0.59400000000000008</v>
      </c>
      <c r="K26" s="471">
        <v>0.78735000000000011</v>
      </c>
      <c r="L26" s="460" t="s">
        <v>1094</v>
      </c>
      <c r="M26" s="473" t="s">
        <v>1307</v>
      </c>
      <c r="N26" s="479">
        <v>1.0432576032414183</v>
      </c>
      <c r="Y26" s="168"/>
      <c r="Z26" s="168"/>
      <c r="AA26" s="168"/>
      <c r="AB26" s="168"/>
      <c r="AC26" s="168"/>
    </row>
    <row r="27" spans="1:29" ht="13" x14ac:dyDescent="0.25">
      <c r="B27" s="466">
        <v>1680</v>
      </c>
      <c r="C27" s="467">
        <v>0.8</v>
      </c>
      <c r="D27" s="467">
        <v>0.44729999999999998</v>
      </c>
      <c r="E27" s="467">
        <v>0.4758</v>
      </c>
      <c r="F27" s="467">
        <v>0.36549999999999999</v>
      </c>
      <c r="G27" s="467">
        <v>0.18880000000000002</v>
      </c>
      <c r="H27" s="467">
        <v>0.22649999999999998</v>
      </c>
      <c r="I27" s="467">
        <v>0.22184999999999999</v>
      </c>
      <c r="J27" s="467">
        <v>0.50600000000000001</v>
      </c>
      <c r="K27" s="468">
        <v>0.63350000000000006</v>
      </c>
      <c r="L27" s="460" t="s">
        <v>1085</v>
      </c>
      <c r="M27" s="476" t="s">
        <v>1309</v>
      </c>
      <c r="N27" s="480">
        <v>1</v>
      </c>
      <c r="P27" s="513" t="s">
        <v>1336</v>
      </c>
      <c r="Y27" s="168"/>
      <c r="Z27" s="168"/>
      <c r="AA27" s="168"/>
      <c r="AB27" s="168"/>
      <c r="AC27" s="168"/>
    </row>
    <row r="28" spans="1:29" x14ac:dyDescent="0.25">
      <c r="B28" s="469">
        <v>2100</v>
      </c>
      <c r="C28" s="470">
        <v>1</v>
      </c>
      <c r="D28" s="470">
        <v>0.29820000000000002</v>
      </c>
      <c r="E28" s="470">
        <v>0.40559999999999996</v>
      </c>
      <c r="F28" s="470">
        <v>0.29749999999999999</v>
      </c>
      <c r="G28" s="470">
        <v>0.16520000000000004</v>
      </c>
      <c r="H28" s="470">
        <v>0.21140000000000003</v>
      </c>
      <c r="I28" s="470">
        <v>0.20879999999999999</v>
      </c>
      <c r="J28" s="470">
        <v>0.45099999999999996</v>
      </c>
      <c r="K28" s="471">
        <v>0.50680000000000003</v>
      </c>
      <c r="L28" s="460" t="s">
        <v>1075</v>
      </c>
      <c r="M28" s="473" t="s">
        <v>1311</v>
      </c>
      <c r="N28" s="479">
        <v>0.97306303142169182</v>
      </c>
      <c r="P28" s="514">
        <v>19.098974024000775</v>
      </c>
      <c r="Y28" s="168"/>
      <c r="Z28" s="168"/>
      <c r="AA28" s="168"/>
      <c r="AB28" s="168"/>
      <c r="AC28" s="168"/>
    </row>
    <row r="29" spans="1:29" x14ac:dyDescent="0.25">
      <c r="B29" s="466">
        <v>2520</v>
      </c>
      <c r="C29" s="467">
        <v>1.2</v>
      </c>
      <c r="D29" s="467">
        <v>0.20589999999999997</v>
      </c>
      <c r="E29" s="467">
        <v>0.312</v>
      </c>
      <c r="F29" s="467">
        <v>0.26350000000000001</v>
      </c>
      <c r="G29" s="467">
        <v>0.15340000000000001</v>
      </c>
      <c r="H29" s="467">
        <v>0.21140000000000003</v>
      </c>
      <c r="I29" s="467">
        <v>0.1827</v>
      </c>
      <c r="J29" s="467">
        <v>0.37400000000000005</v>
      </c>
      <c r="K29" s="468">
        <v>0.43440000000000001</v>
      </c>
      <c r="M29" s="481" t="s">
        <v>1329</v>
      </c>
      <c r="N29" s="483">
        <v>1.1499999999999999</v>
      </c>
      <c r="Y29" s="168"/>
      <c r="Z29" s="168"/>
      <c r="AA29" s="168"/>
      <c r="AB29" s="168"/>
      <c r="AC29" s="168"/>
    </row>
    <row r="30" spans="1:29" x14ac:dyDescent="0.3">
      <c r="B30" s="469">
        <v>2940</v>
      </c>
      <c r="C30" s="470">
        <v>1.4</v>
      </c>
      <c r="D30" s="470">
        <v>0.1633</v>
      </c>
      <c r="E30" s="470">
        <v>0.28079999999999994</v>
      </c>
      <c r="F30" s="470">
        <v>0.21250000000000002</v>
      </c>
      <c r="G30" s="470">
        <v>0.1416</v>
      </c>
      <c r="H30" s="470">
        <v>0.1963</v>
      </c>
      <c r="I30" s="470">
        <v>0.16965</v>
      </c>
      <c r="J30" s="470">
        <v>0.32999999999999996</v>
      </c>
      <c r="K30" s="471">
        <v>0.37104999999999999</v>
      </c>
      <c r="M30" s="461" t="s">
        <v>1313</v>
      </c>
    </row>
    <row r="31" spans="1:29" x14ac:dyDescent="0.3">
      <c r="B31" s="466">
        <v>3360</v>
      </c>
      <c r="C31" s="467">
        <v>1.6</v>
      </c>
      <c r="D31" s="467">
        <v>0.1207</v>
      </c>
      <c r="E31" s="467">
        <v>0.24179999999999999</v>
      </c>
      <c r="F31" s="467">
        <v>0.20399999999999999</v>
      </c>
      <c r="G31" s="467">
        <v>0.12980000000000003</v>
      </c>
      <c r="H31" s="467">
        <v>0.1812</v>
      </c>
      <c r="I31" s="467">
        <v>0.15659999999999996</v>
      </c>
      <c r="J31" s="467">
        <v>0.31900000000000001</v>
      </c>
      <c r="K31" s="468">
        <v>0.30770000000000003</v>
      </c>
    </row>
    <row r="32" spans="1:29" x14ac:dyDescent="0.3">
      <c r="B32" s="469">
        <v>3780</v>
      </c>
      <c r="C32" s="470">
        <v>1.8</v>
      </c>
      <c r="D32" s="470">
        <v>0.1065</v>
      </c>
      <c r="E32" s="470">
        <v>0.1716</v>
      </c>
      <c r="F32" s="470">
        <v>0.1615</v>
      </c>
      <c r="G32" s="470">
        <v>0.12980000000000003</v>
      </c>
      <c r="H32" s="470">
        <v>0.1812</v>
      </c>
      <c r="I32" s="470">
        <v>0.14354999999999998</v>
      </c>
      <c r="J32" s="470">
        <v>0.26400000000000001</v>
      </c>
      <c r="K32" s="471">
        <v>0.28055000000000002</v>
      </c>
      <c r="M32" s="481" t="s">
        <v>1329</v>
      </c>
      <c r="N32" s="483">
        <v>1.0510864479507254</v>
      </c>
    </row>
    <row r="33" spans="1:21" ht="13" thickBot="1" x14ac:dyDescent="0.35">
      <c r="B33" s="484">
        <v>4200</v>
      </c>
      <c r="C33" s="485">
        <v>2</v>
      </c>
      <c r="D33" s="485">
        <v>9.2300000000000007E-2</v>
      </c>
      <c r="E33" s="485">
        <v>0.1716</v>
      </c>
      <c r="F33" s="485">
        <v>0.153</v>
      </c>
      <c r="G33" s="485">
        <v>0.11800000000000002</v>
      </c>
      <c r="H33" s="485">
        <v>0.1812</v>
      </c>
      <c r="I33" s="485">
        <v>0.14354999999999998</v>
      </c>
      <c r="J33" s="485">
        <v>0.24199999999999999</v>
      </c>
      <c r="K33" s="486">
        <v>0.24435000000000001</v>
      </c>
      <c r="M33" s="461" t="s">
        <v>1330</v>
      </c>
    </row>
    <row r="34" spans="1:21" x14ac:dyDescent="0.3">
      <c r="B34" s="520"/>
      <c r="C34" s="521"/>
      <c r="D34" s="521"/>
      <c r="E34" s="521"/>
      <c r="F34" s="521"/>
      <c r="G34" s="521"/>
      <c r="H34" s="521"/>
      <c r="I34" s="521"/>
      <c r="J34" s="521"/>
      <c r="K34" s="521"/>
      <c r="L34" s="487" t="s">
        <v>1094</v>
      </c>
      <c r="M34" s="488" t="s">
        <v>1307</v>
      </c>
      <c r="N34" s="503">
        <v>1.0432576032414183</v>
      </c>
    </row>
    <row r="35" spans="1:21" x14ac:dyDescent="0.3">
      <c r="B35" s="520"/>
      <c r="C35" s="521"/>
      <c r="D35" s="521"/>
      <c r="E35" s="521"/>
      <c r="F35" s="521"/>
      <c r="G35" s="521"/>
      <c r="H35" s="521"/>
      <c r="I35" s="521"/>
      <c r="J35" s="521"/>
      <c r="K35" s="521"/>
      <c r="L35" s="490" t="s">
        <v>1075</v>
      </c>
      <c r="M35" s="1413" t="s">
        <v>1311</v>
      </c>
      <c r="N35" s="504">
        <v>0.97306303142169182</v>
      </c>
    </row>
    <row r="36" spans="1:21" ht="13" thickBot="1" x14ac:dyDescent="0.35">
      <c r="B36" s="520"/>
      <c r="C36" s="521"/>
      <c r="D36" s="521"/>
      <c r="E36" s="521"/>
      <c r="F36" s="521"/>
      <c r="G36" s="521"/>
      <c r="H36" s="521"/>
      <c r="I36" s="521"/>
      <c r="J36" s="521"/>
      <c r="K36" s="521"/>
      <c r="L36" s="492" t="s">
        <v>1085</v>
      </c>
      <c r="M36" s="493" t="s">
        <v>1309</v>
      </c>
      <c r="N36" s="505">
        <v>1</v>
      </c>
    </row>
    <row r="38" spans="1:21" x14ac:dyDescent="0.25">
      <c r="A38" s="495" t="s">
        <v>1242</v>
      </c>
      <c r="B38" s="459" t="s">
        <v>1315</v>
      </c>
      <c r="M38" s="1585" t="s">
        <v>1316</v>
      </c>
      <c r="N38" s="1585"/>
      <c r="P38" s="459" t="s">
        <v>1317</v>
      </c>
      <c r="S38" s="168"/>
      <c r="T38" s="168"/>
      <c r="U38" s="168"/>
    </row>
    <row r="39" spans="1:21" x14ac:dyDescent="0.25">
      <c r="S39" s="168"/>
      <c r="T39" s="168"/>
      <c r="U39" s="168"/>
    </row>
    <row r="40" spans="1:21" ht="52" x14ac:dyDescent="0.25">
      <c r="B40" s="472" t="s">
        <v>1297</v>
      </c>
      <c r="C40" s="463" t="s">
        <v>1298</v>
      </c>
      <c r="D40" s="497" t="s">
        <v>1230</v>
      </c>
      <c r="E40" s="497" t="s">
        <v>1231</v>
      </c>
      <c r="F40" s="497" t="s">
        <v>1232</v>
      </c>
      <c r="G40" s="497" t="s">
        <v>1233</v>
      </c>
      <c r="H40" s="497" t="s">
        <v>1234</v>
      </c>
      <c r="I40" s="497" t="s">
        <v>1235</v>
      </c>
      <c r="J40" s="497" t="s">
        <v>1236</v>
      </c>
      <c r="K40" s="498" t="s">
        <v>1237</v>
      </c>
      <c r="S40" s="168"/>
      <c r="T40" s="168"/>
      <c r="U40" s="168"/>
    </row>
    <row r="41" spans="1:21" ht="13" x14ac:dyDescent="0.25">
      <c r="B41" s="466">
        <v>0</v>
      </c>
      <c r="C41" s="499">
        <v>0</v>
      </c>
      <c r="D41" s="467">
        <v>0.78400000000000003</v>
      </c>
      <c r="E41" s="467">
        <v>1.3</v>
      </c>
      <c r="F41" s="467">
        <v>1.5620000000000001</v>
      </c>
      <c r="G41" s="467">
        <v>1.357</v>
      </c>
      <c r="H41" s="467">
        <v>0.79200000000000004</v>
      </c>
      <c r="I41" s="467">
        <v>1.1599999999999999</v>
      </c>
      <c r="J41" s="467">
        <v>1.0880000000000001</v>
      </c>
      <c r="K41" s="468">
        <v>1.111</v>
      </c>
      <c r="M41" s="472" t="s">
        <v>1299</v>
      </c>
      <c r="N41" s="465" t="s">
        <v>1300</v>
      </c>
      <c r="P41" s="472" t="s">
        <v>1301</v>
      </c>
      <c r="Q41" s="465" t="s">
        <v>1302</v>
      </c>
      <c r="S41" s="168"/>
      <c r="T41" s="168"/>
      <c r="U41" s="168"/>
    </row>
    <row r="42" spans="1:21" x14ac:dyDescent="0.25">
      <c r="B42" s="469">
        <v>105</v>
      </c>
      <c r="C42" s="500">
        <v>0.05</v>
      </c>
      <c r="D42" s="470">
        <v>0.65799999999999992</v>
      </c>
      <c r="E42" s="470">
        <v>1.1749999999999998</v>
      </c>
      <c r="F42" s="470">
        <v>1.4520000000000002</v>
      </c>
      <c r="G42" s="470">
        <v>1.2420000000000002</v>
      </c>
      <c r="H42" s="470">
        <v>0.68399999999999994</v>
      </c>
      <c r="I42" s="470">
        <v>1.05</v>
      </c>
      <c r="J42" s="470">
        <v>1.008</v>
      </c>
      <c r="K42" s="471">
        <v>0.99</v>
      </c>
      <c r="M42" s="473" t="s">
        <v>1303</v>
      </c>
      <c r="N42" s="479">
        <v>0.7</v>
      </c>
      <c r="P42" s="473" t="s">
        <v>1304</v>
      </c>
      <c r="Q42" s="475">
        <v>7.6785416005468912E-2</v>
      </c>
      <c r="S42" s="168"/>
      <c r="T42" s="168"/>
      <c r="U42" s="168"/>
    </row>
    <row r="43" spans="1:21" x14ac:dyDescent="0.25">
      <c r="B43" s="466">
        <v>210</v>
      </c>
      <c r="C43" s="499">
        <v>0.1</v>
      </c>
      <c r="D43" s="467">
        <v>0.61599999999999999</v>
      </c>
      <c r="E43" s="467">
        <v>1.0625</v>
      </c>
      <c r="F43" s="467">
        <v>1.3750000000000002</v>
      </c>
      <c r="G43" s="467">
        <v>1.173</v>
      </c>
      <c r="H43" s="467">
        <v>0.64800000000000002</v>
      </c>
      <c r="I43" s="467">
        <v>0.99</v>
      </c>
      <c r="J43" s="467">
        <v>0.95199999999999996</v>
      </c>
      <c r="K43" s="468">
        <v>0.91299999999999992</v>
      </c>
      <c r="M43" s="476" t="s">
        <v>1305</v>
      </c>
      <c r="N43" s="480">
        <v>1.9</v>
      </c>
      <c r="P43" s="476" t="s">
        <v>1306</v>
      </c>
      <c r="Q43" s="478">
        <v>7.8311774241739213E-2</v>
      </c>
      <c r="S43" s="168"/>
      <c r="T43" s="168"/>
      <c r="U43" s="168"/>
    </row>
    <row r="44" spans="1:21" x14ac:dyDescent="0.25">
      <c r="B44" s="469">
        <v>420</v>
      </c>
      <c r="C44" s="500">
        <v>0.2</v>
      </c>
      <c r="D44" s="470">
        <v>0.53199999999999992</v>
      </c>
      <c r="E44" s="470">
        <v>0.91249999999999998</v>
      </c>
      <c r="F44" s="470">
        <v>1.2100000000000002</v>
      </c>
      <c r="G44" s="470">
        <v>1.0350000000000001</v>
      </c>
      <c r="H44" s="470">
        <v>0.55200000000000005</v>
      </c>
      <c r="I44" s="470">
        <v>0.86999999999999988</v>
      </c>
      <c r="J44" s="470">
        <v>0.84800000000000009</v>
      </c>
      <c r="K44" s="471">
        <v>0.80299999999999994</v>
      </c>
      <c r="L44" s="460" t="s">
        <v>1094</v>
      </c>
      <c r="M44" s="473" t="s">
        <v>1307</v>
      </c>
      <c r="N44" s="479">
        <v>1.2119804587626077</v>
      </c>
      <c r="P44" s="473" t="s">
        <v>1308</v>
      </c>
      <c r="Q44" s="475">
        <v>7.9159751039667159E-2</v>
      </c>
      <c r="S44" s="168"/>
      <c r="T44" s="168"/>
      <c r="U44" s="168"/>
    </row>
    <row r="45" spans="1:21" x14ac:dyDescent="0.25">
      <c r="B45" s="466">
        <v>840</v>
      </c>
      <c r="C45" s="499">
        <v>0.4</v>
      </c>
      <c r="D45" s="467">
        <v>0.44800000000000001</v>
      </c>
      <c r="E45" s="467">
        <v>0.70000000000000018</v>
      </c>
      <c r="F45" s="467">
        <v>0.96800000000000008</v>
      </c>
      <c r="G45" s="467">
        <v>0.81649999999999989</v>
      </c>
      <c r="H45" s="467">
        <v>0.45599999999999996</v>
      </c>
      <c r="I45" s="467">
        <v>0.72</v>
      </c>
      <c r="J45" s="467">
        <v>0.67199999999999993</v>
      </c>
      <c r="K45" s="468">
        <v>0.61599999999999999</v>
      </c>
      <c r="L45" s="460" t="s">
        <v>1085</v>
      </c>
      <c r="M45" s="476" t="s">
        <v>1309</v>
      </c>
      <c r="N45" s="480">
        <v>1</v>
      </c>
      <c r="P45" s="481" t="s">
        <v>1310</v>
      </c>
      <c r="Q45" s="482">
        <v>7.963084926073824E-2</v>
      </c>
      <c r="S45" s="168"/>
      <c r="T45" s="168"/>
      <c r="U45" s="168"/>
    </row>
    <row r="46" spans="1:21" x14ac:dyDescent="0.25">
      <c r="B46" s="469">
        <v>1260</v>
      </c>
      <c r="C46" s="500">
        <v>0.6</v>
      </c>
      <c r="D46" s="470">
        <v>0.39200000000000002</v>
      </c>
      <c r="E46" s="470">
        <v>0.53749999999999998</v>
      </c>
      <c r="F46" s="470">
        <v>0.81399999999999995</v>
      </c>
      <c r="G46" s="470">
        <v>0.66699999999999993</v>
      </c>
      <c r="H46" s="470">
        <v>0.372</v>
      </c>
      <c r="I46" s="470">
        <v>0.56999999999999995</v>
      </c>
      <c r="J46" s="470">
        <v>0.56799999999999995</v>
      </c>
      <c r="K46" s="471">
        <v>0.48399999999999999</v>
      </c>
      <c r="L46" s="460" t="s">
        <v>1075</v>
      </c>
      <c r="M46" s="501" t="s">
        <v>1311</v>
      </c>
      <c r="N46" s="479">
        <v>0.8849782375332953</v>
      </c>
      <c r="S46" s="168"/>
      <c r="T46" s="168"/>
      <c r="U46" s="168"/>
    </row>
    <row r="47" spans="1:21" x14ac:dyDescent="0.25">
      <c r="B47" s="466">
        <v>1680</v>
      </c>
      <c r="C47" s="499">
        <v>0.8</v>
      </c>
      <c r="D47" s="467">
        <v>0.33599999999999997</v>
      </c>
      <c r="E47" s="467">
        <v>0.4375</v>
      </c>
      <c r="F47" s="467">
        <v>0.64900000000000002</v>
      </c>
      <c r="G47" s="467">
        <v>0.54049999999999998</v>
      </c>
      <c r="H47" s="467">
        <v>0.32400000000000001</v>
      </c>
      <c r="I47" s="467">
        <v>0.5</v>
      </c>
      <c r="J47" s="467">
        <v>0.48</v>
      </c>
      <c r="K47" s="468">
        <v>0.38499999999999995</v>
      </c>
      <c r="S47" s="168"/>
      <c r="T47" s="168"/>
      <c r="U47" s="168"/>
    </row>
    <row r="48" spans="1:21" ht="13" thickBot="1" x14ac:dyDescent="0.3">
      <c r="B48" s="469">
        <v>2100</v>
      </c>
      <c r="C48" s="500">
        <v>1</v>
      </c>
      <c r="D48" s="470">
        <v>0.28000000000000003</v>
      </c>
      <c r="E48" s="470">
        <v>0.36249999999999993</v>
      </c>
      <c r="F48" s="470">
        <v>0.55000000000000004</v>
      </c>
      <c r="G48" s="470">
        <v>0.46000000000000008</v>
      </c>
      <c r="H48" s="470">
        <v>0.28799999999999998</v>
      </c>
      <c r="I48" s="470">
        <v>0.43</v>
      </c>
      <c r="J48" s="470">
        <v>0.42400000000000004</v>
      </c>
      <c r="K48" s="471">
        <v>0.31899999999999995</v>
      </c>
      <c r="M48" s="461" t="s">
        <v>1318</v>
      </c>
      <c r="S48" s="168"/>
      <c r="T48" s="168"/>
      <c r="U48" s="168"/>
    </row>
    <row r="49" spans="1:27" x14ac:dyDescent="0.25">
      <c r="B49" s="466">
        <v>2520</v>
      </c>
      <c r="C49" s="499">
        <v>1.2</v>
      </c>
      <c r="D49" s="467">
        <v>0.26599999999999996</v>
      </c>
      <c r="E49" s="467">
        <v>0.32500000000000001</v>
      </c>
      <c r="F49" s="467">
        <v>0.46200000000000002</v>
      </c>
      <c r="G49" s="467">
        <v>0.39100000000000001</v>
      </c>
      <c r="H49" s="467">
        <v>0.252</v>
      </c>
      <c r="I49" s="467">
        <v>0.37</v>
      </c>
      <c r="J49" s="467">
        <v>0.34400000000000003</v>
      </c>
      <c r="K49" s="468">
        <v>0.28599999999999998</v>
      </c>
      <c r="L49" s="487" t="s">
        <v>1094</v>
      </c>
      <c r="M49" s="488" t="s">
        <v>1307</v>
      </c>
      <c r="N49" s="503">
        <v>1.2119804587626077</v>
      </c>
      <c r="S49" s="168"/>
      <c r="T49" s="168"/>
      <c r="U49" s="168"/>
    </row>
    <row r="50" spans="1:27" x14ac:dyDescent="0.25">
      <c r="B50" s="469">
        <v>2940</v>
      </c>
      <c r="C50" s="500">
        <v>1.4</v>
      </c>
      <c r="D50" s="470">
        <v>0.23799999999999999</v>
      </c>
      <c r="E50" s="470">
        <v>0.27500000000000002</v>
      </c>
      <c r="F50" s="470">
        <v>0.38500000000000001</v>
      </c>
      <c r="G50" s="470">
        <v>0.35650000000000004</v>
      </c>
      <c r="H50" s="470">
        <v>0.24000000000000002</v>
      </c>
      <c r="I50" s="470">
        <v>0.32000000000000006</v>
      </c>
      <c r="J50" s="470">
        <v>0.32800000000000001</v>
      </c>
      <c r="K50" s="471">
        <v>0.253</v>
      </c>
      <c r="L50" s="490" t="s">
        <v>1075</v>
      </c>
      <c r="M50" s="1413" t="s">
        <v>1311</v>
      </c>
      <c r="N50" s="504">
        <v>0.8849782375332953</v>
      </c>
      <c r="S50" s="168"/>
      <c r="T50" s="168"/>
      <c r="U50" s="168"/>
    </row>
    <row r="51" spans="1:27" ht="13" thickBot="1" x14ac:dyDescent="0.3">
      <c r="B51" s="466">
        <v>3360</v>
      </c>
      <c r="C51" s="499">
        <v>1.6</v>
      </c>
      <c r="D51" s="467">
        <v>0.23799999999999999</v>
      </c>
      <c r="E51" s="467">
        <v>0.25</v>
      </c>
      <c r="F51" s="467">
        <v>0.36300000000000004</v>
      </c>
      <c r="G51" s="467">
        <v>0.31050000000000005</v>
      </c>
      <c r="H51" s="467">
        <v>0.192</v>
      </c>
      <c r="I51" s="467">
        <v>0.31</v>
      </c>
      <c r="J51" s="467">
        <v>0.27999999999999997</v>
      </c>
      <c r="K51" s="468">
        <v>0.23099999999999998</v>
      </c>
      <c r="L51" s="492" t="s">
        <v>1085</v>
      </c>
      <c r="M51" s="493" t="s">
        <v>1309</v>
      </c>
      <c r="N51" s="505">
        <v>1</v>
      </c>
      <c r="S51" s="168"/>
      <c r="T51" s="168"/>
      <c r="U51" s="168"/>
    </row>
    <row r="52" spans="1:27" x14ac:dyDescent="0.25">
      <c r="B52" s="469">
        <v>3780</v>
      </c>
      <c r="C52" s="500">
        <v>1.8</v>
      </c>
      <c r="D52" s="470">
        <v>0.21</v>
      </c>
      <c r="E52" s="470">
        <v>0.23749999999999999</v>
      </c>
      <c r="F52" s="470">
        <v>0.33</v>
      </c>
      <c r="G52" s="470">
        <v>0.27600000000000002</v>
      </c>
      <c r="H52" s="470">
        <v>0.192</v>
      </c>
      <c r="I52" s="470">
        <v>0.28000000000000003</v>
      </c>
      <c r="J52" s="470">
        <v>0.26400000000000001</v>
      </c>
      <c r="K52" s="471">
        <v>0.20899999999999999</v>
      </c>
      <c r="L52" s="168"/>
      <c r="M52" s="168"/>
      <c r="N52" s="168"/>
    </row>
    <row r="53" spans="1:27" x14ac:dyDescent="0.25">
      <c r="B53" s="484">
        <v>4200</v>
      </c>
      <c r="C53" s="506">
        <v>2</v>
      </c>
      <c r="D53" s="485">
        <v>0.21</v>
      </c>
      <c r="E53" s="485">
        <v>0.22500000000000001</v>
      </c>
      <c r="F53" s="485">
        <v>0.27500000000000002</v>
      </c>
      <c r="G53" s="485">
        <v>0.27600000000000002</v>
      </c>
      <c r="H53" s="485">
        <v>0.18</v>
      </c>
      <c r="I53" s="485">
        <v>0.24</v>
      </c>
      <c r="J53" s="485">
        <v>0.216</v>
      </c>
      <c r="K53" s="486">
        <v>0.187</v>
      </c>
      <c r="L53" s="168"/>
      <c r="M53" s="168"/>
      <c r="N53" s="168"/>
    </row>
    <row r="55" spans="1:27" x14ac:dyDescent="0.3">
      <c r="A55" s="515" t="s">
        <v>1252</v>
      </c>
      <c r="B55" s="459" t="s">
        <v>1320</v>
      </c>
      <c r="M55" s="1585" t="s">
        <v>1331</v>
      </c>
      <c r="N55" s="1585"/>
      <c r="P55" s="461" t="s">
        <v>1322</v>
      </c>
    </row>
    <row r="57" spans="1:27" ht="52" x14ac:dyDescent="0.25">
      <c r="B57" s="462" t="s">
        <v>1297</v>
      </c>
      <c r="C57" s="463" t="s">
        <v>1298</v>
      </c>
      <c r="D57" s="497" t="s">
        <v>1230</v>
      </c>
      <c r="E57" s="497" t="s">
        <v>1231</v>
      </c>
      <c r="F57" s="497" t="s">
        <v>1232</v>
      </c>
      <c r="G57" s="497" t="s">
        <v>1233</v>
      </c>
      <c r="H57" s="497" t="s">
        <v>1234</v>
      </c>
      <c r="I57" s="497" t="s">
        <v>1235</v>
      </c>
      <c r="J57" s="497" t="s">
        <v>1236</v>
      </c>
      <c r="K57" s="498" t="s">
        <v>1237</v>
      </c>
      <c r="Y57" s="168"/>
      <c r="Z57" s="168"/>
      <c r="AA57" s="168"/>
    </row>
    <row r="58" spans="1:27" ht="13" x14ac:dyDescent="0.25">
      <c r="B58" s="466">
        <v>0</v>
      </c>
      <c r="C58" s="499">
        <v>0</v>
      </c>
      <c r="D58" s="467">
        <v>1.92</v>
      </c>
      <c r="E58" s="467">
        <v>1.2853333333333334</v>
      </c>
      <c r="F58" s="467">
        <v>0.96800000000000008</v>
      </c>
      <c r="G58" s="467">
        <v>0.82266666666666666</v>
      </c>
      <c r="H58" s="467">
        <v>0.75</v>
      </c>
      <c r="I58" s="467">
        <v>1.0733333333333333</v>
      </c>
      <c r="J58" s="467">
        <v>1.2349999999999999</v>
      </c>
      <c r="K58" s="468">
        <v>1.6916666666666667</v>
      </c>
      <c r="M58" s="472" t="s">
        <v>1299</v>
      </c>
      <c r="N58" s="465" t="s">
        <v>1300</v>
      </c>
      <c r="P58" s="472" t="s">
        <v>1230</v>
      </c>
      <c r="Q58" s="497" t="s">
        <v>1231</v>
      </c>
      <c r="R58" s="497" t="s">
        <v>1232</v>
      </c>
      <c r="S58" s="497" t="s">
        <v>1233</v>
      </c>
      <c r="T58" s="497" t="s">
        <v>1234</v>
      </c>
      <c r="U58" s="497" t="s">
        <v>1235</v>
      </c>
      <c r="V58" s="497" t="s">
        <v>1236</v>
      </c>
      <c r="W58" s="498" t="s">
        <v>1237</v>
      </c>
      <c r="Y58" s="168"/>
      <c r="Z58" s="168"/>
      <c r="AA58" s="168"/>
    </row>
    <row r="59" spans="1:27" x14ac:dyDescent="0.25">
      <c r="B59" s="469">
        <v>105</v>
      </c>
      <c r="C59" s="500">
        <v>0.05</v>
      </c>
      <c r="D59" s="470">
        <v>1.9</v>
      </c>
      <c r="E59" s="470">
        <v>1.2422013422818792</v>
      </c>
      <c r="F59" s="470">
        <v>0.90200000000000002</v>
      </c>
      <c r="G59" s="470">
        <v>0.71983333333333344</v>
      </c>
      <c r="H59" s="470">
        <v>0.66</v>
      </c>
      <c r="I59" s="470">
        <v>0.94323232323232309</v>
      </c>
      <c r="J59" s="470">
        <v>1.1830000000000001</v>
      </c>
      <c r="K59" s="471">
        <v>1.6482905982905982</v>
      </c>
      <c r="M59" s="473" t="s">
        <v>1303</v>
      </c>
      <c r="N59" s="479">
        <v>1</v>
      </c>
      <c r="P59" s="516">
        <v>1.2</v>
      </c>
      <c r="Q59" s="517">
        <v>1.1499999999999999</v>
      </c>
      <c r="R59" s="517">
        <v>1.1000000000000001</v>
      </c>
      <c r="S59" s="517">
        <v>0.95000000000000007</v>
      </c>
      <c r="T59" s="517">
        <v>0.8</v>
      </c>
      <c r="U59" s="517">
        <v>1.0049999999999999</v>
      </c>
      <c r="V59" s="517">
        <v>1.21</v>
      </c>
      <c r="W59" s="502">
        <v>1.2050000000000001</v>
      </c>
      <c r="Y59" s="168"/>
      <c r="Z59" s="168"/>
      <c r="AA59" s="168"/>
    </row>
    <row r="60" spans="1:27" x14ac:dyDescent="0.25">
      <c r="B60" s="466">
        <v>210</v>
      </c>
      <c r="C60" s="499">
        <v>0.1</v>
      </c>
      <c r="D60" s="467">
        <v>1.76</v>
      </c>
      <c r="E60" s="467">
        <v>1.1818165548098436</v>
      </c>
      <c r="F60" s="467">
        <v>0.8580000000000001</v>
      </c>
      <c r="G60" s="467">
        <v>0.69412499999999999</v>
      </c>
      <c r="H60" s="467">
        <v>0.63</v>
      </c>
      <c r="I60" s="467">
        <v>0.91070707070707069</v>
      </c>
      <c r="J60" s="467">
        <v>1.131</v>
      </c>
      <c r="K60" s="468">
        <v>1.5615384615384613</v>
      </c>
      <c r="M60" s="476" t="s">
        <v>1305</v>
      </c>
      <c r="N60" s="480">
        <v>1.3</v>
      </c>
      <c r="O60" s="461" t="s">
        <v>1324</v>
      </c>
      <c r="P60" s="512">
        <v>0.84</v>
      </c>
      <c r="Q60" s="512">
        <v>0.80499999999999994</v>
      </c>
      <c r="R60" s="512">
        <v>0.77</v>
      </c>
      <c r="S60" s="512">
        <v>0.66500000000000004</v>
      </c>
      <c r="T60" s="512">
        <v>0.55999999999999994</v>
      </c>
      <c r="U60" s="512">
        <v>0.7034999999999999</v>
      </c>
      <c r="V60" s="512">
        <v>0.84699999999999998</v>
      </c>
      <c r="W60" s="512">
        <v>0.84350000000000003</v>
      </c>
      <c r="Y60" s="168"/>
      <c r="Z60" s="168"/>
      <c r="AA60" s="168"/>
    </row>
    <row r="61" spans="1:27" x14ac:dyDescent="0.25">
      <c r="B61" s="469">
        <v>420</v>
      </c>
      <c r="C61" s="500">
        <v>0.2</v>
      </c>
      <c r="D61" s="470">
        <v>1.57</v>
      </c>
      <c r="E61" s="470">
        <v>1.052420581655481</v>
      </c>
      <c r="F61" s="470">
        <v>0.77</v>
      </c>
      <c r="G61" s="470">
        <v>0.61699999999999999</v>
      </c>
      <c r="H61" s="470">
        <v>0.60000000000000009</v>
      </c>
      <c r="I61" s="470">
        <v>0.81313131313131304</v>
      </c>
      <c r="J61" s="470">
        <v>1.014</v>
      </c>
      <c r="K61" s="471">
        <v>1.4097222222222223</v>
      </c>
      <c r="M61" s="473" t="s">
        <v>1325</v>
      </c>
      <c r="N61" s="479">
        <v>0.7</v>
      </c>
      <c r="Y61" s="168"/>
      <c r="Z61" s="168"/>
      <c r="AA61" s="168"/>
    </row>
    <row r="62" spans="1:27" x14ac:dyDescent="0.25">
      <c r="B62" s="466">
        <v>840</v>
      </c>
      <c r="C62" s="499">
        <v>0.4</v>
      </c>
      <c r="D62" s="467">
        <v>1.25</v>
      </c>
      <c r="E62" s="467">
        <v>0.86263982102908288</v>
      </c>
      <c r="F62" s="467">
        <v>0.66</v>
      </c>
      <c r="G62" s="467">
        <v>0.51416666666666666</v>
      </c>
      <c r="H62" s="467">
        <v>0.54</v>
      </c>
      <c r="I62" s="467">
        <v>0.68303030303030299</v>
      </c>
      <c r="J62" s="467">
        <v>0.871</v>
      </c>
      <c r="K62" s="468">
        <v>1.1711538461538462</v>
      </c>
      <c r="M62" s="476" t="s">
        <v>1326</v>
      </c>
      <c r="N62" s="480">
        <v>0.5</v>
      </c>
      <c r="P62" s="459" t="s">
        <v>1332</v>
      </c>
      <c r="Y62" s="168"/>
      <c r="Z62" s="168"/>
      <c r="AA62" s="168"/>
    </row>
    <row r="63" spans="1:27" ht="13" thickBot="1" x14ac:dyDescent="0.3">
      <c r="B63" s="469">
        <v>1260</v>
      </c>
      <c r="C63" s="500">
        <v>0.6</v>
      </c>
      <c r="D63" s="470">
        <v>0.94</v>
      </c>
      <c r="E63" s="470">
        <v>0.66423266219239385</v>
      </c>
      <c r="F63" s="470">
        <v>0.52800000000000002</v>
      </c>
      <c r="G63" s="470">
        <v>0.46274999999999999</v>
      </c>
      <c r="H63" s="470">
        <v>0.51</v>
      </c>
      <c r="I63" s="470">
        <v>0.58545454545454534</v>
      </c>
      <c r="J63" s="470">
        <v>0.70200000000000007</v>
      </c>
      <c r="K63" s="471">
        <v>0.94342948717948716</v>
      </c>
      <c r="L63" s="460" t="s">
        <v>1094</v>
      </c>
      <c r="M63" s="473" t="s">
        <v>1307</v>
      </c>
      <c r="N63" s="479">
        <v>1.0432576032414183</v>
      </c>
      <c r="Y63" s="168"/>
      <c r="Z63" s="168"/>
      <c r="AA63" s="168"/>
    </row>
    <row r="64" spans="1:27" ht="13.5" thickBot="1" x14ac:dyDescent="0.3">
      <c r="B64" s="466">
        <v>1680</v>
      </c>
      <c r="C64" s="499">
        <v>0.8</v>
      </c>
      <c r="D64" s="467">
        <v>0.63</v>
      </c>
      <c r="E64" s="467">
        <v>0.52621029082774051</v>
      </c>
      <c r="F64" s="467">
        <v>0.47300000000000003</v>
      </c>
      <c r="G64" s="467">
        <v>0.41133333333333333</v>
      </c>
      <c r="H64" s="467">
        <v>0.44999999999999996</v>
      </c>
      <c r="I64" s="467">
        <v>0.55292929292929283</v>
      </c>
      <c r="J64" s="467">
        <v>0.59799999999999998</v>
      </c>
      <c r="K64" s="468">
        <v>0.75908119658119655</v>
      </c>
      <c r="L64" s="460" t="s">
        <v>1085</v>
      </c>
      <c r="M64" s="476" t="s">
        <v>1309</v>
      </c>
      <c r="N64" s="480">
        <v>1</v>
      </c>
      <c r="P64" s="518" t="s">
        <v>1333</v>
      </c>
      <c r="Y64" s="168"/>
      <c r="Z64" s="168"/>
      <c r="AA64" s="168"/>
    </row>
    <row r="65" spans="2:27" ht="13.5" thickBot="1" x14ac:dyDescent="0.3">
      <c r="B65" s="469">
        <v>2100</v>
      </c>
      <c r="C65" s="500">
        <v>1</v>
      </c>
      <c r="D65" s="470">
        <v>0.42</v>
      </c>
      <c r="E65" s="470">
        <v>0.44857270693512308</v>
      </c>
      <c r="F65" s="470">
        <v>0.38500000000000001</v>
      </c>
      <c r="G65" s="470">
        <v>0.35991666666666672</v>
      </c>
      <c r="H65" s="470">
        <v>0.42000000000000004</v>
      </c>
      <c r="I65" s="470">
        <v>0.52040404040404042</v>
      </c>
      <c r="J65" s="470">
        <v>0.53299999999999992</v>
      </c>
      <c r="K65" s="471">
        <v>0.60726495726495722</v>
      </c>
      <c r="L65" s="460" t="s">
        <v>1075</v>
      </c>
      <c r="M65" s="501" t="s">
        <v>1311</v>
      </c>
      <c r="N65" s="502">
        <v>0.97306303142169182</v>
      </c>
      <c r="P65" s="519">
        <v>14.745143611608942</v>
      </c>
      <c r="Y65" s="168"/>
      <c r="Z65" s="168"/>
      <c r="AA65" s="168"/>
    </row>
    <row r="66" spans="2:27" x14ac:dyDescent="0.25">
      <c r="B66" s="466">
        <v>2520</v>
      </c>
      <c r="C66" s="499">
        <v>1.2</v>
      </c>
      <c r="D66" s="467">
        <v>0.28999999999999998</v>
      </c>
      <c r="E66" s="467">
        <v>0.34505592841163313</v>
      </c>
      <c r="F66" s="467">
        <v>0.34100000000000003</v>
      </c>
      <c r="G66" s="467">
        <v>0.33420833333333333</v>
      </c>
      <c r="H66" s="467">
        <v>0.42000000000000004</v>
      </c>
      <c r="I66" s="467">
        <v>0.45535353535353534</v>
      </c>
      <c r="J66" s="467">
        <v>0.442</v>
      </c>
      <c r="K66" s="468">
        <v>0.52051282051282044</v>
      </c>
      <c r="M66" s="168"/>
      <c r="N66" s="168"/>
      <c r="Y66" s="168"/>
      <c r="Z66" s="168"/>
      <c r="AA66" s="168"/>
    </row>
    <row r="67" spans="2:27" ht="13" thickBot="1" x14ac:dyDescent="0.3">
      <c r="B67" s="469">
        <v>2940</v>
      </c>
      <c r="C67" s="500">
        <v>1.4</v>
      </c>
      <c r="D67" s="470">
        <v>0.23</v>
      </c>
      <c r="E67" s="470">
        <v>0.31055033557046979</v>
      </c>
      <c r="F67" s="470">
        <v>0.27500000000000002</v>
      </c>
      <c r="G67" s="470">
        <v>0.3085</v>
      </c>
      <c r="H67" s="470">
        <v>0.39</v>
      </c>
      <c r="I67" s="470">
        <v>0.42282828282828278</v>
      </c>
      <c r="J67" s="470">
        <v>0.38999999999999996</v>
      </c>
      <c r="K67" s="471">
        <v>0.44460470085470077</v>
      </c>
      <c r="M67" s="461" t="s">
        <v>1334</v>
      </c>
      <c r="Y67" s="168"/>
      <c r="Z67" s="168"/>
      <c r="AA67" s="168"/>
    </row>
    <row r="68" spans="2:27" x14ac:dyDescent="0.3">
      <c r="B68" s="466">
        <v>3360</v>
      </c>
      <c r="C68" s="499">
        <v>1.6</v>
      </c>
      <c r="D68" s="467">
        <v>0.17</v>
      </c>
      <c r="E68" s="467">
        <v>0.26741834451901569</v>
      </c>
      <c r="F68" s="467">
        <v>0.26400000000000001</v>
      </c>
      <c r="G68" s="467">
        <v>0.28279166666666666</v>
      </c>
      <c r="H68" s="467">
        <v>0.36</v>
      </c>
      <c r="I68" s="467">
        <v>0.39030303030303021</v>
      </c>
      <c r="J68" s="467">
        <v>0.37699999999999995</v>
      </c>
      <c r="K68" s="468">
        <v>0.36869658119658122</v>
      </c>
      <c r="L68" s="487" t="s">
        <v>1094</v>
      </c>
      <c r="M68" s="488" t="s">
        <v>1305</v>
      </c>
      <c r="N68" s="503">
        <v>1.0432576032414183</v>
      </c>
    </row>
    <row r="69" spans="2:27" x14ac:dyDescent="0.3">
      <c r="B69" s="469">
        <v>3780</v>
      </c>
      <c r="C69" s="500">
        <v>1.8</v>
      </c>
      <c r="D69" s="470">
        <v>0.15</v>
      </c>
      <c r="E69" s="470">
        <v>0.18978076062639823</v>
      </c>
      <c r="F69" s="470">
        <v>0.20900000000000002</v>
      </c>
      <c r="G69" s="470">
        <v>0.28279166666666666</v>
      </c>
      <c r="H69" s="470">
        <v>0.36</v>
      </c>
      <c r="I69" s="470">
        <v>0.35777777777777775</v>
      </c>
      <c r="J69" s="470">
        <v>0.312</v>
      </c>
      <c r="K69" s="471">
        <v>0.33616452991452989</v>
      </c>
      <c r="L69" s="490" t="s">
        <v>1075</v>
      </c>
      <c r="M69" s="1413" t="s">
        <v>1326</v>
      </c>
      <c r="N69" s="504">
        <v>0.97306303142169182</v>
      </c>
    </row>
    <row r="70" spans="2:27" ht="13" thickBot="1" x14ac:dyDescent="0.35">
      <c r="B70" s="484">
        <v>4200</v>
      </c>
      <c r="C70" s="506">
        <v>2</v>
      </c>
      <c r="D70" s="485">
        <v>0.13</v>
      </c>
      <c r="E70" s="485">
        <v>0.18978076062639823</v>
      </c>
      <c r="F70" s="485">
        <v>0.19800000000000001</v>
      </c>
      <c r="G70" s="485">
        <v>0.25708333333333333</v>
      </c>
      <c r="H70" s="485">
        <v>0.36</v>
      </c>
      <c r="I70" s="485">
        <v>0.35777777777777775</v>
      </c>
      <c r="J70" s="485">
        <v>0.28599999999999998</v>
      </c>
      <c r="K70" s="486">
        <v>0.29278846153846155</v>
      </c>
      <c r="L70" s="492" t="s">
        <v>1085</v>
      </c>
      <c r="M70" s="493" t="s">
        <v>1325</v>
      </c>
      <c r="N70" s="505">
        <v>1</v>
      </c>
    </row>
    <row r="71" spans="2:27" x14ac:dyDescent="0.25">
      <c r="L71" s="168"/>
      <c r="M71" s="168"/>
      <c r="N71" s="168"/>
    </row>
    <row r="72" spans="2:27" x14ac:dyDescent="0.25">
      <c r="L72" s="168"/>
      <c r="M72" s="168"/>
      <c r="N72" s="168"/>
    </row>
  </sheetData>
  <sheetProtection algorithmName="SHA-512" hashValue="GOCN1c1VsGIGxIyPkXhIhiIl4mMHDx+QKKdrIYyOzSxfoxmEnh26czFm+O2R8B7w91ELmTm73ZarFefsi8Vs5w==" saltValue="zQ5C+Z4r6Rcl5R9RF2VIuw==" spinCount="100000" sheet="1" objects="1" scenarios="1" autoFilter="0"/>
  <mergeCells count="5">
    <mergeCell ref="M1:N1"/>
    <mergeCell ref="P1:Q1"/>
    <mergeCell ref="M18:N18"/>
    <mergeCell ref="M38:N38"/>
    <mergeCell ref="M55:N5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8"/>
  <dimension ref="A1:AF70"/>
  <sheetViews>
    <sheetView topLeftCell="K4" workbookViewId="0">
      <selection activeCell="K75" sqref="K75"/>
    </sheetView>
  </sheetViews>
  <sheetFormatPr defaultColWidth="8" defaultRowHeight="12.5" x14ac:dyDescent="0.3"/>
  <cols>
    <col min="1" max="1" width="26.58203125" style="460" customWidth="1"/>
    <col min="2" max="2" width="9" style="460" customWidth="1"/>
    <col min="3" max="3" width="8.08203125" style="460" customWidth="1"/>
    <col min="4" max="11" width="8.83203125" style="460" customWidth="1"/>
    <col min="12" max="12" width="8" style="460"/>
    <col min="13" max="13" width="55.5" style="461" customWidth="1"/>
    <col min="14" max="15" width="8" style="461"/>
    <col min="16" max="16" width="47.58203125" style="461" customWidth="1"/>
    <col min="17" max="18" width="11.08203125" style="461" customWidth="1"/>
    <col min="19" max="19" width="8" style="461"/>
    <col min="20" max="20" width="14.58203125" style="461" customWidth="1"/>
    <col min="21" max="21" width="15.83203125" style="461" customWidth="1"/>
    <col min="22" max="25" width="8" style="461"/>
    <col min="26" max="26" width="14.58203125" style="461" customWidth="1"/>
    <col min="27" max="27" width="15.83203125" style="461" customWidth="1"/>
    <col min="28" max="32" width="8" style="461"/>
    <col min="33" max="16384" width="8" style="460"/>
  </cols>
  <sheetData>
    <row r="1" spans="1:21" x14ac:dyDescent="0.25">
      <c r="A1" s="522" t="s">
        <v>1114</v>
      </c>
      <c r="B1" s="459" t="s">
        <v>1294</v>
      </c>
      <c r="M1" s="1585" t="s">
        <v>1319</v>
      </c>
      <c r="N1" s="1585"/>
      <c r="P1" s="1586" t="s">
        <v>1296</v>
      </c>
      <c r="Q1" s="1586"/>
      <c r="S1" s="168"/>
      <c r="T1" s="168"/>
      <c r="U1" s="168"/>
    </row>
    <row r="2" spans="1:21" ht="52" x14ac:dyDescent="0.25">
      <c r="B2" s="462" t="s">
        <v>1297</v>
      </c>
      <c r="C2" s="463" t="s">
        <v>1298</v>
      </c>
      <c r="D2" s="464" t="s">
        <v>1230</v>
      </c>
      <c r="E2" s="464" t="s">
        <v>1231</v>
      </c>
      <c r="F2" s="464" t="s">
        <v>1232</v>
      </c>
      <c r="G2" s="464" t="s">
        <v>1233</v>
      </c>
      <c r="H2" s="464" t="s">
        <v>1234</v>
      </c>
      <c r="I2" s="464" t="s">
        <v>1235</v>
      </c>
      <c r="J2" s="464" t="s">
        <v>1236</v>
      </c>
      <c r="K2" s="465" t="s">
        <v>1237</v>
      </c>
      <c r="S2" s="168"/>
      <c r="T2" s="168"/>
      <c r="U2" s="168"/>
    </row>
    <row r="3" spans="1:21" x14ac:dyDescent="0.25">
      <c r="B3" s="466">
        <v>0</v>
      </c>
      <c r="C3" s="467">
        <v>0</v>
      </c>
      <c r="D3" s="467">
        <v>0.82799999999999996</v>
      </c>
      <c r="E3" s="467">
        <v>1.1304999999999998</v>
      </c>
      <c r="F3" s="467">
        <v>1.0499999999999998</v>
      </c>
      <c r="G3" s="467">
        <v>0.6825</v>
      </c>
      <c r="H3" s="467">
        <v>0.3135</v>
      </c>
      <c r="I3" s="467">
        <v>0.98999999999999988</v>
      </c>
      <c r="J3" s="467">
        <v>1.8995</v>
      </c>
      <c r="K3" s="468">
        <v>1.456</v>
      </c>
      <c r="S3" s="168"/>
      <c r="T3" s="168"/>
      <c r="U3" s="168"/>
    </row>
    <row r="4" spans="1:21" ht="13" x14ac:dyDescent="0.25">
      <c r="B4" s="469">
        <v>105</v>
      </c>
      <c r="C4" s="470">
        <v>0.05</v>
      </c>
      <c r="D4" s="470">
        <v>0.7014999999999999</v>
      </c>
      <c r="E4" s="470">
        <v>1.0449999999999999</v>
      </c>
      <c r="F4" s="470">
        <v>0.98249999999999993</v>
      </c>
      <c r="G4" s="470">
        <v>0.63049999999999995</v>
      </c>
      <c r="H4" s="470">
        <v>0.26950000000000002</v>
      </c>
      <c r="I4" s="470">
        <v>0.90999999999999992</v>
      </c>
      <c r="J4" s="470">
        <v>1.7689999999999999</v>
      </c>
      <c r="K4" s="471">
        <v>1.3259999999999998</v>
      </c>
      <c r="M4" s="472" t="s">
        <v>1299</v>
      </c>
      <c r="N4" s="465" t="s">
        <v>1300</v>
      </c>
      <c r="P4" s="472" t="s">
        <v>1301</v>
      </c>
      <c r="Q4" s="465" t="s">
        <v>1302</v>
      </c>
      <c r="S4" s="168"/>
      <c r="T4" s="168"/>
      <c r="U4" s="168"/>
    </row>
    <row r="5" spans="1:21" x14ac:dyDescent="0.25">
      <c r="B5" s="466">
        <v>210</v>
      </c>
      <c r="C5" s="467">
        <v>0.1</v>
      </c>
      <c r="D5" s="467">
        <v>0.64400000000000002</v>
      </c>
      <c r="E5" s="467">
        <v>0.94999999999999984</v>
      </c>
      <c r="F5" s="467">
        <v>0.92999999999999994</v>
      </c>
      <c r="G5" s="467">
        <v>0.59150000000000003</v>
      </c>
      <c r="H5" s="467">
        <v>0.253</v>
      </c>
      <c r="I5" s="467">
        <v>0.84999999999999987</v>
      </c>
      <c r="J5" s="467">
        <v>1.6964999999999999</v>
      </c>
      <c r="K5" s="468">
        <v>1.2219999999999998</v>
      </c>
      <c r="M5" s="473" t="s">
        <v>1303</v>
      </c>
      <c r="N5" s="474">
        <v>0.35</v>
      </c>
      <c r="P5" s="473" t="s">
        <v>1304</v>
      </c>
      <c r="Q5" s="475">
        <v>6.0398408072358876E-2</v>
      </c>
      <c r="S5" s="168"/>
      <c r="T5" s="168"/>
      <c r="U5" s="168"/>
    </row>
    <row r="6" spans="1:21" x14ac:dyDescent="0.25">
      <c r="B6" s="469">
        <v>420</v>
      </c>
      <c r="C6" s="470">
        <v>0.2</v>
      </c>
      <c r="D6" s="470">
        <v>0.49449999999999994</v>
      </c>
      <c r="E6" s="470">
        <v>0.82650000000000001</v>
      </c>
      <c r="F6" s="470">
        <v>0.84</v>
      </c>
      <c r="G6" s="470">
        <v>0.53299999999999992</v>
      </c>
      <c r="H6" s="470">
        <v>0.22550000000000001</v>
      </c>
      <c r="I6" s="470">
        <v>0.76</v>
      </c>
      <c r="J6" s="470">
        <v>1.5225</v>
      </c>
      <c r="K6" s="471">
        <v>1.0529999999999999</v>
      </c>
      <c r="M6" s="476" t="s">
        <v>1305</v>
      </c>
      <c r="N6" s="477">
        <v>1.1000000000000001</v>
      </c>
      <c r="P6" s="476" t="s">
        <v>1306</v>
      </c>
      <c r="Q6" s="478">
        <v>6.2590889275366393E-2</v>
      </c>
      <c r="S6" s="168"/>
      <c r="T6" s="168"/>
      <c r="U6" s="168"/>
    </row>
    <row r="7" spans="1:21" x14ac:dyDescent="0.25">
      <c r="B7" s="466">
        <v>840</v>
      </c>
      <c r="C7" s="467">
        <v>0.4</v>
      </c>
      <c r="D7" s="467">
        <v>0.34499999999999997</v>
      </c>
      <c r="E7" s="467">
        <v>0.62699999999999989</v>
      </c>
      <c r="F7" s="467">
        <v>0.69</v>
      </c>
      <c r="G7" s="467">
        <v>0.43550000000000005</v>
      </c>
      <c r="H7" s="467">
        <v>0.18700000000000003</v>
      </c>
      <c r="I7" s="467">
        <v>0.62</v>
      </c>
      <c r="J7" s="467">
        <v>1.2324999999999999</v>
      </c>
      <c r="K7" s="468">
        <v>0.80599999999999983</v>
      </c>
      <c r="L7" s="460" t="s">
        <v>1094</v>
      </c>
      <c r="M7" s="473" t="s">
        <v>1307</v>
      </c>
      <c r="N7" s="479">
        <v>1.1877012868494365</v>
      </c>
      <c r="P7" s="473" t="s">
        <v>1308</v>
      </c>
      <c r="Q7" s="475">
        <v>6.4052543410704738E-2</v>
      </c>
      <c r="S7" s="168"/>
      <c r="T7" s="168"/>
      <c r="U7" s="168"/>
    </row>
    <row r="8" spans="1:21" x14ac:dyDescent="0.25">
      <c r="B8" s="469">
        <v>1260</v>
      </c>
      <c r="C8" s="470">
        <v>0.6</v>
      </c>
      <c r="D8" s="470">
        <v>0.31050000000000005</v>
      </c>
      <c r="E8" s="470">
        <v>0.47499999999999992</v>
      </c>
      <c r="F8" s="470">
        <v>0.55499999999999994</v>
      </c>
      <c r="G8" s="470">
        <v>0.36399999999999999</v>
      </c>
      <c r="H8" s="470">
        <v>0.1595</v>
      </c>
      <c r="I8" s="470">
        <v>0.52999999999999992</v>
      </c>
      <c r="J8" s="470">
        <v>1.0439999999999998</v>
      </c>
      <c r="K8" s="471">
        <v>0.58499999999999996</v>
      </c>
      <c r="L8" s="460" t="s">
        <v>1085</v>
      </c>
      <c r="M8" s="476" t="s">
        <v>1309</v>
      </c>
      <c r="N8" s="480">
        <v>1</v>
      </c>
      <c r="P8" s="481" t="s">
        <v>1310</v>
      </c>
      <c r="Q8" s="482">
        <v>6.502697950093031E-2</v>
      </c>
      <c r="S8" s="168"/>
      <c r="T8" s="168"/>
      <c r="U8" s="168"/>
    </row>
    <row r="9" spans="1:21" x14ac:dyDescent="0.25">
      <c r="B9" s="466">
        <v>1680</v>
      </c>
      <c r="C9" s="467">
        <v>0.8</v>
      </c>
      <c r="D9" s="467">
        <v>0.27599999999999997</v>
      </c>
      <c r="E9" s="467">
        <v>0.36099999999999999</v>
      </c>
      <c r="F9" s="467">
        <v>0.47249999999999992</v>
      </c>
      <c r="G9" s="467">
        <v>0.31849999999999995</v>
      </c>
      <c r="H9" s="467">
        <v>0.13750000000000001</v>
      </c>
      <c r="I9" s="467">
        <v>0.45</v>
      </c>
      <c r="J9" s="467">
        <v>0.85549999999999993</v>
      </c>
      <c r="K9" s="468">
        <v>0.46799999999999992</v>
      </c>
      <c r="L9" s="460" t="s">
        <v>1075</v>
      </c>
      <c r="M9" s="473" t="s">
        <v>1311</v>
      </c>
      <c r="N9" s="479">
        <v>0.8844579281689926</v>
      </c>
      <c r="S9" s="168"/>
      <c r="T9" s="168"/>
      <c r="U9" s="168"/>
    </row>
    <row r="10" spans="1:21" x14ac:dyDescent="0.25">
      <c r="B10" s="469">
        <v>2100</v>
      </c>
      <c r="C10" s="470">
        <v>1</v>
      </c>
      <c r="D10" s="470">
        <v>0.23</v>
      </c>
      <c r="E10" s="470">
        <v>0.29449999999999998</v>
      </c>
      <c r="F10" s="470">
        <v>0.41249999999999998</v>
      </c>
      <c r="G10" s="470">
        <v>0.27299999999999996</v>
      </c>
      <c r="H10" s="470">
        <v>0.12100000000000001</v>
      </c>
      <c r="I10" s="470">
        <v>0.39</v>
      </c>
      <c r="J10" s="470">
        <v>0.73949999999999994</v>
      </c>
      <c r="K10" s="471">
        <v>0.38999999999999996</v>
      </c>
      <c r="M10" s="481" t="s">
        <v>1312</v>
      </c>
      <c r="N10" s="483">
        <v>0.91</v>
      </c>
      <c r="S10" s="168"/>
      <c r="T10" s="168"/>
      <c r="U10" s="168"/>
    </row>
    <row r="11" spans="1:21" x14ac:dyDescent="0.25">
      <c r="B11" s="466">
        <v>2520</v>
      </c>
      <c r="C11" s="467">
        <v>1.2</v>
      </c>
      <c r="D11" s="467">
        <v>0.2185</v>
      </c>
      <c r="E11" s="467">
        <v>0.247</v>
      </c>
      <c r="F11" s="467">
        <v>0.34499999999999997</v>
      </c>
      <c r="G11" s="467">
        <v>0.24049999999999996</v>
      </c>
      <c r="H11" s="467">
        <v>0.11000000000000001</v>
      </c>
      <c r="I11" s="467">
        <v>0.35</v>
      </c>
      <c r="J11" s="467">
        <v>0.65249999999999997</v>
      </c>
      <c r="K11" s="468">
        <v>0.32499999999999996</v>
      </c>
      <c r="M11" s="461" t="s">
        <v>1313</v>
      </c>
      <c r="S11" s="168"/>
      <c r="T11" s="168"/>
      <c r="U11" s="168"/>
    </row>
    <row r="12" spans="1:21" x14ac:dyDescent="0.25">
      <c r="B12" s="469">
        <v>2940</v>
      </c>
      <c r="C12" s="470">
        <v>1.4</v>
      </c>
      <c r="D12" s="470">
        <v>0.184</v>
      </c>
      <c r="E12" s="470">
        <v>0.21849999999999997</v>
      </c>
      <c r="F12" s="470">
        <v>0.29249999999999998</v>
      </c>
      <c r="G12" s="470">
        <v>0.221</v>
      </c>
      <c r="H12" s="470">
        <v>9.3500000000000014E-2</v>
      </c>
      <c r="I12" s="470">
        <v>0.33</v>
      </c>
      <c r="J12" s="470">
        <v>0.55099999999999993</v>
      </c>
      <c r="K12" s="471">
        <v>0.27299999999999996</v>
      </c>
      <c r="S12" s="168"/>
      <c r="T12" s="168"/>
      <c r="U12" s="168"/>
    </row>
    <row r="13" spans="1:21" x14ac:dyDescent="0.3">
      <c r="B13" s="466">
        <v>3360</v>
      </c>
      <c r="C13" s="467">
        <v>1.6</v>
      </c>
      <c r="D13" s="467">
        <v>0.184</v>
      </c>
      <c r="E13" s="467">
        <v>0.18999999999999997</v>
      </c>
      <c r="F13" s="467">
        <v>0.28499999999999998</v>
      </c>
      <c r="G13" s="467">
        <v>0.19499999999999998</v>
      </c>
      <c r="H13" s="467">
        <v>8.8000000000000009E-2</v>
      </c>
      <c r="I13" s="467">
        <v>0.28999999999999998</v>
      </c>
      <c r="J13" s="467">
        <v>0.47849999999999993</v>
      </c>
      <c r="K13" s="468">
        <v>0.26</v>
      </c>
      <c r="M13" s="481" t="s">
        <v>1312</v>
      </c>
      <c r="N13" s="483">
        <v>0.89</v>
      </c>
    </row>
    <row r="14" spans="1:21" ht="13" thickBot="1" x14ac:dyDescent="0.35">
      <c r="B14" s="469">
        <v>3780</v>
      </c>
      <c r="C14" s="470">
        <v>1.8</v>
      </c>
      <c r="D14" s="470">
        <v>0.161</v>
      </c>
      <c r="E14" s="470">
        <v>0.17099999999999996</v>
      </c>
      <c r="F14" s="470">
        <v>0.24</v>
      </c>
      <c r="G14" s="470">
        <v>0.17550000000000002</v>
      </c>
      <c r="H14" s="470">
        <v>7.7000000000000013E-2</v>
      </c>
      <c r="I14" s="470">
        <v>0.24999999999999997</v>
      </c>
      <c r="J14" s="470">
        <v>0.46399999999999997</v>
      </c>
      <c r="K14" s="471">
        <v>0.22099999999999997</v>
      </c>
      <c r="M14" s="461" t="s">
        <v>1314</v>
      </c>
    </row>
    <row r="15" spans="1:21" x14ac:dyDescent="0.3">
      <c r="B15" s="484">
        <v>4200</v>
      </c>
      <c r="C15" s="485">
        <v>2</v>
      </c>
      <c r="D15" s="485">
        <v>0.14950000000000002</v>
      </c>
      <c r="E15" s="485">
        <v>0.1615</v>
      </c>
      <c r="F15" s="485">
        <v>0.21</v>
      </c>
      <c r="G15" s="485">
        <v>0.14949999999999999</v>
      </c>
      <c r="H15" s="485">
        <v>7.7000000000000013E-2</v>
      </c>
      <c r="I15" s="485">
        <v>0.24</v>
      </c>
      <c r="J15" s="485">
        <v>0.377</v>
      </c>
      <c r="K15" s="486">
        <v>0.20799999999999999</v>
      </c>
      <c r="L15" s="487" t="s">
        <v>1094</v>
      </c>
      <c r="M15" s="488" t="s">
        <v>1307</v>
      </c>
      <c r="N15" s="503">
        <v>1.1877012868494365</v>
      </c>
    </row>
    <row r="16" spans="1:21" x14ac:dyDescent="0.3">
      <c r="L16" s="490" t="s">
        <v>1075</v>
      </c>
      <c r="M16" s="1413" t="s">
        <v>1311</v>
      </c>
      <c r="N16" s="504">
        <v>0.8844579281689926</v>
      </c>
    </row>
    <row r="17" spans="1:27" ht="13" thickBot="1" x14ac:dyDescent="0.35">
      <c r="L17" s="492" t="s">
        <v>1085</v>
      </c>
      <c r="M17" s="493" t="s">
        <v>1309</v>
      </c>
      <c r="N17" s="505">
        <v>1</v>
      </c>
    </row>
    <row r="18" spans="1:27" x14ac:dyDescent="0.3">
      <c r="A18" s="522" t="s">
        <v>1251</v>
      </c>
      <c r="B18" s="459" t="s">
        <v>1320</v>
      </c>
      <c r="M18" s="1585" t="s">
        <v>1319</v>
      </c>
      <c r="N18" s="1585"/>
      <c r="P18" s="461" t="s">
        <v>1322</v>
      </c>
    </row>
    <row r="20" spans="1:27" ht="52" x14ac:dyDescent="0.25">
      <c r="B20" s="462" t="s">
        <v>1297</v>
      </c>
      <c r="C20" s="463" t="s">
        <v>1298</v>
      </c>
      <c r="D20" s="464" t="s">
        <v>1230</v>
      </c>
      <c r="E20" s="464" t="s">
        <v>1231</v>
      </c>
      <c r="F20" s="464" t="s">
        <v>1232</v>
      </c>
      <c r="G20" s="464" t="s">
        <v>1233</v>
      </c>
      <c r="H20" s="464" t="s">
        <v>1234</v>
      </c>
      <c r="I20" s="464" t="s">
        <v>1235</v>
      </c>
      <c r="J20" s="464" t="s">
        <v>1236</v>
      </c>
      <c r="K20" s="465" t="s">
        <v>1237</v>
      </c>
      <c r="Y20" s="168"/>
      <c r="Z20" s="168"/>
      <c r="AA20" s="168"/>
    </row>
    <row r="21" spans="1:27" ht="13" x14ac:dyDescent="0.25">
      <c r="B21" s="466">
        <v>0</v>
      </c>
      <c r="C21" s="467">
        <v>0</v>
      </c>
      <c r="D21" s="467">
        <v>1.4775</v>
      </c>
      <c r="E21" s="467">
        <v>1.3967500000000002</v>
      </c>
      <c r="F21" s="467">
        <v>0.91300000000000003</v>
      </c>
      <c r="G21" s="467">
        <v>0.46800000000000003</v>
      </c>
      <c r="H21" s="467">
        <v>0.45499999999999996</v>
      </c>
      <c r="I21" s="467">
        <v>0.50700000000000001</v>
      </c>
      <c r="J21" s="467">
        <v>1.105</v>
      </c>
      <c r="K21" s="468">
        <v>1.5682499999999999</v>
      </c>
      <c r="M21" s="472" t="s">
        <v>1299</v>
      </c>
      <c r="N21" s="465" t="s">
        <v>1300</v>
      </c>
      <c r="P21" s="1414" t="s">
        <v>1230</v>
      </c>
      <c r="Q21" s="1414" t="s">
        <v>1231</v>
      </c>
      <c r="R21" s="1414" t="s">
        <v>1232</v>
      </c>
      <c r="S21" s="1414" t="s">
        <v>1233</v>
      </c>
      <c r="T21" s="1414" t="s">
        <v>1234</v>
      </c>
      <c r="U21" s="1414" t="s">
        <v>1235</v>
      </c>
      <c r="V21" s="1414" t="s">
        <v>1236</v>
      </c>
      <c r="W21" s="1414" t="s">
        <v>1237</v>
      </c>
      <c r="Y21" s="168"/>
      <c r="Z21" s="168"/>
      <c r="AA21" s="168"/>
    </row>
    <row r="22" spans="1:27" x14ac:dyDescent="0.25">
      <c r="B22" s="469">
        <v>105</v>
      </c>
      <c r="C22" s="470">
        <v>0.05</v>
      </c>
      <c r="D22" s="470">
        <v>1.4475</v>
      </c>
      <c r="E22" s="470">
        <v>1.3412500000000003</v>
      </c>
      <c r="F22" s="470">
        <v>0.83600000000000008</v>
      </c>
      <c r="G22" s="470">
        <v>0.39600000000000002</v>
      </c>
      <c r="H22" s="470">
        <v>0.37699999999999995</v>
      </c>
      <c r="I22" s="470">
        <v>0.42899999999999999</v>
      </c>
      <c r="J22" s="470">
        <v>1.0269999999999999</v>
      </c>
      <c r="K22" s="471">
        <v>1.5067499999999998</v>
      </c>
      <c r="M22" s="473" t="s">
        <v>1303</v>
      </c>
      <c r="N22" s="474">
        <v>0.6</v>
      </c>
      <c r="P22" s="1415">
        <v>1.1499999999999999</v>
      </c>
      <c r="Q22" s="1415">
        <v>0.92499999999999993</v>
      </c>
      <c r="R22" s="1415">
        <v>0.7</v>
      </c>
      <c r="S22" s="1415">
        <v>0.75</v>
      </c>
      <c r="T22" s="1415">
        <v>0.8</v>
      </c>
      <c r="U22" s="1415">
        <v>0.8</v>
      </c>
      <c r="V22" s="1415">
        <v>0.8</v>
      </c>
      <c r="W22" s="1415">
        <v>0.97499999999999998</v>
      </c>
      <c r="Y22" s="168"/>
      <c r="Z22" s="168"/>
      <c r="AA22" s="168"/>
    </row>
    <row r="23" spans="1:27" x14ac:dyDescent="0.25">
      <c r="B23" s="466">
        <v>210</v>
      </c>
      <c r="C23" s="467">
        <v>0.1</v>
      </c>
      <c r="D23" s="467">
        <v>1.4325000000000001</v>
      </c>
      <c r="E23" s="467">
        <v>1.2950000000000002</v>
      </c>
      <c r="F23" s="467">
        <v>0.81400000000000006</v>
      </c>
      <c r="G23" s="467">
        <v>0.372</v>
      </c>
      <c r="H23" s="467">
        <v>0.36400000000000005</v>
      </c>
      <c r="I23" s="467">
        <v>0.40299999999999997</v>
      </c>
      <c r="J23" s="467">
        <v>0.97499999999999998</v>
      </c>
      <c r="K23" s="468">
        <v>1.4554999999999998</v>
      </c>
      <c r="M23" s="476" t="s">
        <v>1305</v>
      </c>
      <c r="N23" s="477">
        <v>1.3</v>
      </c>
      <c r="O23" s="461" t="s">
        <v>1324</v>
      </c>
      <c r="P23" s="512">
        <v>1.2649999999999999</v>
      </c>
      <c r="Q23" s="512">
        <v>1.0175000000000001</v>
      </c>
      <c r="R23" s="512">
        <v>0.77</v>
      </c>
      <c r="S23" s="512">
        <v>0.82500000000000007</v>
      </c>
      <c r="T23" s="512">
        <v>0.88000000000000012</v>
      </c>
      <c r="U23" s="512">
        <v>0.88000000000000012</v>
      </c>
      <c r="V23" s="512">
        <v>0.88000000000000012</v>
      </c>
      <c r="W23" s="512">
        <v>1.0725</v>
      </c>
      <c r="Y23" s="168"/>
      <c r="Z23" s="168"/>
      <c r="AA23" s="168"/>
    </row>
    <row r="24" spans="1:27" x14ac:dyDescent="0.25">
      <c r="B24" s="469">
        <v>420</v>
      </c>
      <c r="C24" s="470">
        <v>0.2</v>
      </c>
      <c r="D24" s="470">
        <v>1.2150000000000001</v>
      </c>
      <c r="E24" s="470">
        <v>1.1840000000000002</v>
      </c>
      <c r="F24" s="470">
        <v>0.7370000000000001</v>
      </c>
      <c r="G24" s="470">
        <v>0.33600000000000002</v>
      </c>
      <c r="H24" s="470">
        <v>0.32499999999999996</v>
      </c>
      <c r="I24" s="470">
        <v>0.36399999999999999</v>
      </c>
      <c r="J24" s="470">
        <v>0.88400000000000001</v>
      </c>
      <c r="K24" s="471">
        <v>1.3120000000000001</v>
      </c>
      <c r="M24" s="473" t="s">
        <v>1325</v>
      </c>
      <c r="N24" s="474">
        <v>1.1000000000000001</v>
      </c>
      <c r="Y24" s="168"/>
      <c r="Z24" s="168"/>
      <c r="AA24" s="168"/>
    </row>
    <row r="25" spans="1:27" x14ac:dyDescent="0.25">
      <c r="B25" s="466">
        <v>840</v>
      </c>
      <c r="C25" s="467">
        <v>0.4</v>
      </c>
      <c r="D25" s="467">
        <v>1.1100000000000001</v>
      </c>
      <c r="E25" s="467">
        <v>1.0082500000000001</v>
      </c>
      <c r="F25" s="467">
        <v>0.6160000000000001</v>
      </c>
      <c r="G25" s="467">
        <v>0.28799999999999998</v>
      </c>
      <c r="H25" s="467">
        <v>0.28600000000000003</v>
      </c>
      <c r="I25" s="467">
        <v>0.31199999999999994</v>
      </c>
      <c r="J25" s="467">
        <v>0.754</v>
      </c>
      <c r="K25" s="468">
        <v>1.1274999999999999</v>
      </c>
      <c r="M25" s="476" t="s">
        <v>1326</v>
      </c>
      <c r="N25" s="477">
        <v>0.7</v>
      </c>
      <c r="P25" s="459" t="s">
        <v>1327</v>
      </c>
      <c r="Y25" s="168"/>
      <c r="Z25" s="168"/>
      <c r="AA25" s="168"/>
    </row>
    <row r="26" spans="1:27" x14ac:dyDescent="0.25">
      <c r="B26" s="469">
        <v>1260</v>
      </c>
      <c r="C26" s="470">
        <v>0.6</v>
      </c>
      <c r="D26" s="470">
        <v>0.91499999999999992</v>
      </c>
      <c r="E26" s="470">
        <v>0.83250000000000013</v>
      </c>
      <c r="F26" s="470">
        <v>0.53900000000000003</v>
      </c>
      <c r="G26" s="470">
        <v>0.252</v>
      </c>
      <c r="H26" s="470">
        <v>0.247</v>
      </c>
      <c r="I26" s="470">
        <v>0.27299999999999996</v>
      </c>
      <c r="J26" s="470">
        <v>0.6369999999999999</v>
      </c>
      <c r="K26" s="471">
        <v>0.92249999999999999</v>
      </c>
      <c r="L26" s="460" t="s">
        <v>1094</v>
      </c>
      <c r="M26" s="473" t="s">
        <v>1307</v>
      </c>
      <c r="N26" s="479">
        <v>1.0409384708681515</v>
      </c>
      <c r="Y26" s="168"/>
      <c r="Z26" s="168"/>
      <c r="AA26" s="168"/>
    </row>
    <row r="27" spans="1:27" ht="13" x14ac:dyDescent="0.25">
      <c r="B27" s="466">
        <v>1680</v>
      </c>
      <c r="C27" s="467">
        <v>0.8</v>
      </c>
      <c r="D27" s="467">
        <v>0.79500000000000015</v>
      </c>
      <c r="E27" s="467">
        <v>0.68450000000000011</v>
      </c>
      <c r="F27" s="467">
        <v>0.47300000000000003</v>
      </c>
      <c r="G27" s="467">
        <v>0.22800000000000001</v>
      </c>
      <c r="H27" s="467">
        <v>0.23400000000000001</v>
      </c>
      <c r="I27" s="467">
        <v>0.247</v>
      </c>
      <c r="J27" s="467">
        <v>0.57200000000000006</v>
      </c>
      <c r="K27" s="468">
        <v>0.76874999999999993</v>
      </c>
      <c r="L27" s="460" t="s">
        <v>1085</v>
      </c>
      <c r="M27" s="476" t="s">
        <v>1309</v>
      </c>
      <c r="N27" s="480">
        <v>1</v>
      </c>
      <c r="P27" s="513" t="s">
        <v>1336</v>
      </c>
      <c r="Y27" s="168"/>
      <c r="Z27" s="168"/>
      <c r="AA27" s="168"/>
    </row>
    <row r="28" spans="1:27" x14ac:dyDescent="0.25">
      <c r="B28" s="469">
        <v>2100</v>
      </c>
      <c r="C28" s="470">
        <v>1</v>
      </c>
      <c r="D28" s="470">
        <v>0.63750000000000007</v>
      </c>
      <c r="E28" s="470">
        <v>0.61050000000000004</v>
      </c>
      <c r="F28" s="470">
        <v>0.40700000000000003</v>
      </c>
      <c r="G28" s="470">
        <v>0.20400000000000001</v>
      </c>
      <c r="H28" s="470">
        <v>0.20799999999999999</v>
      </c>
      <c r="I28" s="470">
        <v>0.221</v>
      </c>
      <c r="J28" s="470">
        <v>0.48099999999999998</v>
      </c>
      <c r="K28" s="471">
        <v>0.65600000000000003</v>
      </c>
      <c r="L28" s="460" t="s">
        <v>1075</v>
      </c>
      <c r="M28" s="473" t="s">
        <v>1311</v>
      </c>
      <c r="N28" s="479">
        <v>0.97625430893937937</v>
      </c>
      <c r="P28" s="514">
        <v>10.2487168088355</v>
      </c>
      <c r="Y28" s="168"/>
      <c r="Z28" s="168"/>
      <c r="AA28" s="168"/>
    </row>
    <row r="29" spans="1:27" x14ac:dyDescent="0.25">
      <c r="B29" s="466">
        <v>2520</v>
      </c>
      <c r="C29" s="467">
        <v>1.2</v>
      </c>
      <c r="D29" s="467">
        <v>0.45749999999999996</v>
      </c>
      <c r="E29" s="467">
        <v>0.47175000000000006</v>
      </c>
      <c r="F29" s="467">
        <v>0.36300000000000004</v>
      </c>
      <c r="G29" s="467">
        <v>0.18</v>
      </c>
      <c r="H29" s="467">
        <v>0.20799999999999999</v>
      </c>
      <c r="I29" s="467">
        <v>0.20799999999999999</v>
      </c>
      <c r="J29" s="467">
        <v>0.442</v>
      </c>
      <c r="K29" s="468">
        <v>0.57400000000000007</v>
      </c>
      <c r="M29" s="481" t="s">
        <v>1329</v>
      </c>
      <c r="N29" s="483">
        <v>1.03</v>
      </c>
      <c r="Y29" s="168"/>
      <c r="Z29" s="168"/>
      <c r="AA29" s="168"/>
    </row>
    <row r="30" spans="1:27" x14ac:dyDescent="0.3">
      <c r="B30" s="469">
        <v>2940</v>
      </c>
      <c r="C30" s="470">
        <v>1.4</v>
      </c>
      <c r="D30" s="470">
        <v>0.35249999999999998</v>
      </c>
      <c r="E30" s="470">
        <v>0.43475000000000003</v>
      </c>
      <c r="F30" s="470">
        <v>0.33</v>
      </c>
      <c r="G30" s="470">
        <v>0.16800000000000001</v>
      </c>
      <c r="H30" s="470">
        <v>0.19500000000000001</v>
      </c>
      <c r="I30" s="470">
        <v>0.19499999999999998</v>
      </c>
      <c r="J30" s="470">
        <v>0.39</v>
      </c>
      <c r="K30" s="471">
        <v>0.4817499999999999</v>
      </c>
      <c r="M30" s="461" t="s">
        <v>1313</v>
      </c>
    </row>
    <row r="31" spans="1:27" x14ac:dyDescent="0.3">
      <c r="B31" s="466">
        <v>3360</v>
      </c>
      <c r="C31" s="467">
        <v>1.6</v>
      </c>
      <c r="D31" s="467">
        <v>0.25500000000000006</v>
      </c>
      <c r="E31" s="467">
        <v>0.37925000000000003</v>
      </c>
      <c r="F31" s="467">
        <v>0.30800000000000005</v>
      </c>
      <c r="G31" s="467">
        <v>0.16800000000000001</v>
      </c>
      <c r="H31" s="467">
        <v>0.18200000000000002</v>
      </c>
      <c r="I31" s="467">
        <v>0.182</v>
      </c>
      <c r="J31" s="467">
        <v>0.33800000000000002</v>
      </c>
      <c r="K31" s="468">
        <v>0.42024999999999996</v>
      </c>
    </row>
    <row r="32" spans="1:27" x14ac:dyDescent="0.3">
      <c r="B32" s="469">
        <v>3780</v>
      </c>
      <c r="C32" s="470">
        <v>1.8</v>
      </c>
      <c r="D32" s="470">
        <v>0.19500000000000001</v>
      </c>
      <c r="E32" s="470">
        <v>0.32375000000000004</v>
      </c>
      <c r="F32" s="470">
        <v>0.27500000000000002</v>
      </c>
      <c r="G32" s="470">
        <v>0.156</v>
      </c>
      <c r="H32" s="470">
        <v>0.18200000000000002</v>
      </c>
      <c r="I32" s="470">
        <v>0.16899999999999998</v>
      </c>
      <c r="J32" s="470">
        <v>0.312</v>
      </c>
      <c r="K32" s="471">
        <v>0.35874999999999996</v>
      </c>
      <c r="M32" s="481" t="s">
        <v>1329</v>
      </c>
      <c r="N32" s="483">
        <v>1.0262461505221649</v>
      </c>
    </row>
    <row r="33" spans="1:21" ht="13" thickBot="1" x14ac:dyDescent="0.35">
      <c r="B33" s="484">
        <v>4200</v>
      </c>
      <c r="C33" s="485">
        <v>2</v>
      </c>
      <c r="D33" s="485">
        <v>0.18</v>
      </c>
      <c r="E33" s="485">
        <v>0.29600000000000004</v>
      </c>
      <c r="F33" s="485">
        <v>0.24200000000000002</v>
      </c>
      <c r="G33" s="485">
        <v>0.14399999999999999</v>
      </c>
      <c r="H33" s="485">
        <v>0.16899999999999998</v>
      </c>
      <c r="I33" s="485">
        <v>0.15599999999999997</v>
      </c>
      <c r="J33" s="485">
        <v>0.28600000000000003</v>
      </c>
      <c r="K33" s="486">
        <v>0.29724999999999996</v>
      </c>
      <c r="M33" s="461" t="s">
        <v>1330</v>
      </c>
    </row>
    <row r="34" spans="1:21" x14ac:dyDescent="0.3">
      <c r="L34" s="487" t="s">
        <v>1094</v>
      </c>
      <c r="M34" s="488" t="s">
        <v>1307</v>
      </c>
      <c r="N34" s="503">
        <v>1.0409384708681515</v>
      </c>
    </row>
    <row r="35" spans="1:21" x14ac:dyDescent="0.3">
      <c r="L35" s="490" t="s">
        <v>1075</v>
      </c>
      <c r="M35" s="1413" t="s">
        <v>1311</v>
      </c>
      <c r="N35" s="504">
        <v>0.97625430893937937</v>
      </c>
    </row>
    <row r="36" spans="1:21" ht="13" thickBot="1" x14ac:dyDescent="0.35">
      <c r="L36" s="492" t="s">
        <v>1085</v>
      </c>
      <c r="M36" s="493" t="s">
        <v>1309</v>
      </c>
      <c r="N36" s="505">
        <v>1</v>
      </c>
    </row>
    <row r="38" spans="1:21" x14ac:dyDescent="0.25">
      <c r="A38" s="523" t="s">
        <v>1242</v>
      </c>
      <c r="B38" s="459" t="s">
        <v>1315</v>
      </c>
      <c r="M38" s="1585" t="s">
        <v>1316</v>
      </c>
      <c r="N38" s="1585"/>
      <c r="P38" s="459" t="s">
        <v>1317</v>
      </c>
      <c r="S38" s="168"/>
      <c r="T38" s="168"/>
      <c r="U38" s="168"/>
    </row>
    <row r="39" spans="1:21" x14ac:dyDescent="0.25">
      <c r="S39" s="168"/>
      <c r="T39" s="168"/>
      <c r="U39" s="168"/>
    </row>
    <row r="40" spans="1:21" ht="52" x14ac:dyDescent="0.25">
      <c r="B40" s="472" t="s">
        <v>1297</v>
      </c>
      <c r="C40" s="463" t="s">
        <v>1298</v>
      </c>
      <c r="D40" s="497" t="s">
        <v>1230</v>
      </c>
      <c r="E40" s="497" t="s">
        <v>1231</v>
      </c>
      <c r="F40" s="497" t="s">
        <v>1232</v>
      </c>
      <c r="G40" s="497" t="s">
        <v>1233</v>
      </c>
      <c r="H40" s="497" t="s">
        <v>1234</v>
      </c>
      <c r="I40" s="497" t="s">
        <v>1235</v>
      </c>
      <c r="J40" s="497" t="s">
        <v>1236</v>
      </c>
      <c r="K40" s="498" t="s">
        <v>1237</v>
      </c>
      <c r="S40" s="168"/>
      <c r="T40" s="168"/>
      <c r="U40" s="168"/>
    </row>
    <row r="41" spans="1:21" ht="13" x14ac:dyDescent="0.25">
      <c r="B41" s="466">
        <v>0</v>
      </c>
      <c r="C41" s="499">
        <v>0</v>
      </c>
      <c r="D41" s="467">
        <v>0.79200000000000004</v>
      </c>
      <c r="E41" s="467">
        <v>1.1304999999999998</v>
      </c>
      <c r="F41" s="467">
        <v>1.1199999999999999</v>
      </c>
      <c r="G41" s="467">
        <v>0.68250000000000011</v>
      </c>
      <c r="H41" s="467">
        <v>0.28499999999999998</v>
      </c>
      <c r="I41" s="467">
        <v>0.64349999999999996</v>
      </c>
      <c r="J41" s="467">
        <v>1.048</v>
      </c>
      <c r="K41" s="468">
        <v>1.0640000000000001</v>
      </c>
      <c r="M41" s="472" t="s">
        <v>1299</v>
      </c>
      <c r="N41" s="465" t="s">
        <v>1300</v>
      </c>
      <c r="P41" s="472" t="s">
        <v>1301</v>
      </c>
      <c r="Q41" s="465" t="s">
        <v>1302</v>
      </c>
      <c r="S41" s="168"/>
      <c r="T41" s="168"/>
      <c r="U41" s="168"/>
    </row>
    <row r="42" spans="1:21" x14ac:dyDescent="0.25">
      <c r="B42" s="469">
        <v>105</v>
      </c>
      <c r="C42" s="500">
        <v>0.05</v>
      </c>
      <c r="D42" s="470">
        <v>0.66</v>
      </c>
      <c r="E42" s="470">
        <v>1.0449999999999999</v>
      </c>
      <c r="F42" s="470">
        <v>1.048</v>
      </c>
      <c r="G42" s="470">
        <v>0.63050000000000006</v>
      </c>
      <c r="H42" s="470">
        <v>0.24499999999999997</v>
      </c>
      <c r="I42" s="470">
        <v>0.59150000000000003</v>
      </c>
      <c r="J42" s="470">
        <v>0.97600000000000009</v>
      </c>
      <c r="K42" s="471">
        <v>0.96900000000000008</v>
      </c>
      <c r="M42" s="473" t="s">
        <v>1303</v>
      </c>
      <c r="N42" s="479">
        <v>0.8</v>
      </c>
      <c r="P42" s="473" t="s">
        <v>1304</v>
      </c>
      <c r="Q42" s="475">
        <v>6.5104435561121124E-2</v>
      </c>
      <c r="S42" s="168"/>
      <c r="T42" s="168"/>
      <c r="U42" s="168"/>
    </row>
    <row r="43" spans="1:21" x14ac:dyDescent="0.25">
      <c r="B43" s="466">
        <v>210</v>
      </c>
      <c r="C43" s="499">
        <v>0.1</v>
      </c>
      <c r="D43" s="467">
        <v>0.60500000000000009</v>
      </c>
      <c r="E43" s="467">
        <v>0.94999999999999984</v>
      </c>
      <c r="F43" s="467">
        <v>0.99199999999999999</v>
      </c>
      <c r="G43" s="467">
        <v>0.59150000000000014</v>
      </c>
      <c r="H43" s="467">
        <v>0.23</v>
      </c>
      <c r="I43" s="467">
        <v>0.55249999999999999</v>
      </c>
      <c r="J43" s="467">
        <v>0.93599999999999994</v>
      </c>
      <c r="K43" s="468">
        <v>0.8929999999999999</v>
      </c>
      <c r="M43" s="476" t="s">
        <v>1305</v>
      </c>
      <c r="N43" s="480">
        <v>1.2</v>
      </c>
      <c r="P43" s="476" t="s">
        <v>1306</v>
      </c>
      <c r="Q43" s="478">
        <v>6.9689428081950514E-2</v>
      </c>
      <c r="S43" s="168"/>
      <c r="T43" s="168"/>
      <c r="U43" s="168"/>
    </row>
    <row r="44" spans="1:21" x14ac:dyDescent="0.25">
      <c r="B44" s="469">
        <v>420</v>
      </c>
      <c r="C44" s="500">
        <v>0.2</v>
      </c>
      <c r="D44" s="470">
        <v>0.51700000000000002</v>
      </c>
      <c r="E44" s="470">
        <v>0.82650000000000001</v>
      </c>
      <c r="F44" s="470">
        <v>0.89600000000000013</v>
      </c>
      <c r="G44" s="470">
        <v>0.53300000000000003</v>
      </c>
      <c r="H44" s="470">
        <v>0.20499999999999999</v>
      </c>
      <c r="I44" s="470">
        <v>0.49399999999999999</v>
      </c>
      <c r="J44" s="470">
        <v>0.84000000000000008</v>
      </c>
      <c r="K44" s="471">
        <v>0.76950000000000007</v>
      </c>
      <c r="L44" s="460" t="s">
        <v>1094</v>
      </c>
      <c r="M44" s="473" t="s">
        <v>1307</v>
      </c>
      <c r="N44" s="479">
        <v>1</v>
      </c>
      <c r="P44" s="473" t="s">
        <v>1308</v>
      </c>
      <c r="Q44" s="475">
        <v>7.2102582040281776E-2</v>
      </c>
      <c r="S44" s="168"/>
      <c r="T44" s="168"/>
      <c r="U44" s="168"/>
    </row>
    <row r="45" spans="1:21" x14ac:dyDescent="0.25">
      <c r="B45" s="466">
        <v>840</v>
      </c>
      <c r="C45" s="499">
        <v>0.4</v>
      </c>
      <c r="D45" s="467">
        <v>0.4290000000000001</v>
      </c>
      <c r="E45" s="467">
        <v>0.62699999999999989</v>
      </c>
      <c r="F45" s="467">
        <v>0.7360000000000001</v>
      </c>
      <c r="G45" s="467">
        <v>0.43550000000000011</v>
      </c>
      <c r="H45" s="467">
        <v>0.17</v>
      </c>
      <c r="I45" s="467">
        <v>0.40300000000000002</v>
      </c>
      <c r="J45" s="467">
        <v>0.68</v>
      </c>
      <c r="K45" s="468">
        <v>0.58899999999999997</v>
      </c>
      <c r="L45" s="460" t="s">
        <v>1085</v>
      </c>
      <c r="M45" s="476" t="s">
        <v>1309</v>
      </c>
      <c r="N45" s="480">
        <v>0.8844579281689926</v>
      </c>
      <c r="P45" s="481" t="s">
        <v>1310</v>
      </c>
      <c r="Q45" s="482">
        <v>7.3372663070982433E-2</v>
      </c>
      <c r="S45" s="168"/>
      <c r="T45" s="168"/>
      <c r="U45" s="168"/>
    </row>
    <row r="46" spans="1:21" x14ac:dyDescent="0.25">
      <c r="B46" s="469">
        <v>1260</v>
      </c>
      <c r="C46" s="500">
        <v>0.6</v>
      </c>
      <c r="D46" s="470">
        <v>0.36300000000000004</v>
      </c>
      <c r="E46" s="470">
        <v>0.47499999999999992</v>
      </c>
      <c r="F46" s="470">
        <v>0.59199999999999997</v>
      </c>
      <c r="G46" s="470">
        <v>0.36400000000000005</v>
      </c>
      <c r="H46" s="470">
        <v>0.14499999999999999</v>
      </c>
      <c r="I46" s="470">
        <v>0.34449999999999997</v>
      </c>
      <c r="J46" s="470">
        <v>0.57599999999999996</v>
      </c>
      <c r="K46" s="471">
        <v>0.42749999999999999</v>
      </c>
      <c r="L46" s="460" t="s">
        <v>1075</v>
      </c>
      <c r="M46" s="501" t="s">
        <v>1311</v>
      </c>
      <c r="N46" s="502">
        <v>0.91</v>
      </c>
      <c r="S46" s="168"/>
      <c r="T46" s="168"/>
      <c r="U46" s="168"/>
    </row>
    <row r="47" spans="1:21" x14ac:dyDescent="0.25">
      <c r="B47" s="466">
        <v>1680</v>
      </c>
      <c r="C47" s="499">
        <v>0.8</v>
      </c>
      <c r="D47" s="467">
        <v>0.31900000000000001</v>
      </c>
      <c r="E47" s="467">
        <v>0.36099999999999999</v>
      </c>
      <c r="F47" s="467">
        <v>0.504</v>
      </c>
      <c r="G47" s="467">
        <v>0.31850000000000001</v>
      </c>
      <c r="H47" s="467">
        <v>0.125</v>
      </c>
      <c r="I47" s="467">
        <v>0.29249999999999998</v>
      </c>
      <c r="J47" s="467">
        <v>0.47199999999999998</v>
      </c>
      <c r="K47" s="468">
        <v>0.34199999999999997</v>
      </c>
      <c r="S47" s="168"/>
      <c r="T47" s="168"/>
      <c r="U47" s="168"/>
    </row>
    <row r="48" spans="1:21" ht="13" thickBot="1" x14ac:dyDescent="0.3">
      <c r="B48" s="469">
        <v>2100</v>
      </c>
      <c r="C48" s="500">
        <v>1</v>
      </c>
      <c r="D48" s="470">
        <v>0.28600000000000003</v>
      </c>
      <c r="E48" s="470">
        <v>0.29449999999999998</v>
      </c>
      <c r="F48" s="470">
        <v>0.44</v>
      </c>
      <c r="G48" s="470">
        <v>0.27300000000000002</v>
      </c>
      <c r="H48" s="470">
        <v>0.11</v>
      </c>
      <c r="I48" s="470">
        <v>0.2535</v>
      </c>
      <c r="J48" s="470">
        <v>0.40799999999999997</v>
      </c>
      <c r="K48" s="471">
        <v>0.28500000000000003</v>
      </c>
      <c r="M48" s="461" t="s">
        <v>1318</v>
      </c>
      <c r="S48" s="168"/>
      <c r="T48" s="168"/>
      <c r="U48" s="168"/>
    </row>
    <row r="49" spans="1:27" x14ac:dyDescent="0.25">
      <c r="B49" s="466">
        <v>2520</v>
      </c>
      <c r="C49" s="499">
        <v>1.2</v>
      </c>
      <c r="D49" s="467">
        <v>0.25300000000000006</v>
      </c>
      <c r="E49" s="467">
        <v>0.247</v>
      </c>
      <c r="F49" s="467">
        <v>0.36800000000000005</v>
      </c>
      <c r="G49" s="467">
        <v>0.24050000000000002</v>
      </c>
      <c r="H49" s="467">
        <v>0.1</v>
      </c>
      <c r="I49" s="467">
        <v>0.22749999999999998</v>
      </c>
      <c r="J49" s="467">
        <v>0.36000000000000004</v>
      </c>
      <c r="K49" s="468">
        <v>0.23749999999999999</v>
      </c>
      <c r="L49" s="487" t="s">
        <v>1094</v>
      </c>
      <c r="M49" s="488" t="s">
        <v>1307</v>
      </c>
      <c r="N49" s="503">
        <v>1</v>
      </c>
      <c r="S49" s="168"/>
      <c r="T49" s="168"/>
      <c r="U49" s="168"/>
    </row>
    <row r="50" spans="1:27" x14ac:dyDescent="0.3">
      <c r="B50" s="469">
        <v>2940</v>
      </c>
      <c r="C50" s="500">
        <v>1.4</v>
      </c>
      <c r="D50" s="470">
        <v>0.23100000000000004</v>
      </c>
      <c r="E50" s="470">
        <v>0.21849999999999997</v>
      </c>
      <c r="F50" s="470">
        <v>0.312</v>
      </c>
      <c r="G50" s="470">
        <v>0.22100000000000006</v>
      </c>
      <c r="H50" s="470">
        <v>8.5000000000000006E-2</v>
      </c>
      <c r="I50" s="470">
        <v>0.21450000000000002</v>
      </c>
      <c r="J50" s="470">
        <v>0.30399999999999999</v>
      </c>
      <c r="K50" s="471">
        <v>0.19949999999999998</v>
      </c>
      <c r="L50" s="490" t="s">
        <v>1075</v>
      </c>
      <c r="M50" s="1413" t="s">
        <v>1311</v>
      </c>
      <c r="N50" s="504">
        <v>0.91</v>
      </c>
      <c r="T50" s="524"/>
    </row>
    <row r="51" spans="1:27" ht="13" thickBot="1" x14ac:dyDescent="0.35">
      <c r="B51" s="466">
        <v>3360</v>
      </c>
      <c r="C51" s="499">
        <v>1.6</v>
      </c>
      <c r="D51" s="467">
        <v>0.20900000000000002</v>
      </c>
      <c r="E51" s="467">
        <v>0.18999999999999997</v>
      </c>
      <c r="F51" s="467">
        <v>0.30399999999999999</v>
      </c>
      <c r="G51" s="467">
        <v>0.19500000000000001</v>
      </c>
      <c r="H51" s="467">
        <v>0.08</v>
      </c>
      <c r="I51" s="467">
        <v>0.1885</v>
      </c>
      <c r="J51" s="467">
        <v>0.26400000000000001</v>
      </c>
      <c r="K51" s="468">
        <v>0.19</v>
      </c>
      <c r="L51" s="492" t="s">
        <v>1085</v>
      </c>
      <c r="M51" s="493" t="s">
        <v>1309</v>
      </c>
      <c r="N51" s="505">
        <v>0.8844579281689926</v>
      </c>
    </row>
    <row r="52" spans="1:27" x14ac:dyDescent="0.3">
      <c r="B52" s="469">
        <v>3780</v>
      </c>
      <c r="C52" s="500">
        <v>1.8</v>
      </c>
      <c r="D52" s="470">
        <v>0.18700000000000003</v>
      </c>
      <c r="E52" s="470">
        <v>0.17099999999999996</v>
      </c>
      <c r="F52" s="470">
        <v>0.25600000000000001</v>
      </c>
      <c r="G52" s="470">
        <v>0.17550000000000004</v>
      </c>
      <c r="H52" s="470">
        <v>7.0000000000000007E-2</v>
      </c>
      <c r="I52" s="470">
        <v>0.16250000000000001</v>
      </c>
      <c r="J52" s="470">
        <v>0.25600000000000001</v>
      </c>
      <c r="K52" s="471">
        <v>0.1615</v>
      </c>
    </row>
    <row r="53" spans="1:27" x14ac:dyDescent="0.3">
      <c r="B53" s="484">
        <v>4200</v>
      </c>
      <c r="C53" s="506">
        <v>2</v>
      </c>
      <c r="D53" s="485">
        <v>0.18700000000000003</v>
      </c>
      <c r="E53" s="485">
        <v>0.1615</v>
      </c>
      <c r="F53" s="485">
        <v>0.22400000000000003</v>
      </c>
      <c r="G53" s="485">
        <v>0.14950000000000002</v>
      </c>
      <c r="H53" s="485">
        <v>7.0000000000000007E-2</v>
      </c>
      <c r="I53" s="485">
        <v>0.156</v>
      </c>
      <c r="J53" s="485">
        <v>0.20800000000000002</v>
      </c>
      <c r="K53" s="486">
        <v>0.152</v>
      </c>
    </row>
    <row r="55" spans="1:27" x14ac:dyDescent="0.3">
      <c r="A55" s="523" t="s">
        <v>1252</v>
      </c>
      <c r="B55" s="459" t="s">
        <v>1320</v>
      </c>
      <c r="M55" s="1585" t="s">
        <v>1331</v>
      </c>
      <c r="N55" s="1585"/>
      <c r="P55" s="461" t="s">
        <v>1322</v>
      </c>
    </row>
    <row r="57" spans="1:27" ht="52" x14ac:dyDescent="0.25">
      <c r="B57" s="462" t="s">
        <v>1297</v>
      </c>
      <c r="C57" s="463" t="s">
        <v>1298</v>
      </c>
      <c r="D57" s="497" t="s">
        <v>1230</v>
      </c>
      <c r="E57" s="497" t="s">
        <v>1231</v>
      </c>
      <c r="F57" s="497" t="s">
        <v>1232</v>
      </c>
      <c r="G57" s="497" t="s">
        <v>1233</v>
      </c>
      <c r="H57" s="497" t="s">
        <v>1234</v>
      </c>
      <c r="I57" s="497" t="s">
        <v>1235</v>
      </c>
      <c r="J57" s="497" t="s">
        <v>1236</v>
      </c>
      <c r="K57" s="498" t="s">
        <v>1237</v>
      </c>
      <c r="Y57" s="168"/>
      <c r="Z57" s="168"/>
      <c r="AA57" s="168"/>
    </row>
    <row r="58" spans="1:27" ht="13" x14ac:dyDescent="0.25">
      <c r="B58" s="466">
        <v>0</v>
      </c>
      <c r="C58" s="499">
        <v>0</v>
      </c>
      <c r="D58" s="467">
        <v>1.379</v>
      </c>
      <c r="E58" s="467">
        <v>1.1236666666666666</v>
      </c>
      <c r="F58" s="467">
        <v>0.99599999999999989</v>
      </c>
      <c r="G58" s="467">
        <v>0.70533333333333326</v>
      </c>
      <c r="H58" s="467">
        <v>0.55999999999999994</v>
      </c>
      <c r="I58" s="467">
        <v>0.8666666666666667</v>
      </c>
      <c r="J58" s="467">
        <v>1.02</v>
      </c>
      <c r="K58" s="468">
        <v>1.2593333333333334</v>
      </c>
      <c r="M58" s="472" t="s">
        <v>1299</v>
      </c>
      <c r="N58" s="465" t="s">
        <v>1300</v>
      </c>
      <c r="P58" s="472" t="s">
        <v>1230</v>
      </c>
      <c r="Q58" s="497" t="s">
        <v>1231</v>
      </c>
      <c r="R58" s="497" t="s">
        <v>1232</v>
      </c>
      <c r="S58" s="497" t="s">
        <v>1233</v>
      </c>
      <c r="T58" s="497" t="s">
        <v>1234</v>
      </c>
      <c r="U58" s="497" t="s">
        <v>1235</v>
      </c>
      <c r="V58" s="497" t="s">
        <v>1236</v>
      </c>
      <c r="W58" s="498" t="s">
        <v>1237</v>
      </c>
      <c r="Y58" s="168"/>
      <c r="Z58" s="168"/>
      <c r="AA58" s="168"/>
    </row>
    <row r="59" spans="1:27" x14ac:dyDescent="0.25">
      <c r="B59" s="469">
        <v>105</v>
      </c>
      <c r="C59" s="500">
        <v>0.05</v>
      </c>
      <c r="D59" s="470">
        <v>1.351</v>
      </c>
      <c r="E59" s="470">
        <v>1.0790176600441501</v>
      </c>
      <c r="F59" s="470">
        <v>0.91199999999999992</v>
      </c>
      <c r="G59" s="470">
        <v>0.59682051282051274</v>
      </c>
      <c r="H59" s="470">
        <v>0.46399999999999991</v>
      </c>
      <c r="I59" s="470">
        <v>0.73333333333333339</v>
      </c>
      <c r="J59" s="470">
        <v>0.94800000000000006</v>
      </c>
      <c r="K59" s="471">
        <v>1.2099477124183007</v>
      </c>
      <c r="M59" s="473" t="s">
        <v>1303</v>
      </c>
      <c r="N59" s="479">
        <v>1</v>
      </c>
      <c r="P59" s="516">
        <v>1.2</v>
      </c>
      <c r="Q59" s="517">
        <v>1.05</v>
      </c>
      <c r="R59" s="517">
        <v>0.9</v>
      </c>
      <c r="S59" s="517">
        <v>0.9</v>
      </c>
      <c r="T59" s="517">
        <v>0.9</v>
      </c>
      <c r="U59" s="517">
        <v>0.9</v>
      </c>
      <c r="V59" s="517">
        <v>0.9</v>
      </c>
      <c r="W59" s="502">
        <v>1.05</v>
      </c>
      <c r="Y59" s="168"/>
      <c r="Z59" s="168"/>
      <c r="AA59" s="168"/>
    </row>
    <row r="60" spans="1:27" x14ac:dyDescent="0.25">
      <c r="B60" s="466">
        <v>210</v>
      </c>
      <c r="C60" s="499">
        <v>0.1</v>
      </c>
      <c r="D60" s="467">
        <v>1.337</v>
      </c>
      <c r="E60" s="467">
        <v>1.0418101545253862</v>
      </c>
      <c r="F60" s="467">
        <v>0.8879999999999999</v>
      </c>
      <c r="G60" s="467">
        <v>0.5606495726495726</v>
      </c>
      <c r="H60" s="467">
        <v>0.44800000000000006</v>
      </c>
      <c r="I60" s="467">
        <v>0.68888888888888888</v>
      </c>
      <c r="J60" s="467">
        <v>0.9</v>
      </c>
      <c r="K60" s="468">
        <v>1.1687930283224401</v>
      </c>
      <c r="M60" s="476" t="s">
        <v>1305</v>
      </c>
      <c r="N60" s="480">
        <v>1.4</v>
      </c>
      <c r="O60" s="461" t="s">
        <v>1324</v>
      </c>
      <c r="P60" s="512">
        <v>1.1404799999999999</v>
      </c>
      <c r="Q60" s="512">
        <v>0.99792000000000003</v>
      </c>
      <c r="R60" s="512">
        <v>0.85536000000000001</v>
      </c>
      <c r="S60" s="512">
        <v>0.85536000000000001</v>
      </c>
      <c r="T60" s="512">
        <v>0.85536000000000001</v>
      </c>
      <c r="U60" s="512">
        <v>0.85536000000000001</v>
      </c>
      <c r="V60" s="512">
        <v>0.85536000000000001</v>
      </c>
      <c r="W60" s="512">
        <v>0.99792000000000003</v>
      </c>
      <c r="Y60" s="168"/>
      <c r="Z60" s="168"/>
      <c r="AA60" s="168"/>
    </row>
    <row r="61" spans="1:27" x14ac:dyDescent="0.25">
      <c r="B61" s="469">
        <v>420</v>
      </c>
      <c r="C61" s="500">
        <v>0.2</v>
      </c>
      <c r="D61" s="470">
        <v>1.1340000000000001</v>
      </c>
      <c r="E61" s="470">
        <v>0.95251214128035311</v>
      </c>
      <c r="F61" s="470">
        <v>0.80399999999999994</v>
      </c>
      <c r="G61" s="470">
        <v>0.50639316239316234</v>
      </c>
      <c r="H61" s="470">
        <v>0.39999999999999997</v>
      </c>
      <c r="I61" s="470">
        <v>0.62222222222222223</v>
      </c>
      <c r="J61" s="470">
        <v>0.81600000000000006</v>
      </c>
      <c r="K61" s="471">
        <v>1.0535599128540305</v>
      </c>
      <c r="M61" s="473" t="s">
        <v>1325</v>
      </c>
      <c r="N61" s="479">
        <v>0.95040000000000002</v>
      </c>
      <c r="Y61" s="168"/>
      <c r="Z61" s="168"/>
      <c r="AA61" s="168"/>
    </row>
    <row r="62" spans="1:27" x14ac:dyDescent="0.25">
      <c r="B62" s="466">
        <v>840</v>
      </c>
      <c r="C62" s="499">
        <v>0.4</v>
      </c>
      <c r="D62" s="467">
        <v>1.036</v>
      </c>
      <c r="E62" s="467">
        <v>0.81112362030905072</v>
      </c>
      <c r="F62" s="467">
        <v>0.67199999999999993</v>
      </c>
      <c r="G62" s="467">
        <v>0.43405128205128196</v>
      </c>
      <c r="H62" s="467">
        <v>0.35200000000000004</v>
      </c>
      <c r="I62" s="467">
        <v>0.53333333333333333</v>
      </c>
      <c r="J62" s="467">
        <v>0.69600000000000006</v>
      </c>
      <c r="K62" s="468">
        <v>0.90540305010893252</v>
      </c>
      <c r="M62" s="476" t="s">
        <v>1326</v>
      </c>
      <c r="N62" s="480">
        <v>0.71279999999999999</v>
      </c>
      <c r="P62" s="459" t="s">
        <v>1332</v>
      </c>
      <c r="Y62" s="168"/>
      <c r="Z62" s="168"/>
      <c r="AA62" s="168"/>
    </row>
    <row r="63" spans="1:27" ht="13" thickBot="1" x14ac:dyDescent="0.3">
      <c r="B63" s="469">
        <v>1260</v>
      </c>
      <c r="C63" s="500">
        <v>0.6</v>
      </c>
      <c r="D63" s="470">
        <v>0.85399999999999998</v>
      </c>
      <c r="E63" s="470">
        <v>0.66973509933774833</v>
      </c>
      <c r="F63" s="470">
        <v>0.58799999999999997</v>
      </c>
      <c r="G63" s="470">
        <v>0.37979487179487176</v>
      </c>
      <c r="H63" s="470">
        <v>0.30399999999999999</v>
      </c>
      <c r="I63" s="470">
        <v>0.46666666666666667</v>
      </c>
      <c r="J63" s="470">
        <v>0.58799999999999997</v>
      </c>
      <c r="K63" s="471">
        <v>0.74078431372549025</v>
      </c>
      <c r="L63" s="460" t="s">
        <v>1094</v>
      </c>
      <c r="M63" s="473" t="s">
        <v>1307</v>
      </c>
      <c r="N63" s="479">
        <v>1.0409384708681515</v>
      </c>
      <c r="Y63" s="168"/>
      <c r="Z63" s="168"/>
      <c r="AA63" s="168"/>
    </row>
    <row r="64" spans="1:27" ht="13.5" thickBot="1" x14ac:dyDescent="0.3">
      <c r="B64" s="466">
        <v>1680</v>
      </c>
      <c r="C64" s="499">
        <v>0.8</v>
      </c>
      <c r="D64" s="467">
        <v>0.7420000000000001</v>
      </c>
      <c r="E64" s="467">
        <v>0.55067108167770418</v>
      </c>
      <c r="F64" s="467">
        <v>0.5159999999999999</v>
      </c>
      <c r="G64" s="467">
        <v>0.34362393162393157</v>
      </c>
      <c r="H64" s="467">
        <v>0.28799999999999998</v>
      </c>
      <c r="I64" s="467">
        <v>0.42222222222222222</v>
      </c>
      <c r="J64" s="467">
        <v>0.52800000000000002</v>
      </c>
      <c r="K64" s="468">
        <v>0.61732026143790852</v>
      </c>
      <c r="L64" s="460" t="s">
        <v>1085</v>
      </c>
      <c r="M64" s="476" t="s">
        <v>1309</v>
      </c>
      <c r="N64" s="480">
        <v>1</v>
      </c>
      <c r="P64" s="518" t="s">
        <v>1333</v>
      </c>
      <c r="Y64" s="168"/>
      <c r="Z64" s="168"/>
      <c r="AA64" s="168"/>
    </row>
    <row r="65" spans="2:27" ht="13.5" thickBot="1" x14ac:dyDescent="0.3">
      <c r="B65" s="469">
        <v>2100</v>
      </c>
      <c r="C65" s="500">
        <v>1</v>
      </c>
      <c r="D65" s="470">
        <v>0.59499999999999997</v>
      </c>
      <c r="E65" s="470">
        <v>0.4911390728476821</v>
      </c>
      <c r="F65" s="470">
        <v>0.44399999999999995</v>
      </c>
      <c r="G65" s="470">
        <v>0.30745299145299143</v>
      </c>
      <c r="H65" s="470">
        <v>0.25600000000000001</v>
      </c>
      <c r="I65" s="470">
        <v>0.37777777777777777</v>
      </c>
      <c r="J65" s="470">
        <v>0.44400000000000001</v>
      </c>
      <c r="K65" s="471">
        <v>0.52677995642701525</v>
      </c>
      <c r="L65" s="460" t="s">
        <v>1075</v>
      </c>
      <c r="M65" s="501" t="s">
        <v>1311</v>
      </c>
      <c r="N65" s="502">
        <v>0.97625430893937937</v>
      </c>
      <c r="P65" s="519">
        <v>8.0399999999999991</v>
      </c>
      <c r="Y65" s="168"/>
      <c r="Z65" s="168"/>
      <c r="AA65" s="168"/>
    </row>
    <row r="66" spans="2:27" x14ac:dyDescent="0.25">
      <c r="B66" s="466">
        <v>2520</v>
      </c>
      <c r="C66" s="499">
        <v>1.2</v>
      </c>
      <c r="D66" s="467">
        <v>0.42699999999999999</v>
      </c>
      <c r="E66" s="467">
        <v>0.37951655629139069</v>
      </c>
      <c r="F66" s="467">
        <v>0.39600000000000002</v>
      </c>
      <c r="G66" s="467">
        <v>0.27128205128205124</v>
      </c>
      <c r="H66" s="467">
        <v>0.25600000000000001</v>
      </c>
      <c r="I66" s="467">
        <v>0.35555555555555557</v>
      </c>
      <c r="J66" s="467">
        <v>0.40800000000000003</v>
      </c>
      <c r="K66" s="468">
        <v>0.4609324618736384</v>
      </c>
      <c r="Y66" s="168"/>
      <c r="Z66" s="168"/>
      <c r="AA66" s="168"/>
    </row>
    <row r="67" spans="2:27" ht="13" thickBot="1" x14ac:dyDescent="0.35">
      <c r="B67" s="469">
        <v>2940</v>
      </c>
      <c r="C67" s="500">
        <v>1.4</v>
      </c>
      <c r="D67" s="470">
        <v>0.32900000000000001</v>
      </c>
      <c r="E67" s="470">
        <v>0.34975055187637966</v>
      </c>
      <c r="F67" s="470">
        <v>0.35999999999999993</v>
      </c>
      <c r="G67" s="470">
        <v>0.25319658119658117</v>
      </c>
      <c r="H67" s="470">
        <v>0.24</v>
      </c>
      <c r="I67" s="470">
        <v>0.33333333333333331</v>
      </c>
      <c r="J67" s="470">
        <v>0.36000000000000004</v>
      </c>
      <c r="K67" s="471">
        <v>0.3868540305010893</v>
      </c>
      <c r="M67" s="461" t="s">
        <v>1334</v>
      </c>
    </row>
    <row r="68" spans="2:27" x14ac:dyDescent="0.3">
      <c r="B68" s="466">
        <v>3360</v>
      </c>
      <c r="C68" s="499">
        <v>1.6</v>
      </c>
      <c r="D68" s="467">
        <v>0.23800000000000002</v>
      </c>
      <c r="E68" s="467">
        <v>0.30510154525386313</v>
      </c>
      <c r="F68" s="467">
        <v>0.33599999999999997</v>
      </c>
      <c r="G68" s="467">
        <v>0.25319658119658117</v>
      </c>
      <c r="H68" s="467">
        <v>0.22400000000000003</v>
      </c>
      <c r="I68" s="467">
        <v>0.31111111111111112</v>
      </c>
      <c r="J68" s="467">
        <v>0.31200000000000006</v>
      </c>
      <c r="K68" s="468">
        <v>0.33746840958605667</v>
      </c>
      <c r="L68" s="487" t="s">
        <v>1094</v>
      </c>
      <c r="M68" s="488" t="s">
        <v>1305</v>
      </c>
      <c r="N68" s="503">
        <v>1.0409384708681515</v>
      </c>
    </row>
    <row r="69" spans="2:27" x14ac:dyDescent="0.3">
      <c r="B69" s="469">
        <v>3780</v>
      </c>
      <c r="C69" s="500">
        <v>1.8</v>
      </c>
      <c r="D69" s="470">
        <v>0.18200000000000002</v>
      </c>
      <c r="E69" s="470">
        <v>0.26045253863134654</v>
      </c>
      <c r="F69" s="470">
        <v>0.3</v>
      </c>
      <c r="G69" s="470">
        <v>0.23511111111111108</v>
      </c>
      <c r="H69" s="470">
        <v>0.22400000000000003</v>
      </c>
      <c r="I69" s="470">
        <v>0.28888888888888886</v>
      </c>
      <c r="J69" s="470">
        <v>0.28799999999999998</v>
      </c>
      <c r="K69" s="471">
        <v>0.28808278867102399</v>
      </c>
      <c r="L69" s="490" t="s">
        <v>1075</v>
      </c>
      <c r="M69" s="1413" t="s">
        <v>1326</v>
      </c>
      <c r="N69" s="504">
        <v>0.97625430893937937</v>
      </c>
    </row>
    <row r="70" spans="2:27" ht="13" thickBot="1" x14ac:dyDescent="0.35">
      <c r="B70" s="484">
        <v>4200</v>
      </c>
      <c r="C70" s="506">
        <v>2</v>
      </c>
      <c r="D70" s="485">
        <v>0.16799999999999998</v>
      </c>
      <c r="E70" s="485">
        <v>0.23812803532008828</v>
      </c>
      <c r="F70" s="485">
        <v>0.26400000000000001</v>
      </c>
      <c r="G70" s="485">
        <v>0.21702564102564098</v>
      </c>
      <c r="H70" s="485">
        <v>0.20799999999999999</v>
      </c>
      <c r="I70" s="485">
        <v>0.26666666666666666</v>
      </c>
      <c r="J70" s="485">
        <v>0.26400000000000001</v>
      </c>
      <c r="K70" s="486">
        <v>0.23869716775599129</v>
      </c>
      <c r="L70" s="492" t="s">
        <v>1085</v>
      </c>
      <c r="M70" s="493" t="s">
        <v>1325</v>
      </c>
      <c r="N70" s="505">
        <v>1</v>
      </c>
    </row>
  </sheetData>
  <sheetProtection algorithmName="SHA-512" hashValue="KwFS85HdB7ZHXUJSJ3QZRzUgYB2+ZCxpyP1AMkK/EX6vYOrACdFXrT3//sRGNPEaSaNS+WDgKcFqFSKTv2ZMJg==" saltValue="zuPQdGlmtHwBppXaTnL22A==" spinCount="100000" sheet="1" objects="1" scenarios="1" autoFilter="0"/>
  <mergeCells count="5">
    <mergeCell ref="M1:N1"/>
    <mergeCell ref="P1:Q1"/>
    <mergeCell ref="M18:N18"/>
    <mergeCell ref="M38:N38"/>
    <mergeCell ref="M55:N55"/>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9"/>
  <dimension ref="A1:AF70"/>
  <sheetViews>
    <sheetView topLeftCell="B22" workbookViewId="0">
      <selection activeCell="K75" sqref="K75"/>
    </sheetView>
  </sheetViews>
  <sheetFormatPr defaultColWidth="8" defaultRowHeight="12.5" x14ac:dyDescent="0.3"/>
  <cols>
    <col min="1" max="1" width="26.58203125" style="460" customWidth="1"/>
    <col min="2" max="2" width="9" style="460" customWidth="1"/>
    <col min="3" max="3" width="8.08203125" style="460" customWidth="1"/>
    <col min="4" max="11" width="8.83203125" style="460" customWidth="1"/>
    <col min="12" max="12" width="8" style="460"/>
    <col min="13" max="13" width="55.5" style="461" customWidth="1"/>
    <col min="14" max="15" width="8" style="461"/>
    <col min="16" max="16" width="47.58203125" style="461" customWidth="1"/>
    <col min="17" max="18" width="11.08203125" style="461" customWidth="1"/>
    <col min="19" max="19" width="8" style="461"/>
    <col min="20" max="20" width="14.58203125" style="461" customWidth="1"/>
    <col min="21" max="21" width="15.83203125" style="461" customWidth="1"/>
    <col min="22" max="25" width="8" style="461"/>
    <col min="26" max="26" width="14.58203125" style="461" customWidth="1"/>
    <col min="27" max="27" width="15.83203125" style="461" customWidth="1"/>
    <col min="28" max="32" width="8" style="461"/>
    <col min="33" max="16384" width="8" style="460"/>
  </cols>
  <sheetData>
    <row r="1" spans="1:21" x14ac:dyDescent="0.25">
      <c r="A1" s="458" t="s">
        <v>1114</v>
      </c>
      <c r="B1" s="459" t="s">
        <v>1294</v>
      </c>
      <c r="M1" s="1585" t="s">
        <v>1321</v>
      </c>
      <c r="N1" s="1585"/>
      <c r="P1" s="1586" t="s">
        <v>1296</v>
      </c>
      <c r="Q1" s="1586"/>
      <c r="S1" s="168"/>
      <c r="T1" s="168"/>
      <c r="U1" s="168"/>
    </row>
    <row r="2" spans="1:21" ht="52" x14ac:dyDescent="0.25">
      <c r="B2" s="462" t="s">
        <v>1297</v>
      </c>
      <c r="C2" s="463" t="s">
        <v>1298</v>
      </c>
      <c r="D2" s="464" t="s">
        <v>1230</v>
      </c>
      <c r="E2" s="464" t="s">
        <v>1231</v>
      </c>
      <c r="F2" s="464" t="s">
        <v>1232</v>
      </c>
      <c r="G2" s="464" t="s">
        <v>1233</v>
      </c>
      <c r="H2" s="464" t="s">
        <v>1234</v>
      </c>
      <c r="I2" s="464" t="s">
        <v>1235</v>
      </c>
      <c r="J2" s="464" t="s">
        <v>1236</v>
      </c>
      <c r="K2" s="465" t="s">
        <v>1237</v>
      </c>
      <c r="S2" s="168"/>
      <c r="T2" s="168"/>
      <c r="U2" s="168"/>
    </row>
    <row r="3" spans="1:21" x14ac:dyDescent="0.25">
      <c r="B3" s="466">
        <v>0</v>
      </c>
      <c r="C3" s="467">
        <v>0</v>
      </c>
      <c r="D3" s="467">
        <v>0.61499999999999999</v>
      </c>
      <c r="E3" s="467">
        <v>0.79025000000000001</v>
      </c>
      <c r="F3" s="467">
        <v>0.83299999999999996</v>
      </c>
      <c r="G3" s="467">
        <v>0.67199999999999993</v>
      </c>
      <c r="H3" s="467">
        <v>0.47599999999999998</v>
      </c>
      <c r="I3" s="467">
        <v>1.04</v>
      </c>
      <c r="J3" s="467">
        <v>1.6900000000000002</v>
      </c>
      <c r="K3" s="468">
        <v>1.1890000000000001</v>
      </c>
      <c r="S3" s="168"/>
      <c r="T3" s="168"/>
      <c r="U3" s="168"/>
    </row>
    <row r="4" spans="1:21" ht="13" x14ac:dyDescent="0.25">
      <c r="B4" s="469">
        <v>105</v>
      </c>
      <c r="C4" s="470">
        <v>0.05</v>
      </c>
      <c r="D4" s="470">
        <v>0.51749999999999996</v>
      </c>
      <c r="E4" s="470">
        <v>0.69599999999999995</v>
      </c>
      <c r="F4" s="470">
        <v>0.74900000000000011</v>
      </c>
      <c r="G4" s="470">
        <v>0.59499999999999986</v>
      </c>
      <c r="H4" s="470">
        <v>0.39899999999999997</v>
      </c>
      <c r="I4" s="470">
        <v>0.92</v>
      </c>
      <c r="J4" s="470">
        <v>1.5470000000000002</v>
      </c>
      <c r="K4" s="471">
        <v>1.0660000000000003</v>
      </c>
      <c r="M4" s="472" t="s">
        <v>1299</v>
      </c>
      <c r="N4" s="465" t="s">
        <v>1300</v>
      </c>
      <c r="P4" s="472" t="s">
        <v>1301</v>
      </c>
      <c r="Q4" s="465" t="s">
        <v>1302</v>
      </c>
      <c r="S4" s="168"/>
      <c r="T4" s="168"/>
      <c r="U4" s="168"/>
    </row>
    <row r="5" spans="1:21" x14ac:dyDescent="0.25">
      <c r="B5" s="466">
        <v>210</v>
      </c>
      <c r="C5" s="467">
        <v>0.1</v>
      </c>
      <c r="D5" s="467">
        <v>0.47249999999999998</v>
      </c>
      <c r="E5" s="467">
        <v>0.6379999999999999</v>
      </c>
      <c r="F5" s="467">
        <v>0.70700000000000007</v>
      </c>
      <c r="G5" s="467">
        <v>0.55300000000000005</v>
      </c>
      <c r="H5" s="467">
        <v>0.37799999999999995</v>
      </c>
      <c r="I5" s="467">
        <v>0.86</v>
      </c>
      <c r="J5" s="467">
        <v>1.4430000000000003</v>
      </c>
      <c r="K5" s="468">
        <v>0.96350000000000013</v>
      </c>
      <c r="M5" s="473" t="s">
        <v>1303</v>
      </c>
      <c r="N5" s="474">
        <v>0.45</v>
      </c>
      <c r="P5" s="473" t="s">
        <v>1304</v>
      </c>
      <c r="Q5" s="475">
        <v>4.8448242936761449E-2</v>
      </c>
      <c r="S5" s="168"/>
      <c r="T5" s="168"/>
      <c r="U5" s="168"/>
    </row>
    <row r="6" spans="1:21" x14ac:dyDescent="0.25">
      <c r="B6" s="469">
        <v>420</v>
      </c>
      <c r="C6" s="470">
        <v>0.2</v>
      </c>
      <c r="D6" s="470">
        <v>0.38250000000000001</v>
      </c>
      <c r="E6" s="470">
        <v>0.55099999999999993</v>
      </c>
      <c r="F6" s="470">
        <v>0.623</v>
      </c>
      <c r="G6" s="470">
        <v>0.48999999999999994</v>
      </c>
      <c r="H6" s="470">
        <v>0.33599999999999997</v>
      </c>
      <c r="I6" s="470">
        <v>0.76</v>
      </c>
      <c r="J6" s="470">
        <v>1.2870000000000001</v>
      </c>
      <c r="K6" s="471">
        <v>0.85075000000000012</v>
      </c>
      <c r="M6" s="476" t="s">
        <v>1305</v>
      </c>
      <c r="N6" s="477">
        <v>1.2</v>
      </c>
      <c r="P6" s="476" t="s">
        <v>1306</v>
      </c>
      <c r="Q6" s="478">
        <v>5.3754585621250045E-2</v>
      </c>
      <c r="S6" s="168"/>
      <c r="T6" s="168"/>
      <c r="U6" s="168"/>
    </row>
    <row r="7" spans="1:21" x14ac:dyDescent="0.25">
      <c r="B7" s="466">
        <v>840</v>
      </c>
      <c r="C7" s="467">
        <v>0.4</v>
      </c>
      <c r="D7" s="467">
        <v>0.29250000000000004</v>
      </c>
      <c r="E7" s="467">
        <v>0.42049999999999993</v>
      </c>
      <c r="F7" s="467">
        <v>0.49699999999999994</v>
      </c>
      <c r="G7" s="467">
        <v>0.39899999999999997</v>
      </c>
      <c r="H7" s="467">
        <v>0.26600000000000001</v>
      </c>
      <c r="I7" s="467">
        <v>0.62</v>
      </c>
      <c r="J7" s="467">
        <v>1.0530000000000002</v>
      </c>
      <c r="K7" s="468">
        <v>0.63550000000000006</v>
      </c>
      <c r="L7" s="460" t="s">
        <v>1094</v>
      </c>
      <c r="M7" s="473" t="s">
        <v>1307</v>
      </c>
      <c r="N7" s="479">
        <v>1.2028456629955802</v>
      </c>
      <c r="P7" s="473" t="s">
        <v>1308</v>
      </c>
      <c r="Q7" s="475">
        <v>5.6875963670949214E-2</v>
      </c>
      <c r="S7" s="168"/>
      <c r="T7" s="168"/>
      <c r="U7" s="168"/>
    </row>
    <row r="8" spans="1:21" x14ac:dyDescent="0.25">
      <c r="B8" s="469">
        <v>1260</v>
      </c>
      <c r="C8" s="470">
        <v>0.6</v>
      </c>
      <c r="D8" s="470">
        <v>0.26250000000000001</v>
      </c>
      <c r="E8" s="470">
        <v>0.33349999999999996</v>
      </c>
      <c r="F8" s="470">
        <v>0.40599999999999997</v>
      </c>
      <c r="G8" s="470">
        <v>0.32899999999999996</v>
      </c>
      <c r="H8" s="470">
        <v>0.23099999999999998</v>
      </c>
      <c r="I8" s="470">
        <v>0.51</v>
      </c>
      <c r="J8" s="470">
        <v>0.84500000000000008</v>
      </c>
      <c r="K8" s="471">
        <v>0.49199999999999999</v>
      </c>
      <c r="L8" s="460" t="s">
        <v>1085</v>
      </c>
      <c r="M8" s="476" t="s">
        <v>1309</v>
      </c>
      <c r="N8" s="480">
        <v>1</v>
      </c>
      <c r="P8" s="481" t="s">
        <v>1310</v>
      </c>
      <c r="Q8" s="482">
        <v>5.8712068406066367E-2</v>
      </c>
      <c r="S8" s="168"/>
      <c r="T8" s="168"/>
      <c r="U8" s="168"/>
    </row>
    <row r="9" spans="1:21" x14ac:dyDescent="0.25">
      <c r="B9" s="466">
        <v>1680</v>
      </c>
      <c r="C9" s="467">
        <v>0.8</v>
      </c>
      <c r="D9" s="467">
        <v>0.22500000000000001</v>
      </c>
      <c r="E9" s="467">
        <v>0.26824999999999999</v>
      </c>
      <c r="F9" s="467">
        <v>0.35</v>
      </c>
      <c r="G9" s="467">
        <v>0.27999999999999997</v>
      </c>
      <c r="H9" s="467">
        <v>0.19600000000000001</v>
      </c>
      <c r="I9" s="467">
        <v>0.43</v>
      </c>
      <c r="J9" s="467">
        <v>0.67600000000000016</v>
      </c>
      <c r="K9" s="468">
        <v>0.41000000000000003</v>
      </c>
      <c r="L9" s="460" t="s">
        <v>1075</v>
      </c>
      <c r="M9" s="473" t="s">
        <v>1311</v>
      </c>
      <c r="N9" s="479">
        <v>0.88219252577636464</v>
      </c>
      <c r="S9" s="168"/>
      <c r="T9" s="168"/>
      <c r="U9" s="168"/>
    </row>
    <row r="10" spans="1:21" x14ac:dyDescent="0.25">
      <c r="B10" s="469">
        <v>2100</v>
      </c>
      <c r="C10" s="470">
        <v>1</v>
      </c>
      <c r="D10" s="470">
        <v>0.19500000000000001</v>
      </c>
      <c r="E10" s="470">
        <v>0.22474999999999998</v>
      </c>
      <c r="F10" s="470">
        <v>0.29399999999999998</v>
      </c>
      <c r="G10" s="470">
        <v>0.23799999999999999</v>
      </c>
      <c r="H10" s="470">
        <v>0.17499999999999999</v>
      </c>
      <c r="I10" s="470">
        <v>0.37</v>
      </c>
      <c r="J10" s="470">
        <v>0.59800000000000009</v>
      </c>
      <c r="K10" s="471">
        <v>0.31775000000000003</v>
      </c>
      <c r="M10" s="481" t="s">
        <v>1312</v>
      </c>
      <c r="N10" s="483">
        <v>0.65</v>
      </c>
      <c r="S10" s="168"/>
      <c r="T10" s="168"/>
      <c r="U10" s="168"/>
    </row>
    <row r="11" spans="1:21" x14ac:dyDescent="0.25">
      <c r="B11" s="466">
        <v>2520</v>
      </c>
      <c r="C11" s="467">
        <v>1.2</v>
      </c>
      <c r="D11" s="467">
        <v>0.18</v>
      </c>
      <c r="E11" s="467">
        <v>0.1885</v>
      </c>
      <c r="F11" s="467">
        <v>0.25199999999999995</v>
      </c>
      <c r="G11" s="467">
        <v>0.20999999999999996</v>
      </c>
      <c r="H11" s="467">
        <v>0.15399999999999997</v>
      </c>
      <c r="I11" s="467">
        <v>0.33</v>
      </c>
      <c r="J11" s="467">
        <v>0.52000000000000013</v>
      </c>
      <c r="K11" s="468">
        <v>0.27675000000000005</v>
      </c>
      <c r="M11" s="461" t="s">
        <v>1313</v>
      </c>
      <c r="S11" s="168"/>
      <c r="T11" s="168"/>
      <c r="U11" s="168"/>
    </row>
    <row r="12" spans="1:21" x14ac:dyDescent="0.25">
      <c r="B12" s="469">
        <v>2940</v>
      </c>
      <c r="C12" s="470">
        <v>1.4</v>
      </c>
      <c r="D12" s="470">
        <v>0.1575</v>
      </c>
      <c r="E12" s="470">
        <v>0.16674999999999998</v>
      </c>
      <c r="F12" s="470">
        <v>0.22400000000000003</v>
      </c>
      <c r="G12" s="470">
        <v>0.18900000000000003</v>
      </c>
      <c r="H12" s="470">
        <v>0.13999999999999999</v>
      </c>
      <c r="I12" s="470">
        <v>0.28999999999999998</v>
      </c>
      <c r="J12" s="470">
        <v>0.44200000000000006</v>
      </c>
      <c r="K12" s="471">
        <v>0.246</v>
      </c>
      <c r="S12" s="168"/>
      <c r="T12" s="168"/>
      <c r="U12" s="168"/>
    </row>
    <row r="13" spans="1:21" x14ac:dyDescent="0.3">
      <c r="B13" s="466">
        <v>3360</v>
      </c>
      <c r="C13" s="467">
        <v>1.6</v>
      </c>
      <c r="D13" s="467">
        <v>0.15000000000000002</v>
      </c>
      <c r="E13" s="467">
        <v>0.15949999999999998</v>
      </c>
      <c r="F13" s="467">
        <v>0.20299999999999999</v>
      </c>
      <c r="G13" s="467">
        <v>0.16099999999999998</v>
      </c>
      <c r="H13" s="467">
        <v>0.12599999999999997</v>
      </c>
      <c r="I13" s="467">
        <v>0.27</v>
      </c>
      <c r="J13" s="467">
        <v>0.39</v>
      </c>
      <c r="K13" s="468">
        <v>0.21525000000000002</v>
      </c>
      <c r="M13" s="481" t="s">
        <v>1312</v>
      </c>
      <c r="N13" s="483">
        <v>0.47577236180248345</v>
      </c>
    </row>
    <row r="14" spans="1:21" ht="13" thickBot="1" x14ac:dyDescent="0.35">
      <c r="B14" s="469">
        <v>3780</v>
      </c>
      <c r="C14" s="470">
        <v>1.8</v>
      </c>
      <c r="D14" s="470">
        <v>0.13500000000000001</v>
      </c>
      <c r="E14" s="470">
        <v>0.14500000000000002</v>
      </c>
      <c r="F14" s="470">
        <v>0.17499999999999999</v>
      </c>
      <c r="G14" s="470">
        <v>0.14699999999999999</v>
      </c>
      <c r="H14" s="470">
        <v>0.11899999999999999</v>
      </c>
      <c r="I14" s="470">
        <v>0.23</v>
      </c>
      <c r="J14" s="470">
        <v>0.35100000000000003</v>
      </c>
      <c r="K14" s="471">
        <v>0.20500000000000002</v>
      </c>
      <c r="M14" s="461" t="s">
        <v>1314</v>
      </c>
    </row>
    <row r="15" spans="1:21" x14ac:dyDescent="0.3">
      <c r="B15" s="484">
        <v>4200</v>
      </c>
      <c r="C15" s="485">
        <v>2</v>
      </c>
      <c r="D15" s="485">
        <v>0.1275</v>
      </c>
      <c r="E15" s="485">
        <v>0.12325000000000001</v>
      </c>
      <c r="F15" s="485">
        <v>0.16800000000000001</v>
      </c>
      <c r="G15" s="485">
        <v>0.14699999999999999</v>
      </c>
      <c r="H15" s="485">
        <v>0.11199999999999999</v>
      </c>
      <c r="I15" s="485">
        <v>0.21</v>
      </c>
      <c r="J15" s="485">
        <v>0.32500000000000001</v>
      </c>
      <c r="K15" s="486">
        <v>0.19475000000000003</v>
      </c>
      <c r="L15" s="487" t="s">
        <v>1094</v>
      </c>
      <c r="M15" s="488" t="s">
        <v>1307</v>
      </c>
      <c r="N15" s="503">
        <v>1.2028456629955802</v>
      </c>
    </row>
    <row r="16" spans="1:21" x14ac:dyDescent="0.3">
      <c r="L16" s="490" t="s">
        <v>1075</v>
      </c>
      <c r="M16" s="1413" t="s">
        <v>1311</v>
      </c>
      <c r="N16" s="504">
        <v>0.88219252577636464</v>
      </c>
    </row>
    <row r="17" spans="1:27" ht="13" thickBot="1" x14ac:dyDescent="0.35">
      <c r="L17" s="492" t="s">
        <v>1085</v>
      </c>
      <c r="M17" s="493" t="s">
        <v>1309</v>
      </c>
      <c r="N17" s="505">
        <v>1</v>
      </c>
    </row>
    <row r="18" spans="1:27" x14ac:dyDescent="0.3">
      <c r="A18" s="511" t="s">
        <v>1251</v>
      </c>
      <c r="B18" s="459" t="s">
        <v>1320</v>
      </c>
      <c r="M18" s="1585" t="s">
        <v>1321</v>
      </c>
      <c r="N18" s="1585"/>
      <c r="P18" s="461" t="s">
        <v>1322</v>
      </c>
    </row>
    <row r="20" spans="1:27" ht="52" x14ac:dyDescent="0.25">
      <c r="B20" s="462" t="s">
        <v>1297</v>
      </c>
      <c r="C20" s="463" t="s">
        <v>1298</v>
      </c>
      <c r="D20" s="464" t="s">
        <v>1230</v>
      </c>
      <c r="E20" s="464" t="s">
        <v>1231</v>
      </c>
      <c r="F20" s="464" t="s">
        <v>1232</v>
      </c>
      <c r="G20" s="464" t="s">
        <v>1233</v>
      </c>
      <c r="H20" s="464" t="s">
        <v>1234</v>
      </c>
      <c r="I20" s="464" t="s">
        <v>1235</v>
      </c>
      <c r="J20" s="464" t="s">
        <v>1236</v>
      </c>
      <c r="K20" s="465" t="s">
        <v>1237</v>
      </c>
      <c r="Y20" s="168"/>
      <c r="Z20" s="168"/>
      <c r="AA20" s="168"/>
    </row>
    <row r="21" spans="1:27" ht="13" x14ac:dyDescent="0.25">
      <c r="B21" s="466">
        <v>0</v>
      </c>
      <c r="C21" s="467">
        <v>0</v>
      </c>
      <c r="D21" s="467">
        <v>1.6079999999999999</v>
      </c>
      <c r="E21" s="467">
        <v>1.554</v>
      </c>
      <c r="F21" s="467">
        <v>1.0010000000000001</v>
      </c>
      <c r="G21" s="467">
        <v>0.4875000000000001</v>
      </c>
      <c r="H21" s="467">
        <v>0.44400000000000001</v>
      </c>
      <c r="I21" s="467">
        <v>0.46800000000000008</v>
      </c>
      <c r="J21" s="467">
        <v>1.02</v>
      </c>
      <c r="K21" s="468">
        <v>1.58</v>
      </c>
      <c r="M21" s="472" t="s">
        <v>1299</v>
      </c>
      <c r="N21" s="465" t="s">
        <v>1300</v>
      </c>
      <c r="P21" s="1414" t="s">
        <v>1230</v>
      </c>
      <c r="Q21" s="1414" t="s">
        <v>1231</v>
      </c>
      <c r="R21" s="1414" t="s">
        <v>1232</v>
      </c>
      <c r="S21" s="1414" t="s">
        <v>1233</v>
      </c>
      <c r="T21" s="1414" t="s">
        <v>1234</v>
      </c>
      <c r="U21" s="1414" t="s">
        <v>1235</v>
      </c>
      <c r="V21" s="1414" t="s">
        <v>1236</v>
      </c>
      <c r="W21" s="1414" t="s">
        <v>1237</v>
      </c>
      <c r="Y21" s="168"/>
      <c r="Z21" s="168"/>
      <c r="AA21" s="168"/>
    </row>
    <row r="22" spans="1:27" x14ac:dyDescent="0.25">
      <c r="B22" s="469">
        <v>105</v>
      </c>
      <c r="C22" s="470">
        <v>0.05</v>
      </c>
      <c r="D22" s="470">
        <v>1.56</v>
      </c>
      <c r="E22" s="470">
        <v>1.4910000000000001</v>
      </c>
      <c r="F22" s="470">
        <v>0.91</v>
      </c>
      <c r="G22" s="470">
        <v>0.41250000000000009</v>
      </c>
      <c r="H22" s="470">
        <v>0.372</v>
      </c>
      <c r="I22" s="470">
        <v>0.39600000000000007</v>
      </c>
      <c r="J22" s="470">
        <v>0.93600000000000005</v>
      </c>
      <c r="K22" s="471">
        <v>1.51</v>
      </c>
      <c r="M22" s="473" t="s">
        <v>1303</v>
      </c>
      <c r="N22" s="474">
        <v>0.6</v>
      </c>
      <c r="P22" s="1415">
        <v>1.2</v>
      </c>
      <c r="Q22" s="1415">
        <v>1</v>
      </c>
      <c r="R22" s="1415">
        <v>0.8</v>
      </c>
      <c r="S22" s="1415">
        <v>0.75</v>
      </c>
      <c r="T22" s="1415">
        <v>0.7</v>
      </c>
      <c r="U22" s="1415">
        <v>0.75</v>
      </c>
      <c r="V22" s="1415">
        <v>0.8</v>
      </c>
      <c r="W22" s="1415">
        <v>1</v>
      </c>
      <c r="Y22" s="168"/>
      <c r="Z22" s="168"/>
      <c r="AA22" s="168"/>
    </row>
    <row r="23" spans="1:27" x14ac:dyDescent="0.25">
      <c r="B23" s="466">
        <v>210</v>
      </c>
      <c r="C23" s="467">
        <v>0.1</v>
      </c>
      <c r="D23" s="467">
        <v>1.56</v>
      </c>
      <c r="E23" s="467">
        <v>1.4280000000000002</v>
      </c>
      <c r="F23" s="467">
        <v>0.85800000000000021</v>
      </c>
      <c r="G23" s="467">
        <v>0.38750000000000007</v>
      </c>
      <c r="H23" s="467">
        <v>0.36</v>
      </c>
      <c r="I23" s="467">
        <v>0.38400000000000006</v>
      </c>
      <c r="J23" s="467">
        <v>0.9</v>
      </c>
      <c r="K23" s="468">
        <v>1.47</v>
      </c>
      <c r="M23" s="476" t="s">
        <v>1305</v>
      </c>
      <c r="N23" s="477">
        <v>1.3</v>
      </c>
      <c r="O23" s="461" t="s">
        <v>1324</v>
      </c>
      <c r="P23" s="512">
        <v>1.44</v>
      </c>
      <c r="Q23" s="512">
        <v>1.2</v>
      </c>
      <c r="R23" s="512">
        <v>0.96</v>
      </c>
      <c r="S23" s="512">
        <v>0.89999999999999991</v>
      </c>
      <c r="T23" s="512">
        <v>0.84</v>
      </c>
      <c r="U23" s="512">
        <v>0.89999999999999991</v>
      </c>
      <c r="V23" s="512">
        <v>0.96</v>
      </c>
      <c r="W23" s="512">
        <v>1.2</v>
      </c>
      <c r="Y23" s="168"/>
      <c r="Z23" s="168"/>
      <c r="AA23" s="168"/>
    </row>
    <row r="24" spans="1:27" x14ac:dyDescent="0.25">
      <c r="B24" s="469">
        <v>420</v>
      </c>
      <c r="C24" s="470">
        <v>0.2</v>
      </c>
      <c r="D24" s="470">
        <v>1.304</v>
      </c>
      <c r="E24" s="470">
        <v>1.2705</v>
      </c>
      <c r="F24" s="470">
        <v>0.76700000000000002</v>
      </c>
      <c r="G24" s="470">
        <v>0.35000000000000009</v>
      </c>
      <c r="H24" s="470">
        <v>0.32400000000000007</v>
      </c>
      <c r="I24" s="470">
        <v>0.33600000000000008</v>
      </c>
      <c r="J24" s="470">
        <v>0.80400000000000005</v>
      </c>
      <c r="K24" s="471">
        <v>1.32</v>
      </c>
      <c r="M24" s="473" t="s">
        <v>1325</v>
      </c>
      <c r="N24" s="474">
        <v>1.2</v>
      </c>
      <c r="Y24" s="168"/>
      <c r="Z24" s="168"/>
      <c r="AA24" s="168"/>
    </row>
    <row r="25" spans="1:27" x14ac:dyDescent="0.25">
      <c r="B25" s="466">
        <v>840</v>
      </c>
      <c r="C25" s="467">
        <v>0.4</v>
      </c>
      <c r="D25" s="467">
        <v>1.1919999999999999</v>
      </c>
      <c r="E25" s="467">
        <v>1.05</v>
      </c>
      <c r="F25" s="467">
        <v>0.63700000000000001</v>
      </c>
      <c r="G25" s="467">
        <v>0.30000000000000004</v>
      </c>
      <c r="H25" s="467">
        <v>0.27599999999999997</v>
      </c>
      <c r="I25" s="467">
        <v>0.28800000000000003</v>
      </c>
      <c r="J25" s="467">
        <v>0.66</v>
      </c>
      <c r="K25" s="468">
        <v>1.1000000000000001</v>
      </c>
      <c r="M25" s="476" t="s">
        <v>1326</v>
      </c>
      <c r="N25" s="477">
        <v>1.2</v>
      </c>
      <c r="P25" s="459" t="s">
        <v>1327</v>
      </c>
      <c r="Y25" s="168"/>
      <c r="Z25" s="168"/>
      <c r="AA25" s="168"/>
    </row>
    <row r="26" spans="1:27" x14ac:dyDescent="0.25">
      <c r="B26" s="469">
        <v>1260</v>
      </c>
      <c r="C26" s="470">
        <v>0.6</v>
      </c>
      <c r="D26" s="470">
        <v>0.96799999999999997</v>
      </c>
      <c r="E26" s="470">
        <v>0.87149999999999994</v>
      </c>
      <c r="F26" s="470">
        <v>0.52000000000000013</v>
      </c>
      <c r="G26" s="470">
        <v>0.26250000000000007</v>
      </c>
      <c r="H26" s="470">
        <v>0.252</v>
      </c>
      <c r="I26" s="470">
        <v>0.25200000000000006</v>
      </c>
      <c r="J26" s="470">
        <v>0.56400000000000006</v>
      </c>
      <c r="K26" s="471">
        <v>0.90000000000000013</v>
      </c>
      <c r="L26" s="460" t="s">
        <v>1094</v>
      </c>
      <c r="M26" s="473" t="s">
        <v>1307</v>
      </c>
      <c r="N26" s="479">
        <v>1.0432004092050886</v>
      </c>
      <c r="Y26" s="168"/>
      <c r="Z26" s="168"/>
      <c r="AA26" s="168"/>
    </row>
    <row r="27" spans="1:27" ht="13" x14ac:dyDescent="0.25">
      <c r="B27" s="466">
        <v>1680</v>
      </c>
      <c r="C27" s="467">
        <v>0.8</v>
      </c>
      <c r="D27" s="467">
        <v>0.78400000000000003</v>
      </c>
      <c r="E27" s="467">
        <v>0.71400000000000008</v>
      </c>
      <c r="F27" s="467">
        <v>0.45500000000000002</v>
      </c>
      <c r="G27" s="467">
        <v>0.23750000000000004</v>
      </c>
      <c r="H27" s="467">
        <v>0.22799999999999998</v>
      </c>
      <c r="I27" s="467">
        <v>0.22800000000000004</v>
      </c>
      <c r="J27" s="467">
        <v>0.504</v>
      </c>
      <c r="K27" s="468">
        <v>0.73</v>
      </c>
      <c r="L27" s="460" t="s">
        <v>1085</v>
      </c>
      <c r="M27" s="476" t="s">
        <v>1309</v>
      </c>
      <c r="N27" s="480">
        <v>1</v>
      </c>
      <c r="P27" s="513" t="s">
        <v>1336</v>
      </c>
      <c r="Y27" s="168"/>
      <c r="Z27" s="168"/>
      <c r="AA27" s="168"/>
    </row>
    <row r="28" spans="1:27" x14ac:dyDescent="0.25">
      <c r="B28" s="469">
        <v>2100</v>
      </c>
      <c r="C28" s="470">
        <v>1</v>
      </c>
      <c r="D28" s="470">
        <v>0.64000000000000012</v>
      </c>
      <c r="E28" s="470">
        <v>0.54600000000000004</v>
      </c>
      <c r="F28" s="470">
        <v>0.36400000000000005</v>
      </c>
      <c r="G28" s="470">
        <v>0.21250000000000005</v>
      </c>
      <c r="H28" s="470">
        <v>0.216</v>
      </c>
      <c r="I28" s="470">
        <v>0.20400000000000004</v>
      </c>
      <c r="J28" s="470">
        <v>0.432</v>
      </c>
      <c r="K28" s="471">
        <v>0.63</v>
      </c>
      <c r="L28" s="460" t="s">
        <v>1075</v>
      </c>
      <c r="M28" s="473" t="s">
        <v>1311</v>
      </c>
      <c r="N28" s="479">
        <v>0.97470132464735315</v>
      </c>
      <c r="P28" s="514">
        <v>8.888073159950423</v>
      </c>
      <c r="Y28" s="168"/>
      <c r="Z28" s="168"/>
      <c r="AA28" s="168"/>
    </row>
    <row r="29" spans="1:27" x14ac:dyDescent="0.25">
      <c r="B29" s="466">
        <v>2520</v>
      </c>
      <c r="C29" s="467">
        <v>1.2</v>
      </c>
      <c r="D29" s="467">
        <v>0.43200000000000005</v>
      </c>
      <c r="E29" s="467">
        <v>0.48299999999999998</v>
      </c>
      <c r="F29" s="467">
        <v>0.32500000000000001</v>
      </c>
      <c r="G29" s="467">
        <v>0.20000000000000004</v>
      </c>
      <c r="H29" s="467">
        <v>0.20400000000000001</v>
      </c>
      <c r="I29" s="467">
        <v>0.19200000000000003</v>
      </c>
      <c r="J29" s="467">
        <v>0.34800000000000003</v>
      </c>
      <c r="K29" s="468">
        <v>0.49999999999999994</v>
      </c>
      <c r="M29" s="481" t="s">
        <v>1329</v>
      </c>
      <c r="N29" s="483">
        <v>1.05</v>
      </c>
      <c r="Y29" s="168"/>
      <c r="Z29" s="168"/>
      <c r="AA29" s="168"/>
    </row>
    <row r="30" spans="1:27" x14ac:dyDescent="0.3">
      <c r="B30" s="469">
        <v>2940</v>
      </c>
      <c r="C30" s="470">
        <v>1.4</v>
      </c>
      <c r="D30" s="470">
        <v>0.32000000000000006</v>
      </c>
      <c r="E30" s="470">
        <v>0.35700000000000004</v>
      </c>
      <c r="F30" s="470">
        <v>0.27300000000000002</v>
      </c>
      <c r="G30" s="470">
        <v>0.18750000000000003</v>
      </c>
      <c r="H30" s="470">
        <v>0.192</v>
      </c>
      <c r="I30" s="470">
        <v>0.18000000000000002</v>
      </c>
      <c r="J30" s="470">
        <v>0.33600000000000008</v>
      </c>
      <c r="K30" s="471">
        <v>0.43000000000000005</v>
      </c>
      <c r="M30" s="461" t="s">
        <v>1313</v>
      </c>
    </row>
    <row r="31" spans="1:27" x14ac:dyDescent="0.3">
      <c r="B31" s="466">
        <v>3360</v>
      </c>
      <c r="C31" s="467">
        <v>1.6</v>
      </c>
      <c r="D31" s="467">
        <v>0.22400000000000003</v>
      </c>
      <c r="E31" s="467">
        <v>0.315</v>
      </c>
      <c r="F31" s="467">
        <v>0.24700000000000003</v>
      </c>
      <c r="G31" s="467">
        <v>0.17500000000000004</v>
      </c>
      <c r="H31" s="467">
        <v>0.16800000000000001</v>
      </c>
      <c r="I31" s="467">
        <v>0.15600000000000003</v>
      </c>
      <c r="J31" s="467">
        <v>0.27600000000000002</v>
      </c>
      <c r="K31" s="468">
        <v>0.36</v>
      </c>
    </row>
    <row r="32" spans="1:27" x14ac:dyDescent="0.3">
      <c r="B32" s="469">
        <v>3780</v>
      </c>
      <c r="C32" s="470">
        <v>1.8</v>
      </c>
      <c r="D32" s="470">
        <v>0.17600000000000002</v>
      </c>
      <c r="E32" s="470">
        <v>0.26250000000000001</v>
      </c>
      <c r="F32" s="470">
        <v>0.20800000000000002</v>
      </c>
      <c r="G32" s="470">
        <v>0.16250000000000003</v>
      </c>
      <c r="H32" s="470">
        <v>0.16800000000000001</v>
      </c>
      <c r="I32" s="470">
        <v>0.15600000000000003</v>
      </c>
      <c r="J32" s="470">
        <v>0.24000000000000002</v>
      </c>
      <c r="K32" s="471">
        <v>0.32</v>
      </c>
      <c r="M32" s="481" t="s">
        <v>1337</v>
      </c>
      <c r="N32" s="483">
        <v>1.052400750422827</v>
      </c>
    </row>
    <row r="33" spans="1:21" ht="13" thickBot="1" x14ac:dyDescent="0.35">
      <c r="B33" s="484">
        <v>4200</v>
      </c>
      <c r="C33" s="485">
        <v>2</v>
      </c>
      <c r="D33" s="485">
        <v>0.14399999999999999</v>
      </c>
      <c r="E33" s="485">
        <v>0.19949999999999998</v>
      </c>
      <c r="F33" s="485">
        <v>0.19500000000000001</v>
      </c>
      <c r="G33" s="485">
        <v>0.15000000000000002</v>
      </c>
      <c r="H33" s="485">
        <v>0.16800000000000001</v>
      </c>
      <c r="I33" s="485">
        <v>0.14400000000000002</v>
      </c>
      <c r="J33" s="485">
        <v>0.22800000000000001</v>
      </c>
      <c r="K33" s="486">
        <v>0.23999999999999996</v>
      </c>
      <c r="M33" s="461" t="s">
        <v>1330</v>
      </c>
    </row>
    <row r="34" spans="1:21" x14ac:dyDescent="0.3">
      <c r="B34" s="520"/>
      <c r="C34" s="521"/>
      <c r="D34" s="521"/>
      <c r="E34" s="521"/>
      <c r="F34" s="521"/>
      <c r="G34" s="521"/>
      <c r="H34" s="521"/>
      <c r="I34" s="521"/>
      <c r="J34" s="521"/>
      <c r="K34" s="521"/>
      <c r="L34" s="487" t="s">
        <v>1094</v>
      </c>
      <c r="M34" s="488" t="s">
        <v>1307</v>
      </c>
      <c r="N34" s="503">
        <v>1.0432004092050886</v>
      </c>
    </row>
    <row r="35" spans="1:21" x14ac:dyDescent="0.3">
      <c r="B35" s="520"/>
      <c r="C35" s="521"/>
      <c r="D35" s="521"/>
      <c r="E35" s="521"/>
      <c r="F35" s="521"/>
      <c r="G35" s="521"/>
      <c r="H35" s="521"/>
      <c r="I35" s="521"/>
      <c r="J35" s="521"/>
      <c r="K35" s="521"/>
      <c r="L35" s="490" t="s">
        <v>1075</v>
      </c>
      <c r="M35" s="1413" t="s">
        <v>1311</v>
      </c>
      <c r="N35" s="504">
        <v>0.97470132464735315</v>
      </c>
    </row>
    <row r="36" spans="1:21" ht="13" thickBot="1" x14ac:dyDescent="0.35">
      <c r="B36" s="520"/>
      <c r="C36" s="521"/>
      <c r="D36" s="521"/>
      <c r="E36" s="521"/>
      <c r="F36" s="521"/>
      <c r="G36" s="521"/>
      <c r="H36" s="521"/>
      <c r="I36" s="521"/>
      <c r="J36" s="521"/>
      <c r="K36" s="521"/>
      <c r="L36" s="492" t="s">
        <v>1085</v>
      </c>
      <c r="M36" s="493" t="s">
        <v>1309</v>
      </c>
      <c r="N36" s="505">
        <v>1</v>
      </c>
    </row>
    <row r="38" spans="1:21" x14ac:dyDescent="0.25">
      <c r="A38" s="495" t="s">
        <v>1242</v>
      </c>
      <c r="B38" s="459" t="s">
        <v>1315</v>
      </c>
      <c r="M38" s="1585" t="s">
        <v>1338</v>
      </c>
      <c r="N38" s="1585"/>
      <c r="P38" s="459" t="s">
        <v>1317</v>
      </c>
      <c r="S38" s="168"/>
      <c r="T38" s="168"/>
      <c r="U38" s="168"/>
    </row>
    <row r="39" spans="1:21" x14ac:dyDescent="0.25">
      <c r="S39" s="168"/>
      <c r="T39" s="168"/>
      <c r="U39" s="168"/>
    </row>
    <row r="40" spans="1:21" ht="52" x14ac:dyDescent="0.25">
      <c r="B40" s="472" t="s">
        <v>1297</v>
      </c>
      <c r="C40" s="463" t="s">
        <v>1298</v>
      </c>
      <c r="D40" s="497" t="s">
        <v>1230</v>
      </c>
      <c r="E40" s="497" t="s">
        <v>1231</v>
      </c>
      <c r="F40" s="497" t="s">
        <v>1232</v>
      </c>
      <c r="G40" s="497" t="s">
        <v>1233</v>
      </c>
      <c r="H40" s="497" t="s">
        <v>1234</v>
      </c>
      <c r="I40" s="497" t="s">
        <v>1235</v>
      </c>
      <c r="J40" s="497" t="s">
        <v>1236</v>
      </c>
      <c r="K40" s="498" t="s">
        <v>1237</v>
      </c>
      <c r="S40" s="168"/>
      <c r="T40" s="168"/>
      <c r="U40" s="168"/>
    </row>
    <row r="41" spans="1:21" ht="13" x14ac:dyDescent="0.25">
      <c r="B41" s="466">
        <v>0</v>
      </c>
      <c r="C41" s="499">
        <v>0</v>
      </c>
      <c r="D41" s="467">
        <v>0.67239999999999989</v>
      </c>
      <c r="E41" s="467">
        <v>0.92649999999999988</v>
      </c>
      <c r="F41" s="467">
        <v>1.0471999999999999</v>
      </c>
      <c r="G41" s="467">
        <v>0.61440000000000006</v>
      </c>
      <c r="H41" s="467">
        <v>0.27200000000000002</v>
      </c>
      <c r="I41" s="467">
        <v>0.67080000000000006</v>
      </c>
      <c r="J41" s="467">
        <v>1.157</v>
      </c>
      <c r="K41" s="468">
        <v>0.9917999999999999</v>
      </c>
      <c r="M41" s="472" t="s">
        <v>1299</v>
      </c>
      <c r="N41" s="465" t="s">
        <v>1300</v>
      </c>
      <c r="P41" s="472" t="s">
        <v>1301</v>
      </c>
      <c r="Q41" s="465" t="s">
        <v>1302</v>
      </c>
      <c r="S41" s="168"/>
      <c r="T41" s="168"/>
      <c r="U41" s="168"/>
    </row>
    <row r="42" spans="1:21" x14ac:dyDescent="0.25">
      <c r="B42" s="469">
        <v>105</v>
      </c>
      <c r="C42" s="500">
        <v>0.05</v>
      </c>
      <c r="D42" s="470">
        <v>0.56579999999999986</v>
      </c>
      <c r="E42" s="470">
        <v>0.81599999999999984</v>
      </c>
      <c r="F42" s="470">
        <v>0.9416000000000001</v>
      </c>
      <c r="G42" s="470">
        <v>0.54400000000000004</v>
      </c>
      <c r="H42" s="470">
        <v>0.22799999999999998</v>
      </c>
      <c r="I42" s="470">
        <v>0.59340000000000004</v>
      </c>
      <c r="J42" s="470">
        <v>1.0590999999999999</v>
      </c>
      <c r="K42" s="471">
        <v>0.88919999999999999</v>
      </c>
      <c r="M42" s="473" t="s">
        <v>1303</v>
      </c>
      <c r="N42" s="479">
        <v>0.52</v>
      </c>
      <c r="P42" s="473" t="s">
        <v>1304</v>
      </c>
      <c r="Q42" s="475">
        <v>3.3440786209938164E-2</v>
      </c>
      <c r="S42" s="168"/>
      <c r="T42" s="168"/>
      <c r="U42" s="168"/>
    </row>
    <row r="43" spans="1:21" x14ac:dyDescent="0.25">
      <c r="B43" s="466">
        <v>210</v>
      </c>
      <c r="C43" s="499">
        <v>0.1</v>
      </c>
      <c r="D43" s="467">
        <v>0.51659999999999995</v>
      </c>
      <c r="E43" s="467">
        <v>0.74799999999999989</v>
      </c>
      <c r="F43" s="467">
        <v>0.88880000000000003</v>
      </c>
      <c r="G43" s="467">
        <v>0.50560000000000005</v>
      </c>
      <c r="H43" s="467">
        <v>0.216</v>
      </c>
      <c r="I43" s="467">
        <v>0.55469999999999997</v>
      </c>
      <c r="J43" s="467">
        <v>0.98790000000000011</v>
      </c>
      <c r="K43" s="468">
        <v>0.80369999999999997</v>
      </c>
      <c r="M43" s="476" t="s">
        <v>1305</v>
      </c>
      <c r="N43" s="480">
        <v>1.45</v>
      </c>
      <c r="P43" s="476" t="s">
        <v>1306</v>
      </c>
      <c r="Q43" s="478">
        <v>4.2598935627559953E-2</v>
      </c>
      <c r="S43" s="168"/>
      <c r="T43" s="168"/>
      <c r="U43" s="168"/>
    </row>
    <row r="44" spans="1:21" x14ac:dyDescent="0.25">
      <c r="B44" s="469">
        <v>420</v>
      </c>
      <c r="C44" s="500">
        <v>0.2</v>
      </c>
      <c r="D44" s="470">
        <v>0.41819999999999991</v>
      </c>
      <c r="E44" s="470">
        <v>0.6459999999999998</v>
      </c>
      <c r="F44" s="470">
        <v>0.7831999999999999</v>
      </c>
      <c r="G44" s="470">
        <v>0.44800000000000001</v>
      </c>
      <c r="H44" s="470">
        <v>0.192</v>
      </c>
      <c r="I44" s="470">
        <v>0.49020000000000002</v>
      </c>
      <c r="J44" s="470">
        <v>0.88109999999999999</v>
      </c>
      <c r="K44" s="471">
        <v>0.70965</v>
      </c>
      <c r="L44" s="460" t="s">
        <v>1094</v>
      </c>
      <c r="M44" s="473" t="s">
        <v>1307</v>
      </c>
      <c r="N44" s="479">
        <v>1</v>
      </c>
      <c r="P44" s="473" t="s">
        <v>1308</v>
      </c>
      <c r="Q44" s="475">
        <v>4.7686796415127602E-2</v>
      </c>
      <c r="S44" s="168"/>
      <c r="T44" s="168"/>
      <c r="U44" s="168"/>
    </row>
    <row r="45" spans="1:21" x14ac:dyDescent="0.25">
      <c r="B45" s="466">
        <v>840</v>
      </c>
      <c r="C45" s="499">
        <v>0.4</v>
      </c>
      <c r="D45" s="467">
        <v>0.31979999999999997</v>
      </c>
      <c r="E45" s="467">
        <v>0.49299999999999988</v>
      </c>
      <c r="F45" s="467">
        <v>0.62479999999999991</v>
      </c>
      <c r="G45" s="467">
        <v>0.36480000000000001</v>
      </c>
      <c r="H45" s="467">
        <v>0.15200000000000002</v>
      </c>
      <c r="I45" s="467">
        <v>0.39990000000000003</v>
      </c>
      <c r="J45" s="467">
        <v>0.72089999999999999</v>
      </c>
      <c r="K45" s="468">
        <v>0.53010000000000002</v>
      </c>
      <c r="L45" s="460" t="s">
        <v>1085</v>
      </c>
      <c r="M45" s="476" t="s">
        <v>1309</v>
      </c>
      <c r="N45" s="480">
        <v>0.78</v>
      </c>
      <c r="P45" s="481" t="s">
        <v>1310</v>
      </c>
      <c r="Q45" s="482">
        <v>5.0513385741554076E-2</v>
      </c>
      <c r="S45" s="168"/>
      <c r="T45" s="168"/>
      <c r="U45" s="168"/>
    </row>
    <row r="46" spans="1:21" x14ac:dyDescent="0.25">
      <c r="B46" s="469">
        <v>1260</v>
      </c>
      <c r="C46" s="500">
        <v>0.6</v>
      </c>
      <c r="D46" s="470">
        <v>0.28699999999999992</v>
      </c>
      <c r="E46" s="470">
        <v>0.3909999999999999</v>
      </c>
      <c r="F46" s="470">
        <v>0.51039999999999996</v>
      </c>
      <c r="G46" s="470">
        <v>0.30080000000000001</v>
      </c>
      <c r="H46" s="470">
        <v>0.13200000000000001</v>
      </c>
      <c r="I46" s="470">
        <v>0.32895000000000002</v>
      </c>
      <c r="J46" s="470">
        <v>0.57850000000000001</v>
      </c>
      <c r="K46" s="471">
        <v>0.41039999999999993</v>
      </c>
      <c r="L46" s="460" t="s">
        <v>1075</v>
      </c>
      <c r="M46" s="501" t="s">
        <v>1311</v>
      </c>
      <c r="N46" s="502">
        <v>0.73</v>
      </c>
      <c r="S46" s="168"/>
      <c r="T46" s="168"/>
      <c r="U46" s="168"/>
    </row>
    <row r="47" spans="1:21" x14ac:dyDescent="0.25">
      <c r="B47" s="466">
        <v>1680</v>
      </c>
      <c r="C47" s="499">
        <v>0.8</v>
      </c>
      <c r="D47" s="467">
        <v>0.24599999999999994</v>
      </c>
      <c r="E47" s="467">
        <v>0.31449999999999995</v>
      </c>
      <c r="F47" s="467">
        <v>0.43999999999999995</v>
      </c>
      <c r="G47" s="467">
        <v>0.25600000000000006</v>
      </c>
      <c r="H47" s="467">
        <v>0.11200000000000002</v>
      </c>
      <c r="I47" s="467">
        <v>0.27734999999999999</v>
      </c>
      <c r="J47" s="467">
        <v>0.46280000000000004</v>
      </c>
      <c r="K47" s="468">
        <v>0.34199999999999997</v>
      </c>
      <c r="S47" s="168"/>
      <c r="T47" s="168"/>
      <c r="U47" s="168"/>
    </row>
    <row r="48" spans="1:21" ht="13" thickBot="1" x14ac:dyDescent="0.3">
      <c r="B48" s="469">
        <v>2100</v>
      </c>
      <c r="C48" s="500">
        <v>1</v>
      </c>
      <c r="D48" s="470">
        <v>0.21319999999999997</v>
      </c>
      <c r="E48" s="470">
        <v>0.26349999999999996</v>
      </c>
      <c r="F48" s="470">
        <v>0.36959999999999998</v>
      </c>
      <c r="G48" s="470">
        <v>0.21760000000000004</v>
      </c>
      <c r="H48" s="470">
        <v>0.1</v>
      </c>
      <c r="I48" s="470">
        <v>0.23865</v>
      </c>
      <c r="J48" s="470">
        <v>0.40940000000000004</v>
      </c>
      <c r="K48" s="471">
        <v>0.26505000000000001</v>
      </c>
      <c r="M48" s="461" t="s">
        <v>1318</v>
      </c>
      <c r="S48" s="168"/>
      <c r="T48" s="168"/>
      <c r="U48" s="168"/>
    </row>
    <row r="49" spans="1:27" x14ac:dyDescent="0.25">
      <c r="B49" s="466">
        <v>2520</v>
      </c>
      <c r="C49" s="499">
        <v>1.2</v>
      </c>
      <c r="D49" s="467">
        <v>0.19679999999999995</v>
      </c>
      <c r="E49" s="467">
        <v>0.22099999999999995</v>
      </c>
      <c r="F49" s="467">
        <v>0.31679999999999997</v>
      </c>
      <c r="G49" s="467">
        <v>0.192</v>
      </c>
      <c r="H49" s="467">
        <v>8.7999999999999995E-2</v>
      </c>
      <c r="I49" s="467">
        <v>0.21285000000000001</v>
      </c>
      <c r="J49" s="467">
        <v>0.35600000000000004</v>
      </c>
      <c r="K49" s="468">
        <v>0.23085</v>
      </c>
      <c r="L49" s="487" t="s">
        <v>1094</v>
      </c>
      <c r="M49" s="488" t="s">
        <v>1307</v>
      </c>
      <c r="N49" s="503">
        <v>1</v>
      </c>
      <c r="S49" s="168"/>
      <c r="T49" s="168"/>
      <c r="U49" s="168"/>
    </row>
    <row r="50" spans="1:27" x14ac:dyDescent="0.3">
      <c r="B50" s="469">
        <v>2940</v>
      </c>
      <c r="C50" s="500">
        <v>1.4</v>
      </c>
      <c r="D50" s="470">
        <v>0.17219999999999996</v>
      </c>
      <c r="E50" s="470">
        <v>0.19549999999999995</v>
      </c>
      <c r="F50" s="470">
        <v>0.28160000000000002</v>
      </c>
      <c r="G50" s="470">
        <v>0.17280000000000004</v>
      </c>
      <c r="H50" s="470">
        <v>0.08</v>
      </c>
      <c r="I50" s="470">
        <v>0.18704999999999999</v>
      </c>
      <c r="J50" s="470">
        <v>0.30260000000000004</v>
      </c>
      <c r="K50" s="471">
        <v>0.20519999999999997</v>
      </c>
      <c r="L50" s="490" t="s">
        <v>1075</v>
      </c>
      <c r="M50" s="1413" t="s">
        <v>1311</v>
      </c>
      <c r="N50" s="504">
        <v>0.73</v>
      </c>
      <c r="T50" s="524"/>
    </row>
    <row r="51" spans="1:27" ht="13" thickBot="1" x14ac:dyDescent="0.35">
      <c r="B51" s="466">
        <v>3360</v>
      </c>
      <c r="C51" s="499">
        <v>1.6</v>
      </c>
      <c r="D51" s="467">
        <v>0.16399999999999998</v>
      </c>
      <c r="E51" s="467">
        <v>0.18699999999999997</v>
      </c>
      <c r="F51" s="467">
        <v>0.25519999999999998</v>
      </c>
      <c r="G51" s="467">
        <v>0.14720000000000003</v>
      </c>
      <c r="H51" s="467">
        <v>7.1999999999999995E-2</v>
      </c>
      <c r="I51" s="467">
        <v>0.17415000000000003</v>
      </c>
      <c r="J51" s="467">
        <v>0.26700000000000002</v>
      </c>
      <c r="K51" s="468">
        <v>0.17954999999999999</v>
      </c>
      <c r="L51" s="492" t="s">
        <v>1085</v>
      </c>
      <c r="M51" s="493" t="s">
        <v>1309</v>
      </c>
      <c r="N51" s="505">
        <v>0.78</v>
      </c>
    </row>
    <row r="52" spans="1:27" x14ac:dyDescent="0.3">
      <c r="B52" s="469">
        <v>3780</v>
      </c>
      <c r="C52" s="500">
        <v>1.8</v>
      </c>
      <c r="D52" s="470">
        <v>0.14759999999999998</v>
      </c>
      <c r="E52" s="470">
        <v>0.16999999999999998</v>
      </c>
      <c r="F52" s="470">
        <v>0.21999999999999997</v>
      </c>
      <c r="G52" s="470">
        <v>0.13440000000000002</v>
      </c>
      <c r="H52" s="470">
        <v>6.8000000000000005E-2</v>
      </c>
      <c r="I52" s="470">
        <v>0.14835000000000001</v>
      </c>
      <c r="J52" s="470">
        <v>0.24030000000000001</v>
      </c>
      <c r="K52" s="471">
        <v>0.17099999999999999</v>
      </c>
    </row>
    <row r="53" spans="1:27" x14ac:dyDescent="0.3">
      <c r="B53" s="484">
        <v>4200</v>
      </c>
      <c r="C53" s="506">
        <v>2</v>
      </c>
      <c r="D53" s="485">
        <v>0.1394</v>
      </c>
      <c r="E53" s="485">
        <v>0.14449999999999999</v>
      </c>
      <c r="F53" s="485">
        <v>0.2112</v>
      </c>
      <c r="G53" s="485">
        <v>0.13440000000000002</v>
      </c>
      <c r="H53" s="485">
        <v>6.4000000000000001E-2</v>
      </c>
      <c r="I53" s="485">
        <v>0.13544999999999999</v>
      </c>
      <c r="J53" s="485">
        <v>0.22249999999999998</v>
      </c>
      <c r="K53" s="486">
        <v>0.16245000000000001</v>
      </c>
    </row>
    <row r="55" spans="1:27" x14ac:dyDescent="0.3">
      <c r="A55" s="515" t="s">
        <v>1252</v>
      </c>
      <c r="B55" s="459" t="s">
        <v>1320</v>
      </c>
      <c r="M55" s="1585" t="s">
        <v>1339</v>
      </c>
      <c r="N55" s="1585"/>
      <c r="P55" s="461" t="s">
        <v>1322</v>
      </c>
    </row>
    <row r="57" spans="1:27" ht="52" x14ac:dyDescent="0.25">
      <c r="B57" s="462" t="s">
        <v>1297</v>
      </c>
      <c r="C57" s="463" t="s">
        <v>1298</v>
      </c>
      <c r="D57" s="497" t="s">
        <v>1230</v>
      </c>
      <c r="E57" s="497" t="s">
        <v>1231</v>
      </c>
      <c r="F57" s="497" t="s">
        <v>1232</v>
      </c>
      <c r="G57" s="497" t="s">
        <v>1233</v>
      </c>
      <c r="H57" s="497" t="s">
        <v>1234</v>
      </c>
      <c r="I57" s="497" t="s">
        <v>1235</v>
      </c>
      <c r="J57" s="497" t="s">
        <v>1236</v>
      </c>
      <c r="K57" s="498" t="s">
        <v>1237</v>
      </c>
      <c r="Y57" s="168"/>
      <c r="Z57" s="168"/>
      <c r="AA57" s="168"/>
    </row>
    <row r="58" spans="1:27" ht="13" x14ac:dyDescent="0.25">
      <c r="B58" s="466">
        <v>0</v>
      </c>
      <c r="C58" s="499">
        <v>0</v>
      </c>
      <c r="D58" s="467">
        <v>1.6079999999999999</v>
      </c>
      <c r="E58" s="467">
        <v>1.2033333333333334</v>
      </c>
      <c r="F58" s="467">
        <v>1.0010000000000001</v>
      </c>
      <c r="G58" s="467">
        <v>0.65433333333333343</v>
      </c>
      <c r="H58" s="467">
        <v>0.48099999999999998</v>
      </c>
      <c r="I58" s="467">
        <v>0.95366666666666666</v>
      </c>
      <c r="J58" s="467">
        <v>1.19</v>
      </c>
      <c r="K58" s="468">
        <v>1.4686666666666666</v>
      </c>
      <c r="M58" s="472" t="s">
        <v>1299</v>
      </c>
      <c r="N58" s="465" t="s">
        <v>1300</v>
      </c>
      <c r="P58" s="472" t="s">
        <v>1230</v>
      </c>
      <c r="Q58" s="497" t="s">
        <v>1231</v>
      </c>
      <c r="R58" s="497" t="s">
        <v>1232</v>
      </c>
      <c r="S58" s="497" t="s">
        <v>1233</v>
      </c>
      <c r="T58" s="497" t="s">
        <v>1234</v>
      </c>
      <c r="U58" s="497" t="s">
        <v>1235</v>
      </c>
      <c r="V58" s="497" t="s">
        <v>1236</v>
      </c>
      <c r="W58" s="498" t="s">
        <v>1237</v>
      </c>
      <c r="Y58" s="168"/>
      <c r="Z58" s="168"/>
      <c r="AA58" s="168"/>
    </row>
    <row r="59" spans="1:27" x14ac:dyDescent="0.25">
      <c r="B59" s="469">
        <v>105</v>
      </c>
      <c r="C59" s="500">
        <v>0.05</v>
      </c>
      <c r="D59" s="470">
        <v>1.56</v>
      </c>
      <c r="E59" s="470">
        <v>1.1545495495495495</v>
      </c>
      <c r="F59" s="470">
        <v>0.91</v>
      </c>
      <c r="G59" s="470">
        <v>0.55366666666666675</v>
      </c>
      <c r="H59" s="470">
        <v>0.40299999999999997</v>
      </c>
      <c r="I59" s="470">
        <v>0.80694871794871792</v>
      </c>
      <c r="J59" s="470">
        <v>1.0920000000000001</v>
      </c>
      <c r="K59" s="471">
        <v>1.4035991561181433</v>
      </c>
      <c r="M59" s="473" t="s">
        <v>1303</v>
      </c>
      <c r="N59" s="479">
        <v>1</v>
      </c>
      <c r="P59" s="516">
        <v>1.2</v>
      </c>
      <c r="Q59" s="517">
        <v>1</v>
      </c>
      <c r="R59" s="517">
        <v>0.8</v>
      </c>
      <c r="S59" s="517">
        <v>0.8</v>
      </c>
      <c r="T59" s="517">
        <v>0.8</v>
      </c>
      <c r="U59" s="517">
        <v>0.85000000000000009</v>
      </c>
      <c r="V59" s="517">
        <v>0.9</v>
      </c>
      <c r="W59" s="502">
        <v>1.05</v>
      </c>
      <c r="Y59" s="168"/>
      <c r="Z59" s="168"/>
      <c r="AA59" s="168"/>
    </row>
    <row r="60" spans="1:27" x14ac:dyDescent="0.25">
      <c r="B60" s="466">
        <v>210</v>
      </c>
      <c r="C60" s="499">
        <v>0.1</v>
      </c>
      <c r="D60" s="467">
        <v>1.56</v>
      </c>
      <c r="E60" s="467">
        <v>1.1057657657657658</v>
      </c>
      <c r="F60" s="467">
        <v>0.85800000000000021</v>
      </c>
      <c r="G60" s="467">
        <v>0.52011111111111119</v>
      </c>
      <c r="H60" s="467">
        <v>0.38999999999999996</v>
      </c>
      <c r="I60" s="467">
        <v>0.78249572649572652</v>
      </c>
      <c r="J60" s="467">
        <v>1.0499999999999998</v>
      </c>
      <c r="K60" s="468">
        <v>1.3664177215189872</v>
      </c>
      <c r="M60" s="476" t="s">
        <v>1305</v>
      </c>
      <c r="N60" s="480">
        <v>1.2</v>
      </c>
      <c r="O60" s="461" t="s">
        <v>1324</v>
      </c>
      <c r="P60" s="512">
        <v>0.72</v>
      </c>
      <c r="Q60" s="512">
        <v>0.6</v>
      </c>
      <c r="R60" s="512">
        <v>0.48</v>
      </c>
      <c r="S60" s="512">
        <v>0.48</v>
      </c>
      <c r="T60" s="512">
        <v>0.48</v>
      </c>
      <c r="U60" s="512">
        <v>0.51</v>
      </c>
      <c r="V60" s="512">
        <v>0.54</v>
      </c>
      <c r="W60" s="512">
        <v>0.63</v>
      </c>
      <c r="Y60" s="168"/>
      <c r="Z60" s="168"/>
      <c r="AA60" s="168"/>
    </row>
    <row r="61" spans="1:27" x14ac:dyDescent="0.25">
      <c r="B61" s="469">
        <v>420</v>
      </c>
      <c r="C61" s="500">
        <v>0.2</v>
      </c>
      <c r="D61" s="470">
        <v>1.304</v>
      </c>
      <c r="E61" s="470">
        <v>0.98380630630630628</v>
      </c>
      <c r="F61" s="470">
        <v>0.76700000000000002</v>
      </c>
      <c r="G61" s="470">
        <v>0.46977777777777785</v>
      </c>
      <c r="H61" s="470">
        <v>0.35100000000000003</v>
      </c>
      <c r="I61" s="470">
        <v>0.68468376068376069</v>
      </c>
      <c r="J61" s="470">
        <v>0.93800000000000006</v>
      </c>
      <c r="K61" s="471">
        <v>1.2269873417721517</v>
      </c>
      <c r="M61" s="473" t="s">
        <v>1325</v>
      </c>
      <c r="N61" s="479">
        <v>0.6</v>
      </c>
      <c r="Y61" s="168"/>
      <c r="Z61" s="168"/>
      <c r="AA61" s="168"/>
    </row>
    <row r="62" spans="1:27" x14ac:dyDescent="0.25">
      <c r="B62" s="466">
        <v>840</v>
      </c>
      <c r="C62" s="499">
        <v>0.4</v>
      </c>
      <c r="D62" s="467">
        <v>1.1919999999999999</v>
      </c>
      <c r="E62" s="467">
        <v>0.81306306306306309</v>
      </c>
      <c r="F62" s="467">
        <v>0.63700000000000001</v>
      </c>
      <c r="G62" s="467">
        <v>0.40266666666666667</v>
      </c>
      <c r="H62" s="467">
        <v>0.29899999999999999</v>
      </c>
      <c r="I62" s="467">
        <v>0.58687179487179475</v>
      </c>
      <c r="J62" s="467">
        <v>0.77</v>
      </c>
      <c r="K62" s="468">
        <v>1.0224894514767933</v>
      </c>
      <c r="M62" s="476" t="s">
        <v>1326</v>
      </c>
      <c r="N62" s="480">
        <v>0.56999999999999995</v>
      </c>
      <c r="P62" s="459" t="s">
        <v>1332</v>
      </c>
      <c r="Y62" s="168"/>
      <c r="Z62" s="168"/>
      <c r="AA62" s="168"/>
    </row>
    <row r="63" spans="1:27" ht="13" thickBot="1" x14ac:dyDescent="0.3">
      <c r="B63" s="469">
        <v>1260</v>
      </c>
      <c r="C63" s="500">
        <v>0.6</v>
      </c>
      <c r="D63" s="470">
        <v>0.96799999999999997</v>
      </c>
      <c r="E63" s="470">
        <v>0.67484234234234231</v>
      </c>
      <c r="F63" s="470">
        <v>0.52000000000000013</v>
      </c>
      <c r="G63" s="470">
        <v>0.35233333333333339</v>
      </c>
      <c r="H63" s="470">
        <v>0.27299999999999996</v>
      </c>
      <c r="I63" s="470">
        <v>0.51351282051282043</v>
      </c>
      <c r="J63" s="470">
        <v>0.65800000000000003</v>
      </c>
      <c r="K63" s="471">
        <v>0.83658227848101263</v>
      </c>
      <c r="L63" s="460" t="s">
        <v>1094</v>
      </c>
      <c r="M63" s="473" t="s">
        <v>1307</v>
      </c>
      <c r="N63" s="479">
        <v>1</v>
      </c>
      <c r="Y63" s="168"/>
      <c r="Z63" s="168"/>
      <c r="AA63" s="168"/>
    </row>
    <row r="64" spans="1:27" ht="13.5" thickBot="1" x14ac:dyDescent="0.3">
      <c r="B64" s="466">
        <v>1680</v>
      </c>
      <c r="C64" s="499">
        <v>0.8</v>
      </c>
      <c r="D64" s="467">
        <v>0.78400000000000003</v>
      </c>
      <c r="E64" s="467">
        <v>0.5528828828828829</v>
      </c>
      <c r="F64" s="467">
        <v>0.45500000000000002</v>
      </c>
      <c r="G64" s="467">
        <v>0.31877777777777783</v>
      </c>
      <c r="H64" s="467">
        <v>0.24699999999999997</v>
      </c>
      <c r="I64" s="467">
        <v>0.46460683760683757</v>
      </c>
      <c r="J64" s="467">
        <v>0.58799999999999997</v>
      </c>
      <c r="K64" s="468">
        <v>0.67856118143459909</v>
      </c>
      <c r="L64" s="460" t="s">
        <v>1085</v>
      </c>
      <c r="M64" s="476" t="s">
        <v>1309</v>
      </c>
      <c r="N64" s="480">
        <v>0.93</v>
      </c>
      <c r="P64" s="518" t="s">
        <v>1333</v>
      </c>
      <c r="Y64" s="168"/>
      <c r="Z64" s="168"/>
      <c r="AA64" s="168"/>
    </row>
    <row r="65" spans="2:27" ht="13.5" thickBot="1" x14ac:dyDescent="0.3">
      <c r="B65" s="469">
        <v>2100</v>
      </c>
      <c r="C65" s="500">
        <v>1</v>
      </c>
      <c r="D65" s="470">
        <v>0.64000000000000012</v>
      </c>
      <c r="E65" s="470">
        <v>0.4227927927927928</v>
      </c>
      <c r="F65" s="470">
        <v>0.36400000000000005</v>
      </c>
      <c r="G65" s="470">
        <v>0.28522222222222227</v>
      </c>
      <c r="H65" s="470">
        <v>0.23399999999999999</v>
      </c>
      <c r="I65" s="470">
        <v>0.41570085470085472</v>
      </c>
      <c r="J65" s="470">
        <v>0.504</v>
      </c>
      <c r="K65" s="471">
        <v>0.58560759493670878</v>
      </c>
      <c r="L65" s="460" t="s">
        <v>1075</v>
      </c>
      <c r="M65" s="501" t="s">
        <v>1311</v>
      </c>
      <c r="N65" s="502">
        <v>0.9</v>
      </c>
      <c r="P65" s="519">
        <v>8.3159469233965719</v>
      </c>
      <c r="Y65" s="168"/>
      <c r="Z65" s="168"/>
      <c r="AA65" s="168"/>
    </row>
    <row r="66" spans="2:27" x14ac:dyDescent="0.25">
      <c r="B66" s="466">
        <v>2520</v>
      </c>
      <c r="C66" s="499">
        <v>1.2</v>
      </c>
      <c r="D66" s="467">
        <v>0.43200000000000005</v>
      </c>
      <c r="E66" s="467">
        <v>0.37400900900900902</v>
      </c>
      <c r="F66" s="467">
        <v>0.32500000000000001</v>
      </c>
      <c r="G66" s="467">
        <v>0.26844444444444449</v>
      </c>
      <c r="H66" s="467">
        <v>0.221</v>
      </c>
      <c r="I66" s="467">
        <v>0.39124786324786326</v>
      </c>
      <c r="J66" s="467">
        <v>0.40599999999999997</v>
      </c>
      <c r="K66" s="468">
        <v>0.46476793248945142</v>
      </c>
      <c r="Y66" s="168"/>
      <c r="Z66" s="168"/>
      <c r="AA66" s="168"/>
    </row>
    <row r="67" spans="2:27" ht="13" thickBot="1" x14ac:dyDescent="0.35">
      <c r="B67" s="469">
        <v>2940</v>
      </c>
      <c r="C67" s="500">
        <v>1.4</v>
      </c>
      <c r="D67" s="470">
        <v>0.32000000000000006</v>
      </c>
      <c r="E67" s="470">
        <v>0.27644144144144145</v>
      </c>
      <c r="F67" s="470">
        <v>0.27300000000000002</v>
      </c>
      <c r="G67" s="470">
        <v>0.25166666666666671</v>
      </c>
      <c r="H67" s="470">
        <v>0.20799999999999999</v>
      </c>
      <c r="I67" s="470">
        <v>0.36679487179487175</v>
      </c>
      <c r="J67" s="470">
        <v>0.39200000000000007</v>
      </c>
      <c r="K67" s="471">
        <v>0.39970042194092825</v>
      </c>
      <c r="M67" s="461" t="s">
        <v>1334</v>
      </c>
    </row>
    <row r="68" spans="2:27" x14ac:dyDescent="0.3">
      <c r="B68" s="466">
        <v>3360</v>
      </c>
      <c r="C68" s="499">
        <v>1.6</v>
      </c>
      <c r="D68" s="467">
        <v>0.22400000000000003</v>
      </c>
      <c r="E68" s="467">
        <v>0.2439189189189189</v>
      </c>
      <c r="F68" s="467">
        <v>0.24700000000000003</v>
      </c>
      <c r="G68" s="467">
        <v>0.23488888888888892</v>
      </c>
      <c r="H68" s="467">
        <v>0.182</v>
      </c>
      <c r="I68" s="467">
        <v>0.31788888888888889</v>
      </c>
      <c r="J68" s="467">
        <v>0.32200000000000001</v>
      </c>
      <c r="K68" s="468">
        <v>0.33463291139240503</v>
      </c>
      <c r="L68" s="487" t="s">
        <v>1094</v>
      </c>
      <c r="M68" s="488" t="s">
        <v>1305</v>
      </c>
      <c r="N68" s="503">
        <v>1</v>
      </c>
    </row>
    <row r="69" spans="2:27" x14ac:dyDescent="0.3">
      <c r="B69" s="469">
        <v>3780</v>
      </c>
      <c r="C69" s="500">
        <v>1.8</v>
      </c>
      <c r="D69" s="470">
        <v>0.17600000000000002</v>
      </c>
      <c r="E69" s="470">
        <v>0.20326576576576577</v>
      </c>
      <c r="F69" s="470">
        <v>0.20800000000000002</v>
      </c>
      <c r="G69" s="470">
        <v>0.21811111111111114</v>
      </c>
      <c r="H69" s="470">
        <v>0.182</v>
      </c>
      <c r="I69" s="470">
        <v>0.31788888888888889</v>
      </c>
      <c r="J69" s="470">
        <v>0.28000000000000003</v>
      </c>
      <c r="K69" s="471">
        <v>0.2974514767932489</v>
      </c>
      <c r="L69" s="490" t="s">
        <v>1075</v>
      </c>
      <c r="M69" s="1413" t="s">
        <v>1326</v>
      </c>
      <c r="N69" s="504">
        <v>0.9</v>
      </c>
    </row>
    <row r="70" spans="2:27" ht="13" thickBot="1" x14ac:dyDescent="0.35">
      <c r="B70" s="484">
        <v>4200</v>
      </c>
      <c r="C70" s="506">
        <v>2</v>
      </c>
      <c r="D70" s="485">
        <v>0.14399999999999999</v>
      </c>
      <c r="E70" s="485">
        <v>0.15448198198198199</v>
      </c>
      <c r="F70" s="485">
        <v>0.19500000000000001</v>
      </c>
      <c r="G70" s="485">
        <v>0.20133333333333334</v>
      </c>
      <c r="H70" s="485">
        <v>0.182</v>
      </c>
      <c r="I70" s="485">
        <v>0.29343589743589737</v>
      </c>
      <c r="J70" s="485">
        <v>0.26600000000000001</v>
      </c>
      <c r="K70" s="486">
        <v>0.22308860759493665</v>
      </c>
      <c r="L70" s="492" t="s">
        <v>1085</v>
      </c>
      <c r="M70" s="493" t="s">
        <v>1325</v>
      </c>
      <c r="N70" s="505">
        <v>0.93</v>
      </c>
    </row>
  </sheetData>
  <sheetProtection algorithmName="SHA-512" hashValue="ApsSrdlIKbuB1dQwpYg/6ywPIXNyHtP717abDQp2hqGCo/FCwX5HvZHloh0WFvGr85Dw2cv4RHoY3tQhRJrD4g==" saltValue="dPtkiyt5lSCEd6P22bfgUw==" spinCount="100000" sheet="1" objects="1" scenarios="1" autoFilter="0"/>
  <mergeCells count="5">
    <mergeCell ref="M1:N1"/>
    <mergeCell ref="P1:Q1"/>
    <mergeCell ref="M18:N18"/>
    <mergeCell ref="M38:N38"/>
    <mergeCell ref="M55:N5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0"/>
  <dimension ref="A1:AF70"/>
  <sheetViews>
    <sheetView topLeftCell="H7" workbookViewId="0">
      <selection activeCell="K75" sqref="K75"/>
    </sheetView>
  </sheetViews>
  <sheetFormatPr defaultColWidth="8" defaultRowHeight="12.5" x14ac:dyDescent="0.3"/>
  <cols>
    <col min="1" max="1" width="26.58203125" style="460" customWidth="1"/>
    <col min="2" max="2" width="9" style="460" customWidth="1"/>
    <col min="3" max="3" width="8.08203125" style="460" customWidth="1"/>
    <col min="4" max="11" width="8.83203125" style="460" customWidth="1"/>
    <col min="12" max="12" width="8" style="460"/>
    <col min="13" max="13" width="55.5" style="461" customWidth="1"/>
    <col min="14" max="15" width="8" style="461"/>
    <col min="16" max="16" width="47.58203125" style="461" customWidth="1"/>
    <col min="17" max="18" width="11.08203125" style="461" customWidth="1"/>
    <col min="19" max="19" width="8" style="461"/>
    <col min="20" max="20" width="14.58203125" style="461" customWidth="1"/>
    <col min="21" max="21" width="15.83203125" style="461" customWidth="1"/>
    <col min="22" max="25" width="8" style="461"/>
    <col min="26" max="26" width="14.58203125" style="461" customWidth="1"/>
    <col min="27" max="27" width="15.83203125" style="461" customWidth="1"/>
    <col min="28" max="32" width="8" style="461"/>
    <col min="33" max="16384" width="8" style="460"/>
  </cols>
  <sheetData>
    <row r="1" spans="1:21" x14ac:dyDescent="0.25">
      <c r="A1" s="458" t="s">
        <v>1114</v>
      </c>
      <c r="B1" s="459" t="s">
        <v>1294</v>
      </c>
      <c r="M1" s="1585" t="s">
        <v>1319</v>
      </c>
      <c r="N1" s="1585"/>
      <c r="P1" s="1586" t="s">
        <v>1296</v>
      </c>
      <c r="Q1" s="1586"/>
      <c r="S1" s="168"/>
      <c r="T1" s="168"/>
      <c r="U1" s="168"/>
    </row>
    <row r="2" spans="1:21" ht="52" x14ac:dyDescent="0.25">
      <c r="B2" s="462" t="s">
        <v>1297</v>
      </c>
      <c r="C2" s="463" t="s">
        <v>1298</v>
      </c>
      <c r="D2" s="464" t="s">
        <v>1230</v>
      </c>
      <c r="E2" s="464" t="s">
        <v>1231</v>
      </c>
      <c r="F2" s="464" t="s">
        <v>1232</v>
      </c>
      <c r="G2" s="464" t="s">
        <v>1233</v>
      </c>
      <c r="H2" s="464" t="s">
        <v>1234</v>
      </c>
      <c r="I2" s="464" t="s">
        <v>1235</v>
      </c>
      <c r="J2" s="464" t="s">
        <v>1236</v>
      </c>
      <c r="K2" s="465" t="s">
        <v>1237</v>
      </c>
      <c r="S2" s="168"/>
      <c r="T2" s="168"/>
      <c r="U2" s="168"/>
    </row>
    <row r="3" spans="1:21" x14ac:dyDescent="0.25">
      <c r="B3" s="466">
        <v>0</v>
      </c>
      <c r="C3" s="467">
        <v>0</v>
      </c>
      <c r="D3" s="467">
        <v>0.98399999999999987</v>
      </c>
      <c r="E3" s="467">
        <v>1.1444999999999999</v>
      </c>
      <c r="F3" s="467">
        <v>1.071</v>
      </c>
      <c r="G3" s="467">
        <v>0.6</v>
      </c>
      <c r="H3" s="467">
        <v>0.23799999999999999</v>
      </c>
      <c r="I3" s="467">
        <v>0.77999999999999992</v>
      </c>
      <c r="J3" s="467">
        <v>1.4949999999999999</v>
      </c>
      <c r="K3" s="468">
        <v>1.3629999999999998</v>
      </c>
      <c r="S3" s="168"/>
      <c r="T3" s="168"/>
      <c r="U3" s="168"/>
    </row>
    <row r="4" spans="1:21" ht="13" x14ac:dyDescent="0.25">
      <c r="B4" s="469">
        <v>105</v>
      </c>
      <c r="C4" s="470">
        <v>0.05</v>
      </c>
      <c r="D4" s="470">
        <v>0.82799999999999985</v>
      </c>
      <c r="E4" s="470">
        <v>1.0079999999999998</v>
      </c>
      <c r="F4" s="470">
        <v>0.96300000000000008</v>
      </c>
      <c r="G4" s="470">
        <v>0.53125</v>
      </c>
      <c r="H4" s="470">
        <v>0.19949999999999998</v>
      </c>
      <c r="I4" s="470">
        <v>0.69</v>
      </c>
      <c r="J4" s="470">
        <v>1.3684999999999998</v>
      </c>
      <c r="K4" s="471">
        <v>1.222</v>
      </c>
      <c r="M4" s="472" t="s">
        <v>1299</v>
      </c>
      <c r="N4" s="465" t="s">
        <v>1300</v>
      </c>
      <c r="P4" s="472" t="s">
        <v>1301</v>
      </c>
      <c r="Q4" s="465" t="s">
        <v>1302</v>
      </c>
      <c r="S4" s="168"/>
      <c r="T4" s="168"/>
      <c r="U4" s="168"/>
    </row>
    <row r="5" spans="1:21" x14ac:dyDescent="0.25">
      <c r="B5" s="466">
        <v>210</v>
      </c>
      <c r="C5" s="467">
        <v>0.1</v>
      </c>
      <c r="D5" s="467">
        <v>0.75599999999999989</v>
      </c>
      <c r="E5" s="467">
        <v>0.92399999999999982</v>
      </c>
      <c r="F5" s="467">
        <v>0.90900000000000003</v>
      </c>
      <c r="G5" s="467">
        <v>0.49375000000000002</v>
      </c>
      <c r="H5" s="467">
        <v>0.18899999999999997</v>
      </c>
      <c r="I5" s="467">
        <v>0.64499999999999991</v>
      </c>
      <c r="J5" s="467">
        <v>1.2765</v>
      </c>
      <c r="K5" s="468">
        <v>1.1044999999999998</v>
      </c>
      <c r="M5" s="473" t="s">
        <v>1303</v>
      </c>
      <c r="N5" s="474">
        <v>0.5</v>
      </c>
      <c r="P5" s="473" t="s">
        <v>1304</v>
      </c>
      <c r="Q5" s="475">
        <v>6.5661352889837057E-2</v>
      </c>
      <c r="S5" s="168"/>
      <c r="T5" s="168"/>
      <c r="U5" s="168"/>
    </row>
    <row r="6" spans="1:21" x14ac:dyDescent="0.25">
      <c r="B6" s="469">
        <v>420</v>
      </c>
      <c r="C6" s="470">
        <v>0.2</v>
      </c>
      <c r="D6" s="470">
        <v>0.61199999999999988</v>
      </c>
      <c r="E6" s="470">
        <v>0.79799999999999982</v>
      </c>
      <c r="F6" s="470">
        <v>0.80099999999999993</v>
      </c>
      <c r="G6" s="470">
        <v>0.43749999999999994</v>
      </c>
      <c r="H6" s="470">
        <v>0.16799999999999998</v>
      </c>
      <c r="I6" s="470">
        <v>0.56999999999999995</v>
      </c>
      <c r="J6" s="470">
        <v>1.1384999999999998</v>
      </c>
      <c r="K6" s="471">
        <v>0.97524999999999984</v>
      </c>
      <c r="M6" s="476" t="s">
        <v>1305</v>
      </c>
      <c r="N6" s="477">
        <v>1.4</v>
      </c>
      <c r="P6" s="476" t="s">
        <v>1306</v>
      </c>
      <c r="Q6" s="478">
        <v>6.9470876699360862E-2</v>
      </c>
      <c r="S6" s="168"/>
      <c r="T6" s="168"/>
      <c r="U6" s="168"/>
    </row>
    <row r="7" spans="1:21" x14ac:dyDescent="0.25">
      <c r="B7" s="466">
        <v>840</v>
      </c>
      <c r="C7" s="467">
        <v>0.4</v>
      </c>
      <c r="D7" s="467">
        <v>0.46799999999999997</v>
      </c>
      <c r="E7" s="467">
        <v>0.60899999999999987</v>
      </c>
      <c r="F7" s="467">
        <v>0.63900000000000001</v>
      </c>
      <c r="G7" s="467">
        <v>0.35625000000000001</v>
      </c>
      <c r="H7" s="467">
        <v>0.13300000000000001</v>
      </c>
      <c r="I7" s="467">
        <v>0.46499999999999997</v>
      </c>
      <c r="J7" s="467">
        <v>0.93149999999999988</v>
      </c>
      <c r="K7" s="468">
        <v>0.72849999999999993</v>
      </c>
      <c r="L7" s="460" t="s">
        <v>1094</v>
      </c>
      <c r="M7" s="473" t="s">
        <v>1307</v>
      </c>
      <c r="N7" s="479">
        <v>1.1776129100485737</v>
      </c>
      <c r="P7" s="473" t="s">
        <v>1308</v>
      </c>
      <c r="Q7" s="475">
        <v>7.1375638604122771E-2</v>
      </c>
      <c r="S7" s="168"/>
      <c r="T7" s="168"/>
      <c r="U7" s="168"/>
    </row>
    <row r="8" spans="1:21" x14ac:dyDescent="0.25">
      <c r="B8" s="469">
        <v>1260</v>
      </c>
      <c r="C8" s="470">
        <v>0.6</v>
      </c>
      <c r="D8" s="470">
        <v>0.41999999999999993</v>
      </c>
      <c r="E8" s="470">
        <v>0.48299999999999987</v>
      </c>
      <c r="F8" s="470">
        <v>0.52200000000000002</v>
      </c>
      <c r="G8" s="470">
        <v>0.29374999999999996</v>
      </c>
      <c r="H8" s="470">
        <v>0.11549999999999999</v>
      </c>
      <c r="I8" s="470">
        <v>0.38249999999999995</v>
      </c>
      <c r="J8" s="470">
        <v>0.74749999999999994</v>
      </c>
      <c r="K8" s="471">
        <v>0.56399999999999995</v>
      </c>
      <c r="L8" s="460" t="s">
        <v>1085</v>
      </c>
      <c r="M8" s="476" t="s">
        <v>1309</v>
      </c>
      <c r="N8" s="480">
        <v>1</v>
      </c>
      <c r="P8" s="481" t="s">
        <v>1310</v>
      </c>
      <c r="Q8" s="482">
        <v>7.2328019556503725E-2</v>
      </c>
      <c r="S8" s="168"/>
      <c r="T8" s="168"/>
      <c r="U8" s="168"/>
    </row>
    <row r="9" spans="1:21" x14ac:dyDescent="0.25">
      <c r="B9" s="466">
        <v>1680</v>
      </c>
      <c r="C9" s="467">
        <v>0.8</v>
      </c>
      <c r="D9" s="467">
        <v>0.35999999999999993</v>
      </c>
      <c r="E9" s="467">
        <v>0.3884999999999999</v>
      </c>
      <c r="F9" s="467">
        <v>0.45</v>
      </c>
      <c r="G9" s="467">
        <v>0.25</v>
      </c>
      <c r="H9" s="467">
        <v>9.8000000000000004E-2</v>
      </c>
      <c r="I9" s="467">
        <v>0.32249999999999995</v>
      </c>
      <c r="J9" s="467">
        <v>0.59799999999999998</v>
      </c>
      <c r="K9" s="468">
        <v>0.47</v>
      </c>
      <c r="L9" s="460" t="s">
        <v>1075</v>
      </c>
      <c r="M9" s="473" t="s">
        <v>1311</v>
      </c>
      <c r="N9" s="479">
        <v>0.88627958449847144</v>
      </c>
      <c r="S9" s="168"/>
      <c r="T9" s="168"/>
      <c r="U9" s="168"/>
    </row>
    <row r="10" spans="1:21" x14ac:dyDescent="0.25">
      <c r="B10" s="469">
        <v>2100</v>
      </c>
      <c r="C10" s="470">
        <v>1</v>
      </c>
      <c r="D10" s="470">
        <v>0.31199999999999994</v>
      </c>
      <c r="E10" s="470">
        <v>0.3254999999999999</v>
      </c>
      <c r="F10" s="470">
        <v>0.378</v>
      </c>
      <c r="G10" s="470">
        <v>0.21249999999999999</v>
      </c>
      <c r="H10" s="470">
        <v>8.7499999999999994E-2</v>
      </c>
      <c r="I10" s="470">
        <v>0.27749999999999991</v>
      </c>
      <c r="J10" s="470">
        <v>0.52900000000000003</v>
      </c>
      <c r="K10" s="471">
        <v>0.36424999999999996</v>
      </c>
      <c r="M10" s="481" t="s">
        <v>1312</v>
      </c>
      <c r="N10" s="483">
        <v>0.6</v>
      </c>
      <c r="S10" s="168"/>
      <c r="T10" s="168"/>
      <c r="U10" s="168"/>
    </row>
    <row r="11" spans="1:21" x14ac:dyDescent="0.25">
      <c r="B11" s="466">
        <v>2520</v>
      </c>
      <c r="C11" s="467">
        <v>1.2</v>
      </c>
      <c r="D11" s="467">
        <v>0.28799999999999992</v>
      </c>
      <c r="E11" s="467">
        <v>0.27299999999999996</v>
      </c>
      <c r="F11" s="467">
        <v>0.32399999999999995</v>
      </c>
      <c r="G11" s="467">
        <v>0.1875</v>
      </c>
      <c r="H11" s="467">
        <v>7.6999999999999985E-2</v>
      </c>
      <c r="I11" s="467">
        <v>0.24749999999999997</v>
      </c>
      <c r="J11" s="467">
        <v>0.45999999999999996</v>
      </c>
      <c r="K11" s="468">
        <v>0.31724999999999998</v>
      </c>
      <c r="M11" s="461" t="s">
        <v>1313</v>
      </c>
      <c r="S11" s="168"/>
      <c r="T11" s="168"/>
      <c r="U11" s="168"/>
    </row>
    <row r="12" spans="1:21" x14ac:dyDescent="0.25">
      <c r="B12" s="469">
        <v>2940</v>
      </c>
      <c r="C12" s="470">
        <v>1.4</v>
      </c>
      <c r="D12" s="470">
        <v>0.25199999999999995</v>
      </c>
      <c r="E12" s="470">
        <v>0.24149999999999994</v>
      </c>
      <c r="F12" s="470">
        <v>0.28800000000000003</v>
      </c>
      <c r="G12" s="470">
        <v>0.16875000000000004</v>
      </c>
      <c r="H12" s="470">
        <v>6.9999999999999993E-2</v>
      </c>
      <c r="I12" s="470">
        <v>0.21749999999999994</v>
      </c>
      <c r="J12" s="470">
        <v>0.39100000000000001</v>
      </c>
      <c r="K12" s="471">
        <v>0.28199999999999997</v>
      </c>
      <c r="S12" s="168"/>
      <c r="T12" s="168"/>
      <c r="U12" s="168"/>
    </row>
    <row r="13" spans="1:21" x14ac:dyDescent="0.25">
      <c r="B13" s="466">
        <v>3360</v>
      </c>
      <c r="C13" s="467">
        <v>1.6</v>
      </c>
      <c r="D13" s="467">
        <v>0.24</v>
      </c>
      <c r="E13" s="467">
        <v>0.23099999999999996</v>
      </c>
      <c r="F13" s="467">
        <v>0.26100000000000001</v>
      </c>
      <c r="G13" s="467">
        <v>0.14374999999999999</v>
      </c>
      <c r="H13" s="467">
        <v>6.2999999999999987E-2</v>
      </c>
      <c r="I13" s="467">
        <v>0.20249999999999999</v>
      </c>
      <c r="J13" s="467">
        <v>0.34499999999999997</v>
      </c>
      <c r="K13" s="468">
        <v>0.24674999999999997</v>
      </c>
      <c r="M13" s="481" t="s">
        <v>1312</v>
      </c>
      <c r="N13" s="483">
        <v>0.49137188477039795</v>
      </c>
      <c r="S13" s="168"/>
      <c r="T13" s="168"/>
      <c r="U13" s="168"/>
    </row>
    <row r="14" spans="1:21" ht="13" thickBot="1" x14ac:dyDescent="0.35">
      <c r="B14" s="469">
        <v>3780</v>
      </c>
      <c r="C14" s="470">
        <v>1.8</v>
      </c>
      <c r="D14" s="470">
        <v>0.21599999999999997</v>
      </c>
      <c r="E14" s="470">
        <v>0.21</v>
      </c>
      <c r="F14" s="470">
        <v>0.22500000000000001</v>
      </c>
      <c r="G14" s="470">
        <v>0.13125000000000001</v>
      </c>
      <c r="H14" s="470">
        <v>5.9499999999999997E-2</v>
      </c>
      <c r="I14" s="470">
        <v>0.17249999999999999</v>
      </c>
      <c r="J14" s="470">
        <v>0.3105</v>
      </c>
      <c r="K14" s="471">
        <v>0.23499999999999999</v>
      </c>
      <c r="M14" s="461" t="s">
        <v>1314</v>
      </c>
    </row>
    <row r="15" spans="1:21" x14ac:dyDescent="0.3">
      <c r="B15" s="484">
        <v>4200</v>
      </c>
      <c r="C15" s="485">
        <v>2</v>
      </c>
      <c r="D15" s="485">
        <v>0.20399999999999999</v>
      </c>
      <c r="E15" s="485">
        <v>0.17849999999999999</v>
      </c>
      <c r="F15" s="485">
        <v>0.216</v>
      </c>
      <c r="G15" s="485">
        <v>0.13125000000000001</v>
      </c>
      <c r="H15" s="485">
        <v>5.5999999999999994E-2</v>
      </c>
      <c r="I15" s="485">
        <v>0.15749999999999997</v>
      </c>
      <c r="J15" s="485">
        <v>0.28749999999999998</v>
      </c>
      <c r="K15" s="486">
        <v>0.22325</v>
      </c>
      <c r="L15" s="487" t="s">
        <v>1094</v>
      </c>
      <c r="M15" s="488" t="s">
        <v>1307</v>
      </c>
      <c r="N15" s="503">
        <v>1.1776129100485737</v>
      </c>
    </row>
    <row r="16" spans="1:21" x14ac:dyDescent="0.3">
      <c r="L16" s="490" t="s">
        <v>1075</v>
      </c>
      <c r="M16" s="1413" t="s">
        <v>1311</v>
      </c>
      <c r="N16" s="504">
        <v>0.88627958449847144</v>
      </c>
    </row>
    <row r="17" spans="1:27" ht="13" thickBot="1" x14ac:dyDescent="0.35">
      <c r="L17" s="492" t="s">
        <v>1085</v>
      </c>
      <c r="M17" s="493" t="s">
        <v>1309</v>
      </c>
      <c r="N17" s="505">
        <v>1</v>
      </c>
    </row>
    <row r="18" spans="1:27" x14ac:dyDescent="0.3">
      <c r="A18" s="511" t="s">
        <v>1251</v>
      </c>
      <c r="B18" s="459" t="s">
        <v>1320</v>
      </c>
      <c r="M18" s="1585" t="s">
        <v>1319</v>
      </c>
      <c r="N18" s="1585"/>
      <c r="P18" s="461" t="s">
        <v>1322</v>
      </c>
    </row>
    <row r="20" spans="1:27" ht="52" x14ac:dyDescent="0.25">
      <c r="B20" s="462" t="s">
        <v>1297</v>
      </c>
      <c r="C20" s="463" t="s">
        <v>1298</v>
      </c>
      <c r="D20" s="464" t="s">
        <v>1230</v>
      </c>
      <c r="E20" s="464" t="s">
        <v>1231</v>
      </c>
      <c r="F20" s="464" t="s">
        <v>1232</v>
      </c>
      <c r="G20" s="464" t="s">
        <v>1233</v>
      </c>
      <c r="H20" s="464" t="s">
        <v>1234</v>
      </c>
      <c r="I20" s="464" t="s">
        <v>1235</v>
      </c>
      <c r="J20" s="464" t="s">
        <v>1236</v>
      </c>
      <c r="K20" s="465" t="s">
        <v>1237</v>
      </c>
      <c r="Y20" s="168"/>
      <c r="Z20" s="168"/>
      <c r="AA20" s="168"/>
    </row>
    <row r="21" spans="1:27" ht="13" x14ac:dyDescent="0.25">
      <c r="B21" s="466">
        <v>0</v>
      </c>
      <c r="C21" s="467">
        <v>0</v>
      </c>
      <c r="D21" s="467">
        <v>1.6079999999999999</v>
      </c>
      <c r="E21" s="467">
        <v>1.554</v>
      </c>
      <c r="F21" s="467">
        <v>1.0010000000000001</v>
      </c>
      <c r="G21" s="467">
        <v>0.42900000000000005</v>
      </c>
      <c r="H21" s="467">
        <v>0.33300000000000002</v>
      </c>
      <c r="I21" s="467">
        <v>0.42900000000000005</v>
      </c>
      <c r="J21" s="467">
        <v>1.105</v>
      </c>
      <c r="K21" s="468">
        <v>1.6589999999999998</v>
      </c>
      <c r="M21" s="472" t="s">
        <v>1299</v>
      </c>
      <c r="N21" s="465" t="s">
        <v>1300</v>
      </c>
      <c r="P21" s="1414" t="s">
        <v>1230</v>
      </c>
      <c r="Q21" s="1414" t="s">
        <v>1231</v>
      </c>
      <c r="R21" s="1414" t="s">
        <v>1232</v>
      </c>
      <c r="S21" s="1414" t="s">
        <v>1233</v>
      </c>
      <c r="T21" s="1414" t="s">
        <v>1234</v>
      </c>
      <c r="U21" s="1414" t="s">
        <v>1235</v>
      </c>
      <c r="V21" s="1414" t="s">
        <v>1236</v>
      </c>
      <c r="W21" s="1414" t="s">
        <v>1237</v>
      </c>
      <c r="Y21" s="168"/>
      <c r="Z21" s="168"/>
      <c r="AA21" s="168"/>
    </row>
    <row r="22" spans="1:27" x14ac:dyDescent="0.25">
      <c r="B22" s="469">
        <v>105</v>
      </c>
      <c r="C22" s="470">
        <v>0.05</v>
      </c>
      <c r="D22" s="470">
        <v>1.56</v>
      </c>
      <c r="E22" s="470">
        <v>1.4910000000000001</v>
      </c>
      <c r="F22" s="470">
        <v>0.91</v>
      </c>
      <c r="G22" s="470">
        <v>0.36300000000000004</v>
      </c>
      <c r="H22" s="470">
        <v>0.27900000000000003</v>
      </c>
      <c r="I22" s="470">
        <v>0.36300000000000004</v>
      </c>
      <c r="J22" s="470">
        <v>1.014</v>
      </c>
      <c r="K22" s="471">
        <v>1.5854999999999997</v>
      </c>
      <c r="M22" s="473" t="s">
        <v>1303</v>
      </c>
      <c r="N22" s="474">
        <v>0.4</v>
      </c>
      <c r="P22" s="1415">
        <v>1</v>
      </c>
      <c r="Q22" s="1415">
        <v>0.9</v>
      </c>
      <c r="R22" s="1415">
        <v>0.8</v>
      </c>
      <c r="S22" s="1415">
        <v>0.85000000000000009</v>
      </c>
      <c r="T22" s="1415">
        <v>0.9</v>
      </c>
      <c r="U22" s="1415">
        <v>0.9</v>
      </c>
      <c r="V22" s="1415">
        <v>0.9</v>
      </c>
      <c r="W22" s="1415">
        <v>0.95</v>
      </c>
      <c r="Y22" s="168"/>
      <c r="Z22" s="168"/>
      <c r="AA22" s="168"/>
    </row>
    <row r="23" spans="1:27" x14ac:dyDescent="0.25">
      <c r="B23" s="466">
        <v>210</v>
      </c>
      <c r="C23" s="467">
        <v>0.1</v>
      </c>
      <c r="D23" s="467">
        <v>1.56</v>
      </c>
      <c r="E23" s="467">
        <v>1.4280000000000002</v>
      </c>
      <c r="F23" s="467">
        <v>0.85800000000000021</v>
      </c>
      <c r="G23" s="467">
        <v>0.34100000000000003</v>
      </c>
      <c r="H23" s="467">
        <v>0.27</v>
      </c>
      <c r="I23" s="467">
        <v>0.35200000000000004</v>
      </c>
      <c r="J23" s="467">
        <v>0.97499999999999998</v>
      </c>
      <c r="K23" s="468">
        <v>1.5434999999999997</v>
      </c>
      <c r="M23" s="476" t="s">
        <v>1305</v>
      </c>
      <c r="N23" s="477">
        <v>1.4</v>
      </c>
      <c r="O23" s="461" t="s">
        <v>1324</v>
      </c>
      <c r="P23" s="512">
        <v>0.7</v>
      </c>
      <c r="Q23" s="512">
        <v>0.63</v>
      </c>
      <c r="R23" s="512">
        <v>0.55999999999999994</v>
      </c>
      <c r="S23" s="512">
        <v>0.59499999999999997</v>
      </c>
      <c r="T23" s="512">
        <v>0.63</v>
      </c>
      <c r="U23" s="512">
        <v>0.63</v>
      </c>
      <c r="V23" s="512">
        <v>0.63</v>
      </c>
      <c r="W23" s="512">
        <v>0.66499999999999992</v>
      </c>
      <c r="Y23" s="168"/>
      <c r="Z23" s="168"/>
      <c r="AA23" s="168"/>
    </row>
    <row r="24" spans="1:27" x14ac:dyDescent="0.25">
      <c r="B24" s="469">
        <v>420</v>
      </c>
      <c r="C24" s="470">
        <v>0.2</v>
      </c>
      <c r="D24" s="470">
        <v>1.304</v>
      </c>
      <c r="E24" s="470">
        <v>1.2705</v>
      </c>
      <c r="F24" s="470">
        <v>0.76700000000000002</v>
      </c>
      <c r="G24" s="470">
        <v>0.30800000000000005</v>
      </c>
      <c r="H24" s="470">
        <v>0.24300000000000005</v>
      </c>
      <c r="I24" s="470">
        <v>0.30800000000000005</v>
      </c>
      <c r="J24" s="470">
        <v>0.87100000000000011</v>
      </c>
      <c r="K24" s="471">
        <v>1.3859999999999999</v>
      </c>
      <c r="M24" s="473" t="s">
        <v>1325</v>
      </c>
      <c r="N24" s="474">
        <v>0.7</v>
      </c>
      <c r="Y24" s="168"/>
      <c r="Z24" s="168"/>
      <c r="AA24" s="168"/>
    </row>
    <row r="25" spans="1:27" x14ac:dyDescent="0.25">
      <c r="B25" s="466">
        <v>840</v>
      </c>
      <c r="C25" s="467">
        <v>0.4</v>
      </c>
      <c r="D25" s="467">
        <v>1.1919999999999999</v>
      </c>
      <c r="E25" s="467">
        <v>1.05</v>
      </c>
      <c r="F25" s="467">
        <v>0.63700000000000001</v>
      </c>
      <c r="G25" s="467">
        <v>0.26400000000000001</v>
      </c>
      <c r="H25" s="467">
        <v>0.20700000000000002</v>
      </c>
      <c r="I25" s="467">
        <v>0.26400000000000001</v>
      </c>
      <c r="J25" s="467">
        <v>0.71500000000000008</v>
      </c>
      <c r="K25" s="468">
        <v>1.155</v>
      </c>
      <c r="M25" s="476" t="s">
        <v>1326</v>
      </c>
      <c r="N25" s="477">
        <v>1</v>
      </c>
      <c r="P25" s="459" t="s">
        <v>1327</v>
      </c>
      <c r="Y25" s="168"/>
      <c r="Z25" s="168"/>
      <c r="AA25" s="168"/>
    </row>
    <row r="26" spans="1:27" x14ac:dyDescent="0.25">
      <c r="B26" s="469">
        <v>1260</v>
      </c>
      <c r="C26" s="470">
        <v>0.6</v>
      </c>
      <c r="D26" s="470">
        <v>0.96799999999999997</v>
      </c>
      <c r="E26" s="470">
        <v>0.87149999999999994</v>
      </c>
      <c r="F26" s="470">
        <v>0.52000000000000013</v>
      </c>
      <c r="G26" s="470">
        <v>0.23100000000000001</v>
      </c>
      <c r="H26" s="470">
        <v>0.189</v>
      </c>
      <c r="I26" s="470">
        <v>0.23100000000000001</v>
      </c>
      <c r="J26" s="470">
        <v>0.61099999999999999</v>
      </c>
      <c r="K26" s="471">
        <v>0.94499999999999995</v>
      </c>
      <c r="L26" s="460" t="s">
        <v>1094</v>
      </c>
      <c r="M26" s="473" t="s">
        <v>1307</v>
      </c>
      <c r="N26" s="479">
        <v>1.0432549227550578</v>
      </c>
      <c r="Y26" s="168"/>
      <c r="Z26" s="168"/>
      <c r="AA26" s="168"/>
    </row>
    <row r="27" spans="1:27" ht="13" x14ac:dyDescent="0.25">
      <c r="B27" s="466">
        <v>1680</v>
      </c>
      <c r="C27" s="467">
        <v>0.8</v>
      </c>
      <c r="D27" s="467">
        <v>0.78400000000000003</v>
      </c>
      <c r="E27" s="467">
        <v>0.71400000000000008</v>
      </c>
      <c r="F27" s="467">
        <v>0.45500000000000002</v>
      </c>
      <c r="G27" s="467">
        <v>0.20900000000000002</v>
      </c>
      <c r="H27" s="467">
        <v>0.17100000000000001</v>
      </c>
      <c r="I27" s="467">
        <v>0.20900000000000002</v>
      </c>
      <c r="J27" s="467">
        <v>0.54600000000000004</v>
      </c>
      <c r="K27" s="468">
        <v>0.76649999999999985</v>
      </c>
      <c r="L27" s="460" t="s">
        <v>1085</v>
      </c>
      <c r="M27" s="476" t="s">
        <v>1309</v>
      </c>
      <c r="N27" s="480">
        <v>1</v>
      </c>
      <c r="P27" s="513" t="s">
        <v>1336</v>
      </c>
      <c r="Y27" s="168"/>
      <c r="Z27" s="168"/>
      <c r="AA27" s="168"/>
    </row>
    <row r="28" spans="1:27" x14ac:dyDescent="0.25">
      <c r="B28" s="469">
        <v>2100</v>
      </c>
      <c r="C28" s="470">
        <v>1</v>
      </c>
      <c r="D28" s="470">
        <v>0.64000000000000012</v>
      </c>
      <c r="E28" s="470">
        <v>0.54600000000000004</v>
      </c>
      <c r="F28" s="470">
        <v>0.36400000000000005</v>
      </c>
      <c r="G28" s="470">
        <v>0.18700000000000003</v>
      </c>
      <c r="H28" s="470">
        <v>0.16200000000000001</v>
      </c>
      <c r="I28" s="470">
        <v>0.18700000000000003</v>
      </c>
      <c r="J28" s="470">
        <v>0.46799999999999997</v>
      </c>
      <c r="K28" s="471">
        <v>0.66149999999999987</v>
      </c>
      <c r="L28" s="460" t="s">
        <v>1075</v>
      </c>
      <c r="M28" s="473" t="s">
        <v>1311</v>
      </c>
      <c r="N28" s="479">
        <v>0.97268939299298474</v>
      </c>
      <c r="P28" s="514">
        <v>8.7946581423304071</v>
      </c>
      <c r="Y28" s="168"/>
      <c r="Z28" s="168"/>
      <c r="AA28" s="168"/>
    </row>
    <row r="29" spans="1:27" x14ac:dyDescent="0.25">
      <c r="B29" s="466">
        <v>2520</v>
      </c>
      <c r="C29" s="467">
        <v>1.2</v>
      </c>
      <c r="D29" s="467">
        <v>0.43200000000000005</v>
      </c>
      <c r="E29" s="467">
        <v>0.48299999999999998</v>
      </c>
      <c r="F29" s="467">
        <v>0.32500000000000001</v>
      </c>
      <c r="G29" s="467">
        <v>0.17600000000000002</v>
      </c>
      <c r="H29" s="467">
        <v>0.15300000000000002</v>
      </c>
      <c r="I29" s="467">
        <v>0.17600000000000002</v>
      </c>
      <c r="J29" s="467">
        <v>0.377</v>
      </c>
      <c r="K29" s="468">
        <v>0.52499999999999991</v>
      </c>
      <c r="M29" s="481" t="s">
        <v>1329</v>
      </c>
      <c r="N29" s="483">
        <v>1.1000000000000001</v>
      </c>
      <c r="Y29" s="168"/>
      <c r="Z29" s="168"/>
      <c r="AA29" s="168"/>
    </row>
    <row r="30" spans="1:27" x14ac:dyDescent="0.25">
      <c r="B30" s="469">
        <v>2940</v>
      </c>
      <c r="C30" s="470">
        <v>1.4</v>
      </c>
      <c r="D30" s="470">
        <v>0.32000000000000006</v>
      </c>
      <c r="E30" s="470">
        <v>0.35700000000000004</v>
      </c>
      <c r="F30" s="470">
        <v>0.27300000000000002</v>
      </c>
      <c r="G30" s="470">
        <v>0.16500000000000001</v>
      </c>
      <c r="H30" s="470">
        <v>0.14400000000000002</v>
      </c>
      <c r="I30" s="470">
        <v>0.16500000000000001</v>
      </c>
      <c r="J30" s="470">
        <v>0.36400000000000005</v>
      </c>
      <c r="K30" s="471">
        <v>0.45149999999999996</v>
      </c>
      <c r="M30" s="461" t="s">
        <v>1313</v>
      </c>
      <c r="Y30" s="168"/>
      <c r="Z30" s="168"/>
      <c r="AA30" s="168"/>
    </row>
    <row r="31" spans="1:27" x14ac:dyDescent="0.3">
      <c r="B31" s="466">
        <v>3360</v>
      </c>
      <c r="C31" s="467">
        <v>1.6</v>
      </c>
      <c r="D31" s="467">
        <v>0.22400000000000003</v>
      </c>
      <c r="E31" s="467">
        <v>0.315</v>
      </c>
      <c r="F31" s="467">
        <v>0.24700000000000003</v>
      </c>
      <c r="G31" s="467">
        <v>0.15400000000000003</v>
      </c>
      <c r="H31" s="467">
        <v>0.126</v>
      </c>
      <c r="I31" s="467">
        <v>0.14300000000000002</v>
      </c>
      <c r="J31" s="467">
        <v>0.29900000000000004</v>
      </c>
      <c r="K31" s="468">
        <v>0.37799999999999995</v>
      </c>
    </row>
    <row r="32" spans="1:27" x14ac:dyDescent="0.3">
      <c r="B32" s="469">
        <v>3780</v>
      </c>
      <c r="C32" s="470">
        <v>1.8</v>
      </c>
      <c r="D32" s="470">
        <v>0.17600000000000002</v>
      </c>
      <c r="E32" s="470">
        <v>0.26250000000000001</v>
      </c>
      <c r="F32" s="470">
        <v>0.20800000000000002</v>
      </c>
      <c r="G32" s="470">
        <v>0.14300000000000002</v>
      </c>
      <c r="H32" s="470">
        <v>0.126</v>
      </c>
      <c r="I32" s="470">
        <v>0.14300000000000002</v>
      </c>
      <c r="J32" s="470">
        <v>0.26</v>
      </c>
      <c r="K32" s="471">
        <v>0.33599999999999997</v>
      </c>
      <c r="M32" s="481" t="s">
        <v>1329</v>
      </c>
      <c r="N32" s="483">
        <v>0.97388444911202243</v>
      </c>
    </row>
    <row r="33" spans="1:21" ht="13" thickBot="1" x14ac:dyDescent="0.35">
      <c r="B33" s="484">
        <v>4200</v>
      </c>
      <c r="C33" s="485">
        <v>2</v>
      </c>
      <c r="D33" s="485">
        <v>0.14399999999999999</v>
      </c>
      <c r="E33" s="485">
        <v>0.19949999999999998</v>
      </c>
      <c r="F33" s="485">
        <v>0.19500000000000001</v>
      </c>
      <c r="G33" s="485">
        <v>0.13200000000000001</v>
      </c>
      <c r="H33" s="485">
        <v>0.126</v>
      </c>
      <c r="I33" s="485">
        <v>0.13200000000000001</v>
      </c>
      <c r="J33" s="485">
        <v>0.247</v>
      </c>
      <c r="K33" s="486">
        <v>0.25199999999999995</v>
      </c>
      <c r="M33" s="461" t="s">
        <v>1330</v>
      </c>
    </row>
    <row r="34" spans="1:21" x14ac:dyDescent="0.3">
      <c r="B34" s="520"/>
      <c r="C34" s="521"/>
      <c r="D34" s="521"/>
      <c r="E34" s="521"/>
      <c r="F34" s="521"/>
      <c r="G34" s="521"/>
      <c r="H34" s="521"/>
      <c r="I34" s="521"/>
      <c r="J34" s="521"/>
      <c r="K34" s="521"/>
      <c r="L34" s="487" t="s">
        <v>1094</v>
      </c>
      <c r="M34" s="488" t="s">
        <v>1307</v>
      </c>
      <c r="N34" s="503">
        <v>1.0432549227550578</v>
      </c>
    </row>
    <row r="35" spans="1:21" x14ac:dyDescent="0.3">
      <c r="B35" s="520"/>
      <c r="C35" s="521"/>
      <c r="D35" s="521"/>
      <c r="E35" s="521"/>
      <c r="F35" s="521"/>
      <c r="G35" s="521"/>
      <c r="H35" s="521"/>
      <c r="I35" s="521"/>
      <c r="J35" s="521"/>
      <c r="K35" s="521"/>
      <c r="L35" s="490" t="s">
        <v>1075</v>
      </c>
      <c r="M35" s="1413" t="s">
        <v>1311</v>
      </c>
      <c r="N35" s="504">
        <v>0.97268939299298474</v>
      </c>
    </row>
    <row r="36" spans="1:21" ht="13" thickBot="1" x14ac:dyDescent="0.35">
      <c r="B36" s="520"/>
      <c r="C36" s="521"/>
      <c r="D36" s="521"/>
      <c r="E36" s="521"/>
      <c r="F36" s="521"/>
      <c r="G36" s="521"/>
      <c r="H36" s="521"/>
      <c r="I36" s="521"/>
      <c r="J36" s="521"/>
      <c r="K36" s="521"/>
      <c r="L36" s="492" t="s">
        <v>1085</v>
      </c>
      <c r="M36" s="493" t="s">
        <v>1309</v>
      </c>
      <c r="N36" s="505">
        <v>1</v>
      </c>
    </row>
    <row r="38" spans="1:21" x14ac:dyDescent="0.25">
      <c r="A38" s="495" t="s">
        <v>1242</v>
      </c>
      <c r="B38" s="459" t="s">
        <v>1315</v>
      </c>
      <c r="M38" s="1585" t="s">
        <v>1316</v>
      </c>
      <c r="N38" s="1585"/>
      <c r="P38" s="459" t="s">
        <v>1317</v>
      </c>
      <c r="S38" s="168"/>
      <c r="T38" s="168"/>
      <c r="U38" s="168"/>
    </row>
    <row r="39" spans="1:21" x14ac:dyDescent="0.25">
      <c r="S39" s="168"/>
      <c r="T39" s="168"/>
      <c r="U39" s="168"/>
    </row>
    <row r="40" spans="1:21" ht="52" x14ac:dyDescent="0.25">
      <c r="B40" s="472" t="s">
        <v>1297</v>
      </c>
      <c r="C40" s="463" t="s">
        <v>1298</v>
      </c>
      <c r="D40" s="497" t="s">
        <v>1230</v>
      </c>
      <c r="E40" s="497" t="s">
        <v>1231</v>
      </c>
      <c r="F40" s="497" t="s">
        <v>1232</v>
      </c>
      <c r="G40" s="497" t="s">
        <v>1233</v>
      </c>
      <c r="H40" s="497" t="s">
        <v>1234</v>
      </c>
      <c r="I40" s="497" t="s">
        <v>1235</v>
      </c>
      <c r="J40" s="497" t="s">
        <v>1236</v>
      </c>
      <c r="K40" s="498" t="s">
        <v>1237</v>
      </c>
      <c r="S40" s="168"/>
      <c r="T40" s="168"/>
      <c r="U40" s="168"/>
    </row>
    <row r="41" spans="1:21" ht="13" x14ac:dyDescent="0.25">
      <c r="B41" s="466">
        <v>0</v>
      </c>
      <c r="C41" s="499">
        <v>0</v>
      </c>
      <c r="D41" s="467">
        <v>0.82</v>
      </c>
      <c r="E41" s="467">
        <v>1.0355000000000001</v>
      </c>
      <c r="F41" s="467">
        <v>1.071</v>
      </c>
      <c r="G41" s="467">
        <v>0.72</v>
      </c>
      <c r="H41" s="467">
        <v>0.40800000000000003</v>
      </c>
      <c r="I41" s="467">
        <v>0.78</v>
      </c>
      <c r="J41" s="467">
        <v>1.1700000000000002</v>
      </c>
      <c r="K41" s="468">
        <v>1.1019999999999999</v>
      </c>
      <c r="M41" s="472" t="s">
        <v>1299</v>
      </c>
      <c r="N41" s="465" t="s">
        <v>1300</v>
      </c>
      <c r="P41" s="472" t="s">
        <v>1301</v>
      </c>
      <c r="Q41" s="465" t="s">
        <v>1302</v>
      </c>
      <c r="S41" s="168"/>
      <c r="T41" s="168"/>
      <c r="U41" s="168"/>
    </row>
    <row r="42" spans="1:21" x14ac:dyDescent="0.25">
      <c r="B42" s="469">
        <v>105</v>
      </c>
      <c r="C42" s="500">
        <v>0.05</v>
      </c>
      <c r="D42" s="470">
        <v>0.69</v>
      </c>
      <c r="E42" s="470">
        <v>0.91200000000000003</v>
      </c>
      <c r="F42" s="470">
        <v>0.96300000000000008</v>
      </c>
      <c r="G42" s="470">
        <v>0.63749999999999996</v>
      </c>
      <c r="H42" s="470">
        <v>0.34199999999999997</v>
      </c>
      <c r="I42" s="470">
        <v>0.69</v>
      </c>
      <c r="J42" s="470">
        <v>1.0710000000000002</v>
      </c>
      <c r="K42" s="471">
        <v>0.98799999999999999</v>
      </c>
      <c r="M42" s="473" t="s">
        <v>1303</v>
      </c>
      <c r="N42" s="479">
        <v>0.35</v>
      </c>
      <c r="P42" s="473" t="s">
        <v>1304</v>
      </c>
      <c r="Q42" s="475">
        <v>6.2971418540652399E-2</v>
      </c>
      <c r="S42" s="168"/>
      <c r="T42" s="168"/>
      <c r="U42" s="168"/>
    </row>
    <row r="43" spans="1:21" x14ac:dyDescent="0.25">
      <c r="B43" s="466">
        <v>210</v>
      </c>
      <c r="C43" s="499">
        <v>0.1</v>
      </c>
      <c r="D43" s="467">
        <v>0.63</v>
      </c>
      <c r="E43" s="467">
        <v>0.83599999999999997</v>
      </c>
      <c r="F43" s="467">
        <v>0.90900000000000003</v>
      </c>
      <c r="G43" s="467">
        <v>0.59250000000000003</v>
      </c>
      <c r="H43" s="467">
        <v>0.32400000000000001</v>
      </c>
      <c r="I43" s="467">
        <v>0.64500000000000002</v>
      </c>
      <c r="J43" s="467">
        <v>0.99900000000000022</v>
      </c>
      <c r="K43" s="468">
        <v>0.89300000000000002</v>
      </c>
      <c r="M43" s="476" t="s">
        <v>1305</v>
      </c>
      <c r="N43" s="480">
        <v>1.3</v>
      </c>
      <c r="P43" s="476" t="s">
        <v>1306</v>
      </c>
      <c r="Q43" s="478">
        <v>6.8304751873985742E-2</v>
      </c>
      <c r="S43" s="168"/>
      <c r="T43" s="168"/>
      <c r="U43" s="168"/>
    </row>
    <row r="44" spans="1:21" x14ac:dyDescent="0.25">
      <c r="B44" s="469">
        <v>420</v>
      </c>
      <c r="C44" s="500">
        <v>0.2</v>
      </c>
      <c r="D44" s="470">
        <v>0.51</v>
      </c>
      <c r="E44" s="470">
        <v>0.72199999999999998</v>
      </c>
      <c r="F44" s="470">
        <v>0.80099999999999993</v>
      </c>
      <c r="G44" s="470">
        <v>0.52499999999999991</v>
      </c>
      <c r="H44" s="470">
        <v>0.28799999999999998</v>
      </c>
      <c r="I44" s="470">
        <v>0.56999999999999995</v>
      </c>
      <c r="J44" s="470">
        <v>0.89100000000000001</v>
      </c>
      <c r="K44" s="471">
        <v>0.78849999999999998</v>
      </c>
      <c r="L44" s="460" t="s">
        <v>1094</v>
      </c>
      <c r="M44" s="473" t="s">
        <v>1307</v>
      </c>
      <c r="N44" s="479">
        <v>1</v>
      </c>
      <c r="P44" s="473" t="s">
        <v>1308</v>
      </c>
      <c r="Q44" s="475">
        <v>7.0971418540652406E-2</v>
      </c>
      <c r="S44" s="168"/>
      <c r="T44" s="168"/>
      <c r="U44" s="168"/>
    </row>
    <row r="45" spans="1:21" x14ac:dyDescent="0.25">
      <c r="B45" s="466">
        <v>840</v>
      </c>
      <c r="C45" s="499">
        <v>0.4</v>
      </c>
      <c r="D45" s="467">
        <v>0.39</v>
      </c>
      <c r="E45" s="467">
        <v>0.55099999999999993</v>
      </c>
      <c r="F45" s="467">
        <v>0.63900000000000001</v>
      </c>
      <c r="G45" s="467">
        <v>0.42749999999999999</v>
      </c>
      <c r="H45" s="467">
        <v>0.22800000000000001</v>
      </c>
      <c r="I45" s="467">
        <v>0.46500000000000002</v>
      </c>
      <c r="J45" s="467">
        <v>0.72900000000000009</v>
      </c>
      <c r="K45" s="468">
        <v>0.58899999999999997</v>
      </c>
      <c r="L45" s="460" t="s">
        <v>1085</v>
      </c>
      <c r="M45" s="476" t="s">
        <v>1309</v>
      </c>
      <c r="N45" s="480">
        <v>0.95</v>
      </c>
      <c r="P45" s="481" t="s">
        <v>1310</v>
      </c>
      <c r="Q45" s="482">
        <v>7.2304751873985745E-2</v>
      </c>
      <c r="S45" s="168"/>
      <c r="T45" s="168"/>
      <c r="U45" s="168"/>
    </row>
    <row r="46" spans="1:21" x14ac:dyDescent="0.25">
      <c r="B46" s="469">
        <v>1260</v>
      </c>
      <c r="C46" s="500">
        <v>0.6</v>
      </c>
      <c r="D46" s="470">
        <v>0.35</v>
      </c>
      <c r="E46" s="470">
        <v>0.437</v>
      </c>
      <c r="F46" s="470">
        <v>0.52200000000000002</v>
      </c>
      <c r="G46" s="470">
        <v>0.35249999999999998</v>
      </c>
      <c r="H46" s="470">
        <v>0.19800000000000001</v>
      </c>
      <c r="I46" s="470">
        <v>0.38250000000000001</v>
      </c>
      <c r="J46" s="470">
        <v>0.58500000000000008</v>
      </c>
      <c r="K46" s="471">
        <v>0.45599999999999996</v>
      </c>
      <c r="L46" s="460" t="s">
        <v>1075</v>
      </c>
      <c r="M46" s="501" t="s">
        <v>1311</v>
      </c>
      <c r="N46" s="502">
        <v>0.9</v>
      </c>
      <c r="S46" s="168"/>
      <c r="T46" s="168"/>
      <c r="U46" s="168"/>
    </row>
    <row r="47" spans="1:21" x14ac:dyDescent="0.25">
      <c r="B47" s="466">
        <v>1680</v>
      </c>
      <c r="C47" s="499">
        <v>0.8</v>
      </c>
      <c r="D47" s="467">
        <v>0.3</v>
      </c>
      <c r="E47" s="467">
        <v>0.35149999999999998</v>
      </c>
      <c r="F47" s="467">
        <v>0.45</v>
      </c>
      <c r="G47" s="467">
        <v>0.3</v>
      </c>
      <c r="H47" s="467">
        <v>0.16800000000000004</v>
      </c>
      <c r="I47" s="467">
        <v>0.32250000000000001</v>
      </c>
      <c r="J47" s="467">
        <v>0.46800000000000008</v>
      </c>
      <c r="K47" s="468">
        <v>0.38</v>
      </c>
      <c r="S47" s="168"/>
      <c r="T47" s="168"/>
      <c r="U47" s="168"/>
    </row>
    <row r="48" spans="1:21" ht="13" thickBot="1" x14ac:dyDescent="0.3">
      <c r="B48" s="469">
        <v>2100</v>
      </c>
      <c r="C48" s="500">
        <v>1</v>
      </c>
      <c r="D48" s="470">
        <v>0.26</v>
      </c>
      <c r="E48" s="470">
        <v>0.29449999999999998</v>
      </c>
      <c r="F48" s="470">
        <v>0.378</v>
      </c>
      <c r="G48" s="470">
        <v>0.255</v>
      </c>
      <c r="H48" s="470">
        <v>0.15</v>
      </c>
      <c r="I48" s="470">
        <v>0.27749999999999997</v>
      </c>
      <c r="J48" s="470">
        <v>0.41400000000000009</v>
      </c>
      <c r="K48" s="471">
        <v>0.29449999999999998</v>
      </c>
      <c r="M48" s="461" t="s">
        <v>1318</v>
      </c>
      <c r="S48" s="168"/>
      <c r="T48" s="168"/>
      <c r="U48" s="168"/>
    </row>
    <row r="49" spans="1:27" x14ac:dyDescent="0.25">
      <c r="B49" s="466">
        <v>2520</v>
      </c>
      <c r="C49" s="499">
        <v>1.2</v>
      </c>
      <c r="D49" s="467">
        <v>0.23999999999999996</v>
      </c>
      <c r="E49" s="467">
        <v>0.247</v>
      </c>
      <c r="F49" s="467">
        <v>0.32399999999999995</v>
      </c>
      <c r="G49" s="467">
        <v>0.22499999999999998</v>
      </c>
      <c r="H49" s="467">
        <v>0.13200000000000001</v>
      </c>
      <c r="I49" s="467">
        <v>0.2475</v>
      </c>
      <c r="J49" s="467">
        <v>0.36000000000000004</v>
      </c>
      <c r="K49" s="468">
        <v>0.25650000000000001</v>
      </c>
      <c r="L49" s="487" t="s">
        <v>1094</v>
      </c>
      <c r="M49" s="488" t="s">
        <v>1307</v>
      </c>
      <c r="N49" s="503">
        <v>1</v>
      </c>
      <c r="S49" s="168"/>
      <c r="T49" s="168"/>
      <c r="U49" s="168"/>
    </row>
    <row r="50" spans="1:27" x14ac:dyDescent="0.25">
      <c r="B50" s="469">
        <v>2940</v>
      </c>
      <c r="C50" s="500">
        <v>1.4</v>
      </c>
      <c r="D50" s="470">
        <v>0.21</v>
      </c>
      <c r="E50" s="470">
        <v>0.2185</v>
      </c>
      <c r="F50" s="470">
        <v>0.28800000000000003</v>
      </c>
      <c r="G50" s="470">
        <v>0.20250000000000004</v>
      </c>
      <c r="H50" s="470">
        <v>0.12000000000000001</v>
      </c>
      <c r="I50" s="470">
        <v>0.21749999999999997</v>
      </c>
      <c r="J50" s="470">
        <v>0.30600000000000005</v>
      </c>
      <c r="K50" s="471">
        <v>0.22799999999999998</v>
      </c>
      <c r="L50" s="490" t="s">
        <v>1075</v>
      </c>
      <c r="M50" s="1413" t="s">
        <v>1311</v>
      </c>
      <c r="N50" s="504">
        <v>0.9</v>
      </c>
      <c r="S50" s="168"/>
      <c r="T50" s="168"/>
      <c r="U50" s="168"/>
    </row>
    <row r="51" spans="1:27" ht="13" thickBot="1" x14ac:dyDescent="0.35">
      <c r="B51" s="466">
        <v>3360</v>
      </c>
      <c r="C51" s="499">
        <v>1.6</v>
      </c>
      <c r="D51" s="467">
        <v>0.2</v>
      </c>
      <c r="E51" s="467">
        <v>0.20899999999999999</v>
      </c>
      <c r="F51" s="467">
        <v>0.26100000000000001</v>
      </c>
      <c r="G51" s="467">
        <v>0.17249999999999999</v>
      </c>
      <c r="H51" s="467">
        <v>0.10799999999999998</v>
      </c>
      <c r="I51" s="467">
        <v>0.20250000000000001</v>
      </c>
      <c r="J51" s="467">
        <v>0.27</v>
      </c>
      <c r="K51" s="468">
        <v>0.19949999999999998</v>
      </c>
      <c r="L51" s="492" t="s">
        <v>1085</v>
      </c>
      <c r="M51" s="493" t="s">
        <v>1309</v>
      </c>
      <c r="N51" s="505">
        <v>0.95</v>
      </c>
    </row>
    <row r="52" spans="1:27" x14ac:dyDescent="0.3">
      <c r="B52" s="469">
        <v>3780</v>
      </c>
      <c r="C52" s="500">
        <v>1.8</v>
      </c>
      <c r="D52" s="470">
        <v>0.18</v>
      </c>
      <c r="E52" s="470">
        <v>0.19000000000000003</v>
      </c>
      <c r="F52" s="470">
        <v>0.22500000000000001</v>
      </c>
      <c r="G52" s="470">
        <v>0.1575</v>
      </c>
      <c r="H52" s="470">
        <v>0.10200000000000001</v>
      </c>
      <c r="I52" s="470">
        <v>0.17249999999999999</v>
      </c>
      <c r="J52" s="470">
        <v>0.24300000000000005</v>
      </c>
      <c r="K52" s="471">
        <v>0.19</v>
      </c>
    </row>
    <row r="53" spans="1:27" x14ac:dyDescent="0.3">
      <c r="B53" s="484">
        <v>4200</v>
      </c>
      <c r="C53" s="506">
        <v>2</v>
      </c>
      <c r="D53" s="485">
        <v>0.17</v>
      </c>
      <c r="E53" s="485">
        <v>0.16150000000000003</v>
      </c>
      <c r="F53" s="485">
        <v>0.216</v>
      </c>
      <c r="G53" s="485">
        <v>0.1575</v>
      </c>
      <c r="H53" s="485">
        <v>9.6000000000000002E-2</v>
      </c>
      <c r="I53" s="485">
        <v>0.15749999999999997</v>
      </c>
      <c r="J53" s="485">
        <v>0.22500000000000001</v>
      </c>
      <c r="K53" s="486">
        <v>0.18049999999999999</v>
      </c>
    </row>
    <row r="55" spans="1:27" x14ac:dyDescent="0.3">
      <c r="A55" s="515" t="s">
        <v>1252</v>
      </c>
      <c r="B55" s="459" t="s">
        <v>1320</v>
      </c>
      <c r="M55" s="1585" t="s">
        <v>1331</v>
      </c>
      <c r="N55" s="1585"/>
      <c r="P55" s="461" t="s">
        <v>1322</v>
      </c>
    </row>
    <row r="57" spans="1:27" ht="52" x14ac:dyDescent="0.25">
      <c r="B57" s="462" t="s">
        <v>1297</v>
      </c>
      <c r="C57" s="463" t="s">
        <v>1298</v>
      </c>
      <c r="D57" s="497" t="s">
        <v>1230</v>
      </c>
      <c r="E57" s="497" t="s">
        <v>1231</v>
      </c>
      <c r="F57" s="497" t="s">
        <v>1232</v>
      </c>
      <c r="G57" s="497" t="s">
        <v>1233</v>
      </c>
      <c r="H57" s="497" t="s">
        <v>1234</v>
      </c>
      <c r="I57" s="497" t="s">
        <v>1235</v>
      </c>
      <c r="J57" s="497" t="s">
        <v>1236</v>
      </c>
      <c r="K57" s="498" t="s">
        <v>1237</v>
      </c>
      <c r="Y57" s="168"/>
      <c r="Z57" s="168"/>
      <c r="AA57" s="168"/>
    </row>
    <row r="58" spans="1:27" ht="13" x14ac:dyDescent="0.25">
      <c r="B58" s="466">
        <v>0</v>
      </c>
      <c r="C58" s="499">
        <v>0</v>
      </c>
      <c r="D58" s="467">
        <v>1.7084999999999997</v>
      </c>
      <c r="E58" s="467">
        <v>1.2368333333333332</v>
      </c>
      <c r="F58" s="467">
        <v>1.0010000000000001</v>
      </c>
      <c r="G58" s="467">
        <v>0.6296666666666666</v>
      </c>
      <c r="H58" s="467">
        <v>0.44400000000000001</v>
      </c>
      <c r="I58" s="467">
        <v>0.94133333333333336</v>
      </c>
      <c r="J58" s="467">
        <v>1.19</v>
      </c>
      <c r="K58" s="468">
        <v>1.5356666666666665</v>
      </c>
      <c r="M58" s="472" t="s">
        <v>1299</v>
      </c>
      <c r="N58" s="465" t="s">
        <v>1300</v>
      </c>
      <c r="P58" s="472" t="s">
        <v>1230</v>
      </c>
      <c r="Q58" s="497" t="s">
        <v>1231</v>
      </c>
      <c r="R58" s="497" t="s">
        <v>1232</v>
      </c>
      <c r="S58" s="497" t="s">
        <v>1233</v>
      </c>
      <c r="T58" s="497" t="s">
        <v>1234</v>
      </c>
      <c r="U58" s="497" t="s">
        <v>1235</v>
      </c>
      <c r="V58" s="497" t="s">
        <v>1236</v>
      </c>
      <c r="W58" s="498" t="s">
        <v>1237</v>
      </c>
      <c r="Y58" s="168"/>
      <c r="Z58" s="168"/>
      <c r="AA58" s="168"/>
    </row>
    <row r="59" spans="1:27" x14ac:dyDescent="0.25">
      <c r="B59" s="469">
        <v>105</v>
      </c>
      <c r="C59" s="500">
        <v>0.05</v>
      </c>
      <c r="D59" s="470">
        <v>1.6575</v>
      </c>
      <c r="E59" s="470">
        <v>1.1866914414414413</v>
      </c>
      <c r="F59" s="470">
        <v>0.91</v>
      </c>
      <c r="G59" s="470">
        <v>0.53279487179487173</v>
      </c>
      <c r="H59" s="470">
        <v>0.372</v>
      </c>
      <c r="I59" s="470">
        <v>0.79651282051282057</v>
      </c>
      <c r="J59" s="470">
        <v>1.0920000000000001</v>
      </c>
      <c r="K59" s="471">
        <v>1.4676308016877635</v>
      </c>
      <c r="M59" s="473" t="s">
        <v>1303</v>
      </c>
      <c r="N59" s="479">
        <v>0.3</v>
      </c>
      <c r="P59" s="516">
        <v>1</v>
      </c>
      <c r="Q59" s="517">
        <v>0.97499999999999998</v>
      </c>
      <c r="R59" s="517">
        <v>0.95</v>
      </c>
      <c r="S59" s="517">
        <v>0.92500000000000004</v>
      </c>
      <c r="T59" s="517">
        <v>0.9</v>
      </c>
      <c r="U59" s="517">
        <v>0.92500000000000004</v>
      </c>
      <c r="V59" s="517">
        <v>0.95</v>
      </c>
      <c r="W59" s="502">
        <v>0.97499999999999998</v>
      </c>
      <c r="Y59" s="168"/>
      <c r="Z59" s="168"/>
      <c r="AA59" s="168"/>
    </row>
    <row r="60" spans="1:27" x14ac:dyDescent="0.25">
      <c r="B60" s="466">
        <v>210</v>
      </c>
      <c r="C60" s="499">
        <v>0.1</v>
      </c>
      <c r="D60" s="467">
        <v>1.6575</v>
      </c>
      <c r="E60" s="467">
        <v>1.1365495495495495</v>
      </c>
      <c r="F60" s="467">
        <v>0.85800000000000021</v>
      </c>
      <c r="G60" s="467">
        <v>0.5005042735042734</v>
      </c>
      <c r="H60" s="467">
        <v>0.36</v>
      </c>
      <c r="I60" s="467">
        <v>0.77237606837606831</v>
      </c>
      <c r="J60" s="467">
        <v>1.0499999999999998</v>
      </c>
      <c r="K60" s="468">
        <v>1.4287531645569618</v>
      </c>
      <c r="M60" s="476" t="s">
        <v>1305</v>
      </c>
      <c r="N60" s="480">
        <v>1.1000000000000001</v>
      </c>
      <c r="O60" s="461" t="s">
        <v>1324</v>
      </c>
      <c r="P60" s="512">
        <v>1.2</v>
      </c>
      <c r="Q60" s="512">
        <v>1.17</v>
      </c>
      <c r="R60" s="512">
        <v>1.1399999999999999</v>
      </c>
      <c r="S60" s="512">
        <v>1.1100000000000001</v>
      </c>
      <c r="T60" s="512">
        <v>1.08</v>
      </c>
      <c r="U60" s="512">
        <v>1.1100000000000001</v>
      </c>
      <c r="V60" s="512">
        <v>1.1399999999999999</v>
      </c>
      <c r="W60" s="512">
        <v>1.17</v>
      </c>
      <c r="Y60" s="168"/>
      <c r="Z60" s="168"/>
      <c r="AA60" s="168"/>
    </row>
    <row r="61" spans="1:27" x14ac:dyDescent="0.25">
      <c r="B61" s="469">
        <v>420</v>
      </c>
      <c r="C61" s="500">
        <v>0.2</v>
      </c>
      <c r="D61" s="470">
        <v>1.3855</v>
      </c>
      <c r="E61" s="470">
        <v>1.0111948198198197</v>
      </c>
      <c r="F61" s="470">
        <v>0.76700000000000002</v>
      </c>
      <c r="G61" s="470">
        <v>0.45206837606837602</v>
      </c>
      <c r="H61" s="470">
        <v>0.32400000000000007</v>
      </c>
      <c r="I61" s="470">
        <v>0.67582905982905983</v>
      </c>
      <c r="J61" s="470">
        <v>0.93800000000000006</v>
      </c>
      <c r="K61" s="471">
        <v>1.2829620253164555</v>
      </c>
      <c r="M61" s="473" t="s">
        <v>1325</v>
      </c>
      <c r="N61" s="479">
        <v>1.2</v>
      </c>
      <c r="Y61" s="168"/>
      <c r="Z61" s="168"/>
      <c r="AA61" s="168"/>
    </row>
    <row r="62" spans="1:27" x14ac:dyDescent="0.25">
      <c r="B62" s="466">
        <v>840</v>
      </c>
      <c r="C62" s="499">
        <v>0.4</v>
      </c>
      <c r="D62" s="467">
        <v>1.2665</v>
      </c>
      <c r="E62" s="467">
        <v>0.83569819819819813</v>
      </c>
      <c r="F62" s="467">
        <v>0.63700000000000001</v>
      </c>
      <c r="G62" s="467">
        <v>0.38748717948717942</v>
      </c>
      <c r="H62" s="467">
        <v>0.27599999999999997</v>
      </c>
      <c r="I62" s="467">
        <v>0.57928205128205124</v>
      </c>
      <c r="J62" s="467">
        <v>0.77</v>
      </c>
      <c r="K62" s="468">
        <v>1.0691350210970463</v>
      </c>
      <c r="M62" s="476" t="s">
        <v>1326</v>
      </c>
      <c r="N62" s="480">
        <v>0.6</v>
      </c>
      <c r="P62" s="459" t="s">
        <v>1332</v>
      </c>
      <c r="Y62" s="168"/>
      <c r="Z62" s="168"/>
      <c r="AA62" s="168"/>
    </row>
    <row r="63" spans="1:27" ht="13" thickBot="1" x14ac:dyDescent="0.3">
      <c r="B63" s="469">
        <v>1260</v>
      </c>
      <c r="C63" s="500">
        <v>0.6</v>
      </c>
      <c r="D63" s="470">
        <v>1.0285</v>
      </c>
      <c r="E63" s="470">
        <v>0.69362950450450434</v>
      </c>
      <c r="F63" s="470">
        <v>0.52000000000000013</v>
      </c>
      <c r="G63" s="470">
        <v>0.33905128205128199</v>
      </c>
      <c r="H63" s="470">
        <v>0.252</v>
      </c>
      <c r="I63" s="470">
        <v>0.5068717948717949</v>
      </c>
      <c r="J63" s="470">
        <v>0.65800000000000003</v>
      </c>
      <c r="K63" s="471">
        <v>0.874746835443038</v>
      </c>
      <c r="L63" s="460" t="s">
        <v>1094</v>
      </c>
      <c r="M63" s="473" t="s">
        <v>1307</v>
      </c>
      <c r="N63" s="479">
        <v>1</v>
      </c>
      <c r="Y63" s="168"/>
      <c r="Z63" s="168"/>
      <c r="AA63" s="168"/>
    </row>
    <row r="64" spans="1:27" ht="13.5" thickBot="1" x14ac:dyDescent="0.3">
      <c r="B64" s="466">
        <v>1680</v>
      </c>
      <c r="C64" s="499">
        <v>0.8</v>
      </c>
      <c r="D64" s="467">
        <v>0.83299999999999996</v>
      </c>
      <c r="E64" s="467">
        <v>0.56827477477477473</v>
      </c>
      <c r="F64" s="467">
        <v>0.45500000000000002</v>
      </c>
      <c r="G64" s="467">
        <v>0.30676068376068372</v>
      </c>
      <c r="H64" s="467">
        <v>0.22799999999999998</v>
      </c>
      <c r="I64" s="467">
        <v>0.4585982905982906</v>
      </c>
      <c r="J64" s="467">
        <v>0.58799999999999997</v>
      </c>
      <c r="K64" s="468">
        <v>0.70951687763713067</v>
      </c>
      <c r="L64" s="460" t="s">
        <v>1085</v>
      </c>
      <c r="M64" s="476" t="s">
        <v>1309</v>
      </c>
      <c r="N64" s="480">
        <v>1</v>
      </c>
      <c r="P64" s="518" t="s">
        <v>1333</v>
      </c>
      <c r="Y64" s="168"/>
      <c r="Z64" s="168"/>
      <c r="AA64" s="168"/>
    </row>
    <row r="65" spans="2:27" ht="13.5" thickBot="1" x14ac:dyDescent="0.3">
      <c r="B65" s="469">
        <v>2100</v>
      </c>
      <c r="C65" s="500">
        <v>1</v>
      </c>
      <c r="D65" s="470">
        <v>0.68</v>
      </c>
      <c r="E65" s="470">
        <v>0.43456306306306303</v>
      </c>
      <c r="F65" s="470">
        <v>0.36400000000000005</v>
      </c>
      <c r="G65" s="470">
        <v>0.27447008547008545</v>
      </c>
      <c r="H65" s="470">
        <v>0.216</v>
      </c>
      <c r="I65" s="470">
        <v>0.41032478632478636</v>
      </c>
      <c r="J65" s="470">
        <v>0.504</v>
      </c>
      <c r="K65" s="471">
        <v>0.61232278481012647</v>
      </c>
      <c r="L65" s="460" t="s">
        <v>1075</v>
      </c>
      <c r="M65" s="501" t="s">
        <v>1311</v>
      </c>
      <c r="N65" s="502">
        <v>0.9</v>
      </c>
      <c r="P65" s="519">
        <v>10.124958786367181</v>
      </c>
      <c r="Y65" s="168"/>
      <c r="Z65" s="168"/>
      <c r="AA65" s="168"/>
    </row>
    <row r="66" spans="2:27" x14ac:dyDescent="0.25">
      <c r="B66" s="466">
        <v>2520</v>
      </c>
      <c r="C66" s="499">
        <v>1.2</v>
      </c>
      <c r="D66" s="467">
        <v>0.45900000000000002</v>
      </c>
      <c r="E66" s="467">
        <v>0.38442117117117114</v>
      </c>
      <c r="F66" s="467">
        <v>0.32500000000000001</v>
      </c>
      <c r="G66" s="467">
        <v>0.25832478632478628</v>
      </c>
      <c r="H66" s="467">
        <v>0.20400000000000001</v>
      </c>
      <c r="I66" s="467">
        <v>0.38618803418803416</v>
      </c>
      <c r="J66" s="467">
        <v>0.40599999999999997</v>
      </c>
      <c r="K66" s="468">
        <v>0.48597046413502099</v>
      </c>
      <c r="Y66" s="168"/>
      <c r="Z66" s="168"/>
      <c r="AA66" s="168"/>
    </row>
    <row r="67" spans="2:27" ht="13" thickBot="1" x14ac:dyDescent="0.3">
      <c r="B67" s="469">
        <v>2940</v>
      </c>
      <c r="C67" s="500">
        <v>1.4</v>
      </c>
      <c r="D67" s="470">
        <v>0.34</v>
      </c>
      <c r="E67" s="470">
        <v>0.28413738738738736</v>
      </c>
      <c r="F67" s="470">
        <v>0.27300000000000002</v>
      </c>
      <c r="G67" s="470">
        <v>0.24217948717948712</v>
      </c>
      <c r="H67" s="470">
        <v>0.192</v>
      </c>
      <c r="I67" s="470">
        <v>0.36205128205128201</v>
      </c>
      <c r="J67" s="470">
        <v>0.39200000000000007</v>
      </c>
      <c r="K67" s="471">
        <v>0.41793459915611814</v>
      </c>
      <c r="M67" s="461" t="s">
        <v>1334</v>
      </c>
      <c r="Y67" s="168"/>
      <c r="Z67" s="168"/>
      <c r="AA67" s="168"/>
    </row>
    <row r="68" spans="2:27" x14ac:dyDescent="0.3">
      <c r="B68" s="466">
        <v>3360</v>
      </c>
      <c r="C68" s="499">
        <v>1.6</v>
      </c>
      <c r="D68" s="467">
        <v>0.23800000000000002</v>
      </c>
      <c r="E68" s="467">
        <v>0.25070945945945944</v>
      </c>
      <c r="F68" s="467">
        <v>0.24700000000000003</v>
      </c>
      <c r="G68" s="467">
        <v>0.22603418803418801</v>
      </c>
      <c r="H68" s="467">
        <v>0.16800000000000001</v>
      </c>
      <c r="I68" s="467">
        <v>0.31377777777777777</v>
      </c>
      <c r="J68" s="467">
        <v>0.32200000000000001</v>
      </c>
      <c r="K68" s="468">
        <v>0.34989873417721512</v>
      </c>
      <c r="L68" s="487" t="s">
        <v>1094</v>
      </c>
      <c r="M68" s="488" t="s">
        <v>1305</v>
      </c>
      <c r="N68" s="503">
        <v>1</v>
      </c>
    </row>
    <row r="69" spans="2:27" x14ac:dyDescent="0.3">
      <c r="B69" s="469">
        <v>3780</v>
      </c>
      <c r="C69" s="500">
        <v>1.8</v>
      </c>
      <c r="D69" s="470">
        <v>0.187</v>
      </c>
      <c r="E69" s="470">
        <v>0.20892454954954953</v>
      </c>
      <c r="F69" s="470">
        <v>0.20800000000000002</v>
      </c>
      <c r="G69" s="470">
        <v>0.20988888888888885</v>
      </c>
      <c r="H69" s="470">
        <v>0.16800000000000001</v>
      </c>
      <c r="I69" s="470">
        <v>0.31377777777777777</v>
      </c>
      <c r="J69" s="470">
        <v>0.28000000000000003</v>
      </c>
      <c r="K69" s="471">
        <v>0.31102109704641345</v>
      </c>
      <c r="L69" s="490" t="s">
        <v>1075</v>
      </c>
      <c r="M69" s="1413" t="s">
        <v>1326</v>
      </c>
      <c r="N69" s="504">
        <v>0.9</v>
      </c>
    </row>
    <row r="70" spans="2:27" ht="13" thickBot="1" x14ac:dyDescent="0.35">
      <c r="B70" s="484">
        <v>4200</v>
      </c>
      <c r="C70" s="506">
        <v>2</v>
      </c>
      <c r="D70" s="485">
        <v>0.153</v>
      </c>
      <c r="E70" s="485">
        <v>0.15878265765765764</v>
      </c>
      <c r="F70" s="485">
        <v>0.19500000000000001</v>
      </c>
      <c r="G70" s="485">
        <v>0.19374358974358971</v>
      </c>
      <c r="H70" s="485">
        <v>0.16800000000000001</v>
      </c>
      <c r="I70" s="485">
        <v>0.28964102564102562</v>
      </c>
      <c r="J70" s="485">
        <v>0.26600000000000001</v>
      </c>
      <c r="K70" s="486">
        <v>0.23326582278481006</v>
      </c>
      <c r="L70" s="492" t="s">
        <v>1085</v>
      </c>
      <c r="M70" s="493" t="s">
        <v>1325</v>
      </c>
      <c r="N70" s="505">
        <v>1</v>
      </c>
    </row>
  </sheetData>
  <sheetProtection algorithmName="SHA-512" hashValue="N/UVYkIBVXEO8/SyQyPzEmZat2LJ+vG7GWJJfJ1Ib2kYWgVc+MMHkLEThStut5P5Cn6wMQhiMeEAZXG2b4syIA==" saltValue="5c4lgFEMr8LluRl2OHBGMA==" spinCount="100000" sheet="1" objects="1" scenarios="1" autoFilter="0"/>
  <mergeCells count="5">
    <mergeCell ref="M1:N1"/>
    <mergeCell ref="P1:Q1"/>
    <mergeCell ref="M18:N18"/>
    <mergeCell ref="M38:N38"/>
    <mergeCell ref="M55:N5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1"/>
  <dimension ref="A1:AF68"/>
  <sheetViews>
    <sheetView workbookViewId="0">
      <selection activeCell="K75" sqref="K75"/>
    </sheetView>
  </sheetViews>
  <sheetFormatPr defaultColWidth="8" defaultRowHeight="12.5" x14ac:dyDescent="0.25"/>
  <cols>
    <col min="1" max="1" width="26.58203125" style="460" customWidth="1"/>
    <col min="2" max="2" width="9" style="526" customWidth="1"/>
    <col min="3" max="3" width="8.08203125" style="526" customWidth="1"/>
    <col min="4" max="11" width="8.83203125" style="526" customWidth="1"/>
    <col min="12" max="12" width="8" style="526"/>
    <col min="13" max="13" width="55.5" style="168" customWidth="1"/>
    <col min="14" max="15" width="8" style="168"/>
    <col min="16" max="16" width="47.58203125" style="168" customWidth="1"/>
    <col min="17" max="18" width="11.08203125" style="168" customWidth="1"/>
    <col min="19" max="19" width="8" style="168"/>
    <col min="20" max="20" width="14.58203125" style="168" customWidth="1"/>
    <col min="21" max="21" width="15.83203125" style="168" customWidth="1"/>
    <col min="22" max="25" width="8" style="168"/>
    <col min="26" max="26" width="14.58203125" style="168" customWidth="1"/>
    <col min="27" max="27" width="15.83203125" style="168" customWidth="1"/>
    <col min="28" max="32" width="8" style="168"/>
    <col min="33" max="16384" width="8" style="526"/>
  </cols>
  <sheetData>
    <row r="1" spans="1:17" x14ac:dyDescent="0.25">
      <c r="A1" s="458" t="s">
        <v>1114</v>
      </c>
      <c r="B1" s="525" t="s">
        <v>1294</v>
      </c>
      <c r="M1" s="1587" t="s">
        <v>1319</v>
      </c>
      <c r="N1" s="1587"/>
      <c r="P1" s="1588" t="s">
        <v>1296</v>
      </c>
      <c r="Q1" s="1588"/>
    </row>
    <row r="2" spans="1:17" ht="52" x14ac:dyDescent="0.3">
      <c r="B2" s="527" t="s">
        <v>1340</v>
      </c>
      <c r="C2" s="528" t="s">
        <v>1335</v>
      </c>
      <c r="D2" s="529" t="s">
        <v>1230</v>
      </c>
      <c r="E2" s="529" t="s">
        <v>1231</v>
      </c>
      <c r="F2" s="529" t="s">
        <v>1232</v>
      </c>
      <c r="G2" s="529" t="s">
        <v>1233</v>
      </c>
      <c r="H2" s="529" t="s">
        <v>1234</v>
      </c>
      <c r="I2" s="529" t="s">
        <v>1235</v>
      </c>
      <c r="J2" s="529" t="s">
        <v>1236</v>
      </c>
      <c r="K2" s="530" t="s">
        <v>1237</v>
      </c>
    </row>
    <row r="3" spans="1:17" x14ac:dyDescent="0.25">
      <c r="B3" s="531">
        <v>0</v>
      </c>
      <c r="C3" s="532">
        <v>0</v>
      </c>
      <c r="D3" s="532">
        <v>1.008</v>
      </c>
      <c r="E3" s="532">
        <v>1.1880000000000002</v>
      </c>
      <c r="F3" s="532">
        <v>1.1499999999999999</v>
      </c>
      <c r="G3" s="532">
        <v>0.78299999999999992</v>
      </c>
      <c r="H3" s="532">
        <v>0.48799999999999999</v>
      </c>
      <c r="I3" s="532">
        <v>1.1025</v>
      </c>
      <c r="J3" s="532">
        <v>1.8199999999999998</v>
      </c>
      <c r="K3" s="533">
        <v>1.55</v>
      </c>
    </row>
    <row r="4" spans="1:17" ht="13" x14ac:dyDescent="0.3">
      <c r="B4" s="534">
        <v>105</v>
      </c>
      <c r="C4" s="535">
        <v>0.05</v>
      </c>
      <c r="D4" s="535">
        <v>0.85199999999999998</v>
      </c>
      <c r="E4" s="535">
        <v>1.0669999999999999</v>
      </c>
      <c r="F4" s="535">
        <v>1.05</v>
      </c>
      <c r="G4" s="535">
        <v>0.70199999999999996</v>
      </c>
      <c r="H4" s="535">
        <v>0.41600000000000004</v>
      </c>
      <c r="I4" s="535">
        <v>1.008</v>
      </c>
      <c r="J4" s="535">
        <v>1.6900000000000002</v>
      </c>
      <c r="K4" s="536">
        <v>1.4125000000000001</v>
      </c>
      <c r="M4" s="537" t="s">
        <v>1299</v>
      </c>
      <c r="N4" s="530" t="s">
        <v>1300</v>
      </c>
      <c r="P4" s="537" t="s">
        <v>1301</v>
      </c>
      <c r="Q4" s="530" t="s">
        <v>1302</v>
      </c>
    </row>
    <row r="5" spans="1:17" x14ac:dyDescent="0.25">
      <c r="B5" s="531">
        <v>210</v>
      </c>
      <c r="C5" s="532">
        <v>0.1</v>
      </c>
      <c r="D5" s="532">
        <v>0.78</v>
      </c>
      <c r="E5" s="532">
        <v>0.9900000000000001</v>
      </c>
      <c r="F5" s="532">
        <v>0.99</v>
      </c>
      <c r="G5" s="532">
        <v>0.66599999999999993</v>
      </c>
      <c r="H5" s="532">
        <v>0.39200000000000002</v>
      </c>
      <c r="I5" s="532">
        <v>0.95550000000000002</v>
      </c>
      <c r="J5" s="532">
        <v>1.625</v>
      </c>
      <c r="K5" s="533">
        <v>1.3</v>
      </c>
      <c r="M5" s="538" t="s">
        <v>1303</v>
      </c>
      <c r="N5" s="539">
        <v>0.6</v>
      </c>
      <c r="P5" s="538" t="s">
        <v>1304</v>
      </c>
      <c r="Q5" s="540">
        <v>7.8644415883341229E-2</v>
      </c>
    </row>
    <row r="6" spans="1:17" x14ac:dyDescent="0.25">
      <c r="B6" s="534">
        <v>420</v>
      </c>
      <c r="C6" s="535">
        <v>0.2</v>
      </c>
      <c r="D6" s="535">
        <v>0.624</v>
      </c>
      <c r="E6" s="535">
        <v>0.84700000000000009</v>
      </c>
      <c r="F6" s="535">
        <v>0.88</v>
      </c>
      <c r="G6" s="535">
        <v>0.58499999999999996</v>
      </c>
      <c r="H6" s="535">
        <v>0.35199999999999998</v>
      </c>
      <c r="I6" s="535">
        <v>0.86099999999999988</v>
      </c>
      <c r="J6" s="535">
        <v>1.4560000000000002</v>
      </c>
      <c r="K6" s="536">
        <v>1.1375</v>
      </c>
      <c r="M6" s="541" t="s">
        <v>1305</v>
      </c>
      <c r="N6" s="542">
        <v>1.4</v>
      </c>
      <c r="P6" s="541" t="s">
        <v>1306</v>
      </c>
      <c r="Q6" s="543">
        <v>8.1692034930960278E-2</v>
      </c>
    </row>
    <row r="7" spans="1:17" x14ac:dyDescent="0.25">
      <c r="B7" s="531">
        <v>840</v>
      </c>
      <c r="C7" s="532">
        <v>0.4</v>
      </c>
      <c r="D7" s="532">
        <v>0.432</v>
      </c>
      <c r="E7" s="532">
        <v>0.63800000000000001</v>
      </c>
      <c r="F7" s="532">
        <v>0.71</v>
      </c>
      <c r="G7" s="532">
        <v>0.48599999999999999</v>
      </c>
      <c r="H7" s="532">
        <v>0.28799999999999998</v>
      </c>
      <c r="I7" s="532">
        <v>0.70350000000000013</v>
      </c>
      <c r="J7" s="532">
        <v>1.17</v>
      </c>
      <c r="K7" s="533">
        <v>0.86249999999999993</v>
      </c>
      <c r="L7" s="526" t="s">
        <v>1094</v>
      </c>
      <c r="M7" s="538" t="s">
        <v>1307</v>
      </c>
      <c r="N7" s="539">
        <v>1</v>
      </c>
      <c r="P7" s="538" t="s">
        <v>1308</v>
      </c>
      <c r="Q7" s="540">
        <v>8.3215844454769802E-2</v>
      </c>
    </row>
    <row r="8" spans="1:17" x14ac:dyDescent="0.25">
      <c r="B8" s="534">
        <v>1260</v>
      </c>
      <c r="C8" s="535">
        <v>0.6</v>
      </c>
      <c r="D8" s="535">
        <v>0.36</v>
      </c>
      <c r="E8" s="535">
        <v>0.47300000000000003</v>
      </c>
      <c r="F8" s="535">
        <v>0.61</v>
      </c>
      <c r="G8" s="535">
        <v>0.40499999999999997</v>
      </c>
      <c r="H8" s="535">
        <v>0.248</v>
      </c>
      <c r="I8" s="535">
        <v>0.60899999999999999</v>
      </c>
      <c r="J8" s="535">
        <v>0.98799999999999999</v>
      </c>
      <c r="K8" s="536">
        <v>0.63750000000000007</v>
      </c>
      <c r="L8" s="526" t="s">
        <v>1085</v>
      </c>
      <c r="M8" s="541" t="s">
        <v>1309</v>
      </c>
      <c r="N8" s="544">
        <v>0.89933232292464516</v>
      </c>
      <c r="P8" s="545" t="s">
        <v>1310</v>
      </c>
      <c r="Q8" s="546">
        <v>8.3977749216674558E-2</v>
      </c>
    </row>
    <row r="9" spans="1:17" x14ac:dyDescent="0.25">
      <c r="B9" s="531">
        <v>1680</v>
      </c>
      <c r="C9" s="532">
        <v>0.8</v>
      </c>
      <c r="D9" s="532">
        <v>0.312</v>
      </c>
      <c r="E9" s="532">
        <v>0.38500000000000001</v>
      </c>
      <c r="F9" s="532">
        <v>0.5</v>
      </c>
      <c r="G9" s="532">
        <v>0.34199999999999997</v>
      </c>
      <c r="H9" s="532">
        <v>0.20800000000000002</v>
      </c>
      <c r="I9" s="532">
        <v>0.52500000000000002</v>
      </c>
      <c r="J9" s="532">
        <v>0.85799999999999998</v>
      </c>
      <c r="K9" s="533">
        <v>0.50000000000000011</v>
      </c>
      <c r="L9" s="526" t="s">
        <v>1075</v>
      </c>
      <c r="M9" s="538" t="s">
        <v>1311</v>
      </c>
      <c r="N9" s="547">
        <v>0.83636060816966273</v>
      </c>
    </row>
    <row r="10" spans="1:17" x14ac:dyDescent="0.25">
      <c r="B10" s="534">
        <v>2100</v>
      </c>
      <c r="C10" s="535">
        <v>1</v>
      </c>
      <c r="D10" s="535">
        <v>0.26400000000000001</v>
      </c>
      <c r="E10" s="535">
        <v>0.31900000000000001</v>
      </c>
      <c r="F10" s="535">
        <v>0.42</v>
      </c>
      <c r="G10" s="535">
        <v>0.28799999999999998</v>
      </c>
      <c r="H10" s="535">
        <v>0.184</v>
      </c>
      <c r="I10" s="535">
        <v>0.441</v>
      </c>
      <c r="J10" s="535">
        <v>0.72800000000000009</v>
      </c>
      <c r="K10" s="536">
        <v>0.44999999999999996</v>
      </c>
      <c r="M10" s="545" t="s">
        <v>1312</v>
      </c>
      <c r="N10" s="548">
        <v>0.8</v>
      </c>
      <c r="O10" s="168" t="s">
        <v>1341</v>
      </c>
    </row>
    <row r="11" spans="1:17" x14ac:dyDescent="0.25">
      <c r="B11" s="531">
        <v>2520</v>
      </c>
      <c r="C11" s="532">
        <v>1.2</v>
      </c>
      <c r="D11" s="532">
        <v>0.24000000000000002</v>
      </c>
      <c r="E11" s="532">
        <v>0.26400000000000001</v>
      </c>
      <c r="F11" s="532">
        <v>0.37</v>
      </c>
      <c r="G11" s="532">
        <v>0.26099999999999995</v>
      </c>
      <c r="H11" s="532">
        <v>0.184</v>
      </c>
      <c r="I11" s="532">
        <v>0.40950000000000003</v>
      </c>
      <c r="J11" s="532">
        <v>0.624</v>
      </c>
      <c r="K11" s="533">
        <v>0.36249999999999999</v>
      </c>
    </row>
    <row r="12" spans="1:17" x14ac:dyDescent="0.25">
      <c r="B12" s="534">
        <v>2940</v>
      </c>
      <c r="C12" s="535">
        <v>1.4</v>
      </c>
      <c r="D12" s="535">
        <v>0.216</v>
      </c>
      <c r="E12" s="535">
        <v>0.24200000000000002</v>
      </c>
      <c r="F12" s="535">
        <v>0.32</v>
      </c>
      <c r="G12" s="535">
        <v>0.23399999999999999</v>
      </c>
      <c r="H12" s="535">
        <v>0.152</v>
      </c>
      <c r="I12" s="535">
        <v>0.35700000000000004</v>
      </c>
      <c r="J12" s="535">
        <v>0.54599999999999993</v>
      </c>
      <c r="K12" s="536">
        <v>0.32500000000000001</v>
      </c>
      <c r="M12" s="545" t="s">
        <v>1312</v>
      </c>
      <c r="N12" s="548">
        <v>0.38543816318512397</v>
      </c>
      <c r="O12" s="168" t="s">
        <v>1342</v>
      </c>
    </row>
    <row r="13" spans="1:17" x14ac:dyDescent="0.25">
      <c r="B13" s="531">
        <v>3360</v>
      </c>
      <c r="C13" s="532">
        <v>1.6</v>
      </c>
      <c r="D13" s="532">
        <v>0.19200000000000003</v>
      </c>
      <c r="E13" s="532">
        <v>0.20900000000000005</v>
      </c>
      <c r="F13" s="532">
        <v>0.28000000000000003</v>
      </c>
      <c r="G13" s="532">
        <v>0.21599999999999997</v>
      </c>
      <c r="H13" s="532">
        <v>0.14399999999999999</v>
      </c>
      <c r="I13" s="532">
        <v>0.32550000000000001</v>
      </c>
      <c r="J13" s="532">
        <v>0.49399999999999999</v>
      </c>
      <c r="K13" s="533">
        <v>0.26250000000000001</v>
      </c>
      <c r="L13" s="526" t="s">
        <v>1094</v>
      </c>
      <c r="M13" s="538" t="s">
        <v>1307</v>
      </c>
      <c r="N13" s="539">
        <v>1</v>
      </c>
    </row>
    <row r="14" spans="1:17" x14ac:dyDescent="0.25">
      <c r="B14" s="534">
        <v>3780</v>
      </c>
      <c r="C14" s="535">
        <v>1.8</v>
      </c>
      <c r="D14" s="535">
        <v>0.18</v>
      </c>
      <c r="E14" s="535">
        <v>0.19800000000000001</v>
      </c>
      <c r="F14" s="535">
        <v>0.26</v>
      </c>
      <c r="G14" s="535">
        <v>0.19800000000000001</v>
      </c>
      <c r="H14" s="535">
        <v>0.13600000000000001</v>
      </c>
      <c r="I14" s="535">
        <v>0.29399999999999998</v>
      </c>
      <c r="J14" s="535">
        <v>0.442</v>
      </c>
      <c r="K14" s="536">
        <v>0.25000000000000006</v>
      </c>
      <c r="L14" s="526" t="s">
        <v>1075</v>
      </c>
      <c r="M14" s="541" t="s">
        <v>1311</v>
      </c>
      <c r="N14" s="544">
        <v>0.83636060816966273</v>
      </c>
    </row>
    <row r="15" spans="1:17" x14ac:dyDescent="0.25">
      <c r="B15" s="549">
        <v>4200</v>
      </c>
      <c r="C15" s="550">
        <v>2</v>
      </c>
      <c r="D15" s="532">
        <v>0.16800000000000001</v>
      </c>
      <c r="E15" s="550">
        <v>0.18700000000000003</v>
      </c>
      <c r="F15" s="550">
        <v>0.24</v>
      </c>
      <c r="G15" s="550">
        <v>0.18899999999999997</v>
      </c>
      <c r="H15" s="550">
        <v>0.13600000000000001</v>
      </c>
      <c r="I15" s="550">
        <v>0.27300000000000002</v>
      </c>
      <c r="J15" s="550">
        <v>0.40300000000000002</v>
      </c>
      <c r="K15" s="551">
        <v>0.21250000000000002</v>
      </c>
      <c r="L15" s="526" t="s">
        <v>1085</v>
      </c>
      <c r="M15" s="538" t="s">
        <v>1309</v>
      </c>
      <c r="N15" s="547">
        <v>0.89933232292464516</v>
      </c>
    </row>
    <row r="18" spans="1:23" ht="18.75" customHeight="1" x14ac:dyDescent="0.25">
      <c r="A18" s="511" t="s">
        <v>1251</v>
      </c>
      <c r="B18" s="525" t="s">
        <v>1320</v>
      </c>
      <c r="M18" s="1587" t="s">
        <v>1319</v>
      </c>
      <c r="N18" s="1587"/>
      <c r="P18" s="168" t="s">
        <v>1322</v>
      </c>
    </row>
    <row r="20" spans="1:23" ht="52" x14ac:dyDescent="0.3">
      <c r="B20" s="527" t="s">
        <v>1340</v>
      </c>
      <c r="C20" s="528" t="s">
        <v>1335</v>
      </c>
      <c r="D20" s="529" t="s">
        <v>1230</v>
      </c>
      <c r="E20" s="529" t="s">
        <v>1231</v>
      </c>
      <c r="F20" s="529" t="s">
        <v>1232</v>
      </c>
      <c r="G20" s="529" t="s">
        <v>1233</v>
      </c>
      <c r="H20" s="529" t="s">
        <v>1234</v>
      </c>
      <c r="I20" s="529" t="s">
        <v>1235</v>
      </c>
      <c r="J20" s="529" t="s">
        <v>1236</v>
      </c>
      <c r="K20" s="530" t="s">
        <v>1237</v>
      </c>
    </row>
    <row r="21" spans="1:23" ht="13" x14ac:dyDescent="0.3">
      <c r="B21" s="531">
        <v>0</v>
      </c>
      <c r="C21" s="532">
        <v>0</v>
      </c>
      <c r="D21" s="532">
        <v>1.52</v>
      </c>
      <c r="E21" s="532">
        <v>1.4400000000000002</v>
      </c>
      <c r="F21" s="532">
        <v>1.2800000000000002</v>
      </c>
      <c r="G21" s="532">
        <v>0.76500000000000012</v>
      </c>
      <c r="H21" s="532">
        <v>0.77400000000000002</v>
      </c>
      <c r="I21" s="532">
        <v>0.74250000000000005</v>
      </c>
      <c r="J21" s="532">
        <v>1.32</v>
      </c>
      <c r="K21" s="533">
        <v>1.4533333333333334</v>
      </c>
      <c r="M21" s="537" t="s">
        <v>1299</v>
      </c>
      <c r="N21" s="530" t="s">
        <v>1300</v>
      </c>
      <c r="P21" s="1416" t="s">
        <v>1230</v>
      </c>
      <c r="Q21" s="1416" t="s">
        <v>1231</v>
      </c>
      <c r="R21" s="1416" t="s">
        <v>1232</v>
      </c>
      <c r="S21" s="1416" t="s">
        <v>1233</v>
      </c>
      <c r="T21" s="1416" t="s">
        <v>1234</v>
      </c>
      <c r="U21" s="1416" t="s">
        <v>1235</v>
      </c>
      <c r="V21" s="1416" t="s">
        <v>1236</v>
      </c>
      <c r="W21" s="1416" t="s">
        <v>1237</v>
      </c>
    </row>
    <row r="22" spans="1:23" x14ac:dyDescent="0.25">
      <c r="B22" s="534">
        <v>105</v>
      </c>
      <c r="C22" s="535">
        <v>0.05</v>
      </c>
      <c r="D22" s="535">
        <v>1.4720000000000002</v>
      </c>
      <c r="E22" s="535">
        <v>1.3594405594405599</v>
      </c>
      <c r="F22" s="535">
        <v>1.1680000000000001</v>
      </c>
      <c r="G22" s="535">
        <v>0.64600000000000013</v>
      </c>
      <c r="H22" s="535">
        <v>0.64800000000000002</v>
      </c>
      <c r="I22" s="535">
        <v>0.627</v>
      </c>
      <c r="J22" s="535">
        <v>1.2150000000000001</v>
      </c>
      <c r="K22" s="536">
        <v>1.3773420479302831</v>
      </c>
      <c r="M22" s="538" t="s">
        <v>1303</v>
      </c>
      <c r="N22" s="539">
        <v>0.6</v>
      </c>
      <c r="P22" s="1417">
        <v>1.05</v>
      </c>
      <c r="Q22" s="1417">
        <v>0.97500000000000009</v>
      </c>
      <c r="R22" s="1417">
        <v>0.9</v>
      </c>
      <c r="S22" s="1417">
        <v>0.85000000000000009</v>
      </c>
      <c r="T22" s="1417">
        <v>0.8</v>
      </c>
      <c r="U22" s="1417">
        <v>0.85000000000000009</v>
      </c>
      <c r="V22" s="1417">
        <v>0.9</v>
      </c>
      <c r="W22" s="1417">
        <v>0.97500000000000009</v>
      </c>
    </row>
    <row r="23" spans="1:23" x14ac:dyDescent="0.25">
      <c r="B23" s="531">
        <v>210</v>
      </c>
      <c r="C23" s="532">
        <v>0.1</v>
      </c>
      <c r="D23" s="532">
        <v>1.4560000000000002</v>
      </c>
      <c r="E23" s="532">
        <v>1.3090909090909093</v>
      </c>
      <c r="F23" s="532">
        <v>1.1200000000000001</v>
      </c>
      <c r="G23" s="532">
        <v>0.6120000000000001</v>
      </c>
      <c r="H23" s="532">
        <v>0.6120000000000001</v>
      </c>
      <c r="I23" s="532">
        <v>0.59399999999999997</v>
      </c>
      <c r="J23" s="532">
        <v>1.1400000000000001</v>
      </c>
      <c r="K23" s="533">
        <v>1.3488453159041394</v>
      </c>
      <c r="M23" s="541" t="s">
        <v>1305</v>
      </c>
      <c r="N23" s="542">
        <v>1.3</v>
      </c>
      <c r="O23" s="461" t="s">
        <v>1324</v>
      </c>
      <c r="P23" s="512">
        <v>0.99749999999999994</v>
      </c>
      <c r="Q23" s="512">
        <v>0.78374999999999995</v>
      </c>
      <c r="R23" s="512">
        <v>0.56999999999999995</v>
      </c>
      <c r="S23" s="512">
        <v>0.56999999999999995</v>
      </c>
      <c r="T23" s="512">
        <v>0.56999999999999995</v>
      </c>
      <c r="U23" s="512">
        <v>0.56999999999999995</v>
      </c>
      <c r="V23" s="512">
        <v>0.56999999999999995</v>
      </c>
      <c r="W23" s="512">
        <v>0.78374999999999995</v>
      </c>
    </row>
    <row r="24" spans="1:23" x14ac:dyDescent="0.25">
      <c r="B24" s="534">
        <v>420</v>
      </c>
      <c r="C24" s="535">
        <v>0.2</v>
      </c>
      <c r="D24" s="535">
        <v>1.2480000000000002</v>
      </c>
      <c r="E24" s="535">
        <v>1.1781818181818182</v>
      </c>
      <c r="F24" s="535">
        <v>0.9920000000000001</v>
      </c>
      <c r="G24" s="535">
        <v>0.54400000000000015</v>
      </c>
      <c r="H24" s="535">
        <v>0.54</v>
      </c>
      <c r="I24" s="535">
        <v>0.52800000000000002</v>
      </c>
      <c r="J24" s="535">
        <v>1.05</v>
      </c>
      <c r="K24" s="536">
        <v>1.2348583877995642</v>
      </c>
      <c r="M24" s="538" t="s">
        <v>1325</v>
      </c>
      <c r="N24" s="539">
        <v>1.1000000000000001</v>
      </c>
    </row>
    <row r="25" spans="1:23" x14ac:dyDescent="0.25">
      <c r="B25" s="531">
        <v>840</v>
      </c>
      <c r="C25" s="532">
        <v>0.4</v>
      </c>
      <c r="D25" s="532">
        <v>1.1440000000000001</v>
      </c>
      <c r="E25" s="532">
        <v>1.0170629370629374</v>
      </c>
      <c r="F25" s="532">
        <v>0.84800000000000009</v>
      </c>
      <c r="G25" s="532">
        <v>0.45900000000000007</v>
      </c>
      <c r="H25" s="532">
        <v>0.46800000000000008</v>
      </c>
      <c r="I25" s="532">
        <v>0.44550000000000001</v>
      </c>
      <c r="J25" s="532">
        <v>0.9</v>
      </c>
      <c r="K25" s="533">
        <v>1.0448801742919389</v>
      </c>
      <c r="M25" s="541" t="s">
        <v>1326</v>
      </c>
      <c r="N25" s="542">
        <v>0.7</v>
      </c>
      <c r="P25" s="525" t="s">
        <v>1327</v>
      </c>
    </row>
    <row r="26" spans="1:23" x14ac:dyDescent="0.25">
      <c r="B26" s="534">
        <v>1260</v>
      </c>
      <c r="C26" s="535">
        <v>0.6</v>
      </c>
      <c r="D26" s="535">
        <v>0.97599999999999998</v>
      </c>
      <c r="E26" s="535">
        <v>0.86601398601398616</v>
      </c>
      <c r="F26" s="535">
        <v>0.7200000000000002</v>
      </c>
      <c r="G26" s="535">
        <v>0.39100000000000001</v>
      </c>
      <c r="H26" s="535">
        <v>0.41400000000000003</v>
      </c>
      <c r="I26" s="535">
        <v>0.3795</v>
      </c>
      <c r="J26" s="535">
        <v>0.78</v>
      </c>
      <c r="K26" s="536">
        <v>0.90239651416122013</v>
      </c>
      <c r="L26" s="526" t="s">
        <v>1094</v>
      </c>
      <c r="M26" s="538" t="s">
        <v>1307</v>
      </c>
      <c r="N26" s="547">
        <v>1</v>
      </c>
    </row>
    <row r="27" spans="1:23" ht="13" x14ac:dyDescent="0.3">
      <c r="B27" s="531">
        <v>1680</v>
      </c>
      <c r="C27" s="532">
        <v>0.8</v>
      </c>
      <c r="D27" s="532">
        <v>0.86400000000000021</v>
      </c>
      <c r="E27" s="532">
        <v>0.73510489510489518</v>
      </c>
      <c r="F27" s="532">
        <v>0.6080000000000001</v>
      </c>
      <c r="G27" s="532">
        <v>0.35700000000000004</v>
      </c>
      <c r="H27" s="532">
        <v>0.378</v>
      </c>
      <c r="I27" s="532">
        <v>0.36299999999999999</v>
      </c>
      <c r="J27" s="532">
        <v>0.69000000000000006</v>
      </c>
      <c r="K27" s="533">
        <v>0.75041394335511991</v>
      </c>
      <c r="L27" s="526" t="s">
        <v>1085</v>
      </c>
      <c r="M27" s="541" t="s">
        <v>1309</v>
      </c>
      <c r="N27" s="544">
        <v>0.95768558840835138</v>
      </c>
      <c r="P27" s="552" t="s">
        <v>1336</v>
      </c>
    </row>
    <row r="28" spans="1:23" x14ac:dyDescent="0.25">
      <c r="B28" s="534">
        <v>2100</v>
      </c>
      <c r="C28" s="535">
        <v>1</v>
      </c>
      <c r="D28" s="535">
        <v>0.68800000000000006</v>
      </c>
      <c r="E28" s="535">
        <v>0.58405594405594408</v>
      </c>
      <c r="F28" s="535">
        <v>0.54400000000000004</v>
      </c>
      <c r="G28" s="535">
        <v>0.32300000000000006</v>
      </c>
      <c r="H28" s="535">
        <v>0.34200000000000003</v>
      </c>
      <c r="I28" s="535">
        <v>0.3135</v>
      </c>
      <c r="J28" s="535">
        <v>0.58500000000000008</v>
      </c>
      <c r="K28" s="536">
        <v>0.65542483660130713</v>
      </c>
      <c r="L28" s="526" t="s">
        <v>1075</v>
      </c>
      <c r="M28" s="538" t="s">
        <v>1311</v>
      </c>
      <c r="N28" s="547">
        <v>0.93149565027128711</v>
      </c>
      <c r="P28" s="553">
        <v>8.4489529606611775</v>
      </c>
    </row>
    <row r="29" spans="1:23" x14ac:dyDescent="0.25">
      <c r="B29" s="531">
        <v>2520</v>
      </c>
      <c r="C29" s="532">
        <v>1.2</v>
      </c>
      <c r="D29" s="532">
        <v>0.55999999999999994</v>
      </c>
      <c r="E29" s="532">
        <v>0.54377622377622392</v>
      </c>
      <c r="F29" s="532">
        <v>0.46400000000000002</v>
      </c>
      <c r="G29" s="532">
        <v>0.30600000000000005</v>
      </c>
      <c r="H29" s="532">
        <v>0.30600000000000005</v>
      </c>
      <c r="I29" s="532">
        <v>0.29699999999999999</v>
      </c>
      <c r="J29" s="532">
        <v>0.54</v>
      </c>
      <c r="K29" s="533">
        <v>0.55093681917211323</v>
      </c>
      <c r="M29" s="545" t="s">
        <v>1329</v>
      </c>
      <c r="N29" s="548">
        <v>0.95</v>
      </c>
      <c r="O29" s="168" t="s">
        <v>1341</v>
      </c>
    </row>
    <row r="30" spans="1:23" x14ac:dyDescent="0.25">
      <c r="B30" s="534">
        <v>2940</v>
      </c>
      <c r="C30" s="535">
        <v>1.4</v>
      </c>
      <c r="D30" s="535">
        <v>0.42400000000000004</v>
      </c>
      <c r="E30" s="535">
        <v>0.41286713286713295</v>
      </c>
      <c r="F30" s="535">
        <v>0.41600000000000009</v>
      </c>
      <c r="G30" s="535">
        <v>0.27200000000000008</v>
      </c>
      <c r="H30" s="535">
        <v>0.30600000000000005</v>
      </c>
      <c r="I30" s="535">
        <v>0.28050000000000003</v>
      </c>
      <c r="J30" s="535">
        <v>0.48000000000000004</v>
      </c>
      <c r="K30" s="536">
        <v>0.49394335511982573</v>
      </c>
    </row>
    <row r="31" spans="1:23" x14ac:dyDescent="0.25">
      <c r="B31" s="531">
        <v>3360</v>
      </c>
      <c r="C31" s="532">
        <v>1.6</v>
      </c>
      <c r="D31" s="532">
        <v>0.35199999999999998</v>
      </c>
      <c r="E31" s="532">
        <v>0.37258741258741263</v>
      </c>
      <c r="F31" s="532">
        <v>0.35200000000000004</v>
      </c>
      <c r="G31" s="532">
        <v>0.255</v>
      </c>
      <c r="H31" s="532">
        <v>0.28799999999999998</v>
      </c>
      <c r="I31" s="532">
        <v>0.2475</v>
      </c>
      <c r="J31" s="532">
        <v>0.4200000000000001</v>
      </c>
      <c r="K31" s="533">
        <v>0.41795206971677556</v>
      </c>
      <c r="M31" s="545" t="s">
        <v>1329</v>
      </c>
      <c r="N31" s="548">
        <v>0.96846973764409183</v>
      </c>
      <c r="O31" s="168" t="s">
        <v>1342</v>
      </c>
    </row>
    <row r="32" spans="1:23" x14ac:dyDescent="0.25">
      <c r="B32" s="534">
        <v>3780</v>
      </c>
      <c r="C32" s="535">
        <v>1.8</v>
      </c>
      <c r="D32" s="535">
        <v>0.25600000000000006</v>
      </c>
      <c r="E32" s="535">
        <v>0.30209790209790216</v>
      </c>
      <c r="F32" s="535">
        <v>0.33600000000000002</v>
      </c>
      <c r="G32" s="535">
        <v>0.23800000000000004</v>
      </c>
      <c r="H32" s="535">
        <v>0.27</v>
      </c>
      <c r="I32" s="535">
        <v>0.23100000000000001</v>
      </c>
      <c r="J32" s="535">
        <v>0.40500000000000003</v>
      </c>
      <c r="K32" s="536">
        <v>0.37995642701525056</v>
      </c>
      <c r="L32" s="526" t="s">
        <v>1094</v>
      </c>
      <c r="M32" s="538" t="s">
        <v>1307</v>
      </c>
      <c r="N32" s="539">
        <v>1</v>
      </c>
    </row>
    <row r="33" spans="1:20" x14ac:dyDescent="0.25">
      <c r="B33" s="549">
        <v>4200</v>
      </c>
      <c r="C33" s="550">
        <v>2</v>
      </c>
      <c r="D33" s="550">
        <v>0.19999999999999998</v>
      </c>
      <c r="E33" s="550">
        <v>0.27188811188811196</v>
      </c>
      <c r="F33" s="550">
        <v>0.32000000000000006</v>
      </c>
      <c r="G33" s="550">
        <v>0.22100000000000006</v>
      </c>
      <c r="H33" s="550">
        <v>0.252</v>
      </c>
      <c r="I33" s="550">
        <v>0.23100000000000001</v>
      </c>
      <c r="J33" s="550">
        <v>0.36</v>
      </c>
      <c r="K33" s="551">
        <v>0.30396514161220045</v>
      </c>
      <c r="L33" s="526" t="s">
        <v>1075</v>
      </c>
      <c r="M33" s="541" t="s">
        <v>1311</v>
      </c>
      <c r="N33" s="544">
        <v>0.93149565027128711</v>
      </c>
    </row>
    <row r="34" spans="1:20" x14ac:dyDescent="0.25">
      <c r="B34" s="554"/>
      <c r="C34" s="555"/>
      <c r="D34" s="555"/>
      <c r="E34" s="555"/>
      <c r="F34" s="555"/>
      <c r="G34" s="555"/>
      <c r="H34" s="555"/>
      <c r="I34" s="555"/>
      <c r="J34" s="555"/>
      <c r="K34" s="555"/>
      <c r="L34" s="526" t="s">
        <v>1085</v>
      </c>
      <c r="M34" s="538" t="s">
        <v>1309</v>
      </c>
      <c r="N34" s="547">
        <v>0.95768558840835138</v>
      </c>
    </row>
    <row r="36" spans="1:20" ht="18.75" customHeight="1" x14ac:dyDescent="0.25">
      <c r="B36" s="525" t="s">
        <v>1315</v>
      </c>
      <c r="M36" s="1587" t="s">
        <v>1316</v>
      </c>
      <c r="N36" s="1587"/>
      <c r="P36" s="525" t="s">
        <v>1317</v>
      </c>
    </row>
    <row r="38" spans="1:20" ht="52" x14ac:dyDescent="0.3">
      <c r="A38" s="495" t="s">
        <v>1242</v>
      </c>
      <c r="B38" s="527" t="s">
        <v>1340</v>
      </c>
      <c r="C38" s="528" t="s">
        <v>1335</v>
      </c>
      <c r="D38" s="556" t="s">
        <v>1230</v>
      </c>
      <c r="E38" s="556" t="s">
        <v>1231</v>
      </c>
      <c r="F38" s="556" t="s">
        <v>1232</v>
      </c>
      <c r="G38" s="556" t="s">
        <v>1233</v>
      </c>
      <c r="H38" s="556" t="s">
        <v>1234</v>
      </c>
      <c r="I38" s="556" t="s">
        <v>1235</v>
      </c>
      <c r="J38" s="556" t="s">
        <v>1236</v>
      </c>
      <c r="K38" s="557" t="s">
        <v>1237</v>
      </c>
    </row>
    <row r="39" spans="1:20" ht="13" x14ac:dyDescent="0.3">
      <c r="B39" s="531">
        <v>0</v>
      </c>
      <c r="C39" s="558">
        <v>0</v>
      </c>
      <c r="D39" s="532">
        <v>0.88200000000000001</v>
      </c>
      <c r="E39" s="532">
        <v>1.0530000000000002</v>
      </c>
      <c r="F39" s="532">
        <v>1.0349999999999999</v>
      </c>
      <c r="G39" s="532">
        <v>0.5655</v>
      </c>
      <c r="H39" s="532">
        <v>0.24399999999999999</v>
      </c>
      <c r="I39" s="532">
        <v>0.96074999999999999</v>
      </c>
      <c r="J39" s="532">
        <v>2.0019999999999998</v>
      </c>
      <c r="K39" s="533">
        <v>1.5375999999999999</v>
      </c>
      <c r="M39" s="537" t="s">
        <v>1299</v>
      </c>
      <c r="N39" s="530" t="s">
        <v>1300</v>
      </c>
      <c r="P39" s="537" t="s">
        <v>1301</v>
      </c>
      <c r="Q39" s="559" t="s">
        <v>1302</v>
      </c>
    </row>
    <row r="40" spans="1:20" x14ac:dyDescent="0.25">
      <c r="B40" s="534">
        <v>105</v>
      </c>
      <c r="C40" s="560">
        <v>0.05</v>
      </c>
      <c r="D40" s="535">
        <v>0.74550000000000005</v>
      </c>
      <c r="E40" s="535">
        <v>0.94574999999999998</v>
      </c>
      <c r="F40" s="535">
        <v>0.94499999999999995</v>
      </c>
      <c r="G40" s="535">
        <v>0.50700000000000001</v>
      </c>
      <c r="H40" s="535">
        <v>0.20800000000000002</v>
      </c>
      <c r="I40" s="535">
        <v>0.87839999999999996</v>
      </c>
      <c r="J40" s="535">
        <v>1.859</v>
      </c>
      <c r="K40" s="536">
        <v>1.4011999999999998</v>
      </c>
      <c r="M40" s="538" t="s">
        <v>1303</v>
      </c>
      <c r="N40" s="547">
        <v>0.8</v>
      </c>
      <c r="P40" s="538" t="s">
        <v>1304</v>
      </c>
      <c r="Q40" s="540">
        <v>9.6321593718147414E-2</v>
      </c>
    </row>
    <row r="41" spans="1:20" x14ac:dyDescent="0.25">
      <c r="B41" s="531">
        <v>210</v>
      </c>
      <c r="C41" s="558">
        <v>0.1</v>
      </c>
      <c r="D41" s="532">
        <v>0.6825</v>
      </c>
      <c r="E41" s="532">
        <v>0.87750000000000006</v>
      </c>
      <c r="F41" s="532">
        <v>0.8909999999999999</v>
      </c>
      <c r="G41" s="532">
        <v>0.48099999999999998</v>
      </c>
      <c r="H41" s="532">
        <v>0.19600000000000001</v>
      </c>
      <c r="I41" s="532">
        <v>0.83265</v>
      </c>
      <c r="J41" s="532">
        <v>1.7874999999999999</v>
      </c>
      <c r="K41" s="533">
        <v>1.2895999999999999</v>
      </c>
      <c r="M41" s="541" t="s">
        <v>1305</v>
      </c>
      <c r="N41" s="544">
        <v>1.6</v>
      </c>
      <c r="P41" s="541" t="s">
        <v>1306</v>
      </c>
      <c r="Q41" s="543">
        <v>9.8948064728480362E-2</v>
      </c>
    </row>
    <row r="42" spans="1:20" x14ac:dyDescent="0.25">
      <c r="B42" s="534">
        <v>420</v>
      </c>
      <c r="C42" s="560">
        <v>0.2</v>
      </c>
      <c r="D42" s="535">
        <v>0.54600000000000004</v>
      </c>
      <c r="E42" s="535">
        <v>0.75075000000000003</v>
      </c>
      <c r="F42" s="535">
        <v>0.79199999999999993</v>
      </c>
      <c r="G42" s="535">
        <v>0.42249999999999999</v>
      </c>
      <c r="H42" s="535">
        <v>0.17599999999999999</v>
      </c>
      <c r="I42" s="535">
        <v>0.75029999999999986</v>
      </c>
      <c r="J42" s="535">
        <v>1.6016000000000001</v>
      </c>
      <c r="K42" s="536">
        <v>1.1283999999999998</v>
      </c>
      <c r="L42" s="526" t="s">
        <v>1094</v>
      </c>
      <c r="M42" s="538" t="s">
        <v>1307</v>
      </c>
      <c r="N42" s="547">
        <v>1</v>
      </c>
      <c r="P42" s="538" t="s">
        <v>1308</v>
      </c>
      <c r="Q42" s="540">
        <v>0.10014191518772261</v>
      </c>
    </row>
    <row r="43" spans="1:20" x14ac:dyDescent="0.25">
      <c r="B43" s="531">
        <v>840</v>
      </c>
      <c r="C43" s="558">
        <v>0.4</v>
      </c>
      <c r="D43" s="532">
        <v>0.378</v>
      </c>
      <c r="E43" s="532">
        <v>0.5655</v>
      </c>
      <c r="F43" s="532">
        <v>0.6389999999999999</v>
      </c>
      <c r="G43" s="532">
        <v>0.35100000000000003</v>
      </c>
      <c r="H43" s="532">
        <v>0.14399999999999999</v>
      </c>
      <c r="I43" s="532">
        <v>0.61305000000000009</v>
      </c>
      <c r="J43" s="532">
        <v>1.2869999999999999</v>
      </c>
      <c r="K43" s="533">
        <v>0.85559999999999981</v>
      </c>
      <c r="L43" s="526" t="s">
        <v>1085</v>
      </c>
      <c r="M43" s="541" t="s">
        <v>1309</v>
      </c>
      <c r="N43" s="544">
        <v>0.96</v>
      </c>
      <c r="O43" s="168" t="s">
        <v>1343</v>
      </c>
      <c r="P43" s="545" t="s">
        <v>1310</v>
      </c>
      <c r="Q43" s="546">
        <v>0.10068457448737819</v>
      </c>
    </row>
    <row r="44" spans="1:20" x14ac:dyDescent="0.25">
      <c r="B44" s="534">
        <v>1260</v>
      </c>
      <c r="C44" s="560">
        <v>0.6</v>
      </c>
      <c r="D44" s="535">
        <v>0.315</v>
      </c>
      <c r="E44" s="535">
        <v>0.41925000000000007</v>
      </c>
      <c r="F44" s="535">
        <v>0.54900000000000004</v>
      </c>
      <c r="G44" s="535">
        <v>0.29250000000000004</v>
      </c>
      <c r="H44" s="535">
        <v>0.124</v>
      </c>
      <c r="I44" s="535">
        <v>0.53069999999999995</v>
      </c>
      <c r="J44" s="535">
        <v>1.0868</v>
      </c>
      <c r="K44" s="536">
        <v>0.63239999999999996</v>
      </c>
      <c r="L44" s="526" t="s">
        <v>1075</v>
      </c>
      <c r="M44" s="561" t="s">
        <v>1311</v>
      </c>
      <c r="N44" s="562">
        <v>0.83</v>
      </c>
      <c r="O44" s="168" t="s">
        <v>1343</v>
      </c>
    </row>
    <row r="45" spans="1:20" x14ac:dyDescent="0.25">
      <c r="B45" s="531">
        <v>1680</v>
      </c>
      <c r="C45" s="558">
        <v>0.8</v>
      </c>
      <c r="D45" s="532">
        <v>0.27300000000000002</v>
      </c>
      <c r="E45" s="532">
        <v>0.34125</v>
      </c>
      <c r="F45" s="532">
        <v>0.45</v>
      </c>
      <c r="G45" s="532">
        <v>0.24700000000000003</v>
      </c>
      <c r="H45" s="532">
        <v>0.10400000000000001</v>
      </c>
      <c r="I45" s="532">
        <v>0.45749999999999996</v>
      </c>
      <c r="J45" s="532">
        <v>0.94379999999999997</v>
      </c>
      <c r="K45" s="533">
        <v>0.49600000000000005</v>
      </c>
    </row>
    <row r="46" spans="1:20" ht="13" thickBot="1" x14ac:dyDescent="0.3">
      <c r="B46" s="534">
        <v>2100</v>
      </c>
      <c r="C46" s="560">
        <v>1</v>
      </c>
      <c r="D46" s="535">
        <v>0.23100000000000001</v>
      </c>
      <c r="E46" s="535">
        <v>0.28275</v>
      </c>
      <c r="F46" s="535">
        <v>0.37799999999999995</v>
      </c>
      <c r="G46" s="535">
        <v>0.20799999999999999</v>
      </c>
      <c r="H46" s="535">
        <v>9.1999999999999998E-2</v>
      </c>
      <c r="I46" s="535">
        <v>0.38429999999999997</v>
      </c>
      <c r="J46" s="535">
        <v>0.80080000000000007</v>
      </c>
      <c r="K46" s="536">
        <v>0.44639999999999991</v>
      </c>
      <c r="L46" s="460"/>
      <c r="M46" s="461" t="s">
        <v>1318</v>
      </c>
      <c r="N46" s="461"/>
    </row>
    <row r="47" spans="1:20" x14ac:dyDescent="0.25">
      <c r="B47" s="531">
        <v>2520</v>
      </c>
      <c r="C47" s="558">
        <v>1.2</v>
      </c>
      <c r="D47" s="532">
        <v>0.21000000000000002</v>
      </c>
      <c r="E47" s="532">
        <v>0.23400000000000001</v>
      </c>
      <c r="F47" s="532">
        <v>0.33300000000000002</v>
      </c>
      <c r="G47" s="532">
        <v>0.1885</v>
      </c>
      <c r="H47" s="532">
        <v>9.1999999999999998E-2</v>
      </c>
      <c r="I47" s="532">
        <v>0.35685</v>
      </c>
      <c r="J47" s="532">
        <v>0.6863999999999999</v>
      </c>
      <c r="K47" s="533">
        <v>0.35959999999999992</v>
      </c>
      <c r="L47" s="487" t="s">
        <v>1094</v>
      </c>
      <c r="M47" s="488" t="s">
        <v>1307</v>
      </c>
      <c r="N47" s="503">
        <v>1</v>
      </c>
    </row>
    <row r="48" spans="1:20" x14ac:dyDescent="0.25">
      <c r="B48" s="534">
        <v>2940</v>
      </c>
      <c r="C48" s="560">
        <v>1.4</v>
      </c>
      <c r="D48" s="535">
        <v>0.189</v>
      </c>
      <c r="E48" s="535">
        <v>0.21450000000000002</v>
      </c>
      <c r="F48" s="535">
        <v>0.28799999999999998</v>
      </c>
      <c r="G48" s="535">
        <v>0.16900000000000001</v>
      </c>
      <c r="H48" s="535">
        <v>7.5999999999999998E-2</v>
      </c>
      <c r="I48" s="535">
        <v>0.31109999999999999</v>
      </c>
      <c r="J48" s="535">
        <v>0.60059999999999991</v>
      </c>
      <c r="K48" s="536">
        <v>0.32239999999999996</v>
      </c>
      <c r="L48" s="490" t="s">
        <v>1075</v>
      </c>
      <c r="M48" s="1413" t="s">
        <v>1311</v>
      </c>
      <c r="N48" s="504">
        <v>0.83</v>
      </c>
      <c r="T48" s="507"/>
    </row>
    <row r="49" spans="1:23" ht="13" thickBot="1" x14ac:dyDescent="0.3">
      <c r="B49" s="531">
        <v>3360</v>
      </c>
      <c r="C49" s="558">
        <v>1.6</v>
      </c>
      <c r="D49" s="532">
        <v>0.16800000000000001</v>
      </c>
      <c r="E49" s="532">
        <v>0.18525000000000003</v>
      </c>
      <c r="F49" s="532">
        <v>0.252</v>
      </c>
      <c r="G49" s="532">
        <v>0.156</v>
      </c>
      <c r="H49" s="532">
        <v>7.1999999999999995E-2</v>
      </c>
      <c r="I49" s="532">
        <v>0.28365000000000001</v>
      </c>
      <c r="J49" s="532">
        <v>0.54339999999999999</v>
      </c>
      <c r="K49" s="533">
        <v>0.26039999999999996</v>
      </c>
      <c r="L49" s="492" t="s">
        <v>1085</v>
      </c>
      <c r="M49" s="493" t="s">
        <v>1309</v>
      </c>
      <c r="N49" s="505">
        <v>0.96</v>
      </c>
    </row>
    <row r="50" spans="1:23" x14ac:dyDescent="0.25">
      <c r="B50" s="534">
        <v>3780</v>
      </c>
      <c r="C50" s="560">
        <v>1.8</v>
      </c>
      <c r="D50" s="535">
        <v>0.1575</v>
      </c>
      <c r="E50" s="535">
        <v>0.17550000000000002</v>
      </c>
      <c r="F50" s="535">
        <v>0.23400000000000001</v>
      </c>
      <c r="G50" s="535">
        <v>0.14300000000000002</v>
      </c>
      <c r="H50" s="535">
        <v>6.8000000000000005E-2</v>
      </c>
      <c r="I50" s="535">
        <v>0.25619999999999998</v>
      </c>
      <c r="J50" s="535">
        <v>0.48620000000000002</v>
      </c>
      <c r="K50" s="536">
        <v>0.24800000000000003</v>
      </c>
    </row>
    <row r="51" spans="1:23" x14ac:dyDescent="0.25">
      <c r="B51" s="549">
        <v>4200</v>
      </c>
      <c r="C51" s="563">
        <v>2</v>
      </c>
      <c r="D51" s="550">
        <v>0.14700000000000002</v>
      </c>
      <c r="E51" s="550">
        <v>0.16575000000000004</v>
      </c>
      <c r="F51" s="550">
        <v>0.216</v>
      </c>
      <c r="G51" s="550">
        <v>0.13649999999999998</v>
      </c>
      <c r="H51" s="550">
        <v>6.8000000000000005E-2</v>
      </c>
      <c r="I51" s="550">
        <v>0.2379</v>
      </c>
      <c r="J51" s="550">
        <v>0.44329999999999997</v>
      </c>
      <c r="K51" s="551">
        <v>0.21080000000000002</v>
      </c>
    </row>
    <row r="53" spans="1:23" ht="18.75" customHeight="1" x14ac:dyDescent="0.25">
      <c r="B53" s="525" t="s">
        <v>1320</v>
      </c>
      <c r="M53" s="1587" t="s">
        <v>1331</v>
      </c>
      <c r="N53" s="1587"/>
      <c r="P53" s="168" t="s">
        <v>1322</v>
      </c>
    </row>
    <row r="55" spans="1:23" ht="52" x14ac:dyDescent="0.3">
      <c r="A55" s="515" t="s">
        <v>1252</v>
      </c>
      <c r="B55" s="527" t="s">
        <v>1340</v>
      </c>
      <c r="C55" s="528" t="s">
        <v>1335</v>
      </c>
      <c r="D55" s="556" t="s">
        <v>1230</v>
      </c>
      <c r="E55" s="556" t="s">
        <v>1231</v>
      </c>
      <c r="F55" s="556" t="s">
        <v>1232</v>
      </c>
      <c r="G55" s="556" t="s">
        <v>1233</v>
      </c>
      <c r="H55" s="556" t="s">
        <v>1234</v>
      </c>
      <c r="I55" s="556" t="s">
        <v>1235</v>
      </c>
      <c r="J55" s="556" t="s">
        <v>1236</v>
      </c>
      <c r="K55" s="557" t="s">
        <v>1237</v>
      </c>
    </row>
    <row r="56" spans="1:23" ht="13" x14ac:dyDescent="0.3">
      <c r="B56" s="531">
        <v>0</v>
      </c>
      <c r="C56" s="558">
        <v>0</v>
      </c>
      <c r="D56" s="532">
        <v>1.615</v>
      </c>
      <c r="E56" s="532">
        <v>1.3116666666666665</v>
      </c>
      <c r="F56" s="532">
        <v>1.1599999999999999</v>
      </c>
      <c r="G56" s="532">
        <v>0.71633333333333327</v>
      </c>
      <c r="H56" s="532">
        <v>0.49449999999999994</v>
      </c>
      <c r="I56" s="532">
        <v>0.89816666666666678</v>
      </c>
      <c r="J56" s="532">
        <v>1.1000000000000001</v>
      </c>
      <c r="K56" s="533">
        <v>1.4433333333333334</v>
      </c>
      <c r="M56" s="537" t="s">
        <v>1299</v>
      </c>
      <c r="N56" s="530" t="s">
        <v>1300</v>
      </c>
      <c r="P56" s="537" t="s">
        <v>1230</v>
      </c>
      <c r="Q56" s="556" t="s">
        <v>1231</v>
      </c>
      <c r="R56" s="556" t="s">
        <v>1232</v>
      </c>
      <c r="S56" s="556" t="s">
        <v>1233</v>
      </c>
      <c r="T56" s="556" t="s">
        <v>1234</v>
      </c>
      <c r="U56" s="556" t="s">
        <v>1235</v>
      </c>
      <c r="V56" s="556" t="s">
        <v>1236</v>
      </c>
      <c r="W56" s="557" t="s">
        <v>1237</v>
      </c>
    </row>
    <row r="57" spans="1:23" x14ac:dyDescent="0.25">
      <c r="B57" s="534">
        <v>105</v>
      </c>
      <c r="C57" s="560">
        <v>0.05</v>
      </c>
      <c r="D57" s="535">
        <v>1.5640000000000003</v>
      </c>
      <c r="E57" s="535">
        <v>1.2382867132867132</v>
      </c>
      <c r="F57" s="535">
        <v>1.0585</v>
      </c>
      <c r="G57" s="535">
        <v>0.60490370370370361</v>
      </c>
      <c r="H57" s="535">
        <v>0.41399999999999992</v>
      </c>
      <c r="I57" s="535">
        <v>0.75845185185185193</v>
      </c>
      <c r="J57" s="535">
        <v>1.0125000000000002</v>
      </c>
      <c r="K57" s="536">
        <v>1.3678649237472766</v>
      </c>
      <c r="M57" s="538" t="s">
        <v>1303</v>
      </c>
      <c r="N57" s="547">
        <v>1</v>
      </c>
      <c r="P57" s="564">
        <v>1</v>
      </c>
      <c r="Q57" s="565">
        <v>0.9</v>
      </c>
      <c r="R57" s="565">
        <v>0.8</v>
      </c>
      <c r="S57" s="565">
        <v>0.8</v>
      </c>
      <c r="T57" s="565">
        <v>0.8</v>
      </c>
      <c r="U57" s="565">
        <v>0.8</v>
      </c>
      <c r="V57" s="565">
        <v>0.8</v>
      </c>
      <c r="W57" s="562">
        <v>0.9</v>
      </c>
    </row>
    <row r="58" spans="1:23" x14ac:dyDescent="0.25">
      <c r="B58" s="531">
        <v>210</v>
      </c>
      <c r="C58" s="558">
        <v>0.1</v>
      </c>
      <c r="D58" s="532">
        <v>1.5470000000000002</v>
      </c>
      <c r="E58" s="532">
        <v>1.1924242424242424</v>
      </c>
      <c r="F58" s="532">
        <v>1.0149999999999999</v>
      </c>
      <c r="G58" s="532">
        <v>0.57306666666666661</v>
      </c>
      <c r="H58" s="532">
        <v>0.39100000000000001</v>
      </c>
      <c r="I58" s="532">
        <v>0.71853333333333336</v>
      </c>
      <c r="J58" s="532">
        <v>0.95000000000000007</v>
      </c>
      <c r="K58" s="533">
        <v>1.3395642701525055</v>
      </c>
      <c r="M58" s="541" t="s">
        <v>1305</v>
      </c>
      <c r="N58" s="544">
        <v>1.4</v>
      </c>
      <c r="O58" s="461" t="s">
        <v>1324</v>
      </c>
      <c r="P58" s="512">
        <v>1</v>
      </c>
      <c r="Q58" s="512">
        <v>0.9</v>
      </c>
      <c r="R58" s="512">
        <v>0.8</v>
      </c>
      <c r="S58" s="512">
        <v>0.8</v>
      </c>
      <c r="T58" s="512">
        <v>0.8</v>
      </c>
      <c r="U58" s="512">
        <v>0.8</v>
      </c>
      <c r="V58" s="512">
        <v>0.8</v>
      </c>
      <c r="W58" s="512">
        <v>0.9</v>
      </c>
    </row>
    <row r="59" spans="1:23" x14ac:dyDescent="0.25">
      <c r="B59" s="534">
        <v>420</v>
      </c>
      <c r="C59" s="560">
        <v>0.2</v>
      </c>
      <c r="D59" s="535">
        <v>1.3260000000000001</v>
      </c>
      <c r="E59" s="535">
        <v>1.073181818181818</v>
      </c>
      <c r="F59" s="535">
        <v>0.8989999999999998</v>
      </c>
      <c r="G59" s="535">
        <v>0.50939259259259262</v>
      </c>
      <c r="H59" s="535">
        <v>0.34499999999999997</v>
      </c>
      <c r="I59" s="535">
        <v>0.63869629629629643</v>
      </c>
      <c r="J59" s="535">
        <v>0.875</v>
      </c>
      <c r="K59" s="536">
        <v>1.2263616557734205</v>
      </c>
      <c r="M59" s="538" t="s">
        <v>1325</v>
      </c>
      <c r="N59" s="547">
        <v>1.1000000000000001</v>
      </c>
    </row>
    <row r="60" spans="1:23" x14ac:dyDescent="0.25">
      <c r="B60" s="531">
        <v>840</v>
      </c>
      <c r="C60" s="558">
        <v>0.4</v>
      </c>
      <c r="D60" s="532">
        <v>1.2155</v>
      </c>
      <c r="E60" s="532">
        <v>0.92642191142191144</v>
      </c>
      <c r="F60" s="532">
        <v>0.76849999999999996</v>
      </c>
      <c r="G60" s="532">
        <v>0.42979999999999996</v>
      </c>
      <c r="H60" s="532">
        <v>0.29899999999999999</v>
      </c>
      <c r="I60" s="532">
        <v>0.53890000000000005</v>
      </c>
      <c r="J60" s="532">
        <v>0.75</v>
      </c>
      <c r="K60" s="533">
        <v>1.0376906318082788</v>
      </c>
      <c r="M60" s="541" t="s">
        <v>1326</v>
      </c>
      <c r="N60" s="544">
        <v>1.35</v>
      </c>
      <c r="P60" s="525" t="s">
        <v>1332</v>
      </c>
    </row>
    <row r="61" spans="1:23" ht="13" thickBot="1" x14ac:dyDescent="0.3">
      <c r="B61" s="534">
        <v>1260</v>
      </c>
      <c r="C61" s="560">
        <v>0.6</v>
      </c>
      <c r="D61" s="535">
        <v>1.0369999999999999</v>
      </c>
      <c r="E61" s="535">
        <v>0.78883449883449885</v>
      </c>
      <c r="F61" s="535">
        <v>0.65249999999999997</v>
      </c>
      <c r="G61" s="535">
        <v>0.36612592592592585</v>
      </c>
      <c r="H61" s="535">
        <v>0.26450000000000001</v>
      </c>
      <c r="I61" s="535">
        <v>0.45906296296296301</v>
      </c>
      <c r="J61" s="535">
        <v>0.65000000000000013</v>
      </c>
      <c r="K61" s="536">
        <v>0.89618736383442266</v>
      </c>
      <c r="L61" s="526" t="s">
        <v>1094</v>
      </c>
      <c r="M61" s="538" t="s">
        <v>1307</v>
      </c>
      <c r="N61" s="547">
        <v>1</v>
      </c>
    </row>
    <row r="62" spans="1:23" ht="13.5" thickBot="1" x14ac:dyDescent="0.3">
      <c r="B62" s="531">
        <v>1680</v>
      </c>
      <c r="C62" s="558">
        <v>0.8</v>
      </c>
      <c r="D62" s="532">
        <v>0.91800000000000015</v>
      </c>
      <c r="E62" s="532">
        <v>0.66959207459207459</v>
      </c>
      <c r="F62" s="532">
        <v>0.55099999999999993</v>
      </c>
      <c r="G62" s="532">
        <v>0.3342888888888888</v>
      </c>
      <c r="H62" s="532">
        <v>0.24149999999999996</v>
      </c>
      <c r="I62" s="532">
        <v>0.43910370370370372</v>
      </c>
      <c r="J62" s="532">
        <v>0.57500000000000007</v>
      </c>
      <c r="K62" s="533">
        <v>0.74525054466230944</v>
      </c>
      <c r="L62" s="526" t="s">
        <v>1085</v>
      </c>
      <c r="M62" s="541" t="s">
        <v>1309</v>
      </c>
      <c r="N62" s="544">
        <v>0.96</v>
      </c>
      <c r="O62" s="168" t="s">
        <v>1343</v>
      </c>
      <c r="P62" s="518" t="s">
        <v>1333</v>
      </c>
    </row>
    <row r="63" spans="1:23" ht="13.5" thickBot="1" x14ac:dyDescent="0.3">
      <c r="B63" s="534">
        <v>2100</v>
      </c>
      <c r="C63" s="560">
        <v>1</v>
      </c>
      <c r="D63" s="535">
        <v>0.73099999999999998</v>
      </c>
      <c r="E63" s="535">
        <v>0.5320046620046619</v>
      </c>
      <c r="F63" s="535">
        <v>0.49299999999999994</v>
      </c>
      <c r="G63" s="535">
        <v>0.30245185185185181</v>
      </c>
      <c r="H63" s="535">
        <v>0.21849999999999997</v>
      </c>
      <c r="I63" s="535">
        <v>0.37922592592592597</v>
      </c>
      <c r="J63" s="535">
        <v>0.48750000000000004</v>
      </c>
      <c r="K63" s="536">
        <v>0.65091503267973849</v>
      </c>
      <c r="L63" s="526" t="s">
        <v>1075</v>
      </c>
      <c r="M63" s="561" t="s">
        <v>1311</v>
      </c>
      <c r="N63" s="566">
        <v>0.83</v>
      </c>
      <c r="O63" s="168" t="s">
        <v>1343</v>
      </c>
      <c r="P63" s="519">
        <v>6.0640475483087757</v>
      </c>
    </row>
    <row r="64" spans="1:23" x14ac:dyDescent="0.25">
      <c r="B64" s="531">
        <v>2520</v>
      </c>
      <c r="C64" s="558">
        <v>1.2</v>
      </c>
      <c r="D64" s="532">
        <v>0.59499999999999997</v>
      </c>
      <c r="E64" s="532">
        <v>0.49531468531468531</v>
      </c>
      <c r="F64" s="532">
        <v>0.42049999999999987</v>
      </c>
      <c r="G64" s="532">
        <v>0.28653333333333331</v>
      </c>
      <c r="H64" s="532">
        <v>0.19550000000000001</v>
      </c>
      <c r="I64" s="532">
        <v>0.35926666666666668</v>
      </c>
      <c r="J64" s="532">
        <v>0.45</v>
      </c>
      <c r="K64" s="533">
        <v>0.5471459694989107</v>
      </c>
    </row>
    <row r="65" spans="2:14" ht="13" thickBot="1" x14ac:dyDescent="0.3">
      <c r="B65" s="534">
        <v>2940</v>
      </c>
      <c r="C65" s="560">
        <v>1.4</v>
      </c>
      <c r="D65" s="535">
        <v>0.45050000000000007</v>
      </c>
      <c r="E65" s="535">
        <v>0.37607226107226105</v>
      </c>
      <c r="F65" s="535">
        <v>0.377</v>
      </c>
      <c r="G65" s="535">
        <v>0.25469629629629631</v>
      </c>
      <c r="H65" s="535">
        <v>0.19550000000000001</v>
      </c>
      <c r="I65" s="535">
        <v>0.33930740740740745</v>
      </c>
      <c r="J65" s="535">
        <v>0.4</v>
      </c>
      <c r="K65" s="536">
        <v>0.49054466230936822</v>
      </c>
      <c r="L65" s="460"/>
      <c r="M65" s="461" t="s">
        <v>1334</v>
      </c>
      <c r="N65" s="461"/>
    </row>
    <row r="66" spans="2:14" x14ac:dyDescent="0.25">
      <c r="B66" s="531">
        <v>3360</v>
      </c>
      <c r="C66" s="558">
        <v>1.6</v>
      </c>
      <c r="D66" s="532">
        <v>0.374</v>
      </c>
      <c r="E66" s="532">
        <v>0.33938228438228435</v>
      </c>
      <c r="F66" s="532">
        <v>0.31899999999999995</v>
      </c>
      <c r="G66" s="532">
        <v>0.23877777777777776</v>
      </c>
      <c r="H66" s="532">
        <v>0.18399999999999997</v>
      </c>
      <c r="I66" s="532">
        <v>0.29938888888888893</v>
      </c>
      <c r="J66" s="532">
        <v>0.35000000000000009</v>
      </c>
      <c r="K66" s="533">
        <v>0.4150762527233115</v>
      </c>
      <c r="L66" s="487" t="s">
        <v>1094</v>
      </c>
      <c r="M66" s="488" t="s">
        <v>1305</v>
      </c>
      <c r="N66" s="503">
        <v>1</v>
      </c>
    </row>
    <row r="67" spans="2:14" x14ac:dyDescent="0.25">
      <c r="B67" s="534">
        <v>3780</v>
      </c>
      <c r="C67" s="560">
        <v>1.8</v>
      </c>
      <c r="D67" s="535">
        <v>0.27200000000000002</v>
      </c>
      <c r="E67" s="535">
        <v>0.27517482517482517</v>
      </c>
      <c r="F67" s="535">
        <v>0.30449999999999994</v>
      </c>
      <c r="G67" s="535">
        <v>0.22285925925925923</v>
      </c>
      <c r="H67" s="535">
        <v>0.17249999999999999</v>
      </c>
      <c r="I67" s="535">
        <v>0.27942962962962969</v>
      </c>
      <c r="J67" s="535">
        <v>0.33750000000000002</v>
      </c>
      <c r="K67" s="536">
        <v>0.37734204793028325</v>
      </c>
      <c r="L67" s="490" t="s">
        <v>1075</v>
      </c>
      <c r="M67" s="1413" t="s">
        <v>1326</v>
      </c>
      <c r="N67" s="504">
        <v>0.83</v>
      </c>
    </row>
    <row r="68" spans="2:14" ht="13" thickBot="1" x14ac:dyDescent="0.3">
      <c r="B68" s="549">
        <v>4200</v>
      </c>
      <c r="C68" s="563">
        <v>2</v>
      </c>
      <c r="D68" s="550">
        <v>0.21249999999999999</v>
      </c>
      <c r="E68" s="550">
        <v>0.24765734265734266</v>
      </c>
      <c r="F68" s="550">
        <v>0.28999999999999998</v>
      </c>
      <c r="G68" s="550">
        <v>0.20694074074074073</v>
      </c>
      <c r="H68" s="550">
        <v>0.161</v>
      </c>
      <c r="I68" s="550">
        <v>0.27942962962962969</v>
      </c>
      <c r="J68" s="550">
        <v>0.3</v>
      </c>
      <c r="K68" s="551">
        <v>0.30187363834422659</v>
      </c>
      <c r="L68" s="492" t="s">
        <v>1085</v>
      </c>
      <c r="M68" s="493" t="s">
        <v>1325</v>
      </c>
      <c r="N68" s="505">
        <v>0.96</v>
      </c>
    </row>
  </sheetData>
  <sheetProtection algorithmName="SHA-512" hashValue="xo8PcsdluIoU+jhvyo9Xn1+nIWHmZ15/VGba3VUydzi1e+NfBwBChoz/FvqHMOxN/8Mri1XuiBYbEI1wh4Dg8w==" saltValue="H2Cx16VCEXzGfeQTAlsmLA==" spinCount="100000" sheet="1" objects="1" scenarios="1" autoFilter="0"/>
  <mergeCells count="5">
    <mergeCell ref="M1:N1"/>
    <mergeCell ref="P1:Q1"/>
    <mergeCell ref="M18:N18"/>
    <mergeCell ref="M36:N36"/>
    <mergeCell ref="M53:N53"/>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2"/>
  <dimension ref="A1:AF70"/>
  <sheetViews>
    <sheetView topLeftCell="M1" workbookViewId="0">
      <selection activeCell="K75" sqref="K75"/>
    </sheetView>
  </sheetViews>
  <sheetFormatPr defaultColWidth="8" defaultRowHeight="12.5" x14ac:dyDescent="0.3"/>
  <cols>
    <col min="1" max="1" width="26.58203125" style="460" customWidth="1"/>
    <col min="2" max="2" width="9" style="460" customWidth="1"/>
    <col min="3" max="3" width="8.08203125" style="460" customWidth="1"/>
    <col min="4" max="11" width="8.83203125" style="460" customWidth="1"/>
    <col min="12" max="12" width="8" style="460"/>
    <col min="13" max="13" width="55.5" style="461" customWidth="1"/>
    <col min="14" max="15" width="8" style="461"/>
    <col min="16" max="16" width="47.58203125" style="461" customWidth="1"/>
    <col min="17" max="18" width="11.08203125" style="461" customWidth="1"/>
    <col min="19" max="19" width="8" style="461"/>
    <col min="20" max="20" width="14.58203125" style="461" customWidth="1"/>
    <col min="21" max="21" width="15.83203125" style="461" customWidth="1"/>
    <col min="22" max="25" width="8" style="461"/>
    <col min="26" max="26" width="14.58203125" style="461" customWidth="1"/>
    <col min="27" max="27" width="15.83203125" style="461" customWidth="1"/>
    <col min="28" max="32" width="8" style="461"/>
    <col min="33" max="16384" width="8" style="460"/>
  </cols>
  <sheetData>
    <row r="1" spans="1:21" x14ac:dyDescent="0.25">
      <c r="A1" s="458" t="s">
        <v>1114</v>
      </c>
      <c r="B1" s="459" t="s">
        <v>1294</v>
      </c>
      <c r="M1" s="1585" t="s">
        <v>1319</v>
      </c>
      <c r="N1" s="1585"/>
      <c r="P1" s="1586" t="s">
        <v>1296</v>
      </c>
      <c r="Q1" s="1586"/>
      <c r="S1" s="168"/>
      <c r="T1" s="168"/>
      <c r="U1" s="168"/>
    </row>
    <row r="2" spans="1:21" ht="52" x14ac:dyDescent="0.25">
      <c r="B2" s="462" t="s">
        <v>1297</v>
      </c>
      <c r="C2" s="463" t="s">
        <v>1298</v>
      </c>
      <c r="D2" s="464" t="s">
        <v>1230</v>
      </c>
      <c r="E2" s="464" t="s">
        <v>1231</v>
      </c>
      <c r="F2" s="464" t="s">
        <v>1232</v>
      </c>
      <c r="G2" s="464" t="s">
        <v>1233</v>
      </c>
      <c r="H2" s="464" t="s">
        <v>1234</v>
      </c>
      <c r="I2" s="464" t="s">
        <v>1235</v>
      </c>
      <c r="J2" s="464" t="s">
        <v>1236</v>
      </c>
      <c r="K2" s="465" t="s">
        <v>1237</v>
      </c>
      <c r="S2" s="168"/>
      <c r="T2" s="168"/>
      <c r="U2" s="168"/>
    </row>
    <row r="3" spans="1:21" x14ac:dyDescent="0.25">
      <c r="B3" s="466">
        <v>0</v>
      </c>
      <c r="C3" s="467">
        <v>0</v>
      </c>
      <c r="D3" s="467">
        <v>1.056</v>
      </c>
      <c r="E3" s="467">
        <v>1.2987000000000002</v>
      </c>
      <c r="F3" s="467">
        <v>1.3552000000000002</v>
      </c>
      <c r="G3" s="467">
        <v>1.0904</v>
      </c>
      <c r="H3" s="467">
        <v>0.76800000000000002</v>
      </c>
      <c r="I3" s="467">
        <v>1.1147499999999999</v>
      </c>
      <c r="J3" s="467">
        <v>1.4874999999999998</v>
      </c>
      <c r="K3" s="468">
        <v>1.3864999999999998</v>
      </c>
      <c r="S3" s="168"/>
      <c r="T3" s="168"/>
      <c r="U3" s="168"/>
    </row>
    <row r="4" spans="1:21" ht="13" x14ac:dyDescent="0.25">
      <c r="B4" s="469">
        <v>105</v>
      </c>
      <c r="C4" s="470">
        <v>0.05</v>
      </c>
      <c r="D4" s="470">
        <v>0.91300000000000003</v>
      </c>
      <c r="E4" s="470">
        <v>1.1655000000000004</v>
      </c>
      <c r="F4" s="470">
        <v>1.2320000000000002</v>
      </c>
      <c r="G4" s="470">
        <v>0.96279999999999999</v>
      </c>
      <c r="H4" s="470">
        <v>0.64800000000000002</v>
      </c>
      <c r="I4" s="470">
        <v>0.99224999999999997</v>
      </c>
      <c r="J4" s="470">
        <v>1.3625</v>
      </c>
      <c r="K4" s="471">
        <v>1.25725</v>
      </c>
      <c r="M4" s="472" t="s">
        <v>1299</v>
      </c>
      <c r="N4" s="465" t="s">
        <v>1300</v>
      </c>
      <c r="P4" s="472" t="s">
        <v>1301</v>
      </c>
      <c r="Q4" s="465" t="s">
        <v>1302</v>
      </c>
      <c r="S4" s="168"/>
      <c r="T4" s="168"/>
      <c r="U4" s="168"/>
    </row>
    <row r="5" spans="1:21" x14ac:dyDescent="0.25">
      <c r="B5" s="466">
        <v>210</v>
      </c>
      <c r="C5" s="467">
        <v>0.1</v>
      </c>
      <c r="D5" s="467">
        <v>0.83600000000000008</v>
      </c>
      <c r="E5" s="467">
        <v>1.0767000000000002</v>
      </c>
      <c r="F5" s="467">
        <v>1.1648000000000003</v>
      </c>
      <c r="G5" s="467">
        <v>0.92800000000000016</v>
      </c>
      <c r="H5" s="467">
        <v>0.61199999999999999</v>
      </c>
      <c r="I5" s="467">
        <v>0.93099999999999994</v>
      </c>
      <c r="J5" s="467">
        <v>1.2874999999999999</v>
      </c>
      <c r="K5" s="468">
        <v>1.1515</v>
      </c>
      <c r="M5" s="473" t="s">
        <v>1303</v>
      </c>
      <c r="N5" s="474">
        <v>0.4</v>
      </c>
      <c r="P5" s="473" t="s">
        <v>1304</v>
      </c>
      <c r="Q5" s="475">
        <v>7.6190221484248741E-2</v>
      </c>
      <c r="S5" s="168"/>
      <c r="T5" s="168"/>
      <c r="U5" s="168"/>
    </row>
    <row r="6" spans="1:21" x14ac:dyDescent="0.25">
      <c r="B6" s="469">
        <v>420</v>
      </c>
      <c r="C6" s="470">
        <v>0.2</v>
      </c>
      <c r="D6" s="470">
        <v>0.68200000000000005</v>
      </c>
      <c r="E6" s="470">
        <v>0.94350000000000012</v>
      </c>
      <c r="F6" s="470">
        <v>1.0416000000000003</v>
      </c>
      <c r="G6" s="470">
        <v>0.81199999999999994</v>
      </c>
      <c r="H6" s="470">
        <v>0.54</v>
      </c>
      <c r="I6" s="470">
        <v>0.83299999999999996</v>
      </c>
      <c r="J6" s="470">
        <v>1.1375</v>
      </c>
      <c r="K6" s="471">
        <v>1.0105</v>
      </c>
      <c r="M6" s="476" t="s">
        <v>1305</v>
      </c>
      <c r="N6" s="477">
        <v>1.4</v>
      </c>
      <c r="P6" s="476" t="s">
        <v>1306</v>
      </c>
      <c r="Q6" s="478">
        <v>8.2141689371200491E-2</v>
      </c>
      <c r="S6" s="168"/>
      <c r="T6" s="168"/>
      <c r="U6" s="168"/>
    </row>
    <row r="7" spans="1:21" x14ac:dyDescent="0.25">
      <c r="B7" s="466">
        <v>840</v>
      </c>
      <c r="C7" s="467">
        <v>0.4</v>
      </c>
      <c r="D7" s="467">
        <v>0.44000000000000006</v>
      </c>
      <c r="E7" s="467">
        <v>0.72150000000000014</v>
      </c>
      <c r="F7" s="467">
        <v>0.85120000000000018</v>
      </c>
      <c r="G7" s="467">
        <v>0.67280000000000006</v>
      </c>
      <c r="H7" s="467">
        <v>0.45600000000000002</v>
      </c>
      <c r="I7" s="467">
        <v>0.67375000000000007</v>
      </c>
      <c r="J7" s="467">
        <v>0.92499999999999993</v>
      </c>
      <c r="K7" s="468">
        <v>0.75199999999999989</v>
      </c>
      <c r="L7" s="460" t="s">
        <v>1094</v>
      </c>
      <c r="M7" s="473" t="s">
        <v>1307</v>
      </c>
      <c r="N7" s="479">
        <v>1.1471114632390602</v>
      </c>
      <c r="P7" s="473" t="s">
        <v>1308</v>
      </c>
      <c r="Q7" s="475">
        <v>8.7101245943660296E-2</v>
      </c>
      <c r="S7" s="168"/>
      <c r="T7" s="168"/>
      <c r="U7" s="168"/>
    </row>
    <row r="8" spans="1:21" x14ac:dyDescent="0.25">
      <c r="B8" s="469">
        <v>1260</v>
      </c>
      <c r="C8" s="470">
        <v>0.6</v>
      </c>
      <c r="D8" s="470">
        <v>0.35200000000000004</v>
      </c>
      <c r="E8" s="470">
        <v>0.56610000000000016</v>
      </c>
      <c r="F8" s="470">
        <v>0.72800000000000009</v>
      </c>
      <c r="G8" s="470">
        <v>0.57999999999999996</v>
      </c>
      <c r="H8" s="470">
        <v>0.39600000000000002</v>
      </c>
      <c r="I8" s="470">
        <v>0.57574999999999987</v>
      </c>
      <c r="J8" s="470">
        <v>0.78749999999999987</v>
      </c>
      <c r="K8" s="471">
        <v>0.59924999999999995</v>
      </c>
      <c r="L8" s="460" t="s">
        <v>1085</v>
      </c>
      <c r="M8" s="476" t="s">
        <v>1309</v>
      </c>
      <c r="N8" s="480">
        <v>1</v>
      </c>
      <c r="P8" s="481" t="s">
        <v>1310</v>
      </c>
      <c r="Q8" s="482">
        <v>9.1234209754043463E-2</v>
      </c>
      <c r="S8" s="168"/>
      <c r="T8" s="168"/>
      <c r="U8" s="168"/>
    </row>
    <row r="9" spans="1:21" x14ac:dyDescent="0.25">
      <c r="B9" s="466">
        <v>1680</v>
      </c>
      <c r="C9" s="467">
        <v>0.8</v>
      </c>
      <c r="D9" s="467">
        <v>0.30800000000000005</v>
      </c>
      <c r="E9" s="467">
        <v>0.44400000000000017</v>
      </c>
      <c r="F9" s="467">
        <v>0.60480000000000023</v>
      </c>
      <c r="G9" s="467">
        <v>0.51040000000000008</v>
      </c>
      <c r="H9" s="467">
        <v>0.33600000000000008</v>
      </c>
      <c r="I9" s="467">
        <v>0.50224999999999986</v>
      </c>
      <c r="J9" s="467">
        <v>0.66249999999999998</v>
      </c>
      <c r="K9" s="468">
        <v>0.47000000000000003</v>
      </c>
      <c r="L9" s="460" t="s">
        <v>1075</v>
      </c>
      <c r="M9" s="473" t="s">
        <v>1311</v>
      </c>
      <c r="N9" s="479">
        <v>0.90822848660489386</v>
      </c>
      <c r="S9" s="168"/>
      <c r="T9" s="168"/>
      <c r="U9" s="168"/>
    </row>
    <row r="10" spans="1:21" x14ac:dyDescent="0.25">
      <c r="B10" s="469">
        <v>2100</v>
      </c>
      <c r="C10" s="470">
        <v>1</v>
      </c>
      <c r="D10" s="470">
        <v>0.27500000000000002</v>
      </c>
      <c r="E10" s="470">
        <v>0.36630000000000013</v>
      </c>
      <c r="F10" s="470">
        <v>0.53760000000000008</v>
      </c>
      <c r="G10" s="470">
        <v>0.42920000000000003</v>
      </c>
      <c r="H10" s="470">
        <v>0.3</v>
      </c>
      <c r="I10" s="470">
        <v>0.42874999999999991</v>
      </c>
      <c r="J10" s="470">
        <v>0.54999999999999993</v>
      </c>
      <c r="K10" s="471">
        <v>0.37599999999999995</v>
      </c>
      <c r="M10" s="481" t="s">
        <v>1312</v>
      </c>
      <c r="N10" s="483">
        <v>0.85</v>
      </c>
      <c r="S10" s="168"/>
      <c r="T10" s="168"/>
      <c r="U10" s="168"/>
    </row>
    <row r="11" spans="1:21" x14ac:dyDescent="0.25">
      <c r="B11" s="466">
        <v>2520</v>
      </c>
      <c r="C11" s="467">
        <v>1.2</v>
      </c>
      <c r="D11" s="467">
        <v>0.24200000000000002</v>
      </c>
      <c r="E11" s="467">
        <v>0.31080000000000008</v>
      </c>
      <c r="F11" s="467">
        <v>0.45920000000000005</v>
      </c>
      <c r="G11" s="467">
        <v>0.39440000000000003</v>
      </c>
      <c r="H11" s="467">
        <v>0.27600000000000002</v>
      </c>
      <c r="I11" s="467">
        <v>0.37974999999999998</v>
      </c>
      <c r="J11" s="467">
        <v>0.47499999999999998</v>
      </c>
      <c r="K11" s="468">
        <v>0.31724999999999998</v>
      </c>
      <c r="M11" s="461" t="s">
        <v>1313</v>
      </c>
      <c r="S11" s="168"/>
      <c r="T11" s="168"/>
      <c r="U11" s="168"/>
    </row>
    <row r="12" spans="1:21" x14ac:dyDescent="0.25">
      <c r="B12" s="469">
        <v>2940</v>
      </c>
      <c r="C12" s="470">
        <v>1.4</v>
      </c>
      <c r="D12" s="470">
        <v>0.20900000000000002</v>
      </c>
      <c r="E12" s="470">
        <v>0.25530000000000008</v>
      </c>
      <c r="F12" s="470">
        <v>0.40320000000000006</v>
      </c>
      <c r="G12" s="470">
        <v>0.34800000000000003</v>
      </c>
      <c r="H12" s="470">
        <v>0.252</v>
      </c>
      <c r="I12" s="470">
        <v>0.34299999999999997</v>
      </c>
      <c r="J12" s="470">
        <v>0.41249999999999998</v>
      </c>
      <c r="K12" s="471">
        <v>0.28199999999999997</v>
      </c>
      <c r="S12" s="168"/>
      <c r="T12" s="168"/>
      <c r="U12" s="168"/>
    </row>
    <row r="13" spans="1:21" x14ac:dyDescent="0.3">
      <c r="B13" s="466">
        <v>3360</v>
      </c>
      <c r="C13" s="467">
        <v>1.6</v>
      </c>
      <c r="D13" s="467">
        <v>0.19800000000000001</v>
      </c>
      <c r="E13" s="467">
        <v>0.23310000000000003</v>
      </c>
      <c r="F13" s="467">
        <v>0.3696000000000001</v>
      </c>
      <c r="G13" s="467">
        <v>0.31320000000000003</v>
      </c>
      <c r="H13" s="467">
        <v>0.24</v>
      </c>
      <c r="I13" s="467">
        <v>0.31849999999999995</v>
      </c>
      <c r="J13" s="467">
        <v>0.38749999999999996</v>
      </c>
      <c r="K13" s="468">
        <v>0.24674999999999997</v>
      </c>
      <c r="M13" s="481" t="s">
        <v>1312</v>
      </c>
      <c r="N13" s="483">
        <v>0.89</v>
      </c>
    </row>
    <row r="14" spans="1:21" ht="13" thickBot="1" x14ac:dyDescent="0.35">
      <c r="B14" s="469">
        <v>3780</v>
      </c>
      <c r="C14" s="470">
        <v>1.8</v>
      </c>
      <c r="D14" s="470">
        <v>0.18700000000000003</v>
      </c>
      <c r="E14" s="470">
        <v>0.22200000000000009</v>
      </c>
      <c r="F14" s="470">
        <v>0.3136000000000001</v>
      </c>
      <c r="G14" s="470">
        <v>0.27839999999999998</v>
      </c>
      <c r="H14" s="470">
        <v>0.216</v>
      </c>
      <c r="I14" s="470">
        <v>0.29399999999999998</v>
      </c>
      <c r="J14" s="470">
        <v>0.33750000000000002</v>
      </c>
      <c r="K14" s="471">
        <v>0.22325</v>
      </c>
      <c r="M14" s="461" t="s">
        <v>1314</v>
      </c>
    </row>
    <row r="15" spans="1:21" x14ac:dyDescent="0.3">
      <c r="B15" s="484">
        <v>4200</v>
      </c>
      <c r="C15" s="485">
        <v>2</v>
      </c>
      <c r="D15" s="485">
        <v>0.17600000000000002</v>
      </c>
      <c r="E15" s="485">
        <v>0.21090000000000003</v>
      </c>
      <c r="F15" s="485">
        <v>0.30240000000000011</v>
      </c>
      <c r="G15" s="485">
        <v>0.26680000000000004</v>
      </c>
      <c r="H15" s="485">
        <v>0.216</v>
      </c>
      <c r="I15" s="485">
        <v>0.25724999999999998</v>
      </c>
      <c r="J15" s="485">
        <v>0.31249999999999994</v>
      </c>
      <c r="K15" s="486">
        <v>0.21149999999999999</v>
      </c>
      <c r="L15" s="487" t="s">
        <v>1094</v>
      </c>
      <c r="M15" s="488" t="s">
        <v>1307</v>
      </c>
      <c r="N15" s="503">
        <v>1</v>
      </c>
    </row>
    <row r="16" spans="1:21" x14ac:dyDescent="0.3">
      <c r="L16" s="490" t="s">
        <v>1075</v>
      </c>
      <c r="M16" s="1413" t="s">
        <v>1311</v>
      </c>
      <c r="N16" s="504">
        <v>0.90822848660489386</v>
      </c>
    </row>
    <row r="17" spans="1:27" ht="13" thickBot="1" x14ac:dyDescent="0.35">
      <c r="L17" s="492" t="s">
        <v>1085</v>
      </c>
      <c r="M17" s="493" t="s">
        <v>1309</v>
      </c>
      <c r="N17" s="505">
        <v>1</v>
      </c>
    </row>
    <row r="18" spans="1:27" x14ac:dyDescent="0.3">
      <c r="A18" s="511" t="s">
        <v>1251</v>
      </c>
      <c r="B18" s="459" t="s">
        <v>1320</v>
      </c>
      <c r="M18" s="1585" t="s">
        <v>1319</v>
      </c>
      <c r="N18" s="1585"/>
      <c r="P18" s="461" t="s">
        <v>1322</v>
      </c>
    </row>
    <row r="20" spans="1:27" ht="52" x14ac:dyDescent="0.25">
      <c r="B20" s="462" t="s">
        <v>1297</v>
      </c>
      <c r="C20" s="463" t="s">
        <v>1298</v>
      </c>
      <c r="D20" s="464" t="s">
        <v>1230</v>
      </c>
      <c r="E20" s="464" t="s">
        <v>1231</v>
      </c>
      <c r="F20" s="464" t="s">
        <v>1232</v>
      </c>
      <c r="G20" s="464" t="s">
        <v>1233</v>
      </c>
      <c r="H20" s="464" t="s">
        <v>1234</v>
      </c>
      <c r="I20" s="464" t="s">
        <v>1235</v>
      </c>
      <c r="J20" s="464" t="s">
        <v>1236</v>
      </c>
      <c r="K20" s="465" t="s">
        <v>1237</v>
      </c>
      <c r="Y20" s="168"/>
      <c r="Z20" s="168"/>
      <c r="AA20" s="168"/>
    </row>
    <row r="21" spans="1:27" ht="13" x14ac:dyDescent="0.25">
      <c r="B21" s="466">
        <v>0</v>
      </c>
      <c r="C21" s="467">
        <v>0</v>
      </c>
      <c r="D21" s="467">
        <v>1.8720000000000001</v>
      </c>
      <c r="E21" s="467">
        <v>1.9152499999999999</v>
      </c>
      <c r="F21" s="467">
        <v>1.2035</v>
      </c>
      <c r="G21" s="467">
        <v>0.52249999999999996</v>
      </c>
      <c r="H21" s="467">
        <v>0.45499999999999996</v>
      </c>
      <c r="I21" s="467">
        <v>0.53200000000000003</v>
      </c>
      <c r="J21" s="467">
        <v>1.125</v>
      </c>
      <c r="K21" s="468">
        <v>1.8</v>
      </c>
      <c r="M21" s="472" t="s">
        <v>1299</v>
      </c>
      <c r="N21" s="465" t="s">
        <v>1300</v>
      </c>
      <c r="P21" s="1414" t="s">
        <v>1230</v>
      </c>
      <c r="Q21" s="1414" t="s">
        <v>1231</v>
      </c>
      <c r="R21" s="1414" t="s">
        <v>1232</v>
      </c>
      <c r="S21" s="1414" t="s">
        <v>1233</v>
      </c>
      <c r="T21" s="1414" t="s">
        <v>1234</v>
      </c>
      <c r="U21" s="1414" t="s">
        <v>1235</v>
      </c>
      <c r="V21" s="1414" t="s">
        <v>1236</v>
      </c>
      <c r="W21" s="1414" t="s">
        <v>1237</v>
      </c>
      <c r="Y21" s="168"/>
      <c r="Z21" s="168"/>
      <c r="AA21" s="168"/>
    </row>
    <row r="22" spans="1:27" x14ac:dyDescent="0.25">
      <c r="B22" s="469">
        <v>105</v>
      </c>
      <c r="C22" s="470">
        <v>0.05</v>
      </c>
      <c r="D22" s="470">
        <v>1.8089999999999999</v>
      </c>
      <c r="E22" s="470">
        <v>1.8330000000000002</v>
      </c>
      <c r="F22" s="470">
        <v>1.1165</v>
      </c>
      <c r="G22" s="470">
        <v>0.43999999999999995</v>
      </c>
      <c r="H22" s="470">
        <v>0.37699999999999995</v>
      </c>
      <c r="I22" s="470">
        <v>0.44800000000000001</v>
      </c>
      <c r="J22" s="470">
        <v>1.0349999999999999</v>
      </c>
      <c r="K22" s="471">
        <v>1.728</v>
      </c>
      <c r="M22" s="473" t="s">
        <v>1303</v>
      </c>
      <c r="N22" s="474">
        <v>0.6</v>
      </c>
      <c r="P22" s="1415">
        <v>1.3</v>
      </c>
      <c r="Q22" s="1415">
        <v>1.05</v>
      </c>
      <c r="R22" s="1415">
        <v>0.8</v>
      </c>
      <c r="S22" s="1415">
        <v>0.8</v>
      </c>
      <c r="T22" s="1415">
        <v>0.8</v>
      </c>
      <c r="U22" s="1415">
        <v>0.8</v>
      </c>
      <c r="V22" s="1415">
        <v>0.8</v>
      </c>
      <c r="W22" s="1415">
        <v>1.05</v>
      </c>
      <c r="Y22" s="168"/>
      <c r="Z22" s="168"/>
      <c r="AA22" s="168"/>
    </row>
    <row r="23" spans="1:27" x14ac:dyDescent="0.25">
      <c r="B23" s="466">
        <v>210</v>
      </c>
      <c r="C23" s="467">
        <v>0.1</v>
      </c>
      <c r="D23" s="467">
        <v>1.8089999999999999</v>
      </c>
      <c r="E23" s="467">
        <v>1.7977500000000002</v>
      </c>
      <c r="F23" s="467">
        <v>1.0585</v>
      </c>
      <c r="G23" s="467">
        <v>0.41249999999999998</v>
      </c>
      <c r="H23" s="467">
        <v>0.36400000000000005</v>
      </c>
      <c r="I23" s="467">
        <v>0.42000000000000004</v>
      </c>
      <c r="J23" s="467">
        <v>0.99</v>
      </c>
      <c r="K23" s="468">
        <v>1.6919999999999999</v>
      </c>
      <c r="M23" s="476" t="s">
        <v>1305</v>
      </c>
      <c r="N23" s="477">
        <v>1.3</v>
      </c>
      <c r="O23" s="461" t="s">
        <v>1324</v>
      </c>
      <c r="P23" s="512">
        <v>1.4040000000000001</v>
      </c>
      <c r="Q23" s="512">
        <v>1.1340000000000001</v>
      </c>
      <c r="R23" s="512">
        <v>0.8640000000000001</v>
      </c>
      <c r="S23" s="512">
        <v>0.8640000000000001</v>
      </c>
      <c r="T23" s="512">
        <v>0.8640000000000001</v>
      </c>
      <c r="U23" s="512">
        <v>0.8640000000000001</v>
      </c>
      <c r="V23" s="512">
        <v>0.8640000000000001</v>
      </c>
      <c r="W23" s="512">
        <v>1.1340000000000001</v>
      </c>
      <c r="Y23" s="168"/>
      <c r="Z23" s="168"/>
      <c r="AA23" s="168"/>
    </row>
    <row r="24" spans="1:27" x14ac:dyDescent="0.25">
      <c r="B24" s="469">
        <v>420</v>
      </c>
      <c r="C24" s="470">
        <v>0.2</v>
      </c>
      <c r="D24" s="470">
        <v>1.7009999999999998</v>
      </c>
      <c r="E24" s="470">
        <v>1.68025</v>
      </c>
      <c r="F24" s="470">
        <v>0.9860000000000001</v>
      </c>
      <c r="G24" s="470">
        <v>0.37124999999999997</v>
      </c>
      <c r="H24" s="470">
        <v>0.32499999999999996</v>
      </c>
      <c r="I24" s="470">
        <v>0.378</v>
      </c>
      <c r="J24" s="470">
        <v>0.89999999999999991</v>
      </c>
      <c r="K24" s="471">
        <v>1.536</v>
      </c>
      <c r="M24" s="473" t="s">
        <v>1325</v>
      </c>
      <c r="N24" s="474">
        <v>1.08</v>
      </c>
      <c r="Y24" s="168"/>
      <c r="Z24" s="168"/>
      <c r="AA24" s="168"/>
    </row>
    <row r="25" spans="1:27" x14ac:dyDescent="0.25">
      <c r="B25" s="466">
        <v>840</v>
      </c>
      <c r="C25" s="467">
        <v>0.4</v>
      </c>
      <c r="D25" s="467">
        <v>1.4580000000000002</v>
      </c>
      <c r="E25" s="467">
        <v>1.4570000000000001</v>
      </c>
      <c r="F25" s="467">
        <v>0.84100000000000008</v>
      </c>
      <c r="G25" s="467">
        <v>0.31624999999999998</v>
      </c>
      <c r="H25" s="467">
        <v>0.27299999999999996</v>
      </c>
      <c r="I25" s="467">
        <v>0.32200000000000001</v>
      </c>
      <c r="J25" s="467">
        <v>0.75</v>
      </c>
      <c r="K25" s="468">
        <v>1.3559999999999999</v>
      </c>
      <c r="M25" s="476" t="s">
        <v>1326</v>
      </c>
      <c r="N25" s="477">
        <v>1.22</v>
      </c>
      <c r="P25" s="459" t="s">
        <v>1327</v>
      </c>
      <c r="Y25" s="168"/>
      <c r="Z25" s="168"/>
      <c r="AA25" s="168"/>
    </row>
    <row r="26" spans="1:27" x14ac:dyDescent="0.25">
      <c r="B26" s="469">
        <v>1260</v>
      </c>
      <c r="C26" s="470">
        <v>0.6</v>
      </c>
      <c r="D26" s="470">
        <v>1.3410000000000002</v>
      </c>
      <c r="E26" s="470">
        <v>1.2807500000000003</v>
      </c>
      <c r="F26" s="470">
        <v>0.72500000000000009</v>
      </c>
      <c r="G26" s="470">
        <v>0.27499999999999997</v>
      </c>
      <c r="H26" s="470">
        <v>0.247</v>
      </c>
      <c r="I26" s="470">
        <v>0.28000000000000003</v>
      </c>
      <c r="J26" s="470">
        <v>0.66</v>
      </c>
      <c r="K26" s="471">
        <v>1.1520000000000001</v>
      </c>
      <c r="L26" s="460" t="s">
        <v>1094</v>
      </c>
      <c r="M26" s="473" t="s">
        <v>1307</v>
      </c>
      <c r="N26" s="479">
        <v>1.0473414870636766</v>
      </c>
      <c r="Y26" s="168"/>
      <c r="Z26" s="168"/>
      <c r="AA26" s="168"/>
    </row>
    <row r="27" spans="1:27" ht="13" x14ac:dyDescent="0.25">
      <c r="B27" s="466">
        <v>1680</v>
      </c>
      <c r="C27" s="467">
        <v>0.8</v>
      </c>
      <c r="D27" s="467">
        <v>1.143</v>
      </c>
      <c r="E27" s="467">
        <v>1.1045</v>
      </c>
      <c r="F27" s="467">
        <v>0.63800000000000001</v>
      </c>
      <c r="G27" s="467">
        <v>0.24749999999999997</v>
      </c>
      <c r="H27" s="467">
        <v>0.221</v>
      </c>
      <c r="I27" s="467">
        <v>0.252</v>
      </c>
      <c r="J27" s="467">
        <v>0.58499999999999996</v>
      </c>
      <c r="K27" s="468">
        <v>0.996</v>
      </c>
      <c r="L27" s="460" t="s">
        <v>1085</v>
      </c>
      <c r="M27" s="476" t="s">
        <v>1309</v>
      </c>
      <c r="N27" s="480">
        <v>1</v>
      </c>
      <c r="P27" s="513" t="s">
        <v>1336</v>
      </c>
      <c r="Y27" s="168"/>
      <c r="Z27" s="168"/>
      <c r="AA27" s="168"/>
    </row>
    <row r="28" spans="1:27" x14ac:dyDescent="0.25">
      <c r="B28" s="469">
        <v>2100</v>
      </c>
      <c r="C28" s="470">
        <v>1</v>
      </c>
      <c r="D28" s="470">
        <v>1.0439999999999998</v>
      </c>
      <c r="E28" s="470">
        <v>0.97525000000000006</v>
      </c>
      <c r="F28" s="470">
        <v>0.59450000000000003</v>
      </c>
      <c r="G28" s="470">
        <v>0.21999999999999997</v>
      </c>
      <c r="H28" s="470">
        <v>0.20799999999999999</v>
      </c>
      <c r="I28" s="470">
        <v>0.224</v>
      </c>
      <c r="J28" s="470">
        <v>0.51</v>
      </c>
      <c r="K28" s="471">
        <v>0.85199999999999998</v>
      </c>
      <c r="L28" s="460" t="s">
        <v>1075</v>
      </c>
      <c r="M28" s="473" t="s">
        <v>1311</v>
      </c>
      <c r="N28" s="479">
        <v>0.9716373261423854</v>
      </c>
      <c r="P28" s="514">
        <v>7.02</v>
      </c>
      <c r="Q28" s="461" t="s">
        <v>1344</v>
      </c>
      <c r="Y28" s="168"/>
      <c r="Z28" s="168"/>
      <c r="AA28" s="168"/>
    </row>
    <row r="29" spans="1:27" x14ac:dyDescent="0.25">
      <c r="B29" s="466">
        <v>2520</v>
      </c>
      <c r="C29" s="467">
        <v>1.2</v>
      </c>
      <c r="D29" s="467">
        <v>0.81900000000000006</v>
      </c>
      <c r="E29" s="467">
        <v>0.82250000000000001</v>
      </c>
      <c r="F29" s="467">
        <v>0.49300000000000005</v>
      </c>
      <c r="G29" s="467">
        <v>0.20624999999999999</v>
      </c>
      <c r="H29" s="467">
        <v>0.19500000000000001</v>
      </c>
      <c r="I29" s="467">
        <v>0.21000000000000002</v>
      </c>
      <c r="J29" s="467">
        <v>0.44999999999999996</v>
      </c>
      <c r="K29" s="468">
        <v>0.75600000000000001</v>
      </c>
      <c r="M29" s="481" t="s">
        <v>1329</v>
      </c>
      <c r="N29" s="483">
        <v>1.03</v>
      </c>
      <c r="Y29" s="168"/>
      <c r="Z29" s="168"/>
      <c r="AA29" s="168"/>
    </row>
    <row r="30" spans="1:27" x14ac:dyDescent="0.3">
      <c r="B30" s="469">
        <v>2940</v>
      </c>
      <c r="C30" s="470">
        <v>1.4</v>
      </c>
      <c r="D30" s="470">
        <v>0.747</v>
      </c>
      <c r="E30" s="470">
        <v>0.79900000000000004</v>
      </c>
      <c r="F30" s="470">
        <v>0.47850000000000009</v>
      </c>
      <c r="G30" s="470">
        <v>0.1925</v>
      </c>
      <c r="H30" s="470">
        <v>0.18200000000000002</v>
      </c>
      <c r="I30" s="470">
        <v>0.19600000000000004</v>
      </c>
      <c r="J30" s="470">
        <v>0.40500000000000003</v>
      </c>
      <c r="K30" s="471">
        <v>0.57600000000000007</v>
      </c>
      <c r="M30" s="461" t="s">
        <v>1313</v>
      </c>
    </row>
    <row r="31" spans="1:27" x14ac:dyDescent="0.3">
      <c r="B31" s="466">
        <v>3360</v>
      </c>
      <c r="C31" s="467">
        <v>1.6</v>
      </c>
      <c r="D31" s="467">
        <v>0.57600000000000007</v>
      </c>
      <c r="E31" s="467">
        <v>0.5757500000000001</v>
      </c>
      <c r="F31" s="467">
        <v>0.435</v>
      </c>
      <c r="G31" s="467">
        <v>0.17874999999999999</v>
      </c>
      <c r="H31" s="467">
        <v>0.16899999999999998</v>
      </c>
      <c r="I31" s="467">
        <v>0.16800000000000001</v>
      </c>
      <c r="J31" s="467">
        <v>0.375</v>
      </c>
      <c r="K31" s="468">
        <v>0.54</v>
      </c>
    </row>
    <row r="32" spans="1:27" x14ac:dyDescent="0.3">
      <c r="B32" s="469">
        <v>3780</v>
      </c>
      <c r="C32" s="470">
        <v>1.8</v>
      </c>
      <c r="D32" s="470">
        <v>0.46800000000000003</v>
      </c>
      <c r="E32" s="470">
        <v>0.55225000000000002</v>
      </c>
      <c r="F32" s="470">
        <v>0.34799999999999998</v>
      </c>
      <c r="G32" s="470">
        <v>0.16499999999999998</v>
      </c>
      <c r="H32" s="470">
        <v>0.16899999999999998</v>
      </c>
      <c r="I32" s="470">
        <v>0.16800000000000001</v>
      </c>
      <c r="J32" s="470">
        <v>0.34500000000000003</v>
      </c>
      <c r="K32" s="471">
        <v>0.46800000000000003</v>
      </c>
      <c r="M32" s="481" t="s">
        <v>1329</v>
      </c>
      <c r="N32" s="483">
        <v>0.80182982449824469</v>
      </c>
    </row>
    <row r="33" spans="1:21" ht="13" thickBot="1" x14ac:dyDescent="0.35">
      <c r="B33" s="484">
        <v>4200</v>
      </c>
      <c r="C33" s="485">
        <v>2</v>
      </c>
      <c r="D33" s="485">
        <v>0.35100000000000003</v>
      </c>
      <c r="E33" s="485">
        <v>0.45825000000000005</v>
      </c>
      <c r="F33" s="485">
        <v>0.34799999999999998</v>
      </c>
      <c r="G33" s="485">
        <v>0.15125</v>
      </c>
      <c r="H33" s="485">
        <v>0.156</v>
      </c>
      <c r="I33" s="485">
        <v>0.16800000000000001</v>
      </c>
      <c r="J33" s="485">
        <v>0.3</v>
      </c>
      <c r="K33" s="486">
        <v>0.39600000000000002</v>
      </c>
      <c r="M33" s="461" t="s">
        <v>1330</v>
      </c>
    </row>
    <row r="34" spans="1:21" x14ac:dyDescent="0.3">
      <c r="L34" s="487" t="s">
        <v>1094</v>
      </c>
      <c r="M34" s="488" t="s">
        <v>1307</v>
      </c>
      <c r="N34" s="503">
        <v>1.0473414870636766</v>
      </c>
    </row>
    <row r="35" spans="1:21" x14ac:dyDescent="0.3">
      <c r="B35" s="459" t="s">
        <v>1315</v>
      </c>
      <c r="L35" s="490" t="s">
        <v>1075</v>
      </c>
      <c r="M35" s="1413" t="s">
        <v>1311</v>
      </c>
      <c r="N35" s="504">
        <v>0.9716373261423854</v>
      </c>
    </row>
    <row r="36" spans="1:21" ht="13" thickBot="1" x14ac:dyDescent="0.35">
      <c r="L36" s="492" t="s">
        <v>1085</v>
      </c>
      <c r="M36" s="493" t="s">
        <v>1309</v>
      </c>
      <c r="N36" s="505">
        <v>1</v>
      </c>
    </row>
    <row r="37" spans="1:21" x14ac:dyDescent="0.3">
      <c r="N37" s="512"/>
    </row>
    <row r="38" spans="1:21" x14ac:dyDescent="0.3">
      <c r="A38" s="495" t="s">
        <v>1242</v>
      </c>
      <c r="N38" s="512"/>
    </row>
    <row r="39" spans="1:21" x14ac:dyDescent="0.25">
      <c r="N39" s="512"/>
      <c r="P39" s="459" t="s">
        <v>1317</v>
      </c>
      <c r="S39" s="168"/>
      <c r="T39" s="168"/>
      <c r="U39" s="168"/>
    </row>
    <row r="40" spans="1:21" ht="52" x14ac:dyDescent="0.25">
      <c r="B40" s="472" t="s">
        <v>1297</v>
      </c>
      <c r="C40" s="463" t="s">
        <v>1298</v>
      </c>
      <c r="D40" s="497" t="s">
        <v>1230</v>
      </c>
      <c r="E40" s="497" t="s">
        <v>1231</v>
      </c>
      <c r="F40" s="497" t="s">
        <v>1232</v>
      </c>
      <c r="G40" s="497" t="s">
        <v>1233</v>
      </c>
      <c r="H40" s="497" t="s">
        <v>1234</v>
      </c>
      <c r="I40" s="497" t="s">
        <v>1235</v>
      </c>
      <c r="J40" s="497" t="s">
        <v>1236</v>
      </c>
      <c r="K40" s="498" t="s">
        <v>1237</v>
      </c>
      <c r="S40" s="168"/>
      <c r="T40" s="168"/>
      <c r="U40" s="168"/>
    </row>
    <row r="41" spans="1:21" ht="13" x14ac:dyDescent="0.25">
      <c r="B41" s="466">
        <v>0</v>
      </c>
      <c r="C41" s="499">
        <v>0</v>
      </c>
      <c r="D41" s="467">
        <v>1.1519999999999999</v>
      </c>
      <c r="E41" s="467">
        <v>1.17</v>
      </c>
      <c r="F41" s="467">
        <v>0.96799999999999997</v>
      </c>
      <c r="G41" s="467">
        <v>0.75199999999999989</v>
      </c>
      <c r="H41" s="467">
        <v>0.51200000000000001</v>
      </c>
      <c r="I41" s="467">
        <v>0.77350000000000008</v>
      </c>
      <c r="J41" s="467">
        <v>1.071</v>
      </c>
      <c r="K41" s="468">
        <v>1.2389999999999999</v>
      </c>
      <c r="M41" s="472" t="s">
        <v>1299</v>
      </c>
      <c r="N41" s="465" t="s">
        <v>1300</v>
      </c>
      <c r="P41" s="472" t="s">
        <v>1301</v>
      </c>
      <c r="Q41" s="465" t="s">
        <v>1302</v>
      </c>
      <c r="S41" s="168"/>
      <c r="T41" s="168"/>
      <c r="U41" s="168"/>
    </row>
    <row r="42" spans="1:21" x14ac:dyDescent="0.25">
      <c r="B42" s="469">
        <v>105</v>
      </c>
      <c r="C42" s="500">
        <v>0.05</v>
      </c>
      <c r="D42" s="470">
        <v>0.996</v>
      </c>
      <c r="E42" s="470">
        <v>1.05</v>
      </c>
      <c r="F42" s="470">
        <v>0.88</v>
      </c>
      <c r="G42" s="470">
        <v>0.66399999999999992</v>
      </c>
      <c r="H42" s="470">
        <v>0.432</v>
      </c>
      <c r="I42" s="470">
        <v>0.68850000000000011</v>
      </c>
      <c r="J42" s="470">
        <v>0.98099999999999998</v>
      </c>
      <c r="K42" s="471">
        <v>1.1235000000000002</v>
      </c>
      <c r="M42" s="473" t="s">
        <v>1303</v>
      </c>
      <c r="N42" s="479">
        <v>0.4</v>
      </c>
      <c r="P42" s="473" t="s">
        <v>1304</v>
      </c>
      <c r="Q42" s="475">
        <v>7.5038702786269285E-2</v>
      </c>
      <c r="S42" s="168"/>
      <c r="T42" s="168"/>
      <c r="U42" s="168"/>
    </row>
    <row r="43" spans="1:21" x14ac:dyDescent="0.25">
      <c r="B43" s="466">
        <v>210</v>
      </c>
      <c r="C43" s="499">
        <v>0.1</v>
      </c>
      <c r="D43" s="467">
        <v>0.91200000000000003</v>
      </c>
      <c r="E43" s="467">
        <v>0.97</v>
      </c>
      <c r="F43" s="467">
        <v>0.83199999999999996</v>
      </c>
      <c r="G43" s="467">
        <v>0.64</v>
      </c>
      <c r="H43" s="467">
        <v>0.40800000000000003</v>
      </c>
      <c r="I43" s="467">
        <v>0.64600000000000013</v>
      </c>
      <c r="J43" s="467">
        <v>0.92700000000000005</v>
      </c>
      <c r="K43" s="468">
        <v>1.0289999999999999</v>
      </c>
      <c r="M43" s="476" t="s">
        <v>1305</v>
      </c>
      <c r="N43" s="480">
        <v>1.3</v>
      </c>
      <c r="P43" s="476" t="s">
        <v>1306</v>
      </c>
      <c r="Q43" s="478">
        <v>7.7844298428481729E-2</v>
      </c>
      <c r="S43" s="168"/>
      <c r="T43" s="168"/>
      <c r="U43" s="168"/>
    </row>
    <row r="44" spans="1:21" x14ac:dyDescent="0.25">
      <c r="B44" s="469">
        <v>420</v>
      </c>
      <c r="C44" s="500">
        <v>0.2</v>
      </c>
      <c r="D44" s="470">
        <v>0.74399999999999999</v>
      </c>
      <c r="E44" s="470">
        <v>0.84999999999999987</v>
      </c>
      <c r="F44" s="470">
        <v>0.74400000000000011</v>
      </c>
      <c r="G44" s="470">
        <v>0.55999999999999994</v>
      </c>
      <c r="H44" s="470">
        <v>0.36</v>
      </c>
      <c r="I44" s="470">
        <v>0.57800000000000007</v>
      </c>
      <c r="J44" s="470">
        <v>0.81900000000000006</v>
      </c>
      <c r="K44" s="471">
        <v>0.90300000000000002</v>
      </c>
      <c r="L44" s="460" t="s">
        <v>1094</v>
      </c>
      <c r="M44" s="473" t="s">
        <v>1307</v>
      </c>
      <c r="N44" s="479">
        <v>1</v>
      </c>
      <c r="P44" s="473" t="s">
        <v>1308</v>
      </c>
      <c r="Q44" s="475">
        <v>7.8883407925597449E-2</v>
      </c>
      <c r="S44" s="168"/>
      <c r="T44" s="168"/>
      <c r="U44" s="168"/>
    </row>
    <row r="45" spans="1:21" x14ac:dyDescent="0.25">
      <c r="B45" s="466">
        <v>840</v>
      </c>
      <c r="C45" s="499">
        <v>0.4</v>
      </c>
      <c r="D45" s="467">
        <v>0.48</v>
      </c>
      <c r="E45" s="467">
        <v>0.65</v>
      </c>
      <c r="F45" s="467">
        <v>0.60799999999999998</v>
      </c>
      <c r="G45" s="467">
        <v>0.46399999999999991</v>
      </c>
      <c r="H45" s="467">
        <v>0.30399999999999999</v>
      </c>
      <c r="I45" s="467">
        <v>0.46750000000000008</v>
      </c>
      <c r="J45" s="467">
        <v>0.66600000000000004</v>
      </c>
      <c r="K45" s="468">
        <v>0.67199999999999993</v>
      </c>
      <c r="L45" s="460" t="s">
        <v>1085</v>
      </c>
      <c r="M45" s="476" t="s">
        <v>1309</v>
      </c>
      <c r="N45" s="480">
        <v>1</v>
      </c>
      <c r="P45" s="481" t="s">
        <v>1310</v>
      </c>
      <c r="Q45" s="482">
        <v>7.9268263294899569E-2</v>
      </c>
      <c r="S45" s="168"/>
      <c r="T45" s="168"/>
      <c r="U45" s="168"/>
    </row>
    <row r="46" spans="1:21" x14ac:dyDescent="0.25">
      <c r="B46" s="469">
        <v>1260</v>
      </c>
      <c r="C46" s="500">
        <v>0.6</v>
      </c>
      <c r="D46" s="470">
        <v>0.38400000000000001</v>
      </c>
      <c r="E46" s="470">
        <v>0.51</v>
      </c>
      <c r="F46" s="470">
        <v>0.52</v>
      </c>
      <c r="G46" s="470">
        <v>0.39999999999999991</v>
      </c>
      <c r="H46" s="470">
        <v>0.26400000000000001</v>
      </c>
      <c r="I46" s="470">
        <v>0.39950000000000002</v>
      </c>
      <c r="J46" s="470">
        <v>0.56699999999999995</v>
      </c>
      <c r="K46" s="471">
        <v>0.53549999999999998</v>
      </c>
      <c r="L46" s="460" t="s">
        <v>1075</v>
      </c>
      <c r="M46" s="501" t="s">
        <v>1311</v>
      </c>
      <c r="N46" s="502">
        <v>0.85</v>
      </c>
      <c r="S46" s="168"/>
      <c r="T46" s="168"/>
      <c r="U46" s="168"/>
    </row>
    <row r="47" spans="1:21" x14ac:dyDescent="0.25">
      <c r="B47" s="466">
        <v>1680</v>
      </c>
      <c r="C47" s="499">
        <v>0.8</v>
      </c>
      <c r="D47" s="467">
        <v>0.33600000000000002</v>
      </c>
      <c r="E47" s="467">
        <v>0.4</v>
      </c>
      <c r="F47" s="467">
        <v>0.43200000000000005</v>
      </c>
      <c r="G47" s="467">
        <v>0.35199999999999998</v>
      </c>
      <c r="H47" s="467">
        <v>0.22400000000000003</v>
      </c>
      <c r="I47" s="467">
        <v>0.34849999999999998</v>
      </c>
      <c r="J47" s="467">
        <v>0.47700000000000004</v>
      </c>
      <c r="K47" s="468">
        <v>0.42</v>
      </c>
      <c r="S47" s="168"/>
      <c r="T47" s="168"/>
      <c r="U47" s="168"/>
    </row>
    <row r="48" spans="1:21" ht="13" thickBot="1" x14ac:dyDescent="0.3">
      <c r="B48" s="469">
        <v>2100</v>
      </c>
      <c r="C48" s="500">
        <v>1</v>
      </c>
      <c r="D48" s="470">
        <v>0.3</v>
      </c>
      <c r="E48" s="470">
        <v>0.33</v>
      </c>
      <c r="F48" s="470">
        <v>0.38400000000000001</v>
      </c>
      <c r="G48" s="470">
        <v>0.29599999999999999</v>
      </c>
      <c r="H48" s="470">
        <v>0.2</v>
      </c>
      <c r="I48" s="470">
        <v>0.29749999999999999</v>
      </c>
      <c r="J48" s="470">
        <v>0.39600000000000002</v>
      </c>
      <c r="K48" s="471">
        <v>0.33599999999999997</v>
      </c>
      <c r="M48" s="461" t="s">
        <v>1318</v>
      </c>
      <c r="S48" s="168"/>
      <c r="T48" s="168"/>
      <c r="U48" s="168"/>
    </row>
    <row r="49" spans="1:27" x14ac:dyDescent="0.25">
      <c r="B49" s="466">
        <v>2520</v>
      </c>
      <c r="C49" s="499">
        <v>1.2</v>
      </c>
      <c r="D49" s="467">
        <v>0.26400000000000001</v>
      </c>
      <c r="E49" s="467">
        <v>0.28000000000000003</v>
      </c>
      <c r="F49" s="467">
        <v>0.32799999999999996</v>
      </c>
      <c r="G49" s="467">
        <v>0.27199999999999996</v>
      </c>
      <c r="H49" s="467">
        <v>0.184</v>
      </c>
      <c r="I49" s="467">
        <v>0.26350000000000001</v>
      </c>
      <c r="J49" s="467">
        <v>0.34200000000000003</v>
      </c>
      <c r="K49" s="468">
        <v>0.28350000000000003</v>
      </c>
      <c r="L49" s="487" t="s">
        <v>1094</v>
      </c>
      <c r="M49" s="488" t="s">
        <v>1307</v>
      </c>
      <c r="N49" s="503">
        <v>1</v>
      </c>
      <c r="S49" s="168"/>
      <c r="T49" s="168"/>
      <c r="U49" s="168"/>
    </row>
    <row r="50" spans="1:27" x14ac:dyDescent="0.3">
      <c r="B50" s="469">
        <v>2940</v>
      </c>
      <c r="C50" s="500">
        <v>1.4</v>
      </c>
      <c r="D50" s="470">
        <v>0.22800000000000001</v>
      </c>
      <c r="E50" s="470">
        <v>0.23</v>
      </c>
      <c r="F50" s="470">
        <v>0.28799999999999998</v>
      </c>
      <c r="G50" s="470">
        <v>0.24</v>
      </c>
      <c r="H50" s="470">
        <v>0.16800000000000001</v>
      </c>
      <c r="I50" s="470">
        <v>0.23800000000000004</v>
      </c>
      <c r="J50" s="470">
        <v>0.29699999999999999</v>
      </c>
      <c r="K50" s="471">
        <v>0.252</v>
      </c>
      <c r="L50" s="490" t="s">
        <v>1075</v>
      </c>
      <c r="M50" s="1413" t="s">
        <v>1311</v>
      </c>
      <c r="N50" s="504">
        <v>0.85</v>
      </c>
      <c r="T50" s="524"/>
    </row>
    <row r="51" spans="1:27" ht="13" thickBot="1" x14ac:dyDescent="0.35">
      <c r="B51" s="466">
        <v>3360</v>
      </c>
      <c r="C51" s="499">
        <v>1.6</v>
      </c>
      <c r="D51" s="467">
        <v>0.21599999999999997</v>
      </c>
      <c r="E51" s="467">
        <v>0.21</v>
      </c>
      <c r="F51" s="467">
        <v>0.26400000000000001</v>
      </c>
      <c r="G51" s="467">
        <v>0.216</v>
      </c>
      <c r="H51" s="467">
        <v>0.16</v>
      </c>
      <c r="I51" s="467">
        <v>0.221</v>
      </c>
      <c r="J51" s="467">
        <v>0.27900000000000003</v>
      </c>
      <c r="K51" s="468">
        <v>0.22049999999999997</v>
      </c>
      <c r="L51" s="492" t="s">
        <v>1085</v>
      </c>
      <c r="M51" s="493" t="s">
        <v>1309</v>
      </c>
      <c r="N51" s="505">
        <v>1</v>
      </c>
    </row>
    <row r="52" spans="1:27" x14ac:dyDescent="0.25">
      <c r="B52" s="469">
        <v>3780</v>
      </c>
      <c r="C52" s="500">
        <v>1.8</v>
      </c>
      <c r="D52" s="470">
        <v>0.20399999999999999</v>
      </c>
      <c r="E52" s="470">
        <v>0.2</v>
      </c>
      <c r="F52" s="470">
        <v>0.22400000000000003</v>
      </c>
      <c r="G52" s="470">
        <v>0.19199999999999995</v>
      </c>
      <c r="H52" s="470">
        <v>0.14400000000000002</v>
      </c>
      <c r="I52" s="470">
        <v>0.20400000000000001</v>
      </c>
      <c r="J52" s="470">
        <v>0.24300000000000002</v>
      </c>
      <c r="K52" s="471">
        <v>0.19950000000000001</v>
      </c>
      <c r="L52" s="168"/>
      <c r="M52" s="168"/>
      <c r="N52" s="168"/>
    </row>
    <row r="53" spans="1:27" x14ac:dyDescent="0.25">
      <c r="B53" s="484">
        <v>4200</v>
      </c>
      <c r="C53" s="506">
        <v>2</v>
      </c>
      <c r="D53" s="485">
        <v>0.192</v>
      </c>
      <c r="E53" s="485">
        <v>0.19</v>
      </c>
      <c r="F53" s="485">
        <v>0.21600000000000003</v>
      </c>
      <c r="G53" s="485">
        <v>0.184</v>
      </c>
      <c r="H53" s="485">
        <v>0.14400000000000002</v>
      </c>
      <c r="I53" s="485">
        <v>0.17850000000000002</v>
      </c>
      <c r="J53" s="485">
        <v>0.22500000000000001</v>
      </c>
      <c r="K53" s="486">
        <v>0.189</v>
      </c>
      <c r="L53" s="168"/>
      <c r="M53" s="168"/>
      <c r="N53" s="168"/>
    </row>
    <row r="54" spans="1:27" x14ac:dyDescent="0.25">
      <c r="L54" s="168"/>
      <c r="M54" s="168"/>
      <c r="N54" s="168"/>
    </row>
    <row r="55" spans="1:27" x14ac:dyDescent="0.3">
      <c r="A55" s="515" t="s">
        <v>1252</v>
      </c>
      <c r="B55" s="459" t="s">
        <v>1320</v>
      </c>
      <c r="M55" s="1585" t="s">
        <v>1331</v>
      </c>
      <c r="N55" s="1585"/>
      <c r="P55" s="461" t="s">
        <v>1322</v>
      </c>
    </row>
    <row r="57" spans="1:27" ht="52" x14ac:dyDescent="0.25">
      <c r="B57" s="462" t="s">
        <v>1297</v>
      </c>
      <c r="C57" s="463" t="s">
        <v>1298</v>
      </c>
      <c r="D57" s="497" t="s">
        <v>1230</v>
      </c>
      <c r="E57" s="497" t="s">
        <v>1231</v>
      </c>
      <c r="F57" s="497" t="s">
        <v>1232</v>
      </c>
      <c r="G57" s="497" t="s">
        <v>1233</v>
      </c>
      <c r="H57" s="497" t="s">
        <v>1234</v>
      </c>
      <c r="I57" s="497" t="s">
        <v>1235</v>
      </c>
      <c r="J57" s="497" t="s">
        <v>1236</v>
      </c>
      <c r="K57" s="498" t="s">
        <v>1237</v>
      </c>
      <c r="Y57" s="168"/>
      <c r="Z57" s="168"/>
      <c r="AA57" s="168"/>
    </row>
    <row r="58" spans="1:27" ht="13" x14ac:dyDescent="0.25">
      <c r="B58" s="466">
        <v>0</v>
      </c>
      <c r="C58" s="499">
        <v>0</v>
      </c>
      <c r="D58" s="467">
        <v>1.8720000000000001</v>
      </c>
      <c r="E58" s="467">
        <v>1.4263333333333335</v>
      </c>
      <c r="F58" s="467">
        <v>1.2035</v>
      </c>
      <c r="G58" s="467">
        <v>0.75116666666666654</v>
      </c>
      <c r="H58" s="467">
        <v>0.52499999999999991</v>
      </c>
      <c r="I58" s="467">
        <v>0.92500000000000004</v>
      </c>
      <c r="J58" s="467">
        <v>1.125</v>
      </c>
      <c r="K58" s="468">
        <v>1.623</v>
      </c>
      <c r="M58" s="472" t="s">
        <v>1299</v>
      </c>
      <c r="N58" s="465" t="s">
        <v>1300</v>
      </c>
      <c r="P58" s="472" t="s">
        <v>1230</v>
      </c>
      <c r="Q58" s="497" t="s">
        <v>1231</v>
      </c>
      <c r="R58" s="497" t="s">
        <v>1232</v>
      </c>
      <c r="S58" s="497" t="s">
        <v>1233</v>
      </c>
      <c r="T58" s="497" t="s">
        <v>1234</v>
      </c>
      <c r="U58" s="497" t="s">
        <v>1235</v>
      </c>
      <c r="V58" s="497" t="s">
        <v>1236</v>
      </c>
      <c r="W58" s="498" t="s">
        <v>1237</v>
      </c>
      <c r="Y58" s="168"/>
      <c r="Z58" s="168"/>
      <c r="AA58" s="168"/>
    </row>
    <row r="59" spans="1:27" x14ac:dyDescent="0.25">
      <c r="B59" s="469">
        <v>105</v>
      </c>
      <c r="C59" s="500">
        <v>0.05</v>
      </c>
      <c r="D59" s="470">
        <v>1.8089999999999999</v>
      </c>
      <c r="E59" s="470">
        <v>1.3650797546012272</v>
      </c>
      <c r="F59" s="470">
        <v>1.1165</v>
      </c>
      <c r="G59" s="470">
        <v>0.63256140350877177</v>
      </c>
      <c r="H59" s="470">
        <v>0.43499999999999989</v>
      </c>
      <c r="I59" s="470">
        <v>0.77894736842105261</v>
      </c>
      <c r="J59" s="470">
        <v>1.0349999999999999</v>
      </c>
      <c r="K59" s="471">
        <v>1.5580799999999999</v>
      </c>
      <c r="M59" s="473" t="s">
        <v>1303</v>
      </c>
      <c r="N59" s="479">
        <v>1</v>
      </c>
      <c r="P59" s="516">
        <v>1.3</v>
      </c>
      <c r="Q59" s="517">
        <v>1.1000000000000001</v>
      </c>
      <c r="R59" s="517">
        <v>0.9</v>
      </c>
      <c r="S59" s="517">
        <v>0.9</v>
      </c>
      <c r="T59" s="517">
        <v>0.9</v>
      </c>
      <c r="U59" s="517">
        <v>0.9</v>
      </c>
      <c r="V59" s="517">
        <v>0.9</v>
      </c>
      <c r="W59" s="502">
        <v>1.1000000000000001</v>
      </c>
      <c r="Y59" s="168"/>
      <c r="Z59" s="168"/>
      <c r="AA59" s="168"/>
    </row>
    <row r="60" spans="1:27" x14ac:dyDescent="0.25">
      <c r="B60" s="466">
        <v>210</v>
      </c>
      <c r="C60" s="499">
        <v>0.1</v>
      </c>
      <c r="D60" s="467">
        <v>1.8089999999999999</v>
      </c>
      <c r="E60" s="467">
        <v>1.338828220858896</v>
      </c>
      <c r="F60" s="467">
        <v>1.0585</v>
      </c>
      <c r="G60" s="467">
        <v>0.59302631578947362</v>
      </c>
      <c r="H60" s="467">
        <v>0.42</v>
      </c>
      <c r="I60" s="467">
        <v>0.73026315789473684</v>
      </c>
      <c r="J60" s="467">
        <v>0.99</v>
      </c>
      <c r="K60" s="468">
        <v>1.52562</v>
      </c>
      <c r="M60" s="476" t="s">
        <v>1305</v>
      </c>
      <c r="N60" s="480">
        <v>1.1000000000000001</v>
      </c>
      <c r="O60" s="461" t="s">
        <v>1324</v>
      </c>
      <c r="P60" s="512">
        <v>1.04</v>
      </c>
      <c r="Q60" s="512">
        <v>0.88000000000000012</v>
      </c>
      <c r="R60" s="512">
        <v>0.72000000000000008</v>
      </c>
      <c r="S60" s="512">
        <v>0.72000000000000008</v>
      </c>
      <c r="T60" s="512">
        <v>0.72000000000000008</v>
      </c>
      <c r="U60" s="512">
        <v>0.72000000000000008</v>
      </c>
      <c r="V60" s="512">
        <v>0.72000000000000008</v>
      </c>
      <c r="W60" s="512">
        <v>0.88000000000000012</v>
      </c>
      <c r="Y60" s="168"/>
      <c r="Z60" s="168"/>
      <c r="AA60" s="168"/>
    </row>
    <row r="61" spans="1:27" x14ac:dyDescent="0.25">
      <c r="B61" s="469">
        <v>420</v>
      </c>
      <c r="C61" s="500">
        <v>0.2</v>
      </c>
      <c r="D61" s="470">
        <v>1.7009999999999998</v>
      </c>
      <c r="E61" s="470">
        <v>1.2513231083844583</v>
      </c>
      <c r="F61" s="470">
        <v>0.9860000000000001</v>
      </c>
      <c r="G61" s="470">
        <v>0.53372368421052618</v>
      </c>
      <c r="H61" s="470">
        <v>0.37499999999999994</v>
      </c>
      <c r="I61" s="470">
        <v>0.65723684210526323</v>
      </c>
      <c r="J61" s="470">
        <v>0.89999999999999991</v>
      </c>
      <c r="K61" s="471">
        <v>1.3849600000000002</v>
      </c>
      <c r="M61" s="473" t="s">
        <v>1325</v>
      </c>
      <c r="N61" s="479">
        <v>0.8</v>
      </c>
      <c r="Y61" s="168"/>
      <c r="Z61" s="168"/>
      <c r="AA61" s="168"/>
    </row>
    <row r="62" spans="1:27" x14ac:dyDescent="0.25">
      <c r="B62" s="466">
        <v>840</v>
      </c>
      <c r="C62" s="499">
        <v>0.4</v>
      </c>
      <c r="D62" s="467">
        <v>1.4580000000000002</v>
      </c>
      <c r="E62" s="467">
        <v>1.0850633946830268</v>
      </c>
      <c r="F62" s="467">
        <v>0.84100000000000008</v>
      </c>
      <c r="G62" s="467">
        <v>0.45465350877192973</v>
      </c>
      <c r="H62" s="467">
        <v>0.31499999999999995</v>
      </c>
      <c r="I62" s="467">
        <v>0.55986842105263157</v>
      </c>
      <c r="J62" s="467">
        <v>0.75</v>
      </c>
      <c r="K62" s="468">
        <v>1.2226599999999999</v>
      </c>
      <c r="M62" s="476" t="s">
        <v>1326</v>
      </c>
      <c r="N62" s="480">
        <v>0.5</v>
      </c>
      <c r="P62" s="459" t="s">
        <v>1332</v>
      </c>
      <c r="Y62" s="168"/>
      <c r="Z62" s="168"/>
      <c r="AA62" s="168"/>
    </row>
    <row r="63" spans="1:27" ht="13" thickBot="1" x14ac:dyDescent="0.3">
      <c r="B63" s="469">
        <v>1260</v>
      </c>
      <c r="C63" s="500">
        <v>0.6</v>
      </c>
      <c r="D63" s="470">
        <v>1.3410000000000002</v>
      </c>
      <c r="E63" s="470">
        <v>0.95380572597137037</v>
      </c>
      <c r="F63" s="470">
        <v>0.72500000000000009</v>
      </c>
      <c r="G63" s="470">
        <v>0.39535087719298234</v>
      </c>
      <c r="H63" s="470">
        <v>0.28499999999999998</v>
      </c>
      <c r="I63" s="470">
        <v>0.48684210526315791</v>
      </c>
      <c r="J63" s="470">
        <v>0.66</v>
      </c>
      <c r="K63" s="471">
        <v>1.0387200000000001</v>
      </c>
      <c r="L63" s="460" t="s">
        <v>1094</v>
      </c>
      <c r="M63" s="473" t="s">
        <v>1307</v>
      </c>
      <c r="N63" s="479">
        <v>1.0473414870636766</v>
      </c>
      <c r="Y63" s="168"/>
      <c r="Z63" s="168"/>
      <c r="AA63" s="168"/>
    </row>
    <row r="64" spans="1:27" ht="13.5" thickBot="1" x14ac:dyDescent="0.3">
      <c r="B64" s="466">
        <v>1680</v>
      </c>
      <c r="C64" s="499">
        <v>0.8</v>
      </c>
      <c r="D64" s="467">
        <v>1.143</v>
      </c>
      <c r="E64" s="467">
        <v>0.82254805725971381</v>
      </c>
      <c r="F64" s="467">
        <v>0.63800000000000001</v>
      </c>
      <c r="G64" s="467">
        <v>0.35581578947368414</v>
      </c>
      <c r="H64" s="467">
        <v>0.255</v>
      </c>
      <c r="I64" s="467">
        <v>0.43815789473684208</v>
      </c>
      <c r="J64" s="467">
        <v>0.58499999999999996</v>
      </c>
      <c r="K64" s="468">
        <v>0.89805999999999997</v>
      </c>
      <c r="L64" s="460" t="s">
        <v>1085</v>
      </c>
      <c r="M64" s="476" t="s">
        <v>1309</v>
      </c>
      <c r="N64" s="480">
        <v>1</v>
      </c>
      <c r="P64" s="518" t="s">
        <v>1333</v>
      </c>
      <c r="Y64" s="168"/>
      <c r="Z64" s="168"/>
      <c r="AA64" s="168"/>
    </row>
    <row r="65" spans="2:27" ht="13.5" thickBot="1" x14ac:dyDescent="0.3">
      <c r="B65" s="469">
        <v>2100</v>
      </c>
      <c r="C65" s="500">
        <v>1</v>
      </c>
      <c r="D65" s="470">
        <v>1.0439999999999998</v>
      </c>
      <c r="E65" s="470">
        <v>0.72629243353783246</v>
      </c>
      <c r="F65" s="470">
        <v>0.59450000000000003</v>
      </c>
      <c r="G65" s="470">
        <v>0.31628070175438588</v>
      </c>
      <c r="H65" s="470">
        <v>0.24</v>
      </c>
      <c r="I65" s="470">
        <v>0.38947368421052631</v>
      </c>
      <c r="J65" s="470">
        <v>0.51</v>
      </c>
      <c r="K65" s="471">
        <v>0.76822000000000001</v>
      </c>
      <c r="L65" s="460" t="s">
        <v>1075</v>
      </c>
      <c r="M65" s="501" t="s">
        <v>1311</v>
      </c>
      <c r="N65" s="502">
        <v>0.9716373261423854</v>
      </c>
      <c r="P65" s="519">
        <v>7.96</v>
      </c>
      <c r="Q65" s="461" t="s">
        <v>1344</v>
      </c>
      <c r="Y65" s="168"/>
      <c r="Z65" s="168"/>
      <c r="AA65" s="168"/>
    </row>
    <row r="66" spans="2:27" x14ac:dyDescent="0.25">
      <c r="B66" s="466">
        <v>2520</v>
      </c>
      <c r="C66" s="499">
        <v>1.2</v>
      </c>
      <c r="D66" s="467">
        <v>0.81900000000000006</v>
      </c>
      <c r="E66" s="467">
        <v>0.61253578732106351</v>
      </c>
      <c r="F66" s="467">
        <v>0.49300000000000005</v>
      </c>
      <c r="G66" s="467">
        <v>0.29651315789473681</v>
      </c>
      <c r="H66" s="467">
        <v>0.22499999999999998</v>
      </c>
      <c r="I66" s="467">
        <v>0.36513157894736842</v>
      </c>
      <c r="J66" s="467">
        <v>0.44999999999999996</v>
      </c>
      <c r="K66" s="468">
        <v>0.68165999999999993</v>
      </c>
      <c r="Y66" s="168"/>
      <c r="Z66" s="168"/>
      <c r="AA66" s="168"/>
    </row>
    <row r="67" spans="2:27" ht="13" thickBot="1" x14ac:dyDescent="0.3">
      <c r="B67" s="469">
        <v>2940</v>
      </c>
      <c r="C67" s="500">
        <v>1.4</v>
      </c>
      <c r="D67" s="470">
        <v>0.747</v>
      </c>
      <c r="E67" s="470">
        <v>0.59503476482617601</v>
      </c>
      <c r="F67" s="470">
        <v>0.47850000000000009</v>
      </c>
      <c r="G67" s="470">
        <v>0.27674561403508768</v>
      </c>
      <c r="H67" s="470">
        <v>0.21</v>
      </c>
      <c r="I67" s="470">
        <v>0.34078947368421059</v>
      </c>
      <c r="J67" s="470">
        <v>0.40500000000000003</v>
      </c>
      <c r="K67" s="471">
        <v>0.51936000000000004</v>
      </c>
      <c r="M67" s="461" t="s">
        <v>1334</v>
      </c>
      <c r="Y67" s="168"/>
      <c r="Z67" s="168"/>
      <c r="AA67" s="168"/>
    </row>
    <row r="68" spans="2:27" x14ac:dyDescent="0.25">
      <c r="B68" s="466">
        <v>3360</v>
      </c>
      <c r="C68" s="499">
        <v>1.6</v>
      </c>
      <c r="D68" s="467">
        <v>0.57600000000000007</v>
      </c>
      <c r="E68" s="467">
        <v>0.42877505112474446</v>
      </c>
      <c r="F68" s="467">
        <v>0.435</v>
      </c>
      <c r="G68" s="467">
        <v>0.25697807017543856</v>
      </c>
      <c r="H68" s="467">
        <v>0.19499999999999998</v>
      </c>
      <c r="I68" s="467">
        <v>0.29210526315789476</v>
      </c>
      <c r="J68" s="467">
        <v>0.375</v>
      </c>
      <c r="K68" s="468">
        <v>0.4869</v>
      </c>
      <c r="L68" s="487" t="s">
        <v>1094</v>
      </c>
      <c r="M68" s="488" t="s">
        <v>1305</v>
      </c>
      <c r="N68" s="503">
        <v>1.0473414870636766</v>
      </c>
      <c r="Y68" s="168"/>
      <c r="Z68" s="168"/>
      <c r="AA68" s="168"/>
    </row>
    <row r="69" spans="2:27" x14ac:dyDescent="0.3">
      <c r="B69" s="469">
        <v>3780</v>
      </c>
      <c r="C69" s="500">
        <v>1.8</v>
      </c>
      <c r="D69" s="470">
        <v>0.46800000000000003</v>
      </c>
      <c r="E69" s="470">
        <v>0.4112740286298569</v>
      </c>
      <c r="F69" s="470">
        <v>0.34799999999999998</v>
      </c>
      <c r="G69" s="470">
        <v>0.23721052631578943</v>
      </c>
      <c r="H69" s="470">
        <v>0.19499999999999998</v>
      </c>
      <c r="I69" s="470">
        <v>0.29210526315789476</v>
      </c>
      <c r="J69" s="470">
        <v>0.34500000000000003</v>
      </c>
      <c r="K69" s="471">
        <v>0.42198000000000002</v>
      </c>
      <c r="L69" s="490" t="s">
        <v>1075</v>
      </c>
      <c r="M69" s="1413" t="s">
        <v>1326</v>
      </c>
      <c r="N69" s="504">
        <v>0.9716373261423854</v>
      </c>
    </row>
    <row r="70" spans="2:27" ht="13" thickBot="1" x14ac:dyDescent="0.35">
      <c r="B70" s="484">
        <v>4200</v>
      </c>
      <c r="C70" s="506">
        <v>2</v>
      </c>
      <c r="D70" s="485">
        <v>0.35100000000000003</v>
      </c>
      <c r="E70" s="485">
        <v>0.3412699386503068</v>
      </c>
      <c r="F70" s="485">
        <v>0.34799999999999998</v>
      </c>
      <c r="G70" s="485">
        <v>0.21744298245614033</v>
      </c>
      <c r="H70" s="485">
        <v>0.17999999999999997</v>
      </c>
      <c r="I70" s="485">
        <v>0.29210526315789476</v>
      </c>
      <c r="J70" s="485">
        <v>0.3</v>
      </c>
      <c r="K70" s="486">
        <v>0.35705999999999999</v>
      </c>
      <c r="L70" s="492" t="s">
        <v>1085</v>
      </c>
      <c r="M70" s="493" t="s">
        <v>1325</v>
      </c>
      <c r="N70" s="505">
        <v>1</v>
      </c>
    </row>
  </sheetData>
  <sheetProtection algorithmName="SHA-512" hashValue="KU1ipBCdXI/hiQE8ILfHVtcf79QL8tyA8OXOb2uVKmCGWFApprtrL0WIa2XFlGpn0d55h5HPe/WHmpKGVtNCNQ==" saltValue="aLXVW4qU2Tk6/5EcnUoc6Q==" spinCount="100000" sheet="1" objects="1" scenarios="1" autoFilter="0"/>
  <mergeCells count="4">
    <mergeCell ref="M1:N1"/>
    <mergeCell ref="P1:Q1"/>
    <mergeCell ref="M18:N18"/>
    <mergeCell ref="M55:N55"/>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3"/>
  <dimension ref="A1:AF70"/>
  <sheetViews>
    <sheetView workbookViewId="0">
      <selection activeCell="K75" sqref="K75"/>
    </sheetView>
  </sheetViews>
  <sheetFormatPr defaultColWidth="8" defaultRowHeight="12.5" x14ac:dyDescent="0.3"/>
  <cols>
    <col min="1" max="1" width="26.58203125" style="460" customWidth="1"/>
    <col min="2" max="2" width="9" style="460" customWidth="1"/>
    <col min="3" max="3" width="8.08203125" style="460" customWidth="1"/>
    <col min="4" max="11" width="8.83203125" style="460" customWidth="1"/>
    <col min="12" max="12" width="8" style="460"/>
    <col min="13" max="13" width="55.5" style="461" customWidth="1"/>
    <col min="14" max="15" width="8" style="461"/>
    <col min="16" max="16" width="47.58203125" style="461" customWidth="1"/>
    <col min="17" max="18" width="11.08203125" style="461" customWidth="1"/>
    <col min="19" max="19" width="8" style="461"/>
    <col min="20" max="20" width="14.58203125" style="461" customWidth="1"/>
    <col min="21" max="21" width="15.83203125" style="461" customWidth="1"/>
    <col min="22" max="25" width="8" style="461"/>
    <col min="26" max="26" width="14.58203125" style="461" customWidth="1"/>
    <col min="27" max="27" width="15.83203125" style="461" customWidth="1"/>
    <col min="28" max="32" width="8" style="461"/>
    <col min="33" max="16384" width="8" style="460"/>
  </cols>
  <sheetData>
    <row r="1" spans="1:21" x14ac:dyDescent="0.25">
      <c r="A1" s="458" t="s">
        <v>1114</v>
      </c>
      <c r="B1" s="459" t="s">
        <v>1294</v>
      </c>
      <c r="M1" s="1585" t="s">
        <v>1319</v>
      </c>
      <c r="N1" s="1585"/>
      <c r="P1" s="1586" t="s">
        <v>1296</v>
      </c>
      <c r="Q1" s="1586"/>
      <c r="S1" s="168"/>
      <c r="T1" s="168"/>
      <c r="U1" s="168"/>
    </row>
    <row r="2" spans="1:21" ht="52" x14ac:dyDescent="0.25">
      <c r="B2" s="462" t="s">
        <v>1297</v>
      </c>
      <c r="C2" s="463" t="s">
        <v>1298</v>
      </c>
      <c r="D2" s="464" t="s">
        <v>1230</v>
      </c>
      <c r="E2" s="464" t="s">
        <v>1231</v>
      </c>
      <c r="F2" s="464" t="s">
        <v>1232</v>
      </c>
      <c r="G2" s="464" t="s">
        <v>1233</v>
      </c>
      <c r="H2" s="464" t="s">
        <v>1234</v>
      </c>
      <c r="I2" s="464" t="s">
        <v>1235</v>
      </c>
      <c r="J2" s="464" t="s">
        <v>1236</v>
      </c>
      <c r="K2" s="465" t="s">
        <v>1237</v>
      </c>
      <c r="S2" s="168"/>
      <c r="T2" s="168"/>
      <c r="U2" s="168"/>
    </row>
    <row r="3" spans="1:21" x14ac:dyDescent="0.25">
      <c r="B3" s="466">
        <v>0</v>
      </c>
      <c r="C3" s="467">
        <v>0</v>
      </c>
      <c r="D3" s="467">
        <v>1.02</v>
      </c>
      <c r="E3" s="467">
        <v>1.6800000000000004</v>
      </c>
      <c r="F3" s="467">
        <v>2.16</v>
      </c>
      <c r="G3" s="467">
        <v>1.3920000000000001</v>
      </c>
      <c r="H3" s="467">
        <v>0.74800000000000011</v>
      </c>
      <c r="I3" s="467">
        <v>2.121</v>
      </c>
      <c r="J3" s="467">
        <v>3.9370000000000003</v>
      </c>
      <c r="K3" s="468">
        <v>2.4940000000000002</v>
      </c>
      <c r="S3" s="168"/>
      <c r="T3" s="168"/>
      <c r="U3" s="168"/>
    </row>
    <row r="4" spans="1:21" ht="13" x14ac:dyDescent="0.25">
      <c r="B4" s="469">
        <v>105</v>
      </c>
      <c r="C4" s="470">
        <v>0.05</v>
      </c>
      <c r="D4" s="470">
        <v>0.85200000000000009</v>
      </c>
      <c r="E4" s="470">
        <v>1.4850000000000001</v>
      </c>
      <c r="F4" s="470">
        <v>1.9620000000000004</v>
      </c>
      <c r="G4" s="470">
        <v>1.2325000000000002</v>
      </c>
      <c r="H4" s="470">
        <v>0.627</v>
      </c>
      <c r="I4" s="470">
        <v>1.8900000000000001</v>
      </c>
      <c r="J4" s="470">
        <v>3.5960000000000001</v>
      </c>
      <c r="K4" s="471">
        <v>2.2360000000000007</v>
      </c>
      <c r="M4" s="472" t="s">
        <v>1299</v>
      </c>
      <c r="N4" s="465" t="s">
        <v>1300</v>
      </c>
      <c r="P4" s="472" t="s">
        <v>1301</v>
      </c>
      <c r="Q4" s="465" t="s">
        <v>1302</v>
      </c>
      <c r="S4" s="168"/>
      <c r="T4" s="168"/>
      <c r="U4" s="168"/>
    </row>
    <row r="5" spans="1:21" x14ac:dyDescent="0.25">
      <c r="B5" s="466">
        <v>210</v>
      </c>
      <c r="C5" s="467">
        <v>0.1</v>
      </c>
      <c r="D5" s="467">
        <v>0.78</v>
      </c>
      <c r="E5" s="467">
        <v>1.35</v>
      </c>
      <c r="F5" s="467">
        <v>1.8360000000000003</v>
      </c>
      <c r="G5" s="467">
        <v>1.1455000000000002</v>
      </c>
      <c r="H5" s="467">
        <v>0.59400000000000008</v>
      </c>
      <c r="I5" s="467">
        <v>1.764</v>
      </c>
      <c r="J5" s="467">
        <v>3.3790000000000004</v>
      </c>
      <c r="K5" s="468">
        <v>2.0425000000000004</v>
      </c>
      <c r="M5" s="473" t="s">
        <v>1303</v>
      </c>
      <c r="N5" s="474">
        <v>0.7</v>
      </c>
      <c r="P5" s="473" t="s">
        <v>1304</v>
      </c>
      <c r="Q5" s="475">
        <v>0.1879170335479888</v>
      </c>
      <c r="S5" s="168"/>
      <c r="T5" s="168"/>
      <c r="U5" s="168"/>
    </row>
    <row r="6" spans="1:21" x14ac:dyDescent="0.25">
      <c r="B6" s="469">
        <v>420</v>
      </c>
      <c r="C6" s="470">
        <v>0.2</v>
      </c>
      <c r="D6" s="470">
        <v>0.62400000000000011</v>
      </c>
      <c r="E6" s="470">
        <v>1.1850000000000001</v>
      </c>
      <c r="F6" s="470">
        <v>1.62</v>
      </c>
      <c r="G6" s="470">
        <v>1.0150000000000001</v>
      </c>
      <c r="H6" s="470">
        <v>0.52800000000000002</v>
      </c>
      <c r="I6" s="470">
        <v>1.5329999999999999</v>
      </c>
      <c r="J6" s="470">
        <v>3.0380000000000003</v>
      </c>
      <c r="K6" s="471">
        <v>1.7845000000000002</v>
      </c>
      <c r="M6" s="476" t="s">
        <v>1305</v>
      </c>
      <c r="N6" s="477">
        <v>1.1000000000000001</v>
      </c>
      <c r="P6" s="476" t="s">
        <v>1306</v>
      </c>
      <c r="Q6" s="478">
        <v>0.19036399917634542</v>
      </c>
      <c r="S6" s="168"/>
      <c r="T6" s="168"/>
      <c r="U6" s="168"/>
    </row>
    <row r="7" spans="1:21" x14ac:dyDescent="0.25">
      <c r="B7" s="466">
        <v>840</v>
      </c>
      <c r="C7" s="467">
        <v>0.4</v>
      </c>
      <c r="D7" s="467">
        <v>0.46800000000000003</v>
      </c>
      <c r="E7" s="467">
        <v>0.90000000000000013</v>
      </c>
      <c r="F7" s="467">
        <v>1.3140000000000003</v>
      </c>
      <c r="G7" s="467">
        <v>0.82650000000000012</v>
      </c>
      <c r="H7" s="467">
        <v>0.42900000000000005</v>
      </c>
      <c r="I7" s="467">
        <v>1.2809999999999999</v>
      </c>
      <c r="J7" s="467">
        <v>2.4490000000000003</v>
      </c>
      <c r="K7" s="468">
        <v>1.3545000000000003</v>
      </c>
      <c r="L7" s="460" t="s">
        <v>1094</v>
      </c>
      <c r="M7" s="473" t="s">
        <v>1307</v>
      </c>
      <c r="N7" s="479">
        <v>1</v>
      </c>
      <c r="O7" s="461">
        <v>1.5216536440366144</v>
      </c>
      <c r="P7" s="473" t="s">
        <v>1308</v>
      </c>
      <c r="Q7" s="475">
        <v>0.19444227522360641</v>
      </c>
      <c r="S7" s="168"/>
      <c r="T7" s="168"/>
      <c r="U7" s="168"/>
    </row>
    <row r="8" spans="1:21" x14ac:dyDescent="0.25">
      <c r="B8" s="469">
        <v>1260</v>
      </c>
      <c r="C8" s="470">
        <v>0.6</v>
      </c>
      <c r="D8" s="470">
        <v>0.40800000000000003</v>
      </c>
      <c r="E8" s="470">
        <v>0.69000000000000017</v>
      </c>
      <c r="F8" s="470">
        <v>1.08</v>
      </c>
      <c r="G8" s="470">
        <v>0.69600000000000006</v>
      </c>
      <c r="H8" s="470">
        <v>0.36300000000000004</v>
      </c>
      <c r="I8" s="470">
        <v>1.05</v>
      </c>
      <c r="J8" s="470">
        <v>2.0459999999999998</v>
      </c>
      <c r="K8" s="471">
        <v>1.0535000000000001</v>
      </c>
      <c r="L8" s="460" t="s">
        <v>1085</v>
      </c>
      <c r="M8" s="476" t="s">
        <v>1309</v>
      </c>
      <c r="N8" s="480">
        <v>0.98</v>
      </c>
      <c r="O8" s="461">
        <v>1</v>
      </c>
      <c r="P8" s="481" t="s">
        <v>1310</v>
      </c>
      <c r="Q8" s="482">
        <v>0.20123940196904144</v>
      </c>
      <c r="S8" s="168"/>
      <c r="T8" s="168"/>
      <c r="U8" s="168"/>
    </row>
    <row r="9" spans="1:21" x14ac:dyDescent="0.25">
      <c r="B9" s="466">
        <v>1680</v>
      </c>
      <c r="C9" s="467">
        <v>0.8</v>
      </c>
      <c r="D9" s="467">
        <v>0.36000000000000004</v>
      </c>
      <c r="E9" s="467">
        <v>0.55500000000000016</v>
      </c>
      <c r="F9" s="467">
        <v>0.90000000000000013</v>
      </c>
      <c r="G9" s="467">
        <v>0.59450000000000003</v>
      </c>
      <c r="H9" s="467">
        <v>0.31900000000000001</v>
      </c>
      <c r="I9" s="467">
        <v>0.90300000000000002</v>
      </c>
      <c r="J9" s="467">
        <v>1.6430000000000002</v>
      </c>
      <c r="K9" s="468">
        <v>0.8600000000000001</v>
      </c>
      <c r="L9" s="460" t="s">
        <v>1075</v>
      </c>
      <c r="M9" s="473" t="s">
        <v>1311</v>
      </c>
      <c r="N9" s="479">
        <v>0.92</v>
      </c>
      <c r="O9" s="461">
        <v>0.91782083240990842</v>
      </c>
      <c r="S9" s="168"/>
      <c r="T9" s="168"/>
      <c r="U9" s="168"/>
    </row>
    <row r="10" spans="1:21" x14ac:dyDescent="0.25">
      <c r="B10" s="469">
        <v>2100</v>
      </c>
      <c r="C10" s="470">
        <v>1</v>
      </c>
      <c r="D10" s="470">
        <v>0.3</v>
      </c>
      <c r="E10" s="470">
        <v>0.45000000000000007</v>
      </c>
      <c r="F10" s="470">
        <v>0.75600000000000001</v>
      </c>
      <c r="G10" s="470">
        <v>0.50750000000000006</v>
      </c>
      <c r="H10" s="470">
        <v>0.27500000000000002</v>
      </c>
      <c r="I10" s="470">
        <v>0.77700000000000002</v>
      </c>
      <c r="J10" s="470">
        <v>1.4569999999999999</v>
      </c>
      <c r="K10" s="471">
        <v>0.70950000000000013</v>
      </c>
      <c r="M10" s="481" t="s">
        <v>1312</v>
      </c>
      <c r="N10" s="483">
        <v>0.89</v>
      </c>
      <c r="S10" s="168"/>
      <c r="T10" s="168"/>
      <c r="U10" s="168"/>
    </row>
    <row r="11" spans="1:21" x14ac:dyDescent="0.25">
      <c r="B11" s="466">
        <v>2520</v>
      </c>
      <c r="C11" s="467">
        <v>1.2</v>
      </c>
      <c r="D11" s="467">
        <v>0.27600000000000002</v>
      </c>
      <c r="E11" s="467">
        <v>0.4200000000000001</v>
      </c>
      <c r="F11" s="467">
        <v>0.66600000000000004</v>
      </c>
      <c r="G11" s="467">
        <v>0.44950000000000007</v>
      </c>
      <c r="H11" s="467">
        <v>0.253</v>
      </c>
      <c r="I11" s="467">
        <v>0.69300000000000006</v>
      </c>
      <c r="J11" s="467">
        <v>1.2090000000000001</v>
      </c>
      <c r="K11" s="468">
        <v>0.55900000000000016</v>
      </c>
      <c r="M11" s="461" t="s">
        <v>1313</v>
      </c>
      <c r="S11" s="168"/>
      <c r="T11" s="168"/>
      <c r="U11" s="168"/>
    </row>
    <row r="12" spans="1:21" x14ac:dyDescent="0.25">
      <c r="B12" s="469">
        <v>2940</v>
      </c>
      <c r="C12" s="470">
        <v>1.4</v>
      </c>
      <c r="D12" s="470">
        <v>0.252</v>
      </c>
      <c r="E12" s="470">
        <v>0.34500000000000008</v>
      </c>
      <c r="F12" s="470">
        <v>0.57600000000000007</v>
      </c>
      <c r="G12" s="470">
        <v>0.42049999999999998</v>
      </c>
      <c r="H12" s="470">
        <v>0.22000000000000003</v>
      </c>
      <c r="I12" s="470">
        <v>0.60899999999999999</v>
      </c>
      <c r="J12" s="470">
        <v>1.0540000000000003</v>
      </c>
      <c r="K12" s="471">
        <v>0.51600000000000001</v>
      </c>
      <c r="S12" s="168"/>
      <c r="T12" s="168"/>
      <c r="U12" s="168"/>
    </row>
    <row r="13" spans="1:21" x14ac:dyDescent="0.25">
      <c r="B13" s="466">
        <v>3360</v>
      </c>
      <c r="C13" s="467">
        <v>1.6</v>
      </c>
      <c r="D13" s="467">
        <v>0.24000000000000002</v>
      </c>
      <c r="E13" s="467">
        <v>0.315</v>
      </c>
      <c r="F13" s="467">
        <v>0.54</v>
      </c>
      <c r="G13" s="467">
        <v>0.36250000000000004</v>
      </c>
      <c r="H13" s="467">
        <v>0.19799999999999998</v>
      </c>
      <c r="I13" s="467">
        <v>0.52500000000000002</v>
      </c>
      <c r="J13" s="467">
        <v>0.96099999999999997</v>
      </c>
      <c r="K13" s="468">
        <v>0.47300000000000009</v>
      </c>
      <c r="M13" s="481" t="s">
        <v>1312</v>
      </c>
      <c r="N13" s="483">
        <v>0.89</v>
      </c>
      <c r="S13" s="168"/>
      <c r="T13" s="168"/>
      <c r="U13" s="168"/>
    </row>
    <row r="14" spans="1:21" ht="13" thickBot="1" x14ac:dyDescent="0.3">
      <c r="B14" s="469">
        <v>3780</v>
      </c>
      <c r="C14" s="470">
        <v>1.8</v>
      </c>
      <c r="D14" s="470">
        <v>0.22800000000000001</v>
      </c>
      <c r="E14" s="470">
        <v>0.3000000000000001</v>
      </c>
      <c r="F14" s="470">
        <v>0.45000000000000007</v>
      </c>
      <c r="G14" s="470">
        <v>0.31900000000000006</v>
      </c>
      <c r="H14" s="470">
        <v>0.18700000000000003</v>
      </c>
      <c r="I14" s="470">
        <v>0.48300000000000004</v>
      </c>
      <c r="J14" s="470">
        <v>0.8680000000000001</v>
      </c>
      <c r="K14" s="471">
        <v>0.43000000000000005</v>
      </c>
      <c r="M14" s="461" t="s">
        <v>1314</v>
      </c>
      <c r="S14" s="168"/>
      <c r="T14" s="168"/>
      <c r="U14" s="168"/>
    </row>
    <row r="15" spans="1:21" x14ac:dyDescent="0.3">
      <c r="B15" s="484">
        <v>4200</v>
      </c>
      <c r="C15" s="485">
        <v>2</v>
      </c>
      <c r="D15" s="485">
        <v>0.192</v>
      </c>
      <c r="E15" s="485">
        <v>0.27</v>
      </c>
      <c r="F15" s="485">
        <v>0.41400000000000003</v>
      </c>
      <c r="G15" s="485">
        <v>0.30450000000000005</v>
      </c>
      <c r="H15" s="485">
        <v>0.17600000000000002</v>
      </c>
      <c r="I15" s="485">
        <v>0.46200000000000002</v>
      </c>
      <c r="J15" s="485">
        <v>0.74399999999999999</v>
      </c>
      <c r="K15" s="486">
        <v>0.40850000000000009</v>
      </c>
      <c r="L15" s="487" t="s">
        <v>1094</v>
      </c>
      <c r="M15" s="488" t="s">
        <v>1307</v>
      </c>
      <c r="N15" s="503">
        <v>1</v>
      </c>
    </row>
    <row r="16" spans="1:21" x14ac:dyDescent="0.3">
      <c r="L16" s="490" t="s">
        <v>1075</v>
      </c>
      <c r="M16" s="1413" t="s">
        <v>1311</v>
      </c>
      <c r="N16" s="504">
        <v>0.92</v>
      </c>
    </row>
    <row r="17" spans="1:27" ht="13" thickBot="1" x14ac:dyDescent="0.35">
      <c r="L17" s="492" t="s">
        <v>1085</v>
      </c>
      <c r="M17" s="493" t="s">
        <v>1309</v>
      </c>
      <c r="N17" s="505">
        <v>0.98</v>
      </c>
    </row>
    <row r="18" spans="1:27" x14ac:dyDescent="0.3">
      <c r="A18" s="511" t="s">
        <v>1251</v>
      </c>
      <c r="B18" s="459" t="s">
        <v>1320</v>
      </c>
      <c r="M18" s="1585" t="s">
        <v>1319</v>
      </c>
      <c r="N18" s="1585"/>
      <c r="P18" s="461" t="s">
        <v>1322</v>
      </c>
    </row>
    <row r="20" spans="1:27" ht="52" x14ac:dyDescent="0.25">
      <c r="B20" s="462" t="s">
        <v>1297</v>
      </c>
      <c r="C20" s="463" t="s">
        <v>1298</v>
      </c>
      <c r="D20" s="464" t="s">
        <v>1230</v>
      </c>
      <c r="E20" s="464" t="s">
        <v>1231</v>
      </c>
      <c r="F20" s="464" t="s">
        <v>1232</v>
      </c>
      <c r="G20" s="464" t="s">
        <v>1233</v>
      </c>
      <c r="H20" s="464" t="s">
        <v>1234</v>
      </c>
      <c r="I20" s="464" t="s">
        <v>1235</v>
      </c>
      <c r="J20" s="464" t="s">
        <v>1236</v>
      </c>
      <c r="K20" s="465" t="s">
        <v>1237</v>
      </c>
      <c r="Y20" s="168"/>
      <c r="Z20" s="168"/>
      <c r="AA20" s="168"/>
    </row>
    <row r="21" spans="1:27" ht="13" x14ac:dyDescent="0.25">
      <c r="B21" s="466">
        <v>0</v>
      </c>
      <c r="C21" s="467">
        <v>0</v>
      </c>
      <c r="D21" s="467">
        <v>2.2967</v>
      </c>
      <c r="E21" s="467">
        <v>2.3975999999999997</v>
      </c>
      <c r="F21" s="467">
        <v>1.6604999999999999</v>
      </c>
      <c r="G21" s="467">
        <v>0.66974999999999985</v>
      </c>
      <c r="H21" s="467">
        <v>0.36000000000000004</v>
      </c>
      <c r="I21" s="467">
        <v>0.64859999999999995</v>
      </c>
      <c r="J21" s="467">
        <v>1.5876000000000001</v>
      </c>
      <c r="K21" s="468">
        <v>2.2995000000000001</v>
      </c>
      <c r="M21" s="472" t="s">
        <v>1299</v>
      </c>
      <c r="N21" s="465" t="s">
        <v>1300</v>
      </c>
      <c r="P21" s="1414" t="s">
        <v>1230</v>
      </c>
      <c r="Q21" s="1414" t="s">
        <v>1231</v>
      </c>
      <c r="R21" s="1414" t="s">
        <v>1232</v>
      </c>
      <c r="S21" s="1414" t="s">
        <v>1233</v>
      </c>
      <c r="T21" s="1414" t="s">
        <v>1234</v>
      </c>
      <c r="U21" s="1414" t="s">
        <v>1235</v>
      </c>
      <c r="V21" s="1414" t="s">
        <v>1236</v>
      </c>
      <c r="W21" s="1414" t="s">
        <v>1237</v>
      </c>
      <c r="Y21" s="168"/>
      <c r="Z21" s="168"/>
      <c r="AA21" s="168"/>
    </row>
    <row r="22" spans="1:27" x14ac:dyDescent="0.25">
      <c r="B22" s="469">
        <v>105</v>
      </c>
      <c r="C22" s="470">
        <v>0.05</v>
      </c>
      <c r="D22" s="470">
        <v>2.2253000000000003</v>
      </c>
      <c r="E22" s="470">
        <v>2.2841999999999998</v>
      </c>
      <c r="F22" s="470">
        <v>1.4964999999999997</v>
      </c>
      <c r="G22" s="470">
        <v>0.55574999999999997</v>
      </c>
      <c r="H22" s="470">
        <v>0.30400000000000005</v>
      </c>
      <c r="I22" s="470">
        <v>0.53820000000000001</v>
      </c>
      <c r="J22" s="470">
        <v>1.4307999999999998</v>
      </c>
      <c r="K22" s="471">
        <v>2.1892499999999999</v>
      </c>
      <c r="M22" s="473" t="s">
        <v>1303</v>
      </c>
      <c r="N22" s="474">
        <v>0.5</v>
      </c>
      <c r="P22" s="1415">
        <v>1.3</v>
      </c>
      <c r="Q22" s="1415">
        <v>1.1000000000000001</v>
      </c>
      <c r="R22" s="1415">
        <v>0.9</v>
      </c>
      <c r="S22" s="1415">
        <v>0.875</v>
      </c>
      <c r="T22" s="1415">
        <v>0.85</v>
      </c>
      <c r="U22" s="1415">
        <v>0.875</v>
      </c>
      <c r="V22" s="1415">
        <v>0.9</v>
      </c>
      <c r="W22" s="1415">
        <v>1.1000000000000001</v>
      </c>
      <c r="Y22" s="168"/>
      <c r="Z22" s="168"/>
      <c r="AA22" s="168"/>
    </row>
    <row r="23" spans="1:27" x14ac:dyDescent="0.25">
      <c r="B23" s="466">
        <v>210</v>
      </c>
      <c r="C23" s="467">
        <v>0.1</v>
      </c>
      <c r="D23" s="467">
        <v>2.2015000000000002</v>
      </c>
      <c r="E23" s="467">
        <v>2.2031999999999998</v>
      </c>
      <c r="F23" s="467">
        <v>1.4349999999999996</v>
      </c>
      <c r="G23" s="467">
        <v>0.52724999999999989</v>
      </c>
      <c r="H23" s="467">
        <v>0.27999999999999997</v>
      </c>
      <c r="I23" s="467">
        <v>0.51059999999999994</v>
      </c>
      <c r="J23" s="467">
        <v>1.3719999999999999</v>
      </c>
      <c r="K23" s="468">
        <v>2.1105000000000005</v>
      </c>
      <c r="M23" s="476" t="s">
        <v>1305</v>
      </c>
      <c r="N23" s="477">
        <v>1.1499999999999999</v>
      </c>
      <c r="O23" s="461" t="s">
        <v>1324</v>
      </c>
      <c r="P23" s="512">
        <v>1.079</v>
      </c>
      <c r="Q23" s="512">
        <v>0.91300000000000003</v>
      </c>
      <c r="R23" s="512">
        <v>0.747</v>
      </c>
      <c r="S23" s="512">
        <v>0.72624999999999995</v>
      </c>
      <c r="T23" s="512">
        <v>0.7054999999999999</v>
      </c>
      <c r="U23" s="512">
        <v>0.72624999999999995</v>
      </c>
      <c r="V23" s="512">
        <v>0.747</v>
      </c>
      <c r="W23" s="512">
        <v>0.91300000000000003</v>
      </c>
      <c r="Y23" s="168"/>
      <c r="Z23" s="168"/>
      <c r="AA23" s="168"/>
    </row>
    <row r="24" spans="1:27" x14ac:dyDescent="0.25">
      <c r="B24" s="469">
        <v>420</v>
      </c>
      <c r="C24" s="470">
        <v>0.2</v>
      </c>
      <c r="D24" s="470">
        <v>1.8564000000000003</v>
      </c>
      <c r="E24" s="470">
        <v>1.9763999999999997</v>
      </c>
      <c r="F24" s="470">
        <v>1.2914999999999996</v>
      </c>
      <c r="G24" s="470">
        <v>0.47025</v>
      </c>
      <c r="H24" s="470">
        <v>0.25600000000000006</v>
      </c>
      <c r="I24" s="470">
        <v>0.45540000000000003</v>
      </c>
      <c r="J24" s="470">
        <v>1.2347999999999999</v>
      </c>
      <c r="K24" s="471">
        <v>1.89</v>
      </c>
      <c r="M24" s="473" t="s">
        <v>1325</v>
      </c>
      <c r="N24" s="474">
        <v>0.83</v>
      </c>
      <c r="Y24" s="168"/>
      <c r="Z24" s="168"/>
      <c r="AA24" s="168"/>
    </row>
    <row r="25" spans="1:27" x14ac:dyDescent="0.25">
      <c r="B25" s="466">
        <v>840</v>
      </c>
      <c r="C25" s="467">
        <v>0.4</v>
      </c>
      <c r="D25" s="467">
        <v>1.6778999999999997</v>
      </c>
      <c r="E25" s="467">
        <v>1.6523999999999999</v>
      </c>
      <c r="F25" s="467">
        <v>1.0454999999999999</v>
      </c>
      <c r="G25" s="467">
        <v>0.39899999999999997</v>
      </c>
      <c r="H25" s="467">
        <v>0.21600000000000003</v>
      </c>
      <c r="I25" s="467">
        <v>0.38640000000000002</v>
      </c>
      <c r="J25" s="467">
        <v>0.99960000000000016</v>
      </c>
      <c r="K25" s="468">
        <v>1.5592500000000002</v>
      </c>
      <c r="M25" s="476" t="s">
        <v>1326</v>
      </c>
      <c r="N25" s="477">
        <v>1.52</v>
      </c>
      <c r="O25" s="461" t="s">
        <v>1345</v>
      </c>
      <c r="P25" s="459" t="s">
        <v>1327</v>
      </c>
      <c r="Y25" s="168"/>
      <c r="Z25" s="168"/>
      <c r="AA25" s="168"/>
    </row>
    <row r="26" spans="1:27" x14ac:dyDescent="0.25">
      <c r="B26" s="469">
        <v>1260</v>
      </c>
      <c r="C26" s="470">
        <v>0.6</v>
      </c>
      <c r="D26" s="470">
        <v>1.4041999999999999</v>
      </c>
      <c r="E26" s="470">
        <v>1.3445999999999998</v>
      </c>
      <c r="F26" s="470">
        <v>0.90199999999999991</v>
      </c>
      <c r="G26" s="470">
        <v>0.34199999999999992</v>
      </c>
      <c r="H26" s="470">
        <v>0.19200000000000003</v>
      </c>
      <c r="I26" s="470">
        <v>0.33119999999999994</v>
      </c>
      <c r="J26" s="470">
        <v>0.86240000000000006</v>
      </c>
      <c r="K26" s="471">
        <v>1.2915000000000001</v>
      </c>
      <c r="L26" s="460" t="s">
        <v>1094</v>
      </c>
      <c r="M26" s="473" t="s">
        <v>1307</v>
      </c>
      <c r="N26" s="479">
        <v>1</v>
      </c>
      <c r="O26" s="512">
        <v>1</v>
      </c>
      <c r="Y26" s="168"/>
      <c r="Z26" s="168"/>
      <c r="AA26" s="168"/>
    </row>
    <row r="27" spans="1:27" ht="13" x14ac:dyDescent="0.25">
      <c r="B27" s="466">
        <v>1680</v>
      </c>
      <c r="C27" s="467">
        <v>0.8</v>
      </c>
      <c r="D27" s="467">
        <v>1.1900000000000002</v>
      </c>
      <c r="E27" s="467">
        <v>1.1015999999999999</v>
      </c>
      <c r="F27" s="467">
        <v>0.75849999999999984</v>
      </c>
      <c r="G27" s="467">
        <v>0.29924999999999996</v>
      </c>
      <c r="H27" s="467">
        <v>0.17600000000000002</v>
      </c>
      <c r="I27" s="467">
        <v>0.2898</v>
      </c>
      <c r="J27" s="467">
        <v>0.7056</v>
      </c>
      <c r="K27" s="468">
        <v>1.0552500000000002</v>
      </c>
      <c r="L27" s="460" t="s">
        <v>1085</v>
      </c>
      <c r="M27" s="476" t="s">
        <v>1309</v>
      </c>
      <c r="N27" s="480">
        <v>1</v>
      </c>
      <c r="O27" s="512">
        <v>0.95769462688388218</v>
      </c>
      <c r="P27" s="513" t="s">
        <v>1336</v>
      </c>
      <c r="Y27" s="168"/>
      <c r="Z27" s="168"/>
      <c r="AA27" s="168"/>
    </row>
    <row r="28" spans="1:27" x14ac:dyDescent="0.25">
      <c r="B28" s="469">
        <v>2100</v>
      </c>
      <c r="C28" s="470">
        <v>1</v>
      </c>
      <c r="D28" s="470">
        <v>0.94010000000000005</v>
      </c>
      <c r="E28" s="470">
        <v>0.95579999999999987</v>
      </c>
      <c r="F28" s="470">
        <v>0.65599999999999992</v>
      </c>
      <c r="G28" s="470">
        <v>0.28499999999999998</v>
      </c>
      <c r="H28" s="470">
        <v>0.16000000000000003</v>
      </c>
      <c r="I28" s="470">
        <v>0.26219999999999999</v>
      </c>
      <c r="J28" s="470">
        <v>0.58799999999999997</v>
      </c>
      <c r="K28" s="471">
        <v>0.91349999999999998</v>
      </c>
      <c r="L28" s="460" t="s">
        <v>1075</v>
      </c>
      <c r="M28" s="473" t="s">
        <v>1311</v>
      </c>
      <c r="N28" s="479">
        <v>0.95769462688388218</v>
      </c>
      <c r="O28" s="512">
        <v>0.90807067243969508</v>
      </c>
      <c r="P28" s="514">
        <v>4.9338192416188535</v>
      </c>
      <c r="Y28" s="168"/>
      <c r="Z28" s="168"/>
      <c r="AA28" s="168"/>
    </row>
    <row r="29" spans="1:27" x14ac:dyDescent="0.25">
      <c r="B29" s="466">
        <v>2520</v>
      </c>
      <c r="C29" s="467">
        <v>1.2</v>
      </c>
      <c r="D29" s="467">
        <v>0.64260000000000006</v>
      </c>
      <c r="E29" s="467">
        <v>0.74519999999999986</v>
      </c>
      <c r="F29" s="467">
        <v>0.57400000000000007</v>
      </c>
      <c r="G29" s="467">
        <v>0.25649999999999995</v>
      </c>
      <c r="H29" s="467">
        <v>0.15200000000000002</v>
      </c>
      <c r="I29" s="467">
        <v>0.24839999999999998</v>
      </c>
      <c r="J29" s="467">
        <v>0.5292</v>
      </c>
      <c r="K29" s="468">
        <v>0.74025000000000007</v>
      </c>
      <c r="M29" s="481" t="s">
        <v>1329</v>
      </c>
      <c r="N29" s="483">
        <v>0.91</v>
      </c>
      <c r="Y29" s="168"/>
      <c r="Z29" s="168"/>
      <c r="AA29" s="168"/>
    </row>
    <row r="30" spans="1:27" x14ac:dyDescent="0.25">
      <c r="B30" s="469">
        <v>2940</v>
      </c>
      <c r="C30" s="470">
        <v>1.4</v>
      </c>
      <c r="D30" s="470">
        <v>0.52359999999999995</v>
      </c>
      <c r="E30" s="470">
        <v>0.68039999999999989</v>
      </c>
      <c r="F30" s="470">
        <v>0.51249999999999996</v>
      </c>
      <c r="G30" s="470">
        <v>0.24224999999999997</v>
      </c>
      <c r="H30" s="470">
        <v>0.14400000000000002</v>
      </c>
      <c r="I30" s="470">
        <v>0.2346</v>
      </c>
      <c r="J30" s="470">
        <v>0.47039999999999998</v>
      </c>
      <c r="K30" s="471">
        <v>0.59850000000000003</v>
      </c>
      <c r="M30" s="461" t="s">
        <v>1313</v>
      </c>
      <c r="Y30" s="168"/>
      <c r="Z30" s="168"/>
      <c r="AA30" s="168"/>
    </row>
    <row r="31" spans="1:27" x14ac:dyDescent="0.25">
      <c r="B31" s="466">
        <v>3360</v>
      </c>
      <c r="C31" s="467">
        <v>1.6</v>
      </c>
      <c r="D31" s="467">
        <v>0.36890000000000001</v>
      </c>
      <c r="E31" s="467">
        <v>0.50219999999999998</v>
      </c>
      <c r="F31" s="467">
        <v>0.43049999999999994</v>
      </c>
      <c r="G31" s="467">
        <v>0.22799999999999998</v>
      </c>
      <c r="H31" s="467">
        <v>0.13600000000000001</v>
      </c>
      <c r="I31" s="467">
        <v>0.20699999999999999</v>
      </c>
      <c r="J31" s="467">
        <v>0.43120000000000003</v>
      </c>
      <c r="K31" s="468">
        <v>0.504</v>
      </c>
      <c r="Y31" s="168"/>
      <c r="Z31" s="168"/>
      <c r="AA31" s="168"/>
    </row>
    <row r="32" spans="1:27" x14ac:dyDescent="0.25">
      <c r="B32" s="469">
        <v>3780</v>
      </c>
      <c r="C32" s="470">
        <v>1.8</v>
      </c>
      <c r="D32" s="470">
        <v>0.2737</v>
      </c>
      <c r="E32" s="470">
        <v>0.45359999999999995</v>
      </c>
      <c r="F32" s="470">
        <v>0.38949999999999996</v>
      </c>
      <c r="G32" s="470">
        <v>0.19949999999999998</v>
      </c>
      <c r="H32" s="470">
        <v>0.12800000000000003</v>
      </c>
      <c r="I32" s="470">
        <v>0.19320000000000001</v>
      </c>
      <c r="J32" s="470">
        <v>0.37240000000000001</v>
      </c>
      <c r="K32" s="471">
        <v>0.45674999999999999</v>
      </c>
      <c r="M32" s="481" t="s">
        <v>1329</v>
      </c>
      <c r="N32" s="483">
        <v>0.80182982449824469</v>
      </c>
      <c r="Y32" s="168"/>
      <c r="Z32" s="168"/>
      <c r="AA32" s="168"/>
    </row>
    <row r="33" spans="1:27" ht="13" thickBot="1" x14ac:dyDescent="0.3">
      <c r="B33" s="484">
        <v>4200</v>
      </c>
      <c r="C33" s="485">
        <v>2</v>
      </c>
      <c r="D33" s="485">
        <v>0.2261</v>
      </c>
      <c r="E33" s="485">
        <v>0.40499999999999997</v>
      </c>
      <c r="F33" s="485">
        <v>0.32799999999999996</v>
      </c>
      <c r="G33" s="485">
        <v>0.19949999999999998</v>
      </c>
      <c r="H33" s="485">
        <v>0.12000000000000001</v>
      </c>
      <c r="I33" s="485">
        <v>0.19320000000000001</v>
      </c>
      <c r="J33" s="485">
        <v>0.3332</v>
      </c>
      <c r="K33" s="486">
        <v>0.36225000000000007</v>
      </c>
      <c r="M33" s="461" t="s">
        <v>1330</v>
      </c>
      <c r="Y33" s="168"/>
      <c r="Z33" s="168"/>
      <c r="AA33" s="168"/>
    </row>
    <row r="34" spans="1:27" x14ac:dyDescent="0.3">
      <c r="B34" s="520"/>
      <c r="C34" s="521"/>
      <c r="D34" s="521"/>
      <c r="E34" s="521"/>
      <c r="F34" s="521"/>
      <c r="G34" s="521"/>
      <c r="H34" s="521"/>
      <c r="I34" s="521"/>
      <c r="J34" s="521"/>
      <c r="K34" s="521"/>
      <c r="L34" s="487" t="s">
        <v>1094</v>
      </c>
      <c r="M34" s="488" t="s">
        <v>1307</v>
      </c>
      <c r="N34" s="503">
        <v>1</v>
      </c>
    </row>
    <row r="35" spans="1:27" x14ac:dyDescent="0.3">
      <c r="B35" s="520"/>
      <c r="C35" s="521"/>
      <c r="D35" s="521"/>
      <c r="E35" s="521"/>
      <c r="F35" s="521"/>
      <c r="G35" s="521"/>
      <c r="H35" s="521"/>
      <c r="I35" s="521"/>
      <c r="J35" s="521"/>
      <c r="K35" s="521"/>
      <c r="L35" s="490" t="s">
        <v>1075</v>
      </c>
      <c r="M35" s="1413" t="s">
        <v>1311</v>
      </c>
      <c r="N35" s="504">
        <v>0.95769462688388218</v>
      </c>
    </row>
    <row r="36" spans="1:27" ht="13" thickBot="1" x14ac:dyDescent="0.35">
      <c r="B36" s="520"/>
      <c r="C36" s="521"/>
      <c r="D36" s="521"/>
      <c r="E36" s="521"/>
      <c r="F36" s="521"/>
      <c r="G36" s="521"/>
      <c r="H36" s="521"/>
      <c r="I36" s="521"/>
      <c r="J36" s="521"/>
      <c r="K36" s="521"/>
      <c r="L36" s="492" t="s">
        <v>1085</v>
      </c>
      <c r="M36" s="493" t="s">
        <v>1309</v>
      </c>
      <c r="N36" s="505">
        <v>1</v>
      </c>
    </row>
    <row r="38" spans="1:27" x14ac:dyDescent="0.25">
      <c r="A38" s="495" t="s">
        <v>1242</v>
      </c>
      <c r="B38" s="459" t="s">
        <v>1315</v>
      </c>
      <c r="M38" s="1585" t="s">
        <v>1316</v>
      </c>
      <c r="N38" s="1585"/>
      <c r="P38" s="459" t="s">
        <v>1317</v>
      </c>
      <c r="S38" s="168"/>
      <c r="T38" s="168"/>
      <c r="U38" s="168"/>
    </row>
    <row r="39" spans="1:27" x14ac:dyDescent="0.25">
      <c r="S39" s="168"/>
      <c r="T39" s="168"/>
      <c r="U39" s="168"/>
    </row>
    <row r="40" spans="1:27" ht="52" x14ac:dyDescent="0.25">
      <c r="B40" s="472" t="s">
        <v>1297</v>
      </c>
      <c r="C40" s="463" t="s">
        <v>1298</v>
      </c>
      <c r="D40" s="497" t="s">
        <v>1230</v>
      </c>
      <c r="E40" s="497" t="s">
        <v>1231</v>
      </c>
      <c r="F40" s="497" t="s">
        <v>1232</v>
      </c>
      <c r="G40" s="497" t="s">
        <v>1233</v>
      </c>
      <c r="H40" s="497" t="s">
        <v>1234</v>
      </c>
      <c r="I40" s="497" t="s">
        <v>1235</v>
      </c>
      <c r="J40" s="497" t="s">
        <v>1236</v>
      </c>
      <c r="K40" s="498" t="s">
        <v>1237</v>
      </c>
      <c r="S40" s="168"/>
      <c r="T40" s="168"/>
      <c r="U40" s="168"/>
    </row>
    <row r="41" spans="1:27" ht="13" x14ac:dyDescent="0.25">
      <c r="B41" s="466">
        <v>0</v>
      </c>
      <c r="C41" s="499">
        <v>0</v>
      </c>
      <c r="D41" s="467">
        <v>0.69699999999999995</v>
      </c>
      <c r="E41" s="467">
        <v>1.0752000000000002</v>
      </c>
      <c r="F41" s="467">
        <v>1.32</v>
      </c>
      <c r="G41" s="467">
        <v>0.72</v>
      </c>
      <c r="H41" s="467">
        <v>0.27200000000000002</v>
      </c>
      <c r="I41" s="467">
        <v>0.70195000000000007</v>
      </c>
      <c r="J41" s="467">
        <v>1.2573000000000001</v>
      </c>
      <c r="K41" s="468">
        <v>1.0498000000000001</v>
      </c>
      <c r="M41" s="472" t="s">
        <v>1299</v>
      </c>
      <c r="N41" s="465" t="s">
        <v>1300</v>
      </c>
      <c r="P41" s="472" t="s">
        <v>1301</v>
      </c>
      <c r="Q41" s="465" t="s">
        <v>1302</v>
      </c>
      <c r="S41" s="168"/>
      <c r="T41" s="168"/>
      <c r="U41" s="168"/>
    </row>
    <row r="42" spans="1:27" x14ac:dyDescent="0.25">
      <c r="B42" s="469">
        <v>105</v>
      </c>
      <c r="C42" s="500">
        <v>0.05</v>
      </c>
      <c r="D42" s="470">
        <v>0.58219999999999994</v>
      </c>
      <c r="E42" s="470">
        <v>0.95040000000000002</v>
      </c>
      <c r="F42" s="470">
        <v>1.1990000000000003</v>
      </c>
      <c r="G42" s="470">
        <v>0.63749999999999996</v>
      </c>
      <c r="H42" s="470">
        <v>0.22799999999999998</v>
      </c>
      <c r="I42" s="470">
        <v>0.62550000000000006</v>
      </c>
      <c r="J42" s="470">
        <v>1.1484000000000001</v>
      </c>
      <c r="K42" s="471">
        <v>0.94120000000000015</v>
      </c>
      <c r="M42" s="473" t="s">
        <v>1303</v>
      </c>
      <c r="N42" s="479">
        <v>0.8</v>
      </c>
      <c r="P42" s="473" t="s">
        <v>1304</v>
      </c>
      <c r="Q42" s="475">
        <v>9.0942087158660312E-2</v>
      </c>
      <c r="S42" s="168"/>
      <c r="T42" s="168"/>
      <c r="U42" s="168"/>
    </row>
    <row r="43" spans="1:27" x14ac:dyDescent="0.25">
      <c r="B43" s="466">
        <v>210</v>
      </c>
      <c r="C43" s="499">
        <v>0.1</v>
      </c>
      <c r="D43" s="467">
        <v>0.53300000000000003</v>
      </c>
      <c r="E43" s="467">
        <v>0.86399999999999999</v>
      </c>
      <c r="F43" s="467">
        <v>1.1220000000000001</v>
      </c>
      <c r="G43" s="467">
        <v>0.59250000000000003</v>
      </c>
      <c r="H43" s="467">
        <v>0.216</v>
      </c>
      <c r="I43" s="467">
        <v>0.58379999999999999</v>
      </c>
      <c r="J43" s="467">
        <v>1.0791000000000002</v>
      </c>
      <c r="K43" s="468">
        <v>0.85975000000000013</v>
      </c>
      <c r="M43" s="476" t="s">
        <v>1305</v>
      </c>
      <c r="N43" s="480">
        <v>1.6</v>
      </c>
      <c r="P43" s="476" t="s">
        <v>1306</v>
      </c>
      <c r="Q43" s="478">
        <v>9.3227801444374592E-2</v>
      </c>
      <c r="S43" s="168"/>
      <c r="T43" s="168"/>
      <c r="U43" s="168"/>
    </row>
    <row r="44" spans="1:27" x14ac:dyDescent="0.25">
      <c r="B44" s="469">
        <v>420</v>
      </c>
      <c r="C44" s="500">
        <v>0.2</v>
      </c>
      <c r="D44" s="470">
        <v>0.4264</v>
      </c>
      <c r="E44" s="470">
        <v>0.75840000000000007</v>
      </c>
      <c r="F44" s="470">
        <v>0.99</v>
      </c>
      <c r="G44" s="470">
        <v>0.52499999999999991</v>
      </c>
      <c r="H44" s="470">
        <v>0.192</v>
      </c>
      <c r="I44" s="470">
        <v>0.50735000000000008</v>
      </c>
      <c r="J44" s="470">
        <v>0.97020000000000006</v>
      </c>
      <c r="K44" s="471">
        <v>0.7511500000000001</v>
      </c>
      <c r="L44" s="460" t="s">
        <v>1094</v>
      </c>
      <c r="M44" s="473" t="s">
        <v>1307</v>
      </c>
      <c r="N44" s="479">
        <v>0.98</v>
      </c>
      <c r="P44" s="473" t="s">
        <v>1308</v>
      </c>
      <c r="Q44" s="475">
        <v>9.4370658587231732E-2</v>
      </c>
      <c r="S44" s="168"/>
      <c r="T44" s="168"/>
      <c r="U44" s="168"/>
    </row>
    <row r="45" spans="1:27" x14ac:dyDescent="0.25">
      <c r="B45" s="466">
        <v>840</v>
      </c>
      <c r="C45" s="499">
        <v>0.4</v>
      </c>
      <c r="D45" s="467">
        <v>0.31980000000000003</v>
      </c>
      <c r="E45" s="467">
        <v>0.57600000000000007</v>
      </c>
      <c r="F45" s="467">
        <v>0.80300000000000016</v>
      </c>
      <c r="G45" s="467">
        <v>0.42749999999999999</v>
      </c>
      <c r="H45" s="467">
        <v>0.156</v>
      </c>
      <c r="I45" s="467">
        <v>0.42395000000000005</v>
      </c>
      <c r="J45" s="467">
        <v>0.78210000000000002</v>
      </c>
      <c r="K45" s="468">
        <v>0.57015000000000005</v>
      </c>
      <c r="L45" s="460" t="s">
        <v>1085</v>
      </c>
      <c r="M45" s="476" t="s">
        <v>1309</v>
      </c>
      <c r="N45" s="480">
        <v>0.92</v>
      </c>
      <c r="P45" s="481" t="s">
        <v>1310</v>
      </c>
      <c r="Q45" s="482">
        <v>9.4942087158660315E-2</v>
      </c>
      <c r="S45" s="168"/>
      <c r="T45" s="168"/>
      <c r="U45" s="168"/>
    </row>
    <row r="46" spans="1:27" x14ac:dyDescent="0.25">
      <c r="B46" s="469">
        <v>1260</v>
      </c>
      <c r="C46" s="500">
        <v>0.6</v>
      </c>
      <c r="D46" s="470">
        <v>0.27879999999999999</v>
      </c>
      <c r="E46" s="470">
        <v>0.44160000000000005</v>
      </c>
      <c r="F46" s="470">
        <v>0.66</v>
      </c>
      <c r="G46" s="470">
        <v>0.36</v>
      </c>
      <c r="H46" s="470">
        <v>0.13200000000000001</v>
      </c>
      <c r="I46" s="470">
        <v>0.34750000000000003</v>
      </c>
      <c r="J46" s="470">
        <v>0.65339999999999998</v>
      </c>
      <c r="K46" s="471">
        <v>0.44345000000000007</v>
      </c>
      <c r="L46" s="460" t="s">
        <v>1075</v>
      </c>
      <c r="M46" s="501" t="s">
        <v>1311</v>
      </c>
      <c r="N46" s="502">
        <v>0.89</v>
      </c>
      <c r="S46" s="168"/>
      <c r="T46" s="168"/>
      <c r="U46" s="168"/>
    </row>
    <row r="47" spans="1:27" x14ac:dyDescent="0.25">
      <c r="B47" s="466">
        <v>1680</v>
      </c>
      <c r="C47" s="499">
        <v>0.8</v>
      </c>
      <c r="D47" s="467">
        <v>0.246</v>
      </c>
      <c r="E47" s="467">
        <v>0.35520000000000002</v>
      </c>
      <c r="F47" s="467">
        <v>0.55000000000000004</v>
      </c>
      <c r="G47" s="467">
        <v>0.3075</v>
      </c>
      <c r="H47" s="467">
        <v>0.11599999999999999</v>
      </c>
      <c r="I47" s="467">
        <v>0.29885</v>
      </c>
      <c r="J47" s="467">
        <v>0.52470000000000006</v>
      </c>
      <c r="K47" s="468">
        <v>0.36200000000000004</v>
      </c>
      <c r="S47" s="168"/>
      <c r="T47" s="168"/>
      <c r="U47" s="168"/>
    </row>
    <row r="48" spans="1:27" ht="13" thickBot="1" x14ac:dyDescent="0.3">
      <c r="B48" s="469">
        <v>2100</v>
      </c>
      <c r="C48" s="500">
        <v>1</v>
      </c>
      <c r="D48" s="470">
        <v>0.20499999999999999</v>
      </c>
      <c r="E48" s="470">
        <v>0.28800000000000003</v>
      </c>
      <c r="F48" s="470">
        <v>0.46199999999999997</v>
      </c>
      <c r="G48" s="470">
        <v>0.26249999999999996</v>
      </c>
      <c r="H48" s="470">
        <v>0.1</v>
      </c>
      <c r="I48" s="470">
        <v>0.25715000000000005</v>
      </c>
      <c r="J48" s="470">
        <v>0.46529999999999999</v>
      </c>
      <c r="K48" s="471">
        <v>0.29865000000000003</v>
      </c>
      <c r="M48" s="461" t="s">
        <v>1318</v>
      </c>
      <c r="S48" s="168"/>
      <c r="T48" s="168"/>
      <c r="U48" s="168"/>
    </row>
    <row r="49" spans="1:27" x14ac:dyDescent="0.25">
      <c r="B49" s="466">
        <v>2520</v>
      </c>
      <c r="C49" s="499">
        <v>1.2</v>
      </c>
      <c r="D49" s="467">
        <v>0.18860000000000002</v>
      </c>
      <c r="E49" s="467">
        <v>0.26880000000000004</v>
      </c>
      <c r="F49" s="467">
        <v>0.40700000000000003</v>
      </c>
      <c r="G49" s="467">
        <v>0.23250000000000001</v>
      </c>
      <c r="H49" s="467">
        <v>9.1999999999999998E-2</v>
      </c>
      <c r="I49" s="467">
        <v>0.22935000000000003</v>
      </c>
      <c r="J49" s="467">
        <v>0.38610000000000005</v>
      </c>
      <c r="K49" s="468">
        <v>0.23530000000000004</v>
      </c>
      <c r="L49" s="487" t="s">
        <v>1094</v>
      </c>
      <c r="M49" s="488" t="s">
        <v>1307</v>
      </c>
      <c r="N49" s="503">
        <v>0.98</v>
      </c>
      <c r="S49" s="168"/>
      <c r="T49" s="168"/>
      <c r="U49" s="168"/>
    </row>
    <row r="50" spans="1:27" x14ac:dyDescent="0.25">
      <c r="B50" s="469">
        <v>2940</v>
      </c>
      <c r="C50" s="500">
        <v>1.4</v>
      </c>
      <c r="D50" s="470">
        <v>0.17219999999999999</v>
      </c>
      <c r="E50" s="470">
        <v>0.22080000000000002</v>
      </c>
      <c r="F50" s="470">
        <v>0.35200000000000004</v>
      </c>
      <c r="G50" s="470">
        <v>0.21749999999999997</v>
      </c>
      <c r="H50" s="470">
        <v>0.08</v>
      </c>
      <c r="I50" s="470">
        <v>0.20155000000000001</v>
      </c>
      <c r="J50" s="470">
        <v>0.33660000000000007</v>
      </c>
      <c r="K50" s="471">
        <v>0.2172</v>
      </c>
      <c r="L50" s="490" t="s">
        <v>1075</v>
      </c>
      <c r="M50" s="1413" t="s">
        <v>1311</v>
      </c>
      <c r="N50" s="504">
        <v>0.89</v>
      </c>
      <c r="S50" s="168"/>
      <c r="T50" s="168"/>
      <c r="U50" s="168"/>
    </row>
    <row r="51" spans="1:27" ht="13" thickBot="1" x14ac:dyDescent="0.35">
      <c r="B51" s="466">
        <v>3360</v>
      </c>
      <c r="C51" s="499">
        <v>1.6</v>
      </c>
      <c r="D51" s="467">
        <v>0.16400000000000001</v>
      </c>
      <c r="E51" s="467">
        <v>0.2016</v>
      </c>
      <c r="F51" s="467">
        <v>0.33</v>
      </c>
      <c r="G51" s="467">
        <v>0.1875</v>
      </c>
      <c r="H51" s="467">
        <v>7.1999999999999995E-2</v>
      </c>
      <c r="I51" s="467">
        <v>0.17375000000000002</v>
      </c>
      <c r="J51" s="467">
        <v>0.30690000000000001</v>
      </c>
      <c r="K51" s="468">
        <v>0.19910000000000003</v>
      </c>
      <c r="L51" s="492" t="s">
        <v>1085</v>
      </c>
      <c r="M51" s="493" t="s">
        <v>1309</v>
      </c>
      <c r="N51" s="505">
        <v>0.92</v>
      </c>
    </row>
    <row r="52" spans="1:27" x14ac:dyDescent="0.3">
      <c r="B52" s="469">
        <v>3780</v>
      </c>
      <c r="C52" s="500">
        <v>1.8</v>
      </c>
      <c r="D52" s="470">
        <v>0.15579999999999999</v>
      </c>
      <c r="E52" s="470">
        <v>0.19200000000000003</v>
      </c>
      <c r="F52" s="470">
        <v>0.27500000000000002</v>
      </c>
      <c r="G52" s="470">
        <v>0.16500000000000001</v>
      </c>
      <c r="H52" s="470">
        <v>6.8000000000000005E-2</v>
      </c>
      <c r="I52" s="470">
        <v>0.15985000000000002</v>
      </c>
      <c r="J52" s="470">
        <v>0.27720000000000006</v>
      </c>
      <c r="K52" s="471">
        <v>0.18100000000000002</v>
      </c>
    </row>
    <row r="53" spans="1:27" x14ac:dyDescent="0.3">
      <c r="B53" s="484">
        <v>4200</v>
      </c>
      <c r="C53" s="506">
        <v>2</v>
      </c>
      <c r="D53" s="485">
        <v>0.13119999999999998</v>
      </c>
      <c r="E53" s="485">
        <v>0.17280000000000001</v>
      </c>
      <c r="F53" s="485">
        <v>0.253</v>
      </c>
      <c r="G53" s="485">
        <v>0.1575</v>
      </c>
      <c r="H53" s="485">
        <v>6.4000000000000001E-2</v>
      </c>
      <c r="I53" s="485">
        <v>0.15290000000000001</v>
      </c>
      <c r="J53" s="485">
        <v>0.23760000000000001</v>
      </c>
      <c r="K53" s="486">
        <v>0.17195000000000005</v>
      </c>
    </row>
    <row r="55" spans="1:27" x14ac:dyDescent="0.3">
      <c r="A55" s="515" t="s">
        <v>1252</v>
      </c>
      <c r="B55" s="459" t="s">
        <v>1320</v>
      </c>
      <c r="M55" s="1585" t="s">
        <v>1331</v>
      </c>
      <c r="N55" s="1585"/>
      <c r="P55" s="461" t="s">
        <v>1322</v>
      </c>
    </row>
    <row r="57" spans="1:27" ht="52" x14ac:dyDescent="0.25">
      <c r="B57" s="462" t="s">
        <v>1297</v>
      </c>
      <c r="C57" s="463" t="s">
        <v>1298</v>
      </c>
      <c r="D57" s="497" t="s">
        <v>1230</v>
      </c>
      <c r="E57" s="497" t="s">
        <v>1231</v>
      </c>
      <c r="F57" s="497" t="s">
        <v>1232</v>
      </c>
      <c r="G57" s="497" t="s">
        <v>1233</v>
      </c>
      <c r="H57" s="497" t="s">
        <v>1234</v>
      </c>
      <c r="I57" s="497" t="s">
        <v>1235</v>
      </c>
      <c r="J57" s="497" t="s">
        <v>1236</v>
      </c>
      <c r="K57" s="498" t="s">
        <v>1237</v>
      </c>
      <c r="Y57" s="168"/>
      <c r="Z57" s="168"/>
      <c r="AA57" s="168"/>
    </row>
    <row r="58" spans="1:27" ht="13" x14ac:dyDescent="0.25">
      <c r="B58" s="466">
        <v>0</v>
      </c>
      <c r="C58" s="499">
        <v>0</v>
      </c>
      <c r="D58" s="467">
        <v>1.3895999999999999</v>
      </c>
      <c r="E58" s="467">
        <v>1.2732000000000001</v>
      </c>
      <c r="F58" s="467">
        <v>1.2150000000000001</v>
      </c>
      <c r="G58" s="467">
        <v>0.79500000000000015</v>
      </c>
      <c r="H58" s="467">
        <v>0.58500000000000008</v>
      </c>
      <c r="I58" s="467">
        <v>0.89700000000000013</v>
      </c>
      <c r="J58" s="467">
        <v>1.0530000000000002</v>
      </c>
      <c r="K58" s="468">
        <v>1.2774000000000001</v>
      </c>
      <c r="M58" s="472" t="s">
        <v>1299</v>
      </c>
      <c r="N58" s="465" t="s">
        <v>1300</v>
      </c>
      <c r="P58" s="472" t="s">
        <v>1230</v>
      </c>
      <c r="Q58" s="497" t="s">
        <v>1231</v>
      </c>
      <c r="R58" s="497" t="s">
        <v>1232</v>
      </c>
      <c r="S58" s="497" t="s">
        <v>1233</v>
      </c>
      <c r="T58" s="497" t="s">
        <v>1234</v>
      </c>
      <c r="U58" s="497" t="s">
        <v>1235</v>
      </c>
      <c r="V58" s="497" t="s">
        <v>1236</v>
      </c>
      <c r="W58" s="498" t="s">
        <v>1237</v>
      </c>
      <c r="Y58" s="168"/>
      <c r="Z58" s="168"/>
      <c r="AA58" s="168"/>
    </row>
    <row r="59" spans="1:27" x14ac:dyDescent="0.25">
      <c r="B59" s="469">
        <v>105</v>
      </c>
      <c r="C59" s="500">
        <v>0.05</v>
      </c>
      <c r="D59" s="470">
        <v>1.3464</v>
      </c>
      <c r="E59" s="470">
        <v>1.212981081081081</v>
      </c>
      <c r="F59" s="470">
        <v>1.095</v>
      </c>
      <c r="G59" s="470">
        <v>0.65968085106383001</v>
      </c>
      <c r="H59" s="470">
        <v>0.49400000000000005</v>
      </c>
      <c r="I59" s="470">
        <v>0.74431914893617035</v>
      </c>
      <c r="J59" s="470">
        <v>0.94900000000000007</v>
      </c>
      <c r="K59" s="471">
        <v>1.216154794520548</v>
      </c>
      <c r="M59" s="473" t="s">
        <v>1303</v>
      </c>
      <c r="N59" s="479">
        <v>1</v>
      </c>
      <c r="P59" s="516">
        <v>1.2</v>
      </c>
      <c r="Q59" s="517">
        <v>1</v>
      </c>
      <c r="R59" s="517">
        <v>0.8</v>
      </c>
      <c r="S59" s="517">
        <v>0.75</v>
      </c>
      <c r="T59" s="517">
        <v>0.7</v>
      </c>
      <c r="U59" s="517">
        <v>0.75</v>
      </c>
      <c r="V59" s="517">
        <v>0.8</v>
      </c>
      <c r="W59" s="502">
        <v>1</v>
      </c>
      <c r="Y59" s="168"/>
      <c r="Z59" s="168"/>
      <c r="AA59" s="168"/>
    </row>
    <row r="60" spans="1:27" x14ac:dyDescent="0.25">
      <c r="B60" s="466">
        <v>210</v>
      </c>
      <c r="C60" s="499">
        <v>0.1</v>
      </c>
      <c r="D60" s="467">
        <v>1.3320000000000001</v>
      </c>
      <c r="E60" s="467">
        <v>1.1699675675675678</v>
      </c>
      <c r="F60" s="467">
        <v>1.0499999999999998</v>
      </c>
      <c r="G60" s="467">
        <v>0.62585106382978739</v>
      </c>
      <c r="H60" s="467">
        <v>0.45500000000000002</v>
      </c>
      <c r="I60" s="467">
        <v>0.7061489361702129</v>
      </c>
      <c r="J60" s="467">
        <v>0.90999999999999992</v>
      </c>
      <c r="K60" s="468">
        <v>1.1724082191780825</v>
      </c>
      <c r="M60" s="476" t="s">
        <v>1305</v>
      </c>
      <c r="N60" s="480">
        <v>0.7</v>
      </c>
      <c r="O60" s="461" t="s">
        <v>1324</v>
      </c>
      <c r="P60" s="512">
        <v>0.98399999999999987</v>
      </c>
      <c r="Q60" s="512">
        <v>0.82</v>
      </c>
      <c r="R60" s="512">
        <v>0.65600000000000003</v>
      </c>
      <c r="S60" s="512">
        <v>0.61499999999999999</v>
      </c>
      <c r="T60" s="512">
        <v>0.57399999999999995</v>
      </c>
      <c r="U60" s="512">
        <v>0.61499999999999999</v>
      </c>
      <c r="V60" s="512">
        <v>0.65600000000000003</v>
      </c>
      <c r="W60" s="512">
        <v>0.82</v>
      </c>
      <c r="Y60" s="168"/>
      <c r="Z60" s="168"/>
      <c r="AA60" s="168"/>
    </row>
    <row r="61" spans="1:27" x14ac:dyDescent="0.25">
      <c r="B61" s="469">
        <v>420</v>
      </c>
      <c r="C61" s="500">
        <v>0.2</v>
      </c>
      <c r="D61" s="470">
        <v>1.1232000000000002</v>
      </c>
      <c r="E61" s="470">
        <v>1.0495297297297299</v>
      </c>
      <c r="F61" s="470">
        <v>0.94499999999999995</v>
      </c>
      <c r="G61" s="470">
        <v>0.55819148936170238</v>
      </c>
      <c r="H61" s="470">
        <v>0.41600000000000009</v>
      </c>
      <c r="I61" s="470">
        <v>0.62980851063829812</v>
      </c>
      <c r="J61" s="470">
        <v>0.81900000000000006</v>
      </c>
      <c r="K61" s="471">
        <v>1.049917808219178</v>
      </c>
      <c r="M61" s="473" t="s">
        <v>1325</v>
      </c>
      <c r="N61" s="479">
        <v>0.82</v>
      </c>
      <c r="Y61" s="168"/>
      <c r="Z61" s="168"/>
      <c r="AA61" s="168"/>
    </row>
    <row r="62" spans="1:27" x14ac:dyDescent="0.25">
      <c r="B62" s="466">
        <v>840</v>
      </c>
      <c r="C62" s="499">
        <v>0.4</v>
      </c>
      <c r="D62" s="467">
        <v>1.0151999999999999</v>
      </c>
      <c r="E62" s="467">
        <v>0.87747567567567586</v>
      </c>
      <c r="F62" s="467">
        <v>0.76500000000000012</v>
      </c>
      <c r="G62" s="467">
        <v>0.47361702127659588</v>
      </c>
      <c r="H62" s="467">
        <v>0.35100000000000003</v>
      </c>
      <c r="I62" s="467">
        <v>0.53438297872340446</v>
      </c>
      <c r="J62" s="467">
        <v>0.66300000000000014</v>
      </c>
      <c r="K62" s="468">
        <v>0.86618219178082201</v>
      </c>
      <c r="M62" s="476" t="s">
        <v>1326</v>
      </c>
      <c r="N62" s="480">
        <v>0.32</v>
      </c>
      <c r="P62" s="459" t="s">
        <v>1332</v>
      </c>
      <c r="Y62" s="168"/>
      <c r="Z62" s="168"/>
      <c r="AA62" s="168"/>
    </row>
    <row r="63" spans="1:27" ht="13" thickBot="1" x14ac:dyDescent="0.3">
      <c r="B63" s="469">
        <v>1260</v>
      </c>
      <c r="C63" s="500">
        <v>0.6</v>
      </c>
      <c r="D63" s="470">
        <v>0.84959999999999991</v>
      </c>
      <c r="E63" s="470">
        <v>0.71402432432432428</v>
      </c>
      <c r="F63" s="470">
        <v>0.66</v>
      </c>
      <c r="G63" s="470">
        <v>0.4059574468085107</v>
      </c>
      <c r="H63" s="470">
        <v>0.31200000000000006</v>
      </c>
      <c r="I63" s="470">
        <v>0.4580425531914894</v>
      </c>
      <c r="J63" s="470">
        <v>0.57200000000000006</v>
      </c>
      <c r="K63" s="471">
        <v>0.71744383561643843</v>
      </c>
      <c r="L63" s="460" t="s">
        <v>1094</v>
      </c>
      <c r="M63" s="473" t="s">
        <v>1307</v>
      </c>
      <c r="N63" s="479">
        <v>1</v>
      </c>
      <c r="Y63" s="168"/>
      <c r="Z63" s="168"/>
      <c r="AA63" s="168"/>
    </row>
    <row r="64" spans="1:27" ht="13.5" thickBot="1" x14ac:dyDescent="0.3">
      <c r="B64" s="466">
        <v>1680</v>
      </c>
      <c r="C64" s="499">
        <v>0.8</v>
      </c>
      <c r="D64" s="467">
        <v>0.72000000000000008</v>
      </c>
      <c r="E64" s="467">
        <v>0.58498378378378391</v>
      </c>
      <c r="F64" s="467">
        <v>0.55500000000000005</v>
      </c>
      <c r="G64" s="467">
        <v>0.35521276595744689</v>
      </c>
      <c r="H64" s="467">
        <v>0.28600000000000003</v>
      </c>
      <c r="I64" s="467">
        <v>0.40078723404255329</v>
      </c>
      <c r="J64" s="467">
        <v>0.46800000000000003</v>
      </c>
      <c r="K64" s="468">
        <v>0.58620410958904123</v>
      </c>
      <c r="L64" s="460" t="s">
        <v>1085</v>
      </c>
      <c r="M64" s="476" t="s">
        <v>1309</v>
      </c>
      <c r="N64" s="480">
        <v>1</v>
      </c>
      <c r="P64" s="518" t="s">
        <v>1333</v>
      </c>
      <c r="Y64" s="168"/>
      <c r="Z64" s="168"/>
      <c r="AA64" s="168"/>
    </row>
    <row r="65" spans="2:27" ht="13.5" thickBot="1" x14ac:dyDescent="0.3">
      <c r="B65" s="469">
        <v>2100</v>
      </c>
      <c r="C65" s="500">
        <v>1</v>
      </c>
      <c r="D65" s="470">
        <v>0.56879999999999997</v>
      </c>
      <c r="E65" s="470">
        <v>0.50755945945945946</v>
      </c>
      <c r="F65" s="470">
        <v>0.48</v>
      </c>
      <c r="G65" s="470">
        <v>0.33829787234042563</v>
      </c>
      <c r="H65" s="470">
        <v>0.26000000000000006</v>
      </c>
      <c r="I65" s="470">
        <v>0.36261702127659584</v>
      </c>
      <c r="J65" s="470">
        <v>0.39</v>
      </c>
      <c r="K65" s="471">
        <v>0.50746027397260274</v>
      </c>
      <c r="L65" s="460" t="s">
        <v>1075</v>
      </c>
      <c r="M65" s="501" t="s">
        <v>1311</v>
      </c>
      <c r="N65" s="502">
        <v>0.95769462688388218</v>
      </c>
      <c r="P65" s="519">
        <v>9.4105230116780358</v>
      </c>
      <c r="Y65" s="168"/>
      <c r="Z65" s="168"/>
      <c r="AA65" s="168"/>
    </row>
    <row r="66" spans="2:27" x14ac:dyDescent="0.25">
      <c r="B66" s="466">
        <v>2520</v>
      </c>
      <c r="C66" s="499">
        <v>1.2</v>
      </c>
      <c r="D66" s="467">
        <v>0.38880000000000003</v>
      </c>
      <c r="E66" s="467">
        <v>0.39572432432432436</v>
      </c>
      <c r="F66" s="467">
        <v>0.4200000000000001</v>
      </c>
      <c r="G66" s="467">
        <v>0.30446808510638301</v>
      </c>
      <c r="H66" s="467">
        <v>0.24700000000000003</v>
      </c>
      <c r="I66" s="467">
        <v>0.34353191489361706</v>
      </c>
      <c r="J66" s="467">
        <v>0.35100000000000003</v>
      </c>
      <c r="K66" s="468">
        <v>0.41121780821917814</v>
      </c>
      <c r="Y66" s="168"/>
      <c r="Z66" s="168"/>
      <c r="AA66" s="168"/>
    </row>
    <row r="67" spans="2:27" ht="13" thickBot="1" x14ac:dyDescent="0.3">
      <c r="B67" s="469">
        <v>2940</v>
      </c>
      <c r="C67" s="500">
        <v>1.4</v>
      </c>
      <c r="D67" s="470">
        <v>0.31679999999999997</v>
      </c>
      <c r="E67" s="470">
        <v>0.36131351351351354</v>
      </c>
      <c r="F67" s="470">
        <v>0.375</v>
      </c>
      <c r="G67" s="470">
        <v>0.28755319148936176</v>
      </c>
      <c r="H67" s="470">
        <v>0.23400000000000001</v>
      </c>
      <c r="I67" s="470">
        <v>0.32444680851063834</v>
      </c>
      <c r="J67" s="470">
        <v>0.31200000000000006</v>
      </c>
      <c r="K67" s="471">
        <v>0.33247397260273975</v>
      </c>
      <c r="M67" s="461" t="s">
        <v>1334</v>
      </c>
      <c r="Y67" s="168"/>
      <c r="Z67" s="168"/>
      <c r="AA67" s="168"/>
    </row>
    <row r="68" spans="2:27" x14ac:dyDescent="0.25">
      <c r="B68" s="466">
        <v>3360</v>
      </c>
      <c r="C68" s="499">
        <v>1.6</v>
      </c>
      <c r="D68" s="467">
        <v>0.22320000000000001</v>
      </c>
      <c r="E68" s="467">
        <v>0.26668378378378382</v>
      </c>
      <c r="F68" s="467">
        <v>0.315</v>
      </c>
      <c r="G68" s="467">
        <v>0.27063829787234051</v>
      </c>
      <c r="H68" s="467">
        <v>0.22100000000000003</v>
      </c>
      <c r="I68" s="467">
        <v>0.2862765957446809</v>
      </c>
      <c r="J68" s="467">
        <v>0.28600000000000003</v>
      </c>
      <c r="K68" s="468">
        <v>0.27997808219178089</v>
      </c>
      <c r="L68" s="487" t="s">
        <v>1094</v>
      </c>
      <c r="M68" s="488" t="s">
        <v>1307</v>
      </c>
      <c r="N68" s="503">
        <v>1</v>
      </c>
      <c r="Y68" s="168"/>
      <c r="Z68" s="168"/>
      <c r="AA68" s="168"/>
    </row>
    <row r="69" spans="2:27" x14ac:dyDescent="0.3">
      <c r="B69" s="469">
        <v>3780</v>
      </c>
      <c r="C69" s="500">
        <v>1.8</v>
      </c>
      <c r="D69" s="470">
        <v>0.1656</v>
      </c>
      <c r="E69" s="470">
        <v>0.24087567567567572</v>
      </c>
      <c r="F69" s="470">
        <v>0.28499999999999998</v>
      </c>
      <c r="G69" s="470">
        <v>0.23680851063829794</v>
      </c>
      <c r="H69" s="470">
        <v>0.20800000000000005</v>
      </c>
      <c r="I69" s="470">
        <v>0.26719148936170223</v>
      </c>
      <c r="J69" s="470">
        <v>0.24700000000000003</v>
      </c>
      <c r="K69" s="471">
        <v>0.25373013698630137</v>
      </c>
      <c r="L69" s="490" t="s">
        <v>1075</v>
      </c>
      <c r="M69" s="1413" t="s">
        <v>1311</v>
      </c>
      <c r="N69" s="504">
        <v>0.95769462688388218</v>
      </c>
    </row>
    <row r="70" spans="2:27" ht="13" thickBot="1" x14ac:dyDescent="0.35">
      <c r="B70" s="484">
        <v>4200</v>
      </c>
      <c r="C70" s="506">
        <v>2</v>
      </c>
      <c r="D70" s="485">
        <v>0.1368</v>
      </c>
      <c r="E70" s="485">
        <v>0.21506756756756759</v>
      </c>
      <c r="F70" s="485">
        <v>0.24</v>
      </c>
      <c r="G70" s="485">
        <v>0.23680851063829794</v>
      </c>
      <c r="H70" s="485">
        <v>0.19500000000000001</v>
      </c>
      <c r="I70" s="485">
        <v>0.26719148936170223</v>
      </c>
      <c r="J70" s="485">
        <v>0.22100000000000003</v>
      </c>
      <c r="K70" s="486">
        <v>0.2012342465753425</v>
      </c>
      <c r="L70" s="492" t="s">
        <v>1085</v>
      </c>
      <c r="M70" s="493" t="s">
        <v>1309</v>
      </c>
      <c r="N70" s="505">
        <v>1</v>
      </c>
    </row>
  </sheetData>
  <sheetProtection algorithmName="SHA-512" hashValue="ZsF8eAZcLM67M1ViBXsOMmkToUQg9dB7BFQrNJKGRhuvXsCAZThtPEchqgwrX9qLhYfWv8zTKrshEHJkc7am+w==" saltValue="JAeEP6lglSrOFi90s9URfQ==" spinCount="100000" sheet="1" objects="1" scenarios="1" autoFilter="0"/>
  <mergeCells count="5">
    <mergeCell ref="M1:N1"/>
    <mergeCell ref="P1:Q1"/>
    <mergeCell ref="M18:N18"/>
    <mergeCell ref="M38:N38"/>
    <mergeCell ref="M55:N55"/>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4"/>
  <dimension ref="B1:CC46"/>
  <sheetViews>
    <sheetView workbookViewId="0">
      <selection activeCell="K75" sqref="K75"/>
    </sheetView>
  </sheetViews>
  <sheetFormatPr defaultColWidth="8" defaultRowHeight="12.5" x14ac:dyDescent="0.25"/>
  <cols>
    <col min="1" max="16384" width="8" style="168"/>
  </cols>
  <sheetData>
    <row r="1" spans="2:81" ht="15.5" x14ac:dyDescent="0.35">
      <c r="B1" s="437" t="s">
        <v>1263</v>
      </c>
      <c r="C1" s="438" t="s">
        <v>1264</v>
      </c>
    </row>
    <row r="2" spans="2:81" ht="13" x14ac:dyDescent="0.3">
      <c r="C2" s="389" t="s">
        <v>1265</v>
      </c>
    </row>
    <row r="4" spans="2:81" ht="13" x14ac:dyDescent="0.3">
      <c r="C4" s="390" t="s">
        <v>1266</v>
      </c>
      <c r="M4" s="390" t="s">
        <v>1267</v>
      </c>
      <c r="W4" s="390" t="s">
        <v>1268</v>
      </c>
      <c r="AG4" s="390" t="s">
        <v>1269</v>
      </c>
      <c r="AQ4" s="390" t="s">
        <v>1270</v>
      </c>
      <c r="BA4" s="390" t="s">
        <v>1271</v>
      </c>
      <c r="BK4" s="390" t="s">
        <v>1272</v>
      </c>
      <c r="BU4" s="390" t="s">
        <v>1273</v>
      </c>
    </row>
    <row r="5" spans="2:81" x14ac:dyDescent="0.25">
      <c r="C5" s="439" t="s">
        <v>1274</v>
      </c>
      <c r="M5" s="439" t="s">
        <v>1275</v>
      </c>
      <c r="W5" s="439" t="s">
        <v>1276</v>
      </c>
      <c r="AG5" s="439" t="s">
        <v>1346</v>
      </c>
      <c r="AQ5" s="439" t="s">
        <v>1347</v>
      </c>
      <c r="BA5" s="439" t="s">
        <v>1281</v>
      </c>
      <c r="BK5" s="439" t="s">
        <v>1282</v>
      </c>
      <c r="BU5" s="439" t="s">
        <v>1348</v>
      </c>
    </row>
    <row r="6" spans="2:81" x14ac:dyDescent="0.25">
      <c r="C6" s="1418"/>
      <c r="D6" s="1408" t="s">
        <v>1230</v>
      </c>
      <c r="E6" s="1409" t="s">
        <v>1231</v>
      </c>
      <c r="F6" s="1409" t="s">
        <v>1232</v>
      </c>
      <c r="G6" s="1409" t="s">
        <v>1233</v>
      </c>
      <c r="H6" s="1409" t="s">
        <v>1234</v>
      </c>
      <c r="I6" s="1409" t="s">
        <v>1235</v>
      </c>
      <c r="J6" s="1409" t="s">
        <v>1236</v>
      </c>
      <c r="K6" s="1410" t="s">
        <v>1237</v>
      </c>
      <c r="M6" s="1418"/>
      <c r="N6" s="1408" t="s">
        <v>1230</v>
      </c>
      <c r="O6" s="1409" t="s">
        <v>1231</v>
      </c>
      <c r="P6" s="1409" t="s">
        <v>1232</v>
      </c>
      <c r="Q6" s="1409" t="s">
        <v>1233</v>
      </c>
      <c r="R6" s="1409" t="s">
        <v>1234</v>
      </c>
      <c r="S6" s="1409" t="s">
        <v>1235</v>
      </c>
      <c r="T6" s="1409" t="s">
        <v>1236</v>
      </c>
      <c r="U6" s="1410" t="s">
        <v>1237</v>
      </c>
      <c r="W6" s="1418"/>
      <c r="X6" s="1408" t="s">
        <v>1230</v>
      </c>
      <c r="Y6" s="1409" t="s">
        <v>1231</v>
      </c>
      <c r="Z6" s="1409" t="s">
        <v>1232</v>
      </c>
      <c r="AA6" s="1409" t="s">
        <v>1233</v>
      </c>
      <c r="AB6" s="1409" t="s">
        <v>1234</v>
      </c>
      <c r="AC6" s="1409" t="s">
        <v>1235</v>
      </c>
      <c r="AD6" s="1409" t="s">
        <v>1236</v>
      </c>
      <c r="AE6" s="1410" t="s">
        <v>1237</v>
      </c>
      <c r="AG6" s="1418"/>
      <c r="AH6" s="1408" t="s">
        <v>1230</v>
      </c>
      <c r="AI6" s="1409" t="s">
        <v>1231</v>
      </c>
      <c r="AJ6" s="1409" t="s">
        <v>1232</v>
      </c>
      <c r="AK6" s="1409" t="s">
        <v>1233</v>
      </c>
      <c r="AL6" s="1409" t="s">
        <v>1234</v>
      </c>
      <c r="AM6" s="1409" t="s">
        <v>1235</v>
      </c>
      <c r="AN6" s="1409" t="s">
        <v>1236</v>
      </c>
      <c r="AO6" s="1410" t="s">
        <v>1237</v>
      </c>
      <c r="AQ6" s="1418"/>
      <c r="AR6" s="1408" t="s">
        <v>1230</v>
      </c>
      <c r="AS6" s="1409" t="s">
        <v>1231</v>
      </c>
      <c r="AT6" s="1409" t="s">
        <v>1232</v>
      </c>
      <c r="AU6" s="1409" t="s">
        <v>1233</v>
      </c>
      <c r="AV6" s="1409" t="s">
        <v>1234</v>
      </c>
      <c r="AW6" s="1409" t="s">
        <v>1235</v>
      </c>
      <c r="AX6" s="1409" t="s">
        <v>1236</v>
      </c>
      <c r="AY6" s="1410" t="s">
        <v>1237</v>
      </c>
      <c r="BA6" s="1418"/>
      <c r="BB6" s="1408" t="s">
        <v>1230</v>
      </c>
      <c r="BC6" s="1409" t="s">
        <v>1231</v>
      </c>
      <c r="BD6" s="1409" t="s">
        <v>1232</v>
      </c>
      <c r="BE6" s="1409" t="s">
        <v>1233</v>
      </c>
      <c r="BF6" s="1409" t="s">
        <v>1234</v>
      </c>
      <c r="BG6" s="1409" t="s">
        <v>1235</v>
      </c>
      <c r="BH6" s="1409" t="s">
        <v>1236</v>
      </c>
      <c r="BI6" s="1410" t="s">
        <v>1237</v>
      </c>
      <c r="BK6" s="1418"/>
      <c r="BL6" s="1408" t="s">
        <v>1230</v>
      </c>
      <c r="BM6" s="1409" t="s">
        <v>1231</v>
      </c>
      <c r="BN6" s="1409" t="s">
        <v>1232</v>
      </c>
      <c r="BO6" s="1409" t="s">
        <v>1233</v>
      </c>
      <c r="BP6" s="1409" t="s">
        <v>1234</v>
      </c>
      <c r="BQ6" s="1409" t="s">
        <v>1235</v>
      </c>
      <c r="BR6" s="1409" t="s">
        <v>1236</v>
      </c>
      <c r="BS6" s="1410" t="s">
        <v>1237</v>
      </c>
      <c r="BU6" s="1418"/>
      <c r="BV6" s="1408" t="s">
        <v>1230</v>
      </c>
      <c r="BW6" s="1409" t="s">
        <v>1231</v>
      </c>
      <c r="BX6" s="1409" t="s">
        <v>1232</v>
      </c>
      <c r="BY6" s="1409" t="s">
        <v>1233</v>
      </c>
      <c r="BZ6" s="1409" t="s">
        <v>1234</v>
      </c>
      <c r="CA6" s="1409" t="s">
        <v>1235</v>
      </c>
      <c r="CB6" s="1409" t="s">
        <v>1236</v>
      </c>
      <c r="CC6" s="1410" t="s">
        <v>1237</v>
      </c>
    </row>
    <row r="7" spans="2:81" x14ac:dyDescent="0.25">
      <c r="B7" s="440" t="s">
        <v>1284</v>
      </c>
      <c r="C7" s="441" t="s">
        <v>1285</v>
      </c>
      <c r="D7" s="1180">
        <v>0</v>
      </c>
      <c r="E7" s="1181">
        <v>45</v>
      </c>
      <c r="F7" s="1182">
        <v>90</v>
      </c>
      <c r="G7" s="1181">
        <v>135</v>
      </c>
      <c r="H7" s="1182">
        <v>180</v>
      </c>
      <c r="I7" s="1181">
        <v>225</v>
      </c>
      <c r="J7" s="1182">
        <v>270</v>
      </c>
      <c r="K7" s="1183">
        <v>315</v>
      </c>
      <c r="M7" s="441" t="s">
        <v>1285</v>
      </c>
      <c r="N7" s="1180">
        <v>0</v>
      </c>
      <c r="O7" s="1181">
        <v>45</v>
      </c>
      <c r="P7" s="1182">
        <v>90</v>
      </c>
      <c r="Q7" s="1181">
        <v>135</v>
      </c>
      <c r="R7" s="1182">
        <v>180</v>
      </c>
      <c r="S7" s="1181">
        <v>225</v>
      </c>
      <c r="T7" s="1182">
        <v>270</v>
      </c>
      <c r="U7" s="1183">
        <v>315</v>
      </c>
      <c r="W7" s="441" t="s">
        <v>1285</v>
      </c>
      <c r="X7" s="1180">
        <v>0</v>
      </c>
      <c r="Y7" s="1181">
        <v>45</v>
      </c>
      <c r="Z7" s="1182">
        <v>90</v>
      </c>
      <c r="AA7" s="1181">
        <v>135</v>
      </c>
      <c r="AB7" s="1182">
        <v>180</v>
      </c>
      <c r="AC7" s="1181">
        <v>225</v>
      </c>
      <c r="AD7" s="1182">
        <v>270</v>
      </c>
      <c r="AE7" s="1183">
        <v>315</v>
      </c>
      <c r="AG7" s="441" t="s">
        <v>1285</v>
      </c>
      <c r="AH7" s="1180">
        <v>0</v>
      </c>
      <c r="AI7" s="1181">
        <v>45</v>
      </c>
      <c r="AJ7" s="1182">
        <v>90</v>
      </c>
      <c r="AK7" s="1181">
        <v>135</v>
      </c>
      <c r="AL7" s="1182">
        <v>180</v>
      </c>
      <c r="AM7" s="1181">
        <v>225</v>
      </c>
      <c r="AN7" s="1182">
        <v>270</v>
      </c>
      <c r="AO7" s="1183">
        <v>315</v>
      </c>
      <c r="AQ7" s="441" t="s">
        <v>1285</v>
      </c>
      <c r="AR7" s="1180">
        <v>0</v>
      </c>
      <c r="AS7" s="1181">
        <v>45</v>
      </c>
      <c r="AT7" s="1182">
        <v>90</v>
      </c>
      <c r="AU7" s="1181">
        <v>135</v>
      </c>
      <c r="AV7" s="1182">
        <v>180</v>
      </c>
      <c r="AW7" s="1181">
        <v>225</v>
      </c>
      <c r="AX7" s="1182">
        <v>270</v>
      </c>
      <c r="AY7" s="1183">
        <v>315</v>
      </c>
      <c r="BA7" s="441" t="s">
        <v>1285</v>
      </c>
      <c r="BB7" s="1180">
        <v>0</v>
      </c>
      <c r="BC7" s="1181">
        <v>45</v>
      </c>
      <c r="BD7" s="1182">
        <v>90</v>
      </c>
      <c r="BE7" s="1181">
        <v>135</v>
      </c>
      <c r="BF7" s="1182">
        <v>180</v>
      </c>
      <c r="BG7" s="1181">
        <v>225</v>
      </c>
      <c r="BH7" s="1182">
        <v>270</v>
      </c>
      <c r="BI7" s="1183">
        <v>315</v>
      </c>
      <c r="BK7" s="441" t="s">
        <v>1285</v>
      </c>
      <c r="BL7" s="1180">
        <v>0</v>
      </c>
      <c r="BM7" s="1181">
        <v>45</v>
      </c>
      <c r="BN7" s="1182">
        <v>90</v>
      </c>
      <c r="BO7" s="1181">
        <v>135</v>
      </c>
      <c r="BP7" s="1182">
        <v>180</v>
      </c>
      <c r="BQ7" s="1181">
        <v>225</v>
      </c>
      <c r="BR7" s="1182">
        <v>270</v>
      </c>
      <c r="BS7" s="1183">
        <v>315</v>
      </c>
      <c r="BU7" s="441" t="s">
        <v>1285</v>
      </c>
      <c r="BV7" s="1180">
        <v>0</v>
      </c>
      <c r="BW7" s="1181">
        <v>45</v>
      </c>
      <c r="BX7" s="1182">
        <v>90</v>
      </c>
      <c r="BY7" s="1181">
        <v>135</v>
      </c>
      <c r="BZ7" s="1182">
        <v>180</v>
      </c>
      <c r="CA7" s="1181">
        <v>225</v>
      </c>
      <c r="CB7" s="1182">
        <v>270</v>
      </c>
      <c r="CC7" s="1183">
        <v>315</v>
      </c>
    </row>
    <row r="8" spans="2:81" ht="13" x14ac:dyDescent="0.3">
      <c r="B8" s="443">
        <f t="shared" ref="B8:B20" si="0">B$65*C8</f>
        <v>0</v>
      </c>
      <c r="C8" s="444">
        <v>0</v>
      </c>
      <c r="D8" s="445">
        <v>0.52</v>
      </c>
      <c r="E8" s="1411">
        <v>0.84</v>
      </c>
      <c r="F8" s="446">
        <v>1.29</v>
      </c>
      <c r="G8" s="1411">
        <v>1.24</v>
      </c>
      <c r="H8" s="446">
        <v>0.87</v>
      </c>
      <c r="I8" s="1411">
        <v>1.27</v>
      </c>
      <c r="J8" s="446">
        <v>1.32</v>
      </c>
      <c r="K8" s="1412">
        <v>0.85</v>
      </c>
      <c r="M8" s="447">
        <v>0</v>
      </c>
      <c r="N8" s="445">
        <v>0.72</v>
      </c>
      <c r="O8" s="1411">
        <v>1.05</v>
      </c>
      <c r="P8" s="446">
        <v>1.22</v>
      </c>
      <c r="Q8" s="1411">
        <v>1.04</v>
      </c>
      <c r="R8" s="446">
        <v>0.72</v>
      </c>
      <c r="S8" s="1411">
        <v>1.1200000000000001</v>
      </c>
      <c r="T8" s="446">
        <v>1.34</v>
      </c>
      <c r="U8" s="1412">
        <v>1.1100000000000001</v>
      </c>
      <c r="W8" s="447">
        <v>0</v>
      </c>
      <c r="X8" s="445">
        <v>0.56000000000000005</v>
      </c>
      <c r="Y8" s="1411">
        <v>1.04</v>
      </c>
      <c r="Z8" s="446">
        <v>1.42</v>
      </c>
      <c r="AA8" s="1411">
        <v>1.18</v>
      </c>
      <c r="AB8" s="446">
        <v>0.66</v>
      </c>
      <c r="AC8" s="1411">
        <v>1.1599999999999999</v>
      </c>
      <c r="AD8" s="446">
        <v>1.36</v>
      </c>
      <c r="AE8" s="1412">
        <v>1.01</v>
      </c>
      <c r="AG8" s="447">
        <v>0</v>
      </c>
      <c r="AH8" s="445">
        <v>0.72</v>
      </c>
      <c r="AI8" s="1411">
        <v>1.19</v>
      </c>
      <c r="AJ8" s="446">
        <v>1.4</v>
      </c>
      <c r="AK8" s="1411">
        <v>1.05</v>
      </c>
      <c r="AL8" s="446">
        <v>0.56999999999999995</v>
      </c>
      <c r="AM8" s="1411">
        <v>0.99</v>
      </c>
      <c r="AN8" s="446">
        <v>1.31</v>
      </c>
      <c r="AO8" s="1412">
        <v>1.1200000000000001</v>
      </c>
      <c r="AQ8" s="447">
        <v>0</v>
      </c>
      <c r="AR8" s="445">
        <v>0.82</v>
      </c>
      <c r="AS8" s="1411">
        <v>1.0900000000000001</v>
      </c>
      <c r="AT8" s="446">
        <v>1.19</v>
      </c>
      <c r="AU8" s="1411">
        <v>0.96</v>
      </c>
      <c r="AV8" s="446">
        <v>0.68</v>
      </c>
      <c r="AW8" s="1411">
        <v>1.04</v>
      </c>
      <c r="AX8" s="446">
        <v>1.3</v>
      </c>
      <c r="AY8" s="1412">
        <v>1.1599999999999999</v>
      </c>
      <c r="BA8" s="447">
        <v>0</v>
      </c>
      <c r="BB8" s="445">
        <v>0.84</v>
      </c>
      <c r="BC8" s="1411">
        <v>1.08</v>
      </c>
      <c r="BD8" s="446">
        <v>1.1499999999999999</v>
      </c>
      <c r="BE8" s="1411">
        <v>0.87</v>
      </c>
      <c r="BF8" s="446">
        <v>0.61</v>
      </c>
      <c r="BG8" s="1411">
        <v>1.05</v>
      </c>
      <c r="BH8" s="446">
        <v>1.4</v>
      </c>
      <c r="BI8" s="1412">
        <v>1.24</v>
      </c>
      <c r="BK8" s="447">
        <v>0</v>
      </c>
      <c r="BL8" s="445">
        <v>0.96</v>
      </c>
      <c r="BM8" s="1411">
        <v>1.17</v>
      </c>
      <c r="BN8" s="446">
        <v>1.21</v>
      </c>
      <c r="BO8" s="1411">
        <v>0.94</v>
      </c>
      <c r="BP8" s="446">
        <v>0.64</v>
      </c>
      <c r="BQ8" s="1411">
        <v>0.91</v>
      </c>
      <c r="BR8" s="446">
        <v>1.19</v>
      </c>
      <c r="BS8" s="1412">
        <v>1.18</v>
      </c>
      <c r="BU8" s="447">
        <v>0</v>
      </c>
      <c r="BV8" s="445">
        <v>0.85</v>
      </c>
      <c r="BW8" s="1411">
        <v>1.1200000000000001</v>
      </c>
      <c r="BX8" s="446">
        <v>1.2</v>
      </c>
      <c r="BY8" s="1411">
        <v>0.96</v>
      </c>
      <c r="BZ8" s="446">
        <v>0.68</v>
      </c>
      <c r="CA8" s="1411">
        <v>1.01</v>
      </c>
      <c r="CB8" s="446">
        <v>1.27</v>
      </c>
      <c r="CC8" s="1412">
        <v>1.1599999999999999</v>
      </c>
    </row>
    <row r="9" spans="2:81" x14ac:dyDescent="0.25">
      <c r="B9" s="443">
        <f t="shared" si="0"/>
        <v>0</v>
      </c>
      <c r="C9" s="1184">
        <v>0.05</v>
      </c>
      <c r="D9" s="1185">
        <v>0.44</v>
      </c>
      <c r="E9" s="1186">
        <v>0.74</v>
      </c>
      <c r="F9" s="1187">
        <v>1.19</v>
      </c>
      <c r="G9" s="1186">
        <v>1.1299999999999999</v>
      </c>
      <c r="H9" s="1187">
        <v>0.75</v>
      </c>
      <c r="I9" s="1186">
        <v>1.17</v>
      </c>
      <c r="J9" s="1187">
        <v>1.23</v>
      </c>
      <c r="K9" s="1188">
        <v>0.75</v>
      </c>
      <c r="M9" s="1189">
        <v>0.05</v>
      </c>
      <c r="N9" s="1185">
        <v>0.6</v>
      </c>
      <c r="O9" s="1186">
        <v>0.92</v>
      </c>
      <c r="P9" s="1187">
        <v>1.1000000000000001</v>
      </c>
      <c r="Q9" s="1186">
        <v>0.92</v>
      </c>
      <c r="R9" s="1187">
        <v>0.6</v>
      </c>
      <c r="S9" s="1186">
        <v>1.01</v>
      </c>
      <c r="T9" s="1187">
        <v>1.23</v>
      </c>
      <c r="U9" s="1188">
        <v>0.99</v>
      </c>
      <c r="W9" s="1189">
        <v>0.05</v>
      </c>
      <c r="X9" s="1185">
        <v>0.47</v>
      </c>
      <c r="Y9" s="1186">
        <v>0.94</v>
      </c>
      <c r="Z9" s="1187">
        <v>1.32</v>
      </c>
      <c r="AA9" s="1186">
        <v>1.08</v>
      </c>
      <c r="AB9" s="1187">
        <v>0.56999999999999995</v>
      </c>
      <c r="AC9" s="1186">
        <v>1.05</v>
      </c>
      <c r="AD9" s="1187">
        <v>1.26</v>
      </c>
      <c r="AE9" s="1188">
        <v>0.9</v>
      </c>
      <c r="AG9" s="1189">
        <v>0.05</v>
      </c>
      <c r="AH9" s="1185">
        <v>0.61</v>
      </c>
      <c r="AI9" s="1186">
        <v>1.1000000000000001</v>
      </c>
      <c r="AJ9" s="1187">
        <v>1.31</v>
      </c>
      <c r="AK9" s="1186">
        <v>0.97</v>
      </c>
      <c r="AL9" s="1187">
        <v>0.49</v>
      </c>
      <c r="AM9" s="1186">
        <v>0.91</v>
      </c>
      <c r="AN9" s="1187">
        <v>1.22</v>
      </c>
      <c r="AO9" s="1188">
        <v>1.02</v>
      </c>
      <c r="AQ9" s="1189">
        <v>0.05</v>
      </c>
      <c r="AR9" s="1185">
        <v>0.69</v>
      </c>
      <c r="AS9" s="1186">
        <v>0.96</v>
      </c>
      <c r="AT9" s="1187">
        <v>1.07</v>
      </c>
      <c r="AU9" s="1186">
        <v>0.85</v>
      </c>
      <c r="AV9" s="1187">
        <v>0.56999999999999995</v>
      </c>
      <c r="AW9" s="1186">
        <v>0.92</v>
      </c>
      <c r="AX9" s="1187">
        <v>1.19</v>
      </c>
      <c r="AY9" s="1188">
        <v>1.04</v>
      </c>
      <c r="BA9" s="1189">
        <v>0.05</v>
      </c>
      <c r="BB9" s="1185">
        <v>0.71</v>
      </c>
      <c r="BC9" s="1186">
        <v>0.97</v>
      </c>
      <c r="BD9" s="1187">
        <v>1.05</v>
      </c>
      <c r="BE9" s="1186">
        <v>0.78</v>
      </c>
      <c r="BF9" s="1187">
        <v>0.52</v>
      </c>
      <c r="BG9" s="1186">
        <v>0.96</v>
      </c>
      <c r="BH9" s="1187">
        <v>1.3</v>
      </c>
      <c r="BI9" s="1188">
        <v>1.1299999999999999</v>
      </c>
      <c r="BK9" s="1189">
        <v>0.05</v>
      </c>
      <c r="BL9" s="1185">
        <v>0.83</v>
      </c>
      <c r="BM9" s="1186">
        <v>1.05</v>
      </c>
      <c r="BN9" s="1187">
        <v>1.1000000000000001</v>
      </c>
      <c r="BO9" s="1186">
        <v>0.83</v>
      </c>
      <c r="BP9" s="1187">
        <v>0.54</v>
      </c>
      <c r="BQ9" s="1186">
        <v>0.81</v>
      </c>
      <c r="BR9" s="1187">
        <v>1.0900000000000001</v>
      </c>
      <c r="BS9" s="1188">
        <v>1.07</v>
      </c>
      <c r="BU9" s="1189">
        <v>0.05</v>
      </c>
      <c r="BV9" s="1185">
        <v>0.71</v>
      </c>
      <c r="BW9" s="1186">
        <v>0.99</v>
      </c>
      <c r="BX9" s="1187">
        <v>1.0900000000000001</v>
      </c>
      <c r="BY9" s="1186">
        <v>0.85</v>
      </c>
      <c r="BZ9" s="1187">
        <v>0.56999999999999995</v>
      </c>
      <c r="CA9" s="1186">
        <v>0.9</v>
      </c>
      <c r="CB9" s="1187">
        <v>1.1599999999999999</v>
      </c>
      <c r="CC9" s="1188">
        <v>1.04</v>
      </c>
    </row>
    <row r="10" spans="2:81" x14ac:dyDescent="0.25">
      <c r="B10" s="443">
        <f t="shared" si="0"/>
        <v>0</v>
      </c>
      <c r="C10" s="1184">
        <v>0.1</v>
      </c>
      <c r="D10" s="1185">
        <v>0.41</v>
      </c>
      <c r="E10" s="1186">
        <v>0.68</v>
      </c>
      <c r="F10" s="1187">
        <v>1.1100000000000001</v>
      </c>
      <c r="G10" s="1186">
        <v>1.07</v>
      </c>
      <c r="H10" s="1187">
        <v>0.68</v>
      </c>
      <c r="I10" s="1186">
        <v>1.0900000000000001</v>
      </c>
      <c r="J10" s="1187">
        <v>1.1499999999999999</v>
      </c>
      <c r="K10" s="1188">
        <v>0.69</v>
      </c>
      <c r="M10" s="1189">
        <v>0.1</v>
      </c>
      <c r="N10" s="1185">
        <v>0.55000000000000004</v>
      </c>
      <c r="O10" s="1186">
        <v>0.85</v>
      </c>
      <c r="P10" s="1187">
        <v>1.04</v>
      </c>
      <c r="Q10" s="1186">
        <v>0.86</v>
      </c>
      <c r="R10" s="1187">
        <v>0.56999999999999995</v>
      </c>
      <c r="S10" s="1186">
        <v>0.94</v>
      </c>
      <c r="T10" s="1187">
        <v>1.1399999999999999</v>
      </c>
      <c r="U10" s="1188">
        <v>0.9</v>
      </c>
      <c r="W10" s="1189">
        <v>0.1</v>
      </c>
      <c r="X10" s="1185">
        <v>0.44</v>
      </c>
      <c r="Y10" s="1186">
        <v>0.85</v>
      </c>
      <c r="Z10" s="1187">
        <v>1.25</v>
      </c>
      <c r="AA10" s="1186">
        <v>1.02</v>
      </c>
      <c r="AB10" s="1187">
        <v>0.54</v>
      </c>
      <c r="AC10" s="1186">
        <v>0.99</v>
      </c>
      <c r="AD10" s="1187">
        <v>1.19</v>
      </c>
      <c r="AE10" s="1188">
        <v>0.83</v>
      </c>
      <c r="AG10" s="1189">
        <v>0.1</v>
      </c>
      <c r="AH10" s="1185">
        <v>0.56000000000000005</v>
      </c>
      <c r="AI10" s="1186">
        <v>1</v>
      </c>
      <c r="AJ10" s="1187">
        <v>1.24</v>
      </c>
      <c r="AK10" s="1186">
        <v>0.91</v>
      </c>
      <c r="AL10" s="1187">
        <v>0.46</v>
      </c>
      <c r="AM10" s="1186">
        <v>0.85</v>
      </c>
      <c r="AN10" s="1187">
        <v>1.17</v>
      </c>
      <c r="AO10" s="1188">
        <v>0.94</v>
      </c>
      <c r="AQ10" s="1189">
        <v>0.1</v>
      </c>
      <c r="AR10" s="1185">
        <v>0.63</v>
      </c>
      <c r="AS10" s="1186">
        <v>0.88</v>
      </c>
      <c r="AT10" s="1187">
        <v>1.01</v>
      </c>
      <c r="AU10" s="1186">
        <v>0.79</v>
      </c>
      <c r="AV10" s="1187">
        <v>0.54</v>
      </c>
      <c r="AW10" s="1186">
        <v>0.86</v>
      </c>
      <c r="AX10" s="1187">
        <v>1.1100000000000001</v>
      </c>
      <c r="AY10" s="1188">
        <v>0.94</v>
      </c>
      <c r="BA10" s="1189">
        <v>0.1</v>
      </c>
      <c r="BB10" s="1185">
        <v>0.65</v>
      </c>
      <c r="BC10" s="1186">
        <v>0.9</v>
      </c>
      <c r="BD10" s="1187">
        <v>0.99</v>
      </c>
      <c r="BE10" s="1186">
        <v>0.74</v>
      </c>
      <c r="BF10" s="1187">
        <v>0.49</v>
      </c>
      <c r="BG10" s="1186">
        <v>0.91</v>
      </c>
      <c r="BH10" s="1187">
        <v>1.25</v>
      </c>
      <c r="BI10" s="1188">
        <v>1.04</v>
      </c>
      <c r="BK10" s="1189">
        <v>0.1</v>
      </c>
      <c r="BL10" s="1185">
        <v>0.76</v>
      </c>
      <c r="BM10" s="1186">
        <v>0.97</v>
      </c>
      <c r="BN10" s="1187">
        <v>1.04</v>
      </c>
      <c r="BO10" s="1186">
        <v>0.8</v>
      </c>
      <c r="BP10" s="1187">
        <v>0.51</v>
      </c>
      <c r="BQ10" s="1186">
        <v>0.76</v>
      </c>
      <c r="BR10" s="1187">
        <v>1.03</v>
      </c>
      <c r="BS10" s="1188">
        <v>0.98</v>
      </c>
      <c r="BU10" s="1189">
        <v>0.1</v>
      </c>
      <c r="BV10" s="1185">
        <v>0.65</v>
      </c>
      <c r="BW10" s="1186">
        <v>0.9</v>
      </c>
      <c r="BX10" s="1187">
        <v>1.02</v>
      </c>
      <c r="BY10" s="1186">
        <v>0.79</v>
      </c>
      <c r="BZ10" s="1187">
        <v>0.54</v>
      </c>
      <c r="CA10" s="1186">
        <v>0.84</v>
      </c>
      <c r="CB10" s="1187">
        <v>1.0900000000000001</v>
      </c>
      <c r="CC10" s="1188">
        <v>0.95</v>
      </c>
    </row>
    <row r="11" spans="2:81" x14ac:dyDescent="0.25">
      <c r="B11" s="443">
        <f t="shared" si="0"/>
        <v>0</v>
      </c>
      <c r="C11" s="1184">
        <v>0.2</v>
      </c>
      <c r="D11" s="1185">
        <v>0.37</v>
      </c>
      <c r="E11" s="1186">
        <v>0.59</v>
      </c>
      <c r="F11" s="1187">
        <v>1.01</v>
      </c>
      <c r="G11" s="1186">
        <v>0.94</v>
      </c>
      <c r="H11" s="1187">
        <v>0.55000000000000004</v>
      </c>
      <c r="I11" s="1186">
        <v>0.94</v>
      </c>
      <c r="J11" s="1187">
        <v>1</v>
      </c>
      <c r="K11" s="1188">
        <v>0.6</v>
      </c>
      <c r="M11" s="1189">
        <v>0.2</v>
      </c>
      <c r="N11" s="1185">
        <v>0.47</v>
      </c>
      <c r="O11" s="1186">
        <v>0.74</v>
      </c>
      <c r="P11" s="1187">
        <v>0.92</v>
      </c>
      <c r="Q11" s="1186">
        <v>0.76</v>
      </c>
      <c r="R11" s="1187">
        <v>0.5</v>
      </c>
      <c r="S11" s="1186">
        <v>0.84</v>
      </c>
      <c r="T11" s="1187">
        <v>1</v>
      </c>
      <c r="U11" s="1188">
        <v>0.78</v>
      </c>
      <c r="W11" s="1189">
        <v>0.2</v>
      </c>
      <c r="X11" s="1185">
        <v>0.38</v>
      </c>
      <c r="Y11" s="1186">
        <v>0.73</v>
      </c>
      <c r="Z11" s="1187">
        <v>1.1000000000000001</v>
      </c>
      <c r="AA11" s="1186">
        <v>0.9</v>
      </c>
      <c r="AB11" s="1187">
        <v>0.46</v>
      </c>
      <c r="AC11" s="1186">
        <v>0.87</v>
      </c>
      <c r="AD11" s="1187">
        <v>1.06</v>
      </c>
      <c r="AE11" s="1188">
        <v>0.73</v>
      </c>
      <c r="AG11" s="1189">
        <v>0.2</v>
      </c>
      <c r="AH11" s="1185">
        <v>0.43</v>
      </c>
      <c r="AI11" s="1186">
        <v>0.87</v>
      </c>
      <c r="AJ11" s="1187">
        <v>1.1200000000000001</v>
      </c>
      <c r="AK11" s="1186">
        <v>0.82</v>
      </c>
      <c r="AL11" s="1187">
        <v>0.41</v>
      </c>
      <c r="AM11" s="1186">
        <v>0.76</v>
      </c>
      <c r="AN11" s="1187">
        <v>1.05</v>
      </c>
      <c r="AO11" s="1188">
        <v>0.81</v>
      </c>
      <c r="AQ11" s="1189">
        <v>0.2</v>
      </c>
      <c r="AR11" s="1185">
        <v>0.51</v>
      </c>
      <c r="AS11" s="1186">
        <v>0.76</v>
      </c>
      <c r="AT11" s="1187">
        <v>0.89</v>
      </c>
      <c r="AU11" s="1186">
        <v>0.7</v>
      </c>
      <c r="AV11" s="1187">
        <v>0.48</v>
      </c>
      <c r="AW11" s="1186">
        <v>0.76</v>
      </c>
      <c r="AX11" s="1187">
        <v>0.99</v>
      </c>
      <c r="AY11" s="1188">
        <v>0.83</v>
      </c>
      <c r="BA11" s="1189">
        <v>0.2</v>
      </c>
      <c r="BB11" s="1185">
        <v>0.52</v>
      </c>
      <c r="BC11" s="1186">
        <v>0.77</v>
      </c>
      <c r="BD11" s="1187">
        <v>0.88</v>
      </c>
      <c r="BE11" s="1186">
        <v>0.65</v>
      </c>
      <c r="BF11" s="1187">
        <v>0.44</v>
      </c>
      <c r="BG11" s="1186">
        <v>0.82</v>
      </c>
      <c r="BH11" s="1187">
        <v>1.1200000000000001</v>
      </c>
      <c r="BI11" s="1188">
        <v>0.91</v>
      </c>
      <c r="BK11" s="1189">
        <v>0.2</v>
      </c>
      <c r="BL11" s="1185">
        <v>0.62</v>
      </c>
      <c r="BM11" s="1186">
        <v>0.85</v>
      </c>
      <c r="BN11" s="1187">
        <v>0.93</v>
      </c>
      <c r="BO11" s="1186">
        <v>0.7</v>
      </c>
      <c r="BP11" s="1187">
        <v>0.45</v>
      </c>
      <c r="BQ11" s="1186">
        <v>0.68</v>
      </c>
      <c r="BR11" s="1187">
        <v>0.91</v>
      </c>
      <c r="BS11" s="1188">
        <v>0.86</v>
      </c>
      <c r="BU11" s="1189">
        <v>0.2</v>
      </c>
      <c r="BV11" s="1185">
        <v>0.52</v>
      </c>
      <c r="BW11" s="1186">
        <v>0.79</v>
      </c>
      <c r="BX11" s="1187">
        <v>0.9</v>
      </c>
      <c r="BY11" s="1186">
        <v>0.7</v>
      </c>
      <c r="BZ11" s="1187">
        <v>0.48</v>
      </c>
      <c r="CA11" s="1186">
        <v>0.73</v>
      </c>
      <c r="CB11" s="1187">
        <v>0.98</v>
      </c>
      <c r="CC11" s="1188">
        <v>0.83</v>
      </c>
    </row>
    <row r="12" spans="2:81" x14ac:dyDescent="0.25">
      <c r="B12" s="443">
        <f t="shared" si="0"/>
        <v>0</v>
      </c>
      <c r="C12" s="1184">
        <v>0.4</v>
      </c>
      <c r="D12" s="1185">
        <v>0.3</v>
      </c>
      <c r="E12" s="1186">
        <v>0.45</v>
      </c>
      <c r="F12" s="1187">
        <v>0.79</v>
      </c>
      <c r="G12" s="1186">
        <v>0.69</v>
      </c>
      <c r="H12" s="1187">
        <v>0.42</v>
      </c>
      <c r="I12" s="1186">
        <v>0.75</v>
      </c>
      <c r="J12" s="1187">
        <v>0.83</v>
      </c>
      <c r="K12" s="1188">
        <v>0.47</v>
      </c>
      <c r="M12" s="1189">
        <v>0.4</v>
      </c>
      <c r="N12" s="1185">
        <v>0.39</v>
      </c>
      <c r="O12" s="1186">
        <v>0.56000000000000005</v>
      </c>
      <c r="P12" s="1187">
        <v>0.73</v>
      </c>
      <c r="Q12" s="1186">
        <v>0.61</v>
      </c>
      <c r="R12" s="1187">
        <v>0.4</v>
      </c>
      <c r="S12" s="1186">
        <v>0.67</v>
      </c>
      <c r="T12" s="1187">
        <v>0.83</v>
      </c>
      <c r="U12" s="1188">
        <v>0.6</v>
      </c>
      <c r="W12" s="1189">
        <v>0.4</v>
      </c>
      <c r="X12" s="1185">
        <v>0.32</v>
      </c>
      <c r="Y12" s="1186">
        <v>0.56000000000000005</v>
      </c>
      <c r="Z12" s="1187">
        <v>0.88</v>
      </c>
      <c r="AA12" s="1186">
        <v>0.71</v>
      </c>
      <c r="AB12" s="1187">
        <v>0.38</v>
      </c>
      <c r="AC12" s="1186">
        <v>0.72</v>
      </c>
      <c r="AD12" s="1187">
        <v>0.84</v>
      </c>
      <c r="AE12" s="1188">
        <v>0.56000000000000005</v>
      </c>
      <c r="AG12" s="1189">
        <v>0.4</v>
      </c>
      <c r="AH12" s="1185">
        <v>0.3</v>
      </c>
      <c r="AI12" s="1186">
        <v>0.66</v>
      </c>
      <c r="AJ12" s="1187">
        <v>0.92</v>
      </c>
      <c r="AK12" s="1186">
        <v>0.67</v>
      </c>
      <c r="AL12" s="1187">
        <v>0.34</v>
      </c>
      <c r="AM12" s="1186">
        <v>0.62</v>
      </c>
      <c r="AN12" s="1187">
        <v>0.85</v>
      </c>
      <c r="AO12" s="1188">
        <v>0.62</v>
      </c>
      <c r="AQ12" s="1189">
        <v>0.4</v>
      </c>
      <c r="AR12" s="1185">
        <v>0.39</v>
      </c>
      <c r="AS12" s="1186">
        <v>0.57999999999999996</v>
      </c>
      <c r="AT12" s="1187">
        <v>0.71</v>
      </c>
      <c r="AU12" s="1186">
        <v>0.56999999999999995</v>
      </c>
      <c r="AV12" s="1187">
        <v>0.38</v>
      </c>
      <c r="AW12" s="1186">
        <v>0.62</v>
      </c>
      <c r="AX12" s="1187">
        <v>0.81</v>
      </c>
      <c r="AY12" s="1188">
        <v>0.62</v>
      </c>
      <c r="BA12" s="1189">
        <v>0.4</v>
      </c>
      <c r="BB12" s="1185">
        <v>0.36</v>
      </c>
      <c r="BC12" s="1186">
        <v>0.57999999999999996</v>
      </c>
      <c r="BD12" s="1187">
        <v>0.71</v>
      </c>
      <c r="BE12" s="1186">
        <v>0.54</v>
      </c>
      <c r="BF12" s="1187">
        <v>0.36</v>
      </c>
      <c r="BG12" s="1186">
        <v>0.67</v>
      </c>
      <c r="BH12" s="1187">
        <v>0.9</v>
      </c>
      <c r="BI12" s="1188">
        <v>0.69</v>
      </c>
      <c r="BK12" s="1189">
        <v>0.4</v>
      </c>
      <c r="BL12" s="1185">
        <v>0.4</v>
      </c>
      <c r="BM12" s="1186">
        <v>0.65</v>
      </c>
      <c r="BN12" s="1187">
        <v>0.76</v>
      </c>
      <c r="BO12" s="1186">
        <v>0.57999999999999996</v>
      </c>
      <c r="BP12" s="1187">
        <v>0.38</v>
      </c>
      <c r="BQ12" s="1186">
        <v>0.55000000000000004</v>
      </c>
      <c r="BR12" s="1187">
        <v>0.74</v>
      </c>
      <c r="BS12" s="1188">
        <v>0.64</v>
      </c>
      <c r="BU12" s="1189">
        <v>0.4</v>
      </c>
      <c r="BV12" s="1185">
        <v>0.39</v>
      </c>
      <c r="BW12" s="1186">
        <v>0.6</v>
      </c>
      <c r="BX12" s="1187">
        <v>0.73</v>
      </c>
      <c r="BY12" s="1186">
        <v>0.56999999999999995</v>
      </c>
      <c r="BZ12" s="1187">
        <v>0.39</v>
      </c>
      <c r="CA12" s="1186">
        <v>0.61</v>
      </c>
      <c r="CB12" s="1187">
        <v>0.79</v>
      </c>
      <c r="CC12" s="1188">
        <v>0.63</v>
      </c>
    </row>
    <row r="13" spans="2:81" x14ac:dyDescent="0.25">
      <c r="B13" s="443">
        <f t="shared" si="0"/>
        <v>0</v>
      </c>
      <c r="C13" s="1184">
        <v>0.6</v>
      </c>
      <c r="D13" s="1185">
        <v>0.25</v>
      </c>
      <c r="E13" s="1186">
        <v>0.37</v>
      </c>
      <c r="F13" s="1187">
        <v>0.66</v>
      </c>
      <c r="G13" s="1186">
        <v>0.59</v>
      </c>
      <c r="H13" s="1187">
        <v>0.34</v>
      </c>
      <c r="I13" s="1186">
        <v>0.6</v>
      </c>
      <c r="J13" s="1187">
        <v>0.66</v>
      </c>
      <c r="K13" s="1188">
        <v>0.38</v>
      </c>
      <c r="M13" s="1189">
        <v>0.6</v>
      </c>
      <c r="N13" s="1185">
        <v>0.33</v>
      </c>
      <c r="O13" s="1186">
        <v>0.44</v>
      </c>
      <c r="P13" s="1187">
        <v>0.6</v>
      </c>
      <c r="Q13" s="1186">
        <v>0.49</v>
      </c>
      <c r="R13" s="1187">
        <v>0.33</v>
      </c>
      <c r="S13" s="1186">
        <v>0.55000000000000004</v>
      </c>
      <c r="T13" s="1187">
        <v>0.67</v>
      </c>
      <c r="U13" s="1188">
        <v>0.45</v>
      </c>
      <c r="W13" s="1189">
        <v>0.6</v>
      </c>
      <c r="X13" s="1185">
        <v>0.28000000000000003</v>
      </c>
      <c r="Y13" s="1186">
        <v>0.43</v>
      </c>
      <c r="Z13" s="1187">
        <v>0.74</v>
      </c>
      <c r="AA13" s="1186">
        <v>0.57999999999999996</v>
      </c>
      <c r="AB13" s="1187">
        <v>0.31</v>
      </c>
      <c r="AC13" s="1186">
        <v>0.56999999999999995</v>
      </c>
      <c r="AD13" s="1187">
        <v>0.71</v>
      </c>
      <c r="AE13" s="1188">
        <v>0.44</v>
      </c>
      <c r="AG13" s="1189">
        <v>0.6</v>
      </c>
      <c r="AH13" s="1185">
        <v>0.27</v>
      </c>
      <c r="AI13" s="1186">
        <v>0.5</v>
      </c>
      <c r="AJ13" s="1187">
        <v>0.74</v>
      </c>
      <c r="AK13" s="1186">
        <v>0.56000000000000005</v>
      </c>
      <c r="AL13" s="1187">
        <v>0.28999999999999998</v>
      </c>
      <c r="AM13" s="1186">
        <v>0.53</v>
      </c>
      <c r="AN13" s="1187">
        <v>0.72</v>
      </c>
      <c r="AO13" s="1188">
        <v>0.45</v>
      </c>
      <c r="AQ13" s="1189">
        <v>0.6</v>
      </c>
      <c r="AR13" s="1185">
        <v>0.35</v>
      </c>
      <c r="AS13" s="1186">
        <v>0.46</v>
      </c>
      <c r="AT13" s="1187">
        <v>0.57999999999999996</v>
      </c>
      <c r="AU13" s="1186">
        <v>0.47</v>
      </c>
      <c r="AV13" s="1187">
        <v>0.33</v>
      </c>
      <c r="AW13" s="1186">
        <v>0.51</v>
      </c>
      <c r="AX13" s="1187">
        <v>0.65</v>
      </c>
      <c r="AY13" s="1188">
        <v>0.48</v>
      </c>
      <c r="BA13" s="1189">
        <v>0.6</v>
      </c>
      <c r="BB13" s="1185">
        <v>0.3</v>
      </c>
      <c r="BC13" s="1186">
        <v>0.43</v>
      </c>
      <c r="BD13" s="1187">
        <v>0.61</v>
      </c>
      <c r="BE13" s="1186">
        <v>0.45</v>
      </c>
      <c r="BF13" s="1187">
        <v>0.31</v>
      </c>
      <c r="BG13" s="1186">
        <v>0.57999999999999996</v>
      </c>
      <c r="BH13" s="1187">
        <v>0.76</v>
      </c>
      <c r="BI13" s="1188">
        <v>0.51</v>
      </c>
      <c r="BK13" s="1189">
        <v>0.6</v>
      </c>
      <c r="BL13" s="1185">
        <v>0.32</v>
      </c>
      <c r="BM13" s="1186">
        <v>0.51</v>
      </c>
      <c r="BN13" s="1187">
        <v>0.65</v>
      </c>
      <c r="BO13" s="1186">
        <v>0.5</v>
      </c>
      <c r="BP13" s="1187">
        <v>0.33</v>
      </c>
      <c r="BQ13" s="1186">
        <v>0.47</v>
      </c>
      <c r="BR13" s="1187">
        <v>0.63</v>
      </c>
      <c r="BS13" s="1188">
        <v>0.51</v>
      </c>
      <c r="BU13" s="1189">
        <v>0.6</v>
      </c>
      <c r="BV13" s="1185">
        <v>0.34</v>
      </c>
      <c r="BW13" s="1186">
        <v>0.46</v>
      </c>
      <c r="BX13" s="1187">
        <v>0.6</v>
      </c>
      <c r="BY13" s="1186">
        <v>0.48</v>
      </c>
      <c r="BZ13" s="1187">
        <v>0.33</v>
      </c>
      <c r="CA13" s="1186">
        <v>0.5</v>
      </c>
      <c r="CB13" s="1187">
        <v>0.66</v>
      </c>
      <c r="CC13" s="1188">
        <v>0.49</v>
      </c>
    </row>
    <row r="14" spans="2:81" x14ac:dyDescent="0.25">
      <c r="B14" s="443">
        <f t="shared" si="0"/>
        <v>0</v>
      </c>
      <c r="C14" s="1184">
        <v>0.8</v>
      </c>
      <c r="D14" s="1185">
        <v>0.22</v>
      </c>
      <c r="E14" s="1186">
        <v>0.31</v>
      </c>
      <c r="F14" s="1187">
        <v>0.53</v>
      </c>
      <c r="G14" s="1186">
        <v>0.47</v>
      </c>
      <c r="H14" s="1187">
        <v>0.3</v>
      </c>
      <c r="I14" s="1186">
        <v>0.52</v>
      </c>
      <c r="J14" s="1187">
        <v>0.57999999999999996</v>
      </c>
      <c r="K14" s="1188">
        <v>0.32</v>
      </c>
      <c r="M14" s="1189">
        <v>0.8</v>
      </c>
      <c r="N14" s="1185">
        <v>0.28999999999999998</v>
      </c>
      <c r="O14" s="1186">
        <v>0.37</v>
      </c>
      <c r="P14" s="1187">
        <v>0.5</v>
      </c>
      <c r="Q14" s="1186">
        <v>0.41</v>
      </c>
      <c r="R14" s="1187">
        <v>0.28999999999999998</v>
      </c>
      <c r="S14" s="1186">
        <v>0.46</v>
      </c>
      <c r="T14" s="1187">
        <v>0.57999999999999996</v>
      </c>
      <c r="U14" s="1188">
        <v>0.39</v>
      </c>
      <c r="W14" s="1189">
        <v>0.8</v>
      </c>
      <c r="X14" s="1185">
        <v>0.24</v>
      </c>
      <c r="Y14" s="1186">
        <v>0.35</v>
      </c>
      <c r="Z14" s="1187">
        <v>0.59</v>
      </c>
      <c r="AA14" s="1186">
        <v>0.47</v>
      </c>
      <c r="AB14" s="1187">
        <v>0.27</v>
      </c>
      <c r="AC14" s="1186">
        <v>0.5</v>
      </c>
      <c r="AD14" s="1187">
        <v>0.6</v>
      </c>
      <c r="AE14" s="1188">
        <v>0.35</v>
      </c>
      <c r="AG14" s="1189">
        <v>0.8</v>
      </c>
      <c r="AH14" s="1185">
        <v>0.24</v>
      </c>
      <c r="AI14" s="1186">
        <v>0.38</v>
      </c>
      <c r="AJ14" s="1187">
        <v>0.63</v>
      </c>
      <c r="AK14" s="1186">
        <v>0.49</v>
      </c>
      <c r="AL14" s="1187">
        <v>0.25</v>
      </c>
      <c r="AM14" s="1186">
        <v>0.45</v>
      </c>
      <c r="AN14" s="1187">
        <v>0.59</v>
      </c>
      <c r="AO14" s="1188">
        <v>0.36</v>
      </c>
      <c r="AQ14" s="1189">
        <v>0.8</v>
      </c>
      <c r="AR14" s="1185">
        <v>0.3</v>
      </c>
      <c r="AS14" s="1186">
        <v>0.37</v>
      </c>
      <c r="AT14" s="1187">
        <v>0.5</v>
      </c>
      <c r="AU14" s="1186">
        <v>0.4</v>
      </c>
      <c r="AV14" s="1187">
        <v>0.28000000000000003</v>
      </c>
      <c r="AW14" s="1186">
        <v>0.43</v>
      </c>
      <c r="AX14" s="1187">
        <v>0.52</v>
      </c>
      <c r="AY14" s="1188">
        <v>0.4</v>
      </c>
      <c r="BA14" s="1189">
        <v>0.8</v>
      </c>
      <c r="BB14" s="1185">
        <v>0.26</v>
      </c>
      <c r="BC14" s="1186">
        <v>0.35</v>
      </c>
      <c r="BD14" s="1187">
        <v>0.5</v>
      </c>
      <c r="BE14" s="1186">
        <v>0.38</v>
      </c>
      <c r="BF14" s="1187">
        <v>0.26</v>
      </c>
      <c r="BG14" s="1186">
        <v>0.5</v>
      </c>
      <c r="BH14" s="1187">
        <v>0.66</v>
      </c>
      <c r="BI14" s="1188">
        <v>0.4</v>
      </c>
      <c r="BK14" s="1189">
        <v>0.8</v>
      </c>
      <c r="BL14" s="1185">
        <v>0.28000000000000003</v>
      </c>
      <c r="BM14" s="1186">
        <v>0.4</v>
      </c>
      <c r="BN14" s="1187">
        <v>0.54</v>
      </c>
      <c r="BO14" s="1186">
        <v>0.44</v>
      </c>
      <c r="BP14" s="1187">
        <v>0.28000000000000003</v>
      </c>
      <c r="BQ14" s="1186">
        <v>0.41</v>
      </c>
      <c r="BR14" s="1187">
        <v>0.53</v>
      </c>
      <c r="BS14" s="1188">
        <v>0.4</v>
      </c>
      <c r="BU14" s="1189">
        <v>0.8</v>
      </c>
      <c r="BV14" s="1185">
        <v>0.3</v>
      </c>
      <c r="BW14" s="1186">
        <v>0.37</v>
      </c>
      <c r="BX14" s="1187">
        <v>0.5</v>
      </c>
      <c r="BY14" s="1186">
        <v>0.41</v>
      </c>
      <c r="BZ14" s="1187">
        <v>0.28999999999999998</v>
      </c>
      <c r="CA14" s="1186">
        <v>0.43</v>
      </c>
      <c r="CB14" s="1187">
        <v>0.53</v>
      </c>
      <c r="CC14" s="1188">
        <v>0.4</v>
      </c>
    </row>
    <row r="15" spans="2:81" ht="13" x14ac:dyDescent="0.3">
      <c r="B15" s="443">
        <f t="shared" si="0"/>
        <v>0</v>
      </c>
      <c r="C15" s="1190">
        <v>1</v>
      </c>
      <c r="D15" s="1191">
        <v>0.19</v>
      </c>
      <c r="E15" s="1192">
        <v>0.26</v>
      </c>
      <c r="F15" s="1193">
        <v>0.45</v>
      </c>
      <c r="G15" s="1192">
        <v>0.41</v>
      </c>
      <c r="H15" s="1193">
        <v>0.25</v>
      </c>
      <c r="I15" s="1192">
        <v>0.43</v>
      </c>
      <c r="J15" s="1193">
        <v>0.48</v>
      </c>
      <c r="K15" s="1194">
        <v>0.28000000000000003</v>
      </c>
      <c r="M15" s="1195">
        <v>1</v>
      </c>
      <c r="N15" s="1191">
        <v>0.26</v>
      </c>
      <c r="O15" s="1192">
        <v>0.3</v>
      </c>
      <c r="P15" s="1193">
        <v>0.43</v>
      </c>
      <c r="Q15" s="1192">
        <v>0.35</v>
      </c>
      <c r="R15" s="1193">
        <v>0.24</v>
      </c>
      <c r="S15" s="1192">
        <v>0.4</v>
      </c>
      <c r="T15" s="1193">
        <v>0.47</v>
      </c>
      <c r="U15" s="1194">
        <v>0.32</v>
      </c>
      <c r="W15" s="1195">
        <v>1</v>
      </c>
      <c r="X15" s="1191">
        <v>0.2</v>
      </c>
      <c r="Y15" s="1192">
        <v>0.28999999999999998</v>
      </c>
      <c r="Z15" s="1193">
        <v>0.5</v>
      </c>
      <c r="AA15" s="1192">
        <v>0.4</v>
      </c>
      <c r="AB15" s="1193">
        <v>0.24</v>
      </c>
      <c r="AC15" s="1192">
        <v>0.43</v>
      </c>
      <c r="AD15" s="1193">
        <v>0.53</v>
      </c>
      <c r="AE15" s="1194">
        <v>0.28999999999999998</v>
      </c>
      <c r="AG15" s="1195">
        <v>1</v>
      </c>
      <c r="AH15" s="1191">
        <v>0.2</v>
      </c>
      <c r="AI15" s="1192">
        <v>0.31</v>
      </c>
      <c r="AJ15" s="1193">
        <v>0.55000000000000004</v>
      </c>
      <c r="AK15" s="1192">
        <v>0.42</v>
      </c>
      <c r="AL15" s="1193">
        <v>0.22</v>
      </c>
      <c r="AM15" s="1192">
        <v>0.39</v>
      </c>
      <c r="AN15" s="1193">
        <v>0.51</v>
      </c>
      <c r="AO15" s="1194">
        <v>0.3</v>
      </c>
      <c r="AQ15" s="1195">
        <v>1</v>
      </c>
      <c r="AR15" s="1191">
        <v>0.26</v>
      </c>
      <c r="AS15" s="1192">
        <v>0.31</v>
      </c>
      <c r="AT15" s="1193">
        <v>0.42</v>
      </c>
      <c r="AU15" s="1192">
        <v>0.34</v>
      </c>
      <c r="AV15" s="1193">
        <v>0.25</v>
      </c>
      <c r="AW15" s="1192">
        <v>0.37</v>
      </c>
      <c r="AX15" s="1193">
        <v>0.46</v>
      </c>
      <c r="AY15" s="1194">
        <v>0.31</v>
      </c>
      <c r="BA15" s="1195">
        <v>1</v>
      </c>
      <c r="BB15" s="1191">
        <v>0.22</v>
      </c>
      <c r="BC15" s="1192">
        <v>0.28999999999999998</v>
      </c>
      <c r="BD15" s="1193">
        <v>0.42</v>
      </c>
      <c r="BE15" s="1192">
        <v>0.32</v>
      </c>
      <c r="BF15" s="1193">
        <v>0.23</v>
      </c>
      <c r="BG15" s="1192">
        <v>0.42</v>
      </c>
      <c r="BH15" s="1193">
        <v>0.56000000000000005</v>
      </c>
      <c r="BI15" s="1194">
        <v>0.36</v>
      </c>
      <c r="BK15" s="1195">
        <v>1</v>
      </c>
      <c r="BL15" s="1191">
        <v>0.25</v>
      </c>
      <c r="BM15" s="1192">
        <v>0.33</v>
      </c>
      <c r="BN15" s="1193">
        <v>0.48</v>
      </c>
      <c r="BO15" s="1192">
        <v>0.37</v>
      </c>
      <c r="BP15" s="1193">
        <v>0.25</v>
      </c>
      <c r="BQ15" s="1192">
        <v>0.35</v>
      </c>
      <c r="BR15" s="1193">
        <v>0.44</v>
      </c>
      <c r="BS15" s="1194">
        <v>0.32</v>
      </c>
      <c r="BU15" s="1195">
        <v>1</v>
      </c>
      <c r="BV15" s="1191">
        <v>0.25</v>
      </c>
      <c r="BW15" s="1192">
        <v>0.3</v>
      </c>
      <c r="BX15" s="1193">
        <v>0.42</v>
      </c>
      <c r="BY15" s="1192">
        <v>0.35</v>
      </c>
      <c r="BZ15" s="1193">
        <v>0.25</v>
      </c>
      <c r="CA15" s="1192">
        <v>0.37</v>
      </c>
      <c r="CB15" s="1193">
        <v>0.47</v>
      </c>
      <c r="CC15" s="1194">
        <v>0.33</v>
      </c>
    </row>
    <row r="16" spans="2:81" x14ac:dyDescent="0.25">
      <c r="B16" s="443">
        <f t="shared" si="0"/>
        <v>0</v>
      </c>
      <c r="C16" s="1184">
        <v>1.2</v>
      </c>
      <c r="D16" s="1185">
        <v>0.18</v>
      </c>
      <c r="E16" s="1186">
        <v>0.23</v>
      </c>
      <c r="F16" s="1187">
        <v>0.37</v>
      </c>
      <c r="G16" s="1186">
        <v>0.33</v>
      </c>
      <c r="H16" s="1187">
        <v>0.22</v>
      </c>
      <c r="I16" s="1186">
        <v>0.39</v>
      </c>
      <c r="J16" s="1187">
        <v>0.42</v>
      </c>
      <c r="K16" s="1188">
        <v>0.26</v>
      </c>
      <c r="M16" s="1189">
        <v>1.2</v>
      </c>
      <c r="N16" s="1185">
        <v>0.23</v>
      </c>
      <c r="O16" s="1186">
        <v>0.27</v>
      </c>
      <c r="P16" s="1187">
        <v>0.35</v>
      </c>
      <c r="Q16" s="1186">
        <v>0.3</v>
      </c>
      <c r="R16" s="1187">
        <v>0.22</v>
      </c>
      <c r="S16" s="1186">
        <v>0.34</v>
      </c>
      <c r="T16" s="1187">
        <v>0.41</v>
      </c>
      <c r="U16" s="1188">
        <v>0.28000000000000003</v>
      </c>
      <c r="W16" s="1189">
        <v>1.2</v>
      </c>
      <c r="X16" s="1185">
        <v>0.19</v>
      </c>
      <c r="Y16" s="1186">
        <v>0.26</v>
      </c>
      <c r="Z16" s="1187">
        <v>0.42</v>
      </c>
      <c r="AA16" s="1186">
        <v>0.34</v>
      </c>
      <c r="AB16" s="1187">
        <v>0.21</v>
      </c>
      <c r="AC16" s="1186">
        <v>0.37</v>
      </c>
      <c r="AD16" s="1187">
        <v>0.43</v>
      </c>
      <c r="AE16" s="1188">
        <v>0.26</v>
      </c>
      <c r="AG16" s="1189">
        <v>1.2</v>
      </c>
      <c r="AH16" s="1185">
        <v>0.19</v>
      </c>
      <c r="AI16" s="1186">
        <v>0.26</v>
      </c>
      <c r="AJ16" s="1187">
        <v>0.46</v>
      </c>
      <c r="AK16" s="1186">
        <v>0.37</v>
      </c>
      <c r="AL16" s="1187">
        <v>0.2</v>
      </c>
      <c r="AM16" s="1186">
        <v>0.35</v>
      </c>
      <c r="AN16" s="1187">
        <v>0.45</v>
      </c>
      <c r="AO16" s="1188">
        <v>0.25</v>
      </c>
      <c r="AQ16" s="1189">
        <v>1.2</v>
      </c>
      <c r="AR16" s="1185">
        <v>0.24</v>
      </c>
      <c r="AS16" s="1186">
        <v>0.26</v>
      </c>
      <c r="AT16" s="1187">
        <v>0.36</v>
      </c>
      <c r="AU16" s="1186">
        <v>0.3</v>
      </c>
      <c r="AV16" s="1187">
        <v>0.22</v>
      </c>
      <c r="AW16" s="1186">
        <v>0.33</v>
      </c>
      <c r="AX16" s="1187">
        <v>0.4</v>
      </c>
      <c r="AY16" s="1188">
        <v>0.27</v>
      </c>
      <c r="BA16" s="1189">
        <v>1.2</v>
      </c>
      <c r="BB16" s="1185">
        <v>0.2</v>
      </c>
      <c r="BC16" s="1186">
        <v>0.24</v>
      </c>
      <c r="BD16" s="1187">
        <v>0.37</v>
      </c>
      <c r="BE16" s="1186">
        <v>0.28999999999999998</v>
      </c>
      <c r="BF16" s="1187">
        <v>0.23</v>
      </c>
      <c r="BG16" s="1186">
        <v>0.39</v>
      </c>
      <c r="BH16" s="1187">
        <v>0.48</v>
      </c>
      <c r="BI16" s="1188">
        <v>0.28999999999999998</v>
      </c>
      <c r="BK16" s="1189">
        <v>1.2</v>
      </c>
      <c r="BL16" s="1185">
        <v>0.22</v>
      </c>
      <c r="BM16" s="1186">
        <v>0.28000000000000003</v>
      </c>
      <c r="BN16" s="1187">
        <v>0.41</v>
      </c>
      <c r="BO16" s="1186">
        <v>0.34</v>
      </c>
      <c r="BP16" s="1187">
        <v>0.23</v>
      </c>
      <c r="BQ16" s="1186">
        <v>0.31</v>
      </c>
      <c r="BR16" s="1187">
        <v>0.38</v>
      </c>
      <c r="BS16" s="1188">
        <v>0.27</v>
      </c>
      <c r="BU16" s="1189">
        <v>1.2</v>
      </c>
      <c r="BV16" s="1185">
        <v>0.23</v>
      </c>
      <c r="BW16" s="1186">
        <v>0.28000000000000003</v>
      </c>
      <c r="BX16" s="1187">
        <v>0.37</v>
      </c>
      <c r="BY16" s="1186">
        <v>0.31</v>
      </c>
      <c r="BZ16" s="1187">
        <v>0.23</v>
      </c>
      <c r="CA16" s="1186">
        <v>0.33</v>
      </c>
      <c r="CB16" s="1187">
        <v>0.39</v>
      </c>
      <c r="CC16" s="1188">
        <v>0.26</v>
      </c>
    </row>
    <row r="17" spans="2:81" x14ac:dyDescent="0.25">
      <c r="B17" s="443">
        <f t="shared" si="0"/>
        <v>0</v>
      </c>
      <c r="C17" s="1184">
        <v>1.4</v>
      </c>
      <c r="D17" s="1185">
        <v>0.17</v>
      </c>
      <c r="E17" s="1186">
        <v>0.21</v>
      </c>
      <c r="F17" s="1187">
        <v>0.32</v>
      </c>
      <c r="G17" s="1186">
        <v>0.3</v>
      </c>
      <c r="H17" s="1187">
        <v>0.22</v>
      </c>
      <c r="I17" s="1186">
        <v>0.32</v>
      </c>
      <c r="J17" s="1187">
        <v>0.37</v>
      </c>
      <c r="K17" s="1188">
        <v>0.22</v>
      </c>
      <c r="M17" s="1189">
        <v>1.4</v>
      </c>
      <c r="N17" s="1185">
        <v>0.21</v>
      </c>
      <c r="O17" s="1186">
        <v>0.24</v>
      </c>
      <c r="P17" s="1187">
        <v>0.32</v>
      </c>
      <c r="Q17" s="1186">
        <v>0.28000000000000003</v>
      </c>
      <c r="R17" s="1187">
        <v>0.21</v>
      </c>
      <c r="S17" s="1186">
        <v>0.3</v>
      </c>
      <c r="T17" s="1187">
        <v>0.36</v>
      </c>
      <c r="U17" s="1188">
        <v>0.24</v>
      </c>
      <c r="W17" s="1189">
        <v>1.4</v>
      </c>
      <c r="X17" s="1185">
        <v>0.17</v>
      </c>
      <c r="Y17" s="1186">
        <v>0.22</v>
      </c>
      <c r="Z17" s="1187">
        <v>0.35</v>
      </c>
      <c r="AA17" s="1186">
        <v>0.31</v>
      </c>
      <c r="AB17" s="1187">
        <v>0.2</v>
      </c>
      <c r="AC17" s="1186">
        <v>0.32</v>
      </c>
      <c r="AD17" s="1187">
        <v>0.41</v>
      </c>
      <c r="AE17" s="1188">
        <v>0.23</v>
      </c>
      <c r="AG17" s="1189">
        <v>1.4</v>
      </c>
      <c r="AH17" s="1185">
        <v>0.16</v>
      </c>
      <c r="AI17" s="1186">
        <v>0.23</v>
      </c>
      <c r="AJ17" s="1187">
        <v>0.39</v>
      </c>
      <c r="AK17" s="1186">
        <v>0.34</v>
      </c>
      <c r="AL17" s="1187">
        <v>0.17</v>
      </c>
      <c r="AM17" s="1186">
        <v>0.33</v>
      </c>
      <c r="AN17" s="1187">
        <v>0.38</v>
      </c>
      <c r="AO17" s="1188">
        <v>0.21</v>
      </c>
      <c r="AQ17" s="1189">
        <v>1.4</v>
      </c>
      <c r="AR17" s="1185">
        <v>0.21</v>
      </c>
      <c r="AS17" s="1186">
        <v>0.23</v>
      </c>
      <c r="AT17" s="1187">
        <v>0.32</v>
      </c>
      <c r="AU17" s="1186">
        <v>0.27</v>
      </c>
      <c r="AV17" s="1187">
        <v>0.2</v>
      </c>
      <c r="AW17" s="1186">
        <v>0.28999999999999998</v>
      </c>
      <c r="AX17" s="1187">
        <v>0.34</v>
      </c>
      <c r="AY17" s="1188">
        <v>0.24</v>
      </c>
      <c r="BA17" s="1189">
        <v>1.4</v>
      </c>
      <c r="BB17" s="1185">
        <v>0.18</v>
      </c>
      <c r="BC17" s="1186">
        <v>0.22</v>
      </c>
      <c r="BD17" s="1187">
        <v>0.32</v>
      </c>
      <c r="BE17" s="1186">
        <v>0.26</v>
      </c>
      <c r="BF17" s="1187">
        <v>0.19</v>
      </c>
      <c r="BG17" s="1186">
        <v>0.34</v>
      </c>
      <c r="BH17" s="1187">
        <v>0.42</v>
      </c>
      <c r="BI17" s="1188">
        <v>0.26</v>
      </c>
      <c r="BK17" s="1189">
        <v>1.4</v>
      </c>
      <c r="BL17" s="1185">
        <v>0.19</v>
      </c>
      <c r="BM17" s="1186">
        <v>0.23</v>
      </c>
      <c r="BN17" s="1187">
        <v>0.36</v>
      </c>
      <c r="BO17" s="1186">
        <v>0.3</v>
      </c>
      <c r="BP17" s="1187">
        <v>0.21</v>
      </c>
      <c r="BQ17" s="1186">
        <v>0.28000000000000003</v>
      </c>
      <c r="BR17" s="1187">
        <v>0.33</v>
      </c>
      <c r="BS17" s="1188">
        <v>0.24</v>
      </c>
      <c r="BU17" s="1189">
        <v>1.4</v>
      </c>
      <c r="BV17" s="1185">
        <v>0.21</v>
      </c>
      <c r="BW17" s="1186">
        <v>0.23</v>
      </c>
      <c r="BX17" s="1187">
        <v>0.32</v>
      </c>
      <c r="BY17" s="1186">
        <v>0.28999999999999998</v>
      </c>
      <c r="BZ17" s="1187">
        <v>0.2</v>
      </c>
      <c r="CA17" s="1186">
        <v>0.28999999999999998</v>
      </c>
      <c r="CB17" s="1187">
        <v>0.34</v>
      </c>
      <c r="CC17" s="1188">
        <v>0.24</v>
      </c>
    </row>
    <row r="18" spans="2:81" x14ac:dyDescent="0.25">
      <c r="B18" s="443">
        <f t="shared" si="0"/>
        <v>0</v>
      </c>
      <c r="C18" s="1184">
        <v>1.6</v>
      </c>
      <c r="D18" s="1185">
        <v>0.15</v>
      </c>
      <c r="E18" s="1186">
        <v>0.18</v>
      </c>
      <c r="F18" s="1187">
        <v>0.28000000000000003</v>
      </c>
      <c r="G18" s="1186">
        <v>0.26</v>
      </c>
      <c r="H18" s="1187">
        <v>0.18</v>
      </c>
      <c r="I18" s="1186">
        <v>0.28999999999999998</v>
      </c>
      <c r="J18" s="1187">
        <v>0.34</v>
      </c>
      <c r="K18" s="1188">
        <v>0.21</v>
      </c>
      <c r="M18" s="1189">
        <v>1.6</v>
      </c>
      <c r="N18" s="1185">
        <v>0.19</v>
      </c>
      <c r="O18" s="1186">
        <v>0.23</v>
      </c>
      <c r="P18" s="1187">
        <v>0.28000000000000003</v>
      </c>
      <c r="Q18" s="1186">
        <v>0.25</v>
      </c>
      <c r="R18" s="1187">
        <v>0.19</v>
      </c>
      <c r="S18" s="1186">
        <v>0.27</v>
      </c>
      <c r="T18" s="1187">
        <v>0.31</v>
      </c>
      <c r="U18" s="1188">
        <v>0.22</v>
      </c>
      <c r="W18" s="1189">
        <v>1.6</v>
      </c>
      <c r="X18" s="1185">
        <v>0.17</v>
      </c>
      <c r="Y18" s="1186">
        <v>0.2</v>
      </c>
      <c r="Z18" s="1187">
        <v>0.33</v>
      </c>
      <c r="AA18" s="1186">
        <v>0.27</v>
      </c>
      <c r="AB18" s="1187">
        <v>0.16</v>
      </c>
      <c r="AC18" s="1186">
        <v>0.31</v>
      </c>
      <c r="AD18" s="1187">
        <v>0.35</v>
      </c>
      <c r="AE18" s="1188">
        <v>0.21</v>
      </c>
      <c r="AG18" s="1189">
        <v>1.6</v>
      </c>
      <c r="AH18" s="1185">
        <v>0.16</v>
      </c>
      <c r="AI18" s="1186">
        <v>0.2</v>
      </c>
      <c r="AJ18" s="1187">
        <v>0.38</v>
      </c>
      <c r="AK18" s="1186">
        <v>0.3</v>
      </c>
      <c r="AL18" s="1187">
        <v>0.16</v>
      </c>
      <c r="AM18" s="1186">
        <v>0.28999999999999998</v>
      </c>
      <c r="AN18" s="1187">
        <v>0.33</v>
      </c>
      <c r="AO18" s="1188">
        <v>0.2</v>
      </c>
      <c r="AQ18" s="1189">
        <v>1.6</v>
      </c>
      <c r="AR18" s="1185">
        <v>0.2</v>
      </c>
      <c r="AS18" s="1186">
        <v>0.22</v>
      </c>
      <c r="AT18" s="1187">
        <v>0.28999999999999998</v>
      </c>
      <c r="AU18" s="1186">
        <v>0.23</v>
      </c>
      <c r="AV18" s="1187">
        <v>0.18</v>
      </c>
      <c r="AW18" s="1186">
        <v>0.27</v>
      </c>
      <c r="AX18" s="1187">
        <v>0.3</v>
      </c>
      <c r="AY18" s="1188">
        <v>0.21</v>
      </c>
      <c r="BA18" s="1189">
        <v>1.6</v>
      </c>
      <c r="BB18" s="1185">
        <v>0.16</v>
      </c>
      <c r="BC18" s="1186">
        <v>0.19</v>
      </c>
      <c r="BD18" s="1187">
        <v>0.28000000000000003</v>
      </c>
      <c r="BE18" s="1186">
        <v>0.24</v>
      </c>
      <c r="BF18" s="1187">
        <v>0.18</v>
      </c>
      <c r="BG18" s="1186">
        <v>0.31</v>
      </c>
      <c r="BH18" s="1187">
        <v>0.38</v>
      </c>
      <c r="BI18" s="1188">
        <v>0.21</v>
      </c>
      <c r="BK18" s="1189">
        <v>1.6</v>
      </c>
      <c r="BL18" s="1185">
        <v>0.18</v>
      </c>
      <c r="BM18" s="1186">
        <v>0.21</v>
      </c>
      <c r="BN18" s="1187">
        <v>0.33</v>
      </c>
      <c r="BO18" s="1186">
        <v>0.27</v>
      </c>
      <c r="BP18" s="1187">
        <v>0.2</v>
      </c>
      <c r="BQ18" s="1186">
        <v>0.26</v>
      </c>
      <c r="BR18" s="1187">
        <v>0.31</v>
      </c>
      <c r="BS18" s="1188">
        <v>0.21</v>
      </c>
      <c r="BU18" s="1189">
        <v>1.6</v>
      </c>
      <c r="BV18" s="1185">
        <v>0.2</v>
      </c>
      <c r="BW18" s="1186">
        <v>0.21</v>
      </c>
      <c r="BX18" s="1187">
        <v>0.3</v>
      </c>
      <c r="BY18" s="1186">
        <v>0.25</v>
      </c>
      <c r="BZ18" s="1187">
        <v>0.18</v>
      </c>
      <c r="CA18" s="1186">
        <v>0.25</v>
      </c>
      <c r="CB18" s="1187">
        <v>0.31</v>
      </c>
      <c r="CC18" s="1188">
        <v>0.22</v>
      </c>
    </row>
    <row r="19" spans="2:81" x14ac:dyDescent="0.25">
      <c r="B19" s="443">
        <f t="shared" si="0"/>
        <v>0</v>
      </c>
      <c r="C19" s="1184">
        <v>1.8</v>
      </c>
      <c r="D19" s="1185">
        <v>0.13</v>
      </c>
      <c r="E19" s="1186">
        <v>0.18</v>
      </c>
      <c r="F19" s="1187">
        <v>0.27</v>
      </c>
      <c r="G19" s="1186">
        <v>0.22</v>
      </c>
      <c r="H19" s="1187">
        <v>0.17</v>
      </c>
      <c r="I19" s="1186">
        <v>0.28000000000000003</v>
      </c>
      <c r="J19" s="1187">
        <v>0.3</v>
      </c>
      <c r="K19" s="1188">
        <v>0.18</v>
      </c>
      <c r="M19" s="1189">
        <v>1.8</v>
      </c>
      <c r="N19" s="1185">
        <v>0.17</v>
      </c>
      <c r="O19" s="1186">
        <v>0.2</v>
      </c>
      <c r="P19" s="1187">
        <v>0.24</v>
      </c>
      <c r="Q19" s="1186">
        <v>0.22</v>
      </c>
      <c r="R19" s="1187">
        <v>0.17</v>
      </c>
      <c r="S19" s="1186">
        <v>0.26</v>
      </c>
      <c r="T19" s="1187">
        <v>0.28000000000000003</v>
      </c>
      <c r="U19" s="1188">
        <v>0.2</v>
      </c>
      <c r="W19" s="1189">
        <v>1.8</v>
      </c>
      <c r="X19" s="1185">
        <v>0.15</v>
      </c>
      <c r="Y19" s="1186">
        <v>0.19</v>
      </c>
      <c r="Z19" s="1187">
        <v>0.3</v>
      </c>
      <c r="AA19" s="1186">
        <v>0.24</v>
      </c>
      <c r="AB19" s="1187">
        <v>0.16</v>
      </c>
      <c r="AC19" s="1186">
        <v>0.28000000000000003</v>
      </c>
      <c r="AD19" s="1187">
        <v>0.33</v>
      </c>
      <c r="AE19" s="1188">
        <v>0.19</v>
      </c>
      <c r="AG19" s="1189">
        <v>1.8</v>
      </c>
      <c r="AH19" s="1185">
        <v>0.14000000000000001</v>
      </c>
      <c r="AI19" s="1186">
        <v>0.18</v>
      </c>
      <c r="AJ19" s="1187">
        <v>0.32</v>
      </c>
      <c r="AK19" s="1186">
        <v>0.27</v>
      </c>
      <c r="AL19" s="1187">
        <v>0.14000000000000001</v>
      </c>
      <c r="AM19" s="1186">
        <v>0.25</v>
      </c>
      <c r="AN19" s="1187">
        <v>0.32</v>
      </c>
      <c r="AO19" s="1188">
        <v>0.17</v>
      </c>
      <c r="AQ19" s="1189">
        <v>1.8</v>
      </c>
      <c r="AR19" s="1185">
        <v>0.18</v>
      </c>
      <c r="AS19" s="1186">
        <v>0.2</v>
      </c>
      <c r="AT19" s="1187">
        <v>0.25</v>
      </c>
      <c r="AU19" s="1186">
        <v>0.21</v>
      </c>
      <c r="AV19" s="1187">
        <v>0.17</v>
      </c>
      <c r="AW19" s="1186">
        <v>0.23</v>
      </c>
      <c r="AX19" s="1187">
        <v>0.27</v>
      </c>
      <c r="AY19" s="1188">
        <v>0.2</v>
      </c>
      <c r="BA19" s="1189">
        <v>1.8</v>
      </c>
      <c r="BB19" s="1185">
        <v>0.15</v>
      </c>
      <c r="BC19" s="1186">
        <v>0.18</v>
      </c>
      <c r="BD19" s="1187">
        <v>0.26</v>
      </c>
      <c r="BE19" s="1186">
        <v>0.22</v>
      </c>
      <c r="BF19" s="1187">
        <v>0.17</v>
      </c>
      <c r="BG19" s="1186">
        <v>0.28000000000000003</v>
      </c>
      <c r="BH19" s="1187">
        <v>0.34</v>
      </c>
      <c r="BI19" s="1188">
        <v>0.2</v>
      </c>
      <c r="BK19" s="1189">
        <v>1.8</v>
      </c>
      <c r="BL19" s="1185">
        <v>0.17</v>
      </c>
      <c r="BM19" s="1186">
        <v>0.2</v>
      </c>
      <c r="BN19" s="1187">
        <v>0.28000000000000003</v>
      </c>
      <c r="BO19" s="1186">
        <v>0.24</v>
      </c>
      <c r="BP19" s="1187">
        <v>0.18</v>
      </c>
      <c r="BQ19" s="1186">
        <v>0.24</v>
      </c>
      <c r="BR19" s="1187">
        <v>0.27</v>
      </c>
      <c r="BS19" s="1188">
        <v>0.19</v>
      </c>
      <c r="BU19" s="1189">
        <v>1.8</v>
      </c>
      <c r="BV19" s="1185">
        <v>0.19</v>
      </c>
      <c r="BW19" s="1186">
        <v>0.2</v>
      </c>
      <c r="BX19" s="1187">
        <v>0.25</v>
      </c>
      <c r="BY19" s="1186">
        <v>0.22</v>
      </c>
      <c r="BZ19" s="1187">
        <v>0.17</v>
      </c>
      <c r="CA19" s="1186">
        <v>0.23</v>
      </c>
      <c r="CB19" s="1187">
        <v>0.28000000000000003</v>
      </c>
      <c r="CC19" s="1188">
        <v>0.2</v>
      </c>
    </row>
    <row r="20" spans="2:81" ht="13" x14ac:dyDescent="0.3">
      <c r="B20" s="443">
        <f t="shared" si="0"/>
        <v>0</v>
      </c>
      <c r="C20" s="1196">
        <v>2</v>
      </c>
      <c r="D20" s="1197">
        <v>0.12</v>
      </c>
      <c r="E20" s="1198">
        <v>0.17</v>
      </c>
      <c r="F20" s="1199">
        <v>0.23</v>
      </c>
      <c r="G20" s="1198">
        <v>0.21</v>
      </c>
      <c r="H20" s="1199">
        <v>0.16</v>
      </c>
      <c r="I20" s="1198">
        <v>0.24</v>
      </c>
      <c r="J20" s="1199">
        <v>0.28000000000000003</v>
      </c>
      <c r="K20" s="1200">
        <v>0.17</v>
      </c>
      <c r="M20" s="1201">
        <v>2</v>
      </c>
      <c r="N20" s="1197">
        <v>0.17</v>
      </c>
      <c r="O20" s="1198">
        <v>0.19</v>
      </c>
      <c r="P20" s="1199">
        <v>0.22</v>
      </c>
      <c r="Q20" s="1198">
        <v>0.21</v>
      </c>
      <c r="R20" s="1199">
        <v>0.16</v>
      </c>
      <c r="S20" s="1198">
        <v>0.22</v>
      </c>
      <c r="T20" s="1199">
        <v>0.27</v>
      </c>
      <c r="U20" s="1200">
        <v>0.19</v>
      </c>
      <c r="W20" s="1201">
        <v>2</v>
      </c>
      <c r="X20" s="1197">
        <v>0.15</v>
      </c>
      <c r="Y20" s="1198">
        <v>0.18</v>
      </c>
      <c r="Z20" s="1199">
        <v>0.25</v>
      </c>
      <c r="AA20" s="1198">
        <v>0.24</v>
      </c>
      <c r="AB20" s="1199">
        <v>0.15</v>
      </c>
      <c r="AC20" s="1198">
        <v>0.24</v>
      </c>
      <c r="AD20" s="1199">
        <v>0.27</v>
      </c>
      <c r="AE20" s="1200">
        <v>0.17</v>
      </c>
      <c r="AG20" s="1201">
        <v>2</v>
      </c>
      <c r="AH20" s="1197">
        <v>0.13</v>
      </c>
      <c r="AI20" s="1198">
        <v>0.17</v>
      </c>
      <c r="AJ20" s="1199">
        <v>0.28000000000000003</v>
      </c>
      <c r="AK20" s="1198">
        <v>0.23</v>
      </c>
      <c r="AL20" s="1199">
        <v>0.14000000000000001</v>
      </c>
      <c r="AM20" s="1198">
        <v>0.24</v>
      </c>
      <c r="AN20" s="1199">
        <v>0.26</v>
      </c>
      <c r="AO20" s="1200">
        <v>0.16</v>
      </c>
      <c r="AQ20" s="1201">
        <v>2</v>
      </c>
      <c r="AR20" s="1197">
        <v>0.17</v>
      </c>
      <c r="AS20" s="1198">
        <v>0.17</v>
      </c>
      <c r="AT20" s="1199">
        <v>0.24</v>
      </c>
      <c r="AU20" s="1198">
        <v>0.21</v>
      </c>
      <c r="AV20" s="1199">
        <v>0.16</v>
      </c>
      <c r="AW20" s="1198">
        <v>0.21</v>
      </c>
      <c r="AX20" s="1199">
        <v>0.25</v>
      </c>
      <c r="AY20" s="1200">
        <v>0.19</v>
      </c>
      <c r="BA20" s="1201">
        <v>2</v>
      </c>
      <c r="BB20" s="1197">
        <v>0.14000000000000001</v>
      </c>
      <c r="BC20" s="1198">
        <v>0.17</v>
      </c>
      <c r="BD20" s="1199">
        <v>0.24</v>
      </c>
      <c r="BE20" s="1198">
        <v>0.21</v>
      </c>
      <c r="BF20" s="1199">
        <v>0.17</v>
      </c>
      <c r="BG20" s="1198">
        <v>0.26</v>
      </c>
      <c r="BH20" s="1199">
        <v>0.31</v>
      </c>
      <c r="BI20" s="1200">
        <v>0.17</v>
      </c>
      <c r="BK20" s="1201">
        <v>2</v>
      </c>
      <c r="BL20" s="1197">
        <v>0.16</v>
      </c>
      <c r="BM20" s="1198">
        <v>0.19</v>
      </c>
      <c r="BN20" s="1199">
        <v>0.27</v>
      </c>
      <c r="BO20" s="1198">
        <v>0.23</v>
      </c>
      <c r="BP20" s="1199">
        <v>0.18</v>
      </c>
      <c r="BQ20" s="1198">
        <v>0.21</v>
      </c>
      <c r="BR20" s="1199">
        <v>0.25</v>
      </c>
      <c r="BS20" s="1200">
        <v>0.18</v>
      </c>
      <c r="BU20" s="1201">
        <v>2</v>
      </c>
      <c r="BV20" s="1197">
        <v>0.16</v>
      </c>
      <c r="BW20" s="1198">
        <v>0.18</v>
      </c>
      <c r="BX20" s="1199">
        <v>0.23</v>
      </c>
      <c r="BY20" s="1198">
        <v>0.21</v>
      </c>
      <c r="BZ20" s="1199">
        <v>0.16</v>
      </c>
      <c r="CA20" s="1198">
        <v>0.22</v>
      </c>
      <c r="CB20" s="1199">
        <v>0.24</v>
      </c>
      <c r="CC20" s="1200">
        <v>0.19</v>
      </c>
    </row>
    <row r="21" spans="2:81" x14ac:dyDescent="0.25">
      <c r="C21" s="425" t="s">
        <v>1286</v>
      </c>
    </row>
    <row r="23" spans="2:81" ht="13" x14ac:dyDescent="0.3">
      <c r="B23" s="450">
        <v>2100</v>
      </c>
      <c r="C23" s="168" t="s">
        <v>1287</v>
      </c>
    </row>
    <row r="24" spans="2:81" ht="13" x14ac:dyDescent="0.3">
      <c r="B24" s="389" t="s">
        <v>1288</v>
      </c>
    </row>
    <row r="25" spans="2:81" ht="13" x14ac:dyDescent="0.3">
      <c r="B25" s="389"/>
    </row>
    <row r="26" spans="2:81" ht="13" x14ac:dyDescent="0.3">
      <c r="B26" s="389"/>
    </row>
    <row r="27" spans="2:81" ht="13" x14ac:dyDescent="0.3">
      <c r="B27" s="389"/>
    </row>
    <row r="28" spans="2:81" ht="15.5" x14ac:dyDescent="0.35">
      <c r="B28" s="437" t="s">
        <v>1289</v>
      </c>
      <c r="C28" s="452" t="s">
        <v>1290</v>
      </c>
    </row>
    <row r="29" spans="2:81" ht="13" x14ac:dyDescent="0.3">
      <c r="C29" s="389" t="s">
        <v>1291</v>
      </c>
    </row>
    <row r="31" spans="2:81" ht="13" x14ac:dyDescent="0.3">
      <c r="C31" s="390" t="s">
        <v>1266</v>
      </c>
      <c r="M31" s="390" t="s">
        <v>1267</v>
      </c>
      <c r="W31" s="390" t="s">
        <v>1268</v>
      </c>
      <c r="AG31" s="390" t="s">
        <v>1269</v>
      </c>
      <c r="AQ31" s="390" t="s">
        <v>1270</v>
      </c>
      <c r="BA31" s="390" t="s">
        <v>1271</v>
      </c>
      <c r="BK31" s="390" t="s">
        <v>1272</v>
      </c>
      <c r="BU31" s="390" t="s">
        <v>1273</v>
      </c>
    </row>
    <row r="32" spans="2:81" x14ac:dyDescent="0.25">
      <c r="C32" s="1418"/>
      <c r="D32" s="1408" t="s">
        <v>1230</v>
      </c>
      <c r="E32" s="1409" t="s">
        <v>1231</v>
      </c>
      <c r="F32" s="1409" t="s">
        <v>1232</v>
      </c>
      <c r="G32" s="1409" t="s">
        <v>1233</v>
      </c>
      <c r="H32" s="1409" t="s">
        <v>1234</v>
      </c>
      <c r="I32" s="1409" t="s">
        <v>1235</v>
      </c>
      <c r="J32" s="1409" t="s">
        <v>1236</v>
      </c>
      <c r="K32" s="1410" t="s">
        <v>1237</v>
      </c>
      <c r="M32" s="1418"/>
      <c r="N32" s="1408" t="s">
        <v>1230</v>
      </c>
      <c r="O32" s="1409" t="s">
        <v>1231</v>
      </c>
      <c r="P32" s="1409" t="s">
        <v>1232</v>
      </c>
      <c r="Q32" s="1409" t="s">
        <v>1233</v>
      </c>
      <c r="R32" s="1409" t="s">
        <v>1234</v>
      </c>
      <c r="S32" s="1409" t="s">
        <v>1235</v>
      </c>
      <c r="T32" s="1409" t="s">
        <v>1236</v>
      </c>
      <c r="U32" s="1410" t="s">
        <v>1237</v>
      </c>
      <c r="W32" s="1418"/>
      <c r="X32" s="1408" t="s">
        <v>1230</v>
      </c>
      <c r="Y32" s="1409" t="s">
        <v>1231</v>
      </c>
      <c r="Z32" s="1409" t="s">
        <v>1232</v>
      </c>
      <c r="AA32" s="1409" t="s">
        <v>1233</v>
      </c>
      <c r="AB32" s="1409" t="s">
        <v>1234</v>
      </c>
      <c r="AC32" s="1409" t="s">
        <v>1235</v>
      </c>
      <c r="AD32" s="1409" t="s">
        <v>1236</v>
      </c>
      <c r="AE32" s="1410" t="s">
        <v>1237</v>
      </c>
      <c r="AG32" s="1418"/>
      <c r="AH32" s="1408" t="s">
        <v>1230</v>
      </c>
      <c r="AI32" s="1409" t="s">
        <v>1231</v>
      </c>
      <c r="AJ32" s="1409" t="s">
        <v>1232</v>
      </c>
      <c r="AK32" s="1409" t="s">
        <v>1233</v>
      </c>
      <c r="AL32" s="1409" t="s">
        <v>1234</v>
      </c>
      <c r="AM32" s="1409" t="s">
        <v>1235</v>
      </c>
      <c r="AN32" s="1409" t="s">
        <v>1236</v>
      </c>
      <c r="AO32" s="1410" t="s">
        <v>1237</v>
      </c>
      <c r="AQ32" s="1418"/>
      <c r="AR32" s="1408" t="s">
        <v>1230</v>
      </c>
      <c r="AS32" s="1409" t="s">
        <v>1231</v>
      </c>
      <c r="AT32" s="1409" t="s">
        <v>1232</v>
      </c>
      <c r="AU32" s="1409" t="s">
        <v>1233</v>
      </c>
      <c r="AV32" s="1409" t="s">
        <v>1234</v>
      </c>
      <c r="AW32" s="1409" t="s">
        <v>1235</v>
      </c>
      <c r="AX32" s="1409" t="s">
        <v>1236</v>
      </c>
      <c r="AY32" s="1410" t="s">
        <v>1237</v>
      </c>
      <c r="BA32" s="1418"/>
      <c r="BB32" s="1408" t="s">
        <v>1230</v>
      </c>
      <c r="BC32" s="1409" t="s">
        <v>1231</v>
      </c>
      <c r="BD32" s="1409" t="s">
        <v>1232</v>
      </c>
      <c r="BE32" s="1409" t="s">
        <v>1233</v>
      </c>
      <c r="BF32" s="1409" t="s">
        <v>1234</v>
      </c>
      <c r="BG32" s="1409" t="s">
        <v>1235</v>
      </c>
      <c r="BH32" s="1409" t="s">
        <v>1236</v>
      </c>
      <c r="BI32" s="1410" t="s">
        <v>1237</v>
      </c>
      <c r="BK32" s="1418"/>
      <c r="BL32" s="1408" t="s">
        <v>1230</v>
      </c>
      <c r="BM32" s="1409" t="s">
        <v>1231</v>
      </c>
      <c r="BN32" s="1409" t="s">
        <v>1232</v>
      </c>
      <c r="BO32" s="1409" t="s">
        <v>1233</v>
      </c>
      <c r="BP32" s="1409" t="s">
        <v>1234</v>
      </c>
      <c r="BQ32" s="1409" t="s">
        <v>1235</v>
      </c>
      <c r="BR32" s="1409" t="s">
        <v>1236</v>
      </c>
      <c r="BS32" s="1410" t="s">
        <v>1237</v>
      </c>
      <c r="BU32" s="1418"/>
      <c r="BV32" s="1408" t="s">
        <v>1230</v>
      </c>
      <c r="BW32" s="1409" t="s">
        <v>1231</v>
      </c>
      <c r="BX32" s="1409" t="s">
        <v>1232</v>
      </c>
      <c r="BY32" s="1409" t="s">
        <v>1233</v>
      </c>
      <c r="BZ32" s="1409" t="s">
        <v>1234</v>
      </c>
      <c r="CA32" s="1409" t="s">
        <v>1235</v>
      </c>
      <c r="CB32" s="1409" t="s">
        <v>1236</v>
      </c>
      <c r="CC32" s="1410" t="s">
        <v>1237</v>
      </c>
    </row>
    <row r="33" spans="3:81" x14ac:dyDescent="0.25">
      <c r="C33" s="441" t="s">
        <v>1285</v>
      </c>
      <c r="D33" s="1180">
        <v>0</v>
      </c>
      <c r="E33" s="1181">
        <v>45</v>
      </c>
      <c r="F33" s="1182">
        <v>90</v>
      </c>
      <c r="G33" s="1181">
        <v>135</v>
      </c>
      <c r="H33" s="1182">
        <v>180</v>
      </c>
      <c r="I33" s="1181">
        <v>225</v>
      </c>
      <c r="J33" s="1182">
        <v>270</v>
      </c>
      <c r="K33" s="1183">
        <v>315</v>
      </c>
      <c r="M33" s="441" t="s">
        <v>1285</v>
      </c>
      <c r="N33" s="1180">
        <v>0</v>
      </c>
      <c r="O33" s="1181">
        <v>45</v>
      </c>
      <c r="P33" s="1182">
        <v>90</v>
      </c>
      <c r="Q33" s="1181">
        <v>135</v>
      </c>
      <c r="R33" s="1182">
        <v>180</v>
      </c>
      <c r="S33" s="1181">
        <v>225</v>
      </c>
      <c r="T33" s="1182">
        <v>270</v>
      </c>
      <c r="U33" s="1183">
        <v>315</v>
      </c>
      <c r="W33" s="441" t="s">
        <v>1285</v>
      </c>
      <c r="X33" s="1180">
        <v>0</v>
      </c>
      <c r="Y33" s="1181">
        <v>45</v>
      </c>
      <c r="Z33" s="1182">
        <v>90</v>
      </c>
      <c r="AA33" s="1181">
        <v>135</v>
      </c>
      <c r="AB33" s="1182">
        <v>180</v>
      </c>
      <c r="AC33" s="1181">
        <v>225</v>
      </c>
      <c r="AD33" s="1182">
        <v>270</v>
      </c>
      <c r="AE33" s="1183">
        <v>315</v>
      </c>
      <c r="AG33" s="441" t="s">
        <v>1285</v>
      </c>
      <c r="AH33" s="1180">
        <v>0</v>
      </c>
      <c r="AI33" s="1181">
        <v>45</v>
      </c>
      <c r="AJ33" s="1182">
        <v>90</v>
      </c>
      <c r="AK33" s="1181">
        <v>135</v>
      </c>
      <c r="AL33" s="1182">
        <v>180</v>
      </c>
      <c r="AM33" s="1181">
        <v>225</v>
      </c>
      <c r="AN33" s="1182">
        <v>270</v>
      </c>
      <c r="AO33" s="1183">
        <v>315</v>
      </c>
      <c r="AQ33" s="441" t="s">
        <v>1285</v>
      </c>
      <c r="AR33" s="1180">
        <v>0</v>
      </c>
      <c r="AS33" s="1181">
        <v>45</v>
      </c>
      <c r="AT33" s="1182">
        <v>90</v>
      </c>
      <c r="AU33" s="1181">
        <v>135</v>
      </c>
      <c r="AV33" s="1182">
        <v>180</v>
      </c>
      <c r="AW33" s="1181">
        <v>225</v>
      </c>
      <c r="AX33" s="1182">
        <v>270</v>
      </c>
      <c r="AY33" s="1183">
        <v>315</v>
      </c>
      <c r="BA33" s="441" t="s">
        <v>1285</v>
      </c>
      <c r="BB33" s="1180">
        <v>0</v>
      </c>
      <c r="BC33" s="1181">
        <v>45</v>
      </c>
      <c r="BD33" s="1182">
        <v>90</v>
      </c>
      <c r="BE33" s="1181">
        <v>135</v>
      </c>
      <c r="BF33" s="1182">
        <v>180</v>
      </c>
      <c r="BG33" s="1181">
        <v>225</v>
      </c>
      <c r="BH33" s="1182">
        <v>270</v>
      </c>
      <c r="BI33" s="1183">
        <v>315</v>
      </c>
      <c r="BK33" s="441" t="s">
        <v>1285</v>
      </c>
      <c r="BL33" s="1180">
        <v>0</v>
      </c>
      <c r="BM33" s="1181">
        <v>45</v>
      </c>
      <c r="BN33" s="1182">
        <v>90</v>
      </c>
      <c r="BO33" s="1181">
        <v>135</v>
      </c>
      <c r="BP33" s="1182">
        <v>180</v>
      </c>
      <c r="BQ33" s="1181">
        <v>225</v>
      </c>
      <c r="BR33" s="1182">
        <v>270</v>
      </c>
      <c r="BS33" s="1183">
        <v>315</v>
      </c>
      <c r="BU33" s="441" t="s">
        <v>1285</v>
      </c>
      <c r="BV33" s="1180">
        <v>0</v>
      </c>
      <c r="BW33" s="1181">
        <v>45</v>
      </c>
      <c r="BX33" s="1182">
        <v>90</v>
      </c>
      <c r="BY33" s="1181">
        <v>135</v>
      </c>
      <c r="BZ33" s="1182">
        <v>180</v>
      </c>
      <c r="CA33" s="1181">
        <v>225</v>
      </c>
      <c r="CB33" s="1182">
        <v>270</v>
      </c>
      <c r="CC33" s="1183">
        <v>315</v>
      </c>
    </row>
    <row r="34" spans="3:81" ht="13" x14ac:dyDescent="0.3">
      <c r="C34" s="453">
        <v>0</v>
      </c>
      <c r="D34" s="445"/>
      <c r="E34" s="1411"/>
      <c r="F34" s="446"/>
      <c r="G34" s="1411"/>
      <c r="H34" s="446"/>
      <c r="I34" s="1411"/>
      <c r="J34" s="446"/>
      <c r="K34" s="1412"/>
      <c r="M34" s="453">
        <v>0</v>
      </c>
      <c r="N34" s="445">
        <v>1.86</v>
      </c>
      <c r="O34" s="1411">
        <v>1.44</v>
      </c>
      <c r="P34" s="446">
        <v>0.86</v>
      </c>
      <c r="Q34" s="1411">
        <v>0.4</v>
      </c>
      <c r="R34" s="446">
        <v>0.37</v>
      </c>
      <c r="S34" s="1411">
        <v>0.41</v>
      </c>
      <c r="T34" s="446">
        <v>0.91</v>
      </c>
      <c r="U34" s="1412">
        <v>1.48</v>
      </c>
      <c r="W34" s="453">
        <v>0</v>
      </c>
      <c r="X34" s="445">
        <v>1.92</v>
      </c>
      <c r="Y34" s="1411">
        <v>1.49</v>
      </c>
      <c r="Z34" s="446">
        <v>0.88</v>
      </c>
      <c r="AA34" s="1411">
        <v>0.32</v>
      </c>
      <c r="AB34" s="446">
        <v>0.25</v>
      </c>
      <c r="AC34" s="1411">
        <v>0.33</v>
      </c>
      <c r="AD34" s="446">
        <v>0.95</v>
      </c>
      <c r="AE34" s="1412">
        <v>1.56</v>
      </c>
      <c r="AG34" s="453">
        <v>0</v>
      </c>
      <c r="AH34" s="445">
        <v>1.97</v>
      </c>
      <c r="AI34" s="1411">
        <v>1.51</v>
      </c>
      <c r="AJ34" s="446">
        <v>0.83</v>
      </c>
      <c r="AK34" s="1411">
        <v>0.39</v>
      </c>
      <c r="AL34" s="446">
        <v>0.35</v>
      </c>
      <c r="AM34" s="1411">
        <v>0.39</v>
      </c>
      <c r="AN34" s="446">
        <v>0.85</v>
      </c>
      <c r="AO34" s="1412">
        <v>1.53</v>
      </c>
      <c r="AQ34" s="453">
        <v>0</v>
      </c>
      <c r="AR34" s="445">
        <v>2.0099999999999998</v>
      </c>
      <c r="AS34" s="1411">
        <v>1.48</v>
      </c>
      <c r="AT34" s="446">
        <v>0.77</v>
      </c>
      <c r="AU34" s="1411">
        <v>0.39</v>
      </c>
      <c r="AV34" s="446">
        <v>0.37</v>
      </c>
      <c r="AW34" s="1411">
        <v>0.39</v>
      </c>
      <c r="AX34" s="446">
        <v>0.85</v>
      </c>
      <c r="AY34" s="1412">
        <v>1.58</v>
      </c>
      <c r="BA34" s="453">
        <v>0</v>
      </c>
      <c r="BB34" s="445">
        <v>1.9</v>
      </c>
      <c r="BC34" s="1411">
        <v>1.43</v>
      </c>
      <c r="BD34" s="446">
        <v>0.8</v>
      </c>
      <c r="BE34" s="1411">
        <v>0.45</v>
      </c>
      <c r="BF34" s="446">
        <v>0.43</v>
      </c>
      <c r="BG34" s="1411">
        <v>0.45</v>
      </c>
      <c r="BH34" s="446">
        <v>0.88</v>
      </c>
      <c r="BI34" s="1412">
        <v>1.53</v>
      </c>
      <c r="BK34" s="453">
        <v>0</v>
      </c>
      <c r="BL34" s="445">
        <v>2.08</v>
      </c>
      <c r="BM34" s="1411">
        <v>1.63</v>
      </c>
      <c r="BN34" s="446">
        <v>0.83</v>
      </c>
      <c r="BO34" s="1411">
        <v>0.38</v>
      </c>
      <c r="BP34" s="446">
        <v>0.35</v>
      </c>
      <c r="BQ34" s="1411">
        <v>0.38</v>
      </c>
      <c r="BR34" s="446">
        <v>0.75</v>
      </c>
      <c r="BS34" s="1412">
        <v>1.5</v>
      </c>
      <c r="BU34" s="453">
        <v>0</v>
      </c>
      <c r="BV34" s="445">
        <v>1.93</v>
      </c>
      <c r="BW34" s="1411">
        <v>1.48</v>
      </c>
      <c r="BX34" s="446">
        <v>0.81</v>
      </c>
      <c r="BY34" s="1411">
        <v>0.47</v>
      </c>
      <c r="BZ34" s="446">
        <v>0.45</v>
      </c>
      <c r="CA34" s="1411">
        <v>0.47</v>
      </c>
      <c r="CB34" s="446">
        <v>0.81</v>
      </c>
      <c r="CC34" s="1412">
        <v>1.46</v>
      </c>
    </row>
    <row r="35" spans="3:81" x14ac:dyDescent="0.25">
      <c r="C35" s="1202">
        <v>0.05</v>
      </c>
      <c r="D35" s="1185"/>
      <c r="E35" s="1186"/>
      <c r="F35" s="1187"/>
      <c r="G35" s="1186"/>
      <c r="H35" s="1187"/>
      <c r="I35" s="1186"/>
      <c r="J35" s="1187"/>
      <c r="K35" s="1188"/>
      <c r="M35" s="1202">
        <v>0.05</v>
      </c>
      <c r="N35" s="1185">
        <v>1.8</v>
      </c>
      <c r="O35" s="1186">
        <v>1.37</v>
      </c>
      <c r="P35" s="1187">
        <v>0.8</v>
      </c>
      <c r="Q35" s="1186">
        <v>0.34</v>
      </c>
      <c r="R35" s="1187">
        <v>0.31</v>
      </c>
      <c r="S35" s="1186">
        <v>0.36</v>
      </c>
      <c r="T35" s="1187">
        <v>0.84</v>
      </c>
      <c r="U35" s="1188">
        <v>1.42</v>
      </c>
      <c r="W35" s="1202">
        <v>0.05</v>
      </c>
      <c r="X35" s="1185">
        <v>1.9</v>
      </c>
      <c r="Y35" s="1186">
        <v>1.44</v>
      </c>
      <c r="Z35" s="1187">
        <v>0.82</v>
      </c>
      <c r="AA35" s="1186">
        <v>0.28000000000000003</v>
      </c>
      <c r="AB35" s="1187">
        <v>0.22</v>
      </c>
      <c r="AC35" s="1186">
        <v>0.28999999999999998</v>
      </c>
      <c r="AD35" s="1187">
        <v>0.91</v>
      </c>
      <c r="AE35" s="1188">
        <v>1.52</v>
      </c>
      <c r="AG35" s="1202">
        <v>0.05</v>
      </c>
      <c r="AH35" s="1185">
        <v>1.93</v>
      </c>
      <c r="AI35" s="1186">
        <v>1.45</v>
      </c>
      <c r="AJ35" s="1187">
        <v>0.76</v>
      </c>
      <c r="AK35" s="1186">
        <v>0.33</v>
      </c>
      <c r="AL35" s="1187">
        <v>0.28999999999999998</v>
      </c>
      <c r="AM35" s="1186">
        <v>0.33</v>
      </c>
      <c r="AN35" s="1187">
        <v>0.79</v>
      </c>
      <c r="AO35" s="1188">
        <v>1.47</v>
      </c>
      <c r="AQ35" s="1202">
        <v>0.05</v>
      </c>
      <c r="AR35" s="1185">
        <v>1.95</v>
      </c>
      <c r="AS35" s="1186">
        <v>1.42</v>
      </c>
      <c r="AT35" s="1187">
        <v>0.7</v>
      </c>
      <c r="AU35" s="1186">
        <v>0.33</v>
      </c>
      <c r="AV35" s="1187">
        <v>0.31</v>
      </c>
      <c r="AW35" s="1186">
        <v>0.33</v>
      </c>
      <c r="AX35" s="1187">
        <v>0.78</v>
      </c>
      <c r="AY35" s="1188">
        <v>1.51</v>
      </c>
      <c r="BA35" s="1202">
        <v>0.05</v>
      </c>
      <c r="BB35" s="1185">
        <v>1.84</v>
      </c>
      <c r="BC35" s="1186">
        <v>1.35</v>
      </c>
      <c r="BD35" s="1187">
        <v>0.73</v>
      </c>
      <c r="BE35" s="1186">
        <v>0.38</v>
      </c>
      <c r="BF35" s="1187">
        <v>0.36</v>
      </c>
      <c r="BG35" s="1186">
        <v>0.38</v>
      </c>
      <c r="BH35" s="1187">
        <v>0.81</v>
      </c>
      <c r="BI35" s="1188">
        <v>1.45</v>
      </c>
      <c r="BK35" s="1202">
        <v>0.05</v>
      </c>
      <c r="BL35" s="1185">
        <v>2.0099999999999998</v>
      </c>
      <c r="BM35" s="1186">
        <v>1.56</v>
      </c>
      <c r="BN35" s="1187">
        <v>0.77</v>
      </c>
      <c r="BO35" s="1186">
        <v>0.32</v>
      </c>
      <c r="BP35" s="1187">
        <v>0.28999999999999998</v>
      </c>
      <c r="BQ35" s="1186">
        <v>0.32</v>
      </c>
      <c r="BR35" s="1187">
        <v>0.69</v>
      </c>
      <c r="BS35" s="1188">
        <v>1.44</v>
      </c>
      <c r="BU35" s="1202">
        <v>0.05</v>
      </c>
      <c r="BV35" s="1185">
        <v>1.87</v>
      </c>
      <c r="BW35" s="1186">
        <v>1.41</v>
      </c>
      <c r="BX35" s="1187">
        <v>0.73</v>
      </c>
      <c r="BY35" s="1186">
        <v>0.39</v>
      </c>
      <c r="BZ35" s="1187">
        <v>0.38</v>
      </c>
      <c r="CA35" s="1186">
        <v>0.39</v>
      </c>
      <c r="CB35" s="1187">
        <v>0.73</v>
      </c>
      <c r="CC35" s="1188">
        <v>1.39</v>
      </c>
    </row>
    <row r="36" spans="3:81" x14ac:dyDescent="0.25">
      <c r="C36" s="1202">
        <v>0.1</v>
      </c>
      <c r="D36" s="1185"/>
      <c r="E36" s="1186"/>
      <c r="F36" s="1187"/>
      <c r="G36" s="1186"/>
      <c r="H36" s="1187"/>
      <c r="I36" s="1186"/>
      <c r="J36" s="1187"/>
      <c r="K36" s="1188"/>
      <c r="M36" s="1202">
        <v>0.1</v>
      </c>
      <c r="N36" s="1185">
        <v>1.73</v>
      </c>
      <c r="O36" s="1186">
        <v>1.33</v>
      </c>
      <c r="P36" s="1187">
        <v>0.76</v>
      </c>
      <c r="Q36" s="1186">
        <v>0.32</v>
      </c>
      <c r="R36" s="1187">
        <v>0.28999999999999998</v>
      </c>
      <c r="S36" s="1186">
        <v>0.34</v>
      </c>
      <c r="T36" s="1187">
        <v>0.81</v>
      </c>
      <c r="U36" s="1188">
        <v>1.34</v>
      </c>
      <c r="W36" s="1202">
        <v>0.1</v>
      </c>
      <c r="X36" s="1185">
        <v>1.76</v>
      </c>
      <c r="Y36" s="1186">
        <v>1.37</v>
      </c>
      <c r="Z36" s="1187">
        <v>0.78</v>
      </c>
      <c r="AA36" s="1186">
        <v>0.27</v>
      </c>
      <c r="AB36" s="1187">
        <v>0.21</v>
      </c>
      <c r="AC36" s="1186">
        <v>0.28000000000000003</v>
      </c>
      <c r="AD36" s="1187">
        <v>0.87</v>
      </c>
      <c r="AE36" s="1188">
        <v>1.44</v>
      </c>
      <c r="AG36" s="1202">
        <v>0.1</v>
      </c>
      <c r="AH36" s="1185">
        <v>1.91</v>
      </c>
      <c r="AI36" s="1186">
        <v>1.4</v>
      </c>
      <c r="AJ36" s="1187">
        <v>0.74</v>
      </c>
      <c r="AK36" s="1186">
        <v>0.31</v>
      </c>
      <c r="AL36" s="1187">
        <v>0.28000000000000003</v>
      </c>
      <c r="AM36" s="1186">
        <v>0.31</v>
      </c>
      <c r="AN36" s="1187">
        <v>0.75</v>
      </c>
      <c r="AO36" s="1188">
        <v>1.42</v>
      </c>
      <c r="AQ36" s="1202">
        <v>0.1</v>
      </c>
      <c r="AR36" s="1185">
        <v>1.95</v>
      </c>
      <c r="AS36" s="1186">
        <v>1.36</v>
      </c>
      <c r="AT36" s="1187">
        <v>0.66</v>
      </c>
      <c r="AU36" s="1186">
        <v>0.31</v>
      </c>
      <c r="AV36" s="1187">
        <v>0.3</v>
      </c>
      <c r="AW36" s="1186">
        <v>0.32</v>
      </c>
      <c r="AX36" s="1187">
        <v>0.75</v>
      </c>
      <c r="AY36" s="1188">
        <v>1.47</v>
      </c>
      <c r="BA36" s="1202">
        <v>0.1</v>
      </c>
      <c r="BB36" s="1185">
        <v>1.82</v>
      </c>
      <c r="BC36" s="1186">
        <v>1.3</v>
      </c>
      <c r="BD36" s="1187">
        <v>0.7</v>
      </c>
      <c r="BE36" s="1186">
        <v>0.36</v>
      </c>
      <c r="BF36" s="1187">
        <v>0.34</v>
      </c>
      <c r="BG36" s="1186">
        <v>0.36</v>
      </c>
      <c r="BH36" s="1187">
        <v>0.76</v>
      </c>
      <c r="BI36" s="1188">
        <v>1.42</v>
      </c>
      <c r="BK36" s="1202">
        <v>0.1</v>
      </c>
      <c r="BL36" s="1185">
        <v>2.0099999999999998</v>
      </c>
      <c r="BM36" s="1186">
        <v>1.53</v>
      </c>
      <c r="BN36" s="1187">
        <v>0.73</v>
      </c>
      <c r="BO36" s="1186">
        <v>0.3</v>
      </c>
      <c r="BP36" s="1187">
        <v>0.28000000000000003</v>
      </c>
      <c r="BQ36" s="1186">
        <v>0.3</v>
      </c>
      <c r="BR36" s="1187">
        <v>0.66</v>
      </c>
      <c r="BS36" s="1188">
        <v>1.41</v>
      </c>
      <c r="BU36" s="1202">
        <v>0.1</v>
      </c>
      <c r="BV36" s="1185">
        <v>1.85</v>
      </c>
      <c r="BW36" s="1186">
        <v>1.36</v>
      </c>
      <c r="BX36" s="1187">
        <v>0.7</v>
      </c>
      <c r="BY36" s="1186">
        <v>0.37</v>
      </c>
      <c r="BZ36" s="1187">
        <v>0.35</v>
      </c>
      <c r="CA36" s="1186">
        <v>0.37</v>
      </c>
      <c r="CB36" s="1187">
        <v>0.7</v>
      </c>
      <c r="CC36" s="1188">
        <v>1.34</v>
      </c>
    </row>
    <row r="37" spans="3:81" x14ac:dyDescent="0.25">
      <c r="C37" s="1202">
        <v>0.2</v>
      </c>
      <c r="D37" s="1185"/>
      <c r="E37" s="1186"/>
      <c r="F37" s="1187"/>
      <c r="G37" s="1186"/>
      <c r="H37" s="1187"/>
      <c r="I37" s="1186"/>
      <c r="J37" s="1187"/>
      <c r="K37" s="1188"/>
      <c r="M37" s="1202">
        <v>0.2</v>
      </c>
      <c r="N37" s="1185">
        <v>1.51</v>
      </c>
      <c r="O37" s="1186">
        <v>1.18</v>
      </c>
      <c r="P37" s="1187">
        <v>0.68</v>
      </c>
      <c r="Q37" s="1186">
        <v>0.28999999999999998</v>
      </c>
      <c r="R37" s="1187">
        <v>0.27</v>
      </c>
      <c r="S37" s="1186">
        <v>0.3</v>
      </c>
      <c r="T37" s="1187">
        <v>0.73</v>
      </c>
      <c r="U37" s="1188">
        <v>1.2</v>
      </c>
      <c r="W37" s="1202">
        <v>0.2</v>
      </c>
      <c r="X37" s="1185">
        <v>1.57</v>
      </c>
      <c r="Y37" s="1186">
        <v>1.22</v>
      </c>
      <c r="Z37" s="1187">
        <v>0.7</v>
      </c>
      <c r="AA37" s="1186">
        <v>0.24</v>
      </c>
      <c r="AB37" s="1187">
        <v>0.2</v>
      </c>
      <c r="AC37" s="1186">
        <v>0.25</v>
      </c>
      <c r="AD37" s="1187">
        <v>0.78</v>
      </c>
      <c r="AE37" s="1188">
        <v>1.3</v>
      </c>
      <c r="AG37" s="1202">
        <v>0.2</v>
      </c>
      <c r="AH37" s="1185">
        <v>1.62</v>
      </c>
      <c r="AI37" s="1186">
        <v>1.28</v>
      </c>
      <c r="AJ37" s="1187">
        <v>0.67</v>
      </c>
      <c r="AK37" s="1186">
        <v>0.28000000000000003</v>
      </c>
      <c r="AL37" s="1187">
        <v>0.25</v>
      </c>
      <c r="AM37" s="1186">
        <v>0.28000000000000003</v>
      </c>
      <c r="AN37" s="1187">
        <v>0.68</v>
      </c>
      <c r="AO37" s="1188">
        <v>1.28</v>
      </c>
      <c r="AQ37" s="1202">
        <v>0.2</v>
      </c>
      <c r="AR37" s="1185">
        <v>1.63</v>
      </c>
      <c r="AS37" s="1186">
        <v>1.21</v>
      </c>
      <c r="AT37" s="1187">
        <v>0.59</v>
      </c>
      <c r="AU37" s="1186">
        <v>0.28000000000000003</v>
      </c>
      <c r="AV37" s="1187">
        <v>0.27</v>
      </c>
      <c r="AW37" s="1186">
        <v>0.28000000000000003</v>
      </c>
      <c r="AX37" s="1187">
        <v>0.67</v>
      </c>
      <c r="AY37" s="1188">
        <v>1.32</v>
      </c>
      <c r="BA37" s="1202">
        <v>0.2</v>
      </c>
      <c r="BB37" s="1185">
        <v>1.56</v>
      </c>
      <c r="BC37" s="1186">
        <v>1.17</v>
      </c>
      <c r="BD37" s="1187">
        <v>0.62</v>
      </c>
      <c r="BE37" s="1186">
        <v>0.32</v>
      </c>
      <c r="BF37" s="1187">
        <v>0.3</v>
      </c>
      <c r="BG37" s="1186">
        <v>0.32</v>
      </c>
      <c r="BH37" s="1187">
        <v>0.7</v>
      </c>
      <c r="BI37" s="1188">
        <v>1.3</v>
      </c>
      <c r="BK37" s="1202">
        <v>0.2</v>
      </c>
      <c r="BL37" s="1185">
        <v>1.89</v>
      </c>
      <c r="BM37" s="1186">
        <v>1.43</v>
      </c>
      <c r="BN37" s="1187">
        <v>0.68</v>
      </c>
      <c r="BO37" s="1186">
        <v>0.27</v>
      </c>
      <c r="BP37" s="1187">
        <v>0.25</v>
      </c>
      <c r="BQ37" s="1186">
        <v>0.27</v>
      </c>
      <c r="BR37" s="1187">
        <v>0.6</v>
      </c>
      <c r="BS37" s="1188">
        <v>1.28</v>
      </c>
      <c r="BU37" s="1202">
        <v>0.2</v>
      </c>
      <c r="BV37" s="1185">
        <v>1.56</v>
      </c>
      <c r="BW37" s="1186">
        <v>1.22</v>
      </c>
      <c r="BX37" s="1187">
        <v>0.63</v>
      </c>
      <c r="BY37" s="1186">
        <v>0.33</v>
      </c>
      <c r="BZ37" s="1187">
        <v>0.32</v>
      </c>
      <c r="CA37" s="1186">
        <v>0.33</v>
      </c>
      <c r="CB37" s="1187">
        <v>0.63</v>
      </c>
      <c r="CC37" s="1188">
        <v>1.2</v>
      </c>
    </row>
    <row r="38" spans="3:81" x14ac:dyDescent="0.25">
      <c r="C38" s="1202">
        <v>0.4</v>
      </c>
      <c r="D38" s="1185"/>
      <c r="E38" s="1186"/>
      <c r="F38" s="1187"/>
      <c r="G38" s="1186"/>
      <c r="H38" s="1187"/>
      <c r="I38" s="1186"/>
      <c r="J38" s="1187"/>
      <c r="K38" s="1188"/>
      <c r="M38" s="1202">
        <v>0.4</v>
      </c>
      <c r="N38" s="1185">
        <v>1.25</v>
      </c>
      <c r="O38" s="1186">
        <v>0.95</v>
      </c>
      <c r="P38" s="1187">
        <v>0.54</v>
      </c>
      <c r="Q38" s="1186">
        <v>0.24</v>
      </c>
      <c r="R38" s="1187">
        <v>0.23</v>
      </c>
      <c r="S38" s="1186">
        <v>0.25</v>
      </c>
      <c r="T38" s="1187">
        <v>0.61</v>
      </c>
      <c r="U38" s="1188">
        <v>0.99</v>
      </c>
      <c r="W38" s="1202">
        <v>0.4</v>
      </c>
      <c r="X38" s="1185">
        <v>1.25</v>
      </c>
      <c r="Y38" s="1186">
        <v>1</v>
      </c>
      <c r="Z38" s="1187">
        <v>0.6</v>
      </c>
      <c r="AA38" s="1186">
        <v>0.2</v>
      </c>
      <c r="AB38" s="1187">
        <v>0.18</v>
      </c>
      <c r="AC38" s="1186">
        <v>0.21</v>
      </c>
      <c r="AD38" s="1187">
        <v>0.67</v>
      </c>
      <c r="AE38" s="1188">
        <v>1.08</v>
      </c>
      <c r="AG38" s="1202">
        <v>0.4</v>
      </c>
      <c r="AH38" s="1185">
        <v>1.48</v>
      </c>
      <c r="AI38" s="1186">
        <v>1.0900000000000001</v>
      </c>
      <c r="AJ38" s="1187">
        <v>0.56000000000000005</v>
      </c>
      <c r="AK38" s="1186">
        <v>0.24</v>
      </c>
      <c r="AL38" s="1187">
        <v>0.22</v>
      </c>
      <c r="AM38" s="1186">
        <v>0.24</v>
      </c>
      <c r="AN38" s="1187">
        <v>0.57999999999999996</v>
      </c>
      <c r="AO38" s="1188">
        <v>1.1000000000000001</v>
      </c>
      <c r="AQ38" s="1202">
        <v>0.4</v>
      </c>
      <c r="AR38" s="1185">
        <v>1.49</v>
      </c>
      <c r="AS38" s="1186">
        <v>1</v>
      </c>
      <c r="AT38" s="1187">
        <v>0.49</v>
      </c>
      <c r="AU38" s="1186">
        <v>0.24</v>
      </c>
      <c r="AV38" s="1187">
        <v>0.23</v>
      </c>
      <c r="AW38" s="1186">
        <v>0.24</v>
      </c>
      <c r="AX38" s="1187">
        <v>0.55000000000000004</v>
      </c>
      <c r="AY38" s="1188">
        <v>1.1000000000000001</v>
      </c>
      <c r="BA38" s="1202">
        <v>0.4</v>
      </c>
      <c r="BB38" s="1185">
        <v>1.43</v>
      </c>
      <c r="BC38" s="1186">
        <v>1.01</v>
      </c>
      <c r="BD38" s="1187">
        <v>0.53</v>
      </c>
      <c r="BE38" s="1186">
        <v>0.27</v>
      </c>
      <c r="BF38" s="1187">
        <v>0.26</v>
      </c>
      <c r="BG38" s="1186">
        <v>0.27</v>
      </c>
      <c r="BH38" s="1187">
        <v>0.6</v>
      </c>
      <c r="BI38" s="1188">
        <v>1.1000000000000001</v>
      </c>
      <c r="BK38" s="1202">
        <v>0.4</v>
      </c>
      <c r="BL38" s="1185">
        <v>1.62</v>
      </c>
      <c r="BM38" s="1186">
        <v>1.24</v>
      </c>
      <c r="BN38" s="1187">
        <v>0.57999999999999996</v>
      </c>
      <c r="BO38" s="1186">
        <v>0.23</v>
      </c>
      <c r="BP38" s="1187">
        <v>0.21</v>
      </c>
      <c r="BQ38" s="1186">
        <v>0.23</v>
      </c>
      <c r="BR38" s="1187">
        <v>0.5</v>
      </c>
      <c r="BS38" s="1188">
        <v>1.1299999999999999</v>
      </c>
      <c r="BU38" s="1202">
        <v>0.4</v>
      </c>
      <c r="BV38" s="1185">
        <v>1.41</v>
      </c>
      <c r="BW38" s="1186">
        <v>1.02</v>
      </c>
      <c r="BX38" s="1187">
        <v>0.51</v>
      </c>
      <c r="BY38" s="1186">
        <v>0.28000000000000003</v>
      </c>
      <c r="BZ38" s="1187">
        <v>0.27</v>
      </c>
      <c r="CA38" s="1186">
        <v>0.28000000000000003</v>
      </c>
      <c r="CB38" s="1187">
        <v>0.51</v>
      </c>
      <c r="CC38" s="1188">
        <v>0.99</v>
      </c>
    </row>
    <row r="39" spans="3:81" x14ac:dyDescent="0.25">
      <c r="C39" s="1202">
        <v>0.6</v>
      </c>
      <c r="D39" s="1185"/>
      <c r="E39" s="1186"/>
      <c r="F39" s="1187"/>
      <c r="G39" s="1186"/>
      <c r="H39" s="1187"/>
      <c r="I39" s="1186"/>
      <c r="J39" s="1187"/>
      <c r="K39" s="1188"/>
      <c r="M39" s="1202">
        <v>0.6</v>
      </c>
      <c r="N39" s="1185">
        <v>1.04</v>
      </c>
      <c r="O39" s="1186">
        <v>0.78</v>
      </c>
      <c r="P39" s="1187">
        <v>0.48</v>
      </c>
      <c r="Q39" s="1186">
        <v>0.21</v>
      </c>
      <c r="R39" s="1187">
        <v>0.2</v>
      </c>
      <c r="S39" s="1186">
        <v>0.22</v>
      </c>
      <c r="T39" s="1187">
        <v>0.51</v>
      </c>
      <c r="U39" s="1188">
        <v>0.83</v>
      </c>
      <c r="W39" s="1202">
        <v>0.6</v>
      </c>
      <c r="X39" s="1185">
        <v>0.94</v>
      </c>
      <c r="Y39" s="1186">
        <v>0.77</v>
      </c>
      <c r="Z39" s="1187">
        <v>0.48</v>
      </c>
      <c r="AA39" s="1186">
        <v>0.18</v>
      </c>
      <c r="AB39" s="1187">
        <v>0.17</v>
      </c>
      <c r="AC39" s="1186">
        <v>0.18</v>
      </c>
      <c r="AD39" s="1187">
        <v>0.54</v>
      </c>
      <c r="AE39" s="1188">
        <v>0.87</v>
      </c>
      <c r="AG39" s="1202">
        <v>0.6</v>
      </c>
      <c r="AH39" s="1185">
        <v>1.22</v>
      </c>
      <c r="AI39" s="1186">
        <v>0.9</v>
      </c>
      <c r="AJ39" s="1187">
        <v>0.49</v>
      </c>
      <c r="AK39" s="1186">
        <v>0.21</v>
      </c>
      <c r="AL39" s="1187">
        <v>0.19</v>
      </c>
      <c r="AM39" s="1186">
        <v>0.21</v>
      </c>
      <c r="AN39" s="1187">
        <v>0.49</v>
      </c>
      <c r="AO39" s="1188">
        <v>0.9</v>
      </c>
      <c r="AQ39" s="1202">
        <v>0.6</v>
      </c>
      <c r="AR39" s="1185">
        <v>1.21</v>
      </c>
      <c r="AS39" s="1186">
        <v>0.83</v>
      </c>
      <c r="AT39" s="1187">
        <v>0.4</v>
      </c>
      <c r="AU39" s="1186">
        <v>0.21</v>
      </c>
      <c r="AV39" s="1187">
        <v>0.21</v>
      </c>
      <c r="AW39" s="1186">
        <v>0.21</v>
      </c>
      <c r="AX39" s="1187">
        <v>0.47</v>
      </c>
      <c r="AY39" s="1188">
        <v>0.9</v>
      </c>
      <c r="BA39" s="1202">
        <v>0.6</v>
      </c>
      <c r="BB39" s="1185">
        <v>1.22</v>
      </c>
      <c r="BC39" s="1186">
        <v>0.86</v>
      </c>
      <c r="BD39" s="1187">
        <v>0.45</v>
      </c>
      <c r="BE39" s="1186">
        <v>0.23</v>
      </c>
      <c r="BF39" s="1187">
        <v>0.23</v>
      </c>
      <c r="BG39" s="1186">
        <v>0.23</v>
      </c>
      <c r="BH39" s="1187">
        <v>0.52</v>
      </c>
      <c r="BI39" s="1188">
        <v>0.95</v>
      </c>
      <c r="BK39" s="1202">
        <v>0.6</v>
      </c>
      <c r="BL39" s="1185">
        <v>1.49</v>
      </c>
      <c r="BM39" s="1186">
        <v>1.0900000000000001</v>
      </c>
      <c r="BN39" s="1187">
        <v>0.5</v>
      </c>
      <c r="BO39" s="1186">
        <v>0.2</v>
      </c>
      <c r="BP39" s="1187">
        <v>0.19</v>
      </c>
      <c r="BQ39" s="1186">
        <v>0.2</v>
      </c>
      <c r="BR39" s="1187">
        <v>0.44</v>
      </c>
      <c r="BS39" s="1188">
        <v>0.96</v>
      </c>
      <c r="BU39" s="1202">
        <v>0.6</v>
      </c>
      <c r="BV39" s="1185">
        <v>1.18</v>
      </c>
      <c r="BW39" s="1186">
        <v>0.83</v>
      </c>
      <c r="BX39" s="1187">
        <v>0.44</v>
      </c>
      <c r="BY39" s="1186">
        <v>0.24</v>
      </c>
      <c r="BZ39" s="1187">
        <v>0.24</v>
      </c>
      <c r="CA39" s="1186">
        <v>0.24</v>
      </c>
      <c r="CB39" s="1187">
        <v>0.44</v>
      </c>
      <c r="CC39" s="1188">
        <v>0.82</v>
      </c>
    </row>
    <row r="40" spans="3:81" x14ac:dyDescent="0.25">
      <c r="C40" s="1202">
        <v>0.8</v>
      </c>
      <c r="D40" s="1185"/>
      <c r="E40" s="1186"/>
      <c r="F40" s="1187"/>
      <c r="G40" s="1186"/>
      <c r="H40" s="1187"/>
      <c r="I40" s="1186"/>
      <c r="J40" s="1187"/>
      <c r="K40" s="1188"/>
      <c r="M40" s="1202">
        <v>0.8</v>
      </c>
      <c r="N40" s="1185">
        <v>0.78</v>
      </c>
      <c r="O40" s="1186">
        <v>0.62</v>
      </c>
      <c r="P40" s="1187">
        <v>0.39</v>
      </c>
      <c r="Q40" s="1186">
        <v>0.18</v>
      </c>
      <c r="R40" s="1187">
        <v>0.19</v>
      </c>
      <c r="S40" s="1186">
        <v>0.2</v>
      </c>
      <c r="T40" s="1187">
        <v>0.44</v>
      </c>
      <c r="U40" s="1188">
        <v>0.68</v>
      </c>
      <c r="W40" s="1202">
        <v>0.8</v>
      </c>
      <c r="X40" s="1185">
        <v>0.63</v>
      </c>
      <c r="Y40" s="1186">
        <v>0.61</v>
      </c>
      <c r="Z40" s="1187">
        <v>0.43</v>
      </c>
      <c r="AA40" s="1186">
        <v>0.16</v>
      </c>
      <c r="AB40" s="1187">
        <v>0.15</v>
      </c>
      <c r="AC40" s="1186">
        <v>0.17</v>
      </c>
      <c r="AD40" s="1187">
        <v>0.46</v>
      </c>
      <c r="AE40" s="1188">
        <v>0.7</v>
      </c>
      <c r="AG40" s="1202">
        <v>0.8</v>
      </c>
      <c r="AH40" s="1185">
        <v>1.06</v>
      </c>
      <c r="AI40" s="1186">
        <v>0.74</v>
      </c>
      <c r="AJ40" s="1187">
        <v>0.43</v>
      </c>
      <c r="AK40" s="1186">
        <v>0.19</v>
      </c>
      <c r="AL40" s="1187">
        <v>0.18</v>
      </c>
      <c r="AM40" s="1186">
        <v>0.19</v>
      </c>
      <c r="AN40" s="1187">
        <v>0.44</v>
      </c>
      <c r="AO40" s="1188">
        <v>0.75</v>
      </c>
      <c r="AQ40" s="1202">
        <v>0.8</v>
      </c>
      <c r="AR40" s="1185">
        <v>0.98</v>
      </c>
      <c r="AS40" s="1186">
        <v>0.68</v>
      </c>
      <c r="AT40" s="1187">
        <v>0.35</v>
      </c>
      <c r="AU40" s="1186">
        <v>0.19</v>
      </c>
      <c r="AV40" s="1187">
        <v>0.19</v>
      </c>
      <c r="AW40" s="1186">
        <v>0.19</v>
      </c>
      <c r="AX40" s="1187">
        <v>0.42</v>
      </c>
      <c r="AY40" s="1188">
        <v>0.73</v>
      </c>
      <c r="BA40" s="1202">
        <v>0.8</v>
      </c>
      <c r="BB40" s="1185">
        <v>1.08</v>
      </c>
      <c r="BC40" s="1186">
        <v>0.73</v>
      </c>
      <c r="BD40" s="1187">
        <v>0.38</v>
      </c>
      <c r="BE40" s="1186">
        <v>0.21</v>
      </c>
      <c r="BF40" s="1187">
        <v>0.21</v>
      </c>
      <c r="BG40" s="1186">
        <v>0.22</v>
      </c>
      <c r="BH40" s="1187">
        <v>0.46</v>
      </c>
      <c r="BI40" s="1188">
        <v>0.79</v>
      </c>
      <c r="BK40" s="1202">
        <v>0.8</v>
      </c>
      <c r="BL40" s="1185">
        <v>1.27</v>
      </c>
      <c r="BM40" s="1186">
        <v>0.94</v>
      </c>
      <c r="BN40" s="1187">
        <v>0.44</v>
      </c>
      <c r="BO40" s="1186">
        <v>0.18</v>
      </c>
      <c r="BP40" s="1187">
        <v>0.17</v>
      </c>
      <c r="BQ40" s="1186">
        <v>0.18</v>
      </c>
      <c r="BR40" s="1187">
        <v>0.39</v>
      </c>
      <c r="BS40" s="1188">
        <v>0.83</v>
      </c>
      <c r="BU40" s="1202">
        <v>0.8</v>
      </c>
      <c r="BV40" s="1185">
        <v>1</v>
      </c>
      <c r="BW40" s="1186">
        <v>0.68</v>
      </c>
      <c r="BX40" s="1187">
        <v>0.37</v>
      </c>
      <c r="BY40" s="1186">
        <v>0.21</v>
      </c>
      <c r="BZ40" s="1187">
        <v>0.22</v>
      </c>
      <c r="CA40" s="1186">
        <v>0.21</v>
      </c>
      <c r="CB40" s="1187">
        <v>0.36</v>
      </c>
      <c r="CC40" s="1188">
        <v>0.67</v>
      </c>
    </row>
    <row r="41" spans="3:81" ht="13" x14ac:dyDescent="0.3">
      <c r="C41" s="1203">
        <v>1</v>
      </c>
      <c r="D41" s="1191"/>
      <c r="E41" s="1192"/>
      <c r="F41" s="1193"/>
      <c r="G41" s="1192"/>
      <c r="H41" s="1193"/>
      <c r="I41" s="1192"/>
      <c r="J41" s="1193"/>
      <c r="K41" s="1194"/>
      <c r="M41" s="1203">
        <v>1</v>
      </c>
      <c r="N41" s="1191">
        <v>0.54</v>
      </c>
      <c r="O41" s="1192">
        <v>0.53</v>
      </c>
      <c r="P41" s="1193">
        <v>0.32</v>
      </c>
      <c r="Q41" s="1192">
        <v>0.17</v>
      </c>
      <c r="R41" s="1193">
        <v>0.18</v>
      </c>
      <c r="S41" s="1192">
        <v>0.17</v>
      </c>
      <c r="T41" s="1193">
        <v>0.37</v>
      </c>
      <c r="U41" s="1194">
        <v>0.56000000000000005</v>
      </c>
      <c r="W41" s="1203">
        <v>1</v>
      </c>
      <c r="X41" s="1191">
        <v>0.42</v>
      </c>
      <c r="Y41" s="1192">
        <v>0.52</v>
      </c>
      <c r="Z41" s="1193">
        <v>0.35</v>
      </c>
      <c r="AA41" s="1192">
        <v>0.14000000000000001</v>
      </c>
      <c r="AB41" s="1193">
        <v>0.14000000000000001</v>
      </c>
      <c r="AC41" s="1192">
        <v>0.16</v>
      </c>
      <c r="AD41" s="1193">
        <v>0.41</v>
      </c>
      <c r="AE41" s="1194">
        <v>0.56000000000000005</v>
      </c>
      <c r="AG41" s="1203">
        <v>1</v>
      </c>
      <c r="AH41" s="1191">
        <v>0.85</v>
      </c>
      <c r="AI41" s="1192">
        <v>0.66</v>
      </c>
      <c r="AJ41" s="1193">
        <v>0.37</v>
      </c>
      <c r="AK41" s="1192">
        <v>0.17</v>
      </c>
      <c r="AL41" s="1193">
        <v>0.16</v>
      </c>
      <c r="AM41" s="1192">
        <v>0.17</v>
      </c>
      <c r="AN41" s="1193">
        <v>0.37</v>
      </c>
      <c r="AO41" s="1194">
        <v>0.64</v>
      </c>
      <c r="AQ41" s="1203">
        <v>1</v>
      </c>
      <c r="AR41" s="1191">
        <v>0.8</v>
      </c>
      <c r="AS41" s="1192">
        <v>0.52</v>
      </c>
      <c r="AT41" s="1193">
        <v>0.28000000000000003</v>
      </c>
      <c r="AU41" s="1192">
        <v>0.17</v>
      </c>
      <c r="AV41" s="1193">
        <v>0.18</v>
      </c>
      <c r="AW41" s="1192">
        <v>0.17</v>
      </c>
      <c r="AX41" s="1193">
        <v>0.36</v>
      </c>
      <c r="AY41" s="1194">
        <v>0.63</v>
      </c>
      <c r="BA41" s="1203">
        <v>1</v>
      </c>
      <c r="BB41" s="1191">
        <v>0.86</v>
      </c>
      <c r="BC41" s="1192">
        <v>0.57999999999999996</v>
      </c>
      <c r="BD41" s="1193">
        <v>0.34</v>
      </c>
      <c r="BE41" s="1192">
        <v>0.19</v>
      </c>
      <c r="BF41" s="1193">
        <v>0.19</v>
      </c>
      <c r="BG41" s="1192">
        <v>0.19</v>
      </c>
      <c r="BH41" s="1193">
        <v>0.39</v>
      </c>
      <c r="BI41" s="1194">
        <v>0.69</v>
      </c>
      <c r="BK41" s="1203">
        <v>1</v>
      </c>
      <c r="BL41" s="1191">
        <v>1.1599999999999999</v>
      </c>
      <c r="BM41" s="1192">
        <v>0.83</v>
      </c>
      <c r="BN41" s="1193">
        <v>0.41</v>
      </c>
      <c r="BO41" s="1192">
        <v>0.16</v>
      </c>
      <c r="BP41" s="1193">
        <v>0.16</v>
      </c>
      <c r="BQ41" s="1192">
        <v>0.16</v>
      </c>
      <c r="BR41" s="1193">
        <v>0.34</v>
      </c>
      <c r="BS41" s="1194">
        <v>0.71</v>
      </c>
      <c r="BU41" s="1203">
        <v>1</v>
      </c>
      <c r="BV41" s="1191">
        <v>0.79</v>
      </c>
      <c r="BW41" s="1192">
        <v>0.59</v>
      </c>
      <c r="BX41" s="1193">
        <v>0.32</v>
      </c>
      <c r="BY41" s="1192">
        <v>0.2</v>
      </c>
      <c r="BZ41" s="1193">
        <v>0.2</v>
      </c>
      <c r="CA41" s="1192">
        <v>0.19</v>
      </c>
      <c r="CB41" s="1193">
        <v>0.3</v>
      </c>
      <c r="CC41" s="1194">
        <v>0.57999999999999996</v>
      </c>
    </row>
    <row r="42" spans="3:81" x14ac:dyDescent="0.25">
      <c r="C42" s="1202">
        <v>1.2</v>
      </c>
      <c r="D42" s="1185"/>
      <c r="E42" s="1186"/>
      <c r="F42" s="1187"/>
      <c r="G42" s="1186"/>
      <c r="H42" s="1187"/>
      <c r="I42" s="1186"/>
      <c r="J42" s="1187"/>
      <c r="K42" s="1188"/>
      <c r="M42" s="1202">
        <v>1.2</v>
      </c>
      <c r="N42" s="1185">
        <v>0.33</v>
      </c>
      <c r="O42" s="1186">
        <v>0.42</v>
      </c>
      <c r="P42" s="1187">
        <v>0.28000000000000003</v>
      </c>
      <c r="Q42" s="1186">
        <v>0.15</v>
      </c>
      <c r="R42" s="1187">
        <v>0.17</v>
      </c>
      <c r="S42" s="1186">
        <v>0.16</v>
      </c>
      <c r="T42" s="1187">
        <v>0.35</v>
      </c>
      <c r="U42" s="1188">
        <v>0.46</v>
      </c>
      <c r="W42" s="1202">
        <v>1.2</v>
      </c>
      <c r="X42" s="1185">
        <v>0.28999999999999998</v>
      </c>
      <c r="Y42" s="1186">
        <v>0.4</v>
      </c>
      <c r="Z42" s="1187">
        <v>0.31</v>
      </c>
      <c r="AA42" s="1186">
        <v>0.13</v>
      </c>
      <c r="AB42" s="1187">
        <v>0.14000000000000001</v>
      </c>
      <c r="AC42" s="1186">
        <v>0.14000000000000001</v>
      </c>
      <c r="AD42" s="1187">
        <v>0.34</v>
      </c>
      <c r="AE42" s="1188">
        <v>0.48</v>
      </c>
      <c r="AG42" s="1202">
        <v>1.2</v>
      </c>
      <c r="AH42" s="1185">
        <v>0.61</v>
      </c>
      <c r="AI42" s="1186">
        <v>0.51</v>
      </c>
      <c r="AJ42" s="1187">
        <v>0.33</v>
      </c>
      <c r="AK42" s="1186">
        <v>0.15</v>
      </c>
      <c r="AL42" s="1187">
        <v>0.16</v>
      </c>
      <c r="AM42" s="1186">
        <v>0.16</v>
      </c>
      <c r="AN42" s="1187">
        <v>0.34</v>
      </c>
      <c r="AO42" s="1188">
        <v>0.56000000000000005</v>
      </c>
      <c r="AQ42" s="1202">
        <v>1.2</v>
      </c>
      <c r="AR42" s="1185">
        <v>0.54</v>
      </c>
      <c r="AS42" s="1186">
        <v>0.46</v>
      </c>
      <c r="AT42" s="1187">
        <v>0.25</v>
      </c>
      <c r="AU42" s="1186">
        <v>0.16</v>
      </c>
      <c r="AV42" s="1187">
        <v>0.17</v>
      </c>
      <c r="AW42" s="1186">
        <v>0.16</v>
      </c>
      <c r="AX42" s="1187">
        <v>0.28999999999999998</v>
      </c>
      <c r="AY42" s="1188">
        <v>0.5</v>
      </c>
      <c r="BA42" s="1202">
        <v>1.2</v>
      </c>
      <c r="BB42" s="1185">
        <v>0.7</v>
      </c>
      <c r="BC42" s="1186">
        <v>0.54</v>
      </c>
      <c r="BD42" s="1187">
        <v>0.28999999999999998</v>
      </c>
      <c r="BE42" s="1186">
        <v>0.18</v>
      </c>
      <c r="BF42" s="1187">
        <v>0.17</v>
      </c>
      <c r="BG42" s="1186">
        <v>0.18</v>
      </c>
      <c r="BH42" s="1187">
        <v>0.36</v>
      </c>
      <c r="BI42" s="1188">
        <v>0.57999999999999996</v>
      </c>
      <c r="BK42" s="1202">
        <v>1.2</v>
      </c>
      <c r="BL42" s="1185">
        <v>0.91</v>
      </c>
      <c r="BM42" s="1186">
        <v>0.7</v>
      </c>
      <c r="BN42" s="1187">
        <v>0.34</v>
      </c>
      <c r="BO42" s="1186">
        <v>0.15</v>
      </c>
      <c r="BP42" s="1187">
        <v>0.15</v>
      </c>
      <c r="BQ42" s="1186">
        <v>0.15</v>
      </c>
      <c r="BR42" s="1187">
        <v>0.3</v>
      </c>
      <c r="BS42" s="1188">
        <v>0.63</v>
      </c>
      <c r="BU42" s="1202">
        <v>1.2</v>
      </c>
      <c r="BV42" s="1185">
        <v>0.54</v>
      </c>
      <c r="BW42" s="1186">
        <v>0.46</v>
      </c>
      <c r="BX42" s="1187">
        <v>0.28000000000000003</v>
      </c>
      <c r="BY42" s="1186">
        <v>0.18</v>
      </c>
      <c r="BZ42" s="1187">
        <v>0.19</v>
      </c>
      <c r="CA42" s="1186">
        <v>0.18</v>
      </c>
      <c r="CB42" s="1187">
        <v>0.27</v>
      </c>
      <c r="CC42" s="1188">
        <v>0.47</v>
      </c>
    </row>
    <row r="43" spans="3:81" x14ac:dyDescent="0.25">
      <c r="C43" s="1202">
        <v>1.4</v>
      </c>
      <c r="D43" s="1185"/>
      <c r="E43" s="1186"/>
      <c r="F43" s="1187"/>
      <c r="G43" s="1186"/>
      <c r="H43" s="1187"/>
      <c r="I43" s="1186"/>
      <c r="J43" s="1187"/>
      <c r="K43" s="1188"/>
      <c r="M43" s="1202">
        <v>1.4</v>
      </c>
      <c r="N43" s="1185">
        <v>0.28000000000000003</v>
      </c>
      <c r="O43" s="1186">
        <v>0.36</v>
      </c>
      <c r="P43" s="1187">
        <v>0.23</v>
      </c>
      <c r="Q43" s="1186">
        <v>0.14000000000000001</v>
      </c>
      <c r="R43" s="1187">
        <v>0.16</v>
      </c>
      <c r="S43" s="1186">
        <v>0.15</v>
      </c>
      <c r="T43" s="1187">
        <v>0.31</v>
      </c>
      <c r="U43" s="1188">
        <v>0.38</v>
      </c>
      <c r="W43" s="1202">
        <v>1.4</v>
      </c>
      <c r="X43" s="1185">
        <v>0.23</v>
      </c>
      <c r="Y43" s="1186">
        <v>0.36</v>
      </c>
      <c r="Z43" s="1187">
        <v>0.25</v>
      </c>
      <c r="AA43" s="1186">
        <v>0.12</v>
      </c>
      <c r="AB43" s="1187">
        <v>0.13</v>
      </c>
      <c r="AC43" s="1186">
        <v>0.13</v>
      </c>
      <c r="AD43" s="1187">
        <v>0.3</v>
      </c>
      <c r="AE43" s="1188">
        <v>0.41</v>
      </c>
      <c r="AG43" s="1202">
        <v>1.4</v>
      </c>
      <c r="AH43" s="1185">
        <v>0.47</v>
      </c>
      <c r="AI43" s="1186">
        <v>0.47</v>
      </c>
      <c r="AJ43" s="1187">
        <v>0.3</v>
      </c>
      <c r="AK43" s="1186">
        <v>0.14000000000000001</v>
      </c>
      <c r="AL43" s="1187">
        <v>0.15</v>
      </c>
      <c r="AM43" s="1186">
        <v>0.15</v>
      </c>
      <c r="AN43" s="1187">
        <v>0.3</v>
      </c>
      <c r="AO43" s="1188">
        <v>0.47</v>
      </c>
      <c r="AQ43" s="1202">
        <v>1.4</v>
      </c>
      <c r="AR43" s="1185">
        <v>0.4</v>
      </c>
      <c r="AS43" s="1186">
        <v>0.34</v>
      </c>
      <c r="AT43" s="1187">
        <v>0.21</v>
      </c>
      <c r="AU43" s="1186">
        <v>0.15</v>
      </c>
      <c r="AV43" s="1187">
        <v>0.16</v>
      </c>
      <c r="AW43" s="1186">
        <v>0.15</v>
      </c>
      <c r="AX43" s="1187">
        <v>0.28000000000000003</v>
      </c>
      <c r="AY43" s="1188">
        <v>0.43</v>
      </c>
      <c r="BA43" s="1202">
        <v>1.4</v>
      </c>
      <c r="BB43" s="1185">
        <v>0.53</v>
      </c>
      <c r="BC43" s="1186">
        <v>0.41</v>
      </c>
      <c r="BD43" s="1187">
        <v>0.26</v>
      </c>
      <c r="BE43" s="1186">
        <v>0.16</v>
      </c>
      <c r="BF43" s="1187">
        <v>0.17</v>
      </c>
      <c r="BG43" s="1186">
        <v>0.17</v>
      </c>
      <c r="BH43" s="1187">
        <v>0.32</v>
      </c>
      <c r="BI43" s="1188">
        <v>0.52</v>
      </c>
      <c r="BK43" s="1202">
        <v>1.4</v>
      </c>
      <c r="BL43" s="1185">
        <v>0.83</v>
      </c>
      <c r="BM43" s="1186">
        <v>0.68</v>
      </c>
      <c r="BN43" s="1187">
        <v>0.33</v>
      </c>
      <c r="BO43" s="1186">
        <v>0.14000000000000001</v>
      </c>
      <c r="BP43" s="1187">
        <v>0.14000000000000001</v>
      </c>
      <c r="BQ43" s="1186">
        <v>0.14000000000000001</v>
      </c>
      <c r="BR43" s="1187">
        <v>0.27</v>
      </c>
      <c r="BS43" s="1188">
        <v>0.48</v>
      </c>
      <c r="BU43" s="1202">
        <v>1.4</v>
      </c>
      <c r="BV43" s="1185">
        <v>0.44</v>
      </c>
      <c r="BW43" s="1186">
        <v>0.42</v>
      </c>
      <c r="BX43" s="1187">
        <v>0.25</v>
      </c>
      <c r="BY43" s="1186">
        <v>0.17</v>
      </c>
      <c r="BZ43" s="1187">
        <v>0.18</v>
      </c>
      <c r="CA43" s="1186">
        <v>0.17</v>
      </c>
      <c r="CB43" s="1187">
        <v>0.24</v>
      </c>
      <c r="CC43" s="1188">
        <v>0.38</v>
      </c>
    </row>
    <row r="44" spans="3:81" x14ac:dyDescent="0.25">
      <c r="C44" s="1202">
        <v>1.6</v>
      </c>
      <c r="D44" s="1185"/>
      <c r="E44" s="1186"/>
      <c r="F44" s="1187"/>
      <c r="G44" s="1186"/>
      <c r="H44" s="1187"/>
      <c r="I44" s="1186"/>
      <c r="J44" s="1187"/>
      <c r="K44" s="1188"/>
      <c r="M44" s="1202">
        <v>1.6</v>
      </c>
      <c r="N44" s="1185">
        <v>0.22</v>
      </c>
      <c r="O44" s="1186">
        <v>0.28999999999999998</v>
      </c>
      <c r="P44" s="1187">
        <v>0.22</v>
      </c>
      <c r="Q44" s="1186">
        <v>0.14000000000000001</v>
      </c>
      <c r="R44" s="1187">
        <v>0.15</v>
      </c>
      <c r="S44" s="1186">
        <v>0.14000000000000001</v>
      </c>
      <c r="T44" s="1187">
        <v>0.26</v>
      </c>
      <c r="U44" s="1188">
        <v>0.34</v>
      </c>
      <c r="W44" s="1202">
        <v>1.6</v>
      </c>
      <c r="X44" s="1185">
        <v>0.17</v>
      </c>
      <c r="Y44" s="1186">
        <v>0.31</v>
      </c>
      <c r="Z44" s="1187">
        <v>0.24</v>
      </c>
      <c r="AA44" s="1186">
        <v>0.11</v>
      </c>
      <c r="AB44" s="1187">
        <v>0.12</v>
      </c>
      <c r="AC44" s="1186">
        <v>0.12</v>
      </c>
      <c r="AD44" s="1187">
        <v>0.28999999999999998</v>
      </c>
      <c r="AE44" s="1188">
        <v>0.34</v>
      </c>
      <c r="AG44" s="1202">
        <v>1.6</v>
      </c>
      <c r="AH44" s="1185">
        <v>0.34</v>
      </c>
      <c r="AI44" s="1186">
        <v>0.41</v>
      </c>
      <c r="AJ44" s="1187">
        <v>0.28000000000000003</v>
      </c>
      <c r="AK44" s="1186">
        <v>0.14000000000000001</v>
      </c>
      <c r="AL44" s="1187">
        <v>0.14000000000000001</v>
      </c>
      <c r="AM44" s="1186">
        <v>0.14000000000000001</v>
      </c>
      <c r="AN44" s="1187">
        <v>0.26</v>
      </c>
      <c r="AO44" s="1188">
        <v>0.41</v>
      </c>
      <c r="AQ44" s="1202">
        <v>1.6</v>
      </c>
      <c r="AR44" s="1185">
        <v>0.28000000000000003</v>
      </c>
      <c r="AS44" s="1186">
        <v>0.3</v>
      </c>
      <c r="AT44" s="1187">
        <v>0.19</v>
      </c>
      <c r="AU44" s="1186">
        <v>0.14000000000000001</v>
      </c>
      <c r="AV44" s="1187">
        <v>0.14000000000000001</v>
      </c>
      <c r="AW44" s="1186">
        <v>0.13</v>
      </c>
      <c r="AX44" s="1187">
        <v>0.23</v>
      </c>
      <c r="AY44" s="1188">
        <v>0.36</v>
      </c>
      <c r="BA44" s="1202">
        <v>1.6</v>
      </c>
      <c r="BB44" s="1185">
        <v>0.44</v>
      </c>
      <c r="BC44" s="1186">
        <v>0.37</v>
      </c>
      <c r="BD44" s="1187">
        <v>0.22</v>
      </c>
      <c r="BE44" s="1186">
        <v>0.15</v>
      </c>
      <c r="BF44" s="1187">
        <v>0.16</v>
      </c>
      <c r="BG44" s="1186">
        <v>0.15</v>
      </c>
      <c r="BH44" s="1187">
        <v>0.28000000000000003</v>
      </c>
      <c r="BI44" s="1188">
        <v>0.44</v>
      </c>
      <c r="BK44" s="1202">
        <v>1.6</v>
      </c>
      <c r="BL44" s="1185">
        <v>0.64</v>
      </c>
      <c r="BM44" s="1186">
        <v>0.49</v>
      </c>
      <c r="BN44" s="1187">
        <v>0.3</v>
      </c>
      <c r="BO44" s="1186">
        <v>0.13</v>
      </c>
      <c r="BP44" s="1187">
        <v>0.13</v>
      </c>
      <c r="BQ44" s="1186">
        <v>0.12</v>
      </c>
      <c r="BR44" s="1187">
        <v>0.25</v>
      </c>
      <c r="BS44" s="1188">
        <v>0.45</v>
      </c>
      <c r="BU44" s="1202">
        <v>1.6</v>
      </c>
      <c r="BV44" s="1185">
        <v>0.31</v>
      </c>
      <c r="BW44" s="1186">
        <v>0.31</v>
      </c>
      <c r="BX44" s="1187">
        <v>0.21</v>
      </c>
      <c r="BY44" s="1186">
        <v>0.16</v>
      </c>
      <c r="BZ44" s="1187">
        <v>0.17</v>
      </c>
      <c r="CA44" s="1186">
        <v>0.15</v>
      </c>
      <c r="CB44" s="1187">
        <v>0.22</v>
      </c>
      <c r="CC44" s="1188">
        <v>0.32</v>
      </c>
    </row>
    <row r="45" spans="3:81" x14ac:dyDescent="0.25">
      <c r="C45" s="1202">
        <v>1.8</v>
      </c>
      <c r="D45" s="1185"/>
      <c r="E45" s="1186"/>
      <c r="F45" s="1187"/>
      <c r="G45" s="1186"/>
      <c r="H45" s="1187"/>
      <c r="I45" s="1186"/>
      <c r="J45" s="1187"/>
      <c r="K45" s="1188"/>
      <c r="M45" s="1202">
        <v>1.8</v>
      </c>
      <c r="N45" s="1185">
        <v>0.19</v>
      </c>
      <c r="O45" s="1186">
        <v>0.25</v>
      </c>
      <c r="P45" s="1187">
        <v>0.19</v>
      </c>
      <c r="Q45" s="1186">
        <v>0.13</v>
      </c>
      <c r="R45" s="1187">
        <v>0.14000000000000001</v>
      </c>
      <c r="S45" s="1186">
        <v>0.13</v>
      </c>
      <c r="T45" s="1187">
        <v>0.23</v>
      </c>
      <c r="U45" s="1188">
        <v>0.28000000000000003</v>
      </c>
      <c r="W45" s="1202">
        <v>1.8</v>
      </c>
      <c r="X45" s="1185">
        <v>0.15</v>
      </c>
      <c r="Y45" s="1186">
        <v>0.22</v>
      </c>
      <c r="Z45" s="1187">
        <v>0.19</v>
      </c>
      <c r="AA45" s="1186">
        <v>0.11</v>
      </c>
      <c r="AB45" s="1187">
        <v>0.12</v>
      </c>
      <c r="AC45" s="1186">
        <v>0.11</v>
      </c>
      <c r="AD45" s="1187">
        <v>0.24</v>
      </c>
      <c r="AE45" s="1188">
        <v>0.31</v>
      </c>
      <c r="AG45" s="1202">
        <v>1.8</v>
      </c>
      <c r="AH45" s="1185">
        <v>0.26</v>
      </c>
      <c r="AI45" s="1186">
        <v>0.35</v>
      </c>
      <c r="AJ45" s="1187">
        <v>0.25</v>
      </c>
      <c r="AK45" s="1186">
        <v>0.13</v>
      </c>
      <c r="AL45" s="1187">
        <v>0.14000000000000001</v>
      </c>
      <c r="AM45" s="1186">
        <v>0.13</v>
      </c>
      <c r="AN45" s="1187">
        <v>0.24</v>
      </c>
      <c r="AO45" s="1188">
        <v>0.35</v>
      </c>
      <c r="AQ45" s="1202">
        <v>1.8</v>
      </c>
      <c r="AR45" s="1185">
        <v>0.22</v>
      </c>
      <c r="AS45" s="1186">
        <v>0.25</v>
      </c>
      <c r="AT45" s="1187">
        <v>0.16</v>
      </c>
      <c r="AU45" s="1186">
        <v>0.13</v>
      </c>
      <c r="AV45" s="1187">
        <v>0.14000000000000001</v>
      </c>
      <c r="AW45" s="1186">
        <v>0.13</v>
      </c>
      <c r="AX45" s="1187">
        <v>0.2</v>
      </c>
      <c r="AY45" s="1188">
        <v>0.32</v>
      </c>
      <c r="BA45" s="1202">
        <v>1.8</v>
      </c>
      <c r="BB45" s="1185">
        <v>0.32</v>
      </c>
      <c r="BC45" s="1186">
        <v>0.3</v>
      </c>
      <c r="BD45" s="1187">
        <v>0.21</v>
      </c>
      <c r="BE45" s="1186">
        <v>0.14000000000000001</v>
      </c>
      <c r="BF45" s="1187">
        <v>0.15</v>
      </c>
      <c r="BG45" s="1186">
        <v>0.14000000000000001</v>
      </c>
      <c r="BH45" s="1187">
        <v>0.27</v>
      </c>
      <c r="BI45" s="1188">
        <v>0.4</v>
      </c>
      <c r="BK45" s="1202">
        <v>1.8</v>
      </c>
      <c r="BL45" s="1185">
        <v>0.52</v>
      </c>
      <c r="BM45" s="1186">
        <v>0.47</v>
      </c>
      <c r="BN45" s="1187">
        <v>0.24</v>
      </c>
      <c r="BO45" s="1186">
        <v>0.12</v>
      </c>
      <c r="BP45" s="1187">
        <v>0.13</v>
      </c>
      <c r="BQ45" s="1186">
        <v>0.12</v>
      </c>
      <c r="BR45" s="1187">
        <v>0.23</v>
      </c>
      <c r="BS45" s="1188">
        <v>0.39</v>
      </c>
      <c r="BU45" s="1202">
        <v>1.8</v>
      </c>
      <c r="BV45" s="1185">
        <v>0.23</v>
      </c>
      <c r="BW45" s="1186">
        <v>0.28000000000000003</v>
      </c>
      <c r="BX45" s="1187">
        <v>0.19</v>
      </c>
      <c r="BY45" s="1186">
        <v>0.14000000000000001</v>
      </c>
      <c r="BZ45" s="1187">
        <v>0.16</v>
      </c>
      <c r="CA45" s="1186">
        <v>0.14000000000000001</v>
      </c>
      <c r="CB45" s="1187">
        <v>0.19</v>
      </c>
      <c r="CC45" s="1188">
        <v>0.28999999999999998</v>
      </c>
    </row>
    <row r="46" spans="3:81" ht="13" x14ac:dyDescent="0.3">
      <c r="C46" s="1204">
        <v>2</v>
      </c>
      <c r="D46" s="1197"/>
      <c r="E46" s="1198"/>
      <c r="F46" s="1199"/>
      <c r="G46" s="1198"/>
      <c r="H46" s="1199"/>
      <c r="I46" s="1198"/>
      <c r="J46" s="1199"/>
      <c r="K46" s="1200"/>
      <c r="M46" s="1204">
        <v>2</v>
      </c>
      <c r="N46" s="1197">
        <v>0.15</v>
      </c>
      <c r="O46" s="1198">
        <v>0.19</v>
      </c>
      <c r="P46" s="1199">
        <v>0.17</v>
      </c>
      <c r="Q46" s="1198">
        <v>0.12</v>
      </c>
      <c r="R46" s="1199">
        <v>0.14000000000000001</v>
      </c>
      <c r="S46" s="1198">
        <v>0.13</v>
      </c>
      <c r="T46" s="1199">
        <v>0.22</v>
      </c>
      <c r="U46" s="1200">
        <v>0.27</v>
      </c>
      <c r="W46" s="1204">
        <v>2</v>
      </c>
      <c r="X46" s="1197">
        <v>0.13</v>
      </c>
      <c r="Y46" s="1198">
        <v>0.22</v>
      </c>
      <c r="Z46" s="1199">
        <v>0.18</v>
      </c>
      <c r="AA46" s="1198">
        <v>0.1</v>
      </c>
      <c r="AB46" s="1199">
        <v>0.12</v>
      </c>
      <c r="AC46" s="1198">
        <v>0.11</v>
      </c>
      <c r="AD46" s="1199">
        <v>0.22</v>
      </c>
      <c r="AE46" s="1200">
        <v>0.27</v>
      </c>
      <c r="AG46" s="1204">
        <v>2</v>
      </c>
      <c r="AH46" s="1197">
        <v>0.24</v>
      </c>
      <c r="AI46" s="1198">
        <v>0.32</v>
      </c>
      <c r="AJ46" s="1199">
        <v>0.22</v>
      </c>
      <c r="AK46" s="1198">
        <v>0.12</v>
      </c>
      <c r="AL46" s="1199">
        <v>0.13</v>
      </c>
      <c r="AM46" s="1198">
        <v>0.12</v>
      </c>
      <c r="AN46" s="1199">
        <v>0.22</v>
      </c>
      <c r="AO46" s="1200">
        <v>0.28999999999999998</v>
      </c>
      <c r="AQ46" s="1204">
        <v>2</v>
      </c>
      <c r="AR46" s="1197">
        <v>0.18</v>
      </c>
      <c r="AS46" s="1198">
        <v>0.19</v>
      </c>
      <c r="AT46" s="1199">
        <v>0.15</v>
      </c>
      <c r="AU46" s="1198">
        <v>0.12</v>
      </c>
      <c r="AV46" s="1199">
        <v>0.14000000000000001</v>
      </c>
      <c r="AW46" s="1198">
        <v>0.12</v>
      </c>
      <c r="AX46" s="1199">
        <v>0.19</v>
      </c>
      <c r="AY46" s="1200">
        <v>0.24</v>
      </c>
      <c r="BA46" s="1204">
        <v>2</v>
      </c>
      <c r="BB46" s="1197">
        <v>0.25</v>
      </c>
      <c r="BC46" s="1198">
        <v>0.27</v>
      </c>
      <c r="BD46" s="1199">
        <v>0.2</v>
      </c>
      <c r="BE46" s="1198">
        <v>0.13</v>
      </c>
      <c r="BF46" s="1199">
        <v>0.14000000000000001</v>
      </c>
      <c r="BG46" s="1198">
        <v>0.14000000000000001</v>
      </c>
      <c r="BH46" s="1199">
        <v>0.24</v>
      </c>
      <c r="BI46" s="1200">
        <v>0.32</v>
      </c>
      <c r="BK46" s="1204">
        <v>2</v>
      </c>
      <c r="BL46" s="1197">
        <v>0.39</v>
      </c>
      <c r="BM46" s="1198">
        <v>0.39</v>
      </c>
      <c r="BN46" s="1199">
        <v>0.24</v>
      </c>
      <c r="BO46" s="1198">
        <v>0.11</v>
      </c>
      <c r="BP46" s="1199">
        <v>0.12</v>
      </c>
      <c r="BQ46" s="1198">
        <v>0.12</v>
      </c>
      <c r="BR46" s="1199">
        <v>0.2</v>
      </c>
      <c r="BS46" s="1200">
        <v>0.33</v>
      </c>
      <c r="BU46" s="1204">
        <v>2</v>
      </c>
      <c r="BV46" s="1197">
        <v>0.19</v>
      </c>
      <c r="BW46" s="1198">
        <v>0.25</v>
      </c>
      <c r="BX46" s="1199">
        <v>0.16</v>
      </c>
      <c r="BY46" s="1198">
        <v>0.14000000000000001</v>
      </c>
      <c r="BZ46" s="1199">
        <v>0.15</v>
      </c>
      <c r="CA46" s="1198">
        <v>0.14000000000000001</v>
      </c>
      <c r="CB46" s="1199">
        <v>0.17</v>
      </c>
      <c r="CC46" s="1200">
        <v>0.23</v>
      </c>
    </row>
  </sheetData>
  <sheetProtection algorithmName="SHA-512" hashValue="mJQ9BWWmOqpenFe0WeafFlakiMUj0geUT0/2ImgB002T3InNtXZO5xYVtwpm4FgCtk5OUESzJrCu1pjoxJcYjg==" saltValue="GPgPp4zB3LuHg/Cv9v1Yjg==" spinCount="100000" sheet="1" objects="1" scenarios="1" autoFilter="0"/>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tabColor theme="9"/>
    <pageSetUpPr fitToPage="1"/>
  </sheetPr>
  <dimension ref="A1:XAZ422"/>
  <sheetViews>
    <sheetView showGridLines="0" zoomScale="70" zoomScaleNormal="70" zoomScalePageLayoutView="40" workbookViewId="0">
      <selection activeCell="C57" sqref="C57"/>
    </sheetView>
  </sheetViews>
  <sheetFormatPr defaultColWidth="0" defaultRowHeight="14" zeroHeight="1" x14ac:dyDescent="0.3"/>
  <cols>
    <col min="1" max="1" width="9" customWidth="1"/>
    <col min="2" max="2" width="10.75" customWidth="1"/>
    <col min="3" max="3" width="40.58203125" customWidth="1"/>
    <col min="4" max="4" width="47.08203125" customWidth="1"/>
    <col min="5" max="5" width="30.08203125" customWidth="1"/>
    <col min="6" max="6" width="30.25" customWidth="1"/>
    <col min="7" max="7" width="76.58203125" customWidth="1"/>
    <col min="8" max="8" width="31.08203125" customWidth="1"/>
    <col min="9" max="9" width="13.33203125" customWidth="1"/>
    <col min="10" max="16384" width="9" hidden="1"/>
  </cols>
  <sheetData>
    <row r="1" spans="1:22" x14ac:dyDescent="0.3">
      <c r="A1" s="1"/>
      <c r="B1" s="1"/>
      <c r="C1" s="1"/>
      <c r="D1" s="1"/>
      <c r="E1" s="1"/>
      <c r="F1" s="1"/>
      <c r="G1" s="1"/>
      <c r="H1" s="1"/>
      <c r="I1" s="1"/>
      <c r="J1" s="1"/>
      <c r="K1" s="1"/>
      <c r="L1" s="1"/>
      <c r="M1" s="1"/>
      <c r="N1" s="1"/>
      <c r="O1" s="1"/>
      <c r="P1" s="1"/>
      <c r="Q1" s="1"/>
      <c r="R1" s="1"/>
      <c r="S1" s="1"/>
      <c r="T1" s="1"/>
      <c r="U1" s="1"/>
      <c r="V1" s="1"/>
    </row>
    <row r="2" spans="1:22" x14ac:dyDescent="0.3">
      <c r="A2" s="1"/>
      <c r="B2" s="1"/>
      <c r="C2" s="1"/>
      <c r="D2" s="1"/>
      <c r="E2" s="1"/>
      <c r="F2" s="1"/>
      <c r="G2" s="1"/>
      <c r="H2" s="1"/>
      <c r="I2" s="1"/>
      <c r="J2" s="1"/>
      <c r="K2" s="1"/>
      <c r="L2" s="1"/>
      <c r="M2" s="1"/>
      <c r="N2" s="1"/>
      <c r="O2" s="1"/>
      <c r="P2" s="1"/>
      <c r="Q2" s="1"/>
      <c r="R2" s="1"/>
      <c r="S2" s="1"/>
      <c r="T2" s="1"/>
      <c r="U2" s="1"/>
      <c r="V2" s="1"/>
    </row>
    <row r="3" spans="1:22" x14ac:dyDescent="0.3">
      <c r="A3" s="1"/>
      <c r="B3" s="1"/>
      <c r="C3" s="1"/>
      <c r="D3" s="1"/>
      <c r="E3" s="1"/>
      <c r="F3" s="1"/>
      <c r="G3" s="1"/>
      <c r="H3" s="1"/>
      <c r="I3" s="1"/>
      <c r="J3" s="1"/>
      <c r="K3" s="1"/>
      <c r="L3" s="1"/>
      <c r="M3" s="1"/>
      <c r="N3" s="1"/>
      <c r="O3" s="1"/>
      <c r="P3" s="1"/>
      <c r="Q3" s="1"/>
      <c r="R3" s="1"/>
      <c r="S3" s="1"/>
      <c r="T3" s="1"/>
      <c r="U3" s="1"/>
      <c r="V3" s="1"/>
    </row>
    <row r="4" spans="1:22" x14ac:dyDescent="0.3">
      <c r="A4" s="1"/>
      <c r="B4" s="1"/>
      <c r="C4" s="1"/>
      <c r="D4" s="1"/>
      <c r="E4" s="1"/>
      <c r="F4" s="1"/>
      <c r="G4" s="1"/>
      <c r="H4" s="1"/>
      <c r="I4" s="1"/>
      <c r="J4" s="1"/>
      <c r="K4" s="1"/>
      <c r="L4" s="1"/>
      <c r="M4" s="1"/>
      <c r="N4" s="1"/>
      <c r="O4" s="1"/>
      <c r="P4" s="1"/>
      <c r="Q4" s="1"/>
      <c r="R4" s="1"/>
      <c r="S4" s="1"/>
      <c r="T4" s="1"/>
      <c r="U4" s="1"/>
      <c r="V4" s="1"/>
    </row>
    <row r="5" spans="1:22" x14ac:dyDescent="0.3">
      <c r="A5" s="1"/>
      <c r="B5" s="1"/>
      <c r="C5" s="1"/>
      <c r="D5" s="1"/>
      <c r="E5" s="1"/>
      <c r="F5" s="1"/>
      <c r="G5" s="1"/>
      <c r="H5" s="1"/>
      <c r="I5" s="1"/>
      <c r="J5" s="1"/>
      <c r="K5" s="1"/>
      <c r="L5" s="1"/>
      <c r="M5" s="1"/>
      <c r="N5" s="1"/>
      <c r="O5" s="1"/>
      <c r="P5" s="1"/>
      <c r="Q5" s="1"/>
      <c r="R5" s="1"/>
      <c r="S5" s="1"/>
      <c r="T5" s="1"/>
      <c r="U5" s="1"/>
      <c r="V5" s="1"/>
    </row>
    <row r="6" spans="1:22" x14ac:dyDescent="0.3">
      <c r="A6" s="1"/>
      <c r="B6" s="1"/>
      <c r="C6" s="1"/>
      <c r="D6" s="1"/>
      <c r="E6" s="1"/>
      <c r="F6" s="1"/>
      <c r="G6" s="1"/>
      <c r="H6" s="1"/>
      <c r="I6" s="1"/>
      <c r="J6" s="1"/>
      <c r="K6" s="1"/>
      <c r="L6" s="1"/>
      <c r="M6" s="1"/>
      <c r="N6" s="1"/>
      <c r="O6" s="1"/>
      <c r="P6" s="1"/>
      <c r="Q6" s="1"/>
      <c r="R6" s="1"/>
      <c r="S6" s="1"/>
      <c r="T6" s="1"/>
      <c r="U6" s="1"/>
      <c r="V6" s="1"/>
    </row>
    <row r="7" spans="1:22" x14ac:dyDescent="0.3"/>
    <row r="8" spans="1:22" s="22" customFormat="1" ht="18" x14ac:dyDescent="0.4">
      <c r="C8" s="730" t="s">
        <v>35</v>
      </c>
    </row>
    <row r="9" spans="1:22" s="22" customFormat="1" ht="9.75" customHeight="1" x14ac:dyDescent="0.3"/>
    <row r="10" spans="1:22" s="22" customFormat="1" ht="17.5" x14ac:dyDescent="0.3">
      <c r="C10" s="1248" t="s">
        <v>36</v>
      </c>
      <c r="D10" s="987"/>
      <c r="E10" s="1544" t="s">
        <v>37</v>
      </c>
      <c r="F10" s="1545"/>
    </row>
    <row r="11" spans="1:22" s="22" customFormat="1" ht="15.5" x14ac:dyDescent="0.35">
      <c r="C11" s="784" t="s">
        <v>4</v>
      </c>
      <c r="D11" s="784"/>
      <c r="E11" s="1546" t="str">
        <f>IF(ISBLANK(Home!H17),"",Home!H17)</f>
        <v/>
      </c>
      <c r="F11" s="1546"/>
    </row>
    <row r="12" spans="1:22" s="22" customFormat="1" ht="15.5" x14ac:dyDescent="0.35">
      <c r="C12" s="784" t="s">
        <v>5</v>
      </c>
      <c r="D12" s="784"/>
      <c r="E12" s="1546" t="str">
        <f>CONCATENATE(IF(ISBLANK(Home!H20),"",Home!H20), ", ",IF(ISBLANK(Home!H21),"",Home!H21),", ",IF(ISBLANK(Home!H22),"",Home!H22),", ",IF(ISBLANK(Home!H23),"",Home!H23))</f>
        <v xml:space="preserve">, , , </v>
      </c>
      <c r="F12" s="1546"/>
    </row>
    <row r="13" spans="1:22" s="22" customFormat="1" ht="15.5" x14ac:dyDescent="0.35">
      <c r="C13" s="862" t="s">
        <v>38</v>
      </c>
      <c r="D13" s="862"/>
      <c r="E13" s="1547" t="str">
        <f>IF(ISBLANK(Home!H25),"",Home!H25)</f>
        <v/>
      </c>
      <c r="F13" s="1547"/>
    </row>
    <row r="14" spans="1:22" s="22" customFormat="1" x14ac:dyDescent="0.3">
      <c r="E14" s="723"/>
      <c r="F14" s="723"/>
    </row>
    <row r="15" spans="1:22" s="22" customFormat="1" ht="18" x14ac:dyDescent="0.4">
      <c r="C15" s="730" t="s">
        <v>39</v>
      </c>
      <c r="D15" s="730"/>
      <c r="E15" s="730"/>
      <c r="F15" s="723"/>
    </row>
    <row r="16" spans="1:22" s="22" customFormat="1" x14ac:dyDescent="0.3">
      <c r="E16" s="723"/>
      <c r="F16" s="723"/>
    </row>
    <row r="17" spans="2:6" s="22" customFormat="1" ht="17.5" x14ac:dyDescent="0.3">
      <c r="C17" s="987" t="s">
        <v>40</v>
      </c>
      <c r="D17" s="1249"/>
      <c r="E17" s="1544" t="s">
        <v>37</v>
      </c>
      <c r="F17" s="1545"/>
    </row>
    <row r="18" spans="2:6" s="22" customFormat="1" ht="15.5" x14ac:dyDescent="0.35">
      <c r="C18" s="784" t="s">
        <v>40</v>
      </c>
      <c r="D18" s="784"/>
      <c r="E18" s="1546" t="str">
        <f>IF(ISBLANK(Home!H27),"",Home!H27)</f>
        <v/>
      </c>
      <c r="F18" s="1546"/>
    </row>
    <row r="19" spans="2:6" s="22" customFormat="1" ht="15.5" x14ac:dyDescent="0.35">
      <c r="C19" s="784" t="s">
        <v>41</v>
      </c>
      <c r="D19" s="784"/>
      <c r="E19" s="1546" t="str">
        <f>INDEX(Table8[Development Type],MATCH(D_List!$AA$14,Table8[Index],0))</f>
        <v>a Class 1 building</v>
      </c>
      <c r="F19" s="1546"/>
    </row>
    <row r="20" spans="2:6" s="22" customFormat="1" ht="15.5" x14ac:dyDescent="0.35">
      <c r="C20" s="862" t="s">
        <v>42</v>
      </c>
      <c r="D20" s="862"/>
      <c r="E20" s="1547" t="str">
        <f>IF(D_List!B29=TRUE,D_List!B28,"")</f>
        <v/>
      </c>
      <c r="F20" s="1547"/>
    </row>
    <row r="21" spans="2:6" s="22" customFormat="1" x14ac:dyDescent="0.3"/>
    <row r="22" spans="2:6" s="22" customFormat="1" ht="18" x14ac:dyDescent="0.4">
      <c r="C22" s="730" t="str">
        <f>UPPER("Part 13.2  Building Fabric")</f>
        <v>PART 13.2  BUILDING FABRIC</v>
      </c>
    </row>
    <row r="23" spans="2:6" s="22" customFormat="1" x14ac:dyDescent="0.3"/>
    <row r="24" spans="2:6" s="22" customFormat="1" ht="36.75" customHeight="1" x14ac:dyDescent="0.3">
      <c r="C24" s="1085" t="s">
        <v>43</v>
      </c>
      <c r="D24" s="1084"/>
      <c r="E24" s="1084"/>
    </row>
    <row r="25" spans="2:6" s="22" customFormat="1" x14ac:dyDescent="0.3"/>
    <row r="26" spans="2:6" s="22" customFormat="1" ht="18" x14ac:dyDescent="0.4">
      <c r="C26" s="783" t="s">
        <v>44</v>
      </c>
    </row>
    <row r="27" spans="2:6" s="22" customFormat="1" x14ac:dyDescent="0.3"/>
    <row r="28" spans="2:6" s="738" customFormat="1" ht="36.75" customHeight="1" x14ac:dyDescent="0.3">
      <c r="B28" s="994" t="s">
        <v>45</v>
      </c>
      <c r="C28" s="986" t="s">
        <v>46</v>
      </c>
      <c r="D28" s="986" t="s">
        <v>47</v>
      </c>
      <c r="E28" s="1127" t="s">
        <v>48</v>
      </c>
    </row>
    <row r="29" spans="2:6" s="22" customFormat="1" ht="31.5" customHeight="1" x14ac:dyDescent="0.3">
      <c r="B29" s="1250" t="str">
        <f>IF(Table2[[#This Row],[Roof Type]]="","","I")</f>
        <v/>
      </c>
      <c r="C29" s="1251" t="str">
        <f>IF(Table18[[#This Row],[Roof Type]]=0,"",Table18[[#This Row],[Roof Type]])</f>
        <v/>
      </c>
      <c r="D29" s="1251" t="str">
        <f>IF(Table18[[#This Row],[Minimum R-Value Required]]=0,"",Table18[[#This Row],[Minimum R-Value Required]])</f>
        <v/>
      </c>
      <c r="E29" s="1252"/>
    </row>
    <row r="30" spans="2:6" s="22" customFormat="1" ht="31.5" customHeight="1" x14ac:dyDescent="0.3">
      <c r="B30" s="1128" t="str">
        <f>IF(Table2[[#This Row],[Roof Type]]="","","I")</f>
        <v/>
      </c>
      <c r="C30" s="1253" t="str">
        <f>IF(Table18[[#This Row],[Roof Type]]=0,"",Table18[[#This Row],[Roof Type]])</f>
        <v/>
      </c>
      <c r="D30" s="1253" t="str">
        <f>IF(Table18[[#This Row],[Minimum R-Value Required]]=0,"",Table18[[#This Row],[Minimum R-Value Required]])</f>
        <v/>
      </c>
      <c r="E30" s="1254"/>
    </row>
    <row r="31" spans="2:6" s="22" customFormat="1" x14ac:dyDescent="0.3">
      <c r="C31"/>
      <c r="D31"/>
      <c r="E31"/>
    </row>
    <row r="32" spans="2:6" s="22" customFormat="1" ht="18" x14ac:dyDescent="0.4">
      <c r="C32" s="783" t="s">
        <v>49</v>
      </c>
      <c r="D32"/>
    </row>
    <row r="33" spans="2:6" s="22" customFormat="1" x14ac:dyDescent="0.3">
      <c r="C33"/>
      <c r="D33"/>
      <c r="E33"/>
    </row>
    <row r="34" spans="2:6" s="22" customFormat="1" ht="45" customHeight="1" x14ac:dyDescent="0.3">
      <c r="B34" s="994" t="s">
        <v>45</v>
      </c>
      <c r="C34" s="1255" t="s">
        <v>50</v>
      </c>
      <c r="D34" s="1099" t="s">
        <v>51</v>
      </c>
      <c r="E34" s="986" t="s">
        <v>52</v>
      </c>
      <c r="F34" s="1105" t="s">
        <v>53</v>
      </c>
    </row>
    <row r="35" spans="2:6" s="22" customFormat="1" ht="15.5" x14ac:dyDescent="0.3">
      <c r="B35" s="1256" t="str">
        <f>IF(Table3[[#This Row],[Room]]="","","I")</f>
        <v/>
      </c>
      <c r="C35" s="1251" t="str">
        <f>IF('13.2 Building Fabric'!L44=0,"",'13.2 Building Fabric'!L44)</f>
        <v/>
      </c>
      <c r="D35" s="1257" t="str">
        <f>IF('13.2 Building Fabric'!O44=0,"",'13.2 Building Fabric'!O44)</f>
        <v/>
      </c>
      <c r="E35" s="1251" t="str">
        <f>IF('13.2 Building Fabric'!Q44=0,"",'13.2 Building Fabric'!Q44)</f>
        <v/>
      </c>
      <c r="F35" s="1252" t="str">
        <f>IF('13.2 Building Fabric'!R44=0,"",'13.2 Building Fabric'!R44)</f>
        <v/>
      </c>
    </row>
    <row r="36" spans="2:6" s="22" customFormat="1" ht="15.5" x14ac:dyDescent="0.3">
      <c r="B36" s="1256" t="str">
        <f>IF(Table3[[#This Row],[Room]]="","","I")</f>
        <v/>
      </c>
      <c r="C36" s="1251" t="str">
        <f>IF('13.2 Building Fabric'!L45=0,"",'13.2 Building Fabric'!L45)</f>
        <v/>
      </c>
      <c r="D36" s="1257" t="str">
        <f>IF('13.2 Building Fabric'!O45=0,"",'13.2 Building Fabric'!O45)</f>
        <v/>
      </c>
      <c r="E36" s="1251" t="str">
        <f>IF('13.2 Building Fabric'!Q45=0,"",'13.2 Building Fabric'!Q45)</f>
        <v/>
      </c>
      <c r="F36" s="1252" t="str">
        <f>IF('13.2 Building Fabric'!R45=0,"",'13.2 Building Fabric'!R45)</f>
        <v/>
      </c>
    </row>
    <row r="37" spans="2:6" s="22" customFormat="1" ht="15.5" x14ac:dyDescent="0.3">
      <c r="B37" s="1256" t="str">
        <f>IF(Table3[[#This Row],[Room]]="","","I")</f>
        <v/>
      </c>
      <c r="C37" s="1251" t="str">
        <f>IF('13.2 Building Fabric'!L46=0,"",'13.2 Building Fabric'!L46)</f>
        <v/>
      </c>
      <c r="D37" s="1257" t="str">
        <f>IF('13.2 Building Fabric'!O46=0,"",'13.2 Building Fabric'!O46)</f>
        <v/>
      </c>
      <c r="E37" s="1251" t="str">
        <f>IF('13.2 Building Fabric'!Q46=0,"",'13.2 Building Fabric'!Q46)</f>
        <v/>
      </c>
      <c r="F37" s="1252" t="str">
        <f>IF('13.2 Building Fabric'!R46=0,"",'13.2 Building Fabric'!R46)</f>
        <v/>
      </c>
    </row>
    <row r="38" spans="2:6" s="22" customFormat="1" ht="15.5" x14ac:dyDescent="0.3">
      <c r="B38" s="1256" t="str">
        <f>IF(Table3[[#This Row],[Room]]="","","I")</f>
        <v/>
      </c>
      <c r="C38" s="1251" t="str">
        <f>IF('13.2 Building Fabric'!L47=0,"",'13.2 Building Fabric'!L47)</f>
        <v/>
      </c>
      <c r="D38" s="1257" t="str">
        <f>IF('13.2 Building Fabric'!O47=0,"",'13.2 Building Fabric'!O47)</f>
        <v/>
      </c>
      <c r="E38" s="1251" t="str">
        <f>IF('13.2 Building Fabric'!Q47=0,"",'13.2 Building Fabric'!Q47)</f>
        <v/>
      </c>
      <c r="F38" s="1252" t="str">
        <f>IF('13.2 Building Fabric'!R47=0,"",'13.2 Building Fabric'!R47)</f>
        <v/>
      </c>
    </row>
    <row r="39" spans="2:6" s="22" customFormat="1" ht="15.5" x14ac:dyDescent="0.3">
      <c r="B39" s="1256" t="str">
        <f>IF(Table3[[#This Row],[Room]]="","","I")</f>
        <v/>
      </c>
      <c r="C39" s="1251" t="str">
        <f>IF('13.2 Building Fabric'!L48=0,"",'13.2 Building Fabric'!L48)</f>
        <v/>
      </c>
      <c r="D39" s="1257" t="str">
        <f>IF('13.2 Building Fabric'!O48=0,"",'13.2 Building Fabric'!O48)</f>
        <v/>
      </c>
      <c r="E39" s="1251" t="str">
        <f>IF('13.2 Building Fabric'!Q48=0,"",'13.2 Building Fabric'!Q48)</f>
        <v/>
      </c>
      <c r="F39" s="1252" t="str">
        <f>IF('13.2 Building Fabric'!R48=0,"",'13.2 Building Fabric'!R48)</f>
        <v/>
      </c>
    </row>
    <row r="40" spans="2:6" s="22" customFormat="1" ht="15.5" x14ac:dyDescent="0.3">
      <c r="B40" s="1256" t="str">
        <f>IF(Table3[[#This Row],[Room]]="","","I")</f>
        <v/>
      </c>
      <c r="C40" s="1251" t="str">
        <f>IF('13.2 Building Fabric'!L49=0,"",'13.2 Building Fabric'!L49)</f>
        <v/>
      </c>
      <c r="D40" s="1257" t="str">
        <f>IF('13.2 Building Fabric'!O49=0,"",'13.2 Building Fabric'!O49)</f>
        <v/>
      </c>
      <c r="E40" s="1251" t="str">
        <f>IF('13.2 Building Fabric'!Q49=0,"",'13.2 Building Fabric'!Q49)</f>
        <v/>
      </c>
      <c r="F40" s="1252" t="str">
        <f>IF('13.2 Building Fabric'!R49=0,"",'13.2 Building Fabric'!R49)</f>
        <v/>
      </c>
    </row>
    <row r="41" spans="2:6" s="22" customFormat="1" ht="15.5" x14ac:dyDescent="0.3">
      <c r="B41" s="1256" t="str">
        <f>IF(Table3[[#This Row],[Room]]="","","I")</f>
        <v/>
      </c>
      <c r="C41" s="1251" t="str">
        <f>IF('13.2 Building Fabric'!L50=0,"",'13.2 Building Fabric'!L50)</f>
        <v/>
      </c>
      <c r="D41" s="1257" t="str">
        <f>IF('13.2 Building Fabric'!O50=0,"",'13.2 Building Fabric'!O50)</f>
        <v/>
      </c>
      <c r="E41" s="1251" t="str">
        <f>IF('13.2 Building Fabric'!Q50=0,"",'13.2 Building Fabric'!Q50)</f>
        <v/>
      </c>
      <c r="F41" s="1252" t="str">
        <f>IF('13.2 Building Fabric'!R50=0,"",'13.2 Building Fabric'!R50)</f>
        <v/>
      </c>
    </row>
    <row r="42" spans="2:6" s="22" customFormat="1" ht="15.5" x14ac:dyDescent="0.3">
      <c r="B42" s="1256" t="str">
        <f>IF(Table3[[#This Row],[Room]]="","","I")</f>
        <v/>
      </c>
      <c r="C42" s="1251" t="str">
        <f>IF('13.2 Building Fabric'!L51=0,"",'13.2 Building Fabric'!L51)</f>
        <v/>
      </c>
      <c r="D42" s="1257" t="str">
        <f>IF('13.2 Building Fabric'!O51=0,"",'13.2 Building Fabric'!O51)</f>
        <v/>
      </c>
      <c r="E42" s="1251" t="str">
        <f>IF('13.2 Building Fabric'!Q51=0,"",'13.2 Building Fabric'!Q51)</f>
        <v/>
      </c>
      <c r="F42" s="1252" t="str">
        <f>IF('13.2 Building Fabric'!R51=0,"",'13.2 Building Fabric'!R51)</f>
        <v/>
      </c>
    </row>
    <row r="43" spans="2:6" s="22" customFormat="1" ht="15.5" x14ac:dyDescent="0.3">
      <c r="B43" s="1256" t="str">
        <f>IF(Table3[[#This Row],[Room]]="","","I")</f>
        <v/>
      </c>
      <c r="C43" s="1251" t="str">
        <f>IF('13.2 Building Fabric'!L52=0,"",'13.2 Building Fabric'!L52)</f>
        <v/>
      </c>
      <c r="D43" s="1257" t="str">
        <f>IF('13.2 Building Fabric'!O52=0,"",'13.2 Building Fabric'!O52)</f>
        <v/>
      </c>
      <c r="E43" s="1251" t="str">
        <f>IF('13.2 Building Fabric'!Q52=0,"",'13.2 Building Fabric'!Q52)</f>
        <v/>
      </c>
      <c r="F43" s="1252" t="str">
        <f>IF('13.2 Building Fabric'!R52=0,"",'13.2 Building Fabric'!R52)</f>
        <v/>
      </c>
    </row>
    <row r="44" spans="2:6" s="22" customFormat="1" ht="15.5" x14ac:dyDescent="0.3">
      <c r="B44" s="1256" t="str">
        <f>IF(Table3[[#This Row],[Room]]="","","I")</f>
        <v/>
      </c>
      <c r="C44" s="1251" t="str">
        <f>IF('13.2 Building Fabric'!L53=0,"",'13.2 Building Fabric'!L53)</f>
        <v/>
      </c>
      <c r="D44" s="1100" t="str">
        <f>IF('13.2 Building Fabric'!O53=0,"",'13.2 Building Fabric'!O53)</f>
        <v/>
      </c>
      <c r="E44" s="1253" t="str">
        <f>IF('13.2 Building Fabric'!Q53=0,"",'13.2 Building Fabric'!Q53)</f>
        <v/>
      </c>
      <c r="F44" s="1254" t="str">
        <f>IF('13.2 Building Fabric'!R53=0,"",'13.2 Building Fabric'!R53)</f>
        <v/>
      </c>
    </row>
    <row r="45" spans="2:6" s="22" customFormat="1" x14ac:dyDescent="0.3"/>
    <row r="46" spans="2:6" s="22" customFormat="1" ht="18" x14ac:dyDescent="0.4">
      <c r="C46" s="783" t="s">
        <v>54</v>
      </c>
    </row>
    <row r="47" spans="2:6" s="22" customFormat="1" x14ac:dyDescent="0.3"/>
    <row r="48" spans="2:6" s="22" customFormat="1" ht="35" x14ac:dyDescent="0.3">
      <c r="B48" s="994" t="s">
        <v>45</v>
      </c>
      <c r="C48" s="986" t="s">
        <v>55</v>
      </c>
      <c r="D48" s="1105" t="s">
        <v>56</v>
      </c>
    </row>
    <row r="49" spans="2:4" s="22" customFormat="1" ht="15.5" x14ac:dyDescent="0.3">
      <c r="B49" s="1258" t="str">
        <f>IF(Table5[[#This Row],[Wall Type]]="","","I")</f>
        <v/>
      </c>
      <c r="C49" s="1251" t="str">
        <f>IF('13.2 Building Fabric'!L65=0,"",'13.2 Building Fabric'!L65)</f>
        <v/>
      </c>
      <c r="D49" s="1252" t="str">
        <f>IF('13.2 Building Fabric'!R65=0,"",'13.2 Building Fabric'!R65)</f>
        <v/>
      </c>
    </row>
    <row r="50" spans="2:4" s="22" customFormat="1" ht="15.5" x14ac:dyDescent="0.3">
      <c r="B50" s="1258" t="str">
        <f>IF(Table5[[#This Row],[Wall Type]]="","","I")</f>
        <v/>
      </c>
      <c r="C50" s="1251" t="str">
        <f>IF('13.2 Building Fabric'!L66=0,"",'13.2 Building Fabric'!L66)</f>
        <v/>
      </c>
      <c r="D50" s="1252" t="str">
        <f>IF('13.2 Building Fabric'!R66=0,"",'13.2 Building Fabric'!R66)</f>
        <v/>
      </c>
    </row>
    <row r="51" spans="2:4" s="22" customFormat="1" ht="15.5" x14ac:dyDescent="0.3">
      <c r="B51" s="1258" t="str">
        <f>IF(Table5[[#This Row],[Wall Type]]="","","I")</f>
        <v/>
      </c>
      <c r="C51" s="1251" t="str">
        <f>IF('13.2 Building Fabric'!L67=0,"",'13.2 Building Fabric'!L67)</f>
        <v/>
      </c>
      <c r="D51" s="1252" t="str">
        <f>IF('13.2 Building Fabric'!R67=0,"",'13.2 Building Fabric'!R67)</f>
        <v/>
      </c>
    </row>
    <row r="52" spans="2:4" s="22" customFormat="1" ht="15.5" x14ac:dyDescent="0.3">
      <c r="B52" s="988" t="str">
        <f>IF(Table5[[#This Row],[Wall Type]]="","","I")</f>
        <v/>
      </c>
      <c r="C52" s="1253" t="str">
        <f>IF('13.2 Building Fabric'!L68=0,"",'13.2 Building Fabric'!L68)</f>
        <v/>
      </c>
      <c r="D52" s="1254" t="str">
        <f>IF('13.2 Building Fabric'!R68=0,"",'13.2 Building Fabric'!R68)</f>
        <v/>
      </c>
    </row>
    <row r="53" spans="2:4" s="22" customFormat="1" x14ac:dyDescent="0.3"/>
    <row r="54" spans="2:4" s="22" customFormat="1" ht="18" x14ac:dyDescent="0.4">
      <c r="C54" s="783" t="s">
        <v>57</v>
      </c>
    </row>
    <row r="55" spans="2:4" s="22" customFormat="1" x14ac:dyDescent="0.3"/>
    <row r="56" spans="2:4" s="22" customFormat="1" ht="35" x14ac:dyDescent="0.3">
      <c r="B56" s="994" t="s">
        <v>45</v>
      </c>
      <c r="C56" s="986" t="s">
        <v>55</v>
      </c>
      <c r="D56" s="1105" t="s">
        <v>58</v>
      </c>
    </row>
    <row r="57" spans="2:4" s="22" customFormat="1" ht="45" customHeight="1" x14ac:dyDescent="0.3">
      <c r="B57" s="1259" t="str">
        <f>IF(Table58[[#This Row],[Wall Type]]="","","I")</f>
        <v/>
      </c>
      <c r="C57" s="1251" t="str">
        <f>CONCATENATE(IF('13.2 Building Fabric'!L83="","",'13.2 Building Fabric'!L83),
IF(OR('13.2 Building Fabric'!L83=D_List!$R$10,'13.2 Building Fabric'!L83=D_List!$R$11),IF('13.2 Building Fabric'!N83="",""," ("&amp;'13.2 Building Fabric'!N83)&amp;")",""))</f>
        <v/>
      </c>
      <c r="D57" s="1252" t="str">
        <f>IF('13.2 Building Fabric'!U83="","",'13.2 Building Fabric'!U83)&amp;IF('13.2 Building Fabric'!T83="","",", heat flow direction ("&amp;'13.2 Building Fabric'!T83&amp;")")</f>
        <v/>
      </c>
    </row>
    <row r="58" spans="2:4" s="22" customFormat="1" ht="45" customHeight="1" x14ac:dyDescent="0.3">
      <c r="B58" s="1259" t="str">
        <f>IF(Table58[[#This Row],[Wall Type]]="","","I")</f>
        <v/>
      </c>
      <c r="C58" s="1251" t="str">
        <f>CONCATENATE(IF('13.2 Building Fabric'!L84="","",'13.2 Building Fabric'!L84),
IF(OR('13.2 Building Fabric'!L84=D_List!$R$10,'13.2 Building Fabric'!L84=D_List!$R$11),IF('13.2 Building Fabric'!N84="",""," ("&amp;'13.2 Building Fabric'!N84)&amp;")",""))</f>
        <v/>
      </c>
      <c r="D58" s="1252" t="str">
        <f>IF('13.2 Building Fabric'!U84="","",'13.2 Building Fabric'!U84)&amp;IF('13.2 Building Fabric'!T84="","",", heat flow direction ("&amp;'13.2 Building Fabric'!T84&amp;")")</f>
        <v/>
      </c>
    </row>
    <row r="59" spans="2:4" s="22" customFormat="1" ht="45" customHeight="1" x14ac:dyDescent="0.3">
      <c r="B59" s="1259" t="str">
        <f>IF(Table58[[#This Row],[Wall Type]]="","","I")</f>
        <v/>
      </c>
      <c r="C59" s="1251" t="str">
        <f>CONCATENATE(IF('13.2 Building Fabric'!L85="","",'13.2 Building Fabric'!L85),
IF(OR('13.2 Building Fabric'!L85=D_List!$R$10,'13.2 Building Fabric'!L85=D_List!$R$11),IF('13.2 Building Fabric'!N85="",""," ("&amp;'13.2 Building Fabric'!N85)&amp;")",""))</f>
        <v/>
      </c>
      <c r="D59" s="1252" t="str">
        <f>IF('13.2 Building Fabric'!U85="","",'13.2 Building Fabric'!U85)&amp;IF('13.2 Building Fabric'!T85="","",", heat flow direction ("&amp;'13.2 Building Fabric'!T85&amp;")")</f>
        <v/>
      </c>
    </row>
    <row r="60" spans="2:4" s="22" customFormat="1" ht="45" customHeight="1" x14ac:dyDescent="0.3">
      <c r="B60" s="1259" t="str">
        <f>IF(Table58[[#This Row],[Wall Type]]="","","I")</f>
        <v/>
      </c>
      <c r="C60" s="1251" t="str">
        <f>CONCATENATE(IF('13.2 Building Fabric'!L86="","",'13.2 Building Fabric'!L86),
IF(OR('13.2 Building Fabric'!L86=D_List!$R$10,'13.2 Building Fabric'!L86=D_List!$R$11),IF('13.2 Building Fabric'!N86="",""," ("&amp;'13.2 Building Fabric'!N86)&amp;")",""))</f>
        <v/>
      </c>
      <c r="D60" s="1252" t="str">
        <f>IF('13.2 Building Fabric'!U86="","",'13.2 Building Fabric'!U86)&amp;IF('13.2 Building Fabric'!T86="","",", heat flow direction ("&amp;'13.2 Building Fabric'!T86&amp;")")</f>
        <v/>
      </c>
    </row>
    <row r="61" spans="2:4" s="22" customFormat="1" ht="45" customHeight="1" x14ac:dyDescent="0.3">
      <c r="B61" s="1259" t="str">
        <f>IF(Table58[[#This Row],[Wall Type]]="","","I")</f>
        <v/>
      </c>
      <c r="C61" s="1251" t="str">
        <f>CONCATENATE(IF('13.2 Building Fabric'!L87="","",'13.2 Building Fabric'!L87),
IF(OR('13.2 Building Fabric'!L87=D_List!$R$10,'13.2 Building Fabric'!L87=D_List!$R$11),IF('13.2 Building Fabric'!N87="",""," ("&amp;'13.2 Building Fabric'!N87)&amp;")",""))</f>
        <v/>
      </c>
      <c r="D61" s="1252" t="str">
        <f>IF('13.2 Building Fabric'!U87="","",'13.2 Building Fabric'!U87)&amp;IF('13.2 Building Fabric'!T87="","",", heat flow direction ("&amp;'13.2 Building Fabric'!T87&amp;")")</f>
        <v/>
      </c>
    </row>
    <row r="62" spans="2:4" s="22" customFormat="1" ht="45" customHeight="1" x14ac:dyDescent="0.3">
      <c r="B62" s="1259" t="str">
        <f>IF(Table58[[#This Row],[Wall Type]]="","","I")</f>
        <v/>
      </c>
      <c r="C62" s="1251" t="str">
        <f>CONCATENATE(IF('13.2 Building Fabric'!L88="","",'13.2 Building Fabric'!L88),
IF(OR('13.2 Building Fabric'!L88=D_List!$R$10,'13.2 Building Fabric'!L88=D_List!$R$11),IF('13.2 Building Fabric'!N88="",""," ("&amp;'13.2 Building Fabric'!N88)&amp;")",""))</f>
        <v/>
      </c>
      <c r="D62" s="1252" t="str">
        <f>IF('13.2 Building Fabric'!U88="","",'13.2 Building Fabric'!U88)&amp;IF('13.2 Building Fabric'!T88="","",", heat flow direction ("&amp;'13.2 Building Fabric'!T88&amp;")")</f>
        <v/>
      </c>
    </row>
    <row r="63" spans="2:4" s="22" customFormat="1" ht="45" hidden="1" customHeight="1" x14ac:dyDescent="0.3">
      <c r="B63" s="1259" t="str">
        <f>IF(Table58[[#This Row],[Wall Type]]="","","I")</f>
        <v/>
      </c>
      <c r="C63" s="1251" t="str">
        <f>CONCATENATE(IF('13.2 Building Fabric'!L89="","",'13.2 Building Fabric'!L89),
IF(OR('13.2 Building Fabric'!L89=D_List!$R$10,'13.2 Building Fabric'!L89=D_List!$R$11),IF('13.2 Building Fabric'!N89="",""," ("&amp;'13.2 Building Fabric'!N89)&amp;")",""))</f>
        <v/>
      </c>
      <c r="D63" s="1252" t="str">
        <f>IF('13.2 Building Fabric'!U89="","",'13.2 Building Fabric'!U89)&amp;IF('13.2 Building Fabric'!T89="","",", heat flow direction ("&amp;'13.2 Building Fabric'!T89&amp;")")</f>
        <v/>
      </c>
    </row>
    <row r="64" spans="2:4" s="22" customFormat="1" ht="45" hidden="1" customHeight="1" x14ac:dyDescent="0.3">
      <c r="B64" s="1259" t="str">
        <f>IF(Table58[[#This Row],[Wall Type]]="","","I")</f>
        <v/>
      </c>
      <c r="C64" s="1251" t="str">
        <f>CONCATENATE(IF('13.2 Building Fabric'!L90="","",'13.2 Building Fabric'!L90),
IF(OR('13.2 Building Fabric'!L90=D_List!$R$10,'13.2 Building Fabric'!L90=D_List!$R$11),IF('13.2 Building Fabric'!N90="",""," ("&amp;'13.2 Building Fabric'!N90)&amp;")",""))</f>
        <v/>
      </c>
      <c r="D64" s="1252" t="str">
        <f>IF('13.2 Building Fabric'!U90="","",'13.2 Building Fabric'!U90)&amp;IF('13.2 Building Fabric'!T90="","",", heat flow direction ("&amp;'13.2 Building Fabric'!T90&amp;")")</f>
        <v/>
      </c>
    </row>
    <row r="65" spans="2:8" s="22" customFormat="1" ht="45" hidden="1" customHeight="1" x14ac:dyDescent="0.3">
      <c r="B65" s="1259" t="str">
        <f>IF(Table58[[#This Row],[Wall Type]]="","","I")</f>
        <v/>
      </c>
      <c r="C65" s="1251" t="str">
        <f>CONCATENATE(IF('13.2 Building Fabric'!L91="","",'13.2 Building Fabric'!L91),
IF(OR('13.2 Building Fabric'!L91=D_List!$R$10,'13.2 Building Fabric'!L91=D_List!$R$11),IF('13.2 Building Fabric'!N91="",""," ("&amp;'13.2 Building Fabric'!N91)&amp;")",""))</f>
        <v/>
      </c>
      <c r="D65" s="1252" t="str">
        <f>IF('13.2 Building Fabric'!V91="","",'13.2 Building Fabric'!V91)&amp;IF('13.2 Building Fabric'!T91="","",", heat flow direction ("&amp;'13.2 Building Fabric'!T91&amp;")")</f>
        <v/>
      </c>
    </row>
    <row r="66" spans="2:8" s="22" customFormat="1" ht="45" hidden="1" customHeight="1" x14ac:dyDescent="0.3">
      <c r="B66" s="990" t="str">
        <f>IF(Table58[[#This Row],[Wall Type]]="","","I")</f>
        <v/>
      </c>
      <c r="C66" s="1253" t="str">
        <f>CONCATENATE(IF('13.2 Building Fabric'!L92="","",'13.2 Building Fabric'!L92),
IF(OR('13.2 Building Fabric'!L92=D_List!$R$10,'13.2 Building Fabric'!L92=D_List!$R$11),IF('13.2 Building Fabric'!N92="",""," ("&amp;'13.2 Building Fabric'!N92)&amp;")",""))</f>
        <v/>
      </c>
      <c r="D66" s="1254" t="str">
        <f>IF('13.2 Building Fabric'!V92="","",'13.2 Building Fabric'!V92)&amp;IF('13.2 Building Fabric'!T92="","",", heat flow direction ("&amp;'13.2 Building Fabric'!T92&amp;")")</f>
        <v/>
      </c>
    </row>
    <row r="67" spans="2:8" s="22" customFormat="1" x14ac:dyDescent="0.3"/>
    <row r="68" spans="2:8" s="22" customFormat="1" x14ac:dyDescent="0.3"/>
    <row r="69" spans="2:8" s="41" customFormat="1" ht="18" x14ac:dyDescent="0.4">
      <c r="C69" s="730" t="s">
        <v>59</v>
      </c>
      <c r="D69" s="824"/>
    </row>
    <row r="70" spans="2:8" s="41" customFormat="1" ht="18" x14ac:dyDescent="0.4">
      <c r="C70" s="730"/>
      <c r="D70" s="824"/>
    </row>
    <row r="71" spans="2:8" s="41" customFormat="1" ht="15.5" x14ac:dyDescent="0.35">
      <c r="C71" s="784" t="s">
        <v>60</v>
      </c>
      <c r="D71" s="863"/>
    </row>
    <row r="72" spans="2:8" s="22" customFormat="1" x14ac:dyDescent="0.3"/>
    <row r="73" spans="2:8" s="22" customFormat="1" ht="35" x14ac:dyDescent="0.3">
      <c r="B73" s="994" t="s">
        <v>45</v>
      </c>
      <c r="C73" s="989" t="s">
        <v>61</v>
      </c>
      <c r="D73" s="986" t="s">
        <v>62</v>
      </c>
      <c r="E73" s="989" t="s">
        <v>63</v>
      </c>
      <c r="F73" s="989" t="s">
        <v>64</v>
      </c>
      <c r="G73" s="989" t="s">
        <v>65</v>
      </c>
      <c r="H73" s="1129" t="s">
        <v>66</v>
      </c>
    </row>
    <row r="74" spans="2:8" s="22" customFormat="1" ht="15.5" x14ac:dyDescent="0.35">
      <c r="B74" s="1260" t="str">
        <f>IF(OR(Table10[[#This Row],[Window/glazed door no.]]&lt;&gt;"",Table10[[#This Row],[Facing sector]]&lt;&gt;"",Table10[[#This Row],[Height
(m)]]&lt;&gt;"",Table10[[#This Row],[Width
(m)]]&lt;&gt;""),"I","")</f>
        <v/>
      </c>
      <c r="C74" s="1261" t="str">
        <f>IF('13.3 External Glazing'!D20="","",'13.3 External Glazing'!D20)</f>
        <v/>
      </c>
      <c r="D74" s="1262" t="str">
        <f>IF('13.3 External Glazing'!F20="","",'13.3 External Glazing'!F20)</f>
        <v/>
      </c>
      <c r="E74" s="1262" t="str">
        <f>IF('13.3 External Glazing'!G20="","",'13.3 External Glazing'!G20)</f>
        <v/>
      </c>
      <c r="F74" s="1262" t="str">
        <f>IF('13.3 External Glazing'!H20="","",'13.3 External Glazing'!H20)</f>
        <v/>
      </c>
      <c r="G74" s="1262" t="str">
        <f>CONCATENATE(IF('13.3 External Glazing'!O20="","","Total system U-Value of "&amp;'13.3 External Glazing'!O20&amp;", "),
IF('13.3 External Glazing'!P20="","","Total system SHGC of "&amp;'13.3 External Glazing'!P20))</f>
        <v/>
      </c>
      <c r="H74" s="1263" t="str">
        <f>CONCATENATE(IF('13.3 External Glazing'!Q20="","","P:"&amp;'13.3 External Glazing'!Q20&amp;", "),
IF('13.3 External Glazing'!P20="","","H:"&amp;'13.3 External Glazing'!P20))</f>
        <v/>
      </c>
    </row>
    <row r="75" spans="2:8" s="22" customFormat="1" ht="15.5" x14ac:dyDescent="0.35">
      <c r="B75" s="1260" t="str">
        <f>IF(OR(Table10[[#This Row],[Window/glazed door no.]]&lt;&gt;"",Table10[[#This Row],[Facing sector]]&lt;&gt;"",Table10[[#This Row],[Height
(m)]]&lt;&gt;"",Table10[[#This Row],[Width
(m)]]&lt;&gt;""),"I","")</f>
        <v/>
      </c>
      <c r="C75" s="1261" t="str">
        <f>IF('13.3 External Glazing'!D21="","",'13.3 External Glazing'!D21)</f>
        <v/>
      </c>
      <c r="D75" s="1262" t="str">
        <f>IF('13.3 External Glazing'!F21="","",'13.3 External Glazing'!F21)</f>
        <v/>
      </c>
      <c r="E75" s="1262" t="str">
        <f>IF('13.3 External Glazing'!G21="","",'13.3 External Glazing'!G21)</f>
        <v/>
      </c>
      <c r="F75" s="1262" t="str">
        <f>IF('13.3 External Glazing'!H21="","",'13.3 External Glazing'!H21)</f>
        <v/>
      </c>
      <c r="G75" s="1262" t="str">
        <f>CONCATENATE(IF('13.3 External Glazing'!O21="","","Total system U-Value of "&amp;'13.3 External Glazing'!O21&amp;", "),
IF('13.3 External Glazing'!P21="","","Total system SHGC of "&amp;'13.3 External Glazing'!P21))</f>
        <v/>
      </c>
      <c r="H75" s="1263" t="str">
        <f>CONCATENATE(IF('13.3 External Glazing'!Q21="","","P:"&amp;'13.3 External Glazing'!Q21&amp;", "),
IF('13.3 External Glazing'!P21="","","H:"&amp;'13.3 External Glazing'!P21))</f>
        <v/>
      </c>
    </row>
    <row r="76" spans="2:8" s="22" customFormat="1" ht="15.5" x14ac:dyDescent="0.35">
      <c r="B76" s="1260" t="str">
        <f>IF(OR(Table10[[#This Row],[Window/glazed door no.]]&lt;&gt;"",Table10[[#This Row],[Facing sector]]&lt;&gt;"",Table10[[#This Row],[Height
(m)]]&lt;&gt;"",Table10[[#This Row],[Width
(m)]]&lt;&gt;""),"I","")</f>
        <v/>
      </c>
      <c r="C76" s="1261" t="str">
        <f>IF('13.3 External Glazing'!D22="","",'13.3 External Glazing'!D22)</f>
        <v/>
      </c>
      <c r="D76" s="1262" t="str">
        <f>IF('13.3 External Glazing'!F22="","",'13.3 External Glazing'!F22)</f>
        <v/>
      </c>
      <c r="E76" s="1262" t="str">
        <f>IF('13.3 External Glazing'!G22="","",'13.3 External Glazing'!G22)</f>
        <v/>
      </c>
      <c r="F76" s="1262" t="str">
        <f>IF('13.3 External Glazing'!H22="","",'13.3 External Glazing'!H22)</f>
        <v/>
      </c>
      <c r="G76" s="1262" t="str">
        <f>CONCATENATE(IF('13.3 External Glazing'!O22="","","Total system U-Value of "&amp;'13.3 External Glazing'!O22&amp;", "),
IF('13.3 External Glazing'!P22="","","Total system SHGC of "&amp;'13.3 External Glazing'!P22))</f>
        <v/>
      </c>
      <c r="H76" s="1263" t="str">
        <f>CONCATENATE(IF('13.3 External Glazing'!Q22="","","P:"&amp;'13.3 External Glazing'!Q22&amp;", "),
IF('13.3 External Glazing'!P22="","","H:"&amp;'13.3 External Glazing'!P22))</f>
        <v/>
      </c>
    </row>
    <row r="77" spans="2:8" s="22" customFormat="1" ht="15.5" x14ac:dyDescent="0.35">
      <c r="B77" s="1260" t="str">
        <f>IF(OR(Table10[[#This Row],[Window/glazed door no.]]&lt;&gt;"",Table10[[#This Row],[Facing sector]]&lt;&gt;"",Table10[[#This Row],[Height
(m)]]&lt;&gt;"",Table10[[#This Row],[Width
(m)]]&lt;&gt;""),"I","")</f>
        <v/>
      </c>
      <c r="C77" s="1261" t="str">
        <f>IF('13.3 External Glazing'!D23="","",'13.3 External Glazing'!D23)</f>
        <v/>
      </c>
      <c r="D77" s="1262" t="str">
        <f>IF('13.3 External Glazing'!F23="","",'13.3 External Glazing'!F23)</f>
        <v/>
      </c>
      <c r="E77" s="1262" t="str">
        <f>IF('13.3 External Glazing'!G23="","",'13.3 External Glazing'!G23)</f>
        <v/>
      </c>
      <c r="F77" s="1262" t="str">
        <f>IF('13.3 External Glazing'!H23="","",'13.3 External Glazing'!H23)</f>
        <v/>
      </c>
      <c r="G77" s="1262" t="str">
        <f>CONCATENATE(IF('13.3 External Glazing'!O23="","","Total system U-Value of "&amp;'13.3 External Glazing'!O23&amp;", "),
IF('13.3 External Glazing'!P23="","","Total system SHGC of "&amp;'13.3 External Glazing'!P23))</f>
        <v/>
      </c>
      <c r="H77" s="1263" t="str">
        <f>CONCATENATE(IF('13.3 External Glazing'!Q23="","","P:"&amp;'13.3 External Glazing'!Q23&amp;", "),
IF('13.3 External Glazing'!P23="","","H:"&amp;'13.3 External Glazing'!P23))</f>
        <v/>
      </c>
    </row>
    <row r="78" spans="2:8" s="22" customFormat="1" ht="15.5" x14ac:dyDescent="0.35">
      <c r="B78" s="1260" t="str">
        <f>IF(OR(Table10[[#This Row],[Window/glazed door no.]]&lt;&gt;"",Table10[[#This Row],[Facing sector]]&lt;&gt;"",Table10[[#This Row],[Height
(m)]]&lt;&gt;"",Table10[[#This Row],[Width
(m)]]&lt;&gt;""),"I","")</f>
        <v/>
      </c>
      <c r="C78" s="1261" t="str">
        <f>IF('13.3 External Glazing'!D24="","",'13.3 External Glazing'!D24)</f>
        <v/>
      </c>
      <c r="D78" s="1262" t="str">
        <f>IF('13.3 External Glazing'!F24="","",'13.3 External Glazing'!F24)</f>
        <v/>
      </c>
      <c r="E78" s="1262" t="str">
        <f>IF('13.3 External Glazing'!G24="","",'13.3 External Glazing'!G24)</f>
        <v/>
      </c>
      <c r="F78" s="1262" t="str">
        <f>IF('13.3 External Glazing'!H24="","",'13.3 External Glazing'!H24)</f>
        <v/>
      </c>
      <c r="G78" s="1262" t="str">
        <f>CONCATENATE(IF('13.3 External Glazing'!O24="","","Total system U-Value of "&amp;'13.3 External Glazing'!O24&amp;", "),
IF('13.3 External Glazing'!P24="","","Total system SHGC of "&amp;'13.3 External Glazing'!P24))</f>
        <v/>
      </c>
      <c r="H78" s="1263" t="str">
        <f>CONCATENATE(IF('13.3 External Glazing'!Q24="","","P:"&amp;'13.3 External Glazing'!Q24&amp;", "),
IF('13.3 External Glazing'!P24="","","H:"&amp;'13.3 External Glazing'!P24))</f>
        <v/>
      </c>
    </row>
    <row r="79" spans="2:8" s="22" customFormat="1" ht="15.5" x14ac:dyDescent="0.35">
      <c r="B79" s="1260" t="str">
        <f>IF(OR(Table10[[#This Row],[Window/glazed door no.]]&lt;&gt;"",Table10[[#This Row],[Facing sector]]&lt;&gt;"",Table10[[#This Row],[Height
(m)]]&lt;&gt;"",Table10[[#This Row],[Width
(m)]]&lt;&gt;""),"I","")</f>
        <v/>
      </c>
      <c r="C79" s="1261" t="str">
        <f>IF('13.3 External Glazing'!D25="","",'13.3 External Glazing'!D25)</f>
        <v/>
      </c>
      <c r="D79" s="1262" t="str">
        <f>IF('13.3 External Glazing'!F25="","",'13.3 External Glazing'!F25)</f>
        <v/>
      </c>
      <c r="E79" s="1262" t="str">
        <f>IF('13.3 External Glazing'!G25="","",'13.3 External Glazing'!G25)</f>
        <v/>
      </c>
      <c r="F79" s="1262" t="str">
        <f>IF('13.3 External Glazing'!H25="","",'13.3 External Glazing'!H25)</f>
        <v/>
      </c>
      <c r="G79" s="1262" t="str">
        <f>CONCATENATE(IF('13.3 External Glazing'!O25="","","Total system U-Value of "&amp;'13.3 External Glazing'!O25&amp;", "),
IF('13.3 External Glazing'!P25="","","Total system SHGC of "&amp;'13.3 External Glazing'!P25))</f>
        <v/>
      </c>
      <c r="H79" s="1263" t="str">
        <f>CONCATENATE(IF('13.3 External Glazing'!Q25="","","P:"&amp;'13.3 External Glazing'!Q25&amp;", "),
IF('13.3 External Glazing'!P25="","","H:"&amp;'13.3 External Glazing'!P25))</f>
        <v/>
      </c>
    </row>
    <row r="80" spans="2:8" s="22" customFormat="1" ht="15.5" x14ac:dyDescent="0.35">
      <c r="B80" s="1260" t="str">
        <f>IF(OR(Table10[[#This Row],[Window/glazed door no.]]&lt;&gt;"",Table10[[#This Row],[Facing sector]]&lt;&gt;"",Table10[[#This Row],[Height
(m)]]&lt;&gt;"",Table10[[#This Row],[Width
(m)]]&lt;&gt;""),"I","")</f>
        <v/>
      </c>
      <c r="C80" s="1261" t="str">
        <f>IF('13.3 External Glazing'!D26="","",'13.3 External Glazing'!D26)</f>
        <v/>
      </c>
      <c r="D80" s="1262" t="str">
        <f>IF('13.3 External Glazing'!F26="","",'13.3 External Glazing'!F26)</f>
        <v/>
      </c>
      <c r="E80" s="1262" t="str">
        <f>IF('13.3 External Glazing'!G26="","",'13.3 External Glazing'!G26)</f>
        <v/>
      </c>
      <c r="F80" s="1262" t="str">
        <f>IF('13.3 External Glazing'!H26="","",'13.3 External Glazing'!H26)</f>
        <v/>
      </c>
      <c r="G80" s="1262" t="str">
        <f>CONCATENATE(IF('13.3 External Glazing'!O26="","","Total system U-Value of "&amp;'13.3 External Glazing'!O26&amp;", "),
IF('13.3 External Glazing'!P26="","","Total system SHGC of "&amp;'13.3 External Glazing'!P26))</f>
        <v/>
      </c>
      <c r="H80" s="1263" t="str">
        <f>CONCATENATE(IF('13.3 External Glazing'!Q26="","","P:"&amp;'13.3 External Glazing'!Q26&amp;", "),
IF('13.3 External Glazing'!P26="","","H:"&amp;'13.3 External Glazing'!P26))</f>
        <v/>
      </c>
    </row>
    <row r="81" spans="2:8" s="22" customFormat="1" ht="15.5" x14ac:dyDescent="0.35">
      <c r="B81" s="1260" t="str">
        <f>IF(OR(Table10[[#This Row],[Window/glazed door no.]]&lt;&gt;"",Table10[[#This Row],[Facing sector]]&lt;&gt;"",Table10[[#This Row],[Height
(m)]]&lt;&gt;"",Table10[[#This Row],[Width
(m)]]&lt;&gt;""),"I","")</f>
        <v/>
      </c>
      <c r="C81" s="1261" t="str">
        <f>IF('13.3 External Glazing'!D27="","",'13.3 External Glazing'!D27)</f>
        <v/>
      </c>
      <c r="D81" s="1262" t="str">
        <f>IF('13.3 External Glazing'!F27="","",'13.3 External Glazing'!F27)</f>
        <v/>
      </c>
      <c r="E81" s="1262" t="str">
        <f>IF('13.3 External Glazing'!G27="","",'13.3 External Glazing'!G27)</f>
        <v/>
      </c>
      <c r="F81" s="1262" t="str">
        <f>IF('13.3 External Glazing'!H27="","",'13.3 External Glazing'!H27)</f>
        <v/>
      </c>
      <c r="G81" s="1262" t="str">
        <f>CONCATENATE(IF('13.3 External Glazing'!O27="","","Total system U-Value of "&amp;'13.3 External Glazing'!O27&amp;", "),
IF('13.3 External Glazing'!P27="","","Total system SHGC of "&amp;'13.3 External Glazing'!P27))</f>
        <v/>
      </c>
      <c r="H81" s="1263" t="str">
        <f>CONCATENATE(IF('13.3 External Glazing'!Q27="","","P:"&amp;'13.3 External Glazing'!Q27&amp;", "),
IF('13.3 External Glazing'!P27="","","H:"&amp;'13.3 External Glazing'!P27))</f>
        <v/>
      </c>
    </row>
    <row r="82" spans="2:8" s="22" customFormat="1" ht="15.5" x14ac:dyDescent="0.35">
      <c r="B82" s="1260" t="str">
        <f>IF(OR(Table10[[#This Row],[Window/glazed door no.]]&lt;&gt;"",Table10[[#This Row],[Facing sector]]&lt;&gt;"",Table10[[#This Row],[Height
(m)]]&lt;&gt;"",Table10[[#This Row],[Width
(m)]]&lt;&gt;""),"I","")</f>
        <v/>
      </c>
      <c r="C82" s="1261" t="str">
        <f>IF('13.3 External Glazing'!D28="","",'13.3 External Glazing'!D28)</f>
        <v/>
      </c>
      <c r="D82" s="1262" t="str">
        <f>IF('13.3 External Glazing'!F28="","",'13.3 External Glazing'!F28)</f>
        <v/>
      </c>
      <c r="E82" s="1262" t="str">
        <f>IF('13.3 External Glazing'!G28="","",'13.3 External Glazing'!G28)</f>
        <v/>
      </c>
      <c r="F82" s="1262" t="str">
        <f>IF('13.3 External Glazing'!H28="","",'13.3 External Glazing'!H28)</f>
        <v/>
      </c>
      <c r="G82" s="1262" t="str">
        <f>CONCATENATE(IF('13.3 External Glazing'!O28="","","Total system U-Value of "&amp;'13.3 External Glazing'!O28&amp;", "),
IF('13.3 External Glazing'!P28="","","Total system SHGC of "&amp;'13.3 External Glazing'!P28))</f>
        <v/>
      </c>
      <c r="H82" s="1263" t="str">
        <f>CONCATENATE(IF('13.3 External Glazing'!Q28="","","P:"&amp;'13.3 External Glazing'!Q28&amp;", "),
IF('13.3 External Glazing'!P28="","","H:"&amp;'13.3 External Glazing'!P28))</f>
        <v/>
      </c>
    </row>
    <row r="83" spans="2:8" s="22" customFormat="1" ht="15.5" x14ac:dyDescent="0.35">
      <c r="B83" s="1260" t="str">
        <f>IF(OR(Table10[[#This Row],[Window/glazed door no.]]&lt;&gt;"",Table10[[#This Row],[Facing sector]]&lt;&gt;"",Table10[[#This Row],[Height
(m)]]&lt;&gt;"",Table10[[#This Row],[Width
(m)]]&lt;&gt;""),"I","")</f>
        <v/>
      </c>
      <c r="C83" s="1261" t="str">
        <f>IF('13.3 External Glazing'!D29="","",'13.3 External Glazing'!D29)</f>
        <v/>
      </c>
      <c r="D83" s="1262" t="str">
        <f>IF('13.3 External Glazing'!F29="","",'13.3 External Glazing'!F29)</f>
        <v/>
      </c>
      <c r="E83" s="1262" t="str">
        <f>IF('13.3 External Glazing'!G29="","",'13.3 External Glazing'!G29)</f>
        <v/>
      </c>
      <c r="F83" s="1262" t="str">
        <f>IF('13.3 External Glazing'!H29="","",'13.3 External Glazing'!H29)</f>
        <v/>
      </c>
      <c r="G83" s="1262" t="str">
        <f>CONCATENATE(IF('13.3 External Glazing'!O29="","","Total system U-Value of "&amp;'13.3 External Glazing'!O29&amp;", "),
IF('13.3 External Glazing'!P29="","","Total system SHGC of "&amp;'13.3 External Glazing'!P29))</f>
        <v/>
      </c>
      <c r="H83" s="1263" t="str">
        <f>CONCATENATE(IF('13.3 External Glazing'!Q29="","","P:"&amp;'13.3 External Glazing'!Q29&amp;", "),
IF('13.3 External Glazing'!P29="","","H:"&amp;'13.3 External Glazing'!P29))</f>
        <v/>
      </c>
    </row>
    <row r="84" spans="2:8" s="22" customFormat="1" ht="15.5" x14ac:dyDescent="0.35">
      <c r="B84" s="1260" t="str">
        <f>IF(OR(Table10[[#This Row],[Window/glazed door no.]]&lt;&gt;"",Table10[[#This Row],[Facing sector]]&lt;&gt;"",Table10[[#This Row],[Height
(m)]]&lt;&gt;"",Table10[[#This Row],[Width
(m)]]&lt;&gt;""),"I","")</f>
        <v/>
      </c>
      <c r="C84" s="1261" t="str">
        <f>IF('13.3 External Glazing'!D30="","",'13.3 External Glazing'!D30)</f>
        <v/>
      </c>
      <c r="D84" s="1262" t="str">
        <f>IF('13.3 External Glazing'!F30="","",'13.3 External Glazing'!F30)</f>
        <v/>
      </c>
      <c r="E84" s="1262" t="str">
        <f>IF('13.3 External Glazing'!G30="","",'13.3 External Glazing'!G30)</f>
        <v/>
      </c>
      <c r="F84" s="1262" t="str">
        <f>IF('13.3 External Glazing'!H30="","",'13.3 External Glazing'!H30)</f>
        <v/>
      </c>
      <c r="G84" s="1262" t="str">
        <f>CONCATENATE(IF('13.3 External Glazing'!O30="","","Total system U-Value of "&amp;'13.3 External Glazing'!O30&amp;", "),
IF('13.3 External Glazing'!P30="","","Total system SHGC of "&amp;'13.3 External Glazing'!P30))</f>
        <v/>
      </c>
      <c r="H84" s="1263" t="str">
        <f>CONCATENATE(IF('13.3 External Glazing'!Q30="","","P:"&amp;'13.3 External Glazing'!Q30&amp;", "),
IF('13.3 External Glazing'!P30="","","H:"&amp;'13.3 External Glazing'!P30))</f>
        <v/>
      </c>
    </row>
    <row r="85" spans="2:8" s="22" customFormat="1" ht="15.5" x14ac:dyDescent="0.35">
      <c r="B85" s="1260" t="str">
        <f>IF(OR(Table10[[#This Row],[Window/glazed door no.]]&lt;&gt;"",Table10[[#This Row],[Facing sector]]&lt;&gt;"",Table10[[#This Row],[Height
(m)]]&lt;&gt;"",Table10[[#This Row],[Width
(m)]]&lt;&gt;""),"I","")</f>
        <v/>
      </c>
      <c r="C85" s="1261" t="str">
        <f>IF('13.3 External Glazing'!D31="","",'13.3 External Glazing'!D31)</f>
        <v/>
      </c>
      <c r="D85" s="1262" t="str">
        <f>IF('13.3 External Glazing'!F31="","",'13.3 External Glazing'!F31)</f>
        <v/>
      </c>
      <c r="E85" s="1262" t="str">
        <f>IF('13.3 External Glazing'!G31="","",'13.3 External Glazing'!G31)</f>
        <v/>
      </c>
      <c r="F85" s="1262" t="str">
        <f>IF('13.3 External Glazing'!H31="","",'13.3 External Glazing'!H31)</f>
        <v/>
      </c>
      <c r="G85" s="1262" t="str">
        <f>CONCATENATE(IF('13.3 External Glazing'!O31="","","Total system U-Value of "&amp;'13.3 External Glazing'!O31&amp;", "),
IF('13.3 External Glazing'!P31="","","Total system SHGC of "&amp;'13.3 External Glazing'!P31))</f>
        <v/>
      </c>
      <c r="H85" s="1263" t="str">
        <f>CONCATENATE(IF('13.3 External Glazing'!Q31="","","P:"&amp;'13.3 External Glazing'!Q31&amp;", "),
IF('13.3 External Glazing'!P31="","","H:"&amp;'13.3 External Glazing'!P31))</f>
        <v/>
      </c>
    </row>
    <row r="86" spans="2:8" s="22" customFormat="1" ht="15.5" x14ac:dyDescent="0.35">
      <c r="B86" s="1260" t="str">
        <f>IF(OR(Table10[[#This Row],[Window/glazed door no.]]&lt;&gt;"",Table10[[#This Row],[Facing sector]]&lt;&gt;"",Table10[[#This Row],[Height
(m)]]&lt;&gt;"",Table10[[#This Row],[Width
(m)]]&lt;&gt;""),"I","")</f>
        <v/>
      </c>
      <c r="C86" s="1261" t="str">
        <f>IF('13.3 External Glazing'!D32="","",'13.3 External Glazing'!D32)</f>
        <v/>
      </c>
      <c r="D86" s="1262" t="str">
        <f>IF('13.3 External Glazing'!F32="","",'13.3 External Glazing'!F32)</f>
        <v/>
      </c>
      <c r="E86" s="1262" t="str">
        <f>IF('13.3 External Glazing'!G32="","",'13.3 External Glazing'!G32)</f>
        <v/>
      </c>
      <c r="F86" s="1262" t="str">
        <f>IF('13.3 External Glazing'!H32="","",'13.3 External Glazing'!H32)</f>
        <v/>
      </c>
      <c r="G86" s="1262" t="str">
        <f>CONCATENATE(IF('13.3 External Glazing'!O32="","","Total system U-Value of "&amp;'13.3 External Glazing'!O32&amp;", "),
IF('13.3 External Glazing'!P32="","","Total system SHGC of "&amp;'13.3 External Glazing'!P32))</f>
        <v/>
      </c>
      <c r="H86" s="1263" t="str">
        <f>CONCATENATE(IF('13.3 External Glazing'!Q32="","","P:"&amp;'13.3 External Glazing'!Q32&amp;", "),
IF('13.3 External Glazing'!P32="","","H:"&amp;'13.3 External Glazing'!P32))</f>
        <v/>
      </c>
    </row>
    <row r="87" spans="2:8" s="22" customFormat="1" ht="15.5" x14ac:dyDescent="0.35">
      <c r="B87" s="1260" t="str">
        <f>IF(OR(Table10[[#This Row],[Window/glazed door no.]]&lt;&gt;"",Table10[[#This Row],[Facing sector]]&lt;&gt;"",Table10[[#This Row],[Height
(m)]]&lt;&gt;"",Table10[[#This Row],[Width
(m)]]&lt;&gt;""),"I","")</f>
        <v/>
      </c>
      <c r="C87" s="1261" t="str">
        <f>IF('13.3 External Glazing'!D33="","",'13.3 External Glazing'!D33)</f>
        <v/>
      </c>
      <c r="D87" s="1262" t="str">
        <f>IF('13.3 External Glazing'!F33="","",'13.3 External Glazing'!F33)</f>
        <v/>
      </c>
      <c r="E87" s="1262" t="str">
        <f>IF('13.3 External Glazing'!G33="","",'13.3 External Glazing'!G33)</f>
        <v/>
      </c>
      <c r="F87" s="1262" t="str">
        <f>IF('13.3 External Glazing'!H33="","",'13.3 External Glazing'!H33)</f>
        <v/>
      </c>
      <c r="G87" s="1262" t="str">
        <f>CONCATENATE(IF('13.3 External Glazing'!O33="","","Total system U-Value of "&amp;'13.3 External Glazing'!O33&amp;", "),
IF('13.3 External Glazing'!P33="","","Total system SHGC of "&amp;'13.3 External Glazing'!P33))</f>
        <v/>
      </c>
      <c r="H87" s="1263" t="str">
        <f>CONCATENATE(IF('13.3 External Glazing'!Q33="","","P:"&amp;'13.3 External Glazing'!Q33&amp;", "),
IF('13.3 External Glazing'!P33="","","H:"&amp;'13.3 External Glazing'!P33))</f>
        <v/>
      </c>
    </row>
    <row r="88" spans="2:8" s="22" customFormat="1" ht="15.5" x14ac:dyDescent="0.35">
      <c r="B88" s="1260" t="str">
        <f>IF(OR(Table10[[#This Row],[Window/glazed door no.]]&lt;&gt;"",Table10[[#This Row],[Facing sector]]&lt;&gt;"",Table10[[#This Row],[Height
(m)]]&lt;&gt;"",Table10[[#This Row],[Width
(m)]]&lt;&gt;""),"I","")</f>
        <v/>
      </c>
      <c r="C88" s="1261" t="str">
        <f>IF('13.3 External Glazing'!D34="","",'13.3 External Glazing'!D34)</f>
        <v/>
      </c>
      <c r="D88" s="1262" t="str">
        <f>IF('13.3 External Glazing'!F34="","",'13.3 External Glazing'!F34)</f>
        <v/>
      </c>
      <c r="E88" s="1262" t="str">
        <f>IF('13.3 External Glazing'!G34="","",'13.3 External Glazing'!G34)</f>
        <v/>
      </c>
      <c r="F88" s="1262" t="str">
        <f>IF('13.3 External Glazing'!H34="","",'13.3 External Glazing'!H34)</f>
        <v/>
      </c>
      <c r="G88" s="1262" t="str">
        <f>CONCATENATE(IF('13.3 External Glazing'!O34="","","Total system U-Value of "&amp;'13.3 External Glazing'!O34&amp;", "),
IF('13.3 External Glazing'!P34="","","Total system SHGC of "&amp;'13.3 External Glazing'!P34))</f>
        <v/>
      </c>
      <c r="H88" s="1263" t="str">
        <f>CONCATENATE(IF('13.3 External Glazing'!Q34="","","P:"&amp;'13.3 External Glazing'!Q34&amp;", "),
IF('13.3 External Glazing'!P34="","","H:"&amp;'13.3 External Glazing'!P34))</f>
        <v/>
      </c>
    </row>
    <row r="89" spans="2:8" s="22" customFormat="1" ht="15.5" x14ac:dyDescent="0.35">
      <c r="B89" s="1260" t="str">
        <f>IF(OR(Table10[[#This Row],[Window/glazed door no.]]&lt;&gt;"",Table10[[#This Row],[Facing sector]]&lt;&gt;"",Table10[[#This Row],[Height
(m)]]&lt;&gt;"",Table10[[#This Row],[Width
(m)]]&lt;&gt;""),"I","")</f>
        <v/>
      </c>
      <c r="C89" s="1261" t="str">
        <f>IF('13.3 External Glazing'!D35="","",'13.3 External Glazing'!D35)</f>
        <v/>
      </c>
      <c r="D89" s="1262" t="str">
        <f>IF('13.3 External Glazing'!F35="","",'13.3 External Glazing'!F35)</f>
        <v/>
      </c>
      <c r="E89" s="1262" t="str">
        <f>IF('13.3 External Glazing'!G35="","",'13.3 External Glazing'!G35)</f>
        <v/>
      </c>
      <c r="F89" s="1262" t="str">
        <f>IF('13.3 External Glazing'!H35="","",'13.3 External Glazing'!H35)</f>
        <v/>
      </c>
      <c r="G89" s="1262" t="str">
        <f>CONCATENATE(IF('13.3 External Glazing'!O35="","","Total system U-Value of "&amp;'13.3 External Glazing'!O35&amp;", "),
IF('13.3 External Glazing'!P35="","","Total system SHGC of "&amp;'13.3 External Glazing'!P35))</f>
        <v/>
      </c>
      <c r="H89" s="1263" t="str">
        <f>CONCATENATE(IF('13.3 External Glazing'!Q35="","","P:"&amp;'13.3 External Glazing'!Q35&amp;", "),
IF('13.3 External Glazing'!P35="","","H:"&amp;'13.3 External Glazing'!P35))</f>
        <v/>
      </c>
    </row>
    <row r="90" spans="2:8" s="22" customFormat="1" ht="15.5" x14ac:dyDescent="0.35">
      <c r="B90" s="1260" t="str">
        <f>IF(OR(Table10[[#This Row],[Window/glazed door no.]]&lt;&gt;"",Table10[[#This Row],[Facing sector]]&lt;&gt;"",Table10[[#This Row],[Height
(m)]]&lt;&gt;"",Table10[[#This Row],[Width
(m)]]&lt;&gt;""),"I","")</f>
        <v/>
      </c>
      <c r="C90" s="1261" t="str">
        <f>IF('13.3 External Glazing'!D36="","",'13.3 External Glazing'!D36)</f>
        <v/>
      </c>
      <c r="D90" s="1262" t="str">
        <f>IF('13.3 External Glazing'!F36="","",'13.3 External Glazing'!F36)</f>
        <v/>
      </c>
      <c r="E90" s="1262" t="str">
        <f>IF('13.3 External Glazing'!G36="","",'13.3 External Glazing'!G36)</f>
        <v/>
      </c>
      <c r="F90" s="1262" t="str">
        <f>IF('13.3 External Glazing'!H36="","",'13.3 External Glazing'!H36)</f>
        <v/>
      </c>
      <c r="G90" s="1262" t="str">
        <f>CONCATENATE(IF('13.3 External Glazing'!O36="","","Total system U-Value of "&amp;'13.3 External Glazing'!O36&amp;", "),
IF('13.3 External Glazing'!P36="","","Total system SHGC of "&amp;'13.3 External Glazing'!P36))</f>
        <v/>
      </c>
      <c r="H90" s="1263" t="str">
        <f>CONCATENATE(IF('13.3 External Glazing'!Q36="","","P:"&amp;'13.3 External Glazing'!Q36&amp;", "),
IF('13.3 External Glazing'!P36="","","H:"&amp;'13.3 External Glazing'!P36))</f>
        <v/>
      </c>
    </row>
    <row r="91" spans="2:8" s="22" customFormat="1" ht="15.5" x14ac:dyDescent="0.35">
      <c r="B91" s="1260" t="str">
        <f>IF(OR(Table10[[#This Row],[Window/glazed door no.]]&lt;&gt;"",Table10[[#This Row],[Facing sector]]&lt;&gt;"",Table10[[#This Row],[Height
(m)]]&lt;&gt;"",Table10[[#This Row],[Width
(m)]]&lt;&gt;""),"I","")</f>
        <v/>
      </c>
      <c r="C91" s="1261" t="str">
        <f>IF('13.3 External Glazing'!D37="","",'13.3 External Glazing'!D37)</f>
        <v/>
      </c>
      <c r="D91" s="1262" t="str">
        <f>IF('13.3 External Glazing'!F37="","",'13.3 External Glazing'!F37)</f>
        <v/>
      </c>
      <c r="E91" s="1262" t="str">
        <f>IF('13.3 External Glazing'!G37="","",'13.3 External Glazing'!G37)</f>
        <v/>
      </c>
      <c r="F91" s="1262" t="str">
        <f>IF('13.3 External Glazing'!H37="","",'13.3 External Glazing'!H37)</f>
        <v/>
      </c>
      <c r="G91" s="1262" t="str">
        <f>CONCATENATE(IF('13.3 External Glazing'!O37="","","Total system U-Value of "&amp;'13.3 External Glazing'!O37&amp;", "),
IF('13.3 External Glazing'!P37="","","Total system SHGC of "&amp;'13.3 External Glazing'!P37))</f>
        <v/>
      </c>
      <c r="H91" s="1263" t="str">
        <f>CONCATENATE(IF('13.3 External Glazing'!Q37="","","P:"&amp;'13.3 External Glazing'!Q37&amp;", "),
IF('13.3 External Glazing'!P37="","","H:"&amp;'13.3 External Glazing'!P37))</f>
        <v/>
      </c>
    </row>
    <row r="92" spans="2:8" s="22" customFormat="1" ht="15.5" x14ac:dyDescent="0.35">
      <c r="B92" s="1260" t="str">
        <f>IF(OR(Table10[[#This Row],[Window/glazed door no.]]&lt;&gt;"",Table10[[#This Row],[Facing sector]]&lt;&gt;"",Table10[[#This Row],[Height
(m)]]&lt;&gt;"",Table10[[#This Row],[Width
(m)]]&lt;&gt;""),"I","")</f>
        <v/>
      </c>
      <c r="C92" s="1261" t="str">
        <f>IF('13.3 External Glazing'!D38="","",'13.3 External Glazing'!D38)</f>
        <v/>
      </c>
      <c r="D92" s="1262" t="str">
        <f>IF('13.3 External Glazing'!F38="","",'13.3 External Glazing'!F38)</f>
        <v/>
      </c>
      <c r="E92" s="1262" t="str">
        <f>IF('13.3 External Glazing'!G38="","",'13.3 External Glazing'!G38)</f>
        <v/>
      </c>
      <c r="F92" s="1262" t="str">
        <f>IF('13.3 External Glazing'!H38="","",'13.3 External Glazing'!H38)</f>
        <v/>
      </c>
      <c r="G92" s="1262" t="str">
        <f>CONCATENATE(IF('13.3 External Glazing'!O38="","","Total system U-Value of "&amp;'13.3 External Glazing'!O38&amp;", "),
IF('13.3 External Glazing'!P38="","","Total system SHGC of "&amp;'13.3 External Glazing'!P38))</f>
        <v/>
      </c>
      <c r="H92" s="1263" t="str">
        <f>CONCATENATE(IF('13.3 External Glazing'!Q38="","","P:"&amp;'13.3 External Glazing'!Q38&amp;", "),
IF('13.3 External Glazing'!P38="","","H:"&amp;'13.3 External Glazing'!P38))</f>
        <v/>
      </c>
    </row>
    <row r="93" spans="2:8" s="22" customFormat="1" ht="15.5" x14ac:dyDescent="0.35">
      <c r="B93" s="1260" t="str">
        <f>IF(OR(Table10[[#This Row],[Window/glazed door no.]]&lt;&gt;"",Table10[[#This Row],[Facing sector]]&lt;&gt;"",Table10[[#This Row],[Height
(m)]]&lt;&gt;"",Table10[[#This Row],[Width
(m)]]&lt;&gt;""),"I","")</f>
        <v/>
      </c>
      <c r="C93" s="1261" t="str">
        <f>IF('13.3 External Glazing'!D39="","",'13.3 External Glazing'!D39)</f>
        <v/>
      </c>
      <c r="D93" s="1262" t="str">
        <f>IF('13.3 External Glazing'!F39="","",'13.3 External Glazing'!F39)</f>
        <v/>
      </c>
      <c r="E93" s="1262" t="str">
        <f>IF('13.3 External Glazing'!G39="","",'13.3 External Glazing'!G39)</f>
        <v/>
      </c>
      <c r="F93" s="1262" t="str">
        <f>IF('13.3 External Glazing'!H39="","",'13.3 External Glazing'!H39)</f>
        <v/>
      </c>
      <c r="G93" s="1262" t="str">
        <f>CONCATENATE(IF('13.3 External Glazing'!O39="","","Total system U-Value of "&amp;'13.3 External Glazing'!O39&amp;", "),
IF('13.3 External Glazing'!P39="","","Total system SHGC of "&amp;'13.3 External Glazing'!P39))</f>
        <v/>
      </c>
      <c r="H93" s="1263" t="str">
        <f>CONCATENATE(IF('13.3 External Glazing'!Q39="","","P:"&amp;'13.3 External Glazing'!Q39&amp;", "),
IF('13.3 External Glazing'!P39="","","H:"&amp;'13.3 External Glazing'!P39))</f>
        <v/>
      </c>
    </row>
    <row r="94" spans="2:8" s="22" customFormat="1" ht="15.5" x14ac:dyDescent="0.35">
      <c r="B94" s="1260" t="str">
        <f>IF(OR(Table10[[#This Row],[Window/glazed door no.]]&lt;&gt;"",Table10[[#This Row],[Facing sector]]&lt;&gt;"",Table10[[#This Row],[Height
(m)]]&lt;&gt;"",Table10[[#This Row],[Width
(m)]]&lt;&gt;""),"I","")</f>
        <v/>
      </c>
      <c r="C94" s="1261" t="str">
        <f>IF('13.3 External Glazing'!D40="","",'13.3 External Glazing'!D40)</f>
        <v/>
      </c>
      <c r="D94" s="1262" t="str">
        <f>IF('13.3 External Glazing'!F40="","",'13.3 External Glazing'!F40)</f>
        <v/>
      </c>
      <c r="E94" s="1262" t="str">
        <f>IF('13.3 External Glazing'!G40="","",'13.3 External Glazing'!G40)</f>
        <v/>
      </c>
      <c r="F94" s="1262" t="str">
        <f>IF('13.3 External Glazing'!H40="","",'13.3 External Glazing'!H40)</f>
        <v/>
      </c>
      <c r="G94" s="1262" t="str">
        <f>CONCATENATE(IF('13.3 External Glazing'!O40="","","Total system U-Value of "&amp;'13.3 External Glazing'!O40&amp;", "),
IF('13.3 External Glazing'!P40="","","Total system SHGC of "&amp;'13.3 External Glazing'!P40))</f>
        <v/>
      </c>
      <c r="H94" s="1263" t="str">
        <f>CONCATENATE(IF('13.3 External Glazing'!Q40="","","P:"&amp;'13.3 External Glazing'!Q40&amp;", "),
IF('13.3 External Glazing'!P40="","","H:"&amp;'13.3 External Glazing'!P40))</f>
        <v/>
      </c>
    </row>
    <row r="95" spans="2:8" s="22" customFormat="1" ht="15.5" x14ac:dyDescent="0.35">
      <c r="B95" s="1260" t="str">
        <f>IF(OR(Table10[[#This Row],[Window/glazed door no.]]&lt;&gt;"",Table10[[#This Row],[Facing sector]]&lt;&gt;"",Table10[[#This Row],[Height
(m)]]&lt;&gt;"",Table10[[#This Row],[Width
(m)]]&lt;&gt;""),"I","")</f>
        <v/>
      </c>
      <c r="C95" s="1261" t="str">
        <f>IF('13.3 External Glazing'!D41="","",'13.3 External Glazing'!D41)</f>
        <v/>
      </c>
      <c r="D95" s="1262" t="str">
        <f>IF('13.3 External Glazing'!F41="","",'13.3 External Glazing'!F41)</f>
        <v/>
      </c>
      <c r="E95" s="1262" t="str">
        <f>IF('13.3 External Glazing'!G41="","",'13.3 External Glazing'!G41)</f>
        <v/>
      </c>
      <c r="F95" s="1262" t="str">
        <f>IF('13.3 External Glazing'!H41="","",'13.3 External Glazing'!H41)</f>
        <v/>
      </c>
      <c r="G95" s="1262" t="str">
        <f>CONCATENATE(IF('13.3 External Glazing'!O41="","","Total system U-Value of "&amp;'13.3 External Glazing'!O41&amp;", "),
IF('13.3 External Glazing'!P41="","","Total system SHGC of "&amp;'13.3 External Glazing'!P41))</f>
        <v/>
      </c>
      <c r="H95" s="1263" t="str">
        <f>CONCATENATE(IF('13.3 External Glazing'!Q41="","","P:"&amp;'13.3 External Glazing'!Q41&amp;", "),
IF('13.3 External Glazing'!P41="","","H:"&amp;'13.3 External Glazing'!P41))</f>
        <v/>
      </c>
    </row>
    <row r="96" spans="2:8" s="22" customFormat="1" ht="15.5" x14ac:dyDescent="0.35">
      <c r="B96" s="1260" t="str">
        <f>IF(OR(Table10[[#This Row],[Window/glazed door no.]]&lt;&gt;"",Table10[[#This Row],[Facing sector]]&lt;&gt;"",Table10[[#This Row],[Height
(m)]]&lt;&gt;"",Table10[[#This Row],[Width
(m)]]&lt;&gt;""),"I","")</f>
        <v/>
      </c>
      <c r="C96" s="1261" t="str">
        <f>IF('13.3 External Glazing'!D42="","",'13.3 External Glazing'!D42)</f>
        <v/>
      </c>
      <c r="D96" s="1262" t="str">
        <f>IF('13.3 External Glazing'!F42="","",'13.3 External Glazing'!F42)</f>
        <v/>
      </c>
      <c r="E96" s="1262" t="str">
        <f>IF('13.3 External Glazing'!G42="","",'13.3 External Glazing'!G42)</f>
        <v/>
      </c>
      <c r="F96" s="1262" t="str">
        <f>IF('13.3 External Glazing'!H42="","",'13.3 External Glazing'!H42)</f>
        <v/>
      </c>
      <c r="G96" s="1262" t="str">
        <f>CONCATENATE(IF('13.3 External Glazing'!O42="","","Total system U-Value of "&amp;'13.3 External Glazing'!O42&amp;", "),
IF('13.3 External Glazing'!P42="","","Total system SHGC of "&amp;'13.3 External Glazing'!P42))</f>
        <v/>
      </c>
      <c r="H96" s="1263" t="str">
        <f>CONCATENATE(IF('13.3 External Glazing'!Q42="","","P:"&amp;'13.3 External Glazing'!Q42&amp;", "),
IF('13.3 External Glazing'!P42="","","H:"&amp;'13.3 External Glazing'!P42))</f>
        <v/>
      </c>
    </row>
    <row r="97" spans="2:8" s="22" customFormat="1" ht="15.5" x14ac:dyDescent="0.35">
      <c r="B97" s="1260" t="str">
        <f>IF(OR(Table10[[#This Row],[Window/glazed door no.]]&lt;&gt;"",Table10[[#This Row],[Facing sector]]&lt;&gt;"",Table10[[#This Row],[Height
(m)]]&lt;&gt;"",Table10[[#This Row],[Width
(m)]]&lt;&gt;""),"I","")</f>
        <v/>
      </c>
      <c r="C97" s="1261" t="str">
        <f>IF('13.3 External Glazing'!D43="","",'13.3 External Glazing'!D43)</f>
        <v/>
      </c>
      <c r="D97" s="1262" t="str">
        <f>IF('13.3 External Glazing'!F43="","",'13.3 External Glazing'!F43)</f>
        <v/>
      </c>
      <c r="E97" s="1262" t="str">
        <f>IF('13.3 External Glazing'!G43="","",'13.3 External Glazing'!G43)</f>
        <v/>
      </c>
      <c r="F97" s="1262" t="str">
        <f>IF('13.3 External Glazing'!H43="","",'13.3 External Glazing'!H43)</f>
        <v/>
      </c>
      <c r="G97" s="1262" t="str">
        <f>CONCATENATE(IF('13.3 External Glazing'!O43="","","Total system U-Value of "&amp;'13.3 External Glazing'!O43&amp;", "),
IF('13.3 External Glazing'!P43="","","Total system SHGC of "&amp;'13.3 External Glazing'!P43))</f>
        <v/>
      </c>
      <c r="H97" s="1263" t="str">
        <f>CONCATENATE(IF('13.3 External Glazing'!Q43="","","P:"&amp;'13.3 External Glazing'!Q43&amp;", "),
IF('13.3 External Glazing'!P43="","","H:"&amp;'13.3 External Glazing'!P43))</f>
        <v/>
      </c>
    </row>
    <row r="98" spans="2:8" s="22" customFormat="1" ht="15.5" x14ac:dyDescent="0.35">
      <c r="B98" s="1260" t="str">
        <f>IF(OR(Table10[[#This Row],[Window/glazed door no.]]&lt;&gt;"",Table10[[#This Row],[Facing sector]]&lt;&gt;"",Table10[[#This Row],[Height
(m)]]&lt;&gt;"",Table10[[#This Row],[Width
(m)]]&lt;&gt;""),"I","")</f>
        <v/>
      </c>
      <c r="C98" s="1261" t="str">
        <f>IF('13.3 External Glazing'!D44="","",'13.3 External Glazing'!D44)</f>
        <v/>
      </c>
      <c r="D98" s="1262" t="str">
        <f>IF('13.3 External Glazing'!F44="","",'13.3 External Glazing'!F44)</f>
        <v/>
      </c>
      <c r="E98" s="1262" t="str">
        <f>IF('13.3 External Glazing'!G44="","",'13.3 External Glazing'!G44)</f>
        <v/>
      </c>
      <c r="F98" s="1262" t="str">
        <f>IF('13.3 External Glazing'!H44="","",'13.3 External Glazing'!H44)</f>
        <v/>
      </c>
      <c r="G98" s="1262" t="str">
        <f>CONCATENATE(IF('13.3 External Glazing'!O44="","","Total system U-Value of "&amp;'13.3 External Glazing'!O44&amp;", "),
IF('13.3 External Glazing'!P44="","","Total system SHGC of "&amp;'13.3 External Glazing'!P44))</f>
        <v/>
      </c>
      <c r="H98" s="1263" t="str">
        <f>CONCATENATE(IF('13.3 External Glazing'!Q44="","","P:"&amp;'13.3 External Glazing'!Q44&amp;", "),
IF('13.3 External Glazing'!P44="","","H:"&amp;'13.3 External Glazing'!P44))</f>
        <v/>
      </c>
    </row>
    <row r="99" spans="2:8" s="22" customFormat="1" ht="15.5" x14ac:dyDescent="0.35">
      <c r="B99" s="1260" t="str">
        <f>IF(OR(Table10[[#This Row],[Window/glazed door no.]]&lt;&gt;"",Table10[[#This Row],[Facing sector]]&lt;&gt;"",Table10[[#This Row],[Height
(m)]]&lt;&gt;"",Table10[[#This Row],[Width
(m)]]&lt;&gt;""),"I","")</f>
        <v/>
      </c>
      <c r="C99" s="1261" t="str">
        <f>IF('13.3 External Glazing'!D45="","",'13.3 External Glazing'!D45)</f>
        <v/>
      </c>
      <c r="D99" s="1262" t="str">
        <f>IF('13.3 External Glazing'!F45="","",'13.3 External Glazing'!F45)</f>
        <v/>
      </c>
      <c r="E99" s="1262" t="str">
        <f>IF('13.3 External Glazing'!G45="","",'13.3 External Glazing'!G45)</f>
        <v/>
      </c>
      <c r="F99" s="1262" t="str">
        <f>IF('13.3 External Glazing'!H45="","",'13.3 External Glazing'!H45)</f>
        <v/>
      </c>
      <c r="G99" s="1262" t="str">
        <f>CONCATENATE(IF('13.3 External Glazing'!O45="","","Total system U-Value of "&amp;'13.3 External Glazing'!O45&amp;", "),
IF('13.3 External Glazing'!P45="","","Total system SHGC of "&amp;'13.3 External Glazing'!P45))</f>
        <v/>
      </c>
      <c r="H99" s="1263" t="str">
        <f>CONCATENATE(IF('13.3 External Glazing'!Q45="","","P:"&amp;'13.3 External Glazing'!Q45&amp;", "),
IF('13.3 External Glazing'!P45="","","H:"&amp;'13.3 External Glazing'!P45))</f>
        <v/>
      </c>
    </row>
    <row r="100" spans="2:8" s="22" customFormat="1" ht="15.5" x14ac:dyDescent="0.35">
      <c r="B100" s="1260" t="str">
        <f>IF(OR(Table10[[#This Row],[Window/glazed door no.]]&lt;&gt;"",Table10[[#This Row],[Facing sector]]&lt;&gt;"",Table10[[#This Row],[Height
(m)]]&lt;&gt;"",Table10[[#This Row],[Width
(m)]]&lt;&gt;""),"I","")</f>
        <v/>
      </c>
      <c r="C100" s="1261" t="str">
        <f>IF('13.3 External Glazing'!D46="","",'13.3 External Glazing'!D46)</f>
        <v/>
      </c>
      <c r="D100" s="1262" t="str">
        <f>IF('13.3 External Glazing'!F46="","",'13.3 External Glazing'!F46)</f>
        <v/>
      </c>
      <c r="E100" s="1262" t="str">
        <f>IF('13.3 External Glazing'!G46="","",'13.3 External Glazing'!G46)</f>
        <v/>
      </c>
      <c r="F100" s="1262" t="str">
        <f>IF('13.3 External Glazing'!H46="","",'13.3 External Glazing'!H46)</f>
        <v/>
      </c>
      <c r="G100" s="1262" t="str">
        <f>CONCATENATE(IF('13.3 External Glazing'!O46="","","Total system U-Value of "&amp;'13.3 External Glazing'!O46&amp;", "),
IF('13.3 External Glazing'!P46="","","Total system SHGC of "&amp;'13.3 External Glazing'!P46))</f>
        <v/>
      </c>
      <c r="H100" s="1263" t="str">
        <f>CONCATENATE(IF('13.3 External Glazing'!Q46="","","P:"&amp;'13.3 External Glazing'!Q46&amp;", "),
IF('13.3 External Glazing'!P46="","","H:"&amp;'13.3 External Glazing'!P46))</f>
        <v/>
      </c>
    </row>
    <row r="101" spans="2:8" s="22" customFormat="1" ht="15.5" x14ac:dyDescent="0.35">
      <c r="B101" s="1260" t="str">
        <f>IF(OR(Table10[[#This Row],[Window/glazed door no.]]&lt;&gt;"",Table10[[#This Row],[Facing sector]]&lt;&gt;"",Table10[[#This Row],[Height
(m)]]&lt;&gt;"",Table10[[#This Row],[Width
(m)]]&lt;&gt;""),"I","")</f>
        <v/>
      </c>
      <c r="C101" s="1261" t="str">
        <f>IF('13.3 External Glazing'!D47="","",'13.3 External Glazing'!D47)</f>
        <v/>
      </c>
      <c r="D101" s="1262" t="str">
        <f>IF('13.3 External Glazing'!F47="","",'13.3 External Glazing'!F47)</f>
        <v/>
      </c>
      <c r="E101" s="1262" t="str">
        <f>IF('13.3 External Glazing'!G47="","",'13.3 External Glazing'!G47)</f>
        <v/>
      </c>
      <c r="F101" s="1262" t="str">
        <f>IF('13.3 External Glazing'!H47="","",'13.3 External Glazing'!H47)</f>
        <v/>
      </c>
      <c r="G101" s="1262" t="str">
        <f>CONCATENATE(IF('13.3 External Glazing'!O47="","","Total system U-Value of "&amp;'13.3 External Glazing'!O47&amp;", "),
IF('13.3 External Glazing'!P47="","","Total system SHGC of "&amp;'13.3 External Glazing'!P47))</f>
        <v/>
      </c>
      <c r="H101" s="1263" t="str">
        <f>CONCATENATE(IF('13.3 External Glazing'!Q47="","","P:"&amp;'13.3 External Glazing'!Q47&amp;", "),
IF('13.3 External Glazing'!P47="","","H:"&amp;'13.3 External Glazing'!P47))</f>
        <v/>
      </c>
    </row>
    <row r="102" spans="2:8" s="22" customFormat="1" ht="15.5" x14ac:dyDescent="0.35">
      <c r="B102" s="1260" t="str">
        <f>IF(OR(Table10[[#This Row],[Window/glazed door no.]]&lt;&gt;"",Table10[[#This Row],[Facing sector]]&lt;&gt;"",Table10[[#This Row],[Height
(m)]]&lt;&gt;"",Table10[[#This Row],[Width
(m)]]&lt;&gt;""),"I","")</f>
        <v/>
      </c>
      <c r="C102" s="1261" t="str">
        <f>IF('13.3 External Glazing'!D48="","",'13.3 External Glazing'!D48)</f>
        <v/>
      </c>
      <c r="D102" s="1262" t="str">
        <f>IF('13.3 External Glazing'!F48="","",'13.3 External Glazing'!F48)</f>
        <v/>
      </c>
      <c r="E102" s="1262" t="str">
        <f>IF('13.3 External Glazing'!G48="","",'13.3 External Glazing'!G48)</f>
        <v/>
      </c>
      <c r="F102" s="1262" t="str">
        <f>IF('13.3 External Glazing'!H48="","",'13.3 External Glazing'!H48)</f>
        <v/>
      </c>
      <c r="G102" s="1262" t="str">
        <f>CONCATENATE(IF('13.3 External Glazing'!O48="","","Total system U-Value of "&amp;'13.3 External Glazing'!O48&amp;", "),
IF('13.3 External Glazing'!P48="","","Total system SHGC of "&amp;'13.3 External Glazing'!P48))</f>
        <v/>
      </c>
      <c r="H102" s="1263" t="str">
        <f>CONCATENATE(IF('13.3 External Glazing'!Q48="","","P:"&amp;'13.3 External Glazing'!Q48&amp;", "),
IF('13.3 External Glazing'!P48="","","H:"&amp;'13.3 External Glazing'!P48))</f>
        <v/>
      </c>
    </row>
    <row r="103" spans="2:8" s="22" customFormat="1" ht="15.5" x14ac:dyDescent="0.35">
      <c r="B103" s="1260" t="str">
        <f>IF(OR(Table10[[#This Row],[Window/glazed door no.]]&lt;&gt;"",Table10[[#This Row],[Facing sector]]&lt;&gt;"",Table10[[#This Row],[Height
(m)]]&lt;&gt;"",Table10[[#This Row],[Width
(m)]]&lt;&gt;""),"I","")</f>
        <v/>
      </c>
      <c r="C103" s="1261" t="str">
        <f>IF('13.3 External Glazing'!D49="","",'13.3 External Glazing'!D49)</f>
        <v/>
      </c>
      <c r="D103" s="1262" t="str">
        <f>IF('13.3 External Glazing'!F49="","",'13.3 External Glazing'!F49)</f>
        <v/>
      </c>
      <c r="E103" s="1262" t="str">
        <f>IF('13.3 External Glazing'!G49="","",'13.3 External Glazing'!G49)</f>
        <v/>
      </c>
      <c r="F103" s="1262" t="str">
        <f>IF('13.3 External Glazing'!H49="","",'13.3 External Glazing'!H49)</f>
        <v/>
      </c>
      <c r="G103" s="1262" t="str">
        <f>CONCATENATE(IF('13.3 External Glazing'!O49="","","Total system U-Value of "&amp;'13.3 External Glazing'!O49&amp;", "),
IF('13.3 External Glazing'!P49="","","Total system SHGC of "&amp;'13.3 External Glazing'!P49))</f>
        <v/>
      </c>
      <c r="H103" s="1263" t="str">
        <f>CONCATENATE(IF('13.3 External Glazing'!Q49="","","P:"&amp;'13.3 External Glazing'!Q49&amp;", "),
IF('13.3 External Glazing'!P49="","","H:"&amp;'13.3 External Glazing'!P49))</f>
        <v/>
      </c>
    </row>
    <row r="104" spans="2:8" s="22" customFormat="1" ht="15.5" x14ac:dyDescent="0.35">
      <c r="B104" s="1260" t="str">
        <f>IF(OR(Table10[[#This Row],[Window/glazed door no.]]&lt;&gt;"",Table10[[#This Row],[Facing sector]]&lt;&gt;"",Table10[[#This Row],[Height
(m)]]&lt;&gt;"",Table10[[#This Row],[Width
(m)]]&lt;&gt;""),"I","")</f>
        <v/>
      </c>
      <c r="C104" s="1261" t="str">
        <f>IF('13.3 External Glazing'!D50="","",'13.3 External Glazing'!D50)</f>
        <v/>
      </c>
      <c r="D104" s="1262" t="str">
        <f>IF('13.3 External Glazing'!F50="","",'13.3 External Glazing'!F50)</f>
        <v/>
      </c>
      <c r="E104" s="1262" t="str">
        <f>IF('13.3 External Glazing'!G50="","",'13.3 External Glazing'!G50)</f>
        <v/>
      </c>
      <c r="F104" s="1262" t="str">
        <f>IF('13.3 External Glazing'!H50="","",'13.3 External Glazing'!H50)</f>
        <v/>
      </c>
      <c r="G104" s="1262" t="str">
        <f>CONCATENATE(IF('13.3 External Glazing'!O50="","","Total system U-Value of "&amp;'13.3 External Glazing'!O50&amp;", "),
IF('13.3 External Glazing'!P50="","","Total system SHGC of "&amp;'13.3 External Glazing'!P50))</f>
        <v/>
      </c>
      <c r="H104" s="1263" t="str">
        <f>CONCATENATE(IF('13.3 External Glazing'!Q50="","","P:"&amp;'13.3 External Glazing'!Q50&amp;", "),
IF('13.3 External Glazing'!P50="","","H:"&amp;'13.3 External Glazing'!P50))</f>
        <v/>
      </c>
    </row>
    <row r="105" spans="2:8" s="22" customFormat="1" ht="15.5" x14ac:dyDescent="0.35">
      <c r="B105" s="1260" t="str">
        <f>IF(OR(Table10[[#This Row],[Window/glazed door no.]]&lt;&gt;"",Table10[[#This Row],[Facing sector]]&lt;&gt;"",Table10[[#This Row],[Height
(m)]]&lt;&gt;"",Table10[[#This Row],[Width
(m)]]&lt;&gt;""),"I","")</f>
        <v/>
      </c>
      <c r="C105" s="1261" t="str">
        <f>IF('13.3 External Glazing'!D51="","",'13.3 External Glazing'!D51)</f>
        <v/>
      </c>
      <c r="D105" s="1262" t="str">
        <f>IF('13.3 External Glazing'!F51="","",'13.3 External Glazing'!F51)</f>
        <v/>
      </c>
      <c r="E105" s="1262" t="str">
        <f>IF('13.3 External Glazing'!G51="","",'13.3 External Glazing'!G51)</f>
        <v/>
      </c>
      <c r="F105" s="1262" t="str">
        <f>IF('13.3 External Glazing'!H51="","",'13.3 External Glazing'!H51)</f>
        <v/>
      </c>
      <c r="G105" s="1262" t="str">
        <f>CONCATENATE(IF('13.3 External Glazing'!O51="","","Total system U-Value of "&amp;'13.3 External Glazing'!O51&amp;", "),
IF('13.3 External Glazing'!P51="","","Total system SHGC of "&amp;'13.3 External Glazing'!P51))</f>
        <v/>
      </c>
      <c r="H105" s="1263" t="str">
        <f>CONCATENATE(IF('13.3 External Glazing'!Q51="","","P:"&amp;'13.3 External Glazing'!Q51&amp;", "),
IF('13.3 External Glazing'!P51="","","H:"&amp;'13.3 External Glazing'!P51))</f>
        <v/>
      </c>
    </row>
    <row r="106" spans="2:8" s="22" customFormat="1" ht="15.5" x14ac:dyDescent="0.35">
      <c r="B106" s="1260" t="str">
        <f>IF(OR(Table10[[#This Row],[Window/glazed door no.]]&lt;&gt;"",Table10[[#This Row],[Facing sector]]&lt;&gt;"",Table10[[#This Row],[Height
(m)]]&lt;&gt;"",Table10[[#This Row],[Width
(m)]]&lt;&gt;""),"I","")</f>
        <v/>
      </c>
      <c r="C106" s="1261" t="str">
        <f>IF('13.3 External Glazing'!D52="","",'13.3 External Glazing'!D52)</f>
        <v/>
      </c>
      <c r="D106" s="1262" t="str">
        <f>IF('13.3 External Glazing'!F52="","",'13.3 External Glazing'!F52)</f>
        <v/>
      </c>
      <c r="E106" s="1262" t="str">
        <f>IF('13.3 External Glazing'!G52="","",'13.3 External Glazing'!G52)</f>
        <v/>
      </c>
      <c r="F106" s="1262" t="str">
        <f>IF('13.3 External Glazing'!H52="","",'13.3 External Glazing'!H52)</f>
        <v/>
      </c>
      <c r="G106" s="1262" t="str">
        <f>CONCATENATE(IF('13.3 External Glazing'!O52="","","Total system U-Value of "&amp;'13.3 External Glazing'!O52&amp;", "),
IF('13.3 External Glazing'!P52="","","Total system SHGC of "&amp;'13.3 External Glazing'!P52))</f>
        <v/>
      </c>
      <c r="H106" s="1263" t="str">
        <f>CONCATENATE(IF('13.3 External Glazing'!Q52="","","P:"&amp;'13.3 External Glazing'!Q52&amp;", "),
IF('13.3 External Glazing'!P52="","","H:"&amp;'13.3 External Glazing'!P52))</f>
        <v/>
      </c>
    </row>
    <row r="107" spans="2:8" s="22" customFormat="1" ht="15.5" x14ac:dyDescent="0.35">
      <c r="B107" s="1260" t="str">
        <f>IF(OR(Table10[[#This Row],[Window/glazed door no.]]&lt;&gt;"",Table10[[#This Row],[Facing sector]]&lt;&gt;"",Table10[[#This Row],[Height
(m)]]&lt;&gt;"",Table10[[#This Row],[Width
(m)]]&lt;&gt;""),"I","")</f>
        <v/>
      </c>
      <c r="C107" s="1261" t="str">
        <f>IF('13.3 External Glazing'!D53="","",'13.3 External Glazing'!D53)</f>
        <v/>
      </c>
      <c r="D107" s="1262" t="str">
        <f>IF('13.3 External Glazing'!F53="","",'13.3 External Glazing'!F53)</f>
        <v/>
      </c>
      <c r="E107" s="1262" t="str">
        <f>IF('13.3 External Glazing'!G53="","",'13.3 External Glazing'!G53)</f>
        <v/>
      </c>
      <c r="F107" s="1262" t="str">
        <f>IF('13.3 External Glazing'!H53="","",'13.3 External Glazing'!H53)</f>
        <v/>
      </c>
      <c r="G107" s="1262" t="str">
        <f>CONCATENATE(IF('13.3 External Glazing'!O53="","","Total system U-Value of "&amp;'13.3 External Glazing'!O53&amp;", "),
IF('13.3 External Glazing'!P53="","","Total system SHGC of "&amp;'13.3 External Glazing'!P53))</f>
        <v/>
      </c>
      <c r="H107" s="1263" t="str">
        <f>CONCATENATE(IF('13.3 External Glazing'!Q53="","","P:"&amp;'13.3 External Glazing'!Q53&amp;", "),
IF('13.3 External Glazing'!P53="","","H:"&amp;'13.3 External Glazing'!P53))</f>
        <v/>
      </c>
    </row>
    <row r="108" spans="2:8" s="22" customFormat="1" ht="15.5" x14ac:dyDescent="0.35">
      <c r="B108" s="1260" t="str">
        <f>IF(OR(Table10[[#This Row],[Window/glazed door no.]]&lt;&gt;"",Table10[[#This Row],[Facing sector]]&lt;&gt;"",Table10[[#This Row],[Height
(m)]]&lt;&gt;"",Table10[[#This Row],[Width
(m)]]&lt;&gt;""),"I","")</f>
        <v/>
      </c>
      <c r="C108" s="1261" t="str">
        <f>IF('13.3 External Glazing'!D54="","",'13.3 External Glazing'!D54)</f>
        <v/>
      </c>
      <c r="D108" s="1262" t="str">
        <f>IF('13.3 External Glazing'!F54="","",'13.3 External Glazing'!F54)</f>
        <v/>
      </c>
      <c r="E108" s="1262" t="str">
        <f>IF('13.3 External Glazing'!G54="","",'13.3 External Glazing'!G54)</f>
        <v/>
      </c>
      <c r="F108" s="1262" t="str">
        <f>IF('13.3 External Glazing'!H54="","",'13.3 External Glazing'!H54)</f>
        <v/>
      </c>
      <c r="G108" s="1262" t="str">
        <f>CONCATENATE(IF('13.3 External Glazing'!O54="","","Total system U-Value of "&amp;'13.3 External Glazing'!O54&amp;", "),
IF('13.3 External Glazing'!P54="","","Total system SHGC of "&amp;'13.3 External Glazing'!P54))</f>
        <v/>
      </c>
      <c r="H108" s="1263" t="str">
        <f>CONCATENATE(IF('13.3 External Glazing'!Q54="","","P:"&amp;'13.3 External Glazing'!Q54&amp;", "),
IF('13.3 External Glazing'!P54="","","H:"&amp;'13.3 External Glazing'!P54))</f>
        <v/>
      </c>
    </row>
    <row r="109" spans="2:8" s="22" customFormat="1" ht="15.5" x14ac:dyDescent="0.35">
      <c r="B109" s="1260" t="str">
        <f>IF(OR(Table10[[#This Row],[Window/glazed door no.]]&lt;&gt;"",Table10[[#This Row],[Facing sector]]&lt;&gt;"",Table10[[#This Row],[Height
(m)]]&lt;&gt;"",Table10[[#This Row],[Width
(m)]]&lt;&gt;""),"I","")</f>
        <v/>
      </c>
      <c r="C109" s="1261" t="str">
        <f>IF('13.3 External Glazing'!D55="","",'13.3 External Glazing'!D55)</f>
        <v/>
      </c>
      <c r="D109" s="1262" t="str">
        <f>IF('13.3 External Glazing'!F55="","",'13.3 External Glazing'!F55)</f>
        <v/>
      </c>
      <c r="E109" s="1262" t="str">
        <f>IF('13.3 External Glazing'!G55="","",'13.3 External Glazing'!G55)</f>
        <v/>
      </c>
      <c r="F109" s="1262" t="str">
        <f>IF('13.3 External Glazing'!H55="","",'13.3 External Glazing'!H55)</f>
        <v/>
      </c>
      <c r="G109" s="1262" t="str">
        <f>CONCATENATE(IF('13.3 External Glazing'!O55="","","Total system U-Value of "&amp;'13.3 External Glazing'!O55&amp;", "),
IF('13.3 External Glazing'!P55="","","Total system SHGC of "&amp;'13.3 External Glazing'!P55))</f>
        <v/>
      </c>
      <c r="H109" s="1263" t="str">
        <f>CONCATENATE(IF('13.3 External Glazing'!Q55="","","P:"&amp;'13.3 External Glazing'!Q55&amp;", "),
IF('13.3 External Glazing'!P55="","","H:"&amp;'13.3 External Glazing'!P55))</f>
        <v/>
      </c>
    </row>
    <row r="110" spans="2:8" s="22" customFormat="1" ht="15.5" x14ac:dyDescent="0.35">
      <c r="B110" s="1260" t="str">
        <f>IF(OR(Table10[[#This Row],[Window/glazed door no.]]&lt;&gt;"",Table10[[#This Row],[Facing sector]]&lt;&gt;"",Table10[[#This Row],[Height
(m)]]&lt;&gt;"",Table10[[#This Row],[Width
(m)]]&lt;&gt;""),"I","")</f>
        <v/>
      </c>
      <c r="C110" s="1261" t="str">
        <f>IF('13.3 External Glazing'!D56="","",'13.3 External Glazing'!D56)</f>
        <v/>
      </c>
      <c r="D110" s="1262" t="str">
        <f>IF('13.3 External Glazing'!F56="","",'13.3 External Glazing'!F56)</f>
        <v/>
      </c>
      <c r="E110" s="1262" t="str">
        <f>IF('13.3 External Glazing'!G56="","",'13.3 External Glazing'!G56)</f>
        <v/>
      </c>
      <c r="F110" s="1262" t="str">
        <f>IF('13.3 External Glazing'!H56="","",'13.3 External Glazing'!H56)</f>
        <v/>
      </c>
      <c r="G110" s="1262" t="str">
        <f>CONCATENATE(IF('13.3 External Glazing'!O56="","","Total system U-Value of "&amp;'13.3 External Glazing'!O56&amp;", "),
IF('13.3 External Glazing'!P56="","","Total system SHGC of "&amp;'13.3 External Glazing'!P56))</f>
        <v/>
      </c>
      <c r="H110" s="1263" t="str">
        <f>CONCATENATE(IF('13.3 External Glazing'!Q56="","","P:"&amp;'13.3 External Glazing'!Q56&amp;", "),
IF('13.3 External Glazing'!P56="","","H:"&amp;'13.3 External Glazing'!P56))</f>
        <v/>
      </c>
    </row>
    <row r="111" spans="2:8" s="22" customFormat="1" ht="15.5" x14ac:dyDescent="0.35">
      <c r="B111" s="1260" t="str">
        <f>IF(OR(Table10[[#This Row],[Window/glazed door no.]]&lt;&gt;"",Table10[[#This Row],[Facing sector]]&lt;&gt;"",Table10[[#This Row],[Height
(m)]]&lt;&gt;"",Table10[[#This Row],[Width
(m)]]&lt;&gt;""),"I","")</f>
        <v/>
      </c>
      <c r="C111" s="1261" t="str">
        <f>IF('13.3 External Glazing'!D57="","",'13.3 External Glazing'!D57)</f>
        <v/>
      </c>
      <c r="D111" s="1262" t="str">
        <f>IF('13.3 External Glazing'!F57="","",'13.3 External Glazing'!F57)</f>
        <v/>
      </c>
      <c r="E111" s="1262" t="str">
        <f>IF('13.3 External Glazing'!G57="","",'13.3 External Glazing'!G57)</f>
        <v/>
      </c>
      <c r="F111" s="1262" t="str">
        <f>IF('13.3 External Glazing'!H57="","",'13.3 External Glazing'!H57)</f>
        <v/>
      </c>
      <c r="G111" s="1262" t="str">
        <f>CONCATENATE(IF('13.3 External Glazing'!O57="","","Total system U-Value of "&amp;'13.3 External Glazing'!O57&amp;", "),
IF('13.3 External Glazing'!P57="","","Total system SHGC of "&amp;'13.3 External Glazing'!P57))</f>
        <v/>
      </c>
      <c r="H111" s="1263" t="str">
        <f>CONCATENATE(IF('13.3 External Glazing'!Q57="","","P:"&amp;'13.3 External Glazing'!Q57&amp;", "),
IF('13.3 External Glazing'!P57="","","H:"&amp;'13.3 External Glazing'!P57))</f>
        <v/>
      </c>
    </row>
    <row r="112" spans="2:8" s="22" customFormat="1" ht="15.5" x14ac:dyDescent="0.35">
      <c r="B112" s="1260" t="str">
        <f>IF(OR(Table10[[#This Row],[Window/glazed door no.]]&lt;&gt;"",Table10[[#This Row],[Facing sector]]&lt;&gt;"",Table10[[#This Row],[Height
(m)]]&lt;&gt;"",Table10[[#This Row],[Width
(m)]]&lt;&gt;""),"I","")</f>
        <v/>
      </c>
      <c r="C112" s="1261" t="str">
        <f>IF('13.3 External Glazing'!D58="","",'13.3 External Glazing'!D58)</f>
        <v/>
      </c>
      <c r="D112" s="1262" t="str">
        <f>IF('13.3 External Glazing'!F58="","",'13.3 External Glazing'!F58)</f>
        <v/>
      </c>
      <c r="E112" s="1262" t="str">
        <f>IF('13.3 External Glazing'!G58="","",'13.3 External Glazing'!G58)</f>
        <v/>
      </c>
      <c r="F112" s="1262" t="str">
        <f>IF('13.3 External Glazing'!H58="","",'13.3 External Glazing'!H58)</f>
        <v/>
      </c>
      <c r="G112" s="1262" t="str">
        <f>CONCATENATE(IF('13.3 External Glazing'!O58="","","Total system U-Value of "&amp;'13.3 External Glazing'!O58&amp;", "),
IF('13.3 External Glazing'!P58="","","Total system SHGC of "&amp;'13.3 External Glazing'!P58))</f>
        <v/>
      </c>
      <c r="H112" s="1263" t="str">
        <f>CONCATENATE(IF('13.3 External Glazing'!Q58="","","P:"&amp;'13.3 External Glazing'!Q58&amp;", "),
IF('13.3 External Glazing'!P58="","","H:"&amp;'13.3 External Glazing'!P58))</f>
        <v/>
      </c>
    </row>
    <row r="113" spans="2:8" s="22" customFormat="1" ht="15.5" x14ac:dyDescent="0.35">
      <c r="B113" s="1260" t="str">
        <f>IF(OR(Table10[[#This Row],[Window/glazed door no.]]&lt;&gt;"",Table10[[#This Row],[Facing sector]]&lt;&gt;"",Table10[[#This Row],[Height
(m)]]&lt;&gt;"",Table10[[#This Row],[Width
(m)]]&lt;&gt;""),"I","")</f>
        <v/>
      </c>
      <c r="C113" s="1261" t="str">
        <f>IF('13.3 External Glazing'!D59="","",'13.3 External Glazing'!D59)</f>
        <v/>
      </c>
      <c r="D113" s="1262" t="str">
        <f>IF('13.3 External Glazing'!F59="","",'13.3 External Glazing'!F59)</f>
        <v/>
      </c>
      <c r="E113" s="1262" t="str">
        <f>IF('13.3 External Glazing'!G59="","",'13.3 External Glazing'!G59)</f>
        <v/>
      </c>
      <c r="F113" s="1262" t="str">
        <f>IF('13.3 External Glazing'!H59="","",'13.3 External Glazing'!H59)</f>
        <v/>
      </c>
      <c r="G113" s="1262" t="str">
        <f>CONCATENATE(IF('13.3 External Glazing'!O59="","","Total system U-Value of "&amp;'13.3 External Glazing'!O59&amp;", "),
IF('13.3 External Glazing'!P59="","","Total system SHGC of "&amp;'13.3 External Glazing'!P59))</f>
        <v/>
      </c>
      <c r="H113" s="1263" t="str">
        <f>CONCATENATE(IF('13.3 External Glazing'!Q59="","","P:"&amp;'13.3 External Glazing'!Q59&amp;", "),
IF('13.3 External Glazing'!P59="","","H:"&amp;'13.3 External Glazing'!P59))</f>
        <v/>
      </c>
    </row>
    <row r="114" spans="2:8" s="22" customFormat="1" ht="15.5" x14ac:dyDescent="0.35">
      <c r="B114" s="1260" t="str">
        <f>IF(OR(Table10[[#This Row],[Window/glazed door no.]]&lt;&gt;"",Table10[[#This Row],[Facing sector]]&lt;&gt;"",Table10[[#This Row],[Height
(m)]]&lt;&gt;"",Table10[[#This Row],[Width
(m)]]&lt;&gt;""),"I","")</f>
        <v/>
      </c>
      <c r="C114" s="1261" t="str">
        <f>IF('13.3 External Glazing'!D60="","",'13.3 External Glazing'!D60)</f>
        <v/>
      </c>
      <c r="D114" s="1262" t="str">
        <f>IF('13.3 External Glazing'!F60="","",'13.3 External Glazing'!F60)</f>
        <v/>
      </c>
      <c r="E114" s="1262" t="str">
        <f>IF('13.3 External Glazing'!G60="","",'13.3 External Glazing'!G60)</f>
        <v/>
      </c>
      <c r="F114" s="1262" t="str">
        <f>IF('13.3 External Glazing'!H60="","",'13.3 External Glazing'!H60)</f>
        <v/>
      </c>
      <c r="G114" s="1262" t="str">
        <f>CONCATENATE(IF('13.3 External Glazing'!O60="","","Total system U-Value of "&amp;'13.3 External Glazing'!O60&amp;", "),
IF('13.3 External Glazing'!P60="","","Total system SHGC of "&amp;'13.3 External Glazing'!P60))</f>
        <v/>
      </c>
      <c r="H114" s="1263" t="str">
        <f>CONCATENATE(IF('13.3 External Glazing'!Q60="","","P:"&amp;'13.3 External Glazing'!Q60&amp;", "),
IF('13.3 External Glazing'!P60="","","H:"&amp;'13.3 External Glazing'!P60))</f>
        <v/>
      </c>
    </row>
    <row r="115" spans="2:8" s="22" customFormat="1" ht="15.5" x14ac:dyDescent="0.35">
      <c r="B115" s="1260" t="str">
        <f>IF(OR(Table10[[#This Row],[Window/glazed door no.]]&lt;&gt;"",Table10[[#This Row],[Facing sector]]&lt;&gt;"",Table10[[#This Row],[Height
(m)]]&lt;&gt;"",Table10[[#This Row],[Width
(m)]]&lt;&gt;""),"I","")</f>
        <v/>
      </c>
      <c r="C115" s="1261" t="str">
        <f>IF('13.3 External Glazing'!D61="","",'13.3 External Glazing'!D61)</f>
        <v/>
      </c>
      <c r="D115" s="1262" t="str">
        <f>IF('13.3 External Glazing'!F61="","",'13.3 External Glazing'!F61)</f>
        <v/>
      </c>
      <c r="E115" s="1262" t="str">
        <f>IF('13.3 External Glazing'!G61="","",'13.3 External Glazing'!G61)</f>
        <v/>
      </c>
      <c r="F115" s="1262" t="str">
        <f>IF('13.3 External Glazing'!H61="","",'13.3 External Glazing'!H61)</f>
        <v/>
      </c>
      <c r="G115" s="1262" t="str">
        <f>CONCATENATE(IF('13.3 External Glazing'!O61="","","Total system U-Value of "&amp;'13.3 External Glazing'!O61&amp;", "),
IF('13.3 External Glazing'!P61="","","Total system SHGC of "&amp;'13.3 External Glazing'!P61))</f>
        <v/>
      </c>
      <c r="H115" s="1263" t="str">
        <f>CONCATENATE(IF('13.3 External Glazing'!Q61="","","P:"&amp;'13.3 External Glazing'!Q61&amp;", "),
IF('13.3 External Glazing'!P61="","","H:"&amp;'13.3 External Glazing'!P61))</f>
        <v/>
      </c>
    </row>
    <row r="116" spans="2:8" s="22" customFormat="1" ht="15.5" x14ac:dyDescent="0.35">
      <c r="B116" s="1260" t="str">
        <f>IF(OR(Table10[[#This Row],[Window/glazed door no.]]&lt;&gt;"",Table10[[#This Row],[Facing sector]]&lt;&gt;"",Table10[[#This Row],[Height
(m)]]&lt;&gt;"",Table10[[#This Row],[Width
(m)]]&lt;&gt;""),"I","")</f>
        <v/>
      </c>
      <c r="C116" s="1261" t="str">
        <f>IF('13.3 External Glazing'!D62="","",'13.3 External Glazing'!D62)</f>
        <v/>
      </c>
      <c r="D116" s="1262" t="str">
        <f>IF('13.3 External Glazing'!F62="","",'13.3 External Glazing'!F62)</f>
        <v/>
      </c>
      <c r="E116" s="1262" t="str">
        <f>IF('13.3 External Glazing'!G62="","",'13.3 External Glazing'!G62)</f>
        <v/>
      </c>
      <c r="F116" s="1262" t="str">
        <f>IF('13.3 External Glazing'!H62="","",'13.3 External Glazing'!H62)</f>
        <v/>
      </c>
      <c r="G116" s="1262" t="str">
        <f>CONCATENATE(IF('13.3 External Glazing'!O62="","","Total system U-Value of "&amp;'13.3 External Glazing'!O62&amp;", "),
IF('13.3 External Glazing'!P62="","","Total system SHGC of "&amp;'13.3 External Glazing'!P62))</f>
        <v/>
      </c>
      <c r="H116" s="1263" t="str">
        <f>CONCATENATE(IF('13.3 External Glazing'!Q62="","","P:"&amp;'13.3 External Glazing'!Q62&amp;", "),
IF('13.3 External Glazing'!P62="","","H:"&amp;'13.3 External Glazing'!P62))</f>
        <v/>
      </c>
    </row>
    <row r="117" spans="2:8" s="22" customFormat="1" ht="15.5" x14ac:dyDescent="0.35">
      <c r="B117" s="1260" t="str">
        <f>IF(OR(Table10[[#This Row],[Window/glazed door no.]]&lt;&gt;"",Table10[[#This Row],[Facing sector]]&lt;&gt;"",Table10[[#This Row],[Height
(m)]]&lt;&gt;"",Table10[[#This Row],[Width
(m)]]&lt;&gt;""),"I","")</f>
        <v/>
      </c>
      <c r="C117" s="1261" t="str">
        <f>IF('13.3 External Glazing'!D63="","",'13.3 External Glazing'!D63)</f>
        <v/>
      </c>
      <c r="D117" s="1262" t="str">
        <f>IF('13.3 External Glazing'!F63="","",'13.3 External Glazing'!F63)</f>
        <v/>
      </c>
      <c r="E117" s="1262" t="str">
        <f>IF('13.3 External Glazing'!G63="","",'13.3 External Glazing'!G63)</f>
        <v/>
      </c>
      <c r="F117" s="1262" t="str">
        <f>IF('13.3 External Glazing'!H63="","",'13.3 External Glazing'!H63)</f>
        <v/>
      </c>
      <c r="G117" s="1262" t="str">
        <f>CONCATENATE(IF('13.3 External Glazing'!O63="","","Total system U-Value of "&amp;'13.3 External Glazing'!O63&amp;", "),
IF('13.3 External Glazing'!P63="","","Total system SHGC of "&amp;'13.3 External Glazing'!P63))</f>
        <v/>
      </c>
      <c r="H117" s="1263" t="str">
        <f>CONCATENATE(IF('13.3 External Glazing'!Q63="","","P:"&amp;'13.3 External Glazing'!Q63&amp;", "),
IF('13.3 External Glazing'!P63="","","H:"&amp;'13.3 External Glazing'!P63))</f>
        <v/>
      </c>
    </row>
    <row r="118" spans="2:8" s="22" customFormat="1" ht="15.5" x14ac:dyDescent="0.35">
      <c r="B118" s="1260" t="str">
        <f>IF(OR(Table10[[#This Row],[Window/glazed door no.]]&lt;&gt;"",Table10[[#This Row],[Facing sector]]&lt;&gt;"",Table10[[#This Row],[Height
(m)]]&lt;&gt;"",Table10[[#This Row],[Width
(m)]]&lt;&gt;""),"I","")</f>
        <v/>
      </c>
      <c r="C118" s="1261" t="str">
        <f>IF('13.3 External Glazing'!D64="","",'13.3 External Glazing'!D64)</f>
        <v/>
      </c>
      <c r="D118" s="1262" t="str">
        <f>IF('13.3 External Glazing'!F64="","",'13.3 External Glazing'!F64)</f>
        <v/>
      </c>
      <c r="E118" s="1262" t="str">
        <f>IF('13.3 External Glazing'!G64="","",'13.3 External Glazing'!G64)</f>
        <v/>
      </c>
      <c r="F118" s="1262" t="str">
        <f>IF('13.3 External Glazing'!H64="","",'13.3 External Glazing'!H64)</f>
        <v/>
      </c>
      <c r="G118" s="1262" t="str">
        <f>CONCATENATE(IF('13.3 External Glazing'!O64="","","Total system U-Value of "&amp;'13.3 External Glazing'!O64&amp;", "),
IF('13.3 External Glazing'!P64="","","Total system SHGC of "&amp;'13.3 External Glazing'!P64))</f>
        <v/>
      </c>
      <c r="H118" s="1263" t="str">
        <f>CONCATENATE(IF('13.3 External Glazing'!Q64="","","P:"&amp;'13.3 External Glazing'!Q64&amp;", "),
IF('13.3 External Glazing'!P64="","","H:"&amp;'13.3 External Glazing'!P64))</f>
        <v/>
      </c>
    </row>
    <row r="119" spans="2:8" s="22" customFormat="1" ht="15.5" x14ac:dyDescent="0.35">
      <c r="B119" s="1260" t="str">
        <f>IF(OR(Table10[[#This Row],[Window/glazed door no.]]&lt;&gt;"",Table10[[#This Row],[Facing sector]]&lt;&gt;"",Table10[[#This Row],[Height
(m)]]&lt;&gt;"",Table10[[#This Row],[Width
(m)]]&lt;&gt;""),"I","")</f>
        <v/>
      </c>
      <c r="C119" s="1261" t="str">
        <f>IF('13.3 External Glazing'!D65="","",'13.3 External Glazing'!D65)</f>
        <v/>
      </c>
      <c r="D119" s="1262" t="str">
        <f>IF('13.3 External Glazing'!F65="","",'13.3 External Glazing'!F65)</f>
        <v/>
      </c>
      <c r="E119" s="1262" t="str">
        <f>IF('13.3 External Glazing'!G65="","",'13.3 External Glazing'!G65)</f>
        <v/>
      </c>
      <c r="F119" s="1262" t="str">
        <f>IF('13.3 External Glazing'!H65="","",'13.3 External Glazing'!H65)</f>
        <v/>
      </c>
      <c r="G119" s="1262" t="str">
        <f>CONCATENATE(IF('13.3 External Glazing'!O65="","","Total system U-Value of "&amp;'13.3 External Glazing'!O65&amp;", "),
IF('13.3 External Glazing'!P65="","","Total system SHGC of "&amp;'13.3 External Glazing'!P65))</f>
        <v/>
      </c>
      <c r="H119" s="1263" t="str">
        <f>CONCATENATE(IF('13.3 External Glazing'!Q65="","","P:"&amp;'13.3 External Glazing'!Q65&amp;", "),
IF('13.3 External Glazing'!P65="","","H:"&amp;'13.3 External Glazing'!P65))</f>
        <v/>
      </c>
    </row>
    <row r="120" spans="2:8" s="22" customFormat="1" ht="15.5" x14ac:dyDescent="0.35">
      <c r="B120" s="1260" t="str">
        <f>IF(OR(Table10[[#This Row],[Window/glazed door no.]]&lt;&gt;"",Table10[[#This Row],[Facing sector]]&lt;&gt;"",Table10[[#This Row],[Height
(m)]]&lt;&gt;"",Table10[[#This Row],[Width
(m)]]&lt;&gt;""),"I","")</f>
        <v/>
      </c>
      <c r="C120" s="1261" t="str">
        <f>IF('13.3 External Glazing'!D66="","",'13.3 External Glazing'!D66)</f>
        <v/>
      </c>
      <c r="D120" s="1262" t="str">
        <f>IF('13.3 External Glazing'!F66="","",'13.3 External Glazing'!F66)</f>
        <v/>
      </c>
      <c r="E120" s="1262" t="str">
        <f>IF('13.3 External Glazing'!G66="","",'13.3 External Glazing'!G66)</f>
        <v/>
      </c>
      <c r="F120" s="1262" t="str">
        <f>IF('13.3 External Glazing'!H66="","",'13.3 External Glazing'!H66)</f>
        <v/>
      </c>
      <c r="G120" s="1262" t="str">
        <f>CONCATENATE(IF('13.3 External Glazing'!O66="","","Total system U-Value of "&amp;'13.3 External Glazing'!O66&amp;", "),
IF('13.3 External Glazing'!P66="","","Total system SHGC of "&amp;'13.3 External Glazing'!P66))</f>
        <v/>
      </c>
      <c r="H120" s="1263" t="str">
        <f>CONCATENATE(IF('13.3 External Glazing'!Q66="","","P:"&amp;'13.3 External Glazing'!Q66&amp;", "),
IF('13.3 External Glazing'!P66="","","H:"&amp;'13.3 External Glazing'!P66))</f>
        <v/>
      </c>
    </row>
    <row r="121" spans="2:8" s="22" customFormat="1" ht="15.5" x14ac:dyDescent="0.35">
      <c r="B121" s="1260" t="str">
        <f>IF(OR(Table10[[#This Row],[Window/glazed door no.]]&lt;&gt;"",Table10[[#This Row],[Facing sector]]&lt;&gt;"",Table10[[#This Row],[Height
(m)]]&lt;&gt;"",Table10[[#This Row],[Width
(m)]]&lt;&gt;""),"I","")</f>
        <v/>
      </c>
      <c r="C121" s="1261" t="str">
        <f>IF('13.3 External Glazing'!D67="","",'13.3 External Glazing'!D67)</f>
        <v/>
      </c>
      <c r="D121" s="1262" t="str">
        <f>IF('13.3 External Glazing'!F67="","",'13.3 External Glazing'!F67)</f>
        <v/>
      </c>
      <c r="E121" s="1262" t="str">
        <f>IF('13.3 External Glazing'!G67="","",'13.3 External Glazing'!G67)</f>
        <v/>
      </c>
      <c r="F121" s="1262" t="str">
        <f>IF('13.3 External Glazing'!H67="","",'13.3 External Glazing'!H67)</f>
        <v/>
      </c>
      <c r="G121" s="1262" t="str">
        <f>CONCATENATE(IF('13.3 External Glazing'!O67="","","Total system U-Value of "&amp;'13.3 External Glazing'!O67&amp;", "),
IF('13.3 External Glazing'!P67="","","Total system SHGC of "&amp;'13.3 External Glazing'!P67))</f>
        <v/>
      </c>
      <c r="H121" s="1263" t="str">
        <f>CONCATENATE(IF('13.3 External Glazing'!Q67="","","P:"&amp;'13.3 External Glazing'!Q67&amp;", "),
IF('13.3 External Glazing'!P67="","","H:"&amp;'13.3 External Glazing'!P67))</f>
        <v/>
      </c>
    </row>
    <row r="122" spans="2:8" s="22" customFormat="1" ht="15.5" x14ac:dyDescent="0.35">
      <c r="B122" s="1260" t="str">
        <f>IF(OR(Table10[[#This Row],[Window/glazed door no.]]&lt;&gt;"",Table10[[#This Row],[Facing sector]]&lt;&gt;"",Table10[[#This Row],[Height
(m)]]&lt;&gt;"",Table10[[#This Row],[Width
(m)]]&lt;&gt;""),"I","")</f>
        <v/>
      </c>
      <c r="C122" s="1261" t="str">
        <f>IF('13.3 External Glazing'!D68="","",'13.3 External Glazing'!D68)</f>
        <v/>
      </c>
      <c r="D122" s="1262" t="str">
        <f>IF('13.3 External Glazing'!F68="","",'13.3 External Glazing'!F68)</f>
        <v/>
      </c>
      <c r="E122" s="1262" t="str">
        <f>IF('13.3 External Glazing'!G68="","",'13.3 External Glazing'!G68)</f>
        <v/>
      </c>
      <c r="F122" s="1262" t="str">
        <f>IF('13.3 External Glazing'!H68="","",'13.3 External Glazing'!H68)</f>
        <v/>
      </c>
      <c r="G122" s="1262" t="str">
        <f>CONCATENATE(IF('13.3 External Glazing'!O68="","","Total system U-Value of "&amp;'13.3 External Glazing'!O68&amp;", "),
IF('13.3 External Glazing'!P68="","","Total system SHGC of "&amp;'13.3 External Glazing'!P68))</f>
        <v/>
      </c>
      <c r="H122" s="1263" t="str">
        <f>CONCATENATE(IF('13.3 External Glazing'!Q68="","","P:"&amp;'13.3 External Glazing'!Q68&amp;", "),
IF('13.3 External Glazing'!P68="","","H:"&amp;'13.3 External Glazing'!P68))</f>
        <v/>
      </c>
    </row>
    <row r="123" spans="2:8" s="22" customFormat="1" ht="15.5" x14ac:dyDescent="0.35">
      <c r="B123" s="1260" t="str">
        <f>IF(OR(Table10[[#This Row],[Window/glazed door no.]]&lt;&gt;"",Table10[[#This Row],[Facing sector]]&lt;&gt;"",Table10[[#This Row],[Height
(m)]]&lt;&gt;"",Table10[[#This Row],[Width
(m)]]&lt;&gt;""),"I","")</f>
        <v/>
      </c>
      <c r="C123" s="1261" t="str">
        <f>IF('13.3 External Glazing'!D69="","",'13.3 External Glazing'!D69)</f>
        <v/>
      </c>
      <c r="D123" s="1262" t="str">
        <f>IF('13.3 External Glazing'!F69="","",'13.3 External Glazing'!F69)</f>
        <v/>
      </c>
      <c r="E123" s="1262" t="str">
        <f>IF('13.3 External Glazing'!G69="","",'13.3 External Glazing'!G69)</f>
        <v/>
      </c>
      <c r="F123" s="1262" t="str">
        <f>IF('13.3 External Glazing'!H69="","",'13.3 External Glazing'!H69)</f>
        <v/>
      </c>
      <c r="G123" s="1262" t="str">
        <f>CONCATENATE(IF('13.3 External Glazing'!O69="","","Total system U-Value of "&amp;'13.3 External Glazing'!O69&amp;", "),
IF('13.3 External Glazing'!P69="","","Total system SHGC of "&amp;'13.3 External Glazing'!P69))</f>
        <v/>
      </c>
      <c r="H123" s="1263" t="str">
        <f>CONCATENATE(IF('13.3 External Glazing'!Q69="","","P:"&amp;'13.3 External Glazing'!Q69&amp;", "),
IF('13.3 External Glazing'!P69="","","H:"&amp;'13.3 External Glazing'!P69))</f>
        <v/>
      </c>
    </row>
    <row r="124" spans="2:8" s="22" customFormat="1" ht="15.5" x14ac:dyDescent="0.35">
      <c r="B124" s="1260" t="str">
        <f>IF(OR(Table10[[#This Row],[Window/glazed door no.]]&lt;&gt;"",Table10[[#This Row],[Facing sector]]&lt;&gt;"",Table10[[#This Row],[Height
(m)]]&lt;&gt;"",Table10[[#This Row],[Width
(m)]]&lt;&gt;""),"I","")</f>
        <v/>
      </c>
      <c r="C124" s="1261" t="str">
        <f>IF('13.3 External Glazing'!D70="","",'13.3 External Glazing'!D70)</f>
        <v/>
      </c>
      <c r="D124" s="1262" t="str">
        <f>IF('13.3 External Glazing'!F70="","",'13.3 External Glazing'!F70)</f>
        <v/>
      </c>
      <c r="E124" s="1262" t="str">
        <f>IF('13.3 External Glazing'!G70="","",'13.3 External Glazing'!G70)</f>
        <v/>
      </c>
      <c r="F124" s="1262" t="str">
        <f>IF('13.3 External Glazing'!H70="","",'13.3 External Glazing'!H70)</f>
        <v/>
      </c>
      <c r="G124" s="1262" t="str">
        <f>CONCATENATE(IF('13.3 External Glazing'!O70="","","Total system U-Value of "&amp;'13.3 External Glazing'!O70&amp;", "),
IF('13.3 External Glazing'!P70="","","Total system SHGC of "&amp;'13.3 External Glazing'!P70))</f>
        <v/>
      </c>
      <c r="H124" s="1263" t="str">
        <f>CONCATENATE(IF('13.3 External Glazing'!Q70="","","P:"&amp;'13.3 External Glazing'!Q70&amp;", "),
IF('13.3 External Glazing'!P70="","","H:"&amp;'13.3 External Glazing'!P70))</f>
        <v/>
      </c>
    </row>
    <row r="125" spans="2:8" s="22" customFormat="1" ht="15.5" x14ac:dyDescent="0.35">
      <c r="B125" s="1260" t="str">
        <f>IF(OR(Table10[[#This Row],[Window/glazed door no.]]&lt;&gt;"",Table10[[#This Row],[Facing sector]]&lt;&gt;"",Table10[[#This Row],[Height
(m)]]&lt;&gt;"",Table10[[#This Row],[Width
(m)]]&lt;&gt;""),"I","")</f>
        <v/>
      </c>
      <c r="C125" s="1261" t="str">
        <f>IF('13.3 External Glazing'!D71="","",'13.3 External Glazing'!D71)</f>
        <v/>
      </c>
      <c r="D125" s="1262" t="str">
        <f>IF('13.3 External Glazing'!F71="","",'13.3 External Glazing'!F71)</f>
        <v/>
      </c>
      <c r="E125" s="1262" t="str">
        <f>IF('13.3 External Glazing'!G71="","",'13.3 External Glazing'!G71)</f>
        <v/>
      </c>
      <c r="F125" s="1262" t="str">
        <f>IF('13.3 External Glazing'!H71="","",'13.3 External Glazing'!H71)</f>
        <v/>
      </c>
      <c r="G125" s="1262" t="str">
        <f>CONCATENATE(IF('13.3 External Glazing'!O71="","","Total system U-Value of "&amp;'13.3 External Glazing'!O71&amp;", "),
IF('13.3 External Glazing'!P71="","","Total system SHGC of "&amp;'13.3 External Glazing'!P71))</f>
        <v/>
      </c>
      <c r="H125" s="1263" t="str">
        <f>CONCATENATE(IF('13.3 External Glazing'!Q71="","","P:"&amp;'13.3 External Glazing'!Q71&amp;", "),
IF('13.3 External Glazing'!P71="","","H:"&amp;'13.3 External Glazing'!P71))</f>
        <v/>
      </c>
    </row>
    <row r="126" spans="2:8" s="22" customFormat="1" ht="15.5" x14ac:dyDescent="0.35">
      <c r="B126" s="1260" t="str">
        <f>IF(OR(Table10[[#This Row],[Window/glazed door no.]]&lt;&gt;"",Table10[[#This Row],[Facing sector]]&lt;&gt;"",Table10[[#This Row],[Height
(m)]]&lt;&gt;"",Table10[[#This Row],[Width
(m)]]&lt;&gt;""),"I","")</f>
        <v/>
      </c>
      <c r="C126" s="1261" t="str">
        <f>IF('13.3 External Glazing'!D72="","",'13.3 External Glazing'!D72)</f>
        <v/>
      </c>
      <c r="D126" s="1262" t="str">
        <f>IF('13.3 External Glazing'!F72="","",'13.3 External Glazing'!F72)</f>
        <v/>
      </c>
      <c r="E126" s="1262" t="str">
        <f>IF('13.3 External Glazing'!G72="","",'13.3 External Glazing'!G72)</f>
        <v/>
      </c>
      <c r="F126" s="1262" t="str">
        <f>IF('13.3 External Glazing'!H72="","",'13.3 External Glazing'!H72)</f>
        <v/>
      </c>
      <c r="G126" s="1262" t="str">
        <f>CONCATENATE(IF('13.3 External Glazing'!O72="","","Total system U-Value of "&amp;'13.3 External Glazing'!O72&amp;", "),
IF('13.3 External Glazing'!P72="","","Total system SHGC of "&amp;'13.3 External Glazing'!P72))</f>
        <v/>
      </c>
      <c r="H126" s="1263" t="str">
        <f>CONCATENATE(IF('13.3 External Glazing'!Q72="","","P:"&amp;'13.3 External Glazing'!Q72&amp;", "),
IF('13.3 External Glazing'!P72="","","H:"&amp;'13.3 External Glazing'!P72))</f>
        <v/>
      </c>
    </row>
    <row r="127" spans="2:8" s="22" customFormat="1" ht="15.5" x14ac:dyDescent="0.35">
      <c r="B127" s="1260" t="str">
        <f>IF(OR(Table10[[#This Row],[Window/glazed door no.]]&lt;&gt;"",Table10[[#This Row],[Facing sector]]&lt;&gt;"",Table10[[#This Row],[Height
(m)]]&lt;&gt;"",Table10[[#This Row],[Width
(m)]]&lt;&gt;""),"I","")</f>
        <v/>
      </c>
      <c r="C127" s="1261" t="str">
        <f>IF('13.3 External Glazing'!D73="","",'13.3 External Glazing'!D73)</f>
        <v/>
      </c>
      <c r="D127" s="1262" t="str">
        <f>IF('13.3 External Glazing'!F73="","",'13.3 External Glazing'!F73)</f>
        <v/>
      </c>
      <c r="E127" s="1262" t="str">
        <f>IF('13.3 External Glazing'!G73="","",'13.3 External Glazing'!G73)</f>
        <v/>
      </c>
      <c r="F127" s="1262" t="str">
        <f>IF('13.3 External Glazing'!H73="","",'13.3 External Glazing'!H73)</f>
        <v/>
      </c>
      <c r="G127" s="1262" t="str">
        <f>CONCATENATE(IF('13.3 External Glazing'!O73="","","Total system U-Value of "&amp;'13.3 External Glazing'!O73&amp;", "),
IF('13.3 External Glazing'!P73="","","Total system SHGC of "&amp;'13.3 External Glazing'!P73))</f>
        <v/>
      </c>
      <c r="H127" s="1263" t="str">
        <f>CONCATENATE(IF('13.3 External Glazing'!Q73="","","P:"&amp;'13.3 External Glazing'!Q73&amp;", "),
IF('13.3 External Glazing'!P73="","","H:"&amp;'13.3 External Glazing'!P73))</f>
        <v/>
      </c>
    </row>
    <row r="128" spans="2:8" s="22" customFormat="1" ht="15.5" x14ac:dyDescent="0.35">
      <c r="B128" s="1260" t="str">
        <f>IF(OR(Table10[[#This Row],[Window/glazed door no.]]&lt;&gt;"",Table10[[#This Row],[Facing sector]]&lt;&gt;"",Table10[[#This Row],[Height
(m)]]&lt;&gt;"",Table10[[#This Row],[Width
(m)]]&lt;&gt;""),"I","")</f>
        <v/>
      </c>
      <c r="C128" s="1261" t="str">
        <f>IF('13.3 External Glazing'!D74="","",'13.3 External Glazing'!D74)</f>
        <v/>
      </c>
      <c r="D128" s="1262" t="str">
        <f>IF('13.3 External Glazing'!F74="","",'13.3 External Glazing'!F74)</f>
        <v/>
      </c>
      <c r="E128" s="1262" t="str">
        <f>IF('13.3 External Glazing'!G74="","",'13.3 External Glazing'!G74)</f>
        <v/>
      </c>
      <c r="F128" s="1262" t="str">
        <f>IF('13.3 External Glazing'!H74="","",'13.3 External Glazing'!H74)</f>
        <v/>
      </c>
      <c r="G128" s="1262" t="str">
        <f>CONCATENATE(IF('13.3 External Glazing'!O74="","","Total system U-Value of "&amp;'13.3 External Glazing'!O74&amp;", "),
IF('13.3 External Glazing'!P74="","","Total system SHGC of "&amp;'13.3 External Glazing'!P74))</f>
        <v/>
      </c>
      <c r="H128" s="1263" t="str">
        <f>CONCATENATE(IF('13.3 External Glazing'!Q74="","","P:"&amp;'13.3 External Glazing'!Q74&amp;", "),
IF('13.3 External Glazing'!P74="","","H:"&amp;'13.3 External Glazing'!P74))</f>
        <v/>
      </c>
    </row>
    <row r="129" spans="2:8" s="22" customFormat="1" ht="15.5" x14ac:dyDescent="0.35">
      <c r="B129" s="1260" t="str">
        <f>IF(OR(Table10[[#This Row],[Window/glazed door no.]]&lt;&gt;"",Table10[[#This Row],[Facing sector]]&lt;&gt;"",Table10[[#This Row],[Height
(m)]]&lt;&gt;"",Table10[[#This Row],[Width
(m)]]&lt;&gt;""),"I","")</f>
        <v/>
      </c>
      <c r="C129" s="1261" t="str">
        <f>IF('13.3 External Glazing'!D75="","",'13.3 External Glazing'!D75)</f>
        <v/>
      </c>
      <c r="D129" s="1262" t="str">
        <f>IF('13.3 External Glazing'!F75="","",'13.3 External Glazing'!F75)</f>
        <v/>
      </c>
      <c r="E129" s="1262" t="str">
        <f>IF('13.3 External Glazing'!G75="","",'13.3 External Glazing'!G75)</f>
        <v/>
      </c>
      <c r="F129" s="1262" t="str">
        <f>IF('13.3 External Glazing'!H75="","",'13.3 External Glazing'!H75)</f>
        <v/>
      </c>
      <c r="G129" s="1262" t="str">
        <f>CONCATENATE(IF('13.3 External Glazing'!O75="","","Total system U-Value of "&amp;'13.3 External Glazing'!O75&amp;", "),
IF('13.3 External Glazing'!P75="","","Total system SHGC of "&amp;'13.3 External Glazing'!P75))</f>
        <v/>
      </c>
      <c r="H129" s="1263" t="str">
        <f>CONCATENATE(IF('13.3 External Glazing'!Q75="","","P:"&amp;'13.3 External Glazing'!Q75&amp;", "),
IF('13.3 External Glazing'!P75="","","H:"&amp;'13.3 External Glazing'!P75))</f>
        <v/>
      </c>
    </row>
    <row r="130" spans="2:8" s="22" customFormat="1" ht="15.5" x14ac:dyDescent="0.35">
      <c r="B130" s="1260" t="str">
        <f>IF(OR(Table10[[#This Row],[Window/glazed door no.]]&lt;&gt;"",Table10[[#This Row],[Facing sector]]&lt;&gt;"",Table10[[#This Row],[Height
(m)]]&lt;&gt;"",Table10[[#This Row],[Width
(m)]]&lt;&gt;""),"I","")</f>
        <v/>
      </c>
      <c r="C130" s="1261" t="str">
        <f>IF('13.3 External Glazing'!D76="","",'13.3 External Glazing'!D76)</f>
        <v/>
      </c>
      <c r="D130" s="1262" t="str">
        <f>IF('13.3 External Glazing'!F76="","",'13.3 External Glazing'!F76)</f>
        <v/>
      </c>
      <c r="E130" s="1262" t="str">
        <f>IF('13.3 External Glazing'!G76="","",'13.3 External Glazing'!G76)</f>
        <v/>
      </c>
      <c r="F130" s="1262" t="str">
        <f>IF('13.3 External Glazing'!H76="","",'13.3 External Glazing'!H76)</f>
        <v/>
      </c>
      <c r="G130" s="1262" t="str">
        <f>CONCATENATE(IF('13.3 External Glazing'!O76="","","Total system U-Value of "&amp;'13.3 External Glazing'!O76&amp;", "),
IF('13.3 External Glazing'!P76="","","Total system SHGC of "&amp;'13.3 External Glazing'!P76))</f>
        <v/>
      </c>
      <c r="H130" s="1263" t="str">
        <f>CONCATENATE(IF('13.3 External Glazing'!Q76="","","P:"&amp;'13.3 External Glazing'!Q76&amp;", "),
IF('13.3 External Glazing'!P76="","","H:"&amp;'13.3 External Glazing'!P76))</f>
        <v/>
      </c>
    </row>
    <row r="131" spans="2:8" s="22" customFormat="1" ht="15.5" x14ac:dyDescent="0.35">
      <c r="B131" s="1260" t="str">
        <f>IF(OR(Table10[[#This Row],[Window/glazed door no.]]&lt;&gt;"",Table10[[#This Row],[Facing sector]]&lt;&gt;"",Table10[[#This Row],[Height
(m)]]&lt;&gt;"",Table10[[#This Row],[Width
(m)]]&lt;&gt;""),"I","")</f>
        <v/>
      </c>
      <c r="C131" s="1261" t="str">
        <f>IF('13.3 External Glazing'!D77="","",'13.3 External Glazing'!D77)</f>
        <v/>
      </c>
      <c r="D131" s="1262" t="str">
        <f>IF('13.3 External Glazing'!F77="","",'13.3 External Glazing'!F77)</f>
        <v/>
      </c>
      <c r="E131" s="1262" t="str">
        <f>IF('13.3 External Glazing'!G77="","",'13.3 External Glazing'!G77)</f>
        <v/>
      </c>
      <c r="F131" s="1262" t="str">
        <f>IF('13.3 External Glazing'!H77="","",'13.3 External Glazing'!H77)</f>
        <v/>
      </c>
      <c r="G131" s="1262" t="str">
        <f>CONCATENATE(IF('13.3 External Glazing'!O77="","","Total system U-Value of "&amp;'13.3 External Glazing'!O77&amp;", "),
IF('13.3 External Glazing'!P77="","","Total system SHGC of "&amp;'13.3 External Glazing'!P77))</f>
        <v/>
      </c>
      <c r="H131" s="1263" t="str">
        <f>CONCATENATE(IF('13.3 External Glazing'!Q77="","","P:"&amp;'13.3 External Glazing'!Q77&amp;", "),
IF('13.3 External Glazing'!P77="","","H:"&amp;'13.3 External Glazing'!P77))</f>
        <v/>
      </c>
    </row>
    <row r="132" spans="2:8" s="22" customFormat="1" ht="15.5" x14ac:dyDescent="0.35">
      <c r="B132" s="1260" t="str">
        <f>IF(OR(Table10[[#This Row],[Window/glazed door no.]]&lt;&gt;"",Table10[[#This Row],[Facing sector]]&lt;&gt;"",Table10[[#This Row],[Height
(m)]]&lt;&gt;"",Table10[[#This Row],[Width
(m)]]&lt;&gt;""),"I","")</f>
        <v/>
      </c>
      <c r="C132" s="1261" t="str">
        <f>IF('13.3 External Glazing'!D78="","",'13.3 External Glazing'!D78)</f>
        <v/>
      </c>
      <c r="D132" s="1262" t="str">
        <f>IF('13.3 External Glazing'!F78="","",'13.3 External Glazing'!F78)</f>
        <v/>
      </c>
      <c r="E132" s="1262" t="str">
        <f>IF('13.3 External Glazing'!G78="","",'13.3 External Glazing'!G78)</f>
        <v/>
      </c>
      <c r="F132" s="1262" t="str">
        <f>IF('13.3 External Glazing'!H78="","",'13.3 External Glazing'!H78)</f>
        <v/>
      </c>
      <c r="G132" s="1262" t="str">
        <f>CONCATENATE(IF('13.3 External Glazing'!O78="","","Total system U-Value of "&amp;'13.3 External Glazing'!O78&amp;", "),
IF('13.3 External Glazing'!P78="","","Total system SHGC of "&amp;'13.3 External Glazing'!P78))</f>
        <v/>
      </c>
      <c r="H132" s="1263" t="str">
        <f>CONCATENATE(IF('13.3 External Glazing'!Q78="","","P:"&amp;'13.3 External Glazing'!Q78&amp;", "),
IF('13.3 External Glazing'!P78="","","H:"&amp;'13.3 External Glazing'!P78))</f>
        <v/>
      </c>
    </row>
    <row r="133" spans="2:8" s="22" customFormat="1" ht="15.5" x14ac:dyDescent="0.35">
      <c r="B133" s="1260" t="str">
        <f>IF(OR(Table10[[#This Row],[Window/glazed door no.]]&lt;&gt;"",Table10[[#This Row],[Facing sector]]&lt;&gt;"",Table10[[#This Row],[Height
(m)]]&lt;&gt;"",Table10[[#This Row],[Width
(m)]]&lt;&gt;""),"I","")</f>
        <v/>
      </c>
      <c r="C133" s="1261" t="str">
        <f>IF('13.3 External Glazing'!D79="","",'13.3 External Glazing'!D79)</f>
        <v/>
      </c>
      <c r="D133" s="1262" t="str">
        <f>IF('13.3 External Glazing'!F79="","",'13.3 External Glazing'!F79)</f>
        <v/>
      </c>
      <c r="E133" s="1262" t="str">
        <f>IF('13.3 External Glazing'!G79="","",'13.3 External Glazing'!G79)</f>
        <v/>
      </c>
      <c r="F133" s="1262" t="str">
        <f>IF('13.3 External Glazing'!H79="","",'13.3 External Glazing'!H79)</f>
        <v/>
      </c>
      <c r="G133" s="1262" t="str">
        <f>CONCATENATE(IF('13.3 External Glazing'!O79="","","Total system U-Value of "&amp;'13.3 External Glazing'!O79&amp;", "),
IF('13.3 External Glazing'!P79="","","Total system SHGC of "&amp;'13.3 External Glazing'!P79))</f>
        <v/>
      </c>
      <c r="H133" s="1263" t="str">
        <f>CONCATENATE(IF('13.3 External Glazing'!Q79="","","P:"&amp;'13.3 External Glazing'!Q79&amp;", "),
IF('13.3 External Glazing'!P79="","","H:"&amp;'13.3 External Glazing'!P79))</f>
        <v/>
      </c>
    </row>
    <row r="134" spans="2:8" s="22" customFormat="1" ht="15.5" x14ac:dyDescent="0.35">
      <c r="B134" s="1260" t="str">
        <f>IF(OR(Table10[[#This Row],[Window/glazed door no.]]&lt;&gt;"",Table10[[#This Row],[Facing sector]]&lt;&gt;"",Table10[[#This Row],[Height
(m)]]&lt;&gt;"",Table10[[#This Row],[Width
(m)]]&lt;&gt;""),"I","")</f>
        <v/>
      </c>
      <c r="C134" s="1261" t="str">
        <f>IF('13.3 External Glazing'!D80="","",'13.3 External Glazing'!D80)</f>
        <v/>
      </c>
      <c r="D134" s="1262" t="str">
        <f>IF('13.3 External Glazing'!F80="","",'13.3 External Glazing'!F80)</f>
        <v/>
      </c>
      <c r="E134" s="1262" t="str">
        <f>IF('13.3 External Glazing'!G80="","",'13.3 External Glazing'!G80)</f>
        <v/>
      </c>
      <c r="F134" s="1262" t="str">
        <f>IF('13.3 External Glazing'!H80="","",'13.3 External Glazing'!H80)</f>
        <v/>
      </c>
      <c r="G134" s="1262" t="str">
        <f>CONCATENATE(IF('13.3 External Glazing'!O80="","","Total system U-Value of "&amp;'13.3 External Glazing'!O80&amp;", "),
IF('13.3 External Glazing'!P80="","","Total system SHGC of "&amp;'13.3 External Glazing'!P80))</f>
        <v/>
      </c>
      <c r="H134" s="1263" t="str">
        <f>CONCATENATE(IF('13.3 External Glazing'!Q80="","","P:"&amp;'13.3 External Glazing'!Q80&amp;", "),
IF('13.3 External Glazing'!P80="","","H:"&amp;'13.3 External Glazing'!P80))</f>
        <v/>
      </c>
    </row>
    <row r="135" spans="2:8" s="22" customFormat="1" ht="15.5" x14ac:dyDescent="0.35">
      <c r="B135" s="1260" t="str">
        <f>IF(OR(Table10[[#This Row],[Window/glazed door no.]]&lt;&gt;"",Table10[[#This Row],[Facing sector]]&lt;&gt;"",Table10[[#This Row],[Height
(m)]]&lt;&gt;"",Table10[[#This Row],[Width
(m)]]&lt;&gt;""),"I","")</f>
        <v/>
      </c>
      <c r="C135" s="1261" t="str">
        <f>IF('13.3 External Glazing'!D81="","",'13.3 External Glazing'!D81)</f>
        <v/>
      </c>
      <c r="D135" s="1262" t="str">
        <f>IF('13.3 External Glazing'!F81="","",'13.3 External Glazing'!F81)</f>
        <v/>
      </c>
      <c r="E135" s="1262" t="str">
        <f>IF('13.3 External Glazing'!G81="","",'13.3 External Glazing'!G81)</f>
        <v/>
      </c>
      <c r="F135" s="1262" t="str">
        <f>IF('13.3 External Glazing'!H81="","",'13.3 External Glazing'!H81)</f>
        <v/>
      </c>
      <c r="G135" s="1262" t="str">
        <f>CONCATENATE(IF('13.3 External Glazing'!O81="","","Total system U-Value of "&amp;'13.3 External Glazing'!O81&amp;", "),
IF('13.3 External Glazing'!P81="","","Total system SHGC of "&amp;'13.3 External Glazing'!P81))</f>
        <v/>
      </c>
      <c r="H135" s="1263" t="str">
        <f>CONCATENATE(IF('13.3 External Glazing'!Q81="","","P:"&amp;'13.3 External Glazing'!Q81&amp;", "),
IF('13.3 External Glazing'!P81="","","H:"&amp;'13.3 External Glazing'!P81))</f>
        <v/>
      </c>
    </row>
    <row r="136" spans="2:8" s="22" customFormat="1" ht="15.5" x14ac:dyDescent="0.35">
      <c r="B136" s="1260" t="str">
        <f>IF(OR(Table10[[#This Row],[Window/glazed door no.]]&lt;&gt;"",Table10[[#This Row],[Facing sector]]&lt;&gt;"",Table10[[#This Row],[Height
(m)]]&lt;&gt;"",Table10[[#This Row],[Width
(m)]]&lt;&gt;""),"I","")</f>
        <v/>
      </c>
      <c r="C136" s="1261" t="str">
        <f>IF('13.3 External Glazing'!D82="","",'13.3 External Glazing'!D82)</f>
        <v/>
      </c>
      <c r="D136" s="1262" t="str">
        <f>IF('13.3 External Glazing'!F82="","",'13.3 External Glazing'!F82)</f>
        <v/>
      </c>
      <c r="E136" s="1262" t="str">
        <f>IF('13.3 External Glazing'!G82="","",'13.3 External Glazing'!G82)</f>
        <v/>
      </c>
      <c r="F136" s="1262" t="str">
        <f>IF('13.3 External Glazing'!H82="","",'13.3 External Glazing'!H82)</f>
        <v/>
      </c>
      <c r="G136" s="1262" t="str">
        <f>CONCATENATE(IF('13.3 External Glazing'!O82="","","Total system U-Value of "&amp;'13.3 External Glazing'!O82&amp;", "),
IF('13.3 External Glazing'!P82="","","Total system SHGC of "&amp;'13.3 External Glazing'!P82))</f>
        <v/>
      </c>
      <c r="H136" s="1263" t="str">
        <f>CONCATENATE(IF('13.3 External Glazing'!Q82="","","P:"&amp;'13.3 External Glazing'!Q82&amp;", "),
IF('13.3 External Glazing'!P82="","","H:"&amp;'13.3 External Glazing'!P82))</f>
        <v/>
      </c>
    </row>
    <row r="137" spans="2:8" s="22" customFormat="1" ht="15.5" x14ac:dyDescent="0.35">
      <c r="B137" s="1260" t="str">
        <f>IF(OR(Table10[[#This Row],[Window/glazed door no.]]&lt;&gt;"",Table10[[#This Row],[Facing sector]]&lt;&gt;"",Table10[[#This Row],[Height
(m)]]&lt;&gt;"",Table10[[#This Row],[Width
(m)]]&lt;&gt;""),"I","")</f>
        <v/>
      </c>
      <c r="C137" s="1261" t="str">
        <f>IF('13.3 External Glazing'!D83="","",'13.3 External Glazing'!D83)</f>
        <v/>
      </c>
      <c r="D137" s="1262" t="str">
        <f>IF('13.3 External Glazing'!F83="","",'13.3 External Glazing'!F83)</f>
        <v/>
      </c>
      <c r="E137" s="1262" t="str">
        <f>IF('13.3 External Glazing'!G83="","",'13.3 External Glazing'!G83)</f>
        <v/>
      </c>
      <c r="F137" s="1262" t="str">
        <f>IF('13.3 External Glazing'!H83="","",'13.3 External Glazing'!H83)</f>
        <v/>
      </c>
      <c r="G137" s="1262" t="str">
        <f>CONCATENATE(IF('13.3 External Glazing'!O83="","","Total system U-Value of "&amp;'13.3 External Glazing'!O83&amp;", "),
IF('13.3 External Glazing'!P83="","","Total system SHGC of "&amp;'13.3 External Glazing'!P83))</f>
        <v/>
      </c>
      <c r="H137" s="1263" t="str">
        <f>CONCATENATE(IF('13.3 External Glazing'!Q83="","","P:"&amp;'13.3 External Glazing'!Q83&amp;", "),
IF('13.3 External Glazing'!P83="","","H:"&amp;'13.3 External Glazing'!P83))</f>
        <v/>
      </c>
    </row>
    <row r="138" spans="2:8" s="22" customFormat="1" ht="15.5" x14ac:dyDescent="0.35">
      <c r="B138" s="1260" t="str">
        <f>IF(OR(Table10[[#This Row],[Window/glazed door no.]]&lt;&gt;"",Table10[[#This Row],[Facing sector]]&lt;&gt;"",Table10[[#This Row],[Height
(m)]]&lt;&gt;"",Table10[[#This Row],[Width
(m)]]&lt;&gt;""),"I","")</f>
        <v/>
      </c>
      <c r="C138" s="1261" t="str">
        <f>IF('13.3 External Glazing'!D84="","",'13.3 External Glazing'!D84)</f>
        <v/>
      </c>
      <c r="D138" s="1262" t="str">
        <f>IF('13.3 External Glazing'!F84="","",'13.3 External Glazing'!F84)</f>
        <v/>
      </c>
      <c r="E138" s="1262" t="str">
        <f>IF('13.3 External Glazing'!G84="","",'13.3 External Glazing'!G84)</f>
        <v/>
      </c>
      <c r="F138" s="1262" t="str">
        <f>IF('13.3 External Glazing'!H84="","",'13.3 External Glazing'!H84)</f>
        <v/>
      </c>
      <c r="G138" s="1262" t="str">
        <f>CONCATENATE(IF('13.3 External Glazing'!O84="","","Total system U-Value of "&amp;'13.3 External Glazing'!O84&amp;", "),
IF('13.3 External Glazing'!P84="","","Total system SHGC of "&amp;'13.3 External Glazing'!P84))</f>
        <v/>
      </c>
      <c r="H138" s="1263" t="str">
        <f>CONCATENATE(IF('13.3 External Glazing'!Q84="","","P:"&amp;'13.3 External Glazing'!Q84&amp;", "),
IF('13.3 External Glazing'!P84="","","H:"&amp;'13.3 External Glazing'!P84))</f>
        <v/>
      </c>
    </row>
    <row r="139" spans="2:8" s="22" customFormat="1" ht="15.5" x14ac:dyDescent="0.35">
      <c r="B139" s="1260" t="str">
        <f>IF(OR(Table10[[#This Row],[Window/glazed door no.]]&lt;&gt;"",Table10[[#This Row],[Facing sector]]&lt;&gt;"",Table10[[#This Row],[Height
(m)]]&lt;&gt;"",Table10[[#This Row],[Width
(m)]]&lt;&gt;""),"I","")</f>
        <v/>
      </c>
      <c r="C139" s="1261" t="str">
        <f>IF('13.3 External Glazing'!D85="","",'13.3 External Glazing'!D85)</f>
        <v/>
      </c>
      <c r="D139" s="1262" t="str">
        <f>IF('13.3 External Glazing'!F85="","",'13.3 External Glazing'!F85)</f>
        <v/>
      </c>
      <c r="E139" s="1262" t="str">
        <f>IF('13.3 External Glazing'!G85="","",'13.3 External Glazing'!G85)</f>
        <v/>
      </c>
      <c r="F139" s="1262" t="str">
        <f>IF('13.3 External Glazing'!H85="","",'13.3 External Glazing'!H85)</f>
        <v/>
      </c>
      <c r="G139" s="1262" t="str">
        <f>CONCATENATE(IF('13.3 External Glazing'!O85="","","Total system U-Value of "&amp;'13.3 External Glazing'!O85&amp;", "),
IF('13.3 External Glazing'!P85="","","Total system SHGC of "&amp;'13.3 External Glazing'!P85))</f>
        <v/>
      </c>
      <c r="H139" s="1263" t="str">
        <f>CONCATENATE(IF('13.3 External Glazing'!Q85="","","P:"&amp;'13.3 External Glazing'!Q85&amp;", "),
IF('13.3 External Glazing'!P85="","","H:"&amp;'13.3 External Glazing'!P85))</f>
        <v/>
      </c>
    </row>
    <row r="140" spans="2:8" s="22" customFormat="1" ht="15.5" x14ac:dyDescent="0.35">
      <c r="B140" s="1260" t="str">
        <f>IF(OR(Table10[[#This Row],[Window/glazed door no.]]&lt;&gt;"",Table10[[#This Row],[Facing sector]]&lt;&gt;"",Table10[[#This Row],[Height
(m)]]&lt;&gt;"",Table10[[#This Row],[Width
(m)]]&lt;&gt;""),"I","")</f>
        <v/>
      </c>
      <c r="C140" s="1261" t="str">
        <f>IF('13.3 External Glazing'!D86="","",'13.3 External Glazing'!D86)</f>
        <v/>
      </c>
      <c r="D140" s="1262" t="str">
        <f>IF('13.3 External Glazing'!F86="","",'13.3 External Glazing'!F86)</f>
        <v/>
      </c>
      <c r="E140" s="1262" t="str">
        <f>IF('13.3 External Glazing'!G86="","",'13.3 External Glazing'!G86)</f>
        <v/>
      </c>
      <c r="F140" s="1262" t="str">
        <f>IF('13.3 External Glazing'!H86="","",'13.3 External Glazing'!H86)</f>
        <v/>
      </c>
      <c r="G140" s="1262" t="str">
        <f>CONCATENATE(IF('13.3 External Glazing'!O86="","","Total system U-Value of "&amp;'13.3 External Glazing'!O86&amp;", "),
IF('13.3 External Glazing'!P86="","","Total system SHGC of "&amp;'13.3 External Glazing'!P86))</f>
        <v/>
      </c>
      <c r="H140" s="1263" t="str">
        <f>CONCATENATE(IF('13.3 External Glazing'!Q86="","","P:"&amp;'13.3 External Glazing'!Q86&amp;", "),
IF('13.3 External Glazing'!P86="","","H:"&amp;'13.3 External Glazing'!P86))</f>
        <v/>
      </c>
    </row>
    <row r="141" spans="2:8" s="22" customFormat="1" ht="15.5" x14ac:dyDescent="0.35">
      <c r="B141" s="1260" t="str">
        <f>IF(OR(Table10[[#This Row],[Window/glazed door no.]]&lt;&gt;"",Table10[[#This Row],[Facing sector]]&lt;&gt;"",Table10[[#This Row],[Height
(m)]]&lt;&gt;"",Table10[[#This Row],[Width
(m)]]&lt;&gt;""),"I","")</f>
        <v/>
      </c>
      <c r="C141" s="1261" t="str">
        <f>IF('13.3 External Glazing'!D87="","",'13.3 External Glazing'!D87)</f>
        <v/>
      </c>
      <c r="D141" s="1262" t="str">
        <f>IF('13.3 External Glazing'!F87="","",'13.3 External Glazing'!F87)</f>
        <v/>
      </c>
      <c r="E141" s="1262" t="str">
        <f>IF('13.3 External Glazing'!G87="","",'13.3 External Glazing'!G87)</f>
        <v/>
      </c>
      <c r="F141" s="1262" t="str">
        <f>IF('13.3 External Glazing'!H87="","",'13.3 External Glazing'!H87)</f>
        <v/>
      </c>
      <c r="G141" s="1262" t="str">
        <f>CONCATENATE(IF('13.3 External Glazing'!O87="","","Total system U-Value of "&amp;'13.3 External Glazing'!O87&amp;", "),
IF('13.3 External Glazing'!P87="","","Total system SHGC of "&amp;'13.3 External Glazing'!P87))</f>
        <v/>
      </c>
      <c r="H141" s="1263" t="str">
        <f>CONCATENATE(IF('13.3 External Glazing'!Q87="","","P:"&amp;'13.3 External Glazing'!Q87&amp;", "),
IF('13.3 External Glazing'!P87="","","H:"&amp;'13.3 External Glazing'!P87))</f>
        <v/>
      </c>
    </row>
    <row r="142" spans="2:8" s="22" customFormat="1" ht="15.5" x14ac:dyDescent="0.35">
      <c r="B142" s="1260" t="str">
        <f>IF(OR(Table10[[#This Row],[Window/glazed door no.]]&lt;&gt;"",Table10[[#This Row],[Facing sector]]&lt;&gt;"",Table10[[#This Row],[Height
(m)]]&lt;&gt;"",Table10[[#This Row],[Width
(m)]]&lt;&gt;""),"I","")</f>
        <v/>
      </c>
      <c r="C142" s="1261" t="str">
        <f>IF('13.3 External Glazing'!D88="","",'13.3 External Glazing'!D88)</f>
        <v/>
      </c>
      <c r="D142" s="1262" t="str">
        <f>IF('13.3 External Glazing'!F88="","",'13.3 External Glazing'!F88)</f>
        <v/>
      </c>
      <c r="E142" s="1262" t="str">
        <f>IF('13.3 External Glazing'!G88="","",'13.3 External Glazing'!G88)</f>
        <v/>
      </c>
      <c r="F142" s="1262" t="str">
        <f>IF('13.3 External Glazing'!H88="","",'13.3 External Glazing'!H88)</f>
        <v/>
      </c>
      <c r="G142" s="1262" t="str">
        <f>CONCATENATE(IF('13.3 External Glazing'!O88="","","Total system U-Value of "&amp;'13.3 External Glazing'!O88&amp;", "),
IF('13.3 External Glazing'!P88="","","Total system SHGC of "&amp;'13.3 External Glazing'!P88))</f>
        <v/>
      </c>
      <c r="H142" s="1263" t="str">
        <f>CONCATENATE(IF('13.3 External Glazing'!Q88="","","P:"&amp;'13.3 External Glazing'!Q88&amp;", "),
IF('13.3 External Glazing'!P88="","","H:"&amp;'13.3 External Glazing'!P88))</f>
        <v/>
      </c>
    </row>
    <row r="143" spans="2:8" s="22" customFormat="1" ht="15.5" x14ac:dyDescent="0.35">
      <c r="B143" s="1260" t="str">
        <f>IF(OR(Table10[[#This Row],[Window/glazed door no.]]&lt;&gt;"",Table10[[#This Row],[Facing sector]]&lt;&gt;"",Table10[[#This Row],[Height
(m)]]&lt;&gt;"",Table10[[#This Row],[Width
(m)]]&lt;&gt;""),"I","")</f>
        <v/>
      </c>
      <c r="C143" s="1261" t="str">
        <f>IF('13.3 External Glazing'!D89="","",'13.3 External Glazing'!D89)</f>
        <v/>
      </c>
      <c r="D143" s="1262" t="str">
        <f>IF('13.3 External Glazing'!F89="","",'13.3 External Glazing'!F89)</f>
        <v/>
      </c>
      <c r="E143" s="1262" t="str">
        <f>IF('13.3 External Glazing'!G89="","",'13.3 External Glazing'!G89)</f>
        <v/>
      </c>
      <c r="F143" s="1262" t="str">
        <f>IF('13.3 External Glazing'!H89="","",'13.3 External Glazing'!H89)</f>
        <v/>
      </c>
      <c r="G143" s="1262" t="str">
        <f>CONCATENATE(IF('13.3 External Glazing'!O89="","","Total system U-Value of "&amp;'13.3 External Glazing'!O89&amp;", "),
IF('13.3 External Glazing'!P89="","","Total system SHGC of "&amp;'13.3 External Glazing'!P89))</f>
        <v/>
      </c>
      <c r="H143" s="1263" t="str">
        <f>CONCATENATE(IF('13.3 External Glazing'!Q89="","","P:"&amp;'13.3 External Glazing'!Q89&amp;", "),
IF('13.3 External Glazing'!P89="","","H:"&amp;'13.3 External Glazing'!P89))</f>
        <v/>
      </c>
    </row>
    <row r="144" spans="2:8" s="22" customFormat="1" ht="15.5" x14ac:dyDescent="0.35">
      <c r="B144" s="1260" t="str">
        <f>IF(OR(Table10[[#This Row],[Window/glazed door no.]]&lt;&gt;"",Table10[[#This Row],[Facing sector]]&lt;&gt;"",Table10[[#This Row],[Height
(m)]]&lt;&gt;"",Table10[[#This Row],[Width
(m)]]&lt;&gt;""),"I","")</f>
        <v/>
      </c>
      <c r="C144" s="1261" t="str">
        <f>IF('13.3 External Glazing'!D90="","",'13.3 External Glazing'!D90)</f>
        <v/>
      </c>
      <c r="D144" s="1262" t="str">
        <f>IF('13.3 External Glazing'!F90="","",'13.3 External Glazing'!F90)</f>
        <v/>
      </c>
      <c r="E144" s="1262" t="str">
        <f>IF('13.3 External Glazing'!G90="","",'13.3 External Glazing'!G90)</f>
        <v/>
      </c>
      <c r="F144" s="1262" t="str">
        <f>IF('13.3 External Glazing'!H90="","",'13.3 External Glazing'!H90)</f>
        <v/>
      </c>
      <c r="G144" s="1262" t="str">
        <f>CONCATENATE(IF('13.3 External Glazing'!O90="","","Total system U-Value of "&amp;'13.3 External Glazing'!O90&amp;", "),
IF('13.3 External Glazing'!P90="","","Total system SHGC of "&amp;'13.3 External Glazing'!P90))</f>
        <v/>
      </c>
      <c r="H144" s="1263" t="str">
        <f>CONCATENATE(IF('13.3 External Glazing'!Q90="","","P:"&amp;'13.3 External Glazing'!Q90&amp;", "),
IF('13.3 External Glazing'!P90="","","H:"&amp;'13.3 External Glazing'!P90))</f>
        <v/>
      </c>
    </row>
    <row r="145" spans="2:8" s="22" customFormat="1" ht="15.5" x14ac:dyDescent="0.35">
      <c r="B145" s="1260" t="str">
        <f>IF(OR(Table10[[#This Row],[Window/glazed door no.]]&lt;&gt;"",Table10[[#This Row],[Facing sector]]&lt;&gt;"",Table10[[#This Row],[Height
(m)]]&lt;&gt;"",Table10[[#This Row],[Width
(m)]]&lt;&gt;""),"I","")</f>
        <v/>
      </c>
      <c r="C145" s="1261" t="str">
        <f>IF('13.3 External Glazing'!D91="","",'13.3 External Glazing'!D91)</f>
        <v/>
      </c>
      <c r="D145" s="1262" t="str">
        <f>IF('13.3 External Glazing'!F91="","",'13.3 External Glazing'!F91)</f>
        <v/>
      </c>
      <c r="E145" s="1262" t="str">
        <f>IF('13.3 External Glazing'!G91="","",'13.3 External Glazing'!G91)</f>
        <v/>
      </c>
      <c r="F145" s="1262" t="str">
        <f>IF('13.3 External Glazing'!H91="","",'13.3 External Glazing'!H91)</f>
        <v/>
      </c>
      <c r="G145" s="1262" t="str">
        <f>CONCATENATE(IF('13.3 External Glazing'!O91="","","Total system U-Value of "&amp;'13.3 External Glazing'!O91&amp;", "),
IF('13.3 External Glazing'!P91="","","Total system SHGC of "&amp;'13.3 External Glazing'!P91))</f>
        <v/>
      </c>
      <c r="H145" s="1263" t="str">
        <f>CONCATENATE(IF('13.3 External Glazing'!Q91="","","P:"&amp;'13.3 External Glazing'!Q91&amp;", "),
IF('13.3 External Glazing'!P91="","","H:"&amp;'13.3 External Glazing'!P91))</f>
        <v/>
      </c>
    </row>
    <row r="146" spans="2:8" s="22" customFormat="1" ht="15.5" x14ac:dyDescent="0.35">
      <c r="B146" s="1260" t="str">
        <f>IF(OR(Table10[[#This Row],[Window/glazed door no.]]&lt;&gt;"",Table10[[#This Row],[Facing sector]]&lt;&gt;"",Table10[[#This Row],[Height
(m)]]&lt;&gt;"",Table10[[#This Row],[Width
(m)]]&lt;&gt;""),"I","")</f>
        <v/>
      </c>
      <c r="C146" s="1261" t="str">
        <f>IF('13.3 External Glazing'!D92="","",'13.3 External Glazing'!D92)</f>
        <v/>
      </c>
      <c r="D146" s="1262" t="str">
        <f>IF('13.3 External Glazing'!F92="","",'13.3 External Glazing'!F92)</f>
        <v/>
      </c>
      <c r="E146" s="1262" t="str">
        <f>IF('13.3 External Glazing'!G92="","",'13.3 External Glazing'!G92)</f>
        <v/>
      </c>
      <c r="F146" s="1262" t="str">
        <f>IF('13.3 External Glazing'!H92="","",'13.3 External Glazing'!H92)</f>
        <v/>
      </c>
      <c r="G146" s="1262" t="str">
        <f>CONCATENATE(IF('13.3 External Glazing'!O92="","","Total system U-Value of "&amp;'13.3 External Glazing'!O92&amp;", "),
IF('13.3 External Glazing'!P92="","","Total system SHGC of "&amp;'13.3 External Glazing'!P92))</f>
        <v/>
      </c>
      <c r="H146" s="1263" t="str">
        <f>CONCATENATE(IF('13.3 External Glazing'!Q92="","","P:"&amp;'13.3 External Glazing'!Q92&amp;", "),
IF('13.3 External Glazing'!P92="","","H:"&amp;'13.3 External Glazing'!P92))</f>
        <v/>
      </c>
    </row>
    <row r="147" spans="2:8" s="22" customFormat="1" ht="15.5" x14ac:dyDescent="0.35">
      <c r="B147" s="1260" t="str">
        <f>IF(OR(Table10[[#This Row],[Window/glazed door no.]]&lt;&gt;"",Table10[[#This Row],[Facing sector]]&lt;&gt;"",Table10[[#This Row],[Height
(m)]]&lt;&gt;"",Table10[[#This Row],[Width
(m)]]&lt;&gt;""),"I","")</f>
        <v/>
      </c>
      <c r="C147" s="1261" t="str">
        <f>IF('13.3 External Glazing'!D93="","",'13.3 External Glazing'!D93)</f>
        <v/>
      </c>
      <c r="D147" s="1262" t="str">
        <f>IF('13.3 External Glazing'!F93="","",'13.3 External Glazing'!F93)</f>
        <v/>
      </c>
      <c r="E147" s="1262" t="str">
        <f>IF('13.3 External Glazing'!G93="","",'13.3 External Glazing'!G93)</f>
        <v/>
      </c>
      <c r="F147" s="1262" t="str">
        <f>IF('13.3 External Glazing'!H93="","",'13.3 External Glazing'!H93)</f>
        <v/>
      </c>
      <c r="G147" s="1262" t="str">
        <f>CONCATENATE(IF('13.3 External Glazing'!O93="","","Total system U-Value of "&amp;'13.3 External Glazing'!O93&amp;", "),
IF('13.3 External Glazing'!P93="","","Total system SHGC of "&amp;'13.3 External Glazing'!P93))</f>
        <v/>
      </c>
      <c r="H147" s="1263" t="str">
        <f>CONCATENATE(IF('13.3 External Glazing'!Q93="","","P:"&amp;'13.3 External Glazing'!Q93&amp;", "),
IF('13.3 External Glazing'!P93="","","H:"&amp;'13.3 External Glazing'!P93))</f>
        <v/>
      </c>
    </row>
    <row r="148" spans="2:8" s="22" customFormat="1" ht="15.5" x14ac:dyDescent="0.35">
      <c r="B148" s="1260" t="str">
        <f>IF(OR(Table10[[#This Row],[Window/glazed door no.]]&lt;&gt;"",Table10[[#This Row],[Facing sector]]&lt;&gt;"",Table10[[#This Row],[Height
(m)]]&lt;&gt;"",Table10[[#This Row],[Width
(m)]]&lt;&gt;""),"I","")</f>
        <v/>
      </c>
      <c r="C148" s="1261" t="str">
        <f>IF('13.3 External Glazing'!D94="","",'13.3 External Glazing'!D94)</f>
        <v/>
      </c>
      <c r="D148" s="1262" t="str">
        <f>IF('13.3 External Glazing'!F94="","",'13.3 External Glazing'!F94)</f>
        <v/>
      </c>
      <c r="E148" s="1262" t="str">
        <f>IF('13.3 External Glazing'!G94="","",'13.3 External Glazing'!G94)</f>
        <v/>
      </c>
      <c r="F148" s="1262" t="str">
        <f>IF('13.3 External Glazing'!H94="","",'13.3 External Glazing'!H94)</f>
        <v/>
      </c>
      <c r="G148" s="1262" t="str">
        <f>CONCATENATE(IF('13.3 External Glazing'!O94="","","Total system U-Value of "&amp;'13.3 External Glazing'!O94&amp;", "),
IF('13.3 External Glazing'!P94="","","Total system SHGC of "&amp;'13.3 External Glazing'!P94))</f>
        <v/>
      </c>
      <c r="H148" s="1263" t="str">
        <f>CONCATENATE(IF('13.3 External Glazing'!Q94="","","P:"&amp;'13.3 External Glazing'!Q94&amp;", "),
IF('13.3 External Glazing'!P94="","","H:"&amp;'13.3 External Glazing'!P94))</f>
        <v/>
      </c>
    </row>
    <row r="149" spans="2:8" s="22" customFormat="1" ht="15.5" x14ac:dyDescent="0.35">
      <c r="B149" s="1260" t="str">
        <f>IF(OR(Table10[[#This Row],[Window/glazed door no.]]&lt;&gt;"",Table10[[#This Row],[Facing sector]]&lt;&gt;"",Table10[[#This Row],[Height
(m)]]&lt;&gt;"",Table10[[#This Row],[Width
(m)]]&lt;&gt;""),"I","")</f>
        <v/>
      </c>
      <c r="C149" s="1261" t="str">
        <f>IF('13.3 External Glazing'!D95="","",'13.3 External Glazing'!D95)</f>
        <v/>
      </c>
      <c r="D149" s="1262" t="str">
        <f>IF('13.3 External Glazing'!F95="","",'13.3 External Glazing'!F95)</f>
        <v/>
      </c>
      <c r="E149" s="1262" t="str">
        <f>IF('13.3 External Glazing'!G95="","",'13.3 External Glazing'!G95)</f>
        <v/>
      </c>
      <c r="F149" s="1262" t="str">
        <f>IF('13.3 External Glazing'!H95="","",'13.3 External Glazing'!H95)</f>
        <v/>
      </c>
      <c r="G149" s="1262" t="str">
        <f>CONCATENATE(IF('13.3 External Glazing'!O95="","","Total system U-Value of "&amp;'13.3 External Glazing'!O95&amp;", "),
IF('13.3 External Glazing'!P95="","","Total system SHGC of "&amp;'13.3 External Glazing'!P95))</f>
        <v/>
      </c>
      <c r="H149" s="1263" t="str">
        <f>CONCATENATE(IF('13.3 External Glazing'!Q95="","","P:"&amp;'13.3 External Glazing'!Q95&amp;", "),
IF('13.3 External Glazing'!P95="","","H:"&amp;'13.3 External Glazing'!P95))</f>
        <v/>
      </c>
    </row>
    <row r="150" spans="2:8" s="22" customFormat="1" ht="15.5" x14ac:dyDescent="0.35">
      <c r="B150" s="1260" t="str">
        <f>IF(OR(Table10[[#This Row],[Window/glazed door no.]]&lt;&gt;"",Table10[[#This Row],[Facing sector]]&lt;&gt;"",Table10[[#This Row],[Height
(m)]]&lt;&gt;"",Table10[[#This Row],[Width
(m)]]&lt;&gt;""),"I","")</f>
        <v/>
      </c>
      <c r="C150" s="1261" t="str">
        <f>IF('13.3 External Glazing'!D96="","",'13.3 External Glazing'!D96)</f>
        <v/>
      </c>
      <c r="D150" s="1262" t="str">
        <f>IF('13.3 External Glazing'!F96="","",'13.3 External Glazing'!F96)</f>
        <v/>
      </c>
      <c r="E150" s="1262" t="str">
        <f>IF('13.3 External Glazing'!G96="","",'13.3 External Glazing'!G96)</f>
        <v/>
      </c>
      <c r="F150" s="1262" t="str">
        <f>IF('13.3 External Glazing'!H96="","",'13.3 External Glazing'!H96)</f>
        <v/>
      </c>
      <c r="G150" s="1262" t="str">
        <f>CONCATENATE(IF('13.3 External Glazing'!O96="","","Total system U-Value of "&amp;'13.3 External Glazing'!O96&amp;", "),
IF('13.3 External Glazing'!P96="","","Total system SHGC of "&amp;'13.3 External Glazing'!P96))</f>
        <v/>
      </c>
      <c r="H150" s="1263" t="str">
        <f>CONCATENATE(IF('13.3 External Glazing'!Q96="","","P:"&amp;'13.3 External Glazing'!Q96&amp;", "),
IF('13.3 External Glazing'!P96="","","H:"&amp;'13.3 External Glazing'!P96))</f>
        <v/>
      </c>
    </row>
    <row r="151" spans="2:8" s="22" customFormat="1" ht="15.5" x14ac:dyDescent="0.35">
      <c r="B151" s="1260" t="str">
        <f>IF(OR(Table10[[#This Row],[Window/glazed door no.]]&lt;&gt;"",Table10[[#This Row],[Facing sector]]&lt;&gt;"",Table10[[#This Row],[Height
(m)]]&lt;&gt;"",Table10[[#This Row],[Width
(m)]]&lt;&gt;""),"I","")</f>
        <v/>
      </c>
      <c r="C151" s="1261" t="str">
        <f>IF('13.3 External Glazing'!D97="","",'13.3 External Glazing'!D97)</f>
        <v/>
      </c>
      <c r="D151" s="1262" t="str">
        <f>IF('13.3 External Glazing'!F97="","",'13.3 External Glazing'!F97)</f>
        <v/>
      </c>
      <c r="E151" s="1262" t="str">
        <f>IF('13.3 External Glazing'!G97="","",'13.3 External Glazing'!G97)</f>
        <v/>
      </c>
      <c r="F151" s="1262" t="str">
        <f>IF('13.3 External Glazing'!H97="","",'13.3 External Glazing'!H97)</f>
        <v/>
      </c>
      <c r="G151" s="1262" t="str">
        <f>CONCATENATE(IF('13.3 External Glazing'!O97="","","Total system U-Value of "&amp;'13.3 External Glazing'!O97&amp;", "),
IF('13.3 External Glazing'!P97="","","Total system SHGC of "&amp;'13.3 External Glazing'!P97))</f>
        <v/>
      </c>
      <c r="H151" s="1263" t="str">
        <f>CONCATENATE(IF('13.3 External Glazing'!Q97="","","P:"&amp;'13.3 External Glazing'!Q97&amp;", "),
IF('13.3 External Glazing'!P97="","","H:"&amp;'13.3 External Glazing'!P97))</f>
        <v/>
      </c>
    </row>
    <row r="152" spans="2:8" s="22" customFormat="1" ht="15.5" x14ac:dyDescent="0.35">
      <c r="B152" s="1260" t="str">
        <f>IF(OR(Table10[[#This Row],[Window/glazed door no.]]&lt;&gt;"",Table10[[#This Row],[Facing sector]]&lt;&gt;"",Table10[[#This Row],[Height
(m)]]&lt;&gt;"",Table10[[#This Row],[Width
(m)]]&lt;&gt;""),"I","")</f>
        <v/>
      </c>
      <c r="C152" s="1261" t="str">
        <f>IF('13.3 External Glazing'!D98="","",'13.3 External Glazing'!D98)</f>
        <v/>
      </c>
      <c r="D152" s="1262" t="str">
        <f>IF('13.3 External Glazing'!F98="","",'13.3 External Glazing'!F98)</f>
        <v/>
      </c>
      <c r="E152" s="1262" t="str">
        <f>IF('13.3 External Glazing'!G98="","",'13.3 External Glazing'!G98)</f>
        <v/>
      </c>
      <c r="F152" s="1262" t="str">
        <f>IF('13.3 External Glazing'!H98="","",'13.3 External Glazing'!H98)</f>
        <v/>
      </c>
      <c r="G152" s="1262" t="str">
        <f>CONCATENATE(IF('13.3 External Glazing'!O98="","","Total system U-Value of "&amp;'13.3 External Glazing'!O98&amp;", "),
IF('13.3 External Glazing'!P98="","","Total system SHGC of "&amp;'13.3 External Glazing'!P98))</f>
        <v/>
      </c>
      <c r="H152" s="1263" t="str">
        <f>CONCATENATE(IF('13.3 External Glazing'!Q98="","","P:"&amp;'13.3 External Glazing'!Q98&amp;", "),
IF('13.3 External Glazing'!P98="","","H:"&amp;'13.3 External Glazing'!P98))</f>
        <v/>
      </c>
    </row>
    <row r="153" spans="2:8" s="22" customFormat="1" ht="15.5" x14ac:dyDescent="0.35">
      <c r="B153" s="1260" t="str">
        <f>IF(OR(Table10[[#This Row],[Window/glazed door no.]]&lt;&gt;"",Table10[[#This Row],[Facing sector]]&lt;&gt;"",Table10[[#This Row],[Height
(m)]]&lt;&gt;"",Table10[[#This Row],[Width
(m)]]&lt;&gt;""),"I","")</f>
        <v/>
      </c>
      <c r="C153" s="1264" t="str">
        <f>IF('13.3 External Glazing'!D99="","",'13.3 External Glazing'!D99)</f>
        <v/>
      </c>
      <c r="D153" s="1265" t="str">
        <f>IF('13.3 External Glazing'!F99="","",'13.3 External Glazing'!F99)</f>
        <v/>
      </c>
      <c r="E153" s="1265" t="str">
        <f>IF('13.3 External Glazing'!G99="","",'13.3 External Glazing'!G99)</f>
        <v/>
      </c>
      <c r="F153" s="1265" t="str">
        <f>IF('13.3 External Glazing'!H99="","",'13.3 External Glazing'!H99)</f>
        <v/>
      </c>
      <c r="G153" s="1265" t="str">
        <f>CONCATENATE(IF('13.3 External Glazing'!O99="","","Total system U-Value of "&amp;'13.3 External Glazing'!O99&amp;", "),
IF('13.3 External Glazing'!P99="","","Total system SHGC of "&amp;'13.3 External Glazing'!P99))</f>
        <v/>
      </c>
      <c r="H153" s="1266" t="str">
        <f>CONCATENATE(IF('13.3 External Glazing'!Q99="","","P:"&amp;'13.3 External Glazing'!Q99&amp;", "),
IF('13.3 External Glazing'!P99="","","H:"&amp;'13.3 External Glazing'!P99))</f>
        <v/>
      </c>
    </row>
    <row r="154" spans="2:8" s="22" customFormat="1" x14ac:dyDescent="0.3"/>
    <row r="155" spans="2:8" s="22" customFormat="1" x14ac:dyDescent="0.3"/>
    <row r="156" spans="2:8" s="41" customFormat="1" ht="26.25" customHeight="1" x14ac:dyDescent="0.4">
      <c r="C156" s="730" t="s">
        <v>67</v>
      </c>
      <c r="D156" s="22"/>
      <c r="E156" s="22"/>
      <c r="F156" s="22"/>
      <c r="G156" s="22"/>
      <c r="H156" s="22"/>
    </row>
    <row r="157" spans="2:8" s="41" customFormat="1" x14ac:dyDescent="0.3">
      <c r="C157" s="22"/>
      <c r="D157" s="22"/>
      <c r="E157" s="22"/>
      <c r="F157" s="22"/>
      <c r="G157" s="22"/>
      <c r="H157" s="22"/>
    </row>
    <row r="158" spans="2:8" s="41" customFormat="1" ht="26.25" customHeight="1" x14ac:dyDescent="0.4">
      <c r="C158" s="825" t="s">
        <v>68</v>
      </c>
      <c r="D158" s="22"/>
      <c r="E158" s="22"/>
      <c r="F158" s="22"/>
      <c r="G158" s="22"/>
      <c r="H158" s="22"/>
    </row>
    <row r="159" spans="2:8" s="41" customFormat="1" ht="15.5" x14ac:dyDescent="0.35">
      <c r="C159" s="731"/>
      <c r="D159" s="22"/>
      <c r="E159" s="22"/>
      <c r="F159" s="22"/>
      <c r="G159" s="22"/>
      <c r="H159" s="22"/>
    </row>
    <row r="160" spans="2:8" s="22" customFormat="1" ht="15.5" x14ac:dyDescent="0.35">
      <c r="C160" s="784" t="s">
        <v>69</v>
      </c>
    </row>
    <row r="161" spans="3:5" s="22" customFormat="1" ht="15.5" x14ac:dyDescent="0.35">
      <c r="C161" s="731"/>
    </row>
    <row r="162" spans="3:5" s="22" customFormat="1" ht="15.5" x14ac:dyDescent="0.35">
      <c r="D162" s="731"/>
    </row>
    <row r="163" spans="3:5" s="22" customFormat="1" ht="17.5" x14ac:dyDescent="0.35">
      <c r="C163" s="1087" t="s">
        <v>70</v>
      </c>
      <c r="D163" s="1087"/>
      <c r="E163" s="992" t="s">
        <v>71</v>
      </c>
    </row>
    <row r="164" spans="3:5" s="22" customFormat="1" ht="15.5" x14ac:dyDescent="0.35">
      <c r="C164" s="784" t="s">
        <v>72</v>
      </c>
      <c r="D164" s="784"/>
      <c r="E164" s="826">
        <f>SUMIFS(Table4[Number of Lights],Table4[Location of roof light],C164)</f>
        <v>0</v>
      </c>
    </row>
    <row r="165" spans="3:5" s="22" customFormat="1" ht="15.5" x14ac:dyDescent="0.35">
      <c r="C165" s="862" t="s">
        <v>73</v>
      </c>
      <c r="D165" s="862"/>
      <c r="E165" s="864">
        <f>SUMIFS(Table4[Number of Lights],Table4[Location of roof light],C165)</f>
        <v>0</v>
      </c>
    </row>
    <row r="166" spans="3:5" s="22" customFormat="1" x14ac:dyDescent="0.3"/>
    <row r="167" spans="3:5" s="22" customFormat="1" ht="18" x14ac:dyDescent="0.4">
      <c r="C167" s="825" t="s">
        <v>74</v>
      </c>
    </row>
    <row r="168" spans="3:5" s="22" customFormat="1" ht="15.5" x14ac:dyDescent="0.35">
      <c r="C168" s="731"/>
    </row>
    <row r="169" spans="3:5" s="22" customFormat="1" ht="15.5" x14ac:dyDescent="0.35">
      <c r="C169" s="784" t="s">
        <v>75</v>
      </c>
    </row>
    <row r="170" spans="3:5" s="22" customFormat="1" x14ac:dyDescent="0.3"/>
    <row r="171" spans="3:5" s="22" customFormat="1" ht="17.5" x14ac:dyDescent="0.3">
      <c r="C171" s="1086" t="s">
        <v>76</v>
      </c>
      <c r="D171" s="1086"/>
      <c r="E171" s="993" t="s">
        <v>77</v>
      </c>
    </row>
    <row r="172" spans="3:5" s="22" customFormat="1" ht="15.5" x14ac:dyDescent="0.35">
      <c r="C172" s="784" t="s">
        <v>72</v>
      </c>
      <c r="D172" s="784"/>
      <c r="E172" s="826">
        <f>COUNTIFS(Table473[Location of external doors],C172)</f>
        <v>0</v>
      </c>
    </row>
    <row r="173" spans="3:5" s="22" customFormat="1" ht="15.5" x14ac:dyDescent="0.35">
      <c r="C173" s="862" t="s">
        <v>73</v>
      </c>
      <c r="D173" s="862"/>
      <c r="E173" s="864">
        <f>COUNTIFS(Table473[Location of external doors],C173)</f>
        <v>0</v>
      </c>
    </row>
    <row r="174" spans="3:5" s="22" customFormat="1" x14ac:dyDescent="0.3"/>
    <row r="175" spans="3:5" s="22" customFormat="1" ht="18" x14ac:dyDescent="0.4">
      <c r="C175" s="730" t="s">
        <v>78</v>
      </c>
    </row>
    <row r="176" spans="3:5" s="22" customFormat="1" x14ac:dyDescent="0.3"/>
    <row r="177" spans="2:7" s="22" customFormat="1" ht="15.5" x14ac:dyDescent="0.35">
      <c r="C177" s="784" t="s">
        <v>79</v>
      </c>
    </row>
    <row r="178" spans="2:7" s="22" customFormat="1" x14ac:dyDescent="0.3"/>
    <row r="179" spans="2:7" s="22" customFormat="1" ht="18" x14ac:dyDescent="0.4">
      <c r="C179" s="825" t="s">
        <v>80</v>
      </c>
    </row>
    <row r="180" spans="2:7" s="22" customFormat="1" ht="15.5" x14ac:dyDescent="0.35">
      <c r="C180" s="731"/>
    </row>
    <row r="181" spans="2:7" s="22" customFormat="1" ht="35" x14ac:dyDescent="0.3">
      <c r="B181" s="994" t="s">
        <v>45</v>
      </c>
      <c r="C181" s="991" t="s">
        <v>81</v>
      </c>
      <c r="D181" s="991" t="s">
        <v>82</v>
      </c>
      <c r="E181" s="991" t="s">
        <v>83</v>
      </c>
      <c r="F181" s="991" t="s">
        <v>84</v>
      </c>
      <c r="G181" s="1130" t="s">
        <v>85</v>
      </c>
    </row>
    <row r="182" spans="2:7" s="22" customFormat="1" ht="15.5" x14ac:dyDescent="0.35">
      <c r="B182" s="1258" t="str">
        <f>IF(Table9[[#This Row],[Room (habitable)]]&lt;&gt;"","I","")</f>
        <v/>
      </c>
      <c r="C182" s="1262">
        <f>IF('13.5 Ceiling Fans'!G26="","",'13.5 Ceiling Fans'!G26)</f>
        <v>1</v>
      </c>
      <c r="D182" s="1262" t="str">
        <f>IF('13.5 Ceiling Fans'!I26="","",'13.5 Ceiling Fans'!I26)</f>
        <v/>
      </c>
      <c r="E182" s="1262" t="str">
        <f>IF('13.5 Ceiling Fans'!J26="","",'13.5 Ceiling Fans'!J26)</f>
        <v/>
      </c>
      <c r="F182" s="1262" t="str">
        <f>IF('13.5 Ceiling Fans'!K26="","",'13.5 Ceiling Fans'!K26)</f>
        <v/>
      </c>
      <c r="G182" s="1263" t="str">
        <f>IF('13.5 Ceiling Fans'!L26="","",'13.5 Ceiling Fans'!L26)</f>
        <v/>
      </c>
    </row>
    <row r="183" spans="2:7" s="22" customFormat="1" ht="15.5" x14ac:dyDescent="0.35">
      <c r="B183" s="1258" t="str">
        <f>IF(Table9[[#This Row],[Room (habitable)]]&lt;&gt;"","I","")</f>
        <v/>
      </c>
      <c r="C183" s="1262">
        <f>IF('13.5 Ceiling Fans'!G27="","",'13.5 Ceiling Fans'!G27)</f>
        <v>2</v>
      </c>
      <c r="D183" s="1262" t="str">
        <f>IF('13.5 Ceiling Fans'!I27="","",'13.5 Ceiling Fans'!I27)</f>
        <v/>
      </c>
      <c r="E183" s="1262" t="str">
        <f>IF('13.5 Ceiling Fans'!J27="","",'13.5 Ceiling Fans'!J27)</f>
        <v/>
      </c>
      <c r="F183" s="1262" t="str">
        <f>IF('13.5 Ceiling Fans'!K27="","",'13.5 Ceiling Fans'!K27)</f>
        <v/>
      </c>
      <c r="G183" s="1263" t="str">
        <f>IF('13.5 Ceiling Fans'!L27="","",'13.5 Ceiling Fans'!L27)</f>
        <v/>
      </c>
    </row>
    <row r="184" spans="2:7" s="22" customFormat="1" ht="15.5" x14ac:dyDescent="0.35">
      <c r="B184" s="1258" t="str">
        <f>IF(Table9[[#This Row],[Room (habitable)]]&lt;&gt;"","I","")</f>
        <v/>
      </c>
      <c r="C184" s="1262">
        <f>IF('13.5 Ceiling Fans'!G28="","",'13.5 Ceiling Fans'!G28)</f>
        <v>3</v>
      </c>
      <c r="D184" s="1262" t="str">
        <f>IF('13.5 Ceiling Fans'!I28="","",'13.5 Ceiling Fans'!I28)</f>
        <v/>
      </c>
      <c r="E184" s="1262" t="str">
        <f>IF('13.5 Ceiling Fans'!J28="","",'13.5 Ceiling Fans'!J28)</f>
        <v/>
      </c>
      <c r="F184" s="1262" t="str">
        <f>IF('13.5 Ceiling Fans'!K28="","",'13.5 Ceiling Fans'!K28)</f>
        <v/>
      </c>
      <c r="G184" s="1263" t="str">
        <f>IF('13.5 Ceiling Fans'!L28="","",'13.5 Ceiling Fans'!L28)</f>
        <v/>
      </c>
    </row>
    <row r="185" spans="2:7" s="22" customFormat="1" ht="15.5" hidden="1" x14ac:dyDescent="0.35">
      <c r="B185" s="1258" t="str">
        <f>IF(Table9[[#This Row],[Room (habitable)]]&lt;&gt;"","I","")</f>
        <v/>
      </c>
      <c r="C185" s="1262">
        <f>IF('13.5 Ceiling Fans'!G29="","",'13.5 Ceiling Fans'!G29)</f>
        <v>4</v>
      </c>
      <c r="D185" s="1262" t="str">
        <f>IF('13.5 Ceiling Fans'!I29="","",'13.5 Ceiling Fans'!I29)</f>
        <v/>
      </c>
      <c r="E185" s="1262" t="str">
        <f>IF('13.5 Ceiling Fans'!J29="","",'13.5 Ceiling Fans'!J29)</f>
        <v/>
      </c>
      <c r="F185" s="1262" t="str">
        <f>IF('13.5 Ceiling Fans'!K29="","",'13.5 Ceiling Fans'!K29)</f>
        <v/>
      </c>
      <c r="G185" s="1263" t="str">
        <f>IF('13.5 Ceiling Fans'!L29="","",'13.5 Ceiling Fans'!L29)</f>
        <v/>
      </c>
    </row>
    <row r="186" spans="2:7" s="22" customFormat="1" ht="15.5" hidden="1" x14ac:dyDescent="0.35">
      <c r="B186" s="1258" t="str">
        <f>IF(Table9[[#This Row],[Room (habitable)]]&lt;&gt;"","I","")</f>
        <v/>
      </c>
      <c r="C186" s="1262">
        <f>IF('13.5 Ceiling Fans'!G30="","",'13.5 Ceiling Fans'!G30)</f>
        <v>5</v>
      </c>
      <c r="D186" s="1262" t="str">
        <f>IF('13.5 Ceiling Fans'!I30="","",'13.5 Ceiling Fans'!I30)</f>
        <v/>
      </c>
      <c r="E186" s="1262" t="str">
        <f>IF('13.5 Ceiling Fans'!J30="","",'13.5 Ceiling Fans'!J30)</f>
        <v/>
      </c>
      <c r="F186" s="1262" t="str">
        <f>IF('13.5 Ceiling Fans'!K30="","",'13.5 Ceiling Fans'!K30)</f>
        <v/>
      </c>
      <c r="G186" s="1263" t="str">
        <f>IF('13.5 Ceiling Fans'!L30="","",'13.5 Ceiling Fans'!L30)</f>
        <v/>
      </c>
    </row>
    <row r="187" spans="2:7" s="22" customFormat="1" ht="15.5" hidden="1" x14ac:dyDescent="0.35">
      <c r="B187" s="1258" t="str">
        <f>IF(Table9[[#This Row],[Room (habitable)]]&lt;&gt;"","I","")</f>
        <v/>
      </c>
      <c r="C187" s="1262">
        <f>IF('13.5 Ceiling Fans'!G31="","",'13.5 Ceiling Fans'!G31)</f>
        <v>6</v>
      </c>
      <c r="D187" s="1262" t="str">
        <f>IF('13.5 Ceiling Fans'!I31="","",'13.5 Ceiling Fans'!I31)</f>
        <v/>
      </c>
      <c r="E187" s="1262" t="str">
        <f>IF('13.5 Ceiling Fans'!J31="","",'13.5 Ceiling Fans'!J31)</f>
        <v/>
      </c>
      <c r="F187" s="1262" t="str">
        <f>IF('13.5 Ceiling Fans'!K31="","",'13.5 Ceiling Fans'!K31)</f>
        <v/>
      </c>
      <c r="G187" s="1263" t="str">
        <f>IF('13.5 Ceiling Fans'!L31="","",'13.5 Ceiling Fans'!L31)</f>
        <v/>
      </c>
    </row>
    <row r="188" spans="2:7" s="22" customFormat="1" ht="15.5" hidden="1" x14ac:dyDescent="0.35">
      <c r="B188" s="1258" t="str">
        <f>IF(Table9[[#This Row],[Room (habitable)]]&lt;&gt;"","I","")</f>
        <v/>
      </c>
      <c r="C188" s="1262">
        <f>IF('13.5 Ceiling Fans'!G32="","",'13.5 Ceiling Fans'!G32)</f>
        <v>7</v>
      </c>
      <c r="D188" s="1262" t="str">
        <f>IF('13.5 Ceiling Fans'!I32="","",'13.5 Ceiling Fans'!I32)</f>
        <v/>
      </c>
      <c r="E188" s="1262" t="str">
        <f>IF('13.5 Ceiling Fans'!J32="","",'13.5 Ceiling Fans'!J32)</f>
        <v/>
      </c>
      <c r="F188" s="1262" t="str">
        <f>IF('13.5 Ceiling Fans'!K32="","",'13.5 Ceiling Fans'!K32)</f>
        <v/>
      </c>
      <c r="G188" s="1263" t="str">
        <f>IF('13.5 Ceiling Fans'!L32="","",'13.5 Ceiling Fans'!L32)</f>
        <v/>
      </c>
    </row>
    <row r="189" spans="2:7" s="22" customFormat="1" ht="15.5" hidden="1" x14ac:dyDescent="0.35">
      <c r="B189" s="1258" t="str">
        <f>IF(Table9[[#This Row],[Room (habitable)]]&lt;&gt;"","I","")</f>
        <v/>
      </c>
      <c r="C189" s="1262">
        <f>IF('13.5 Ceiling Fans'!G33="","",'13.5 Ceiling Fans'!G33)</f>
        <v>8</v>
      </c>
      <c r="D189" s="1262" t="str">
        <f>IF('13.5 Ceiling Fans'!I33="","",'13.5 Ceiling Fans'!I33)</f>
        <v/>
      </c>
      <c r="E189" s="1262" t="str">
        <f>IF('13.5 Ceiling Fans'!J33="","",'13.5 Ceiling Fans'!J33)</f>
        <v/>
      </c>
      <c r="F189" s="1262" t="str">
        <f>IF('13.5 Ceiling Fans'!K33="","",'13.5 Ceiling Fans'!K33)</f>
        <v/>
      </c>
      <c r="G189" s="1263" t="str">
        <f>IF('13.5 Ceiling Fans'!L33="","",'13.5 Ceiling Fans'!L33)</f>
        <v/>
      </c>
    </row>
    <row r="190" spans="2:7" s="22" customFormat="1" ht="15.5" hidden="1" x14ac:dyDescent="0.35">
      <c r="B190" s="1258" t="str">
        <f>IF(Table9[[#This Row],[Room (habitable)]]&lt;&gt;"","I","")</f>
        <v/>
      </c>
      <c r="C190" s="1262">
        <f>IF('13.5 Ceiling Fans'!G34="","",'13.5 Ceiling Fans'!G34)</f>
        <v>9</v>
      </c>
      <c r="D190" s="1262" t="str">
        <f>IF('13.5 Ceiling Fans'!I34="","",'13.5 Ceiling Fans'!I34)</f>
        <v/>
      </c>
      <c r="E190" s="1262" t="str">
        <f>IF('13.5 Ceiling Fans'!J34="","",'13.5 Ceiling Fans'!J34)</f>
        <v/>
      </c>
      <c r="F190" s="1262" t="str">
        <f>IF('13.5 Ceiling Fans'!K34="","",'13.5 Ceiling Fans'!K34)</f>
        <v/>
      </c>
      <c r="G190" s="1263" t="str">
        <f>IF('13.5 Ceiling Fans'!L34="","",'13.5 Ceiling Fans'!L34)</f>
        <v/>
      </c>
    </row>
    <row r="191" spans="2:7" s="22" customFormat="1" ht="15.5" hidden="1" x14ac:dyDescent="0.35">
      <c r="B191" s="988" t="str">
        <f>IF(Table9[[#This Row],[Room (habitable)]]&lt;&gt;"","I","")</f>
        <v/>
      </c>
      <c r="C191" s="1265">
        <f>IF('13.5 Ceiling Fans'!G35="","",'13.5 Ceiling Fans'!G35)</f>
        <v>10</v>
      </c>
      <c r="D191" s="1265" t="str">
        <f>IF('13.5 Ceiling Fans'!I35="","",'13.5 Ceiling Fans'!I35)</f>
        <v/>
      </c>
      <c r="E191" s="1265" t="str">
        <f>IF('13.5 Ceiling Fans'!J35="","",'13.5 Ceiling Fans'!J35)</f>
        <v/>
      </c>
      <c r="F191" s="1265" t="str">
        <f>IF('13.5 Ceiling Fans'!K35="","",'13.5 Ceiling Fans'!K35)</f>
        <v/>
      </c>
      <c r="G191" s="1266" t="str">
        <f>IF('13.5 Ceiling Fans'!L35="","",'13.5 Ceiling Fans'!L35)</f>
        <v/>
      </c>
    </row>
    <row r="192" spans="2:7" s="22" customFormat="1" x14ac:dyDescent="0.3"/>
    <row r="193" spans="3:5" s="22" customFormat="1" ht="18" x14ac:dyDescent="0.4">
      <c r="C193" s="730" t="s">
        <v>86</v>
      </c>
    </row>
    <row r="194" spans="3:5" s="22" customFormat="1" ht="18" x14ac:dyDescent="0.4">
      <c r="C194" s="730"/>
    </row>
    <row r="195" spans="3:5" s="22" customFormat="1" ht="18" x14ac:dyDescent="0.4">
      <c r="C195" s="825" t="s">
        <v>87</v>
      </c>
    </row>
    <row r="196" spans="3:5" s="22" customFormat="1" x14ac:dyDescent="0.3"/>
    <row r="197" spans="3:5" s="22" customFormat="1" ht="18" x14ac:dyDescent="0.3">
      <c r="C197" s="1550" t="s">
        <v>88</v>
      </c>
      <c r="D197" s="1550"/>
      <c r="E197" s="819" t="str">
        <f>'13.6 Whole-of-Home Energy Usage'!G17</f>
        <v/>
      </c>
    </row>
    <row r="198" spans="3:5" s="22" customFormat="1" ht="15.5" x14ac:dyDescent="0.35">
      <c r="C198" s="1551">
        <f>'13.6 Whole-of-Home Energy Usage'!E18</f>
        <v>0</v>
      </c>
      <c r="D198" s="1551"/>
      <c r="E198" s="864">
        <f>'13.6 Whole-of-Home Energy Usage'!G18</f>
        <v>0</v>
      </c>
    </row>
    <row r="199" spans="3:5" s="22" customFormat="1" x14ac:dyDescent="0.3">
      <c r="E199" s="736"/>
    </row>
    <row r="200" spans="3:5" s="22" customFormat="1" ht="18" x14ac:dyDescent="0.3">
      <c r="C200" s="1550" t="s">
        <v>89</v>
      </c>
      <c r="D200" s="1550"/>
      <c r="E200" s="819" t="str">
        <f>'13.6 Whole-of-Home Energy Usage'!G20</f>
        <v/>
      </c>
    </row>
    <row r="201" spans="3:5" s="22" customFormat="1" ht="15.5" x14ac:dyDescent="0.35">
      <c r="C201" s="862">
        <f>'13.6 Whole-of-Home Energy Usage'!E21</f>
        <v>0</v>
      </c>
      <c r="D201" s="862"/>
      <c r="E201" s="864">
        <f>'13.6 Whole-of-Home Energy Usage'!G21</f>
        <v>0</v>
      </c>
    </row>
    <row r="202" spans="3:5" s="22" customFormat="1" ht="18" x14ac:dyDescent="0.4">
      <c r="D202" s="730"/>
    </row>
    <row r="203" spans="3:5" s="22" customFormat="1" ht="18" x14ac:dyDescent="0.4">
      <c r="C203" s="825" t="s">
        <v>90</v>
      </c>
    </row>
    <row r="204" spans="3:5" s="22" customFormat="1" ht="15.5" x14ac:dyDescent="0.35">
      <c r="D204" s="731"/>
    </row>
    <row r="205" spans="3:5" s="22" customFormat="1" ht="18" x14ac:dyDescent="0.3">
      <c r="C205" s="1550" t="s">
        <v>91</v>
      </c>
      <c r="D205" s="1550"/>
      <c r="E205" s="819" t="s">
        <v>92</v>
      </c>
    </row>
    <row r="206" spans="3:5" s="22" customFormat="1" ht="15.5" x14ac:dyDescent="0.35">
      <c r="C206" s="1551" t="str">
        <f>'13.6 Whole-of-Home Energy Usage'!J7</f>
        <v/>
      </c>
      <c r="D206" s="1551"/>
      <c r="E206" s="864" t="str">
        <f ca="1">IFERROR('13.6 Whole-of-Home Energy Usage'!J9,"")</f>
        <v/>
      </c>
    </row>
    <row r="207" spans="3:5" s="22" customFormat="1" x14ac:dyDescent="0.3"/>
    <row r="208" spans="3:5" s="22" customFormat="1" ht="18" x14ac:dyDescent="0.4">
      <c r="C208" s="825" t="s">
        <v>93</v>
      </c>
    </row>
    <row r="209" spans="3:5" s="22" customFormat="1" ht="15.5" x14ac:dyDescent="0.35">
      <c r="D209" s="731"/>
    </row>
    <row r="210" spans="3:5" s="22" customFormat="1" ht="18" x14ac:dyDescent="0.35">
      <c r="C210" s="1548" t="str">
        <f>'13.6 Whole-of-Home Energy Usage'!J18</f>
        <v>Pool volume (L)</v>
      </c>
      <c r="D210" s="1549"/>
      <c r="E210" s="1267" t="str">
        <f>IF('13.6 Whole-of-Home Energy Usage'!K18="","",'13.6 Whole-of-Home Energy Usage'!K18)</f>
        <v/>
      </c>
    </row>
    <row r="211" spans="3:5" s="22" customFormat="1" ht="18" x14ac:dyDescent="0.35">
      <c r="C211" s="1548" t="str">
        <f>'13.6 Whole-of-Home Energy Usage'!I19</f>
        <v>Pool pump star rating</v>
      </c>
      <c r="D211" s="1549"/>
      <c r="E211" s="1267" t="str">
        <f>IF('13.6 Whole-of-Home Energy Usage'!K19="","",'13.6 Whole-of-Home Energy Usage'!K19)</f>
        <v/>
      </c>
    </row>
    <row r="212" spans="3:5" s="22" customFormat="1" ht="18" x14ac:dyDescent="0.35">
      <c r="C212" s="1548" t="str">
        <f>'13.6 Whole-of-Home Energy Usage'!J22</f>
        <v>Spa volume (L)</v>
      </c>
      <c r="D212" s="1549"/>
      <c r="E212" s="1267" t="str">
        <f>IF('13.6 Whole-of-Home Energy Usage'!K22="","",'13.6 Whole-of-Home Energy Usage'!K22)</f>
        <v/>
      </c>
    </row>
    <row r="213" spans="3:5" s="22" customFormat="1" x14ac:dyDescent="0.3"/>
    <row r="214" spans="3:5" s="22" customFormat="1" ht="15.75" customHeight="1" x14ac:dyDescent="0.4">
      <c r="C214" s="825" t="s">
        <v>94</v>
      </c>
    </row>
    <row r="215" spans="3:5" s="22" customFormat="1" ht="15.5" x14ac:dyDescent="0.35">
      <c r="D215" s="731"/>
    </row>
    <row r="216" spans="3:5" s="22" customFormat="1" ht="18" x14ac:dyDescent="0.35">
      <c r="C216" s="1548" t="s">
        <v>95</v>
      </c>
      <c r="D216" s="1549"/>
      <c r="E216" s="1267" t="str">
        <f>IF('13.6 Whole-of-Home Energy Usage'!F26="","",'13.6 Whole-of-Home Energy Usage'!F26)</f>
        <v/>
      </c>
    </row>
    <row r="217" spans="3:5" s="22" customFormat="1" x14ac:dyDescent="0.3"/>
    <row r="218" spans="3:5" s="22" customFormat="1" ht="18" x14ac:dyDescent="0.4">
      <c r="C218" s="825" t="s">
        <v>96</v>
      </c>
    </row>
    <row r="219" spans="3:5" s="22" customFormat="1" x14ac:dyDescent="0.3"/>
    <row r="220" spans="3:5" s="22" customFormat="1" ht="18" x14ac:dyDescent="0.35">
      <c r="C220" s="1548" t="str">
        <f>'13.6 Whole-of-Home Energy Usage'!I27</f>
        <v>Photovoltaic capacity (kW)</v>
      </c>
      <c r="D220" s="1549"/>
      <c r="E220" s="1267" t="str">
        <f>IF('13.6 Whole-of-Home Energy Usage'!K26="","",'13.6 Whole-of-Home Energy Usage'!K26)</f>
        <v/>
      </c>
    </row>
    <row r="221" spans="3:5" s="22" customFormat="1" x14ac:dyDescent="0.3"/>
    <row r="222" spans="3:5" s="22" customFormat="1" ht="18" x14ac:dyDescent="0.4">
      <c r="C222" s="730" t="s">
        <v>97</v>
      </c>
    </row>
    <row r="223" spans="3:5" s="22" customFormat="1" x14ac:dyDescent="0.3"/>
    <row r="224" spans="3:5" s="22" customFormat="1" ht="18" x14ac:dyDescent="0.4">
      <c r="C224" s="825" t="s">
        <v>98</v>
      </c>
    </row>
    <row r="225" spans="2:16276" s="22" customFormat="1" x14ac:dyDescent="0.3"/>
    <row r="226" spans="2:16276" s="22" customFormat="1" ht="15.5" x14ac:dyDescent="0.35">
      <c r="C226" s="784" t="str">
        <f>IF('13.7 Services'!B15=TRUE," The applicant has agreed to meet the requirements of  13.7.2, 13.7.3, 13.7.4, 13.7.5 and 13.7.7 clauses of the housing provisions",
" The applicant has not agreed to meet the requirements of  13.7.2, 13.7.3, 13.7.4, 13.7.5 and 13.7.7 clauses of the housing provisions")</f>
        <v xml:space="preserve"> The applicant has agreed to meet the requirements of  13.7.2, 13.7.3, 13.7.4, 13.7.5 and 13.7.7 clauses of the housing provisions</v>
      </c>
    </row>
    <row r="227" spans="2:16276" s="22" customFormat="1" x14ac:dyDescent="0.3"/>
    <row r="228" spans="2:16276" s="22" customFormat="1" ht="18" x14ac:dyDescent="0.4">
      <c r="C228" s="825" t="s">
        <v>99</v>
      </c>
    </row>
    <row r="229" spans="2:16276" s="22" customFormat="1" x14ac:dyDescent="0.3"/>
    <row r="230" spans="2:16276" s="22" customFormat="1" ht="15.5" x14ac:dyDescent="0.35">
      <c r="C230" s="784" t="str">
        <f>'13.7.6 Artificial Lighting'!N26</f>
        <v>CALCULATED OUTCOMES</v>
      </c>
    </row>
    <row r="231" spans="2:16276" s="22" customFormat="1" x14ac:dyDescent="0.3"/>
    <row r="232" spans="2:16276" s="22" customFormat="1" ht="18" x14ac:dyDescent="0.4">
      <c r="C232" s="825" t="s">
        <v>100</v>
      </c>
    </row>
    <row r="233" spans="2:16276" s="22" customFormat="1" x14ac:dyDescent="0.3"/>
    <row r="234" spans="2:16276" s="22" customFormat="1" ht="15.5" x14ac:dyDescent="0.35">
      <c r="C234" s="784" t="str">
        <f>IF('13.7 Services'!B61=TRUE," The applicant has agreed to meet the requirements of 13.7.8 and 13.7.9 clauses of the housing provisions",
" The applicant has not agreed to meet the requirements of 13.7.8 and 13.7.9 clauses of the housing provisions")</f>
        <v xml:space="preserve"> The applicant has agreed to meet the requirements of 13.7.8 and 13.7.9 clauses of the housing provisions</v>
      </c>
    </row>
    <row r="235" spans="2:16276" s="22" customFormat="1" x14ac:dyDescent="0.3"/>
    <row r="236" spans="2:16276" s="22" customFormat="1" x14ac:dyDescent="0.3"/>
    <row r="237" spans="2:16276" s="22" customFormat="1" x14ac:dyDescent="0.3"/>
    <row r="238" spans="2:16276" s="22" customFormat="1" x14ac:dyDescent="0.3"/>
    <row r="239" spans="2:16276" s="22" customFormat="1" ht="87.5" x14ac:dyDescent="0.35">
      <c r="B239" s="323" t="s">
        <v>33</v>
      </c>
      <c r="C239" s="324"/>
      <c r="D239" s="324"/>
      <c r="E239" s="324"/>
      <c r="F239" s="324"/>
      <c r="G239" s="324"/>
      <c r="H239" s="324"/>
      <c r="I239" s="324"/>
      <c r="J239" s="324"/>
      <c r="K239" s="324"/>
      <c r="L239" s="324"/>
      <c r="M239" s="324"/>
      <c r="N239" s="324"/>
      <c r="O239" s="324"/>
      <c r="P239" s="324"/>
      <c r="Q239" s="324"/>
      <c r="R239" s="324"/>
      <c r="S239" s="324"/>
      <c r="T239" s="324"/>
      <c r="U239" s="324"/>
      <c r="V239" s="324"/>
      <c r="W239" s="324"/>
      <c r="X239" s="325" t="s">
        <v>34</v>
      </c>
      <c r="Y239" s="326" t="s">
        <v>34</v>
      </c>
      <c r="AA239" s="140"/>
      <c r="AB239" s="140"/>
      <c r="AC239" s="140"/>
      <c r="AD239" s="140"/>
      <c r="AE239" s="140"/>
      <c r="AF239" s="140"/>
      <c r="AG239" s="140"/>
      <c r="AH239" s="140"/>
      <c r="AI239" s="140"/>
      <c r="AJ239" s="140"/>
      <c r="AK239" s="140"/>
      <c r="AL239" s="140"/>
      <c r="AM239" s="140"/>
      <c r="AN239" s="140"/>
      <c r="AO239" s="140"/>
      <c r="AP239" s="140"/>
      <c r="AQ239" s="140"/>
      <c r="AR239" s="140"/>
      <c r="AS239" s="140"/>
      <c r="AT239" s="140"/>
      <c r="AU239" s="140"/>
      <c r="AV239" s="140"/>
      <c r="AW239" s="140"/>
      <c r="AX239" s="140"/>
      <c r="AY239" s="140"/>
      <c r="AZ239" s="140"/>
      <c r="BA239" s="140"/>
      <c r="BB239" s="140"/>
      <c r="BC239" s="140"/>
      <c r="BD239" s="140"/>
      <c r="BE239" s="140"/>
      <c r="BF239" s="140"/>
      <c r="BG239" s="140"/>
      <c r="BH239" s="140"/>
      <c r="BI239" s="140"/>
      <c r="BJ239" s="140"/>
      <c r="BK239" s="140"/>
      <c r="BL239" s="140"/>
      <c r="BM239" s="140"/>
      <c r="BN239" s="140"/>
      <c r="BO239" s="140"/>
      <c r="BP239" s="140"/>
      <c r="BQ239" s="140"/>
      <c r="BR239" s="140"/>
      <c r="BS239" s="140"/>
      <c r="BT239" s="140"/>
      <c r="BU239" s="140"/>
      <c r="BV239" s="140"/>
      <c r="BW239" s="140"/>
      <c r="BX239" s="140"/>
      <c r="BY239" s="140"/>
      <c r="BZ239" s="140"/>
      <c r="CA239" s="140"/>
      <c r="CB239" s="140"/>
      <c r="CC239" s="140"/>
      <c r="CD239" s="140"/>
      <c r="CE239" s="140"/>
      <c r="CF239" s="140"/>
      <c r="CG239" s="140"/>
      <c r="CH239" s="140"/>
      <c r="CI239" s="140"/>
      <c r="CJ239" s="140"/>
      <c r="CK239" s="140"/>
      <c r="CL239" s="140"/>
      <c r="CM239" s="140"/>
      <c r="CN239" s="140"/>
      <c r="CO239" s="140"/>
      <c r="CP239" s="140"/>
      <c r="CQ239" s="140"/>
      <c r="CR239" s="140"/>
      <c r="CS239" s="140"/>
      <c r="CT239" s="140"/>
      <c r="CU239" s="140"/>
      <c r="CV239" s="140"/>
      <c r="CW239" s="140"/>
      <c r="CX239" s="140"/>
      <c r="CY239" s="140"/>
      <c r="CZ239" s="140"/>
      <c r="DA239" s="140"/>
      <c r="DB239" s="140"/>
      <c r="DC239" s="140"/>
      <c r="DD239" s="140"/>
      <c r="DE239" s="140"/>
      <c r="DF239" s="140"/>
      <c r="DG239" s="140"/>
      <c r="DH239" s="140"/>
      <c r="DI239" s="140"/>
      <c r="DJ239" s="140"/>
      <c r="DK239" s="140"/>
      <c r="DL239" s="140"/>
      <c r="DM239" s="140"/>
      <c r="DN239" s="140"/>
      <c r="DO239" s="140"/>
      <c r="DP239" s="140"/>
      <c r="DQ239" s="140"/>
      <c r="DR239" s="140"/>
      <c r="DS239" s="140"/>
      <c r="DT239" s="140"/>
      <c r="DU239" s="140"/>
      <c r="DV239" s="140"/>
      <c r="DW239" s="140"/>
      <c r="DX239" s="140"/>
      <c r="DY239" s="140"/>
      <c r="DZ239" s="140"/>
      <c r="EA239" s="140"/>
      <c r="EB239" s="140"/>
      <c r="EC239" s="140"/>
      <c r="ED239" s="140"/>
      <c r="EE239" s="140"/>
      <c r="EF239" s="140"/>
      <c r="EG239" s="140"/>
      <c r="EH239" s="140"/>
      <c r="EI239" s="140"/>
      <c r="EJ239" s="140"/>
      <c r="EK239" s="140"/>
      <c r="EL239" s="140"/>
      <c r="EM239" s="140"/>
      <c r="EN239" s="140"/>
      <c r="EO239" s="140"/>
      <c r="EP239" s="140"/>
      <c r="EQ239" s="140"/>
      <c r="ER239" s="140"/>
      <c r="ES239" s="140"/>
      <c r="ET239" s="140"/>
      <c r="EU239" s="140"/>
      <c r="EV239" s="140"/>
      <c r="EW239" s="140"/>
      <c r="EX239" s="140"/>
      <c r="EY239" s="140"/>
      <c r="EZ239" s="140"/>
      <c r="FA239" s="140"/>
      <c r="FB239" s="140"/>
      <c r="FC239" s="140"/>
      <c r="FD239" s="140"/>
      <c r="FE239" s="140"/>
      <c r="FF239" s="140"/>
      <c r="FG239" s="140"/>
      <c r="FH239" s="140"/>
      <c r="FI239" s="140"/>
      <c r="FJ239" s="140"/>
      <c r="FK239" s="140"/>
      <c r="FL239" s="140"/>
      <c r="FM239" s="140"/>
      <c r="FN239" s="140"/>
      <c r="FO239" s="140"/>
      <c r="FP239" s="140"/>
      <c r="FQ239" s="140"/>
      <c r="FR239" s="140"/>
      <c r="FS239" s="140"/>
      <c r="FT239" s="140"/>
      <c r="FU239" s="140"/>
      <c r="FV239" s="140"/>
      <c r="FW239" s="140"/>
      <c r="FX239" s="140"/>
      <c r="FY239" s="140"/>
      <c r="FZ239" s="140"/>
      <c r="GA239" s="140"/>
      <c r="GB239" s="140"/>
      <c r="GC239" s="140"/>
      <c r="GD239" s="140"/>
      <c r="GE239" s="140"/>
      <c r="GF239" s="140"/>
      <c r="GG239" s="140"/>
      <c r="GH239" s="140"/>
      <c r="GI239" s="140"/>
      <c r="GJ239" s="140"/>
      <c r="GK239" s="140"/>
      <c r="GL239" s="140"/>
      <c r="GM239" s="140"/>
      <c r="GN239" s="140"/>
      <c r="GO239" s="140"/>
      <c r="GP239" s="140"/>
      <c r="GQ239" s="140"/>
      <c r="GR239" s="140"/>
      <c r="GS239" s="140"/>
      <c r="GT239" s="140"/>
      <c r="GU239" s="140"/>
      <c r="GV239" s="140"/>
      <c r="GW239" s="140"/>
      <c r="GX239" s="140"/>
      <c r="GY239" s="140"/>
      <c r="GZ239" s="140"/>
      <c r="HA239" s="140"/>
      <c r="HB239" s="140"/>
      <c r="HC239" s="140"/>
      <c r="HD239" s="140"/>
      <c r="HE239" s="140"/>
      <c r="HF239" s="140"/>
      <c r="HG239" s="140"/>
      <c r="HH239" s="140"/>
      <c r="HI239" s="140"/>
      <c r="HJ239" s="140"/>
      <c r="HK239" s="140"/>
      <c r="HL239" s="140"/>
      <c r="HM239" s="140"/>
      <c r="HN239" s="140"/>
      <c r="HO239" s="140"/>
      <c r="HP239" s="140"/>
      <c r="HQ239" s="140"/>
      <c r="HR239" s="140"/>
      <c r="HS239" s="140"/>
      <c r="HT239" s="140"/>
      <c r="HU239" s="140"/>
      <c r="HV239" s="140"/>
      <c r="HW239" s="140"/>
      <c r="HX239" s="140"/>
      <c r="HY239" s="140"/>
      <c r="HZ239" s="140"/>
      <c r="IA239" s="140"/>
      <c r="IB239" s="140"/>
      <c r="IC239" s="140"/>
      <c r="ID239" s="140"/>
      <c r="IE239" s="140"/>
      <c r="IF239" s="140"/>
      <c r="IG239" s="140"/>
      <c r="IH239" s="140"/>
      <c r="II239" s="140"/>
      <c r="IJ239" s="140"/>
      <c r="IK239" s="140"/>
      <c r="IL239" s="140"/>
      <c r="IM239" s="140"/>
      <c r="IN239" s="140"/>
      <c r="IO239" s="140"/>
      <c r="IP239" s="140"/>
      <c r="IQ239" s="140"/>
      <c r="IR239" s="140"/>
      <c r="IS239" s="140"/>
      <c r="IT239" s="140"/>
      <c r="IU239" s="140"/>
      <c r="IV239" s="140"/>
      <c r="IW239" s="140"/>
      <c r="IX239" s="140"/>
      <c r="IY239" s="140"/>
      <c r="IZ239" s="140"/>
      <c r="JA239" s="140"/>
      <c r="JB239" s="140"/>
      <c r="JC239" s="140"/>
      <c r="JD239" s="140"/>
      <c r="JE239" s="140"/>
      <c r="JF239" s="140"/>
      <c r="JG239" s="140"/>
      <c r="JH239" s="140"/>
      <c r="JI239" s="140"/>
      <c r="JJ239" s="140"/>
      <c r="JK239" s="140"/>
      <c r="JL239" s="140"/>
      <c r="JM239" s="140"/>
      <c r="JN239" s="140"/>
      <c r="JO239" s="140"/>
      <c r="JP239" s="140"/>
      <c r="JQ239" s="140"/>
      <c r="JR239" s="140"/>
      <c r="JS239" s="140"/>
      <c r="JT239" s="140"/>
      <c r="JU239" s="140"/>
      <c r="JV239" s="140"/>
      <c r="JW239" s="140"/>
      <c r="JX239" s="140"/>
      <c r="JY239" s="140"/>
      <c r="JZ239" s="140"/>
      <c r="KA239" s="140"/>
      <c r="KB239" s="140"/>
      <c r="KC239" s="140"/>
      <c r="KD239" s="140"/>
      <c r="KE239" s="140"/>
      <c r="KF239" s="140"/>
      <c r="KG239" s="140"/>
      <c r="KH239" s="140"/>
      <c r="KI239" s="140"/>
      <c r="KJ239" s="140"/>
      <c r="KK239" s="140"/>
      <c r="KL239" s="140"/>
      <c r="KM239" s="140"/>
      <c r="KN239" s="140"/>
      <c r="KO239" s="140"/>
      <c r="KP239" s="140"/>
      <c r="KQ239" s="140"/>
      <c r="KR239" s="140"/>
      <c r="KS239" s="140"/>
      <c r="KT239" s="140"/>
      <c r="KU239" s="140"/>
      <c r="KV239" s="140"/>
      <c r="KW239" s="140"/>
      <c r="KX239" s="140"/>
      <c r="KY239" s="140"/>
      <c r="KZ239" s="140"/>
      <c r="LA239" s="140"/>
      <c r="LB239" s="140"/>
      <c r="LC239" s="140"/>
      <c r="LD239" s="140"/>
      <c r="LE239" s="140"/>
      <c r="LF239" s="140"/>
      <c r="LG239" s="140"/>
      <c r="LH239" s="140"/>
      <c r="LI239" s="140"/>
      <c r="LJ239" s="140"/>
      <c r="LK239" s="140"/>
      <c r="LL239" s="140"/>
      <c r="LM239" s="140"/>
      <c r="LN239" s="140"/>
      <c r="LO239" s="140"/>
      <c r="LP239" s="140"/>
      <c r="LQ239" s="140"/>
      <c r="LR239" s="140"/>
      <c r="LS239" s="140"/>
      <c r="LT239" s="140"/>
      <c r="LU239" s="140"/>
      <c r="LV239" s="140"/>
      <c r="LW239" s="140"/>
      <c r="LX239" s="140"/>
      <c r="LY239" s="140"/>
      <c r="LZ239" s="140"/>
      <c r="MA239" s="140"/>
      <c r="MB239" s="140"/>
      <c r="MC239" s="140"/>
      <c r="MD239" s="140"/>
      <c r="ME239" s="140"/>
      <c r="MF239" s="140"/>
      <c r="MG239" s="140"/>
      <c r="MH239" s="140"/>
      <c r="MI239" s="140"/>
      <c r="MJ239" s="140"/>
      <c r="MK239" s="140"/>
      <c r="ML239" s="140"/>
      <c r="MM239" s="140"/>
      <c r="MN239" s="140"/>
      <c r="MO239" s="140"/>
      <c r="MP239" s="140"/>
      <c r="MQ239" s="140"/>
      <c r="MR239" s="140"/>
      <c r="MS239" s="140"/>
      <c r="MT239" s="140"/>
      <c r="MU239" s="140"/>
      <c r="MV239" s="140"/>
      <c r="MW239" s="140"/>
      <c r="MX239" s="140"/>
      <c r="MY239" s="140"/>
      <c r="MZ239" s="140"/>
      <c r="NA239" s="140"/>
      <c r="NB239" s="140"/>
      <c r="NC239" s="140"/>
      <c r="ND239" s="140"/>
      <c r="NE239" s="140"/>
      <c r="NF239" s="140"/>
      <c r="NG239" s="140"/>
      <c r="NH239" s="140"/>
      <c r="NI239" s="140"/>
      <c r="NJ239" s="140"/>
      <c r="NK239" s="140"/>
      <c r="NL239" s="140"/>
      <c r="NM239" s="140"/>
      <c r="NN239" s="140"/>
      <c r="NO239" s="140"/>
      <c r="NP239" s="140"/>
      <c r="NQ239" s="140"/>
      <c r="NR239" s="140"/>
      <c r="NS239" s="140"/>
      <c r="NT239" s="140"/>
      <c r="NU239" s="140"/>
      <c r="NV239" s="140"/>
      <c r="NW239" s="140"/>
      <c r="NX239" s="140"/>
      <c r="NY239" s="140"/>
      <c r="NZ239" s="140"/>
      <c r="OA239" s="140"/>
      <c r="OB239" s="140"/>
      <c r="OC239" s="140"/>
      <c r="OD239" s="140"/>
      <c r="OE239" s="140"/>
      <c r="OF239" s="140"/>
      <c r="OG239" s="140"/>
      <c r="OH239" s="140"/>
      <c r="OI239" s="140"/>
      <c r="OJ239" s="140"/>
      <c r="OK239" s="140"/>
      <c r="OL239" s="140"/>
      <c r="OM239" s="140"/>
      <c r="ON239" s="140"/>
      <c r="OO239" s="140"/>
      <c r="OP239" s="140"/>
      <c r="OQ239" s="140"/>
      <c r="OR239" s="140"/>
      <c r="OS239" s="140"/>
      <c r="OT239" s="140"/>
      <c r="OU239" s="140"/>
      <c r="OV239" s="140"/>
      <c r="OW239" s="140"/>
      <c r="OX239" s="140"/>
      <c r="OY239" s="140"/>
      <c r="OZ239" s="140"/>
      <c r="PA239" s="140"/>
      <c r="PB239" s="140"/>
      <c r="PC239" s="140"/>
      <c r="PD239" s="140"/>
      <c r="PE239" s="140"/>
      <c r="PF239" s="140"/>
      <c r="PG239" s="140"/>
      <c r="PH239" s="140"/>
      <c r="PI239" s="140"/>
      <c r="PJ239" s="140"/>
      <c r="PK239" s="140"/>
      <c r="PL239" s="140"/>
      <c r="PM239" s="140"/>
      <c r="PN239" s="140"/>
      <c r="PO239" s="140"/>
      <c r="PP239" s="140"/>
      <c r="PQ239" s="140"/>
      <c r="PR239" s="140"/>
      <c r="PS239" s="140"/>
      <c r="PT239" s="140"/>
      <c r="PU239" s="140"/>
      <c r="PV239" s="140"/>
      <c r="PW239" s="140"/>
      <c r="PX239" s="140"/>
      <c r="PY239" s="140"/>
      <c r="PZ239" s="140"/>
      <c r="QA239" s="140"/>
      <c r="QB239" s="140"/>
      <c r="QC239" s="140"/>
      <c r="QD239" s="140"/>
      <c r="QE239" s="140"/>
      <c r="QF239" s="140"/>
      <c r="QG239" s="140"/>
      <c r="QH239" s="140"/>
      <c r="QI239" s="140"/>
      <c r="QJ239" s="140"/>
      <c r="QK239" s="140"/>
      <c r="QL239" s="140"/>
      <c r="QM239" s="140"/>
      <c r="QN239" s="140"/>
      <c r="QO239" s="140"/>
      <c r="QP239" s="140"/>
      <c r="QQ239" s="140"/>
      <c r="QR239" s="140"/>
      <c r="QS239" s="140"/>
      <c r="QT239" s="140"/>
      <c r="QU239" s="140"/>
      <c r="QV239" s="140"/>
      <c r="QW239" s="140"/>
      <c r="QX239" s="140"/>
      <c r="QY239" s="140"/>
      <c r="QZ239" s="140"/>
      <c r="RA239" s="140"/>
      <c r="RB239" s="140"/>
      <c r="RC239" s="140"/>
      <c r="RD239" s="140"/>
      <c r="RE239" s="140"/>
      <c r="RF239" s="140"/>
      <c r="RG239" s="140"/>
      <c r="RH239" s="140"/>
      <c r="RI239" s="140"/>
      <c r="RJ239" s="140"/>
      <c r="RK239" s="140"/>
      <c r="RL239" s="140"/>
      <c r="RM239" s="140"/>
      <c r="RN239" s="140"/>
      <c r="RO239" s="140"/>
      <c r="RP239" s="140"/>
      <c r="RQ239" s="140"/>
      <c r="RR239" s="140"/>
      <c r="RS239" s="140"/>
      <c r="RT239" s="140"/>
      <c r="RU239" s="140"/>
      <c r="RV239" s="140"/>
      <c r="RW239" s="140"/>
      <c r="RX239" s="140"/>
      <c r="RY239" s="140"/>
      <c r="RZ239" s="140"/>
      <c r="SA239" s="140"/>
      <c r="SB239" s="140"/>
      <c r="SC239" s="140"/>
      <c r="SD239" s="140"/>
      <c r="SE239" s="140"/>
      <c r="SF239" s="140"/>
      <c r="SG239" s="140"/>
      <c r="SH239" s="140"/>
      <c r="SI239" s="140"/>
      <c r="SJ239" s="140"/>
      <c r="SK239" s="140"/>
      <c r="SL239" s="140"/>
      <c r="SM239" s="140"/>
      <c r="SN239" s="140"/>
      <c r="SO239" s="140"/>
      <c r="SP239" s="140"/>
      <c r="SQ239" s="140"/>
      <c r="SR239" s="140"/>
      <c r="SS239" s="140"/>
      <c r="ST239" s="140"/>
      <c r="SU239" s="140"/>
      <c r="SV239" s="140"/>
      <c r="SW239" s="140"/>
      <c r="SX239" s="140"/>
      <c r="SY239" s="140"/>
      <c r="SZ239" s="140"/>
      <c r="TA239" s="140"/>
      <c r="TB239" s="140"/>
      <c r="TC239" s="140"/>
      <c r="TD239" s="140"/>
      <c r="TE239" s="140"/>
      <c r="TF239" s="140"/>
      <c r="TG239" s="140"/>
      <c r="TH239" s="140"/>
      <c r="TI239" s="140"/>
      <c r="TJ239" s="140"/>
      <c r="TK239" s="140"/>
      <c r="TL239" s="140"/>
      <c r="TM239" s="140"/>
      <c r="TN239" s="140"/>
      <c r="TO239" s="140"/>
      <c r="TP239" s="140"/>
      <c r="TQ239" s="140"/>
      <c r="TR239" s="140"/>
      <c r="TS239" s="140"/>
      <c r="TT239" s="140"/>
      <c r="TU239" s="140"/>
      <c r="TV239" s="140"/>
      <c r="TW239" s="140"/>
      <c r="TX239" s="140"/>
      <c r="TY239" s="140"/>
      <c r="TZ239" s="140"/>
      <c r="UA239" s="140"/>
      <c r="UB239" s="140"/>
      <c r="UC239" s="140"/>
      <c r="UD239" s="140"/>
      <c r="UE239" s="140"/>
      <c r="UF239" s="140"/>
      <c r="UG239" s="140"/>
      <c r="UH239" s="140"/>
      <c r="UI239" s="140"/>
      <c r="UJ239" s="140"/>
      <c r="UK239" s="140"/>
      <c r="UL239" s="140"/>
      <c r="UM239" s="140"/>
      <c r="UN239" s="140"/>
      <c r="UO239" s="140"/>
      <c r="UP239" s="140"/>
      <c r="UQ239" s="140"/>
      <c r="UR239" s="140"/>
      <c r="US239" s="140"/>
      <c r="UT239" s="140"/>
      <c r="UU239" s="140"/>
      <c r="UV239" s="140"/>
      <c r="UW239" s="140"/>
      <c r="UX239" s="140"/>
      <c r="UY239" s="140"/>
      <c r="UZ239" s="140"/>
      <c r="VA239" s="140"/>
      <c r="VB239" s="140"/>
      <c r="VC239" s="140"/>
      <c r="VD239" s="140"/>
      <c r="VE239" s="140"/>
      <c r="VF239" s="140"/>
      <c r="VG239" s="140"/>
      <c r="VH239" s="140"/>
      <c r="VI239" s="140"/>
      <c r="VJ239" s="140"/>
      <c r="VK239" s="140"/>
      <c r="VL239" s="140"/>
      <c r="VM239" s="140"/>
      <c r="VN239" s="140"/>
      <c r="VO239" s="140"/>
      <c r="VP239" s="140"/>
      <c r="VQ239" s="140"/>
      <c r="VR239" s="140"/>
      <c r="VS239" s="140"/>
      <c r="VT239" s="140"/>
      <c r="VU239" s="140"/>
      <c r="VV239" s="140"/>
      <c r="VW239" s="140"/>
      <c r="VX239" s="140"/>
      <c r="VY239" s="140"/>
      <c r="VZ239" s="140"/>
      <c r="WA239" s="140"/>
      <c r="WB239" s="140"/>
      <c r="WC239" s="140"/>
      <c r="WD239" s="140"/>
      <c r="WE239" s="140"/>
      <c r="WF239" s="140"/>
      <c r="WG239" s="140"/>
      <c r="WH239" s="140"/>
      <c r="WI239" s="140"/>
      <c r="WJ239" s="140"/>
      <c r="WK239" s="140"/>
      <c r="WL239" s="140"/>
      <c r="WM239" s="140"/>
      <c r="WN239" s="140"/>
      <c r="WO239" s="140"/>
      <c r="WP239" s="140"/>
      <c r="WQ239" s="140"/>
      <c r="WR239" s="140"/>
      <c r="WS239" s="140"/>
      <c r="WT239" s="140"/>
      <c r="WU239" s="140"/>
      <c r="WV239" s="140"/>
      <c r="WW239" s="140"/>
      <c r="WX239" s="140"/>
      <c r="WY239" s="140"/>
      <c r="WZ239" s="140"/>
      <c r="XA239" s="140"/>
      <c r="XB239" s="140"/>
      <c r="XC239" s="140"/>
      <c r="XD239" s="140"/>
      <c r="XE239" s="140"/>
      <c r="XF239" s="140"/>
      <c r="XG239" s="140"/>
      <c r="XH239" s="140"/>
      <c r="XI239" s="140"/>
      <c r="XJ239" s="140"/>
      <c r="XK239" s="140"/>
      <c r="XL239" s="140"/>
      <c r="XM239" s="140"/>
      <c r="XN239" s="140"/>
      <c r="XO239" s="140"/>
      <c r="XP239" s="140"/>
      <c r="XQ239" s="140"/>
      <c r="XR239" s="140"/>
      <c r="XS239" s="140"/>
      <c r="XT239" s="140"/>
      <c r="XU239" s="140"/>
      <c r="XV239" s="140"/>
      <c r="XW239" s="140"/>
      <c r="XX239" s="140"/>
      <c r="XY239" s="140"/>
      <c r="XZ239" s="140"/>
      <c r="YA239" s="140"/>
      <c r="YB239" s="140"/>
      <c r="YC239" s="140"/>
      <c r="YD239" s="140"/>
      <c r="YE239" s="140"/>
      <c r="YF239" s="140"/>
      <c r="YG239" s="140"/>
      <c r="YH239" s="140"/>
      <c r="YI239" s="140"/>
      <c r="YJ239" s="140"/>
      <c r="YK239" s="140"/>
      <c r="YL239" s="140"/>
      <c r="YM239" s="140"/>
      <c r="YN239" s="140"/>
      <c r="YO239" s="140"/>
      <c r="YP239" s="140"/>
      <c r="YQ239" s="140"/>
      <c r="YR239" s="140"/>
      <c r="YS239" s="140"/>
      <c r="YT239" s="140"/>
      <c r="YU239" s="140"/>
      <c r="YV239" s="140"/>
      <c r="YW239" s="140"/>
      <c r="YX239" s="140"/>
      <c r="YY239" s="140"/>
      <c r="YZ239" s="140"/>
      <c r="ZA239" s="140"/>
      <c r="ZB239" s="140"/>
      <c r="ZC239" s="140"/>
      <c r="ZD239" s="140"/>
      <c r="ZE239" s="140"/>
      <c r="ZF239" s="140"/>
      <c r="ZG239" s="140"/>
      <c r="ZH239" s="140"/>
      <c r="ZI239" s="140"/>
      <c r="ZJ239" s="140"/>
      <c r="ZK239" s="140"/>
      <c r="ZL239" s="140"/>
      <c r="ZM239" s="140"/>
      <c r="ZN239" s="140"/>
      <c r="ZO239" s="140"/>
      <c r="ZP239" s="140"/>
      <c r="ZQ239" s="140"/>
      <c r="ZR239" s="140"/>
      <c r="ZS239" s="140"/>
      <c r="ZT239" s="140"/>
      <c r="ZU239" s="140"/>
      <c r="ZV239" s="140"/>
      <c r="ZW239" s="140"/>
      <c r="ZX239" s="140"/>
      <c r="ZY239" s="140"/>
      <c r="ZZ239" s="140"/>
      <c r="AAA239" s="140"/>
      <c r="AAB239" s="140"/>
      <c r="AAC239" s="140"/>
      <c r="AAD239" s="140"/>
      <c r="AAE239" s="140"/>
      <c r="AAF239" s="140"/>
      <c r="AAG239" s="140"/>
      <c r="AAH239" s="140"/>
      <c r="AAI239" s="140"/>
      <c r="AAJ239" s="140"/>
      <c r="AAK239" s="140"/>
      <c r="AAL239" s="140"/>
      <c r="AAM239" s="140"/>
      <c r="AAN239" s="140"/>
      <c r="AAO239" s="140"/>
      <c r="AAP239" s="140"/>
      <c r="AAQ239" s="140"/>
      <c r="AAR239" s="140"/>
      <c r="AAS239" s="140"/>
      <c r="AAT239" s="140"/>
      <c r="AAU239" s="140"/>
      <c r="AAV239" s="140"/>
      <c r="AAW239" s="140"/>
      <c r="AAX239" s="140"/>
      <c r="AAY239" s="140"/>
      <c r="AAZ239" s="140"/>
      <c r="ABA239" s="140"/>
      <c r="ABB239" s="140"/>
      <c r="ABC239" s="140"/>
      <c r="ABD239" s="140"/>
      <c r="ABE239" s="140"/>
      <c r="ABF239" s="140"/>
      <c r="ABG239" s="140"/>
      <c r="ABH239" s="140"/>
      <c r="ABI239" s="140"/>
      <c r="ABJ239" s="140"/>
      <c r="ABK239" s="140"/>
      <c r="ABL239" s="140"/>
      <c r="ABM239" s="140"/>
      <c r="ABN239" s="140"/>
      <c r="ABO239" s="140"/>
      <c r="ABP239" s="140"/>
      <c r="ABQ239" s="140"/>
      <c r="ABR239" s="140"/>
      <c r="ABS239" s="140"/>
      <c r="ABT239" s="140"/>
      <c r="ABU239" s="140"/>
      <c r="ABV239" s="140"/>
      <c r="ABW239" s="140"/>
      <c r="ABX239" s="140"/>
      <c r="ABY239" s="140"/>
      <c r="ABZ239" s="140"/>
      <c r="ACA239" s="140"/>
      <c r="ACB239" s="140"/>
      <c r="ACC239" s="140"/>
      <c r="ACD239" s="140"/>
      <c r="ACE239" s="140"/>
      <c r="ACF239" s="140"/>
      <c r="ACG239" s="140"/>
      <c r="ACH239" s="140"/>
      <c r="ACI239" s="140"/>
      <c r="ACJ239" s="140"/>
      <c r="ACK239" s="140"/>
      <c r="ACL239" s="140"/>
      <c r="ACM239" s="140"/>
      <c r="ACN239" s="140"/>
      <c r="ACO239" s="140"/>
      <c r="ACP239" s="140"/>
      <c r="ACQ239" s="140"/>
      <c r="ACR239" s="140"/>
      <c r="ACS239" s="140"/>
      <c r="ACT239" s="140"/>
      <c r="ACU239" s="140"/>
      <c r="ACV239" s="140"/>
      <c r="ACW239" s="140"/>
      <c r="ACX239" s="140"/>
      <c r="ACY239" s="140"/>
      <c r="ACZ239" s="140"/>
      <c r="ADA239" s="140"/>
      <c r="ADB239" s="140"/>
      <c r="ADC239" s="140"/>
      <c r="ADD239" s="140"/>
      <c r="ADE239" s="140"/>
      <c r="ADF239" s="140"/>
      <c r="ADG239" s="140"/>
      <c r="ADH239" s="140"/>
      <c r="ADI239" s="140"/>
      <c r="ADJ239" s="140"/>
      <c r="ADK239" s="140"/>
      <c r="ADL239" s="140"/>
      <c r="ADM239" s="140"/>
      <c r="ADN239" s="140"/>
      <c r="ADO239" s="140"/>
      <c r="ADP239" s="140"/>
      <c r="ADQ239" s="140"/>
      <c r="ADR239" s="140"/>
      <c r="ADS239" s="140"/>
      <c r="ADT239" s="140"/>
      <c r="ADU239" s="140"/>
      <c r="ADV239" s="140"/>
      <c r="ADW239" s="140"/>
      <c r="ADX239" s="140"/>
      <c r="ADY239" s="140"/>
      <c r="ADZ239" s="140"/>
      <c r="AEA239" s="140"/>
      <c r="AEB239" s="140"/>
      <c r="AEC239" s="140"/>
      <c r="AED239" s="140"/>
      <c r="AEE239" s="140"/>
      <c r="AEF239" s="140"/>
      <c r="AEG239" s="140"/>
      <c r="AEH239" s="140"/>
      <c r="AEI239" s="140"/>
      <c r="AEJ239" s="140"/>
      <c r="AEK239" s="140"/>
      <c r="AEL239" s="140"/>
      <c r="AEM239" s="140"/>
      <c r="AEN239" s="140"/>
      <c r="AEO239" s="140"/>
      <c r="AEP239" s="140"/>
      <c r="AEQ239" s="140"/>
      <c r="AER239" s="140"/>
      <c r="AES239" s="140"/>
      <c r="AET239" s="140"/>
      <c r="AEU239" s="140"/>
      <c r="AEV239" s="140"/>
      <c r="AEW239" s="140"/>
      <c r="AEX239" s="140"/>
      <c r="AEY239" s="140"/>
      <c r="AEZ239" s="140"/>
      <c r="AFA239" s="140"/>
      <c r="AFB239" s="140"/>
      <c r="AFC239" s="140"/>
      <c r="AFD239" s="140"/>
      <c r="AFE239" s="140"/>
      <c r="AFF239" s="140"/>
      <c r="AFG239" s="140"/>
      <c r="AFH239" s="140"/>
      <c r="AFI239" s="140"/>
      <c r="AFJ239" s="140"/>
      <c r="AFK239" s="140"/>
      <c r="AFL239" s="140"/>
      <c r="AFM239" s="140"/>
      <c r="AFN239" s="140"/>
      <c r="AFO239" s="140"/>
      <c r="AFP239" s="140"/>
      <c r="AFQ239" s="140"/>
      <c r="AFR239" s="140"/>
      <c r="AFS239" s="140"/>
      <c r="AFT239" s="140"/>
      <c r="AFU239" s="140"/>
      <c r="AFV239" s="140"/>
      <c r="AFW239" s="140"/>
      <c r="AFX239" s="140"/>
      <c r="AFY239" s="140"/>
      <c r="AFZ239" s="140"/>
      <c r="AGA239" s="140"/>
      <c r="AGB239" s="140"/>
      <c r="AGC239" s="140"/>
      <c r="AGD239" s="140"/>
      <c r="AGE239" s="140"/>
      <c r="AGF239" s="140"/>
      <c r="AGG239" s="140"/>
      <c r="AGH239" s="140"/>
      <c r="AGI239" s="140"/>
      <c r="AGJ239" s="140"/>
      <c r="AGK239" s="140"/>
      <c r="AGL239" s="140"/>
      <c r="AGM239" s="140"/>
      <c r="AGN239" s="140"/>
      <c r="AGO239" s="140"/>
      <c r="AGP239" s="140"/>
      <c r="AGQ239" s="140"/>
      <c r="AGR239" s="140"/>
      <c r="AGS239" s="140"/>
      <c r="AGT239" s="140"/>
      <c r="AGU239" s="140"/>
      <c r="AGV239" s="140"/>
      <c r="AGW239" s="140"/>
      <c r="AGX239" s="140"/>
      <c r="AGY239" s="140"/>
      <c r="AGZ239" s="140"/>
      <c r="AHA239" s="140"/>
      <c r="AHB239" s="140"/>
      <c r="AHC239" s="140"/>
      <c r="AHD239" s="140"/>
      <c r="AHE239" s="140"/>
      <c r="AHF239" s="140"/>
      <c r="AHG239" s="140"/>
      <c r="AHH239" s="140"/>
      <c r="AHI239" s="140"/>
      <c r="AHJ239" s="140"/>
      <c r="AHK239" s="140"/>
      <c r="AHL239" s="140"/>
      <c r="AHM239" s="140"/>
      <c r="AHN239" s="140"/>
      <c r="AHO239" s="140"/>
      <c r="AHP239" s="140"/>
      <c r="AHQ239" s="140"/>
      <c r="AHR239" s="140"/>
      <c r="AHS239" s="140"/>
      <c r="AHT239" s="140"/>
      <c r="AHU239" s="140"/>
      <c r="AHV239" s="140"/>
      <c r="AHW239" s="140"/>
      <c r="AHX239" s="140"/>
      <c r="AHY239" s="140"/>
      <c r="AHZ239" s="140"/>
      <c r="AIA239" s="140"/>
      <c r="AIB239" s="140"/>
      <c r="AIC239" s="140"/>
      <c r="AID239" s="140"/>
      <c r="AIE239" s="140"/>
      <c r="AIF239" s="140"/>
      <c r="AIG239" s="140"/>
      <c r="AIH239" s="140"/>
      <c r="AII239" s="140"/>
      <c r="AIJ239" s="140"/>
      <c r="AIK239" s="140"/>
      <c r="AIL239" s="140"/>
      <c r="AIM239" s="140"/>
      <c r="AIN239" s="140"/>
      <c r="AIO239" s="140"/>
      <c r="AIP239" s="140"/>
      <c r="AIQ239" s="140"/>
      <c r="AIR239" s="140"/>
      <c r="AIS239" s="140"/>
      <c r="AIT239" s="140"/>
      <c r="AIU239" s="140"/>
      <c r="AIV239" s="140"/>
      <c r="AIW239" s="140"/>
      <c r="AIX239" s="140"/>
      <c r="AIY239" s="140"/>
      <c r="AIZ239" s="140"/>
      <c r="AJA239" s="140"/>
      <c r="AJB239" s="140"/>
      <c r="AJC239" s="140"/>
      <c r="AJD239" s="140"/>
      <c r="AJE239" s="140"/>
      <c r="AJF239" s="140"/>
      <c r="AJG239" s="140"/>
      <c r="AJH239" s="140"/>
      <c r="AJI239" s="140"/>
      <c r="AJJ239" s="140"/>
      <c r="AJK239" s="140"/>
      <c r="AJL239" s="140"/>
      <c r="AJM239" s="140"/>
      <c r="AJN239" s="140"/>
      <c r="AJO239" s="140"/>
      <c r="AJP239" s="140"/>
      <c r="AJQ239" s="140"/>
      <c r="AJR239" s="140"/>
      <c r="AJS239" s="140"/>
      <c r="AJT239" s="140"/>
      <c r="AJU239" s="140"/>
      <c r="AJV239" s="140"/>
      <c r="AJW239" s="140"/>
      <c r="AJX239" s="140"/>
      <c r="AJY239" s="140"/>
      <c r="AJZ239" s="140"/>
      <c r="AKA239" s="140"/>
      <c r="AKB239" s="140"/>
      <c r="AKC239" s="140"/>
      <c r="AKD239" s="140"/>
      <c r="AKE239" s="140"/>
      <c r="AKF239" s="140"/>
      <c r="AKG239" s="140"/>
      <c r="AKH239" s="140"/>
      <c r="AKI239" s="140"/>
      <c r="AKJ239" s="140"/>
      <c r="AKK239" s="140"/>
      <c r="AKL239" s="140"/>
      <c r="AKM239" s="140"/>
      <c r="AKN239" s="140"/>
      <c r="AKO239" s="140"/>
      <c r="AKP239" s="140"/>
      <c r="AKQ239" s="140"/>
      <c r="AKR239" s="140"/>
      <c r="AKS239" s="140"/>
      <c r="AKT239" s="140"/>
      <c r="AKU239" s="140"/>
      <c r="AKV239" s="140"/>
      <c r="AKW239" s="140"/>
      <c r="AKX239" s="140"/>
      <c r="AKY239" s="140"/>
      <c r="AKZ239" s="140"/>
      <c r="ALA239" s="140"/>
      <c r="ALB239" s="140"/>
      <c r="ALC239" s="140"/>
      <c r="ALD239" s="140"/>
      <c r="ALE239" s="140"/>
      <c r="ALF239" s="140"/>
      <c r="ALG239" s="140"/>
      <c r="ALH239" s="140"/>
      <c r="ALI239" s="140"/>
      <c r="ALJ239" s="140"/>
      <c r="ALK239" s="140"/>
      <c r="ALL239" s="140"/>
      <c r="ALM239" s="140"/>
      <c r="ALN239" s="140"/>
      <c r="ALO239" s="140"/>
      <c r="ALP239" s="140"/>
      <c r="ALQ239" s="140"/>
      <c r="ALR239" s="140"/>
      <c r="ALS239" s="140"/>
      <c r="ALT239" s="140"/>
      <c r="ALU239" s="140"/>
      <c r="ALV239" s="140"/>
      <c r="ALW239" s="140"/>
      <c r="ALX239" s="140"/>
      <c r="ALY239" s="140"/>
      <c r="ALZ239" s="140"/>
      <c r="AMA239" s="140"/>
      <c r="AMB239" s="140"/>
      <c r="AMC239" s="140"/>
      <c r="AMD239" s="140"/>
      <c r="AME239" s="140"/>
      <c r="AMF239" s="140"/>
      <c r="AMG239" s="140"/>
      <c r="AMH239" s="140"/>
      <c r="AMI239" s="140"/>
      <c r="AMJ239" s="140"/>
      <c r="AMK239" s="140"/>
      <c r="AML239" s="140"/>
      <c r="AMM239" s="140"/>
      <c r="AMN239" s="140"/>
      <c r="AMO239" s="140"/>
      <c r="AMP239" s="140"/>
      <c r="AMQ239" s="140"/>
      <c r="AMR239" s="140"/>
      <c r="AMS239" s="140"/>
      <c r="AMT239" s="140"/>
      <c r="AMU239" s="140"/>
      <c r="AMV239" s="140"/>
      <c r="AMW239" s="140"/>
      <c r="AMX239" s="140"/>
      <c r="AMY239" s="140"/>
      <c r="AMZ239" s="140"/>
      <c r="ANA239" s="140"/>
      <c r="ANB239" s="140"/>
      <c r="ANC239" s="140"/>
      <c r="AND239" s="140"/>
      <c r="ANE239" s="140"/>
      <c r="ANF239" s="140"/>
      <c r="ANG239" s="140"/>
      <c r="ANH239" s="140"/>
      <c r="ANI239" s="140"/>
      <c r="ANJ239" s="140"/>
      <c r="ANK239" s="140"/>
      <c r="ANL239" s="140"/>
      <c r="ANM239" s="140"/>
      <c r="ANN239" s="140"/>
      <c r="ANO239" s="140"/>
      <c r="ANP239" s="140"/>
      <c r="ANQ239" s="140"/>
      <c r="ANR239" s="140"/>
      <c r="ANS239" s="140"/>
      <c r="ANT239" s="140"/>
      <c r="ANU239" s="140"/>
      <c r="ANV239" s="140"/>
      <c r="ANW239" s="140"/>
      <c r="ANX239" s="140"/>
      <c r="ANY239" s="140"/>
      <c r="ANZ239" s="140"/>
      <c r="AOA239" s="140"/>
      <c r="AOB239" s="140"/>
      <c r="AOC239" s="140"/>
      <c r="AOD239" s="140"/>
      <c r="AOE239" s="140"/>
      <c r="AOF239" s="140"/>
      <c r="AOG239" s="140"/>
      <c r="AOH239" s="140"/>
      <c r="AOI239" s="140"/>
      <c r="AOJ239" s="140"/>
      <c r="AOK239" s="140"/>
      <c r="AOL239" s="140"/>
      <c r="AOM239" s="140"/>
      <c r="AON239" s="140"/>
      <c r="AOO239" s="140"/>
      <c r="AOP239" s="140"/>
      <c r="AOQ239" s="140"/>
      <c r="AOR239" s="140"/>
      <c r="AOS239" s="140"/>
      <c r="AOT239" s="140"/>
      <c r="AOU239" s="140"/>
      <c r="AOV239" s="140"/>
      <c r="AOW239" s="140"/>
      <c r="AOX239" s="140"/>
      <c r="AOY239" s="140"/>
      <c r="AOZ239" s="140"/>
      <c r="APA239" s="140"/>
      <c r="APB239" s="140"/>
      <c r="APC239" s="140"/>
      <c r="APD239" s="140"/>
      <c r="APE239" s="140"/>
      <c r="APF239" s="140"/>
      <c r="APG239" s="140"/>
      <c r="APH239" s="140"/>
      <c r="API239" s="140"/>
      <c r="APJ239" s="140"/>
      <c r="APK239" s="140"/>
      <c r="APL239" s="140"/>
      <c r="APM239" s="140"/>
      <c r="APN239" s="140"/>
      <c r="APO239" s="140"/>
      <c r="APP239" s="140"/>
      <c r="APQ239" s="140"/>
      <c r="APR239" s="140"/>
      <c r="APS239" s="140"/>
      <c r="APT239" s="140"/>
      <c r="APU239" s="140"/>
      <c r="APV239" s="140"/>
      <c r="APW239" s="140"/>
      <c r="APX239" s="140"/>
      <c r="APY239" s="140"/>
      <c r="APZ239" s="140"/>
      <c r="AQA239" s="140"/>
      <c r="AQB239" s="140"/>
      <c r="AQC239" s="140"/>
      <c r="AQD239" s="140"/>
      <c r="AQE239" s="140"/>
      <c r="AQF239" s="140"/>
      <c r="AQG239" s="140"/>
      <c r="AQH239" s="140"/>
      <c r="AQI239" s="140"/>
      <c r="AQJ239" s="140"/>
      <c r="AQK239" s="140"/>
      <c r="AQL239" s="140"/>
      <c r="AQM239" s="140"/>
      <c r="AQN239" s="140"/>
      <c r="AQO239" s="140"/>
      <c r="AQP239" s="140"/>
      <c r="AQQ239" s="140"/>
      <c r="AQR239" s="140"/>
      <c r="AQS239" s="140"/>
      <c r="AQT239" s="140"/>
      <c r="AQU239" s="140"/>
      <c r="AQV239" s="140"/>
      <c r="AQW239" s="140"/>
      <c r="AQX239" s="140"/>
      <c r="AQY239" s="140"/>
      <c r="AQZ239" s="140"/>
      <c r="ARA239" s="140"/>
      <c r="ARB239" s="140"/>
      <c r="ARC239" s="140"/>
      <c r="ARD239" s="140"/>
      <c r="ARE239" s="140"/>
      <c r="ARF239" s="140"/>
      <c r="ARG239" s="140"/>
      <c r="ARH239" s="140"/>
      <c r="ARI239" s="140"/>
      <c r="ARJ239" s="140"/>
      <c r="ARK239" s="140"/>
      <c r="ARL239" s="140"/>
      <c r="ARM239" s="140"/>
      <c r="ARN239" s="140"/>
      <c r="ARO239" s="140"/>
      <c r="ARP239" s="140"/>
      <c r="ARQ239" s="140"/>
      <c r="ARR239" s="140"/>
      <c r="ARS239" s="140"/>
      <c r="ART239" s="140"/>
      <c r="ARU239" s="140"/>
      <c r="ARV239" s="140"/>
      <c r="ARW239" s="140"/>
      <c r="ARX239" s="140"/>
      <c r="ARY239" s="140"/>
      <c r="ARZ239" s="140"/>
      <c r="ASA239" s="140"/>
      <c r="ASB239" s="140"/>
      <c r="ASC239" s="140"/>
      <c r="ASD239" s="140"/>
      <c r="ASE239" s="140"/>
      <c r="ASF239" s="140"/>
      <c r="ASG239" s="140"/>
      <c r="ASH239" s="140"/>
      <c r="ASI239" s="140"/>
      <c r="ASJ239" s="140"/>
      <c r="ASK239" s="140"/>
      <c r="ASL239" s="140"/>
      <c r="ASM239" s="140"/>
      <c r="ASN239" s="140"/>
      <c r="ASO239" s="140"/>
      <c r="ASP239" s="140"/>
      <c r="ASQ239" s="140"/>
      <c r="ASR239" s="140"/>
      <c r="ASS239" s="140"/>
      <c r="AST239" s="140"/>
      <c r="ASU239" s="140"/>
      <c r="ASV239" s="140"/>
      <c r="ASW239" s="140"/>
      <c r="ASX239" s="140"/>
      <c r="ASY239" s="140"/>
      <c r="ASZ239" s="140"/>
      <c r="ATA239" s="140"/>
      <c r="ATB239" s="140"/>
      <c r="ATC239" s="140"/>
      <c r="ATD239" s="140"/>
      <c r="ATE239" s="140"/>
      <c r="ATF239" s="140"/>
      <c r="ATG239" s="140"/>
      <c r="ATH239" s="140"/>
      <c r="ATI239" s="140"/>
      <c r="ATJ239" s="140"/>
      <c r="ATK239" s="140"/>
      <c r="ATL239" s="140"/>
      <c r="ATM239" s="140"/>
      <c r="ATN239" s="140"/>
      <c r="ATO239" s="140"/>
      <c r="ATP239" s="140"/>
      <c r="ATQ239" s="140"/>
      <c r="ATR239" s="140"/>
      <c r="ATS239" s="140"/>
      <c r="ATT239" s="140"/>
      <c r="ATU239" s="140"/>
      <c r="ATV239" s="140"/>
      <c r="ATW239" s="140"/>
      <c r="ATX239" s="140"/>
      <c r="ATY239" s="140"/>
      <c r="ATZ239" s="140"/>
      <c r="AUA239" s="140"/>
      <c r="AUB239" s="140"/>
      <c r="AUC239" s="140"/>
      <c r="AUD239" s="140"/>
      <c r="AUE239" s="140"/>
      <c r="AUF239" s="140"/>
      <c r="AUG239" s="140"/>
      <c r="AUH239" s="140"/>
      <c r="AUI239" s="140"/>
      <c r="AUJ239" s="140"/>
      <c r="AUK239" s="140"/>
      <c r="AUL239" s="140"/>
      <c r="AUM239" s="140"/>
      <c r="AUN239" s="140"/>
      <c r="AUO239" s="140"/>
      <c r="AUP239" s="140"/>
      <c r="AUQ239" s="140"/>
      <c r="AUR239" s="140"/>
      <c r="AUS239" s="140"/>
      <c r="AUT239" s="140"/>
      <c r="AUU239" s="140"/>
      <c r="AUV239" s="140"/>
      <c r="AUW239" s="140"/>
      <c r="AUX239" s="140"/>
      <c r="AUY239" s="140"/>
      <c r="AUZ239" s="140"/>
      <c r="AVA239" s="140"/>
      <c r="AVB239" s="140"/>
      <c r="AVC239" s="140"/>
      <c r="AVD239" s="140"/>
      <c r="AVE239" s="140"/>
      <c r="AVF239" s="140"/>
      <c r="AVG239" s="140"/>
      <c r="AVH239" s="140"/>
      <c r="AVI239" s="140"/>
      <c r="AVJ239" s="140"/>
      <c r="AVK239" s="140"/>
      <c r="AVL239" s="140"/>
      <c r="AVM239" s="140"/>
      <c r="AVN239" s="140"/>
      <c r="AVO239" s="140"/>
      <c r="AVP239" s="140"/>
      <c r="AVQ239" s="140"/>
      <c r="AVR239" s="140"/>
      <c r="AVS239" s="140"/>
      <c r="AVT239" s="140"/>
      <c r="AVU239" s="140"/>
      <c r="AVV239" s="140"/>
      <c r="AVW239" s="140"/>
      <c r="AVX239" s="140"/>
      <c r="AVY239" s="140"/>
      <c r="AVZ239" s="140"/>
      <c r="AWA239" s="140"/>
      <c r="AWB239" s="140"/>
      <c r="AWC239" s="140"/>
      <c r="AWD239" s="140"/>
      <c r="AWE239" s="140"/>
      <c r="AWF239" s="140"/>
      <c r="AWG239" s="140"/>
      <c r="AWH239" s="140"/>
      <c r="AWI239" s="140"/>
      <c r="AWJ239" s="140"/>
      <c r="AWK239" s="140"/>
      <c r="AWL239" s="140"/>
      <c r="AWM239" s="140"/>
      <c r="AWN239" s="140"/>
      <c r="AWO239" s="140"/>
      <c r="AWP239" s="140"/>
      <c r="AWQ239" s="140"/>
      <c r="AWR239" s="140"/>
      <c r="AWS239" s="140"/>
      <c r="AWT239" s="140"/>
      <c r="AWU239" s="140"/>
      <c r="AWV239" s="140"/>
      <c r="AWW239" s="140"/>
      <c r="AWX239" s="140"/>
      <c r="AWY239" s="140"/>
      <c r="AWZ239" s="140"/>
      <c r="AXA239" s="140"/>
      <c r="AXB239" s="140"/>
      <c r="AXC239" s="140"/>
      <c r="AXD239" s="140"/>
      <c r="AXE239" s="140"/>
      <c r="AXF239" s="140"/>
      <c r="AXG239" s="140"/>
      <c r="AXH239" s="140"/>
      <c r="AXI239" s="140"/>
      <c r="AXJ239" s="140"/>
      <c r="AXK239" s="140"/>
      <c r="AXL239" s="140"/>
      <c r="AXM239" s="140"/>
      <c r="AXN239" s="140"/>
      <c r="AXO239" s="140"/>
      <c r="AXP239" s="140"/>
      <c r="AXQ239" s="140"/>
      <c r="AXR239" s="140"/>
      <c r="AXS239" s="140"/>
      <c r="AXT239" s="140"/>
      <c r="AXU239" s="140"/>
      <c r="AXV239" s="140"/>
      <c r="AXW239" s="140"/>
      <c r="AXX239" s="140"/>
      <c r="AXY239" s="140"/>
      <c r="AXZ239" s="140"/>
      <c r="AYA239" s="140"/>
      <c r="AYB239" s="140"/>
      <c r="AYC239" s="140"/>
      <c r="AYD239" s="140"/>
      <c r="AYE239" s="140"/>
      <c r="AYF239" s="140"/>
      <c r="AYG239" s="140"/>
      <c r="AYH239" s="140"/>
      <c r="AYI239" s="140"/>
      <c r="AYJ239" s="140"/>
      <c r="AYK239" s="140"/>
      <c r="AYL239" s="140"/>
      <c r="AYM239" s="140"/>
      <c r="AYN239" s="140"/>
      <c r="AYO239" s="140"/>
      <c r="AYP239" s="140"/>
      <c r="AYQ239" s="140"/>
      <c r="AYR239" s="140"/>
      <c r="AYS239" s="140"/>
      <c r="AYT239" s="140"/>
      <c r="AYU239" s="140"/>
      <c r="AYV239" s="140"/>
      <c r="AYW239" s="140"/>
      <c r="AYX239" s="140"/>
      <c r="AYY239" s="140"/>
      <c r="AYZ239" s="140"/>
      <c r="AZA239" s="140"/>
      <c r="AZB239" s="140"/>
      <c r="AZC239" s="140"/>
      <c r="AZD239" s="140"/>
      <c r="AZE239" s="140"/>
      <c r="AZF239" s="140"/>
      <c r="AZG239" s="140"/>
      <c r="AZH239" s="140"/>
      <c r="AZI239" s="140"/>
      <c r="AZJ239" s="140"/>
      <c r="AZK239" s="140"/>
      <c r="AZL239" s="140"/>
      <c r="AZM239" s="140"/>
      <c r="AZN239" s="140"/>
      <c r="AZO239" s="140"/>
      <c r="AZP239" s="140"/>
      <c r="AZQ239" s="140"/>
      <c r="AZR239" s="140"/>
      <c r="AZS239" s="140"/>
      <c r="AZT239" s="140"/>
      <c r="AZU239" s="140"/>
      <c r="AZV239" s="140"/>
      <c r="AZW239" s="140"/>
      <c r="AZX239" s="140"/>
      <c r="AZY239" s="140"/>
      <c r="AZZ239" s="140"/>
      <c r="BAA239" s="140"/>
      <c r="BAB239" s="140"/>
      <c r="BAC239" s="140"/>
      <c r="BAD239" s="140"/>
      <c r="BAE239" s="140"/>
      <c r="BAF239" s="140"/>
      <c r="BAG239" s="140"/>
      <c r="BAH239" s="140"/>
      <c r="BAI239" s="140"/>
      <c r="BAJ239" s="140"/>
      <c r="BAK239" s="140"/>
      <c r="BAL239" s="140"/>
      <c r="BAM239" s="140"/>
      <c r="BAN239" s="140"/>
      <c r="BAO239" s="140"/>
      <c r="BAP239" s="140"/>
      <c r="BAQ239" s="140"/>
      <c r="BAR239" s="140"/>
      <c r="BAS239" s="140"/>
      <c r="BAT239" s="140"/>
      <c r="BAU239" s="140"/>
      <c r="BAV239" s="140"/>
      <c r="BAW239" s="140"/>
      <c r="BAX239" s="140"/>
      <c r="BAY239" s="140"/>
      <c r="BAZ239" s="140"/>
      <c r="BBA239" s="140"/>
      <c r="BBB239" s="140"/>
      <c r="BBC239" s="140"/>
      <c r="BBD239" s="140"/>
      <c r="BBE239" s="140"/>
      <c r="BBF239" s="140"/>
      <c r="BBG239" s="140"/>
      <c r="BBH239" s="140"/>
      <c r="BBI239" s="140"/>
      <c r="BBJ239" s="140"/>
      <c r="BBK239" s="140"/>
      <c r="BBL239" s="140"/>
      <c r="BBM239" s="140"/>
      <c r="BBN239" s="140"/>
      <c r="BBO239" s="140"/>
      <c r="BBP239" s="140"/>
      <c r="BBQ239" s="140"/>
      <c r="BBR239" s="140"/>
      <c r="BBS239" s="140"/>
      <c r="BBT239" s="140"/>
      <c r="BBU239" s="140"/>
      <c r="BBV239" s="140"/>
      <c r="BBW239" s="140"/>
      <c r="BBX239" s="140"/>
      <c r="BBY239" s="140"/>
      <c r="BBZ239" s="140"/>
      <c r="BCA239" s="140"/>
      <c r="BCB239" s="140"/>
      <c r="BCC239" s="140"/>
      <c r="BCD239" s="140"/>
      <c r="BCE239" s="140"/>
      <c r="BCF239" s="140"/>
      <c r="BCG239" s="140"/>
      <c r="BCH239" s="140"/>
      <c r="BCI239" s="140"/>
      <c r="BCJ239" s="140"/>
      <c r="BCK239" s="140"/>
      <c r="BCL239" s="140"/>
      <c r="BCM239" s="140"/>
      <c r="BCN239" s="140"/>
      <c r="BCO239" s="140"/>
      <c r="BCP239" s="140"/>
      <c r="BCQ239" s="140"/>
      <c r="BCR239" s="140"/>
      <c r="BCS239" s="140"/>
      <c r="BCT239" s="140"/>
      <c r="BCU239" s="140"/>
      <c r="BCV239" s="140"/>
      <c r="BCW239" s="140"/>
      <c r="BCX239" s="140"/>
      <c r="BCY239" s="140"/>
      <c r="BCZ239" s="140"/>
      <c r="BDA239" s="140"/>
      <c r="BDB239" s="140"/>
      <c r="BDC239" s="140"/>
      <c r="BDD239" s="140"/>
      <c r="BDE239" s="140"/>
      <c r="BDF239" s="140"/>
      <c r="BDG239" s="140"/>
      <c r="BDH239" s="140"/>
      <c r="BDI239" s="140"/>
      <c r="BDJ239" s="140"/>
      <c r="BDK239" s="140"/>
      <c r="BDL239" s="140"/>
      <c r="BDM239" s="140"/>
      <c r="BDN239" s="140"/>
      <c r="BDO239" s="140"/>
      <c r="BDP239" s="140"/>
      <c r="BDQ239" s="140"/>
      <c r="BDR239" s="140"/>
      <c r="BDS239" s="140"/>
      <c r="BDT239" s="140"/>
      <c r="BDU239" s="140"/>
      <c r="BDV239" s="140"/>
      <c r="BDW239" s="140"/>
      <c r="BDX239" s="140"/>
      <c r="BDY239" s="140"/>
      <c r="BDZ239" s="140"/>
      <c r="BEA239" s="140"/>
      <c r="BEB239" s="140"/>
      <c r="BEC239" s="140"/>
      <c r="BED239" s="140"/>
      <c r="BEE239" s="140"/>
      <c r="BEF239" s="140"/>
      <c r="BEG239" s="140"/>
      <c r="BEH239" s="140"/>
      <c r="BEI239" s="140"/>
      <c r="BEJ239" s="140"/>
      <c r="BEK239" s="140"/>
      <c r="BEL239" s="140"/>
      <c r="BEM239" s="140"/>
      <c r="BEN239" s="140"/>
      <c r="BEO239" s="140"/>
      <c r="BEP239" s="140"/>
      <c r="BEQ239" s="140"/>
      <c r="BER239" s="140"/>
      <c r="BES239" s="140"/>
      <c r="BET239" s="140"/>
      <c r="BEU239" s="140"/>
      <c r="BEV239" s="140"/>
      <c r="BEW239" s="140"/>
      <c r="BEX239" s="140"/>
      <c r="BEY239" s="140"/>
      <c r="BEZ239" s="140"/>
      <c r="BFA239" s="140"/>
      <c r="BFB239" s="140"/>
      <c r="BFC239" s="140"/>
      <c r="BFD239" s="140"/>
      <c r="BFE239" s="140"/>
      <c r="BFF239" s="140"/>
      <c r="BFG239" s="140"/>
      <c r="BFH239" s="140"/>
      <c r="BFI239" s="140"/>
      <c r="BFJ239" s="140"/>
      <c r="BFK239" s="140"/>
      <c r="BFL239" s="140"/>
      <c r="BFM239" s="140"/>
      <c r="BFN239" s="140"/>
      <c r="BFO239" s="140"/>
      <c r="BFP239" s="140"/>
      <c r="BFQ239" s="140"/>
      <c r="BFR239" s="140"/>
      <c r="BFS239" s="140"/>
      <c r="BFT239" s="140"/>
      <c r="BFU239" s="140"/>
      <c r="BFV239" s="140"/>
      <c r="BFW239" s="140"/>
      <c r="BFX239" s="140"/>
      <c r="BFY239" s="140"/>
      <c r="BFZ239" s="140"/>
      <c r="BGA239" s="140"/>
      <c r="BGB239" s="140"/>
      <c r="BGC239" s="140"/>
      <c r="BGD239" s="140"/>
      <c r="BGE239" s="140"/>
      <c r="BGF239" s="140"/>
      <c r="BGG239" s="140"/>
      <c r="BGH239" s="140"/>
      <c r="BGI239" s="140"/>
      <c r="BGJ239" s="140"/>
      <c r="BGK239" s="140"/>
      <c r="BGL239" s="140"/>
      <c r="BGM239" s="140"/>
      <c r="BGN239" s="140"/>
      <c r="BGO239" s="140"/>
      <c r="BGP239" s="140"/>
      <c r="BGQ239" s="140"/>
      <c r="BGR239" s="140"/>
      <c r="BGS239" s="140"/>
      <c r="BGT239" s="140"/>
      <c r="BGU239" s="140"/>
      <c r="BGV239" s="140"/>
      <c r="BGW239" s="140"/>
      <c r="BGX239" s="140"/>
      <c r="BGY239" s="140"/>
      <c r="BGZ239" s="140"/>
      <c r="BHA239" s="140"/>
      <c r="BHB239" s="140"/>
      <c r="BHC239" s="140"/>
      <c r="BHD239" s="140"/>
      <c r="BHE239" s="140"/>
      <c r="BHF239" s="140"/>
      <c r="BHG239" s="140"/>
      <c r="BHH239" s="140"/>
      <c r="BHI239" s="140"/>
      <c r="BHJ239" s="140"/>
      <c r="BHK239" s="140"/>
      <c r="BHL239" s="140"/>
      <c r="BHM239" s="140"/>
      <c r="BHN239" s="140"/>
      <c r="BHO239" s="140"/>
      <c r="BHP239" s="140"/>
      <c r="BHQ239" s="140"/>
      <c r="BHR239" s="140"/>
      <c r="BHS239" s="140"/>
      <c r="BHT239" s="140"/>
      <c r="BHU239" s="140"/>
      <c r="BHV239" s="140"/>
      <c r="BHW239" s="140"/>
      <c r="BHX239" s="140"/>
      <c r="BHY239" s="140"/>
      <c r="BHZ239" s="140"/>
      <c r="BIA239" s="140"/>
      <c r="BIB239" s="140"/>
      <c r="BIC239" s="140"/>
      <c r="BID239" s="140"/>
      <c r="BIE239" s="140"/>
      <c r="BIF239" s="140"/>
      <c r="BIG239" s="140"/>
      <c r="BIH239" s="140"/>
      <c r="BII239" s="140"/>
      <c r="BIJ239" s="140"/>
      <c r="BIK239" s="140"/>
      <c r="BIL239" s="140"/>
      <c r="BIM239" s="140"/>
      <c r="BIN239" s="140"/>
      <c r="BIO239" s="140"/>
      <c r="BIP239" s="140"/>
      <c r="BIQ239" s="140"/>
      <c r="BIR239" s="140"/>
      <c r="BIS239" s="140"/>
      <c r="BIT239" s="140"/>
      <c r="BIU239" s="140"/>
      <c r="BIV239" s="140"/>
      <c r="BIW239" s="140"/>
      <c r="BIX239" s="140"/>
      <c r="BIY239" s="140"/>
      <c r="BIZ239" s="140"/>
      <c r="BJA239" s="140"/>
      <c r="BJB239" s="140"/>
      <c r="BJC239" s="140"/>
      <c r="BJD239" s="140"/>
      <c r="BJE239" s="140"/>
      <c r="BJF239" s="140"/>
      <c r="BJG239" s="140"/>
      <c r="BJH239" s="140"/>
      <c r="BJI239" s="140"/>
      <c r="BJJ239" s="140"/>
      <c r="BJK239" s="140"/>
      <c r="BJL239" s="140"/>
      <c r="BJM239" s="140"/>
      <c r="BJN239" s="140"/>
      <c r="BJO239" s="140"/>
      <c r="BJP239" s="140"/>
      <c r="BJQ239" s="140"/>
      <c r="BJR239" s="140"/>
      <c r="BJS239" s="140"/>
      <c r="BJT239" s="140"/>
      <c r="BJU239" s="140"/>
      <c r="BJV239" s="140"/>
      <c r="BJW239" s="140"/>
      <c r="BJX239" s="140"/>
      <c r="BJY239" s="140"/>
      <c r="BJZ239" s="140"/>
      <c r="BKA239" s="140"/>
      <c r="BKB239" s="140"/>
      <c r="BKC239" s="140"/>
      <c r="BKD239" s="140"/>
      <c r="BKE239" s="140"/>
      <c r="BKF239" s="140"/>
      <c r="BKG239" s="140"/>
      <c r="BKH239" s="140"/>
      <c r="BKI239" s="140"/>
      <c r="BKJ239" s="140"/>
      <c r="BKK239" s="140"/>
      <c r="BKL239" s="140"/>
      <c r="BKM239" s="140"/>
      <c r="BKN239" s="140"/>
      <c r="BKO239" s="140"/>
      <c r="BKP239" s="140"/>
      <c r="BKQ239" s="140"/>
      <c r="BKR239" s="140"/>
      <c r="BKS239" s="140"/>
      <c r="BKT239" s="140"/>
      <c r="BKU239" s="140"/>
      <c r="BKV239" s="140"/>
      <c r="BKW239" s="140"/>
      <c r="BKX239" s="140"/>
      <c r="BKY239" s="140"/>
      <c r="BKZ239" s="140"/>
      <c r="BLA239" s="140"/>
      <c r="BLB239" s="140"/>
      <c r="BLC239" s="140"/>
      <c r="BLD239" s="140"/>
      <c r="BLE239" s="140"/>
      <c r="BLF239" s="140"/>
      <c r="BLG239" s="140"/>
      <c r="BLH239" s="140"/>
      <c r="BLI239" s="140"/>
      <c r="BLJ239" s="140"/>
      <c r="BLK239" s="140"/>
      <c r="BLL239" s="140"/>
      <c r="BLM239" s="140"/>
      <c r="BLN239" s="140"/>
      <c r="BLO239" s="140"/>
      <c r="BLP239" s="140"/>
      <c r="BLQ239" s="140"/>
      <c r="BLR239" s="140"/>
      <c r="BLS239" s="140"/>
      <c r="BLT239" s="140"/>
      <c r="BLU239" s="140"/>
      <c r="BLV239" s="140"/>
      <c r="BLW239" s="140"/>
      <c r="BLX239" s="140"/>
      <c r="BLY239" s="140"/>
      <c r="BLZ239" s="140"/>
      <c r="BMA239" s="140"/>
      <c r="BMB239" s="140"/>
      <c r="BMC239" s="140"/>
      <c r="BMD239" s="140"/>
      <c r="BME239" s="140"/>
      <c r="BMF239" s="140"/>
      <c r="BMG239" s="140"/>
      <c r="BMH239" s="140"/>
      <c r="BMI239" s="140"/>
      <c r="BMJ239" s="140"/>
      <c r="BMK239" s="140"/>
      <c r="BML239" s="140"/>
      <c r="BMM239" s="140"/>
      <c r="BMN239" s="140"/>
      <c r="BMO239" s="140"/>
      <c r="BMP239" s="140"/>
      <c r="BMQ239" s="140"/>
      <c r="BMR239" s="140"/>
      <c r="BMS239" s="140"/>
      <c r="BMT239" s="140"/>
      <c r="BMU239" s="140"/>
      <c r="BMV239" s="140"/>
      <c r="BMW239" s="140"/>
      <c r="BMX239" s="140"/>
      <c r="BMY239" s="140"/>
      <c r="BMZ239" s="140"/>
      <c r="BNA239" s="140"/>
      <c r="BNB239" s="140"/>
      <c r="BNC239" s="140"/>
      <c r="BND239" s="140"/>
      <c r="BNE239" s="140"/>
      <c r="BNF239" s="140"/>
      <c r="BNG239" s="140"/>
      <c r="BNH239" s="140"/>
      <c r="BNI239" s="140"/>
      <c r="BNJ239" s="140"/>
      <c r="BNK239" s="140"/>
      <c r="BNL239" s="140"/>
      <c r="BNM239" s="140"/>
      <c r="BNN239" s="140"/>
      <c r="BNO239" s="140"/>
      <c r="BNP239" s="140"/>
      <c r="BNQ239" s="140"/>
      <c r="BNR239" s="140"/>
      <c r="BNS239" s="140"/>
      <c r="BNT239" s="140"/>
      <c r="BNU239" s="140"/>
      <c r="BNV239" s="140"/>
      <c r="BNW239" s="140"/>
      <c r="BNX239" s="140"/>
      <c r="BNY239" s="140"/>
      <c r="BNZ239" s="140"/>
      <c r="BOA239" s="140"/>
      <c r="BOB239" s="140"/>
      <c r="BOC239" s="140"/>
      <c r="BOD239" s="140"/>
      <c r="BOE239" s="140"/>
      <c r="BOF239" s="140"/>
      <c r="BOG239" s="140"/>
      <c r="BOH239" s="140"/>
      <c r="BOI239" s="140"/>
      <c r="BOJ239" s="140"/>
      <c r="BOK239" s="140"/>
      <c r="BOL239" s="140"/>
      <c r="BOM239" s="140"/>
      <c r="BON239" s="140"/>
      <c r="BOO239" s="140"/>
      <c r="BOP239" s="140"/>
      <c r="BOQ239" s="140"/>
      <c r="BOR239" s="140"/>
      <c r="BOS239" s="140"/>
      <c r="BOT239" s="140"/>
      <c r="BOU239" s="140"/>
      <c r="BOV239" s="140"/>
      <c r="BOW239" s="140"/>
      <c r="BOX239" s="140"/>
      <c r="BOY239" s="140"/>
      <c r="BOZ239" s="140"/>
      <c r="BPA239" s="140"/>
      <c r="BPB239" s="140"/>
      <c r="BPC239" s="140"/>
      <c r="BPD239" s="140"/>
      <c r="BPE239" s="140"/>
      <c r="BPF239" s="140"/>
      <c r="BPG239" s="140"/>
      <c r="BPH239" s="140"/>
      <c r="BPI239" s="140"/>
      <c r="BPJ239" s="140"/>
      <c r="BPK239" s="140"/>
      <c r="BPL239" s="140"/>
      <c r="BPM239" s="140"/>
      <c r="BPN239" s="140"/>
      <c r="BPO239" s="140"/>
      <c r="BPP239" s="140"/>
      <c r="BPQ239" s="140"/>
      <c r="BPR239" s="140"/>
      <c r="BPS239" s="140"/>
      <c r="BPT239" s="140"/>
      <c r="BPU239" s="140"/>
      <c r="BPV239" s="140"/>
      <c r="BPW239" s="140"/>
      <c r="BPX239" s="140"/>
      <c r="BPY239" s="140"/>
      <c r="BPZ239" s="140"/>
      <c r="BQA239" s="140"/>
      <c r="BQB239" s="140"/>
      <c r="BQC239" s="140"/>
      <c r="BQD239" s="140"/>
      <c r="BQE239" s="140"/>
      <c r="BQF239" s="140"/>
      <c r="BQG239" s="140"/>
      <c r="BQH239" s="140"/>
      <c r="BQI239" s="140"/>
      <c r="BQJ239" s="140"/>
      <c r="BQK239" s="140"/>
      <c r="BQL239" s="140"/>
      <c r="BQM239" s="140"/>
      <c r="BQN239" s="140"/>
      <c r="BQO239" s="140"/>
      <c r="BQP239" s="140"/>
      <c r="BQQ239" s="140"/>
      <c r="BQR239" s="140"/>
      <c r="BQS239" s="140"/>
      <c r="BQT239" s="140"/>
      <c r="BQU239" s="140"/>
      <c r="BQV239" s="140"/>
      <c r="BQW239" s="140"/>
      <c r="BQX239" s="140"/>
      <c r="BQY239" s="140"/>
      <c r="BQZ239" s="140"/>
      <c r="BRA239" s="140"/>
      <c r="BRB239" s="140"/>
      <c r="BRC239" s="140"/>
      <c r="BRD239" s="140"/>
      <c r="BRE239" s="140"/>
      <c r="BRF239" s="140"/>
      <c r="BRG239" s="140"/>
      <c r="BRH239" s="140"/>
      <c r="BRI239" s="140"/>
      <c r="BRJ239" s="140"/>
      <c r="BRK239" s="140"/>
      <c r="BRL239" s="140"/>
      <c r="BRM239" s="140"/>
      <c r="BRN239" s="140"/>
      <c r="BRO239" s="140"/>
      <c r="BRP239" s="140"/>
      <c r="BRQ239" s="140"/>
      <c r="BRR239" s="140"/>
      <c r="BRS239" s="140"/>
      <c r="BRT239" s="140"/>
      <c r="BRU239" s="140"/>
      <c r="BRV239" s="140"/>
      <c r="BRW239" s="140"/>
      <c r="BRX239" s="140"/>
      <c r="BRY239" s="140"/>
      <c r="BRZ239" s="140"/>
      <c r="BSA239" s="140"/>
      <c r="BSB239" s="140"/>
      <c r="BSC239" s="140"/>
      <c r="BSD239" s="140"/>
      <c r="BSE239" s="140"/>
      <c r="BSF239" s="140"/>
      <c r="BSG239" s="140"/>
      <c r="BSH239" s="140"/>
      <c r="BSI239" s="140"/>
      <c r="BSJ239" s="140"/>
      <c r="BSK239" s="140"/>
      <c r="BSL239" s="140"/>
      <c r="BSM239" s="140"/>
      <c r="BSN239" s="140"/>
      <c r="BSO239" s="140"/>
      <c r="BSP239" s="140"/>
      <c r="BSQ239" s="140"/>
      <c r="BSR239" s="140"/>
      <c r="BSS239" s="140"/>
      <c r="BST239" s="140"/>
      <c r="BSU239" s="140"/>
      <c r="BSV239" s="140"/>
      <c r="BSW239" s="140"/>
      <c r="BSX239" s="140"/>
      <c r="BSY239" s="140"/>
      <c r="BSZ239" s="140"/>
      <c r="BTA239" s="140"/>
      <c r="BTB239" s="140"/>
      <c r="BTC239" s="140"/>
      <c r="BTD239" s="140"/>
      <c r="BTE239" s="140"/>
      <c r="BTF239" s="140"/>
      <c r="BTG239" s="140"/>
      <c r="BTH239" s="140"/>
      <c r="BTI239" s="140"/>
      <c r="BTJ239" s="140"/>
      <c r="BTK239" s="140"/>
      <c r="BTL239" s="140"/>
      <c r="BTM239" s="140"/>
      <c r="BTN239" s="140"/>
      <c r="BTO239" s="140"/>
      <c r="BTP239" s="140"/>
      <c r="BTQ239" s="140"/>
      <c r="BTR239" s="140"/>
      <c r="BTS239" s="140"/>
      <c r="BTT239" s="140"/>
      <c r="BTU239" s="140"/>
      <c r="BTV239" s="140"/>
      <c r="BTW239" s="140"/>
      <c r="BTX239" s="140"/>
      <c r="BTY239" s="140"/>
      <c r="BTZ239" s="140"/>
      <c r="BUA239" s="140"/>
      <c r="BUB239" s="140"/>
      <c r="BUC239" s="140"/>
      <c r="BUD239" s="140"/>
      <c r="BUE239" s="140"/>
      <c r="BUF239" s="140"/>
      <c r="BUG239" s="140"/>
      <c r="BUH239" s="140"/>
      <c r="BUI239" s="140"/>
      <c r="BUJ239" s="140"/>
      <c r="BUK239" s="140"/>
      <c r="BUL239" s="140"/>
      <c r="BUM239" s="140"/>
      <c r="BUN239" s="140"/>
      <c r="BUO239" s="140"/>
      <c r="BUP239" s="140"/>
      <c r="BUQ239" s="140"/>
      <c r="BUR239" s="140"/>
      <c r="BUS239" s="140"/>
      <c r="BUT239" s="140"/>
      <c r="BUU239" s="140"/>
      <c r="BUV239" s="140"/>
      <c r="BUW239" s="140"/>
      <c r="BUX239" s="140"/>
      <c r="BUY239" s="140"/>
      <c r="BUZ239" s="140"/>
      <c r="BVA239" s="140"/>
      <c r="BVB239" s="140"/>
      <c r="BVC239" s="140"/>
      <c r="BVD239" s="140"/>
      <c r="BVE239" s="140"/>
      <c r="BVF239" s="140"/>
      <c r="BVG239" s="140"/>
      <c r="BVH239" s="140"/>
      <c r="BVI239" s="140"/>
      <c r="BVJ239" s="140"/>
      <c r="BVK239" s="140"/>
      <c r="BVL239" s="140"/>
      <c r="BVM239" s="140"/>
      <c r="BVN239" s="140"/>
      <c r="BVO239" s="140"/>
      <c r="BVP239" s="140"/>
      <c r="BVQ239" s="140"/>
      <c r="BVR239" s="140"/>
      <c r="BVS239" s="140"/>
      <c r="BVT239" s="140"/>
      <c r="BVU239" s="140"/>
      <c r="BVV239" s="140"/>
      <c r="BVW239" s="140"/>
      <c r="BVX239" s="140"/>
      <c r="BVY239" s="140"/>
      <c r="BVZ239" s="140"/>
      <c r="BWA239" s="140"/>
      <c r="BWB239" s="140"/>
      <c r="BWC239" s="140"/>
      <c r="BWD239" s="140"/>
      <c r="BWE239" s="140"/>
      <c r="BWF239" s="140"/>
      <c r="BWG239" s="140"/>
      <c r="BWH239" s="140"/>
      <c r="BWI239" s="140"/>
      <c r="BWJ239" s="140"/>
      <c r="BWK239" s="140"/>
      <c r="BWL239" s="140"/>
      <c r="BWM239" s="140"/>
      <c r="BWN239" s="140"/>
      <c r="BWO239" s="140"/>
      <c r="BWP239" s="140"/>
      <c r="BWQ239" s="140"/>
      <c r="BWR239" s="140"/>
      <c r="BWS239" s="140"/>
      <c r="BWT239" s="140"/>
      <c r="BWU239" s="140"/>
      <c r="BWV239" s="140"/>
      <c r="BWW239" s="140"/>
      <c r="BWX239" s="140"/>
      <c r="BWY239" s="140"/>
      <c r="BWZ239" s="140"/>
      <c r="BXA239" s="140"/>
      <c r="BXB239" s="140"/>
      <c r="BXC239" s="140"/>
      <c r="BXD239" s="140"/>
      <c r="BXE239" s="140"/>
      <c r="BXF239" s="140"/>
      <c r="BXG239" s="140"/>
      <c r="BXH239" s="140"/>
      <c r="BXI239" s="140"/>
      <c r="BXJ239" s="140"/>
      <c r="BXK239" s="140"/>
      <c r="BXL239" s="140"/>
      <c r="BXM239" s="140"/>
      <c r="BXN239" s="140"/>
      <c r="BXO239" s="140"/>
      <c r="BXP239" s="140"/>
      <c r="BXQ239" s="140"/>
      <c r="BXR239" s="140"/>
      <c r="BXS239" s="140"/>
      <c r="BXT239" s="140"/>
      <c r="BXU239" s="140"/>
      <c r="BXV239" s="140"/>
      <c r="BXW239" s="140"/>
      <c r="BXX239" s="140"/>
      <c r="BXY239" s="140"/>
      <c r="BXZ239" s="140"/>
      <c r="BYA239" s="140"/>
      <c r="BYB239" s="140"/>
      <c r="BYC239" s="140"/>
      <c r="BYD239" s="140"/>
      <c r="BYE239" s="140"/>
      <c r="BYF239" s="140"/>
      <c r="BYG239" s="140"/>
      <c r="BYH239" s="140"/>
      <c r="BYI239" s="140"/>
      <c r="BYJ239" s="140"/>
      <c r="BYK239" s="140"/>
      <c r="BYL239" s="140"/>
      <c r="BYM239" s="140"/>
      <c r="BYN239" s="140"/>
      <c r="BYO239" s="140"/>
      <c r="BYP239" s="140"/>
      <c r="BYQ239" s="140"/>
      <c r="BYR239" s="140"/>
      <c r="BYS239" s="140"/>
      <c r="BYT239" s="140"/>
      <c r="BYU239" s="140"/>
      <c r="BYV239" s="140"/>
      <c r="BYW239" s="140"/>
      <c r="BYX239" s="140"/>
      <c r="BYY239" s="140"/>
      <c r="BYZ239" s="140"/>
      <c r="BZA239" s="140"/>
      <c r="BZB239" s="140"/>
      <c r="BZC239" s="140"/>
      <c r="BZD239" s="140"/>
      <c r="BZE239" s="140"/>
      <c r="BZF239" s="140"/>
      <c r="BZG239" s="140"/>
      <c r="BZH239" s="140"/>
      <c r="BZI239" s="140"/>
      <c r="BZJ239" s="140"/>
      <c r="BZK239" s="140"/>
      <c r="BZL239" s="140"/>
      <c r="BZM239" s="140"/>
      <c r="BZN239" s="140"/>
      <c r="BZO239" s="140"/>
      <c r="BZP239" s="140"/>
      <c r="BZQ239" s="140"/>
      <c r="BZR239" s="140"/>
      <c r="BZS239" s="140"/>
      <c r="BZT239" s="140"/>
      <c r="BZU239" s="140"/>
      <c r="BZV239" s="140"/>
      <c r="BZW239" s="140"/>
      <c r="BZX239" s="140"/>
      <c r="BZY239" s="140"/>
      <c r="BZZ239" s="140"/>
      <c r="CAA239" s="140"/>
      <c r="CAB239" s="140"/>
      <c r="CAC239" s="140"/>
      <c r="CAD239" s="140"/>
      <c r="CAE239" s="140"/>
      <c r="CAF239" s="140"/>
      <c r="CAG239" s="140"/>
      <c r="CAH239" s="140"/>
      <c r="CAI239" s="140"/>
      <c r="CAJ239" s="140"/>
      <c r="CAK239" s="140"/>
      <c r="CAL239" s="140"/>
      <c r="CAM239" s="140"/>
      <c r="CAN239" s="140"/>
      <c r="CAO239" s="140"/>
      <c r="CAP239" s="140"/>
      <c r="CAQ239" s="140"/>
      <c r="CAR239" s="140"/>
      <c r="CAS239" s="140"/>
      <c r="CAT239" s="140"/>
      <c r="CAU239" s="140"/>
      <c r="CAV239" s="140"/>
      <c r="CAW239" s="140"/>
      <c r="CAX239" s="140"/>
      <c r="CAY239" s="140"/>
      <c r="CAZ239" s="140"/>
      <c r="CBA239" s="140"/>
      <c r="CBB239" s="140"/>
      <c r="CBC239" s="140"/>
      <c r="CBD239" s="140"/>
      <c r="CBE239" s="140"/>
      <c r="CBF239" s="140"/>
      <c r="CBG239" s="140"/>
      <c r="CBH239" s="140"/>
      <c r="CBI239" s="140"/>
      <c r="CBJ239" s="140"/>
      <c r="CBK239" s="140"/>
      <c r="CBL239" s="140"/>
      <c r="CBM239" s="140"/>
      <c r="CBN239" s="140"/>
      <c r="CBO239" s="140"/>
      <c r="CBP239" s="140"/>
      <c r="CBQ239" s="140"/>
      <c r="CBR239" s="140"/>
      <c r="CBS239" s="140"/>
      <c r="CBT239" s="140"/>
      <c r="CBU239" s="140"/>
      <c r="CBV239" s="140"/>
      <c r="CBW239" s="140"/>
      <c r="CBX239" s="140"/>
      <c r="CBY239" s="140"/>
      <c r="CBZ239" s="140"/>
      <c r="CCA239" s="140"/>
      <c r="CCB239" s="140"/>
      <c r="CCC239" s="140"/>
      <c r="CCD239" s="140"/>
      <c r="CCE239" s="140"/>
      <c r="CCF239" s="140"/>
      <c r="CCG239" s="140"/>
      <c r="CCH239" s="140"/>
      <c r="CCI239" s="140"/>
      <c r="CCJ239" s="140"/>
      <c r="CCK239" s="140"/>
      <c r="CCL239" s="140"/>
      <c r="CCM239" s="140"/>
      <c r="CCN239" s="140"/>
      <c r="CCO239" s="140"/>
      <c r="CCP239" s="140"/>
      <c r="CCQ239" s="140"/>
      <c r="CCR239" s="140"/>
      <c r="CCS239" s="140"/>
      <c r="CCT239" s="140"/>
      <c r="CCU239" s="140"/>
      <c r="CCV239" s="140"/>
      <c r="CCW239" s="140"/>
      <c r="CCX239" s="140"/>
      <c r="CCY239" s="140"/>
      <c r="CCZ239" s="140"/>
      <c r="CDA239" s="140"/>
      <c r="CDB239" s="140"/>
      <c r="CDC239" s="140"/>
      <c r="CDD239" s="140"/>
      <c r="CDE239" s="140"/>
      <c r="CDF239" s="140"/>
      <c r="CDG239" s="140"/>
      <c r="CDH239" s="140"/>
      <c r="CDI239" s="140"/>
      <c r="CDJ239" s="140"/>
      <c r="CDK239" s="140"/>
      <c r="CDL239" s="140"/>
      <c r="CDM239" s="140"/>
      <c r="CDN239" s="140"/>
      <c r="CDO239" s="140"/>
      <c r="CDP239" s="140"/>
      <c r="CDQ239" s="140"/>
      <c r="CDR239" s="140"/>
      <c r="CDS239" s="140"/>
      <c r="CDT239" s="140"/>
      <c r="CDU239" s="140"/>
      <c r="CDV239" s="140"/>
      <c r="CDW239" s="140"/>
      <c r="CDX239" s="140"/>
      <c r="CDY239" s="140"/>
      <c r="CDZ239" s="140"/>
      <c r="CEA239" s="140"/>
      <c r="CEB239" s="140"/>
      <c r="CEC239" s="140"/>
      <c r="CED239" s="140"/>
      <c r="CEE239" s="140"/>
      <c r="CEF239" s="140"/>
      <c r="CEG239" s="140"/>
      <c r="CEH239" s="140"/>
      <c r="CEI239" s="140"/>
      <c r="CEJ239" s="140"/>
      <c r="CEK239" s="140"/>
      <c r="CEL239" s="140"/>
      <c r="CEM239" s="140"/>
      <c r="CEN239" s="140"/>
      <c r="CEO239" s="140"/>
      <c r="CEP239" s="140"/>
      <c r="CEQ239" s="140"/>
      <c r="CER239" s="140"/>
      <c r="CES239" s="140"/>
      <c r="CET239" s="140"/>
      <c r="CEU239" s="140"/>
      <c r="CEV239" s="140"/>
      <c r="CEW239" s="140"/>
      <c r="CEX239" s="140"/>
      <c r="CEY239" s="140"/>
      <c r="CEZ239" s="140"/>
      <c r="CFA239" s="140"/>
      <c r="CFB239" s="140"/>
      <c r="CFC239" s="140"/>
      <c r="CFD239" s="140"/>
      <c r="CFE239" s="140"/>
      <c r="CFF239" s="140"/>
      <c r="CFG239" s="140"/>
      <c r="CFH239" s="140"/>
      <c r="CFI239" s="140"/>
      <c r="CFJ239" s="140"/>
      <c r="CFK239" s="140"/>
      <c r="CFL239" s="140"/>
      <c r="CFM239" s="140"/>
      <c r="CFN239" s="140"/>
      <c r="CFO239" s="140"/>
      <c r="CFP239" s="140"/>
      <c r="CFQ239" s="140"/>
      <c r="CFR239" s="140"/>
      <c r="CFS239" s="140"/>
      <c r="CFT239" s="140"/>
      <c r="CFU239" s="140"/>
      <c r="CFV239" s="140"/>
      <c r="CFW239" s="140"/>
      <c r="CFX239" s="140"/>
      <c r="CFY239" s="140"/>
      <c r="CFZ239" s="140"/>
      <c r="CGA239" s="140"/>
      <c r="CGB239" s="140"/>
      <c r="CGC239" s="140"/>
      <c r="CGD239" s="140"/>
      <c r="CGE239" s="140"/>
      <c r="CGF239" s="140"/>
      <c r="CGG239" s="140"/>
      <c r="CGH239" s="140"/>
      <c r="CGI239" s="140"/>
      <c r="CGJ239" s="140"/>
      <c r="CGK239" s="140"/>
      <c r="CGL239" s="140"/>
      <c r="CGM239" s="140"/>
      <c r="CGN239" s="140"/>
      <c r="CGO239" s="140"/>
      <c r="CGP239" s="140"/>
      <c r="CGQ239" s="140"/>
      <c r="CGR239" s="140"/>
      <c r="CGS239" s="140"/>
      <c r="CGT239" s="140"/>
      <c r="CGU239" s="140"/>
      <c r="CGV239" s="140"/>
      <c r="CGW239" s="140"/>
      <c r="CGX239" s="140"/>
      <c r="CGY239" s="140"/>
      <c r="CGZ239" s="140"/>
      <c r="CHA239" s="140"/>
      <c r="CHB239" s="140"/>
      <c r="CHC239" s="140"/>
      <c r="CHD239" s="140"/>
      <c r="CHE239" s="140"/>
      <c r="CHF239" s="140"/>
      <c r="CHG239" s="140"/>
      <c r="CHH239" s="140"/>
      <c r="CHI239" s="140"/>
      <c r="CHJ239" s="140"/>
      <c r="CHK239" s="140"/>
      <c r="CHL239" s="140"/>
      <c r="CHM239" s="140"/>
      <c r="CHN239" s="140"/>
      <c r="CHO239" s="140"/>
      <c r="CHP239" s="140"/>
      <c r="CHQ239" s="140"/>
      <c r="CHR239" s="140"/>
      <c r="CHS239" s="140"/>
      <c r="CHT239" s="140"/>
      <c r="CHU239" s="140"/>
      <c r="CHV239" s="140"/>
      <c r="CHW239" s="140"/>
      <c r="CHX239" s="140"/>
      <c r="CHY239" s="140"/>
      <c r="CHZ239" s="140"/>
      <c r="CIA239" s="140"/>
      <c r="CIB239" s="140"/>
      <c r="CIC239" s="140"/>
      <c r="CID239" s="140"/>
      <c r="CIE239" s="140"/>
      <c r="CIF239" s="140"/>
      <c r="CIG239" s="140"/>
      <c r="CIH239" s="140"/>
      <c r="CII239" s="140"/>
      <c r="CIJ239" s="140"/>
      <c r="CIK239" s="140"/>
      <c r="CIL239" s="140"/>
      <c r="CIM239" s="140"/>
      <c r="CIN239" s="140"/>
      <c r="CIO239" s="140"/>
      <c r="CIP239" s="140"/>
      <c r="CIQ239" s="140"/>
      <c r="CIR239" s="140"/>
      <c r="CIS239" s="140"/>
      <c r="CIT239" s="140"/>
      <c r="CIU239" s="140"/>
      <c r="CIV239" s="140"/>
      <c r="CIW239" s="140"/>
      <c r="CIX239" s="140"/>
      <c r="CIY239" s="140"/>
      <c r="CIZ239" s="140"/>
      <c r="CJA239" s="140"/>
      <c r="CJB239" s="140"/>
      <c r="CJC239" s="140"/>
      <c r="CJD239" s="140"/>
      <c r="CJE239" s="140"/>
      <c r="CJF239" s="140"/>
      <c r="CJG239" s="140"/>
      <c r="CJH239" s="140"/>
      <c r="CJI239" s="140"/>
      <c r="CJJ239" s="140"/>
      <c r="CJK239" s="140"/>
      <c r="CJL239" s="140"/>
      <c r="CJM239" s="140"/>
      <c r="CJN239" s="140"/>
      <c r="CJO239" s="140"/>
      <c r="CJP239" s="140"/>
      <c r="CJQ239" s="140"/>
      <c r="CJR239" s="140"/>
      <c r="CJS239" s="140"/>
      <c r="CJT239" s="140"/>
      <c r="CJU239" s="140"/>
      <c r="CJV239" s="140"/>
      <c r="CJW239" s="140"/>
      <c r="CJX239" s="140"/>
      <c r="CJY239" s="140"/>
      <c r="CJZ239" s="140"/>
      <c r="CKA239" s="140"/>
      <c r="CKB239" s="140"/>
      <c r="CKC239" s="140"/>
      <c r="CKD239" s="140"/>
      <c r="CKE239" s="140"/>
      <c r="CKF239" s="140"/>
      <c r="CKG239" s="140"/>
      <c r="CKH239" s="140"/>
      <c r="CKI239" s="140"/>
      <c r="CKJ239" s="140"/>
      <c r="CKK239" s="140"/>
      <c r="CKL239" s="140"/>
      <c r="CKM239" s="140"/>
      <c r="CKN239" s="140"/>
      <c r="CKO239" s="140"/>
      <c r="CKP239" s="140"/>
      <c r="CKQ239" s="140"/>
      <c r="CKR239" s="140"/>
      <c r="CKS239" s="140"/>
      <c r="CKT239" s="140"/>
      <c r="CKU239" s="140"/>
      <c r="CKV239" s="140"/>
      <c r="CKW239" s="140"/>
      <c r="CKX239" s="140"/>
      <c r="CKY239" s="140"/>
      <c r="CKZ239" s="140"/>
      <c r="CLA239" s="140"/>
      <c r="CLB239" s="140"/>
      <c r="CLC239" s="140"/>
      <c r="CLD239" s="140"/>
      <c r="CLE239" s="140"/>
      <c r="CLF239" s="140"/>
      <c r="CLG239" s="140"/>
      <c r="CLH239" s="140"/>
      <c r="CLI239" s="140"/>
      <c r="CLJ239" s="140"/>
      <c r="CLK239" s="140"/>
      <c r="CLL239" s="140"/>
      <c r="CLM239" s="140"/>
      <c r="CLN239" s="140"/>
      <c r="CLO239" s="140"/>
      <c r="CLP239" s="140"/>
      <c r="CLQ239" s="140"/>
      <c r="CLR239" s="140"/>
      <c r="CLS239" s="140"/>
      <c r="CLT239" s="140"/>
      <c r="CLU239" s="140"/>
      <c r="CLV239" s="140"/>
      <c r="CLW239" s="140"/>
      <c r="CLX239" s="140"/>
      <c r="CLY239" s="140"/>
      <c r="CLZ239" s="140"/>
      <c r="CMA239" s="140"/>
      <c r="CMB239" s="140"/>
      <c r="CMC239" s="140"/>
      <c r="CMD239" s="140"/>
      <c r="CME239" s="140"/>
      <c r="CMF239" s="140"/>
      <c r="CMG239" s="140"/>
      <c r="CMH239" s="140"/>
      <c r="CMI239" s="140"/>
      <c r="CMJ239" s="140"/>
      <c r="CMK239" s="140"/>
      <c r="CML239" s="140"/>
      <c r="CMM239" s="140"/>
      <c r="CMN239" s="140"/>
      <c r="CMO239" s="140"/>
      <c r="CMP239" s="140"/>
      <c r="CMQ239" s="140"/>
      <c r="CMR239" s="140"/>
      <c r="CMS239" s="140"/>
      <c r="CMT239" s="140"/>
      <c r="CMU239" s="140"/>
      <c r="CMV239" s="140"/>
      <c r="CMW239" s="140"/>
      <c r="CMX239" s="140"/>
      <c r="CMY239" s="140"/>
      <c r="CMZ239" s="140"/>
      <c r="CNA239" s="140"/>
      <c r="CNB239" s="140"/>
      <c r="CNC239" s="140"/>
      <c r="CND239" s="140"/>
      <c r="CNE239" s="140"/>
      <c r="CNF239" s="140"/>
      <c r="CNG239" s="140"/>
      <c r="CNH239" s="140"/>
      <c r="CNI239" s="140"/>
      <c r="CNJ239" s="140"/>
      <c r="CNK239" s="140"/>
      <c r="CNL239" s="140"/>
      <c r="CNM239" s="140"/>
      <c r="CNN239" s="140"/>
      <c r="CNO239" s="140"/>
      <c r="CNP239" s="140"/>
      <c r="CNQ239" s="140"/>
      <c r="CNR239" s="140"/>
      <c r="CNS239" s="140"/>
      <c r="CNT239" s="140"/>
      <c r="CNU239" s="140"/>
      <c r="CNV239" s="140"/>
      <c r="CNW239" s="140"/>
      <c r="CNX239" s="140"/>
      <c r="CNY239" s="140"/>
      <c r="CNZ239" s="140"/>
      <c r="COA239" s="140"/>
      <c r="COB239" s="140"/>
      <c r="COC239" s="140"/>
      <c r="COD239" s="140"/>
      <c r="COE239" s="140"/>
      <c r="COF239" s="140"/>
      <c r="COG239" s="140"/>
      <c r="COH239" s="140"/>
      <c r="COI239" s="140"/>
      <c r="COJ239" s="140"/>
      <c r="COK239" s="140"/>
      <c r="COL239" s="140"/>
      <c r="COM239" s="140"/>
      <c r="CON239" s="140"/>
      <c r="COO239" s="140"/>
      <c r="COP239" s="140"/>
      <c r="COQ239" s="140"/>
      <c r="COR239" s="140"/>
      <c r="COS239" s="140"/>
      <c r="COT239" s="140"/>
      <c r="COU239" s="140"/>
      <c r="COV239" s="140"/>
      <c r="COW239" s="140"/>
      <c r="COX239" s="140"/>
      <c r="COY239" s="140"/>
      <c r="COZ239" s="140"/>
      <c r="CPA239" s="140"/>
      <c r="CPB239" s="140"/>
      <c r="CPC239" s="140"/>
      <c r="CPD239" s="140"/>
      <c r="CPE239" s="140"/>
      <c r="CPF239" s="140"/>
      <c r="CPG239" s="140"/>
      <c r="CPH239" s="140"/>
      <c r="CPI239" s="140"/>
      <c r="CPJ239" s="140"/>
      <c r="CPK239" s="140"/>
      <c r="CPL239" s="140"/>
      <c r="CPM239" s="140"/>
      <c r="CPN239" s="140"/>
      <c r="CPO239" s="140"/>
      <c r="CPP239" s="140"/>
      <c r="CPQ239" s="140"/>
      <c r="CPR239" s="140"/>
      <c r="CPS239" s="140"/>
      <c r="CPT239" s="140"/>
      <c r="CPU239" s="140"/>
      <c r="CPV239" s="140"/>
      <c r="CPW239" s="140"/>
      <c r="CPX239" s="140"/>
      <c r="CPY239" s="140"/>
      <c r="CPZ239" s="140"/>
      <c r="CQA239" s="140"/>
      <c r="CQB239" s="140"/>
      <c r="CQC239" s="140"/>
      <c r="CQD239" s="140"/>
      <c r="CQE239" s="140"/>
      <c r="CQF239" s="140"/>
      <c r="CQG239" s="140"/>
      <c r="CQH239" s="140"/>
      <c r="CQI239" s="140"/>
      <c r="CQJ239" s="140"/>
      <c r="CQK239" s="140"/>
      <c r="CQL239" s="140"/>
      <c r="CQM239" s="140"/>
      <c r="CQN239" s="140"/>
      <c r="CQO239" s="140"/>
      <c r="CQP239" s="140"/>
      <c r="CQQ239" s="140"/>
      <c r="CQR239" s="140"/>
      <c r="CQS239" s="140"/>
      <c r="CQT239" s="140"/>
      <c r="CQU239" s="140"/>
      <c r="CQV239" s="140"/>
      <c r="CQW239" s="140"/>
      <c r="CQX239" s="140"/>
      <c r="CQY239" s="140"/>
      <c r="CQZ239" s="140"/>
      <c r="CRA239" s="140"/>
      <c r="CRB239" s="140"/>
      <c r="CRC239" s="140"/>
      <c r="CRD239" s="140"/>
      <c r="CRE239" s="140"/>
      <c r="CRF239" s="140"/>
      <c r="CRG239" s="140"/>
      <c r="CRH239" s="140"/>
      <c r="CRI239" s="140"/>
      <c r="CRJ239" s="140"/>
      <c r="CRK239" s="140"/>
      <c r="CRL239" s="140"/>
      <c r="CRM239" s="140"/>
      <c r="CRN239" s="140"/>
      <c r="CRO239" s="140"/>
      <c r="CRP239" s="140"/>
      <c r="CRQ239" s="140"/>
      <c r="CRR239" s="140"/>
      <c r="CRS239" s="140"/>
      <c r="CRT239" s="140"/>
      <c r="CRU239" s="140"/>
      <c r="CRV239" s="140"/>
      <c r="CRW239" s="140"/>
      <c r="CRX239" s="140"/>
      <c r="CRY239" s="140"/>
      <c r="CRZ239" s="140"/>
      <c r="CSA239" s="140"/>
      <c r="CSB239" s="140"/>
      <c r="CSC239" s="140"/>
      <c r="CSD239" s="140"/>
      <c r="CSE239" s="140"/>
      <c r="CSF239" s="140"/>
      <c r="CSG239" s="140"/>
      <c r="CSH239" s="140"/>
      <c r="CSI239" s="140"/>
      <c r="CSJ239" s="140"/>
      <c r="CSK239" s="140"/>
      <c r="CSL239" s="140"/>
      <c r="CSM239" s="140"/>
      <c r="CSN239" s="140"/>
      <c r="CSO239" s="140"/>
      <c r="CSP239" s="140"/>
      <c r="CSQ239" s="140"/>
      <c r="CSR239" s="140"/>
      <c r="CSS239" s="140"/>
      <c r="CST239" s="140"/>
      <c r="CSU239" s="140"/>
      <c r="CSV239" s="140"/>
      <c r="CSW239" s="140"/>
      <c r="CSX239" s="140"/>
      <c r="CSY239" s="140"/>
      <c r="CSZ239" s="140"/>
      <c r="CTA239" s="140"/>
      <c r="CTB239" s="140"/>
      <c r="CTC239" s="140"/>
      <c r="CTD239" s="140"/>
      <c r="CTE239" s="140"/>
      <c r="CTF239" s="140"/>
      <c r="CTG239" s="140"/>
      <c r="CTH239" s="140"/>
      <c r="CTI239" s="140"/>
      <c r="CTJ239" s="140"/>
      <c r="CTK239" s="140"/>
      <c r="CTL239" s="140"/>
      <c r="CTM239" s="140"/>
      <c r="CTN239" s="140"/>
      <c r="CTO239" s="140"/>
      <c r="CTP239" s="140"/>
      <c r="CTQ239" s="140"/>
      <c r="CTR239" s="140"/>
      <c r="CTS239" s="140"/>
      <c r="CTT239" s="140"/>
      <c r="CTU239" s="140"/>
      <c r="CTV239" s="140"/>
      <c r="CTW239" s="140"/>
      <c r="CTX239" s="140"/>
      <c r="CTY239" s="140"/>
      <c r="CTZ239" s="140"/>
      <c r="CUA239" s="140"/>
      <c r="CUB239" s="140"/>
      <c r="CUC239" s="140"/>
      <c r="CUD239" s="140"/>
      <c r="CUE239" s="140"/>
      <c r="CUF239" s="140"/>
      <c r="CUG239" s="140"/>
      <c r="CUH239" s="140"/>
      <c r="CUI239" s="140"/>
      <c r="CUJ239" s="140"/>
      <c r="CUK239" s="140"/>
      <c r="CUL239" s="140"/>
      <c r="CUM239" s="140"/>
      <c r="CUN239" s="140"/>
      <c r="CUO239" s="140"/>
      <c r="CUP239" s="140"/>
      <c r="CUQ239" s="140"/>
      <c r="CUR239" s="140"/>
      <c r="CUS239" s="140"/>
      <c r="CUT239" s="140"/>
      <c r="CUU239" s="140"/>
      <c r="CUV239" s="140"/>
      <c r="CUW239" s="140"/>
      <c r="CUX239" s="140"/>
      <c r="CUY239" s="140"/>
      <c r="CUZ239" s="140"/>
      <c r="CVA239" s="140"/>
      <c r="CVB239" s="140"/>
      <c r="CVC239" s="140"/>
      <c r="CVD239" s="140"/>
      <c r="CVE239" s="140"/>
      <c r="CVF239" s="140"/>
      <c r="CVG239" s="140"/>
      <c r="CVH239" s="140"/>
      <c r="CVI239" s="140"/>
      <c r="CVJ239" s="140"/>
      <c r="CVK239" s="140"/>
      <c r="CVL239" s="140"/>
      <c r="CVM239" s="140"/>
      <c r="CVN239" s="140"/>
      <c r="CVO239" s="140"/>
      <c r="CVP239" s="140"/>
      <c r="CVQ239" s="140"/>
      <c r="CVR239" s="140"/>
      <c r="CVS239" s="140"/>
      <c r="CVT239" s="140"/>
      <c r="CVU239" s="140"/>
      <c r="CVV239" s="140"/>
      <c r="CVW239" s="140"/>
      <c r="CVX239" s="140"/>
      <c r="CVY239" s="140"/>
      <c r="CVZ239" s="140"/>
      <c r="CWA239" s="140"/>
      <c r="CWB239" s="140"/>
      <c r="CWC239" s="140"/>
      <c r="CWD239" s="140"/>
      <c r="CWE239" s="140"/>
      <c r="CWF239" s="140"/>
      <c r="CWG239" s="140"/>
      <c r="CWH239" s="140"/>
      <c r="CWI239" s="140"/>
      <c r="CWJ239" s="140"/>
      <c r="CWK239" s="140"/>
      <c r="CWL239" s="140"/>
      <c r="CWM239" s="140"/>
      <c r="CWN239" s="140"/>
      <c r="CWO239" s="140"/>
      <c r="CWP239" s="140"/>
      <c r="CWQ239" s="140"/>
      <c r="CWR239" s="140"/>
      <c r="CWS239" s="140"/>
      <c r="CWT239" s="140"/>
      <c r="CWU239" s="140"/>
      <c r="CWV239" s="140"/>
      <c r="CWW239" s="140"/>
      <c r="CWX239" s="140"/>
      <c r="CWY239" s="140"/>
      <c r="CWZ239" s="140"/>
      <c r="CXA239" s="140"/>
      <c r="CXB239" s="140"/>
      <c r="CXC239" s="140"/>
      <c r="CXD239" s="140"/>
      <c r="CXE239" s="140"/>
      <c r="CXF239" s="140"/>
      <c r="CXG239" s="140"/>
      <c r="CXH239" s="140"/>
      <c r="CXI239" s="140"/>
      <c r="CXJ239" s="140"/>
      <c r="CXK239" s="140"/>
      <c r="CXL239" s="140"/>
      <c r="CXM239" s="140"/>
      <c r="CXN239" s="140"/>
      <c r="CXO239" s="140"/>
      <c r="CXP239" s="140"/>
      <c r="CXQ239" s="140"/>
      <c r="CXR239" s="140"/>
      <c r="CXS239" s="140"/>
      <c r="CXT239" s="140"/>
      <c r="CXU239" s="140"/>
      <c r="CXV239" s="140"/>
      <c r="CXW239" s="140"/>
      <c r="CXX239" s="140"/>
      <c r="CXY239" s="140"/>
      <c r="CXZ239" s="140"/>
      <c r="CYA239" s="140"/>
      <c r="CYB239" s="140"/>
      <c r="CYC239" s="140"/>
      <c r="CYD239" s="140"/>
      <c r="CYE239" s="140"/>
      <c r="CYF239" s="140"/>
      <c r="CYG239" s="140"/>
      <c r="CYH239" s="140"/>
      <c r="CYI239" s="140"/>
      <c r="CYJ239" s="140"/>
      <c r="CYK239" s="140"/>
      <c r="CYL239" s="140"/>
      <c r="CYM239" s="140"/>
      <c r="CYN239" s="140"/>
      <c r="CYO239" s="140"/>
      <c r="CYP239" s="140"/>
      <c r="CYQ239" s="140"/>
      <c r="CYR239" s="140"/>
      <c r="CYS239" s="140"/>
      <c r="CYT239" s="140"/>
      <c r="CYU239" s="140"/>
      <c r="CYV239" s="140"/>
      <c r="CYW239" s="140"/>
      <c r="CYX239" s="140"/>
      <c r="CYY239" s="140"/>
      <c r="CYZ239" s="140"/>
      <c r="CZA239" s="140"/>
      <c r="CZB239" s="140"/>
      <c r="CZC239" s="140"/>
      <c r="CZD239" s="140"/>
      <c r="CZE239" s="140"/>
      <c r="CZF239" s="140"/>
      <c r="CZG239" s="140"/>
      <c r="CZH239" s="140"/>
      <c r="CZI239" s="140"/>
      <c r="CZJ239" s="140"/>
      <c r="CZK239" s="140"/>
      <c r="CZL239" s="140"/>
      <c r="CZM239" s="140"/>
      <c r="CZN239" s="140"/>
      <c r="CZO239" s="140"/>
      <c r="CZP239" s="140"/>
      <c r="CZQ239" s="140"/>
      <c r="CZR239" s="140"/>
      <c r="CZS239" s="140"/>
      <c r="CZT239" s="140"/>
      <c r="CZU239" s="140"/>
      <c r="CZV239" s="140"/>
      <c r="CZW239" s="140"/>
      <c r="CZX239" s="140"/>
      <c r="CZY239" s="140"/>
      <c r="CZZ239" s="140"/>
      <c r="DAA239" s="140"/>
      <c r="DAB239" s="140"/>
      <c r="DAC239" s="140"/>
      <c r="DAD239" s="140"/>
      <c r="DAE239" s="140"/>
      <c r="DAF239" s="140"/>
      <c r="DAG239" s="140"/>
      <c r="DAH239" s="140"/>
      <c r="DAI239" s="140"/>
      <c r="DAJ239" s="140"/>
      <c r="DAK239" s="140"/>
      <c r="DAL239" s="140"/>
      <c r="DAM239" s="140"/>
      <c r="DAN239" s="140"/>
      <c r="DAO239" s="140"/>
      <c r="DAP239" s="140"/>
      <c r="DAQ239" s="140"/>
      <c r="DAR239" s="140"/>
      <c r="DAS239" s="140"/>
      <c r="DAT239" s="140"/>
      <c r="DAU239" s="140"/>
      <c r="DAV239" s="140"/>
      <c r="DAW239" s="140"/>
      <c r="DAX239" s="140"/>
      <c r="DAY239" s="140"/>
      <c r="DAZ239" s="140"/>
      <c r="DBA239" s="140"/>
      <c r="DBB239" s="140"/>
      <c r="DBC239" s="140"/>
      <c r="DBD239" s="140"/>
      <c r="DBE239" s="140"/>
      <c r="DBF239" s="140"/>
      <c r="DBG239" s="140"/>
      <c r="DBH239" s="140"/>
      <c r="DBI239" s="140"/>
      <c r="DBJ239" s="140"/>
      <c r="DBK239" s="140"/>
      <c r="DBL239" s="140"/>
      <c r="DBM239" s="140"/>
      <c r="DBN239" s="140"/>
      <c r="DBO239" s="140"/>
      <c r="DBP239" s="140"/>
      <c r="DBQ239" s="140"/>
      <c r="DBR239" s="140"/>
      <c r="DBS239" s="140"/>
      <c r="DBT239" s="140"/>
      <c r="DBU239" s="140"/>
      <c r="DBV239" s="140"/>
      <c r="DBW239" s="140"/>
      <c r="DBX239" s="140"/>
      <c r="DBY239" s="140"/>
      <c r="DBZ239" s="140"/>
      <c r="DCA239" s="140"/>
      <c r="DCB239" s="140"/>
      <c r="DCC239" s="140"/>
      <c r="DCD239" s="140"/>
      <c r="DCE239" s="140"/>
      <c r="DCF239" s="140"/>
      <c r="DCG239" s="140"/>
      <c r="DCH239" s="140"/>
      <c r="DCI239" s="140"/>
      <c r="DCJ239" s="140"/>
      <c r="DCK239" s="140"/>
      <c r="DCL239" s="140"/>
      <c r="DCM239" s="140"/>
      <c r="DCN239" s="140"/>
      <c r="DCO239" s="140"/>
      <c r="DCP239" s="140"/>
      <c r="DCQ239" s="140"/>
      <c r="DCR239" s="140"/>
      <c r="DCS239" s="140"/>
      <c r="DCT239" s="140"/>
      <c r="DCU239" s="140"/>
      <c r="DCV239" s="140"/>
      <c r="DCW239" s="140"/>
      <c r="DCX239" s="140"/>
      <c r="DCY239" s="140"/>
      <c r="DCZ239" s="140"/>
      <c r="DDA239" s="140"/>
      <c r="DDB239" s="140"/>
      <c r="DDC239" s="140"/>
      <c r="DDD239" s="140"/>
      <c r="DDE239" s="140"/>
      <c r="DDF239" s="140"/>
      <c r="DDG239" s="140"/>
      <c r="DDH239" s="140"/>
      <c r="DDI239" s="140"/>
      <c r="DDJ239" s="140"/>
      <c r="DDK239" s="140"/>
      <c r="DDL239" s="140"/>
      <c r="DDM239" s="140"/>
      <c r="DDN239" s="140"/>
      <c r="DDO239" s="140"/>
      <c r="DDP239" s="140"/>
      <c r="DDQ239" s="140"/>
      <c r="DDR239" s="140"/>
      <c r="DDS239" s="140"/>
      <c r="DDT239" s="140"/>
      <c r="DDU239" s="140"/>
      <c r="DDV239" s="140"/>
      <c r="DDW239" s="140"/>
      <c r="DDX239" s="140"/>
      <c r="DDY239" s="140"/>
      <c r="DDZ239" s="140"/>
      <c r="DEA239" s="140"/>
      <c r="DEB239" s="140"/>
      <c r="DEC239" s="140"/>
      <c r="DED239" s="140"/>
      <c r="DEE239" s="140"/>
      <c r="DEF239" s="140"/>
      <c r="DEG239" s="140"/>
      <c r="DEH239" s="140"/>
      <c r="DEI239" s="140"/>
      <c r="DEJ239" s="140"/>
      <c r="DEK239" s="140"/>
      <c r="DEL239" s="140"/>
      <c r="DEM239" s="140"/>
      <c r="DEN239" s="140"/>
      <c r="DEO239" s="140"/>
      <c r="DEP239" s="140"/>
      <c r="DEQ239" s="140"/>
      <c r="DER239" s="140"/>
      <c r="DES239" s="140"/>
      <c r="DET239" s="140"/>
      <c r="DEU239" s="140"/>
      <c r="DEV239" s="140"/>
      <c r="DEW239" s="140"/>
      <c r="DEX239" s="140"/>
      <c r="DEY239" s="140"/>
      <c r="DEZ239" s="140"/>
      <c r="DFA239" s="140"/>
      <c r="DFB239" s="140"/>
      <c r="DFC239" s="140"/>
      <c r="DFD239" s="140"/>
      <c r="DFE239" s="140"/>
      <c r="DFF239" s="140"/>
      <c r="DFG239" s="140"/>
      <c r="DFH239" s="140"/>
      <c r="DFI239" s="140"/>
      <c r="DFJ239" s="140"/>
      <c r="DFK239" s="140"/>
      <c r="DFL239" s="140"/>
      <c r="DFM239" s="140"/>
      <c r="DFN239" s="140"/>
      <c r="DFO239" s="140"/>
      <c r="DFP239" s="140"/>
      <c r="DFQ239" s="140"/>
      <c r="DFR239" s="140"/>
      <c r="DFS239" s="140"/>
      <c r="DFT239" s="140"/>
      <c r="DFU239" s="140"/>
      <c r="DFV239" s="140"/>
      <c r="DFW239" s="140"/>
      <c r="DFX239" s="140"/>
      <c r="DFY239" s="140"/>
      <c r="DFZ239" s="140"/>
      <c r="DGA239" s="140"/>
      <c r="DGB239" s="140"/>
      <c r="DGC239" s="140"/>
      <c r="DGD239" s="140"/>
      <c r="DGE239" s="140"/>
      <c r="DGF239" s="140"/>
      <c r="DGG239" s="140"/>
      <c r="DGH239" s="140"/>
      <c r="DGI239" s="140"/>
      <c r="DGJ239" s="140"/>
      <c r="DGK239" s="140"/>
      <c r="DGL239" s="140"/>
      <c r="DGM239" s="140"/>
      <c r="DGN239" s="140"/>
      <c r="DGO239" s="140"/>
      <c r="DGP239" s="140"/>
      <c r="DGQ239" s="140"/>
      <c r="DGR239" s="140"/>
      <c r="DGS239" s="140"/>
      <c r="DGT239" s="140"/>
      <c r="DGU239" s="140"/>
      <c r="DGV239" s="140"/>
      <c r="DGW239" s="140"/>
      <c r="DGX239" s="140"/>
      <c r="DGY239" s="140"/>
      <c r="DGZ239" s="140"/>
      <c r="DHA239" s="140"/>
      <c r="DHB239" s="140"/>
      <c r="DHC239" s="140"/>
      <c r="DHD239" s="140"/>
      <c r="DHE239" s="140"/>
      <c r="DHF239" s="140"/>
      <c r="DHG239" s="140"/>
      <c r="DHH239" s="140"/>
      <c r="DHI239" s="140"/>
      <c r="DHJ239" s="140"/>
      <c r="DHK239" s="140"/>
      <c r="DHL239" s="140"/>
      <c r="DHM239" s="140"/>
      <c r="DHN239" s="140"/>
      <c r="DHO239" s="140"/>
      <c r="DHP239" s="140"/>
      <c r="DHQ239" s="140"/>
      <c r="DHR239" s="140"/>
      <c r="DHS239" s="140"/>
      <c r="DHT239" s="140"/>
      <c r="DHU239" s="140"/>
      <c r="DHV239" s="140"/>
      <c r="DHW239" s="140"/>
      <c r="DHX239" s="140"/>
      <c r="DHY239" s="140"/>
      <c r="DHZ239" s="140"/>
      <c r="DIA239" s="140"/>
      <c r="DIB239" s="140"/>
      <c r="DIC239" s="140"/>
      <c r="DID239" s="140"/>
      <c r="DIE239" s="140"/>
      <c r="DIF239" s="140"/>
      <c r="DIG239" s="140"/>
      <c r="DIH239" s="140"/>
      <c r="DII239" s="140"/>
      <c r="DIJ239" s="140"/>
      <c r="DIK239" s="140"/>
      <c r="DIL239" s="140"/>
      <c r="DIM239" s="140"/>
      <c r="DIN239" s="140"/>
      <c r="DIO239" s="140"/>
      <c r="DIP239" s="140"/>
      <c r="DIQ239" s="140"/>
      <c r="DIR239" s="140"/>
      <c r="DIS239" s="140"/>
      <c r="DIT239" s="140"/>
      <c r="DIU239" s="140"/>
      <c r="DIV239" s="140"/>
      <c r="DIW239" s="140"/>
      <c r="DIX239" s="140"/>
      <c r="DIY239" s="140"/>
      <c r="DIZ239" s="140"/>
      <c r="DJA239" s="140"/>
      <c r="DJB239" s="140"/>
      <c r="DJC239" s="140"/>
      <c r="DJD239" s="140"/>
      <c r="DJE239" s="140"/>
      <c r="DJF239" s="140"/>
      <c r="DJG239" s="140"/>
      <c r="DJH239" s="140"/>
      <c r="DJI239" s="140"/>
      <c r="DJJ239" s="140"/>
      <c r="DJK239" s="140"/>
      <c r="DJL239" s="140"/>
      <c r="DJM239" s="140"/>
      <c r="DJN239" s="140"/>
      <c r="DJO239" s="140"/>
      <c r="DJP239" s="140"/>
      <c r="DJQ239" s="140"/>
      <c r="DJR239" s="140"/>
      <c r="DJS239" s="140"/>
      <c r="DJT239" s="140"/>
      <c r="DJU239" s="140"/>
      <c r="DJV239" s="140"/>
      <c r="DJW239" s="140"/>
      <c r="DJX239" s="140"/>
      <c r="DJY239" s="140"/>
      <c r="DJZ239" s="140"/>
      <c r="DKA239" s="140"/>
      <c r="DKB239" s="140"/>
      <c r="DKC239" s="140"/>
      <c r="DKD239" s="140"/>
      <c r="DKE239" s="140"/>
      <c r="DKF239" s="140"/>
      <c r="DKG239" s="140"/>
      <c r="DKH239" s="140"/>
      <c r="DKI239" s="140"/>
      <c r="DKJ239" s="140"/>
      <c r="DKK239" s="140"/>
      <c r="DKL239" s="140"/>
      <c r="DKM239" s="140"/>
      <c r="DKN239" s="140"/>
      <c r="DKO239" s="140"/>
      <c r="DKP239" s="140"/>
      <c r="DKQ239" s="140"/>
      <c r="DKR239" s="140"/>
      <c r="DKS239" s="140"/>
      <c r="DKT239" s="140"/>
      <c r="DKU239" s="140"/>
      <c r="DKV239" s="140"/>
      <c r="DKW239" s="140"/>
      <c r="DKX239" s="140"/>
      <c r="DKY239" s="140"/>
      <c r="DKZ239" s="140"/>
      <c r="DLA239" s="140"/>
      <c r="DLB239" s="140"/>
      <c r="DLC239" s="140"/>
      <c r="DLD239" s="140"/>
      <c r="DLE239" s="140"/>
      <c r="DLF239" s="140"/>
      <c r="DLG239" s="140"/>
      <c r="DLH239" s="140"/>
      <c r="DLI239" s="140"/>
      <c r="DLJ239" s="140"/>
      <c r="DLK239" s="140"/>
      <c r="DLL239" s="140"/>
      <c r="DLM239" s="140"/>
      <c r="DLN239" s="140"/>
      <c r="DLO239" s="140"/>
      <c r="DLP239" s="140"/>
      <c r="DLQ239" s="140"/>
      <c r="DLR239" s="140"/>
      <c r="DLS239" s="140"/>
      <c r="DLT239" s="140"/>
      <c r="DLU239" s="140"/>
      <c r="DLV239" s="140"/>
      <c r="DLW239" s="140"/>
      <c r="DLX239" s="140"/>
      <c r="DLY239" s="140"/>
      <c r="DLZ239" s="140"/>
      <c r="DMA239" s="140"/>
      <c r="DMB239" s="140"/>
      <c r="DMC239" s="140"/>
      <c r="DMD239" s="140"/>
      <c r="DME239" s="140"/>
      <c r="DMF239" s="140"/>
      <c r="DMG239" s="140"/>
      <c r="DMH239" s="140"/>
      <c r="DMI239" s="140"/>
      <c r="DMJ239" s="140"/>
      <c r="DMK239" s="140"/>
      <c r="DML239" s="140"/>
      <c r="DMM239" s="140"/>
      <c r="DMN239" s="140"/>
      <c r="DMO239" s="140"/>
      <c r="DMP239" s="140"/>
      <c r="DMQ239" s="140"/>
      <c r="DMR239" s="140"/>
      <c r="DMS239" s="140"/>
      <c r="DMT239" s="140"/>
      <c r="DMU239" s="140"/>
      <c r="DMV239" s="140"/>
      <c r="DMW239" s="140"/>
      <c r="DMX239" s="140"/>
      <c r="DMY239" s="140"/>
      <c r="DMZ239" s="140"/>
      <c r="DNA239" s="140"/>
      <c r="DNB239" s="140"/>
      <c r="DNC239" s="140"/>
      <c r="DND239" s="140"/>
      <c r="DNE239" s="140"/>
      <c r="DNF239" s="140"/>
      <c r="DNG239" s="140"/>
      <c r="DNH239" s="140"/>
      <c r="DNI239" s="140"/>
      <c r="DNJ239" s="140"/>
      <c r="DNK239" s="140"/>
      <c r="DNL239" s="140"/>
      <c r="DNM239" s="140"/>
      <c r="DNN239" s="140"/>
      <c r="DNO239" s="140"/>
      <c r="DNP239" s="140"/>
      <c r="DNQ239" s="140"/>
      <c r="DNR239" s="140"/>
      <c r="DNS239" s="140"/>
      <c r="DNT239" s="140"/>
      <c r="DNU239" s="140"/>
      <c r="DNV239" s="140"/>
      <c r="DNW239" s="140"/>
      <c r="DNX239" s="140"/>
      <c r="DNY239" s="140"/>
      <c r="DNZ239" s="140"/>
      <c r="DOA239" s="140"/>
      <c r="DOB239" s="140"/>
      <c r="DOC239" s="140"/>
      <c r="DOD239" s="140"/>
      <c r="DOE239" s="140"/>
      <c r="DOF239" s="140"/>
      <c r="DOG239" s="140"/>
      <c r="DOH239" s="140"/>
      <c r="DOI239" s="140"/>
      <c r="DOJ239" s="140"/>
      <c r="DOK239" s="140"/>
      <c r="DOL239" s="140"/>
      <c r="DOM239" s="140"/>
      <c r="DON239" s="140"/>
      <c r="DOO239" s="140"/>
      <c r="DOP239" s="140"/>
      <c r="DOQ239" s="140"/>
      <c r="DOR239" s="140"/>
      <c r="DOS239" s="140"/>
      <c r="DOT239" s="140"/>
      <c r="DOU239" s="140"/>
      <c r="DOV239" s="140"/>
      <c r="DOW239" s="140"/>
      <c r="DOX239" s="140"/>
      <c r="DOY239" s="140"/>
      <c r="DOZ239" s="140"/>
      <c r="DPA239" s="140"/>
      <c r="DPB239" s="140"/>
      <c r="DPC239" s="140"/>
      <c r="DPD239" s="140"/>
      <c r="DPE239" s="140"/>
      <c r="DPF239" s="140"/>
      <c r="DPG239" s="140"/>
      <c r="DPH239" s="140"/>
      <c r="DPI239" s="140"/>
      <c r="DPJ239" s="140"/>
      <c r="DPK239" s="140"/>
      <c r="DPL239" s="140"/>
      <c r="DPM239" s="140"/>
      <c r="DPN239" s="140"/>
      <c r="DPO239" s="140"/>
      <c r="DPP239" s="140"/>
      <c r="DPQ239" s="140"/>
      <c r="DPR239" s="140"/>
      <c r="DPS239" s="140"/>
      <c r="DPT239" s="140"/>
      <c r="DPU239" s="140"/>
      <c r="DPV239" s="140"/>
      <c r="DPW239" s="140"/>
      <c r="DPX239" s="140"/>
      <c r="DPY239" s="140"/>
      <c r="DPZ239" s="140"/>
      <c r="DQA239" s="140"/>
      <c r="DQB239" s="140"/>
      <c r="DQC239" s="140"/>
      <c r="DQD239" s="140"/>
      <c r="DQE239" s="140"/>
      <c r="DQF239" s="140"/>
      <c r="DQG239" s="140"/>
      <c r="DQH239" s="140"/>
      <c r="DQI239" s="140"/>
      <c r="DQJ239" s="140"/>
      <c r="DQK239" s="140"/>
      <c r="DQL239" s="140"/>
      <c r="DQM239" s="140"/>
      <c r="DQN239" s="140"/>
      <c r="DQO239" s="140"/>
      <c r="DQP239" s="140"/>
      <c r="DQQ239" s="140"/>
      <c r="DQR239" s="140"/>
      <c r="DQS239" s="140"/>
      <c r="DQT239" s="140"/>
      <c r="DQU239" s="140"/>
      <c r="DQV239" s="140"/>
      <c r="DQW239" s="140"/>
      <c r="DQX239" s="140"/>
      <c r="DQY239" s="140"/>
      <c r="DQZ239" s="140"/>
      <c r="DRA239" s="140"/>
      <c r="DRB239" s="140"/>
      <c r="DRC239" s="140"/>
      <c r="DRD239" s="140"/>
      <c r="DRE239" s="140"/>
      <c r="DRF239" s="140"/>
      <c r="DRG239" s="140"/>
      <c r="DRH239" s="140"/>
      <c r="DRI239" s="140"/>
      <c r="DRJ239" s="140"/>
      <c r="DRK239" s="140"/>
      <c r="DRL239" s="140"/>
      <c r="DRM239" s="140"/>
      <c r="DRN239" s="140"/>
      <c r="DRO239" s="140"/>
      <c r="DRP239" s="140"/>
      <c r="DRQ239" s="140"/>
      <c r="DRR239" s="140"/>
      <c r="DRS239" s="140"/>
      <c r="DRT239" s="140"/>
      <c r="DRU239" s="140"/>
      <c r="DRV239" s="140"/>
      <c r="DRW239" s="140"/>
      <c r="DRX239" s="140"/>
      <c r="DRY239" s="140"/>
      <c r="DRZ239" s="140"/>
      <c r="DSA239" s="140"/>
      <c r="DSB239" s="140"/>
      <c r="DSC239" s="140"/>
      <c r="DSD239" s="140"/>
      <c r="DSE239" s="140"/>
      <c r="DSF239" s="140"/>
      <c r="DSG239" s="140"/>
      <c r="DSH239" s="140"/>
      <c r="DSI239" s="140"/>
      <c r="DSJ239" s="140"/>
      <c r="DSK239" s="140"/>
      <c r="DSL239" s="140"/>
      <c r="DSM239" s="140"/>
      <c r="DSN239" s="140"/>
      <c r="DSO239" s="140"/>
      <c r="DSP239" s="140"/>
      <c r="DSQ239" s="140"/>
      <c r="DSR239" s="140"/>
      <c r="DSS239" s="140"/>
      <c r="DST239" s="140"/>
      <c r="DSU239" s="140"/>
      <c r="DSV239" s="140"/>
      <c r="DSW239" s="140"/>
      <c r="DSX239" s="140"/>
      <c r="DSY239" s="140"/>
      <c r="DSZ239" s="140"/>
      <c r="DTA239" s="140"/>
      <c r="DTB239" s="140"/>
      <c r="DTC239" s="140"/>
      <c r="DTD239" s="140"/>
      <c r="DTE239" s="140"/>
      <c r="DTF239" s="140"/>
      <c r="DTG239" s="140"/>
      <c r="DTH239" s="140"/>
      <c r="DTI239" s="140"/>
      <c r="DTJ239" s="140"/>
      <c r="DTK239" s="140"/>
      <c r="DTL239" s="140"/>
      <c r="DTM239" s="140"/>
      <c r="DTN239" s="140"/>
      <c r="DTO239" s="140"/>
      <c r="DTP239" s="140"/>
      <c r="DTQ239" s="140"/>
      <c r="DTR239" s="140"/>
      <c r="DTS239" s="140"/>
      <c r="DTT239" s="140"/>
      <c r="DTU239" s="140"/>
      <c r="DTV239" s="140"/>
      <c r="DTW239" s="140"/>
      <c r="DTX239" s="140"/>
      <c r="DTY239" s="140"/>
      <c r="DTZ239" s="140"/>
      <c r="DUA239" s="140"/>
      <c r="DUB239" s="140"/>
      <c r="DUC239" s="140"/>
      <c r="DUD239" s="140"/>
      <c r="DUE239" s="140"/>
      <c r="DUF239" s="140"/>
      <c r="DUG239" s="140"/>
      <c r="DUH239" s="140"/>
      <c r="DUI239" s="140"/>
      <c r="DUJ239" s="140"/>
      <c r="DUK239" s="140"/>
      <c r="DUL239" s="140"/>
      <c r="DUM239" s="140"/>
      <c r="DUN239" s="140"/>
      <c r="DUO239" s="140"/>
      <c r="DUP239" s="140"/>
      <c r="DUQ239" s="140"/>
      <c r="DUR239" s="140"/>
      <c r="DUS239" s="140"/>
      <c r="DUT239" s="140"/>
      <c r="DUU239" s="140"/>
      <c r="DUV239" s="140"/>
      <c r="DUW239" s="140"/>
      <c r="DUX239" s="140"/>
      <c r="DUY239" s="140"/>
      <c r="DUZ239" s="140"/>
      <c r="DVA239" s="140"/>
      <c r="DVB239" s="140"/>
      <c r="DVC239" s="140"/>
      <c r="DVD239" s="140"/>
      <c r="DVE239" s="140"/>
      <c r="DVF239" s="140"/>
      <c r="DVG239" s="140"/>
      <c r="DVH239" s="140"/>
      <c r="DVI239" s="140"/>
      <c r="DVJ239" s="140"/>
      <c r="DVK239" s="140"/>
      <c r="DVL239" s="140"/>
      <c r="DVM239" s="140"/>
      <c r="DVN239" s="140"/>
      <c r="DVO239" s="140"/>
      <c r="DVP239" s="140"/>
      <c r="DVQ239" s="140"/>
      <c r="DVR239" s="140"/>
      <c r="DVS239" s="140"/>
      <c r="DVT239" s="140"/>
      <c r="DVU239" s="140"/>
      <c r="DVV239" s="140"/>
      <c r="DVW239" s="140"/>
      <c r="DVX239" s="140"/>
      <c r="DVY239" s="140"/>
      <c r="DVZ239" s="140"/>
      <c r="DWA239" s="140"/>
      <c r="DWB239" s="140"/>
      <c r="DWC239" s="140"/>
      <c r="DWD239" s="140"/>
      <c r="DWE239" s="140"/>
      <c r="DWF239" s="140"/>
      <c r="DWG239" s="140"/>
      <c r="DWH239" s="140"/>
      <c r="DWI239" s="140"/>
      <c r="DWJ239" s="140"/>
      <c r="DWK239" s="140"/>
      <c r="DWL239" s="140"/>
      <c r="DWM239" s="140"/>
      <c r="DWN239" s="140"/>
      <c r="DWO239" s="140"/>
      <c r="DWP239" s="140"/>
      <c r="DWQ239" s="140"/>
      <c r="DWR239" s="140"/>
      <c r="DWS239" s="140"/>
      <c r="DWT239" s="140"/>
      <c r="DWU239" s="140"/>
      <c r="DWV239" s="140"/>
      <c r="DWW239" s="140"/>
      <c r="DWX239" s="140"/>
      <c r="DWY239" s="140"/>
      <c r="DWZ239" s="140"/>
      <c r="DXA239" s="140"/>
      <c r="DXB239" s="140"/>
      <c r="DXC239" s="140"/>
      <c r="DXD239" s="140"/>
      <c r="DXE239" s="140"/>
      <c r="DXF239" s="140"/>
      <c r="DXG239" s="140"/>
      <c r="DXH239" s="140"/>
      <c r="DXI239" s="140"/>
      <c r="DXJ239" s="140"/>
      <c r="DXK239" s="140"/>
      <c r="DXL239" s="140"/>
      <c r="DXM239" s="140"/>
      <c r="DXN239" s="140"/>
      <c r="DXO239" s="140"/>
      <c r="DXP239" s="140"/>
      <c r="DXQ239" s="140"/>
      <c r="DXR239" s="140"/>
      <c r="DXS239" s="140"/>
      <c r="DXT239" s="140"/>
      <c r="DXU239" s="140"/>
      <c r="DXV239" s="140"/>
      <c r="DXW239" s="140"/>
      <c r="DXX239" s="140"/>
      <c r="DXY239" s="140"/>
      <c r="DXZ239" s="140"/>
      <c r="DYA239" s="140"/>
      <c r="DYB239" s="140"/>
      <c r="DYC239" s="140"/>
      <c r="DYD239" s="140"/>
      <c r="DYE239" s="140"/>
      <c r="DYF239" s="140"/>
      <c r="DYG239" s="140"/>
      <c r="DYH239" s="140"/>
      <c r="DYI239" s="140"/>
      <c r="DYJ239" s="140"/>
      <c r="DYK239" s="140"/>
      <c r="DYL239" s="140"/>
      <c r="DYM239" s="140"/>
      <c r="DYN239" s="140"/>
      <c r="DYO239" s="140"/>
      <c r="DYP239" s="140"/>
      <c r="DYQ239" s="140"/>
      <c r="DYR239" s="140"/>
      <c r="DYS239" s="140"/>
      <c r="DYT239" s="140"/>
      <c r="DYU239" s="140"/>
      <c r="DYV239" s="140"/>
      <c r="DYW239" s="140"/>
      <c r="DYX239" s="140"/>
      <c r="DYY239" s="140"/>
      <c r="DYZ239" s="140"/>
      <c r="DZA239" s="140"/>
      <c r="DZB239" s="140"/>
      <c r="DZC239" s="140"/>
      <c r="DZD239" s="140"/>
      <c r="DZE239" s="140"/>
      <c r="DZF239" s="140"/>
      <c r="DZG239" s="140"/>
      <c r="DZH239" s="140"/>
      <c r="DZI239" s="140"/>
      <c r="DZJ239" s="140"/>
      <c r="DZK239" s="140"/>
      <c r="DZL239" s="140"/>
      <c r="DZM239" s="140"/>
      <c r="DZN239" s="140"/>
      <c r="DZO239" s="140"/>
      <c r="DZP239" s="140"/>
      <c r="DZQ239" s="140"/>
      <c r="DZR239" s="140"/>
      <c r="DZS239" s="140"/>
      <c r="DZT239" s="140"/>
      <c r="DZU239" s="140"/>
      <c r="DZV239" s="140"/>
      <c r="DZW239" s="140"/>
      <c r="DZX239" s="140"/>
      <c r="DZY239" s="140"/>
      <c r="DZZ239" s="140"/>
      <c r="EAA239" s="140"/>
      <c r="EAB239" s="140"/>
      <c r="EAC239" s="140"/>
      <c r="EAD239" s="140"/>
      <c r="EAE239" s="140"/>
      <c r="EAF239" s="140"/>
      <c r="EAG239" s="140"/>
      <c r="EAH239" s="140"/>
      <c r="EAI239" s="140"/>
      <c r="EAJ239" s="140"/>
      <c r="EAK239" s="140"/>
      <c r="EAL239" s="140"/>
      <c r="EAM239" s="140"/>
      <c r="EAN239" s="140"/>
      <c r="EAO239" s="140"/>
      <c r="EAP239" s="140"/>
      <c r="EAQ239" s="140"/>
      <c r="EAR239" s="140"/>
      <c r="EAS239" s="140"/>
      <c r="EAT239" s="140"/>
      <c r="EAU239" s="140"/>
      <c r="EAV239" s="140"/>
      <c r="EAW239" s="140"/>
      <c r="EAX239" s="140"/>
      <c r="EAY239" s="140"/>
      <c r="EAZ239" s="140"/>
      <c r="EBA239" s="140"/>
      <c r="EBB239" s="140"/>
      <c r="EBC239" s="140"/>
      <c r="EBD239" s="140"/>
      <c r="EBE239" s="140"/>
      <c r="EBF239" s="140"/>
      <c r="EBG239" s="140"/>
      <c r="EBH239" s="140"/>
      <c r="EBI239" s="140"/>
      <c r="EBJ239" s="140"/>
      <c r="EBK239" s="140"/>
      <c r="EBL239" s="140"/>
      <c r="EBM239" s="140"/>
      <c r="EBN239" s="140"/>
      <c r="EBO239" s="140"/>
      <c r="EBP239" s="140"/>
      <c r="EBQ239" s="140"/>
      <c r="EBR239" s="140"/>
      <c r="EBS239" s="140"/>
      <c r="EBT239" s="140"/>
      <c r="EBU239" s="140"/>
      <c r="EBV239" s="140"/>
      <c r="EBW239" s="140"/>
      <c r="EBX239" s="140"/>
      <c r="EBY239" s="140"/>
      <c r="EBZ239" s="140"/>
      <c r="ECA239" s="140"/>
      <c r="ECB239" s="140"/>
      <c r="ECC239" s="140"/>
      <c r="ECD239" s="140"/>
      <c r="ECE239" s="140"/>
      <c r="ECF239" s="140"/>
      <c r="ECG239" s="140"/>
      <c r="ECH239" s="140"/>
      <c r="ECI239" s="140"/>
      <c r="ECJ239" s="140"/>
      <c r="ECK239" s="140"/>
      <c r="ECL239" s="140"/>
      <c r="ECM239" s="140"/>
      <c r="ECN239" s="140"/>
      <c r="ECO239" s="140"/>
      <c r="ECP239" s="140"/>
      <c r="ECQ239" s="140"/>
      <c r="ECR239" s="140"/>
      <c r="ECS239" s="140"/>
      <c r="ECT239" s="140"/>
      <c r="ECU239" s="140"/>
      <c r="ECV239" s="140"/>
      <c r="ECW239" s="140"/>
      <c r="ECX239" s="140"/>
      <c r="ECY239" s="140"/>
      <c r="ECZ239" s="140"/>
      <c r="EDA239" s="140"/>
      <c r="EDB239" s="140"/>
      <c r="EDC239" s="140"/>
      <c r="EDD239" s="140"/>
      <c r="EDE239" s="140"/>
      <c r="EDF239" s="140"/>
      <c r="EDG239" s="140"/>
      <c r="EDH239" s="140"/>
      <c r="EDI239" s="140"/>
      <c r="EDJ239" s="140"/>
      <c r="EDK239" s="140"/>
      <c r="EDL239" s="140"/>
      <c r="EDM239" s="140"/>
      <c r="EDN239" s="140"/>
      <c r="EDO239" s="140"/>
      <c r="EDP239" s="140"/>
      <c r="EDQ239" s="140"/>
      <c r="EDR239" s="140"/>
      <c r="EDS239" s="140"/>
      <c r="EDT239" s="140"/>
      <c r="EDU239" s="140"/>
      <c r="EDV239" s="140"/>
      <c r="EDW239" s="140"/>
      <c r="EDX239" s="140"/>
      <c r="EDY239" s="140"/>
      <c r="EDZ239" s="140"/>
      <c r="EEA239" s="140"/>
      <c r="EEB239" s="140"/>
      <c r="EEC239" s="140"/>
      <c r="EED239" s="140"/>
      <c r="EEE239" s="140"/>
      <c r="EEF239" s="140"/>
      <c r="EEG239" s="140"/>
      <c r="EEH239" s="140"/>
      <c r="EEI239" s="140"/>
      <c r="EEJ239" s="140"/>
      <c r="EEK239" s="140"/>
      <c r="EEL239" s="140"/>
      <c r="EEM239" s="140"/>
      <c r="EEN239" s="140"/>
      <c r="EEO239" s="140"/>
      <c r="EEP239" s="140"/>
      <c r="EEQ239" s="140"/>
      <c r="EER239" s="140"/>
      <c r="EES239" s="140"/>
      <c r="EET239" s="140"/>
      <c r="EEU239" s="140"/>
      <c r="EEV239" s="140"/>
      <c r="EEW239" s="140"/>
      <c r="EEX239" s="140"/>
      <c r="EEY239" s="140"/>
      <c r="EEZ239" s="140"/>
      <c r="EFA239" s="140"/>
      <c r="EFB239" s="140"/>
      <c r="EFC239" s="140"/>
      <c r="EFD239" s="140"/>
      <c r="EFE239" s="140"/>
      <c r="EFF239" s="140"/>
      <c r="EFG239" s="140"/>
      <c r="EFH239" s="140"/>
      <c r="EFI239" s="140"/>
      <c r="EFJ239" s="140"/>
      <c r="EFK239" s="140"/>
      <c r="EFL239" s="140"/>
      <c r="EFM239" s="140"/>
      <c r="EFN239" s="140"/>
      <c r="EFO239" s="140"/>
      <c r="EFP239" s="140"/>
      <c r="EFQ239" s="140"/>
      <c r="EFR239" s="140"/>
      <c r="EFS239" s="140"/>
      <c r="EFT239" s="140"/>
      <c r="EFU239" s="140"/>
      <c r="EFV239" s="140"/>
      <c r="EFW239" s="140"/>
      <c r="EFX239" s="140"/>
      <c r="EFY239" s="140"/>
      <c r="EFZ239" s="140"/>
      <c r="EGA239" s="140"/>
      <c r="EGB239" s="140"/>
      <c r="EGC239" s="140"/>
      <c r="EGD239" s="140"/>
      <c r="EGE239" s="140"/>
      <c r="EGF239" s="140"/>
      <c r="EGG239" s="140"/>
      <c r="EGH239" s="140"/>
      <c r="EGI239" s="140"/>
      <c r="EGJ239" s="140"/>
      <c r="EGK239" s="140"/>
      <c r="EGL239" s="140"/>
      <c r="EGM239" s="140"/>
      <c r="EGN239" s="140"/>
      <c r="EGO239" s="140"/>
      <c r="EGP239" s="140"/>
      <c r="EGQ239" s="140"/>
      <c r="EGR239" s="140"/>
      <c r="EGS239" s="140"/>
      <c r="EGT239" s="140"/>
      <c r="EGU239" s="140"/>
      <c r="EGV239" s="140"/>
      <c r="EGW239" s="140"/>
      <c r="EGX239" s="140"/>
      <c r="EGY239" s="140"/>
      <c r="EGZ239" s="140"/>
      <c r="EHA239" s="140"/>
      <c r="EHB239" s="140"/>
      <c r="EHC239" s="140"/>
      <c r="EHD239" s="140"/>
      <c r="EHE239" s="140"/>
      <c r="EHF239" s="140"/>
      <c r="EHG239" s="140"/>
      <c r="EHH239" s="140"/>
      <c r="EHI239" s="140"/>
      <c r="EHJ239" s="140"/>
      <c r="EHK239" s="140"/>
      <c r="EHL239" s="140"/>
      <c r="EHM239" s="140"/>
      <c r="EHN239" s="140"/>
      <c r="EHO239" s="140"/>
      <c r="EHP239" s="140"/>
      <c r="EHQ239" s="140"/>
      <c r="EHR239" s="140"/>
      <c r="EHS239" s="140"/>
      <c r="EHT239" s="140"/>
      <c r="EHU239" s="140"/>
      <c r="EHV239" s="140"/>
      <c r="EHW239" s="140"/>
      <c r="EHX239" s="140"/>
      <c r="EHY239" s="140"/>
      <c r="EHZ239" s="140"/>
      <c r="EIA239" s="140"/>
      <c r="EIB239" s="140"/>
      <c r="EIC239" s="140"/>
      <c r="EID239" s="140"/>
      <c r="EIE239" s="140"/>
      <c r="EIF239" s="140"/>
      <c r="EIG239" s="140"/>
      <c r="EIH239" s="140"/>
      <c r="EII239" s="140"/>
      <c r="EIJ239" s="140"/>
      <c r="EIK239" s="140"/>
      <c r="EIL239" s="140"/>
      <c r="EIM239" s="140"/>
      <c r="EIN239" s="140"/>
      <c r="EIO239" s="140"/>
      <c r="EIP239" s="140"/>
      <c r="EIQ239" s="140"/>
      <c r="EIR239" s="140"/>
      <c r="EIS239" s="140"/>
      <c r="EIT239" s="140"/>
      <c r="EIU239" s="140"/>
      <c r="EIV239" s="140"/>
      <c r="EIW239" s="140"/>
      <c r="EIX239" s="140"/>
      <c r="EIY239" s="140"/>
      <c r="EIZ239" s="140"/>
      <c r="EJA239" s="140"/>
      <c r="EJB239" s="140"/>
      <c r="EJC239" s="140"/>
      <c r="EJD239" s="140"/>
      <c r="EJE239" s="140"/>
      <c r="EJF239" s="140"/>
      <c r="EJG239" s="140"/>
      <c r="EJH239" s="140"/>
      <c r="EJI239" s="140"/>
      <c r="EJJ239" s="140"/>
      <c r="EJK239" s="140"/>
      <c r="EJL239" s="140"/>
      <c r="EJM239" s="140"/>
      <c r="EJN239" s="140"/>
      <c r="EJO239" s="140"/>
      <c r="EJP239" s="140"/>
      <c r="EJQ239" s="140"/>
      <c r="EJR239" s="140"/>
      <c r="EJS239" s="140"/>
      <c r="EJT239" s="140"/>
      <c r="EJU239" s="140"/>
      <c r="EJV239" s="140"/>
      <c r="EJW239" s="140"/>
      <c r="EJX239" s="140"/>
      <c r="EJY239" s="140"/>
      <c r="EJZ239" s="140"/>
      <c r="EKA239" s="140"/>
      <c r="EKB239" s="140"/>
      <c r="EKC239" s="140"/>
      <c r="EKD239" s="140"/>
      <c r="EKE239" s="140"/>
      <c r="EKF239" s="140"/>
      <c r="EKG239" s="140"/>
      <c r="EKH239" s="140"/>
      <c r="EKI239" s="140"/>
      <c r="EKJ239" s="140"/>
      <c r="EKK239" s="140"/>
      <c r="EKL239" s="140"/>
      <c r="EKM239" s="140"/>
      <c r="EKN239" s="140"/>
      <c r="EKO239" s="140"/>
      <c r="EKP239" s="140"/>
      <c r="EKQ239" s="140"/>
      <c r="EKR239" s="140"/>
      <c r="EKS239" s="140"/>
      <c r="EKT239" s="140"/>
      <c r="EKU239" s="140"/>
      <c r="EKV239" s="140"/>
      <c r="EKW239" s="140"/>
      <c r="EKX239" s="140"/>
      <c r="EKY239" s="140"/>
      <c r="EKZ239" s="140"/>
      <c r="ELA239" s="140"/>
      <c r="ELB239" s="140"/>
      <c r="ELC239" s="140"/>
      <c r="ELD239" s="140"/>
      <c r="ELE239" s="140"/>
      <c r="ELF239" s="140"/>
      <c r="ELG239" s="140"/>
      <c r="ELH239" s="140"/>
      <c r="ELI239" s="140"/>
      <c r="ELJ239" s="140"/>
      <c r="ELK239" s="140"/>
      <c r="ELL239" s="140"/>
      <c r="ELM239" s="140"/>
      <c r="ELN239" s="140"/>
      <c r="ELO239" s="140"/>
      <c r="ELP239" s="140"/>
      <c r="ELQ239" s="140"/>
      <c r="ELR239" s="140"/>
      <c r="ELS239" s="140"/>
      <c r="ELT239" s="140"/>
      <c r="ELU239" s="140"/>
      <c r="ELV239" s="140"/>
      <c r="ELW239" s="140"/>
      <c r="ELX239" s="140"/>
      <c r="ELY239" s="140"/>
      <c r="ELZ239" s="140"/>
      <c r="EMA239" s="140"/>
      <c r="EMB239" s="140"/>
      <c r="EMC239" s="140"/>
      <c r="EMD239" s="140"/>
      <c r="EME239" s="140"/>
      <c r="EMF239" s="140"/>
      <c r="EMG239" s="140"/>
      <c r="EMH239" s="140"/>
      <c r="EMI239" s="140"/>
      <c r="EMJ239" s="140"/>
      <c r="EMK239" s="140"/>
      <c r="EML239" s="140"/>
      <c r="EMM239" s="140"/>
      <c r="EMN239" s="140"/>
      <c r="EMO239" s="140"/>
      <c r="EMP239" s="140"/>
      <c r="EMQ239" s="140"/>
      <c r="EMR239" s="140"/>
      <c r="EMS239" s="140"/>
      <c r="EMT239" s="140"/>
      <c r="EMU239" s="140"/>
      <c r="EMV239" s="140"/>
      <c r="EMW239" s="140"/>
      <c r="EMX239" s="140"/>
      <c r="EMY239" s="140"/>
      <c r="EMZ239" s="140"/>
      <c r="ENA239" s="140"/>
      <c r="ENB239" s="140"/>
      <c r="ENC239" s="140"/>
      <c r="END239" s="140"/>
      <c r="ENE239" s="140"/>
      <c r="ENF239" s="140"/>
      <c r="ENG239" s="140"/>
      <c r="ENH239" s="140"/>
      <c r="ENI239" s="140"/>
      <c r="ENJ239" s="140"/>
      <c r="ENK239" s="140"/>
      <c r="ENL239" s="140"/>
      <c r="ENM239" s="140"/>
      <c r="ENN239" s="140"/>
      <c r="ENO239" s="140"/>
      <c r="ENP239" s="140"/>
      <c r="ENQ239" s="140"/>
      <c r="ENR239" s="140"/>
      <c r="ENS239" s="140"/>
      <c r="ENT239" s="140"/>
      <c r="ENU239" s="140"/>
      <c r="ENV239" s="140"/>
      <c r="ENW239" s="140"/>
      <c r="ENX239" s="140"/>
      <c r="ENY239" s="140"/>
      <c r="ENZ239" s="140"/>
      <c r="EOA239" s="140"/>
      <c r="EOB239" s="140"/>
      <c r="EOC239" s="140"/>
      <c r="EOD239" s="140"/>
      <c r="EOE239" s="140"/>
      <c r="EOF239" s="140"/>
      <c r="EOG239" s="140"/>
      <c r="EOH239" s="140"/>
      <c r="EOI239" s="140"/>
      <c r="EOJ239" s="140"/>
      <c r="EOK239" s="140"/>
      <c r="EOL239" s="140"/>
      <c r="EOM239" s="140"/>
      <c r="EON239" s="140"/>
      <c r="EOO239" s="140"/>
      <c r="EOP239" s="140"/>
      <c r="EOQ239" s="140"/>
      <c r="EOR239" s="140"/>
      <c r="EOS239" s="140"/>
      <c r="EOT239" s="140"/>
      <c r="EOU239" s="140"/>
      <c r="EOV239" s="140"/>
      <c r="EOW239" s="140"/>
      <c r="EOX239" s="140"/>
      <c r="EOY239" s="140"/>
      <c r="EOZ239" s="140"/>
      <c r="EPA239" s="140"/>
      <c r="EPB239" s="140"/>
      <c r="EPC239" s="140"/>
      <c r="EPD239" s="140"/>
      <c r="EPE239" s="140"/>
      <c r="EPF239" s="140"/>
      <c r="EPG239" s="140"/>
      <c r="EPH239" s="140"/>
      <c r="EPI239" s="140"/>
      <c r="EPJ239" s="140"/>
      <c r="EPK239" s="140"/>
      <c r="EPL239" s="140"/>
      <c r="EPM239" s="140"/>
      <c r="EPN239" s="140"/>
      <c r="EPO239" s="140"/>
      <c r="EPP239" s="140"/>
      <c r="EPQ239" s="140"/>
      <c r="EPR239" s="140"/>
      <c r="EPS239" s="140"/>
      <c r="EPT239" s="140"/>
      <c r="EPU239" s="140"/>
      <c r="EPV239" s="140"/>
      <c r="EPW239" s="140"/>
      <c r="EPX239" s="140"/>
      <c r="EPY239" s="140"/>
      <c r="EPZ239" s="140"/>
      <c r="EQA239" s="140"/>
      <c r="EQB239" s="140"/>
      <c r="EQC239" s="140"/>
      <c r="EQD239" s="140"/>
      <c r="EQE239" s="140"/>
      <c r="EQF239" s="140"/>
      <c r="EQG239" s="140"/>
      <c r="EQH239" s="140"/>
      <c r="EQI239" s="140"/>
      <c r="EQJ239" s="140"/>
      <c r="EQK239" s="140"/>
      <c r="EQL239" s="140"/>
      <c r="EQM239" s="140"/>
      <c r="EQN239" s="140"/>
      <c r="EQO239" s="140"/>
      <c r="EQP239" s="140"/>
      <c r="EQQ239" s="140"/>
      <c r="EQR239" s="140"/>
      <c r="EQS239" s="140"/>
      <c r="EQT239" s="140"/>
      <c r="EQU239" s="140"/>
      <c r="EQV239" s="140"/>
      <c r="EQW239" s="140"/>
      <c r="EQX239" s="140"/>
      <c r="EQY239" s="140"/>
      <c r="EQZ239" s="140"/>
      <c r="ERA239" s="140"/>
      <c r="ERB239" s="140"/>
      <c r="ERC239" s="140"/>
      <c r="ERD239" s="140"/>
      <c r="ERE239" s="140"/>
      <c r="ERF239" s="140"/>
      <c r="ERG239" s="140"/>
      <c r="ERH239" s="140"/>
      <c r="ERI239" s="140"/>
      <c r="ERJ239" s="140"/>
      <c r="ERK239" s="140"/>
      <c r="ERL239" s="140"/>
      <c r="ERM239" s="140"/>
      <c r="ERN239" s="140"/>
      <c r="ERO239" s="140"/>
      <c r="ERP239" s="140"/>
      <c r="ERQ239" s="140"/>
      <c r="ERR239" s="140"/>
      <c r="ERS239" s="140"/>
      <c r="ERT239" s="140"/>
      <c r="ERU239" s="140"/>
      <c r="ERV239" s="140"/>
      <c r="ERW239" s="140"/>
      <c r="ERX239" s="140"/>
      <c r="ERY239" s="140"/>
      <c r="ERZ239" s="140"/>
      <c r="ESA239" s="140"/>
      <c r="ESB239" s="140"/>
      <c r="ESC239" s="140"/>
      <c r="ESD239" s="140"/>
      <c r="ESE239" s="140"/>
      <c r="ESF239" s="140"/>
      <c r="ESG239" s="140"/>
      <c r="ESH239" s="140"/>
      <c r="ESI239" s="140"/>
      <c r="ESJ239" s="140"/>
      <c r="ESK239" s="140"/>
      <c r="ESL239" s="140"/>
      <c r="ESM239" s="140"/>
      <c r="ESN239" s="140"/>
      <c r="ESO239" s="140"/>
      <c r="ESP239" s="140"/>
      <c r="ESQ239" s="140"/>
      <c r="ESR239" s="140"/>
      <c r="ESS239" s="140"/>
      <c r="EST239" s="140"/>
      <c r="ESU239" s="140"/>
      <c r="ESV239" s="140"/>
      <c r="ESW239" s="140"/>
      <c r="ESX239" s="140"/>
      <c r="ESY239" s="140"/>
      <c r="ESZ239" s="140"/>
      <c r="ETA239" s="140"/>
      <c r="ETB239" s="140"/>
      <c r="ETC239" s="140"/>
      <c r="ETD239" s="140"/>
      <c r="ETE239" s="140"/>
      <c r="ETF239" s="140"/>
      <c r="ETG239" s="140"/>
      <c r="ETH239" s="140"/>
      <c r="ETI239" s="140"/>
      <c r="ETJ239" s="140"/>
      <c r="ETK239" s="140"/>
      <c r="ETL239" s="140"/>
      <c r="ETM239" s="140"/>
      <c r="ETN239" s="140"/>
      <c r="ETO239" s="140"/>
      <c r="ETP239" s="140"/>
      <c r="ETQ239" s="140"/>
      <c r="ETR239" s="140"/>
      <c r="ETS239" s="140"/>
      <c r="ETT239" s="140"/>
      <c r="ETU239" s="140"/>
      <c r="ETV239" s="140"/>
      <c r="ETW239" s="140"/>
      <c r="ETX239" s="140"/>
      <c r="ETY239" s="140"/>
      <c r="ETZ239" s="140"/>
      <c r="EUA239" s="140"/>
      <c r="EUB239" s="140"/>
      <c r="EUC239" s="140"/>
      <c r="EUD239" s="140"/>
      <c r="EUE239" s="140"/>
      <c r="EUF239" s="140"/>
      <c r="EUG239" s="140"/>
      <c r="EUH239" s="140"/>
      <c r="EUI239" s="140"/>
      <c r="EUJ239" s="140"/>
      <c r="EUK239" s="140"/>
      <c r="EUL239" s="140"/>
      <c r="EUM239" s="140"/>
      <c r="EUN239" s="140"/>
      <c r="EUO239" s="140"/>
      <c r="EUP239" s="140"/>
      <c r="EUQ239" s="140"/>
      <c r="EUR239" s="140"/>
      <c r="EUS239" s="140"/>
      <c r="EUT239" s="140"/>
      <c r="EUU239" s="140"/>
      <c r="EUV239" s="140"/>
      <c r="EUW239" s="140"/>
      <c r="EUX239" s="140"/>
      <c r="EUY239" s="140"/>
      <c r="EUZ239" s="140"/>
      <c r="EVA239" s="140"/>
      <c r="EVB239" s="140"/>
      <c r="EVC239" s="140"/>
      <c r="EVD239" s="140"/>
      <c r="EVE239" s="140"/>
      <c r="EVF239" s="140"/>
      <c r="EVG239" s="140"/>
      <c r="EVH239" s="140"/>
      <c r="EVI239" s="140"/>
      <c r="EVJ239" s="140"/>
      <c r="EVK239" s="140"/>
      <c r="EVL239" s="140"/>
      <c r="EVM239" s="140"/>
      <c r="EVN239" s="140"/>
      <c r="EVO239" s="140"/>
      <c r="EVP239" s="140"/>
      <c r="EVQ239" s="140"/>
      <c r="EVR239" s="140"/>
      <c r="EVS239" s="140"/>
      <c r="EVT239" s="140"/>
      <c r="EVU239" s="140"/>
      <c r="EVV239" s="140"/>
      <c r="EVW239" s="140"/>
      <c r="EVX239" s="140"/>
      <c r="EVY239" s="140"/>
      <c r="EVZ239" s="140"/>
      <c r="EWA239" s="140"/>
      <c r="EWB239" s="140"/>
      <c r="EWC239" s="140"/>
      <c r="EWD239" s="140"/>
      <c r="EWE239" s="140"/>
      <c r="EWF239" s="140"/>
      <c r="EWG239" s="140"/>
      <c r="EWH239" s="140"/>
      <c r="EWI239" s="140"/>
      <c r="EWJ239" s="140"/>
      <c r="EWK239" s="140"/>
      <c r="EWL239" s="140"/>
      <c r="EWM239" s="140"/>
      <c r="EWN239" s="140"/>
      <c r="EWO239" s="140"/>
      <c r="EWP239" s="140"/>
      <c r="EWQ239" s="140"/>
      <c r="EWR239" s="140"/>
      <c r="EWS239" s="140"/>
      <c r="EWT239" s="140"/>
      <c r="EWU239" s="140"/>
      <c r="EWV239" s="140"/>
      <c r="EWW239" s="140"/>
      <c r="EWX239" s="140"/>
      <c r="EWY239" s="140"/>
      <c r="EWZ239" s="140"/>
      <c r="EXA239" s="140"/>
      <c r="EXB239" s="140"/>
      <c r="EXC239" s="140"/>
      <c r="EXD239" s="140"/>
      <c r="EXE239" s="140"/>
      <c r="EXF239" s="140"/>
      <c r="EXG239" s="140"/>
      <c r="EXH239" s="140"/>
      <c r="EXI239" s="140"/>
      <c r="EXJ239" s="140"/>
      <c r="EXK239" s="140"/>
      <c r="EXL239" s="140"/>
      <c r="EXM239" s="140"/>
      <c r="EXN239" s="140"/>
      <c r="EXO239" s="140"/>
      <c r="EXP239" s="140"/>
      <c r="EXQ239" s="140"/>
      <c r="EXR239" s="140"/>
      <c r="EXS239" s="140"/>
      <c r="EXT239" s="140"/>
      <c r="EXU239" s="140"/>
      <c r="EXV239" s="140"/>
      <c r="EXW239" s="140"/>
      <c r="EXX239" s="140"/>
      <c r="EXY239" s="140"/>
      <c r="EXZ239" s="140"/>
      <c r="EYA239" s="140"/>
      <c r="EYB239" s="140"/>
      <c r="EYC239" s="140"/>
      <c r="EYD239" s="140"/>
      <c r="EYE239" s="140"/>
      <c r="EYF239" s="140"/>
      <c r="EYG239" s="140"/>
      <c r="EYH239" s="140"/>
      <c r="EYI239" s="140"/>
      <c r="EYJ239" s="140"/>
      <c r="EYK239" s="140"/>
      <c r="EYL239" s="140"/>
      <c r="EYM239" s="140"/>
      <c r="EYN239" s="140"/>
      <c r="EYO239" s="140"/>
      <c r="EYP239" s="140"/>
      <c r="EYQ239" s="140"/>
      <c r="EYR239" s="140"/>
      <c r="EYS239" s="140"/>
      <c r="EYT239" s="140"/>
      <c r="EYU239" s="140"/>
      <c r="EYV239" s="140"/>
      <c r="EYW239" s="140"/>
      <c r="EYX239" s="140"/>
      <c r="EYY239" s="140"/>
      <c r="EYZ239" s="140"/>
      <c r="EZA239" s="140"/>
      <c r="EZB239" s="140"/>
      <c r="EZC239" s="140"/>
      <c r="EZD239" s="140"/>
      <c r="EZE239" s="140"/>
      <c r="EZF239" s="140"/>
      <c r="EZG239" s="140"/>
      <c r="EZH239" s="140"/>
      <c r="EZI239" s="140"/>
      <c r="EZJ239" s="140"/>
      <c r="EZK239" s="140"/>
      <c r="EZL239" s="140"/>
      <c r="EZM239" s="140"/>
      <c r="EZN239" s="140"/>
      <c r="EZO239" s="140"/>
      <c r="EZP239" s="140"/>
      <c r="EZQ239" s="140"/>
      <c r="EZR239" s="140"/>
      <c r="EZS239" s="140"/>
      <c r="EZT239" s="140"/>
      <c r="EZU239" s="140"/>
      <c r="EZV239" s="140"/>
      <c r="EZW239" s="140"/>
      <c r="EZX239" s="140"/>
      <c r="EZY239" s="140"/>
      <c r="EZZ239" s="140"/>
      <c r="FAA239" s="140"/>
      <c r="FAB239" s="140"/>
      <c r="FAC239" s="140"/>
      <c r="FAD239" s="140"/>
      <c r="FAE239" s="140"/>
      <c r="FAF239" s="140"/>
      <c r="FAG239" s="140"/>
      <c r="FAH239" s="140"/>
      <c r="FAI239" s="140"/>
      <c r="FAJ239" s="140"/>
      <c r="FAK239" s="140"/>
      <c r="FAL239" s="140"/>
      <c r="FAM239" s="140"/>
      <c r="FAN239" s="140"/>
      <c r="FAO239" s="140"/>
      <c r="FAP239" s="140"/>
      <c r="FAQ239" s="140"/>
      <c r="FAR239" s="140"/>
      <c r="FAS239" s="140"/>
      <c r="FAT239" s="140"/>
      <c r="FAU239" s="140"/>
      <c r="FAV239" s="140"/>
      <c r="FAW239" s="140"/>
      <c r="FAX239" s="140"/>
      <c r="FAY239" s="140"/>
      <c r="FAZ239" s="140"/>
      <c r="FBA239" s="140"/>
      <c r="FBB239" s="140"/>
      <c r="FBC239" s="140"/>
      <c r="FBD239" s="140"/>
      <c r="FBE239" s="140"/>
      <c r="FBF239" s="140"/>
      <c r="FBG239" s="140"/>
      <c r="FBH239" s="140"/>
      <c r="FBI239" s="140"/>
      <c r="FBJ239" s="140"/>
      <c r="FBK239" s="140"/>
      <c r="FBL239" s="140"/>
      <c r="FBM239" s="140"/>
      <c r="FBN239" s="140"/>
      <c r="FBO239" s="140"/>
      <c r="FBP239" s="140"/>
      <c r="FBQ239" s="140"/>
      <c r="FBR239" s="140"/>
      <c r="FBS239" s="140"/>
      <c r="FBT239" s="140"/>
      <c r="FBU239" s="140"/>
      <c r="FBV239" s="140"/>
      <c r="FBW239" s="140"/>
      <c r="FBX239" s="140"/>
      <c r="FBY239" s="140"/>
      <c r="FBZ239" s="140"/>
      <c r="FCA239" s="140"/>
      <c r="FCB239" s="140"/>
      <c r="FCC239" s="140"/>
      <c r="FCD239" s="140"/>
      <c r="FCE239" s="140"/>
      <c r="FCF239" s="140"/>
      <c r="FCG239" s="140"/>
      <c r="FCH239" s="140"/>
      <c r="FCI239" s="140"/>
      <c r="FCJ239" s="140"/>
      <c r="FCK239" s="140"/>
      <c r="FCL239" s="140"/>
      <c r="FCM239" s="140"/>
      <c r="FCN239" s="140"/>
      <c r="FCO239" s="140"/>
      <c r="FCP239" s="140"/>
      <c r="FCQ239" s="140"/>
      <c r="FCR239" s="140"/>
      <c r="FCS239" s="140"/>
      <c r="FCT239" s="140"/>
      <c r="FCU239" s="140"/>
      <c r="FCV239" s="140"/>
      <c r="FCW239" s="140"/>
      <c r="FCX239" s="140"/>
      <c r="FCY239" s="140"/>
      <c r="FCZ239" s="140"/>
      <c r="FDA239" s="140"/>
      <c r="FDB239" s="140"/>
      <c r="FDC239" s="140"/>
      <c r="FDD239" s="140"/>
      <c r="FDE239" s="140"/>
      <c r="FDF239" s="140"/>
      <c r="FDG239" s="140"/>
      <c r="FDH239" s="140"/>
      <c r="FDI239" s="140"/>
      <c r="FDJ239" s="140"/>
      <c r="FDK239" s="140"/>
      <c r="FDL239" s="140"/>
      <c r="FDM239" s="140"/>
      <c r="FDN239" s="140"/>
      <c r="FDO239" s="140"/>
      <c r="FDP239" s="140"/>
      <c r="FDQ239" s="140"/>
      <c r="FDR239" s="140"/>
      <c r="FDS239" s="140"/>
      <c r="FDT239" s="140"/>
      <c r="FDU239" s="140"/>
      <c r="FDV239" s="140"/>
      <c r="FDW239" s="140"/>
      <c r="FDX239" s="140"/>
      <c r="FDY239" s="140"/>
      <c r="FDZ239" s="140"/>
      <c r="FEA239" s="140"/>
      <c r="FEB239" s="140"/>
      <c r="FEC239" s="140"/>
      <c r="FED239" s="140"/>
      <c r="FEE239" s="140"/>
      <c r="FEF239" s="140"/>
      <c r="FEG239" s="140"/>
      <c r="FEH239" s="140"/>
      <c r="FEI239" s="140"/>
      <c r="FEJ239" s="140"/>
      <c r="FEK239" s="140"/>
      <c r="FEL239" s="140"/>
      <c r="FEM239" s="140"/>
      <c r="FEN239" s="140"/>
      <c r="FEO239" s="140"/>
      <c r="FEP239" s="140"/>
      <c r="FEQ239" s="140"/>
      <c r="FER239" s="140"/>
      <c r="FES239" s="140"/>
      <c r="FET239" s="140"/>
      <c r="FEU239" s="140"/>
      <c r="FEV239" s="140"/>
      <c r="FEW239" s="140"/>
      <c r="FEX239" s="140"/>
      <c r="FEY239" s="140"/>
      <c r="FEZ239" s="140"/>
      <c r="FFA239" s="140"/>
      <c r="FFB239" s="140"/>
      <c r="FFC239" s="140"/>
      <c r="FFD239" s="140"/>
      <c r="FFE239" s="140"/>
      <c r="FFF239" s="140"/>
      <c r="FFG239" s="140"/>
      <c r="FFH239" s="140"/>
      <c r="FFI239" s="140"/>
      <c r="FFJ239" s="140"/>
      <c r="FFK239" s="140"/>
      <c r="FFL239" s="140"/>
      <c r="FFM239" s="140"/>
      <c r="FFN239" s="140"/>
      <c r="FFO239" s="140"/>
      <c r="FFP239" s="140"/>
      <c r="FFQ239" s="140"/>
      <c r="FFR239" s="140"/>
      <c r="FFS239" s="140"/>
      <c r="FFT239" s="140"/>
      <c r="FFU239" s="140"/>
      <c r="FFV239" s="140"/>
      <c r="FFW239" s="140"/>
      <c r="FFX239" s="140"/>
      <c r="FFY239" s="140"/>
      <c r="FFZ239" s="140"/>
      <c r="FGA239" s="140"/>
      <c r="FGB239" s="140"/>
      <c r="FGC239" s="140"/>
      <c r="FGD239" s="140"/>
      <c r="FGE239" s="140"/>
      <c r="FGF239" s="140"/>
      <c r="FGG239" s="140"/>
      <c r="FGH239" s="140"/>
      <c r="FGI239" s="140"/>
      <c r="FGJ239" s="140"/>
      <c r="FGK239" s="140"/>
      <c r="FGL239" s="140"/>
      <c r="FGM239" s="140"/>
      <c r="FGN239" s="140"/>
      <c r="FGO239" s="140"/>
      <c r="FGP239" s="140"/>
      <c r="FGQ239" s="140"/>
      <c r="FGR239" s="140"/>
      <c r="FGS239" s="140"/>
      <c r="FGT239" s="140"/>
      <c r="FGU239" s="140"/>
      <c r="FGV239" s="140"/>
      <c r="FGW239" s="140"/>
      <c r="FGX239" s="140"/>
      <c r="FGY239" s="140"/>
      <c r="FGZ239" s="140"/>
      <c r="FHA239" s="140"/>
      <c r="FHB239" s="140"/>
      <c r="FHC239" s="140"/>
      <c r="FHD239" s="140"/>
      <c r="FHE239" s="140"/>
      <c r="FHF239" s="140"/>
      <c r="FHG239" s="140"/>
      <c r="FHH239" s="140"/>
      <c r="FHI239" s="140"/>
      <c r="FHJ239" s="140"/>
      <c r="FHK239" s="140"/>
      <c r="FHL239" s="140"/>
      <c r="FHM239" s="140"/>
      <c r="FHN239" s="140"/>
      <c r="FHO239" s="140"/>
      <c r="FHP239" s="140"/>
      <c r="FHQ239" s="140"/>
      <c r="FHR239" s="140"/>
      <c r="FHS239" s="140"/>
      <c r="FHT239" s="140"/>
      <c r="FHU239" s="140"/>
      <c r="FHV239" s="140"/>
      <c r="FHW239" s="140"/>
      <c r="FHX239" s="140"/>
      <c r="FHY239" s="140"/>
      <c r="FHZ239" s="140"/>
      <c r="FIA239" s="140"/>
      <c r="FIB239" s="140"/>
      <c r="FIC239" s="140"/>
      <c r="FID239" s="140"/>
      <c r="FIE239" s="140"/>
      <c r="FIF239" s="140"/>
      <c r="FIG239" s="140"/>
      <c r="FIH239" s="140"/>
      <c r="FII239" s="140"/>
      <c r="FIJ239" s="140"/>
      <c r="FIK239" s="140"/>
      <c r="FIL239" s="140"/>
      <c r="FIM239" s="140"/>
      <c r="FIN239" s="140"/>
      <c r="FIO239" s="140"/>
      <c r="FIP239" s="140"/>
      <c r="FIQ239" s="140"/>
      <c r="FIR239" s="140"/>
      <c r="FIS239" s="140"/>
      <c r="FIT239" s="140"/>
      <c r="FIU239" s="140"/>
      <c r="FIV239" s="140"/>
      <c r="FIW239" s="140"/>
      <c r="FIX239" s="140"/>
      <c r="FIY239" s="140"/>
      <c r="FIZ239" s="140"/>
      <c r="FJA239" s="140"/>
      <c r="FJB239" s="140"/>
      <c r="FJC239" s="140"/>
      <c r="FJD239" s="140"/>
      <c r="FJE239" s="140"/>
      <c r="FJF239" s="140"/>
      <c r="FJG239" s="140"/>
      <c r="FJH239" s="140"/>
      <c r="FJI239" s="140"/>
      <c r="FJJ239" s="140"/>
      <c r="FJK239" s="140"/>
      <c r="FJL239" s="140"/>
      <c r="FJM239" s="140"/>
      <c r="FJN239" s="140"/>
      <c r="FJO239" s="140"/>
      <c r="FJP239" s="140"/>
      <c r="FJQ239" s="140"/>
      <c r="FJR239" s="140"/>
      <c r="FJS239" s="140"/>
      <c r="FJT239" s="140"/>
      <c r="FJU239" s="140"/>
      <c r="FJV239" s="140"/>
      <c r="FJW239" s="140"/>
      <c r="FJX239" s="140"/>
      <c r="FJY239" s="140"/>
      <c r="FJZ239" s="140"/>
      <c r="FKA239" s="140"/>
      <c r="FKB239" s="140"/>
      <c r="FKC239" s="140"/>
      <c r="FKD239" s="140"/>
      <c r="FKE239" s="140"/>
      <c r="FKF239" s="140"/>
      <c r="FKG239" s="140"/>
      <c r="FKH239" s="140"/>
      <c r="FKI239" s="140"/>
      <c r="FKJ239" s="140"/>
      <c r="FKK239" s="140"/>
      <c r="FKL239" s="140"/>
      <c r="FKM239" s="140"/>
      <c r="FKN239" s="140"/>
      <c r="FKO239" s="140"/>
      <c r="FKP239" s="140"/>
      <c r="FKQ239" s="140"/>
      <c r="FKR239" s="140"/>
      <c r="FKS239" s="140"/>
      <c r="FKT239" s="140"/>
      <c r="FKU239" s="140"/>
      <c r="FKV239" s="140"/>
      <c r="FKW239" s="140"/>
      <c r="FKX239" s="140"/>
      <c r="FKY239" s="140"/>
      <c r="FKZ239" s="140"/>
      <c r="FLA239" s="140"/>
      <c r="FLB239" s="140"/>
      <c r="FLC239" s="140"/>
      <c r="FLD239" s="140"/>
      <c r="FLE239" s="140"/>
      <c r="FLF239" s="140"/>
      <c r="FLG239" s="140"/>
      <c r="FLH239" s="140"/>
      <c r="FLI239" s="140"/>
      <c r="FLJ239" s="140"/>
      <c r="FLK239" s="140"/>
      <c r="FLL239" s="140"/>
      <c r="FLM239" s="140"/>
      <c r="FLN239" s="140"/>
      <c r="FLO239" s="140"/>
      <c r="FLP239" s="140"/>
      <c r="FLQ239" s="140"/>
      <c r="FLR239" s="140"/>
      <c r="FLS239" s="140"/>
      <c r="FLT239" s="140"/>
      <c r="FLU239" s="140"/>
      <c r="FLV239" s="140"/>
      <c r="FLW239" s="140"/>
      <c r="FLX239" s="140"/>
      <c r="FLY239" s="140"/>
      <c r="FLZ239" s="140"/>
      <c r="FMA239" s="140"/>
      <c r="FMB239" s="140"/>
      <c r="FMC239" s="140"/>
      <c r="FMD239" s="140"/>
      <c r="FME239" s="140"/>
      <c r="FMF239" s="140"/>
      <c r="FMG239" s="140"/>
      <c r="FMH239" s="140"/>
      <c r="FMI239" s="140"/>
      <c r="FMJ239" s="140"/>
      <c r="FMK239" s="140"/>
      <c r="FML239" s="140"/>
      <c r="FMM239" s="140"/>
      <c r="FMN239" s="140"/>
      <c r="FMO239" s="140"/>
      <c r="FMP239" s="140"/>
      <c r="FMQ239" s="140"/>
      <c r="FMR239" s="140"/>
      <c r="FMS239" s="140"/>
      <c r="FMT239" s="140"/>
      <c r="FMU239" s="140"/>
      <c r="FMV239" s="140"/>
      <c r="FMW239" s="140"/>
      <c r="FMX239" s="140"/>
      <c r="FMY239" s="140"/>
      <c r="FMZ239" s="140"/>
      <c r="FNA239" s="140"/>
      <c r="FNB239" s="140"/>
      <c r="FNC239" s="140"/>
      <c r="FND239" s="140"/>
      <c r="FNE239" s="140"/>
      <c r="FNF239" s="140"/>
      <c r="FNG239" s="140"/>
      <c r="FNH239" s="140"/>
      <c r="FNI239" s="140"/>
      <c r="FNJ239" s="140"/>
      <c r="FNK239" s="140"/>
      <c r="FNL239" s="140"/>
      <c r="FNM239" s="140"/>
      <c r="FNN239" s="140"/>
      <c r="FNO239" s="140"/>
      <c r="FNP239" s="140"/>
      <c r="FNQ239" s="140"/>
      <c r="FNR239" s="140"/>
      <c r="FNS239" s="140"/>
      <c r="FNT239" s="140"/>
      <c r="FNU239" s="140"/>
      <c r="FNV239" s="140"/>
      <c r="FNW239" s="140"/>
      <c r="FNX239" s="140"/>
      <c r="FNY239" s="140"/>
      <c r="FNZ239" s="140"/>
      <c r="FOA239" s="140"/>
      <c r="FOB239" s="140"/>
      <c r="FOC239" s="140"/>
      <c r="FOD239" s="140"/>
      <c r="FOE239" s="140"/>
      <c r="FOF239" s="140"/>
      <c r="FOG239" s="140"/>
      <c r="FOH239" s="140"/>
      <c r="FOI239" s="140"/>
      <c r="FOJ239" s="140"/>
      <c r="FOK239" s="140"/>
      <c r="FOL239" s="140"/>
      <c r="FOM239" s="140"/>
      <c r="FON239" s="140"/>
      <c r="FOO239" s="140"/>
      <c r="FOP239" s="140"/>
      <c r="FOQ239" s="140"/>
      <c r="FOR239" s="140"/>
      <c r="FOS239" s="140"/>
      <c r="FOT239" s="140"/>
      <c r="FOU239" s="140"/>
      <c r="FOV239" s="140"/>
      <c r="FOW239" s="140"/>
      <c r="FOX239" s="140"/>
      <c r="FOY239" s="140"/>
      <c r="FOZ239" s="140"/>
      <c r="FPA239" s="140"/>
      <c r="FPB239" s="140"/>
      <c r="FPC239" s="140"/>
      <c r="FPD239" s="140"/>
      <c r="FPE239" s="140"/>
      <c r="FPF239" s="140"/>
      <c r="FPG239" s="140"/>
      <c r="FPH239" s="140"/>
      <c r="FPI239" s="140"/>
      <c r="FPJ239" s="140"/>
      <c r="FPK239" s="140"/>
      <c r="FPL239" s="140"/>
      <c r="FPM239" s="140"/>
      <c r="FPN239" s="140"/>
      <c r="FPO239" s="140"/>
      <c r="FPP239" s="140"/>
      <c r="FPQ239" s="140"/>
      <c r="FPR239" s="140"/>
      <c r="FPS239" s="140"/>
      <c r="FPT239" s="140"/>
      <c r="FPU239" s="140"/>
      <c r="FPV239" s="140"/>
      <c r="FPW239" s="140"/>
      <c r="FPX239" s="140"/>
      <c r="FPY239" s="140"/>
      <c r="FPZ239" s="140"/>
      <c r="FQA239" s="140"/>
      <c r="FQB239" s="140"/>
      <c r="FQC239" s="140"/>
      <c r="FQD239" s="140"/>
      <c r="FQE239" s="140"/>
      <c r="FQF239" s="140"/>
      <c r="FQG239" s="140"/>
      <c r="FQH239" s="140"/>
      <c r="FQI239" s="140"/>
      <c r="FQJ239" s="140"/>
      <c r="FQK239" s="140"/>
      <c r="FQL239" s="140"/>
      <c r="FQM239" s="140"/>
      <c r="FQN239" s="140"/>
      <c r="FQO239" s="140"/>
      <c r="FQP239" s="140"/>
      <c r="FQQ239" s="140"/>
      <c r="FQR239" s="140"/>
      <c r="FQS239" s="140"/>
      <c r="FQT239" s="140"/>
      <c r="FQU239" s="140"/>
      <c r="FQV239" s="140"/>
      <c r="FQW239" s="140"/>
      <c r="FQX239" s="140"/>
      <c r="FQY239" s="140"/>
      <c r="FQZ239" s="140"/>
      <c r="FRA239" s="140"/>
      <c r="FRB239" s="140"/>
      <c r="FRC239" s="140"/>
      <c r="FRD239" s="140"/>
      <c r="FRE239" s="140"/>
      <c r="FRF239" s="140"/>
      <c r="FRG239" s="140"/>
      <c r="FRH239" s="140"/>
      <c r="FRI239" s="140"/>
      <c r="FRJ239" s="140"/>
      <c r="FRK239" s="140"/>
      <c r="FRL239" s="140"/>
      <c r="FRM239" s="140"/>
      <c r="FRN239" s="140"/>
      <c r="FRO239" s="140"/>
      <c r="FRP239" s="140"/>
      <c r="FRQ239" s="140"/>
      <c r="FRR239" s="140"/>
      <c r="FRS239" s="140"/>
      <c r="FRT239" s="140"/>
      <c r="FRU239" s="140"/>
      <c r="FRV239" s="140"/>
      <c r="FRW239" s="140"/>
      <c r="FRX239" s="140"/>
      <c r="FRY239" s="140"/>
      <c r="FRZ239" s="140"/>
      <c r="FSA239" s="140"/>
      <c r="FSB239" s="140"/>
      <c r="FSC239" s="140"/>
      <c r="FSD239" s="140"/>
      <c r="FSE239" s="140"/>
      <c r="FSF239" s="140"/>
      <c r="FSG239" s="140"/>
      <c r="FSH239" s="140"/>
      <c r="FSI239" s="140"/>
      <c r="FSJ239" s="140"/>
      <c r="FSK239" s="140"/>
      <c r="FSL239" s="140"/>
      <c r="FSM239" s="140"/>
      <c r="FSN239" s="140"/>
      <c r="FSO239" s="140"/>
      <c r="FSP239" s="140"/>
      <c r="FSQ239" s="140"/>
      <c r="FSR239" s="140"/>
      <c r="FSS239" s="140"/>
      <c r="FST239" s="140"/>
      <c r="FSU239" s="140"/>
      <c r="FSV239" s="140"/>
      <c r="FSW239" s="140"/>
      <c r="FSX239" s="140"/>
      <c r="FSY239" s="140"/>
      <c r="FSZ239" s="140"/>
      <c r="FTA239" s="140"/>
      <c r="FTB239" s="140"/>
      <c r="FTC239" s="140"/>
      <c r="FTD239" s="140"/>
      <c r="FTE239" s="140"/>
      <c r="FTF239" s="140"/>
      <c r="FTG239" s="140"/>
      <c r="FTH239" s="140"/>
      <c r="FTI239" s="140"/>
      <c r="FTJ239" s="140"/>
      <c r="FTK239" s="140"/>
      <c r="FTL239" s="140"/>
      <c r="FTM239" s="140"/>
      <c r="FTN239" s="140"/>
      <c r="FTO239" s="140"/>
      <c r="FTP239" s="140"/>
      <c r="FTQ239" s="140"/>
      <c r="FTR239" s="140"/>
      <c r="FTS239" s="140"/>
      <c r="FTT239" s="140"/>
      <c r="FTU239" s="140"/>
      <c r="FTV239" s="140"/>
      <c r="FTW239" s="140"/>
      <c r="FTX239" s="140"/>
      <c r="FTY239" s="140"/>
      <c r="FTZ239" s="140"/>
      <c r="FUA239" s="140"/>
      <c r="FUB239" s="140"/>
      <c r="FUC239" s="140"/>
      <c r="FUD239" s="140"/>
      <c r="FUE239" s="140"/>
      <c r="FUF239" s="140"/>
      <c r="FUG239" s="140"/>
      <c r="FUH239" s="140"/>
      <c r="FUI239" s="140"/>
      <c r="FUJ239" s="140"/>
      <c r="FUK239" s="140"/>
      <c r="FUL239" s="140"/>
      <c r="FUM239" s="140"/>
      <c r="FUN239" s="140"/>
      <c r="FUO239" s="140"/>
      <c r="FUP239" s="140"/>
      <c r="FUQ239" s="140"/>
      <c r="FUR239" s="140"/>
      <c r="FUS239" s="140"/>
      <c r="FUT239" s="140"/>
      <c r="FUU239" s="140"/>
      <c r="FUV239" s="140"/>
      <c r="FUW239" s="140"/>
      <c r="FUX239" s="140"/>
      <c r="FUY239" s="140"/>
      <c r="FUZ239" s="140"/>
      <c r="FVA239" s="140"/>
      <c r="FVB239" s="140"/>
      <c r="FVC239" s="140"/>
      <c r="FVD239" s="140"/>
      <c r="FVE239" s="140"/>
      <c r="FVF239" s="140"/>
      <c r="FVG239" s="140"/>
      <c r="FVH239" s="140"/>
      <c r="FVI239" s="140"/>
      <c r="FVJ239" s="140"/>
      <c r="FVK239" s="140"/>
      <c r="FVL239" s="140"/>
      <c r="FVM239" s="140"/>
      <c r="FVN239" s="140"/>
      <c r="FVO239" s="140"/>
      <c r="FVP239" s="140"/>
      <c r="FVQ239" s="140"/>
      <c r="FVR239" s="140"/>
      <c r="FVS239" s="140"/>
      <c r="FVT239" s="140"/>
      <c r="FVU239" s="140"/>
      <c r="FVV239" s="140"/>
      <c r="FVW239" s="140"/>
      <c r="FVX239" s="140"/>
      <c r="FVY239" s="140"/>
      <c r="FVZ239" s="140"/>
      <c r="FWA239" s="140"/>
      <c r="FWB239" s="140"/>
      <c r="FWC239" s="140"/>
      <c r="FWD239" s="140"/>
      <c r="FWE239" s="140"/>
      <c r="FWF239" s="140"/>
      <c r="FWG239" s="140"/>
      <c r="FWH239" s="140"/>
      <c r="FWI239" s="140"/>
      <c r="FWJ239" s="140"/>
      <c r="FWK239" s="140"/>
      <c r="FWL239" s="140"/>
      <c r="FWM239" s="140"/>
      <c r="FWN239" s="140"/>
      <c r="FWO239" s="140"/>
      <c r="FWP239" s="140"/>
      <c r="FWQ239" s="140"/>
      <c r="FWR239" s="140"/>
      <c r="FWS239" s="140"/>
      <c r="FWT239" s="140"/>
      <c r="FWU239" s="140"/>
      <c r="FWV239" s="140"/>
      <c r="FWW239" s="140"/>
      <c r="FWX239" s="140"/>
      <c r="FWY239" s="140"/>
      <c r="FWZ239" s="140"/>
      <c r="FXA239" s="140"/>
      <c r="FXB239" s="140"/>
      <c r="FXC239" s="140"/>
      <c r="FXD239" s="140"/>
      <c r="FXE239" s="140"/>
      <c r="FXF239" s="140"/>
      <c r="FXG239" s="140"/>
      <c r="FXH239" s="140"/>
      <c r="FXI239" s="140"/>
      <c r="FXJ239" s="140"/>
      <c r="FXK239" s="140"/>
      <c r="FXL239" s="140"/>
      <c r="FXM239" s="140"/>
      <c r="FXN239" s="140"/>
      <c r="FXO239" s="140"/>
      <c r="FXP239" s="140"/>
      <c r="FXQ239" s="140"/>
      <c r="FXR239" s="140"/>
      <c r="FXS239" s="140"/>
      <c r="FXT239" s="140"/>
      <c r="FXU239" s="140"/>
      <c r="FXV239" s="140"/>
      <c r="FXW239" s="140"/>
      <c r="FXX239" s="140"/>
      <c r="FXY239" s="140"/>
      <c r="FXZ239" s="140"/>
      <c r="FYA239" s="140"/>
      <c r="FYB239" s="140"/>
      <c r="FYC239" s="140"/>
      <c r="FYD239" s="140"/>
      <c r="FYE239" s="140"/>
      <c r="FYF239" s="140"/>
      <c r="FYG239" s="140"/>
      <c r="FYH239" s="140"/>
      <c r="FYI239" s="140"/>
      <c r="FYJ239" s="140"/>
      <c r="FYK239" s="140"/>
      <c r="FYL239" s="140"/>
      <c r="FYM239" s="140"/>
      <c r="FYN239" s="140"/>
      <c r="FYO239" s="140"/>
      <c r="FYP239" s="140"/>
      <c r="FYQ239" s="140"/>
      <c r="FYR239" s="140"/>
      <c r="FYS239" s="140"/>
      <c r="FYT239" s="140"/>
      <c r="FYU239" s="140"/>
      <c r="FYV239" s="140"/>
      <c r="FYW239" s="140"/>
      <c r="FYX239" s="140"/>
      <c r="FYY239" s="140"/>
      <c r="FYZ239" s="140"/>
      <c r="FZA239" s="140"/>
      <c r="FZB239" s="140"/>
      <c r="FZC239" s="140"/>
      <c r="FZD239" s="140"/>
      <c r="FZE239" s="140"/>
      <c r="FZF239" s="140"/>
      <c r="FZG239" s="140"/>
      <c r="FZH239" s="140"/>
      <c r="FZI239" s="140"/>
      <c r="FZJ239" s="140"/>
      <c r="FZK239" s="140"/>
      <c r="FZL239" s="140"/>
      <c r="FZM239" s="140"/>
      <c r="FZN239" s="140"/>
      <c r="FZO239" s="140"/>
      <c r="FZP239" s="140"/>
      <c r="FZQ239" s="140"/>
      <c r="FZR239" s="140"/>
      <c r="FZS239" s="140"/>
      <c r="FZT239" s="140"/>
      <c r="FZU239" s="140"/>
      <c r="FZV239" s="140"/>
      <c r="FZW239" s="140"/>
      <c r="FZX239" s="140"/>
      <c r="FZY239" s="140"/>
      <c r="FZZ239" s="140"/>
      <c r="GAA239" s="140"/>
      <c r="GAB239" s="140"/>
      <c r="GAC239" s="140"/>
      <c r="GAD239" s="140"/>
      <c r="GAE239" s="140"/>
      <c r="GAF239" s="140"/>
      <c r="GAG239" s="140"/>
      <c r="GAH239" s="140"/>
      <c r="GAI239" s="140"/>
      <c r="GAJ239" s="140"/>
      <c r="GAK239" s="140"/>
      <c r="GAL239" s="140"/>
      <c r="GAM239" s="140"/>
      <c r="GAN239" s="140"/>
      <c r="GAO239" s="140"/>
      <c r="GAP239" s="140"/>
      <c r="GAQ239" s="140"/>
      <c r="GAR239" s="140"/>
      <c r="GAS239" s="140"/>
      <c r="GAT239" s="140"/>
      <c r="GAU239" s="140"/>
      <c r="GAV239" s="140"/>
      <c r="GAW239" s="140"/>
      <c r="GAX239" s="140"/>
      <c r="GAY239" s="140"/>
      <c r="GAZ239" s="140"/>
      <c r="GBA239" s="140"/>
      <c r="GBB239" s="140"/>
      <c r="GBC239" s="140"/>
      <c r="GBD239" s="140"/>
      <c r="GBE239" s="140"/>
      <c r="GBF239" s="140"/>
      <c r="GBG239" s="140"/>
      <c r="GBH239" s="140"/>
      <c r="GBI239" s="140"/>
      <c r="GBJ239" s="140"/>
      <c r="GBK239" s="140"/>
      <c r="GBL239" s="140"/>
      <c r="GBM239" s="140"/>
      <c r="GBN239" s="140"/>
      <c r="GBO239" s="140"/>
      <c r="GBP239" s="140"/>
      <c r="GBQ239" s="140"/>
      <c r="GBR239" s="140"/>
      <c r="GBS239" s="140"/>
      <c r="GBT239" s="140"/>
      <c r="GBU239" s="140"/>
      <c r="GBV239" s="140"/>
      <c r="GBW239" s="140"/>
      <c r="GBX239" s="140"/>
      <c r="GBY239" s="140"/>
      <c r="GBZ239" s="140"/>
      <c r="GCA239" s="140"/>
      <c r="GCB239" s="140"/>
      <c r="GCC239" s="140"/>
      <c r="GCD239" s="140"/>
      <c r="GCE239" s="140"/>
      <c r="GCF239" s="140"/>
      <c r="GCG239" s="140"/>
      <c r="GCH239" s="140"/>
      <c r="GCI239" s="140"/>
      <c r="GCJ239" s="140"/>
      <c r="GCK239" s="140"/>
      <c r="GCL239" s="140"/>
      <c r="GCM239" s="140"/>
      <c r="GCN239" s="140"/>
      <c r="GCO239" s="140"/>
      <c r="GCP239" s="140"/>
      <c r="GCQ239" s="140"/>
      <c r="GCR239" s="140"/>
      <c r="GCS239" s="140"/>
      <c r="GCT239" s="140"/>
      <c r="GCU239" s="140"/>
      <c r="GCV239" s="140"/>
      <c r="GCW239" s="140"/>
      <c r="GCX239" s="140"/>
      <c r="GCY239" s="140"/>
      <c r="GCZ239" s="140"/>
      <c r="GDA239" s="140"/>
      <c r="GDB239" s="140"/>
      <c r="GDC239" s="140"/>
      <c r="GDD239" s="140"/>
      <c r="GDE239" s="140"/>
      <c r="GDF239" s="140"/>
      <c r="GDG239" s="140"/>
      <c r="GDH239" s="140"/>
      <c r="GDI239" s="140"/>
      <c r="GDJ239" s="140"/>
      <c r="GDK239" s="140"/>
      <c r="GDL239" s="140"/>
      <c r="GDM239" s="140"/>
      <c r="GDN239" s="140"/>
      <c r="GDO239" s="140"/>
      <c r="GDP239" s="140"/>
      <c r="GDQ239" s="140"/>
      <c r="GDR239" s="140"/>
      <c r="GDS239" s="140"/>
      <c r="GDT239" s="140"/>
      <c r="GDU239" s="140"/>
      <c r="GDV239" s="140"/>
      <c r="GDW239" s="140"/>
      <c r="GDX239" s="140"/>
      <c r="GDY239" s="140"/>
      <c r="GDZ239" s="140"/>
      <c r="GEA239" s="140"/>
      <c r="GEB239" s="140"/>
      <c r="GEC239" s="140"/>
      <c r="GED239" s="140"/>
      <c r="GEE239" s="140"/>
      <c r="GEF239" s="140"/>
      <c r="GEG239" s="140"/>
      <c r="GEH239" s="140"/>
      <c r="GEI239" s="140"/>
      <c r="GEJ239" s="140"/>
      <c r="GEK239" s="140"/>
      <c r="GEL239" s="140"/>
      <c r="GEM239" s="140"/>
      <c r="GEN239" s="140"/>
      <c r="GEO239" s="140"/>
      <c r="GEP239" s="140"/>
      <c r="GEQ239" s="140"/>
      <c r="GER239" s="140"/>
      <c r="GES239" s="140"/>
      <c r="GET239" s="140"/>
      <c r="GEU239" s="140"/>
      <c r="GEV239" s="140"/>
      <c r="GEW239" s="140"/>
      <c r="GEX239" s="140"/>
      <c r="GEY239" s="140"/>
      <c r="GEZ239" s="140"/>
      <c r="GFA239" s="140"/>
      <c r="GFB239" s="140"/>
      <c r="GFC239" s="140"/>
      <c r="GFD239" s="140"/>
      <c r="GFE239" s="140"/>
      <c r="GFF239" s="140"/>
      <c r="GFG239" s="140"/>
      <c r="GFH239" s="140"/>
      <c r="GFI239" s="140"/>
      <c r="GFJ239" s="140"/>
      <c r="GFK239" s="140"/>
      <c r="GFL239" s="140"/>
      <c r="GFM239" s="140"/>
      <c r="GFN239" s="140"/>
      <c r="GFO239" s="140"/>
      <c r="GFP239" s="140"/>
      <c r="GFQ239" s="140"/>
      <c r="GFR239" s="140"/>
      <c r="GFS239" s="140"/>
      <c r="GFT239" s="140"/>
      <c r="GFU239" s="140"/>
      <c r="GFV239" s="140"/>
      <c r="GFW239" s="140"/>
      <c r="GFX239" s="140"/>
      <c r="GFY239" s="140"/>
      <c r="GFZ239" s="140"/>
      <c r="GGA239" s="140"/>
      <c r="GGB239" s="140"/>
      <c r="GGC239" s="140"/>
      <c r="GGD239" s="140"/>
      <c r="GGE239" s="140"/>
      <c r="GGF239" s="140"/>
      <c r="GGG239" s="140"/>
      <c r="GGH239" s="140"/>
      <c r="GGI239" s="140"/>
      <c r="GGJ239" s="140"/>
      <c r="GGK239" s="140"/>
      <c r="GGL239" s="140"/>
      <c r="GGM239" s="140"/>
      <c r="GGN239" s="140"/>
      <c r="GGO239" s="140"/>
      <c r="GGP239" s="140"/>
      <c r="GGQ239" s="140"/>
      <c r="GGR239" s="140"/>
      <c r="GGS239" s="140"/>
      <c r="GGT239" s="140"/>
      <c r="GGU239" s="140"/>
      <c r="GGV239" s="140"/>
      <c r="GGW239" s="140"/>
      <c r="GGX239" s="140"/>
      <c r="GGY239" s="140"/>
      <c r="GGZ239" s="140"/>
      <c r="GHA239" s="140"/>
      <c r="GHB239" s="140"/>
      <c r="GHC239" s="140"/>
      <c r="GHD239" s="140"/>
      <c r="GHE239" s="140"/>
      <c r="GHF239" s="140"/>
      <c r="GHG239" s="140"/>
      <c r="GHH239" s="140"/>
      <c r="GHI239" s="140"/>
      <c r="GHJ239" s="140"/>
      <c r="GHK239" s="140"/>
      <c r="GHL239" s="140"/>
      <c r="GHM239" s="140"/>
      <c r="GHN239" s="140"/>
      <c r="GHO239" s="140"/>
      <c r="GHP239" s="140"/>
      <c r="GHQ239" s="140"/>
      <c r="GHR239" s="140"/>
      <c r="GHS239" s="140"/>
      <c r="GHT239" s="140"/>
      <c r="GHU239" s="140"/>
      <c r="GHV239" s="140"/>
      <c r="GHW239" s="140"/>
      <c r="GHX239" s="140"/>
      <c r="GHY239" s="140"/>
      <c r="GHZ239" s="140"/>
      <c r="GIA239" s="140"/>
      <c r="GIB239" s="140"/>
      <c r="GIC239" s="140"/>
      <c r="GID239" s="140"/>
      <c r="GIE239" s="140"/>
      <c r="GIF239" s="140"/>
      <c r="GIG239" s="140"/>
      <c r="GIH239" s="140"/>
      <c r="GII239" s="140"/>
      <c r="GIJ239" s="140"/>
      <c r="GIK239" s="140"/>
      <c r="GIL239" s="140"/>
      <c r="GIM239" s="140"/>
      <c r="GIN239" s="140"/>
      <c r="GIO239" s="140"/>
      <c r="GIP239" s="140"/>
      <c r="GIQ239" s="140"/>
      <c r="GIR239" s="140"/>
      <c r="GIS239" s="140"/>
      <c r="GIT239" s="140"/>
      <c r="GIU239" s="140"/>
      <c r="GIV239" s="140"/>
      <c r="GIW239" s="140"/>
      <c r="GIX239" s="140"/>
      <c r="GIY239" s="140"/>
      <c r="GIZ239" s="140"/>
      <c r="GJA239" s="140"/>
      <c r="GJB239" s="140"/>
      <c r="GJC239" s="140"/>
      <c r="GJD239" s="140"/>
      <c r="GJE239" s="140"/>
      <c r="GJF239" s="140"/>
      <c r="GJG239" s="140"/>
      <c r="GJH239" s="140"/>
      <c r="GJI239" s="140"/>
      <c r="GJJ239" s="140"/>
      <c r="GJK239" s="140"/>
      <c r="GJL239" s="140"/>
      <c r="GJM239" s="140"/>
      <c r="GJN239" s="140"/>
      <c r="GJO239" s="140"/>
      <c r="GJP239" s="140"/>
      <c r="GJQ239" s="140"/>
      <c r="GJR239" s="140"/>
      <c r="GJS239" s="140"/>
      <c r="GJT239" s="140"/>
      <c r="GJU239" s="140"/>
      <c r="GJV239" s="140"/>
      <c r="GJW239" s="140"/>
      <c r="GJX239" s="140"/>
      <c r="GJY239" s="140"/>
      <c r="GJZ239" s="140"/>
      <c r="GKA239" s="140"/>
      <c r="GKB239" s="140"/>
      <c r="GKC239" s="140"/>
      <c r="GKD239" s="140"/>
      <c r="GKE239" s="140"/>
      <c r="GKF239" s="140"/>
      <c r="GKG239" s="140"/>
      <c r="GKH239" s="140"/>
      <c r="GKI239" s="140"/>
      <c r="GKJ239" s="140"/>
      <c r="GKK239" s="140"/>
      <c r="GKL239" s="140"/>
      <c r="GKM239" s="140"/>
      <c r="GKN239" s="140"/>
      <c r="GKO239" s="140"/>
      <c r="GKP239" s="140"/>
      <c r="GKQ239" s="140"/>
      <c r="GKR239" s="140"/>
      <c r="GKS239" s="140"/>
      <c r="GKT239" s="140"/>
      <c r="GKU239" s="140"/>
      <c r="GKV239" s="140"/>
      <c r="GKW239" s="140"/>
      <c r="GKX239" s="140"/>
      <c r="GKY239" s="140"/>
      <c r="GKZ239" s="140"/>
      <c r="GLA239" s="140"/>
      <c r="GLB239" s="140"/>
      <c r="GLC239" s="140"/>
      <c r="GLD239" s="140"/>
      <c r="GLE239" s="140"/>
      <c r="GLF239" s="140"/>
      <c r="GLG239" s="140"/>
      <c r="GLH239" s="140"/>
      <c r="GLI239" s="140"/>
      <c r="GLJ239" s="140"/>
      <c r="GLK239" s="140"/>
      <c r="GLL239" s="140"/>
      <c r="GLM239" s="140"/>
      <c r="GLN239" s="140"/>
      <c r="GLO239" s="140"/>
      <c r="GLP239" s="140"/>
      <c r="GLQ239" s="140"/>
      <c r="GLR239" s="140"/>
      <c r="GLS239" s="140"/>
      <c r="GLT239" s="140"/>
      <c r="GLU239" s="140"/>
      <c r="GLV239" s="140"/>
      <c r="GLW239" s="140"/>
      <c r="GLX239" s="140"/>
      <c r="GLY239" s="140"/>
      <c r="GLZ239" s="140"/>
      <c r="GMA239" s="140"/>
      <c r="GMB239" s="140"/>
      <c r="GMC239" s="140"/>
      <c r="GMD239" s="140"/>
      <c r="GME239" s="140"/>
      <c r="GMF239" s="140"/>
      <c r="GMG239" s="140"/>
      <c r="GMH239" s="140"/>
      <c r="GMI239" s="140"/>
      <c r="GMJ239" s="140"/>
      <c r="GMK239" s="140"/>
      <c r="GML239" s="140"/>
      <c r="GMM239" s="140"/>
      <c r="GMN239" s="140"/>
      <c r="GMO239" s="140"/>
      <c r="GMP239" s="140"/>
      <c r="GMQ239" s="140"/>
      <c r="GMR239" s="140"/>
      <c r="GMS239" s="140"/>
      <c r="GMT239" s="140"/>
      <c r="GMU239" s="140"/>
      <c r="GMV239" s="140"/>
      <c r="GMW239" s="140"/>
      <c r="GMX239" s="140"/>
      <c r="GMY239" s="140"/>
      <c r="GMZ239" s="140"/>
      <c r="GNA239" s="140"/>
      <c r="GNB239" s="140"/>
      <c r="GNC239" s="140"/>
      <c r="GND239" s="140"/>
      <c r="GNE239" s="140"/>
      <c r="GNF239" s="140"/>
      <c r="GNG239" s="140"/>
      <c r="GNH239" s="140"/>
      <c r="GNI239" s="140"/>
      <c r="GNJ239" s="140"/>
      <c r="GNK239" s="140"/>
      <c r="GNL239" s="140"/>
      <c r="GNM239" s="140"/>
      <c r="GNN239" s="140"/>
      <c r="GNO239" s="140"/>
      <c r="GNP239" s="140"/>
      <c r="GNQ239" s="140"/>
      <c r="GNR239" s="140"/>
      <c r="GNS239" s="140"/>
      <c r="GNT239" s="140"/>
      <c r="GNU239" s="140"/>
      <c r="GNV239" s="140"/>
      <c r="GNW239" s="140"/>
      <c r="GNX239" s="140"/>
      <c r="GNY239" s="140"/>
      <c r="GNZ239" s="140"/>
      <c r="GOA239" s="140"/>
      <c r="GOB239" s="140"/>
      <c r="GOC239" s="140"/>
      <c r="GOD239" s="140"/>
      <c r="GOE239" s="140"/>
      <c r="GOF239" s="140"/>
      <c r="GOG239" s="140"/>
      <c r="GOH239" s="140"/>
      <c r="GOI239" s="140"/>
      <c r="GOJ239" s="140"/>
      <c r="GOK239" s="140"/>
      <c r="GOL239" s="140"/>
      <c r="GOM239" s="140"/>
      <c r="GON239" s="140"/>
      <c r="GOO239" s="140"/>
      <c r="GOP239" s="140"/>
      <c r="GOQ239" s="140"/>
      <c r="GOR239" s="140"/>
      <c r="GOS239" s="140"/>
      <c r="GOT239" s="140"/>
      <c r="GOU239" s="140"/>
      <c r="GOV239" s="140"/>
      <c r="GOW239" s="140"/>
      <c r="GOX239" s="140"/>
      <c r="GOY239" s="140"/>
      <c r="GOZ239" s="140"/>
      <c r="GPA239" s="140"/>
      <c r="GPB239" s="140"/>
      <c r="GPC239" s="140"/>
      <c r="GPD239" s="140"/>
      <c r="GPE239" s="140"/>
      <c r="GPF239" s="140"/>
      <c r="GPG239" s="140"/>
      <c r="GPH239" s="140"/>
      <c r="GPI239" s="140"/>
      <c r="GPJ239" s="140"/>
      <c r="GPK239" s="140"/>
      <c r="GPL239" s="140"/>
      <c r="GPM239" s="140"/>
      <c r="GPN239" s="140"/>
      <c r="GPO239" s="140"/>
      <c r="GPP239" s="140"/>
      <c r="GPQ239" s="140"/>
      <c r="GPR239" s="140"/>
      <c r="GPS239" s="140"/>
      <c r="GPT239" s="140"/>
      <c r="GPU239" s="140"/>
      <c r="GPV239" s="140"/>
      <c r="GPW239" s="140"/>
      <c r="GPX239" s="140"/>
      <c r="GPY239" s="140"/>
      <c r="GPZ239" s="140"/>
      <c r="GQA239" s="140"/>
      <c r="GQB239" s="140"/>
      <c r="GQC239" s="140"/>
      <c r="GQD239" s="140"/>
      <c r="GQE239" s="140"/>
      <c r="GQF239" s="140"/>
      <c r="GQG239" s="140"/>
      <c r="GQH239" s="140"/>
      <c r="GQI239" s="140"/>
      <c r="GQJ239" s="140"/>
      <c r="GQK239" s="140"/>
      <c r="GQL239" s="140"/>
      <c r="GQM239" s="140"/>
      <c r="GQN239" s="140"/>
      <c r="GQO239" s="140"/>
      <c r="GQP239" s="140"/>
      <c r="GQQ239" s="140"/>
      <c r="GQR239" s="140"/>
      <c r="GQS239" s="140"/>
      <c r="GQT239" s="140"/>
      <c r="GQU239" s="140"/>
      <c r="GQV239" s="140"/>
      <c r="GQW239" s="140"/>
      <c r="GQX239" s="140"/>
      <c r="GQY239" s="140"/>
      <c r="GQZ239" s="140"/>
      <c r="GRA239" s="140"/>
      <c r="GRB239" s="140"/>
      <c r="GRC239" s="140"/>
      <c r="GRD239" s="140"/>
      <c r="GRE239" s="140"/>
      <c r="GRF239" s="140"/>
      <c r="GRG239" s="140"/>
      <c r="GRH239" s="140"/>
      <c r="GRI239" s="140"/>
      <c r="GRJ239" s="140"/>
      <c r="GRK239" s="140"/>
      <c r="GRL239" s="140"/>
      <c r="GRM239" s="140"/>
      <c r="GRN239" s="140"/>
      <c r="GRO239" s="140"/>
      <c r="GRP239" s="140"/>
      <c r="GRQ239" s="140"/>
      <c r="GRR239" s="140"/>
      <c r="GRS239" s="140"/>
      <c r="GRT239" s="140"/>
      <c r="GRU239" s="140"/>
      <c r="GRV239" s="140"/>
      <c r="GRW239" s="140"/>
      <c r="GRX239" s="140"/>
      <c r="GRY239" s="140"/>
      <c r="GRZ239" s="140"/>
      <c r="GSA239" s="140"/>
      <c r="GSB239" s="140"/>
      <c r="GSC239" s="140"/>
      <c r="GSD239" s="140"/>
      <c r="GSE239" s="140"/>
      <c r="GSF239" s="140"/>
      <c r="GSG239" s="140"/>
      <c r="GSH239" s="140"/>
      <c r="GSI239" s="140"/>
      <c r="GSJ239" s="140"/>
      <c r="GSK239" s="140"/>
      <c r="GSL239" s="140"/>
      <c r="GSM239" s="140"/>
      <c r="GSN239" s="140"/>
      <c r="GSO239" s="140"/>
      <c r="GSP239" s="140"/>
      <c r="GSQ239" s="140"/>
      <c r="GSR239" s="140"/>
      <c r="GSS239" s="140"/>
      <c r="GST239" s="140"/>
      <c r="GSU239" s="140"/>
      <c r="GSV239" s="140"/>
      <c r="GSW239" s="140"/>
      <c r="GSX239" s="140"/>
      <c r="GSY239" s="140"/>
      <c r="GSZ239" s="140"/>
      <c r="GTA239" s="140"/>
      <c r="GTB239" s="140"/>
      <c r="GTC239" s="140"/>
      <c r="GTD239" s="140"/>
      <c r="GTE239" s="140"/>
      <c r="GTF239" s="140"/>
      <c r="GTG239" s="140"/>
      <c r="GTH239" s="140"/>
      <c r="GTI239" s="140"/>
      <c r="GTJ239" s="140"/>
      <c r="GTK239" s="140"/>
      <c r="GTL239" s="140"/>
      <c r="GTM239" s="140"/>
      <c r="GTN239" s="140"/>
      <c r="GTO239" s="140"/>
      <c r="GTP239" s="140"/>
      <c r="GTQ239" s="140"/>
      <c r="GTR239" s="140"/>
      <c r="GTS239" s="140"/>
      <c r="GTT239" s="140"/>
      <c r="GTU239" s="140"/>
      <c r="GTV239" s="140"/>
      <c r="GTW239" s="140"/>
      <c r="GTX239" s="140"/>
      <c r="GTY239" s="140"/>
      <c r="GTZ239" s="140"/>
      <c r="GUA239" s="140"/>
      <c r="GUB239" s="140"/>
      <c r="GUC239" s="140"/>
      <c r="GUD239" s="140"/>
      <c r="GUE239" s="140"/>
      <c r="GUF239" s="140"/>
      <c r="GUG239" s="140"/>
      <c r="GUH239" s="140"/>
      <c r="GUI239" s="140"/>
      <c r="GUJ239" s="140"/>
      <c r="GUK239" s="140"/>
      <c r="GUL239" s="140"/>
      <c r="GUM239" s="140"/>
      <c r="GUN239" s="140"/>
      <c r="GUO239" s="140"/>
      <c r="GUP239" s="140"/>
      <c r="GUQ239" s="140"/>
      <c r="GUR239" s="140"/>
      <c r="GUS239" s="140"/>
      <c r="GUT239" s="140"/>
      <c r="GUU239" s="140"/>
      <c r="GUV239" s="140"/>
      <c r="GUW239" s="140"/>
      <c r="GUX239" s="140"/>
      <c r="GUY239" s="140"/>
      <c r="GUZ239" s="140"/>
      <c r="GVA239" s="140"/>
      <c r="GVB239" s="140"/>
      <c r="GVC239" s="140"/>
      <c r="GVD239" s="140"/>
      <c r="GVE239" s="140"/>
      <c r="GVF239" s="140"/>
      <c r="GVG239" s="140"/>
      <c r="GVH239" s="140"/>
      <c r="GVI239" s="140"/>
      <c r="GVJ239" s="140"/>
      <c r="GVK239" s="140"/>
      <c r="GVL239" s="140"/>
      <c r="GVM239" s="140"/>
      <c r="GVN239" s="140"/>
      <c r="GVO239" s="140"/>
      <c r="GVP239" s="140"/>
      <c r="GVQ239" s="140"/>
      <c r="GVR239" s="140"/>
      <c r="GVS239" s="140"/>
      <c r="GVT239" s="140"/>
      <c r="GVU239" s="140"/>
      <c r="GVV239" s="140"/>
      <c r="GVW239" s="140"/>
      <c r="GVX239" s="140"/>
      <c r="GVY239" s="140"/>
      <c r="GVZ239" s="140"/>
      <c r="GWA239" s="140"/>
      <c r="GWB239" s="140"/>
      <c r="GWC239" s="140"/>
      <c r="GWD239" s="140"/>
      <c r="GWE239" s="140"/>
      <c r="GWF239" s="140"/>
      <c r="GWG239" s="140"/>
      <c r="GWH239" s="140"/>
      <c r="GWI239" s="140"/>
      <c r="GWJ239" s="140"/>
      <c r="GWK239" s="140"/>
      <c r="GWL239" s="140"/>
      <c r="GWM239" s="140"/>
      <c r="GWN239" s="140"/>
      <c r="GWO239" s="140"/>
      <c r="GWP239" s="140"/>
      <c r="GWQ239" s="140"/>
      <c r="GWR239" s="140"/>
      <c r="GWS239" s="140"/>
      <c r="GWT239" s="140"/>
      <c r="GWU239" s="140"/>
      <c r="GWV239" s="140"/>
      <c r="GWW239" s="140"/>
      <c r="GWX239" s="140"/>
      <c r="GWY239" s="140"/>
      <c r="GWZ239" s="140"/>
      <c r="GXA239" s="140"/>
      <c r="GXB239" s="140"/>
      <c r="GXC239" s="140"/>
      <c r="GXD239" s="140"/>
      <c r="GXE239" s="140"/>
      <c r="GXF239" s="140"/>
      <c r="GXG239" s="140"/>
      <c r="GXH239" s="140"/>
      <c r="GXI239" s="140"/>
      <c r="GXJ239" s="140"/>
      <c r="GXK239" s="140"/>
      <c r="GXL239" s="140"/>
      <c r="GXM239" s="140"/>
      <c r="GXN239" s="140"/>
      <c r="GXO239" s="140"/>
      <c r="GXP239" s="140"/>
      <c r="GXQ239" s="140"/>
      <c r="GXR239" s="140"/>
      <c r="GXS239" s="140"/>
      <c r="GXT239" s="140"/>
      <c r="GXU239" s="140"/>
      <c r="GXV239" s="140"/>
      <c r="GXW239" s="140"/>
      <c r="GXX239" s="140"/>
      <c r="GXY239" s="140"/>
      <c r="GXZ239" s="140"/>
      <c r="GYA239" s="140"/>
      <c r="GYB239" s="140"/>
      <c r="GYC239" s="140"/>
      <c r="GYD239" s="140"/>
      <c r="GYE239" s="140"/>
      <c r="GYF239" s="140"/>
      <c r="GYG239" s="140"/>
      <c r="GYH239" s="140"/>
      <c r="GYI239" s="140"/>
      <c r="GYJ239" s="140"/>
      <c r="GYK239" s="140"/>
      <c r="GYL239" s="140"/>
      <c r="GYM239" s="140"/>
      <c r="GYN239" s="140"/>
      <c r="GYO239" s="140"/>
      <c r="GYP239" s="140"/>
      <c r="GYQ239" s="140"/>
      <c r="GYR239" s="140"/>
      <c r="GYS239" s="140"/>
      <c r="GYT239" s="140"/>
      <c r="GYU239" s="140"/>
      <c r="GYV239" s="140"/>
      <c r="GYW239" s="140"/>
      <c r="GYX239" s="140"/>
      <c r="GYY239" s="140"/>
      <c r="GYZ239" s="140"/>
      <c r="GZA239" s="140"/>
      <c r="GZB239" s="140"/>
      <c r="GZC239" s="140"/>
      <c r="GZD239" s="140"/>
      <c r="GZE239" s="140"/>
      <c r="GZF239" s="140"/>
      <c r="GZG239" s="140"/>
      <c r="GZH239" s="140"/>
      <c r="GZI239" s="140"/>
      <c r="GZJ239" s="140"/>
      <c r="GZK239" s="140"/>
      <c r="GZL239" s="140"/>
      <c r="GZM239" s="140"/>
      <c r="GZN239" s="140"/>
      <c r="GZO239" s="140"/>
      <c r="GZP239" s="140"/>
      <c r="GZQ239" s="140"/>
      <c r="GZR239" s="140"/>
      <c r="GZS239" s="140"/>
      <c r="GZT239" s="140"/>
      <c r="GZU239" s="140"/>
      <c r="GZV239" s="140"/>
      <c r="GZW239" s="140"/>
      <c r="GZX239" s="140"/>
      <c r="GZY239" s="140"/>
      <c r="GZZ239" s="140"/>
      <c r="HAA239" s="140"/>
      <c r="HAB239" s="140"/>
      <c r="HAC239" s="140"/>
      <c r="HAD239" s="140"/>
      <c r="HAE239" s="140"/>
      <c r="HAF239" s="140"/>
      <c r="HAG239" s="140"/>
      <c r="HAH239" s="140"/>
      <c r="HAI239" s="140"/>
      <c r="HAJ239" s="140"/>
      <c r="HAK239" s="140"/>
      <c r="HAL239" s="140"/>
      <c r="HAM239" s="140"/>
      <c r="HAN239" s="140"/>
      <c r="HAO239" s="140"/>
      <c r="HAP239" s="140"/>
      <c r="HAQ239" s="140"/>
      <c r="HAR239" s="140"/>
      <c r="HAS239" s="140"/>
      <c r="HAT239" s="140"/>
      <c r="HAU239" s="140"/>
      <c r="HAV239" s="140"/>
      <c r="HAW239" s="140"/>
      <c r="HAX239" s="140"/>
      <c r="HAY239" s="140"/>
      <c r="HAZ239" s="140"/>
      <c r="HBA239" s="140"/>
      <c r="HBB239" s="140"/>
      <c r="HBC239" s="140"/>
      <c r="HBD239" s="140"/>
      <c r="HBE239" s="140"/>
      <c r="HBF239" s="140"/>
      <c r="HBG239" s="140"/>
      <c r="HBH239" s="140"/>
      <c r="HBI239" s="140"/>
      <c r="HBJ239" s="140"/>
      <c r="HBK239" s="140"/>
      <c r="HBL239" s="140"/>
      <c r="HBM239" s="140"/>
      <c r="HBN239" s="140"/>
      <c r="HBO239" s="140"/>
      <c r="HBP239" s="140"/>
      <c r="HBQ239" s="140"/>
      <c r="HBR239" s="140"/>
      <c r="HBS239" s="140"/>
      <c r="HBT239" s="140"/>
      <c r="HBU239" s="140"/>
      <c r="HBV239" s="140"/>
      <c r="HBW239" s="140"/>
      <c r="HBX239" s="140"/>
      <c r="HBY239" s="140"/>
      <c r="HBZ239" s="140"/>
      <c r="HCA239" s="140"/>
      <c r="HCB239" s="140"/>
      <c r="HCC239" s="140"/>
      <c r="HCD239" s="140"/>
      <c r="HCE239" s="140"/>
      <c r="HCF239" s="140"/>
      <c r="HCG239" s="140"/>
      <c r="HCH239" s="140"/>
      <c r="HCI239" s="140"/>
      <c r="HCJ239" s="140"/>
      <c r="HCK239" s="140"/>
      <c r="HCL239" s="140"/>
      <c r="HCM239" s="140"/>
      <c r="HCN239" s="140"/>
      <c r="HCO239" s="140"/>
      <c r="HCP239" s="140"/>
      <c r="HCQ239" s="140"/>
      <c r="HCR239" s="140"/>
      <c r="HCS239" s="140"/>
      <c r="HCT239" s="140"/>
      <c r="HCU239" s="140"/>
      <c r="HCV239" s="140"/>
      <c r="HCW239" s="140"/>
      <c r="HCX239" s="140"/>
      <c r="HCY239" s="140"/>
      <c r="HCZ239" s="140"/>
      <c r="HDA239" s="140"/>
      <c r="HDB239" s="140"/>
      <c r="HDC239" s="140"/>
      <c r="HDD239" s="140"/>
      <c r="HDE239" s="140"/>
      <c r="HDF239" s="140"/>
      <c r="HDG239" s="140"/>
      <c r="HDH239" s="140"/>
      <c r="HDI239" s="140"/>
      <c r="HDJ239" s="140"/>
      <c r="HDK239" s="140"/>
      <c r="HDL239" s="140"/>
      <c r="HDM239" s="140"/>
      <c r="HDN239" s="140"/>
      <c r="HDO239" s="140"/>
      <c r="HDP239" s="140"/>
      <c r="HDQ239" s="140"/>
      <c r="HDR239" s="140"/>
      <c r="HDS239" s="140"/>
      <c r="HDT239" s="140"/>
      <c r="HDU239" s="140"/>
      <c r="HDV239" s="140"/>
      <c r="HDW239" s="140"/>
      <c r="HDX239" s="140"/>
      <c r="HDY239" s="140"/>
      <c r="HDZ239" s="140"/>
      <c r="HEA239" s="140"/>
      <c r="HEB239" s="140"/>
      <c r="HEC239" s="140"/>
      <c r="HED239" s="140"/>
      <c r="HEE239" s="140"/>
      <c r="HEF239" s="140"/>
      <c r="HEG239" s="140"/>
      <c r="HEH239" s="140"/>
      <c r="HEI239" s="140"/>
      <c r="HEJ239" s="140"/>
      <c r="HEK239" s="140"/>
      <c r="HEL239" s="140"/>
      <c r="HEM239" s="140"/>
      <c r="HEN239" s="140"/>
      <c r="HEO239" s="140"/>
      <c r="HEP239" s="140"/>
      <c r="HEQ239" s="140"/>
      <c r="HER239" s="140"/>
      <c r="HES239" s="140"/>
      <c r="HET239" s="140"/>
      <c r="HEU239" s="140"/>
      <c r="HEV239" s="140"/>
      <c r="HEW239" s="140"/>
      <c r="HEX239" s="140"/>
      <c r="HEY239" s="140"/>
      <c r="HEZ239" s="140"/>
      <c r="HFA239" s="140"/>
      <c r="HFB239" s="140"/>
      <c r="HFC239" s="140"/>
      <c r="HFD239" s="140"/>
      <c r="HFE239" s="140"/>
      <c r="HFF239" s="140"/>
      <c r="HFG239" s="140"/>
      <c r="HFH239" s="140"/>
      <c r="HFI239" s="140"/>
      <c r="HFJ239" s="140"/>
      <c r="HFK239" s="140"/>
      <c r="HFL239" s="140"/>
      <c r="HFM239" s="140"/>
      <c r="HFN239" s="140"/>
      <c r="HFO239" s="140"/>
      <c r="HFP239" s="140"/>
      <c r="HFQ239" s="140"/>
      <c r="HFR239" s="140"/>
      <c r="HFS239" s="140"/>
      <c r="HFT239" s="140"/>
      <c r="HFU239" s="140"/>
      <c r="HFV239" s="140"/>
      <c r="HFW239" s="140"/>
      <c r="HFX239" s="140"/>
      <c r="HFY239" s="140"/>
      <c r="HFZ239" s="140"/>
      <c r="HGA239" s="140"/>
      <c r="HGB239" s="140"/>
      <c r="HGC239" s="140"/>
      <c r="HGD239" s="140"/>
      <c r="HGE239" s="140"/>
      <c r="HGF239" s="140"/>
      <c r="HGG239" s="140"/>
      <c r="HGH239" s="140"/>
      <c r="HGI239" s="140"/>
      <c r="HGJ239" s="140"/>
      <c r="HGK239" s="140"/>
      <c r="HGL239" s="140"/>
      <c r="HGM239" s="140"/>
      <c r="HGN239" s="140"/>
      <c r="HGO239" s="140"/>
      <c r="HGP239" s="140"/>
      <c r="HGQ239" s="140"/>
      <c r="HGR239" s="140"/>
      <c r="HGS239" s="140"/>
      <c r="HGT239" s="140"/>
      <c r="HGU239" s="140"/>
      <c r="HGV239" s="140"/>
      <c r="HGW239" s="140"/>
      <c r="HGX239" s="140"/>
      <c r="HGY239" s="140"/>
      <c r="HGZ239" s="140"/>
      <c r="HHA239" s="140"/>
      <c r="HHB239" s="140"/>
      <c r="HHC239" s="140"/>
      <c r="HHD239" s="140"/>
      <c r="HHE239" s="140"/>
      <c r="HHF239" s="140"/>
      <c r="HHG239" s="140"/>
      <c r="HHH239" s="140"/>
      <c r="HHI239" s="140"/>
      <c r="HHJ239" s="140"/>
      <c r="HHK239" s="140"/>
      <c r="HHL239" s="140"/>
      <c r="HHM239" s="140"/>
      <c r="HHN239" s="140"/>
      <c r="HHO239" s="140"/>
      <c r="HHP239" s="140"/>
      <c r="HHQ239" s="140"/>
      <c r="HHR239" s="140"/>
      <c r="HHS239" s="140"/>
      <c r="HHT239" s="140"/>
      <c r="HHU239" s="140"/>
      <c r="HHV239" s="140"/>
      <c r="HHW239" s="140"/>
      <c r="HHX239" s="140"/>
      <c r="HHY239" s="140"/>
      <c r="HHZ239" s="140"/>
      <c r="HIA239" s="140"/>
      <c r="HIB239" s="140"/>
      <c r="HIC239" s="140"/>
      <c r="HID239" s="140"/>
      <c r="HIE239" s="140"/>
      <c r="HIF239" s="140"/>
      <c r="HIG239" s="140"/>
      <c r="HIH239" s="140"/>
      <c r="HII239" s="140"/>
      <c r="HIJ239" s="140"/>
      <c r="HIK239" s="140"/>
      <c r="HIL239" s="140"/>
      <c r="HIM239" s="140"/>
      <c r="HIN239" s="140"/>
      <c r="HIO239" s="140"/>
      <c r="HIP239" s="140"/>
      <c r="HIQ239" s="140"/>
      <c r="HIR239" s="140"/>
      <c r="HIS239" s="140"/>
      <c r="HIT239" s="140"/>
      <c r="HIU239" s="140"/>
      <c r="HIV239" s="140"/>
      <c r="HIW239" s="140"/>
      <c r="HIX239" s="140"/>
      <c r="HIY239" s="140"/>
      <c r="HIZ239" s="140"/>
      <c r="HJA239" s="140"/>
      <c r="HJB239" s="140"/>
      <c r="HJC239" s="140"/>
      <c r="HJD239" s="140"/>
      <c r="HJE239" s="140"/>
      <c r="HJF239" s="140"/>
      <c r="HJG239" s="140"/>
      <c r="HJH239" s="140"/>
      <c r="HJI239" s="140"/>
      <c r="HJJ239" s="140"/>
      <c r="HJK239" s="140"/>
      <c r="HJL239" s="140"/>
      <c r="HJM239" s="140"/>
      <c r="HJN239" s="140"/>
      <c r="HJO239" s="140"/>
      <c r="HJP239" s="140"/>
      <c r="HJQ239" s="140"/>
      <c r="HJR239" s="140"/>
      <c r="HJS239" s="140"/>
      <c r="HJT239" s="140"/>
      <c r="HJU239" s="140"/>
      <c r="HJV239" s="140"/>
      <c r="HJW239" s="140"/>
      <c r="HJX239" s="140"/>
      <c r="HJY239" s="140"/>
      <c r="HJZ239" s="140"/>
      <c r="HKA239" s="140"/>
      <c r="HKB239" s="140"/>
      <c r="HKC239" s="140"/>
      <c r="HKD239" s="140"/>
      <c r="HKE239" s="140"/>
      <c r="HKF239" s="140"/>
      <c r="HKG239" s="140"/>
      <c r="HKH239" s="140"/>
      <c r="HKI239" s="140"/>
      <c r="HKJ239" s="140"/>
      <c r="HKK239" s="140"/>
      <c r="HKL239" s="140"/>
      <c r="HKM239" s="140"/>
      <c r="HKN239" s="140"/>
      <c r="HKO239" s="140"/>
      <c r="HKP239" s="140"/>
      <c r="HKQ239" s="140"/>
      <c r="HKR239" s="140"/>
      <c r="HKS239" s="140"/>
      <c r="HKT239" s="140"/>
      <c r="HKU239" s="140"/>
      <c r="HKV239" s="140"/>
      <c r="HKW239" s="140"/>
      <c r="HKX239" s="140"/>
      <c r="HKY239" s="140"/>
      <c r="HKZ239" s="140"/>
      <c r="HLA239" s="140"/>
      <c r="HLB239" s="140"/>
      <c r="HLC239" s="140"/>
      <c r="HLD239" s="140"/>
      <c r="HLE239" s="140"/>
      <c r="HLF239" s="140"/>
      <c r="HLG239" s="140"/>
      <c r="HLH239" s="140"/>
      <c r="HLI239" s="140"/>
      <c r="HLJ239" s="140"/>
      <c r="HLK239" s="140"/>
      <c r="HLL239" s="140"/>
      <c r="HLM239" s="140"/>
      <c r="HLN239" s="140"/>
      <c r="HLO239" s="140"/>
      <c r="HLP239" s="140"/>
      <c r="HLQ239" s="140"/>
      <c r="HLR239" s="140"/>
      <c r="HLS239" s="140"/>
      <c r="HLT239" s="140"/>
      <c r="HLU239" s="140"/>
      <c r="HLV239" s="140"/>
      <c r="HLW239" s="140"/>
      <c r="HLX239" s="140"/>
      <c r="HLY239" s="140"/>
      <c r="HLZ239" s="140"/>
      <c r="HMA239" s="140"/>
      <c r="HMB239" s="140"/>
      <c r="HMC239" s="140"/>
      <c r="HMD239" s="140"/>
      <c r="HME239" s="140"/>
      <c r="HMF239" s="140"/>
      <c r="HMG239" s="140"/>
      <c r="HMH239" s="140"/>
      <c r="HMI239" s="140"/>
      <c r="HMJ239" s="140"/>
      <c r="HMK239" s="140"/>
      <c r="HML239" s="140"/>
      <c r="HMM239" s="140"/>
      <c r="HMN239" s="140"/>
      <c r="HMO239" s="140"/>
      <c r="HMP239" s="140"/>
      <c r="HMQ239" s="140"/>
      <c r="HMR239" s="140"/>
      <c r="HMS239" s="140"/>
      <c r="HMT239" s="140"/>
      <c r="HMU239" s="140"/>
      <c r="HMV239" s="140"/>
      <c r="HMW239" s="140"/>
      <c r="HMX239" s="140"/>
      <c r="HMY239" s="140"/>
      <c r="HMZ239" s="140"/>
      <c r="HNA239" s="140"/>
      <c r="HNB239" s="140"/>
      <c r="HNC239" s="140"/>
      <c r="HND239" s="140"/>
      <c r="HNE239" s="140"/>
      <c r="HNF239" s="140"/>
      <c r="HNG239" s="140"/>
      <c r="HNH239" s="140"/>
      <c r="HNI239" s="140"/>
      <c r="HNJ239" s="140"/>
      <c r="HNK239" s="140"/>
      <c r="HNL239" s="140"/>
      <c r="HNM239" s="140"/>
      <c r="HNN239" s="140"/>
      <c r="HNO239" s="140"/>
      <c r="HNP239" s="140"/>
      <c r="HNQ239" s="140"/>
      <c r="HNR239" s="140"/>
      <c r="HNS239" s="140"/>
      <c r="HNT239" s="140"/>
      <c r="HNU239" s="140"/>
      <c r="HNV239" s="140"/>
      <c r="HNW239" s="140"/>
      <c r="HNX239" s="140"/>
      <c r="HNY239" s="140"/>
      <c r="HNZ239" s="140"/>
      <c r="HOA239" s="140"/>
      <c r="HOB239" s="140"/>
      <c r="HOC239" s="140"/>
      <c r="HOD239" s="140"/>
      <c r="HOE239" s="140"/>
      <c r="HOF239" s="140"/>
      <c r="HOG239" s="140"/>
      <c r="HOH239" s="140"/>
      <c r="HOI239" s="140"/>
      <c r="HOJ239" s="140"/>
      <c r="HOK239" s="140"/>
      <c r="HOL239" s="140"/>
      <c r="HOM239" s="140"/>
      <c r="HON239" s="140"/>
      <c r="HOO239" s="140"/>
      <c r="HOP239" s="140"/>
      <c r="HOQ239" s="140"/>
      <c r="HOR239" s="140"/>
      <c r="HOS239" s="140"/>
      <c r="HOT239" s="140"/>
      <c r="HOU239" s="140"/>
      <c r="HOV239" s="140"/>
      <c r="HOW239" s="140"/>
      <c r="HOX239" s="140"/>
      <c r="HOY239" s="140"/>
      <c r="HOZ239" s="140"/>
      <c r="HPA239" s="140"/>
      <c r="HPB239" s="140"/>
      <c r="HPC239" s="140"/>
      <c r="HPD239" s="140"/>
      <c r="HPE239" s="140"/>
      <c r="HPF239" s="140"/>
      <c r="HPG239" s="140"/>
      <c r="HPH239" s="140"/>
      <c r="HPI239" s="140"/>
      <c r="HPJ239" s="140"/>
      <c r="HPK239" s="140"/>
      <c r="HPL239" s="140"/>
      <c r="HPM239" s="140"/>
      <c r="HPN239" s="140"/>
      <c r="HPO239" s="140"/>
      <c r="HPP239" s="140"/>
      <c r="HPQ239" s="140"/>
      <c r="HPR239" s="140"/>
      <c r="HPS239" s="140"/>
      <c r="HPT239" s="140"/>
      <c r="HPU239" s="140"/>
      <c r="HPV239" s="140"/>
      <c r="HPW239" s="140"/>
      <c r="HPX239" s="140"/>
      <c r="HPY239" s="140"/>
      <c r="HPZ239" s="140"/>
      <c r="HQA239" s="140"/>
      <c r="HQB239" s="140"/>
      <c r="HQC239" s="140"/>
      <c r="HQD239" s="140"/>
      <c r="HQE239" s="140"/>
      <c r="HQF239" s="140"/>
      <c r="HQG239" s="140"/>
      <c r="HQH239" s="140"/>
      <c r="HQI239" s="140"/>
      <c r="HQJ239" s="140"/>
      <c r="HQK239" s="140"/>
      <c r="HQL239" s="140"/>
      <c r="HQM239" s="140"/>
      <c r="HQN239" s="140"/>
      <c r="HQO239" s="140"/>
      <c r="HQP239" s="140"/>
      <c r="HQQ239" s="140"/>
      <c r="HQR239" s="140"/>
      <c r="HQS239" s="140"/>
      <c r="HQT239" s="140"/>
      <c r="HQU239" s="140"/>
      <c r="HQV239" s="140"/>
      <c r="HQW239" s="140"/>
      <c r="HQX239" s="140"/>
      <c r="HQY239" s="140"/>
      <c r="HQZ239" s="140"/>
      <c r="HRA239" s="140"/>
      <c r="HRB239" s="140"/>
      <c r="HRC239" s="140"/>
      <c r="HRD239" s="140"/>
      <c r="HRE239" s="140"/>
      <c r="HRF239" s="140"/>
      <c r="HRG239" s="140"/>
      <c r="HRH239" s="140"/>
      <c r="HRI239" s="140"/>
      <c r="HRJ239" s="140"/>
      <c r="HRK239" s="140"/>
      <c r="HRL239" s="140"/>
      <c r="HRM239" s="140"/>
      <c r="HRN239" s="140"/>
      <c r="HRO239" s="140"/>
      <c r="HRP239" s="140"/>
      <c r="HRQ239" s="140"/>
      <c r="HRR239" s="140"/>
      <c r="HRS239" s="140"/>
      <c r="HRT239" s="140"/>
      <c r="HRU239" s="140"/>
      <c r="HRV239" s="140"/>
      <c r="HRW239" s="140"/>
      <c r="HRX239" s="140"/>
      <c r="HRY239" s="140"/>
      <c r="HRZ239" s="140"/>
      <c r="HSA239" s="140"/>
      <c r="HSB239" s="140"/>
      <c r="HSC239" s="140"/>
      <c r="HSD239" s="140"/>
      <c r="HSE239" s="140"/>
      <c r="HSF239" s="140"/>
      <c r="HSG239" s="140"/>
      <c r="HSH239" s="140"/>
      <c r="HSI239" s="140"/>
      <c r="HSJ239" s="140"/>
      <c r="HSK239" s="140"/>
      <c r="HSL239" s="140"/>
      <c r="HSM239" s="140"/>
      <c r="HSN239" s="140"/>
      <c r="HSO239" s="140"/>
      <c r="HSP239" s="140"/>
      <c r="HSQ239" s="140"/>
      <c r="HSR239" s="140"/>
      <c r="HSS239" s="140"/>
      <c r="HST239" s="140"/>
      <c r="HSU239" s="140"/>
      <c r="HSV239" s="140"/>
      <c r="HSW239" s="140"/>
      <c r="HSX239" s="140"/>
      <c r="HSY239" s="140"/>
      <c r="HSZ239" s="140"/>
      <c r="HTA239" s="140"/>
      <c r="HTB239" s="140"/>
      <c r="HTC239" s="140"/>
      <c r="HTD239" s="140"/>
      <c r="HTE239" s="140"/>
      <c r="HTF239" s="140"/>
      <c r="HTG239" s="140"/>
      <c r="HTH239" s="140"/>
      <c r="HTI239" s="140"/>
      <c r="HTJ239" s="140"/>
      <c r="HTK239" s="140"/>
      <c r="HTL239" s="140"/>
      <c r="HTM239" s="140"/>
      <c r="HTN239" s="140"/>
      <c r="HTO239" s="140"/>
      <c r="HTP239" s="140"/>
      <c r="HTQ239" s="140"/>
      <c r="HTR239" s="140"/>
      <c r="HTS239" s="140"/>
      <c r="HTT239" s="140"/>
      <c r="HTU239" s="140"/>
      <c r="HTV239" s="140"/>
      <c r="HTW239" s="140"/>
      <c r="HTX239" s="140"/>
      <c r="HTY239" s="140"/>
      <c r="HTZ239" s="140"/>
      <c r="HUA239" s="140"/>
      <c r="HUB239" s="140"/>
      <c r="HUC239" s="140"/>
      <c r="HUD239" s="140"/>
      <c r="HUE239" s="140"/>
      <c r="HUF239" s="140"/>
      <c r="HUG239" s="140"/>
      <c r="HUH239" s="140"/>
      <c r="HUI239" s="140"/>
      <c r="HUJ239" s="140"/>
      <c r="HUK239" s="140"/>
      <c r="HUL239" s="140"/>
      <c r="HUM239" s="140"/>
      <c r="HUN239" s="140"/>
      <c r="HUO239" s="140"/>
      <c r="HUP239" s="140"/>
      <c r="HUQ239" s="140"/>
      <c r="HUR239" s="140"/>
      <c r="HUS239" s="140"/>
      <c r="HUT239" s="140"/>
      <c r="HUU239" s="140"/>
      <c r="HUV239" s="140"/>
      <c r="HUW239" s="140"/>
      <c r="HUX239" s="140"/>
      <c r="HUY239" s="140"/>
      <c r="HUZ239" s="140"/>
      <c r="HVA239" s="140"/>
      <c r="HVB239" s="140"/>
      <c r="HVC239" s="140"/>
      <c r="HVD239" s="140"/>
      <c r="HVE239" s="140"/>
      <c r="HVF239" s="140"/>
      <c r="HVG239" s="140"/>
      <c r="HVH239" s="140"/>
      <c r="HVI239" s="140"/>
      <c r="HVJ239" s="140"/>
      <c r="HVK239" s="140"/>
      <c r="HVL239" s="140"/>
      <c r="HVM239" s="140"/>
      <c r="HVN239" s="140"/>
      <c r="HVO239" s="140"/>
      <c r="HVP239" s="140"/>
      <c r="HVQ239" s="140"/>
      <c r="HVR239" s="140"/>
      <c r="HVS239" s="140"/>
      <c r="HVT239" s="140"/>
      <c r="HVU239" s="140"/>
      <c r="HVV239" s="140"/>
      <c r="HVW239" s="140"/>
      <c r="HVX239" s="140"/>
      <c r="HVY239" s="140"/>
      <c r="HVZ239" s="140"/>
      <c r="HWA239" s="140"/>
      <c r="HWB239" s="140"/>
      <c r="HWC239" s="140"/>
      <c r="HWD239" s="140"/>
      <c r="HWE239" s="140"/>
      <c r="HWF239" s="140"/>
      <c r="HWG239" s="140"/>
      <c r="HWH239" s="140"/>
      <c r="HWI239" s="140"/>
      <c r="HWJ239" s="140"/>
      <c r="HWK239" s="140"/>
      <c r="HWL239" s="140"/>
      <c r="HWM239" s="140"/>
      <c r="HWN239" s="140"/>
      <c r="HWO239" s="140"/>
      <c r="HWP239" s="140"/>
      <c r="HWQ239" s="140"/>
      <c r="HWR239" s="140"/>
      <c r="HWS239" s="140"/>
      <c r="HWT239" s="140"/>
      <c r="HWU239" s="140"/>
      <c r="HWV239" s="140"/>
      <c r="HWW239" s="140"/>
      <c r="HWX239" s="140"/>
      <c r="HWY239" s="140"/>
      <c r="HWZ239" s="140"/>
      <c r="HXA239" s="140"/>
      <c r="HXB239" s="140"/>
      <c r="HXC239" s="140"/>
      <c r="HXD239" s="140"/>
      <c r="HXE239" s="140"/>
      <c r="HXF239" s="140"/>
      <c r="HXG239" s="140"/>
      <c r="HXH239" s="140"/>
      <c r="HXI239" s="140"/>
      <c r="HXJ239" s="140"/>
      <c r="HXK239" s="140"/>
      <c r="HXL239" s="140"/>
      <c r="HXM239" s="140"/>
      <c r="HXN239" s="140"/>
      <c r="HXO239" s="140"/>
      <c r="HXP239" s="140"/>
      <c r="HXQ239" s="140"/>
      <c r="HXR239" s="140"/>
      <c r="HXS239" s="140"/>
      <c r="HXT239" s="140"/>
      <c r="HXU239" s="140"/>
      <c r="HXV239" s="140"/>
      <c r="HXW239" s="140"/>
      <c r="HXX239" s="140"/>
      <c r="HXY239" s="140"/>
      <c r="HXZ239" s="140"/>
      <c r="HYA239" s="140"/>
      <c r="HYB239" s="140"/>
      <c r="HYC239" s="140"/>
      <c r="HYD239" s="140"/>
      <c r="HYE239" s="140"/>
      <c r="HYF239" s="140"/>
      <c r="HYG239" s="140"/>
      <c r="HYH239" s="140"/>
      <c r="HYI239" s="140"/>
      <c r="HYJ239" s="140"/>
      <c r="HYK239" s="140"/>
      <c r="HYL239" s="140"/>
      <c r="HYM239" s="140"/>
      <c r="HYN239" s="140"/>
      <c r="HYO239" s="140"/>
      <c r="HYP239" s="140"/>
      <c r="HYQ239" s="140"/>
      <c r="HYR239" s="140"/>
      <c r="HYS239" s="140"/>
      <c r="HYT239" s="140"/>
      <c r="HYU239" s="140"/>
      <c r="HYV239" s="140"/>
      <c r="HYW239" s="140"/>
      <c r="HYX239" s="140"/>
      <c r="HYY239" s="140"/>
      <c r="HYZ239" s="140"/>
      <c r="HZA239" s="140"/>
      <c r="HZB239" s="140"/>
      <c r="HZC239" s="140"/>
      <c r="HZD239" s="140"/>
      <c r="HZE239" s="140"/>
      <c r="HZF239" s="140"/>
      <c r="HZG239" s="140"/>
      <c r="HZH239" s="140"/>
      <c r="HZI239" s="140"/>
      <c r="HZJ239" s="140"/>
      <c r="HZK239" s="140"/>
      <c r="HZL239" s="140"/>
      <c r="HZM239" s="140"/>
      <c r="HZN239" s="140"/>
      <c r="HZO239" s="140"/>
      <c r="HZP239" s="140"/>
      <c r="HZQ239" s="140"/>
      <c r="HZR239" s="140"/>
      <c r="HZS239" s="140"/>
      <c r="HZT239" s="140"/>
      <c r="HZU239" s="140"/>
      <c r="HZV239" s="140"/>
      <c r="HZW239" s="140"/>
      <c r="HZX239" s="140"/>
      <c r="HZY239" s="140"/>
      <c r="HZZ239" s="140"/>
      <c r="IAA239" s="140"/>
      <c r="IAB239" s="140"/>
      <c r="IAC239" s="140"/>
      <c r="IAD239" s="140"/>
      <c r="IAE239" s="140"/>
      <c r="IAF239" s="140"/>
      <c r="IAG239" s="140"/>
      <c r="IAH239" s="140"/>
      <c r="IAI239" s="140"/>
      <c r="IAJ239" s="140"/>
      <c r="IAK239" s="140"/>
      <c r="IAL239" s="140"/>
      <c r="IAM239" s="140"/>
      <c r="IAN239" s="140"/>
      <c r="IAO239" s="140"/>
      <c r="IAP239" s="140"/>
      <c r="IAQ239" s="140"/>
      <c r="IAR239" s="140"/>
      <c r="IAS239" s="140"/>
      <c r="IAT239" s="140"/>
      <c r="IAU239" s="140"/>
      <c r="IAV239" s="140"/>
      <c r="IAW239" s="140"/>
      <c r="IAX239" s="140"/>
      <c r="IAY239" s="140"/>
      <c r="IAZ239" s="140"/>
      <c r="IBA239" s="140"/>
      <c r="IBB239" s="140"/>
      <c r="IBC239" s="140"/>
      <c r="IBD239" s="140"/>
      <c r="IBE239" s="140"/>
      <c r="IBF239" s="140"/>
      <c r="IBG239" s="140"/>
      <c r="IBH239" s="140"/>
      <c r="IBI239" s="140"/>
      <c r="IBJ239" s="140"/>
      <c r="IBK239" s="140"/>
      <c r="IBL239" s="140"/>
      <c r="IBM239" s="140"/>
      <c r="IBN239" s="140"/>
      <c r="IBO239" s="140"/>
      <c r="IBP239" s="140"/>
      <c r="IBQ239" s="140"/>
      <c r="IBR239" s="140"/>
      <c r="IBS239" s="140"/>
      <c r="IBT239" s="140"/>
      <c r="IBU239" s="140"/>
      <c r="IBV239" s="140"/>
      <c r="IBW239" s="140"/>
      <c r="IBX239" s="140"/>
      <c r="IBY239" s="140"/>
      <c r="IBZ239" s="140"/>
      <c r="ICA239" s="140"/>
      <c r="ICB239" s="140"/>
      <c r="ICC239" s="140"/>
      <c r="ICD239" s="140"/>
      <c r="ICE239" s="140"/>
      <c r="ICF239" s="140"/>
      <c r="ICG239" s="140"/>
      <c r="ICH239" s="140"/>
      <c r="ICI239" s="140"/>
      <c r="ICJ239" s="140"/>
      <c r="ICK239" s="140"/>
      <c r="ICL239" s="140"/>
      <c r="ICM239" s="140"/>
      <c r="ICN239" s="140"/>
      <c r="ICO239" s="140"/>
      <c r="ICP239" s="140"/>
      <c r="ICQ239" s="140"/>
      <c r="ICR239" s="140"/>
      <c r="ICS239" s="140"/>
      <c r="ICT239" s="140"/>
      <c r="ICU239" s="140"/>
      <c r="ICV239" s="140"/>
      <c r="ICW239" s="140"/>
      <c r="ICX239" s="140"/>
      <c r="ICY239" s="140"/>
      <c r="ICZ239" s="140"/>
      <c r="IDA239" s="140"/>
      <c r="IDB239" s="140"/>
      <c r="IDC239" s="140"/>
      <c r="IDD239" s="140"/>
      <c r="IDE239" s="140"/>
      <c r="IDF239" s="140"/>
      <c r="IDG239" s="140"/>
      <c r="IDH239" s="140"/>
      <c r="IDI239" s="140"/>
      <c r="IDJ239" s="140"/>
      <c r="IDK239" s="140"/>
      <c r="IDL239" s="140"/>
      <c r="IDM239" s="140"/>
      <c r="IDN239" s="140"/>
      <c r="IDO239" s="140"/>
      <c r="IDP239" s="140"/>
      <c r="IDQ239" s="140"/>
      <c r="IDR239" s="140"/>
      <c r="IDS239" s="140"/>
      <c r="IDT239" s="140"/>
      <c r="IDU239" s="140"/>
      <c r="IDV239" s="140"/>
      <c r="IDW239" s="140"/>
      <c r="IDX239" s="140"/>
      <c r="IDY239" s="140"/>
      <c r="IDZ239" s="140"/>
      <c r="IEA239" s="140"/>
      <c r="IEB239" s="140"/>
      <c r="IEC239" s="140"/>
      <c r="IED239" s="140"/>
      <c r="IEE239" s="140"/>
      <c r="IEF239" s="140"/>
      <c r="IEG239" s="140"/>
      <c r="IEH239" s="140"/>
      <c r="IEI239" s="140"/>
      <c r="IEJ239" s="140"/>
      <c r="IEK239" s="140"/>
      <c r="IEL239" s="140"/>
      <c r="IEM239" s="140"/>
      <c r="IEN239" s="140"/>
      <c r="IEO239" s="140"/>
      <c r="IEP239" s="140"/>
      <c r="IEQ239" s="140"/>
      <c r="IER239" s="140"/>
      <c r="IES239" s="140"/>
      <c r="IET239" s="140"/>
      <c r="IEU239" s="140"/>
      <c r="IEV239" s="140"/>
      <c r="IEW239" s="140"/>
      <c r="IEX239" s="140"/>
      <c r="IEY239" s="140"/>
      <c r="IEZ239" s="140"/>
      <c r="IFA239" s="140"/>
      <c r="IFB239" s="140"/>
      <c r="IFC239" s="140"/>
      <c r="IFD239" s="140"/>
      <c r="IFE239" s="140"/>
      <c r="IFF239" s="140"/>
      <c r="IFG239" s="140"/>
      <c r="IFH239" s="140"/>
      <c r="IFI239" s="140"/>
      <c r="IFJ239" s="140"/>
      <c r="IFK239" s="140"/>
      <c r="IFL239" s="140"/>
      <c r="IFM239" s="140"/>
      <c r="IFN239" s="140"/>
      <c r="IFO239" s="140"/>
      <c r="IFP239" s="140"/>
      <c r="IFQ239" s="140"/>
      <c r="IFR239" s="140"/>
      <c r="IFS239" s="140"/>
      <c r="IFT239" s="140"/>
      <c r="IFU239" s="140"/>
      <c r="IFV239" s="140"/>
      <c r="IFW239" s="140"/>
      <c r="IFX239" s="140"/>
      <c r="IFY239" s="140"/>
      <c r="IFZ239" s="140"/>
      <c r="IGA239" s="140"/>
      <c r="IGB239" s="140"/>
      <c r="IGC239" s="140"/>
      <c r="IGD239" s="140"/>
      <c r="IGE239" s="140"/>
      <c r="IGF239" s="140"/>
      <c r="IGG239" s="140"/>
      <c r="IGH239" s="140"/>
      <c r="IGI239" s="140"/>
      <c r="IGJ239" s="140"/>
      <c r="IGK239" s="140"/>
      <c r="IGL239" s="140"/>
      <c r="IGM239" s="140"/>
      <c r="IGN239" s="140"/>
      <c r="IGO239" s="140"/>
      <c r="IGP239" s="140"/>
      <c r="IGQ239" s="140"/>
      <c r="IGR239" s="140"/>
      <c r="IGS239" s="140"/>
      <c r="IGT239" s="140"/>
      <c r="IGU239" s="140"/>
      <c r="IGV239" s="140"/>
      <c r="IGW239" s="140"/>
      <c r="IGX239" s="140"/>
      <c r="IGY239" s="140"/>
      <c r="IGZ239" s="140"/>
      <c r="IHA239" s="140"/>
      <c r="IHB239" s="140"/>
      <c r="IHC239" s="140"/>
      <c r="IHD239" s="140"/>
      <c r="IHE239" s="140"/>
      <c r="IHF239" s="140"/>
      <c r="IHG239" s="140"/>
      <c r="IHH239" s="140"/>
      <c r="IHI239" s="140"/>
      <c r="IHJ239" s="140"/>
      <c r="IHK239" s="140"/>
      <c r="IHL239" s="140"/>
      <c r="IHM239" s="140"/>
      <c r="IHN239" s="140"/>
      <c r="IHO239" s="140"/>
      <c r="IHP239" s="140"/>
      <c r="IHQ239" s="140"/>
      <c r="IHR239" s="140"/>
      <c r="IHS239" s="140"/>
      <c r="IHT239" s="140"/>
      <c r="IHU239" s="140"/>
      <c r="IHV239" s="140"/>
      <c r="IHW239" s="140"/>
      <c r="IHX239" s="140"/>
      <c r="IHY239" s="140"/>
      <c r="IHZ239" s="140"/>
      <c r="IIA239" s="140"/>
      <c r="IIB239" s="140"/>
      <c r="IIC239" s="140"/>
      <c r="IID239" s="140"/>
      <c r="IIE239" s="140"/>
      <c r="IIF239" s="140"/>
      <c r="IIG239" s="140"/>
      <c r="IIH239" s="140"/>
      <c r="III239" s="140"/>
      <c r="IIJ239" s="140"/>
      <c r="IIK239" s="140"/>
      <c r="IIL239" s="140"/>
      <c r="IIM239" s="140"/>
      <c r="IIN239" s="140"/>
      <c r="IIO239" s="140"/>
      <c r="IIP239" s="140"/>
      <c r="IIQ239" s="140"/>
      <c r="IIR239" s="140"/>
      <c r="IIS239" s="140"/>
      <c r="IIT239" s="140"/>
      <c r="IIU239" s="140"/>
      <c r="IIV239" s="140"/>
      <c r="IIW239" s="140"/>
      <c r="IIX239" s="140"/>
      <c r="IIY239" s="140"/>
      <c r="IIZ239" s="140"/>
      <c r="IJA239" s="140"/>
      <c r="IJB239" s="140"/>
      <c r="IJC239" s="140"/>
      <c r="IJD239" s="140"/>
      <c r="IJE239" s="140"/>
      <c r="IJF239" s="140"/>
      <c r="IJG239" s="140"/>
      <c r="IJH239" s="140"/>
      <c r="IJI239" s="140"/>
      <c r="IJJ239" s="140"/>
      <c r="IJK239" s="140"/>
      <c r="IJL239" s="140"/>
      <c r="IJM239" s="140"/>
      <c r="IJN239" s="140"/>
      <c r="IJO239" s="140"/>
      <c r="IJP239" s="140"/>
      <c r="IJQ239" s="140"/>
      <c r="IJR239" s="140"/>
      <c r="IJS239" s="140"/>
      <c r="IJT239" s="140"/>
      <c r="IJU239" s="140"/>
      <c r="IJV239" s="140"/>
      <c r="IJW239" s="140"/>
      <c r="IJX239" s="140"/>
      <c r="IJY239" s="140"/>
      <c r="IJZ239" s="140"/>
      <c r="IKA239" s="140"/>
      <c r="IKB239" s="140"/>
      <c r="IKC239" s="140"/>
      <c r="IKD239" s="140"/>
      <c r="IKE239" s="140"/>
      <c r="IKF239" s="140"/>
      <c r="IKG239" s="140"/>
      <c r="IKH239" s="140"/>
      <c r="IKI239" s="140"/>
      <c r="IKJ239" s="140"/>
      <c r="IKK239" s="140"/>
      <c r="IKL239" s="140"/>
      <c r="IKM239" s="140"/>
      <c r="IKN239" s="140"/>
      <c r="IKO239" s="140"/>
      <c r="IKP239" s="140"/>
      <c r="IKQ239" s="140"/>
      <c r="IKR239" s="140"/>
      <c r="IKS239" s="140"/>
      <c r="IKT239" s="140"/>
      <c r="IKU239" s="140"/>
      <c r="IKV239" s="140"/>
      <c r="IKW239" s="140"/>
      <c r="IKX239" s="140"/>
      <c r="IKY239" s="140"/>
      <c r="IKZ239" s="140"/>
      <c r="ILA239" s="140"/>
      <c r="ILB239" s="140"/>
      <c r="ILC239" s="140"/>
      <c r="ILD239" s="140"/>
      <c r="ILE239" s="140"/>
      <c r="ILF239" s="140"/>
      <c r="ILG239" s="140"/>
      <c r="ILH239" s="140"/>
      <c r="ILI239" s="140"/>
      <c r="ILJ239" s="140"/>
      <c r="ILK239" s="140"/>
      <c r="ILL239" s="140"/>
      <c r="ILM239" s="140"/>
      <c r="ILN239" s="140"/>
      <c r="ILO239" s="140"/>
      <c r="ILP239" s="140"/>
      <c r="ILQ239" s="140"/>
      <c r="ILR239" s="140"/>
      <c r="ILS239" s="140"/>
      <c r="ILT239" s="140"/>
      <c r="ILU239" s="140"/>
      <c r="ILV239" s="140"/>
      <c r="ILW239" s="140"/>
      <c r="ILX239" s="140"/>
      <c r="ILY239" s="140"/>
      <c r="ILZ239" s="140"/>
      <c r="IMA239" s="140"/>
      <c r="IMB239" s="140"/>
      <c r="IMC239" s="140"/>
      <c r="IMD239" s="140"/>
      <c r="IME239" s="140"/>
      <c r="IMF239" s="140"/>
      <c r="IMG239" s="140"/>
      <c r="IMH239" s="140"/>
      <c r="IMI239" s="140"/>
      <c r="IMJ239" s="140"/>
      <c r="IMK239" s="140"/>
      <c r="IML239" s="140"/>
      <c r="IMM239" s="140"/>
      <c r="IMN239" s="140"/>
      <c r="IMO239" s="140"/>
      <c r="IMP239" s="140"/>
      <c r="IMQ239" s="140"/>
      <c r="IMR239" s="140"/>
      <c r="IMS239" s="140"/>
      <c r="IMT239" s="140"/>
      <c r="IMU239" s="140"/>
      <c r="IMV239" s="140"/>
      <c r="IMW239" s="140"/>
      <c r="IMX239" s="140"/>
      <c r="IMY239" s="140"/>
      <c r="IMZ239" s="140"/>
      <c r="INA239" s="140"/>
      <c r="INB239" s="140"/>
      <c r="INC239" s="140"/>
      <c r="IND239" s="140"/>
      <c r="INE239" s="140"/>
      <c r="INF239" s="140"/>
      <c r="ING239" s="140"/>
      <c r="INH239" s="140"/>
      <c r="INI239" s="140"/>
      <c r="INJ239" s="140"/>
      <c r="INK239" s="140"/>
      <c r="INL239" s="140"/>
      <c r="INM239" s="140"/>
      <c r="INN239" s="140"/>
      <c r="INO239" s="140"/>
      <c r="INP239" s="140"/>
      <c r="INQ239" s="140"/>
      <c r="INR239" s="140"/>
      <c r="INS239" s="140"/>
      <c r="INT239" s="140"/>
      <c r="INU239" s="140"/>
      <c r="INV239" s="140"/>
      <c r="INW239" s="140"/>
      <c r="INX239" s="140"/>
      <c r="INY239" s="140"/>
      <c r="INZ239" s="140"/>
      <c r="IOA239" s="140"/>
      <c r="IOB239" s="140"/>
      <c r="IOC239" s="140"/>
      <c r="IOD239" s="140"/>
      <c r="IOE239" s="140"/>
      <c r="IOF239" s="140"/>
      <c r="IOG239" s="140"/>
      <c r="IOH239" s="140"/>
      <c r="IOI239" s="140"/>
      <c r="IOJ239" s="140"/>
      <c r="IOK239" s="140"/>
      <c r="IOL239" s="140"/>
      <c r="IOM239" s="140"/>
      <c r="ION239" s="140"/>
      <c r="IOO239" s="140"/>
      <c r="IOP239" s="140"/>
      <c r="IOQ239" s="140"/>
      <c r="IOR239" s="140"/>
      <c r="IOS239" s="140"/>
      <c r="IOT239" s="140"/>
      <c r="IOU239" s="140"/>
      <c r="IOV239" s="140"/>
      <c r="IOW239" s="140"/>
      <c r="IOX239" s="140"/>
      <c r="IOY239" s="140"/>
      <c r="IOZ239" s="140"/>
      <c r="IPA239" s="140"/>
      <c r="IPB239" s="140"/>
      <c r="IPC239" s="140"/>
      <c r="IPD239" s="140"/>
      <c r="IPE239" s="140"/>
      <c r="IPF239" s="140"/>
      <c r="IPG239" s="140"/>
      <c r="IPH239" s="140"/>
      <c r="IPI239" s="140"/>
      <c r="IPJ239" s="140"/>
      <c r="IPK239" s="140"/>
      <c r="IPL239" s="140"/>
      <c r="IPM239" s="140"/>
      <c r="IPN239" s="140"/>
      <c r="IPO239" s="140"/>
      <c r="IPP239" s="140"/>
      <c r="IPQ239" s="140"/>
      <c r="IPR239" s="140"/>
      <c r="IPS239" s="140"/>
      <c r="IPT239" s="140"/>
      <c r="IPU239" s="140"/>
      <c r="IPV239" s="140"/>
      <c r="IPW239" s="140"/>
      <c r="IPX239" s="140"/>
      <c r="IPY239" s="140"/>
      <c r="IPZ239" s="140"/>
      <c r="IQA239" s="140"/>
      <c r="IQB239" s="140"/>
      <c r="IQC239" s="140"/>
      <c r="IQD239" s="140"/>
      <c r="IQE239" s="140"/>
      <c r="IQF239" s="140"/>
      <c r="IQG239" s="140"/>
      <c r="IQH239" s="140"/>
      <c r="IQI239" s="140"/>
      <c r="IQJ239" s="140"/>
      <c r="IQK239" s="140"/>
      <c r="IQL239" s="140"/>
      <c r="IQM239" s="140"/>
      <c r="IQN239" s="140"/>
      <c r="IQO239" s="140"/>
      <c r="IQP239" s="140"/>
      <c r="IQQ239" s="140"/>
      <c r="IQR239" s="140"/>
      <c r="IQS239" s="140"/>
      <c r="IQT239" s="140"/>
      <c r="IQU239" s="140"/>
      <c r="IQV239" s="140"/>
      <c r="IQW239" s="140"/>
      <c r="IQX239" s="140"/>
      <c r="IQY239" s="140"/>
      <c r="IQZ239" s="140"/>
      <c r="IRA239" s="140"/>
      <c r="IRB239" s="140"/>
      <c r="IRC239" s="140"/>
      <c r="IRD239" s="140"/>
      <c r="IRE239" s="140"/>
      <c r="IRF239" s="140"/>
      <c r="IRG239" s="140"/>
      <c r="IRH239" s="140"/>
      <c r="IRI239" s="140"/>
      <c r="IRJ239" s="140"/>
      <c r="IRK239" s="140"/>
      <c r="IRL239" s="140"/>
      <c r="IRM239" s="140"/>
      <c r="IRN239" s="140"/>
      <c r="IRO239" s="140"/>
      <c r="IRP239" s="140"/>
      <c r="IRQ239" s="140"/>
      <c r="IRR239" s="140"/>
      <c r="IRS239" s="140"/>
      <c r="IRT239" s="140"/>
      <c r="IRU239" s="140"/>
      <c r="IRV239" s="140"/>
      <c r="IRW239" s="140"/>
      <c r="IRX239" s="140"/>
      <c r="IRY239" s="140"/>
      <c r="IRZ239" s="140"/>
      <c r="ISA239" s="140"/>
      <c r="ISB239" s="140"/>
      <c r="ISC239" s="140"/>
      <c r="ISD239" s="140"/>
      <c r="ISE239" s="140"/>
      <c r="ISF239" s="140"/>
      <c r="ISG239" s="140"/>
      <c r="ISH239" s="140"/>
      <c r="ISI239" s="140"/>
      <c r="ISJ239" s="140"/>
      <c r="ISK239" s="140"/>
      <c r="ISL239" s="140"/>
      <c r="ISM239" s="140"/>
      <c r="ISN239" s="140"/>
      <c r="ISO239" s="140"/>
      <c r="ISP239" s="140"/>
      <c r="ISQ239" s="140"/>
      <c r="ISR239" s="140"/>
      <c r="ISS239" s="140"/>
      <c r="IST239" s="140"/>
      <c r="ISU239" s="140"/>
      <c r="ISV239" s="140"/>
      <c r="ISW239" s="140"/>
      <c r="ISX239" s="140"/>
      <c r="ISY239" s="140"/>
      <c r="ISZ239" s="140"/>
      <c r="ITA239" s="140"/>
      <c r="ITB239" s="140"/>
      <c r="ITC239" s="140"/>
      <c r="ITD239" s="140"/>
      <c r="ITE239" s="140"/>
      <c r="ITF239" s="140"/>
      <c r="ITG239" s="140"/>
      <c r="ITH239" s="140"/>
      <c r="ITI239" s="140"/>
      <c r="ITJ239" s="140"/>
      <c r="ITK239" s="140"/>
      <c r="ITL239" s="140"/>
      <c r="ITM239" s="140"/>
      <c r="ITN239" s="140"/>
      <c r="ITO239" s="140"/>
      <c r="ITP239" s="140"/>
      <c r="ITQ239" s="140"/>
      <c r="ITR239" s="140"/>
      <c r="ITS239" s="140"/>
      <c r="ITT239" s="140"/>
      <c r="ITU239" s="140"/>
      <c r="ITV239" s="140"/>
      <c r="ITW239" s="140"/>
      <c r="ITX239" s="140"/>
      <c r="ITY239" s="140"/>
      <c r="ITZ239" s="140"/>
      <c r="IUA239" s="140"/>
      <c r="IUB239" s="140"/>
      <c r="IUC239" s="140"/>
      <c r="IUD239" s="140"/>
      <c r="IUE239" s="140"/>
      <c r="IUF239" s="140"/>
      <c r="IUG239" s="140"/>
      <c r="IUH239" s="140"/>
      <c r="IUI239" s="140"/>
      <c r="IUJ239" s="140"/>
      <c r="IUK239" s="140"/>
      <c r="IUL239" s="140"/>
      <c r="IUM239" s="140"/>
      <c r="IUN239" s="140"/>
      <c r="IUO239" s="140"/>
      <c r="IUP239" s="140"/>
      <c r="IUQ239" s="140"/>
      <c r="IUR239" s="140"/>
      <c r="IUS239" s="140"/>
      <c r="IUT239" s="140"/>
      <c r="IUU239" s="140"/>
      <c r="IUV239" s="140"/>
      <c r="IUW239" s="140"/>
      <c r="IUX239" s="140"/>
      <c r="IUY239" s="140"/>
      <c r="IUZ239" s="140"/>
      <c r="IVA239" s="140"/>
      <c r="IVB239" s="140"/>
      <c r="IVC239" s="140"/>
      <c r="IVD239" s="140"/>
      <c r="IVE239" s="140"/>
      <c r="IVF239" s="140"/>
      <c r="IVG239" s="140"/>
      <c r="IVH239" s="140"/>
      <c r="IVI239" s="140"/>
      <c r="IVJ239" s="140"/>
      <c r="IVK239" s="140"/>
      <c r="IVL239" s="140"/>
      <c r="IVM239" s="140"/>
      <c r="IVN239" s="140"/>
      <c r="IVO239" s="140"/>
      <c r="IVP239" s="140"/>
      <c r="IVQ239" s="140"/>
      <c r="IVR239" s="140"/>
      <c r="IVS239" s="140"/>
      <c r="IVT239" s="140"/>
      <c r="IVU239" s="140"/>
      <c r="IVV239" s="140"/>
      <c r="IVW239" s="140"/>
      <c r="IVX239" s="140"/>
      <c r="IVY239" s="140"/>
      <c r="IVZ239" s="140"/>
      <c r="IWA239" s="140"/>
      <c r="IWB239" s="140"/>
      <c r="IWC239" s="140"/>
      <c r="IWD239" s="140"/>
      <c r="IWE239" s="140"/>
      <c r="IWF239" s="140"/>
      <c r="IWG239" s="140"/>
      <c r="IWH239" s="140"/>
      <c r="IWI239" s="140"/>
      <c r="IWJ239" s="140"/>
      <c r="IWK239" s="140"/>
      <c r="IWL239" s="140"/>
      <c r="IWM239" s="140"/>
      <c r="IWN239" s="140"/>
      <c r="IWO239" s="140"/>
      <c r="IWP239" s="140"/>
      <c r="IWQ239" s="140"/>
      <c r="IWR239" s="140"/>
      <c r="IWS239" s="140"/>
      <c r="IWT239" s="140"/>
      <c r="IWU239" s="140"/>
      <c r="IWV239" s="140"/>
      <c r="IWW239" s="140"/>
      <c r="IWX239" s="140"/>
      <c r="IWY239" s="140"/>
      <c r="IWZ239" s="140"/>
      <c r="IXA239" s="140"/>
      <c r="IXB239" s="140"/>
      <c r="IXC239" s="140"/>
      <c r="IXD239" s="140"/>
      <c r="IXE239" s="140"/>
      <c r="IXF239" s="140"/>
      <c r="IXG239" s="140"/>
      <c r="IXH239" s="140"/>
      <c r="IXI239" s="140"/>
      <c r="IXJ239" s="140"/>
      <c r="IXK239" s="140"/>
      <c r="IXL239" s="140"/>
      <c r="IXM239" s="140"/>
      <c r="IXN239" s="140"/>
      <c r="IXO239" s="140"/>
      <c r="IXP239" s="140"/>
      <c r="IXQ239" s="140"/>
      <c r="IXR239" s="140"/>
      <c r="IXS239" s="140"/>
      <c r="IXT239" s="140"/>
      <c r="IXU239" s="140"/>
      <c r="IXV239" s="140"/>
      <c r="IXW239" s="140"/>
      <c r="IXX239" s="140"/>
      <c r="IXY239" s="140"/>
      <c r="IXZ239" s="140"/>
      <c r="IYA239" s="140"/>
      <c r="IYB239" s="140"/>
      <c r="IYC239" s="140"/>
      <c r="IYD239" s="140"/>
      <c r="IYE239" s="140"/>
      <c r="IYF239" s="140"/>
      <c r="IYG239" s="140"/>
      <c r="IYH239" s="140"/>
      <c r="IYI239" s="140"/>
      <c r="IYJ239" s="140"/>
      <c r="IYK239" s="140"/>
      <c r="IYL239" s="140"/>
      <c r="IYM239" s="140"/>
      <c r="IYN239" s="140"/>
      <c r="IYO239" s="140"/>
      <c r="IYP239" s="140"/>
      <c r="IYQ239" s="140"/>
      <c r="IYR239" s="140"/>
      <c r="IYS239" s="140"/>
      <c r="IYT239" s="140"/>
      <c r="IYU239" s="140"/>
      <c r="IYV239" s="140"/>
      <c r="IYW239" s="140"/>
      <c r="IYX239" s="140"/>
      <c r="IYY239" s="140"/>
      <c r="IYZ239" s="140"/>
      <c r="IZA239" s="140"/>
      <c r="IZB239" s="140"/>
      <c r="IZC239" s="140"/>
      <c r="IZD239" s="140"/>
      <c r="IZE239" s="140"/>
      <c r="IZF239" s="140"/>
      <c r="IZG239" s="140"/>
      <c r="IZH239" s="140"/>
      <c r="IZI239" s="140"/>
      <c r="IZJ239" s="140"/>
      <c r="IZK239" s="140"/>
      <c r="IZL239" s="140"/>
      <c r="IZM239" s="140"/>
      <c r="IZN239" s="140"/>
      <c r="IZO239" s="140"/>
      <c r="IZP239" s="140"/>
      <c r="IZQ239" s="140"/>
      <c r="IZR239" s="140"/>
      <c r="IZS239" s="140"/>
      <c r="IZT239" s="140"/>
      <c r="IZU239" s="140"/>
      <c r="IZV239" s="140"/>
      <c r="IZW239" s="140"/>
      <c r="IZX239" s="140"/>
      <c r="IZY239" s="140"/>
      <c r="IZZ239" s="140"/>
      <c r="JAA239" s="140"/>
      <c r="JAB239" s="140"/>
      <c r="JAC239" s="140"/>
      <c r="JAD239" s="140"/>
      <c r="JAE239" s="140"/>
      <c r="JAF239" s="140"/>
      <c r="JAG239" s="140"/>
      <c r="JAH239" s="140"/>
      <c r="JAI239" s="140"/>
      <c r="JAJ239" s="140"/>
      <c r="JAK239" s="140"/>
      <c r="JAL239" s="140"/>
      <c r="JAM239" s="140"/>
      <c r="JAN239" s="140"/>
      <c r="JAO239" s="140"/>
      <c r="JAP239" s="140"/>
      <c r="JAQ239" s="140"/>
      <c r="JAR239" s="140"/>
      <c r="JAS239" s="140"/>
      <c r="JAT239" s="140"/>
      <c r="JAU239" s="140"/>
      <c r="JAV239" s="140"/>
      <c r="JAW239" s="140"/>
      <c r="JAX239" s="140"/>
      <c r="JAY239" s="140"/>
      <c r="JAZ239" s="140"/>
      <c r="JBA239" s="140"/>
      <c r="JBB239" s="140"/>
      <c r="JBC239" s="140"/>
      <c r="JBD239" s="140"/>
      <c r="JBE239" s="140"/>
      <c r="JBF239" s="140"/>
      <c r="JBG239" s="140"/>
      <c r="JBH239" s="140"/>
      <c r="JBI239" s="140"/>
      <c r="JBJ239" s="140"/>
      <c r="JBK239" s="140"/>
      <c r="JBL239" s="140"/>
      <c r="JBM239" s="140"/>
      <c r="JBN239" s="140"/>
      <c r="JBO239" s="140"/>
      <c r="JBP239" s="140"/>
      <c r="JBQ239" s="140"/>
      <c r="JBR239" s="140"/>
      <c r="JBS239" s="140"/>
      <c r="JBT239" s="140"/>
      <c r="JBU239" s="140"/>
      <c r="JBV239" s="140"/>
      <c r="JBW239" s="140"/>
      <c r="JBX239" s="140"/>
      <c r="JBY239" s="140"/>
      <c r="JBZ239" s="140"/>
      <c r="JCA239" s="140"/>
      <c r="JCB239" s="140"/>
      <c r="JCC239" s="140"/>
      <c r="JCD239" s="140"/>
      <c r="JCE239" s="140"/>
      <c r="JCF239" s="140"/>
      <c r="JCG239" s="140"/>
      <c r="JCH239" s="140"/>
      <c r="JCI239" s="140"/>
      <c r="JCJ239" s="140"/>
      <c r="JCK239" s="140"/>
      <c r="JCL239" s="140"/>
      <c r="JCM239" s="140"/>
      <c r="JCN239" s="140"/>
      <c r="JCO239" s="140"/>
      <c r="JCP239" s="140"/>
      <c r="JCQ239" s="140"/>
      <c r="JCR239" s="140"/>
      <c r="JCS239" s="140"/>
      <c r="JCT239" s="140"/>
      <c r="JCU239" s="140"/>
      <c r="JCV239" s="140"/>
      <c r="JCW239" s="140"/>
      <c r="JCX239" s="140"/>
      <c r="JCY239" s="140"/>
      <c r="JCZ239" s="140"/>
      <c r="JDA239" s="140"/>
      <c r="JDB239" s="140"/>
      <c r="JDC239" s="140"/>
      <c r="JDD239" s="140"/>
      <c r="JDE239" s="140"/>
      <c r="JDF239" s="140"/>
      <c r="JDG239" s="140"/>
      <c r="JDH239" s="140"/>
      <c r="JDI239" s="140"/>
      <c r="JDJ239" s="140"/>
      <c r="JDK239" s="140"/>
      <c r="JDL239" s="140"/>
      <c r="JDM239" s="140"/>
      <c r="JDN239" s="140"/>
      <c r="JDO239" s="140"/>
      <c r="JDP239" s="140"/>
      <c r="JDQ239" s="140"/>
      <c r="JDR239" s="140"/>
      <c r="JDS239" s="140"/>
      <c r="JDT239" s="140"/>
      <c r="JDU239" s="140"/>
      <c r="JDV239" s="140"/>
      <c r="JDW239" s="140"/>
      <c r="JDX239" s="140"/>
      <c r="JDY239" s="140"/>
      <c r="JDZ239" s="140"/>
      <c r="JEA239" s="140"/>
      <c r="JEB239" s="140"/>
      <c r="JEC239" s="140"/>
      <c r="JED239" s="140"/>
      <c r="JEE239" s="140"/>
      <c r="JEF239" s="140"/>
      <c r="JEG239" s="140"/>
      <c r="JEH239" s="140"/>
      <c r="JEI239" s="140"/>
      <c r="JEJ239" s="140"/>
      <c r="JEK239" s="140"/>
      <c r="JEL239" s="140"/>
      <c r="JEM239" s="140"/>
      <c r="JEN239" s="140"/>
      <c r="JEO239" s="140"/>
      <c r="JEP239" s="140"/>
      <c r="JEQ239" s="140"/>
      <c r="JER239" s="140"/>
      <c r="JES239" s="140"/>
      <c r="JET239" s="140"/>
      <c r="JEU239" s="140"/>
      <c r="JEV239" s="140"/>
      <c r="JEW239" s="140"/>
      <c r="JEX239" s="140"/>
      <c r="JEY239" s="140"/>
      <c r="JEZ239" s="140"/>
      <c r="JFA239" s="140"/>
      <c r="JFB239" s="140"/>
      <c r="JFC239" s="140"/>
      <c r="JFD239" s="140"/>
      <c r="JFE239" s="140"/>
      <c r="JFF239" s="140"/>
      <c r="JFG239" s="140"/>
      <c r="JFH239" s="140"/>
      <c r="JFI239" s="140"/>
      <c r="JFJ239" s="140"/>
      <c r="JFK239" s="140"/>
      <c r="JFL239" s="140"/>
      <c r="JFM239" s="140"/>
      <c r="JFN239" s="140"/>
      <c r="JFO239" s="140"/>
      <c r="JFP239" s="140"/>
      <c r="JFQ239" s="140"/>
      <c r="JFR239" s="140"/>
      <c r="JFS239" s="140"/>
      <c r="JFT239" s="140"/>
      <c r="JFU239" s="140"/>
      <c r="JFV239" s="140"/>
      <c r="JFW239" s="140"/>
      <c r="JFX239" s="140"/>
      <c r="JFY239" s="140"/>
      <c r="JFZ239" s="140"/>
      <c r="JGA239" s="140"/>
      <c r="JGB239" s="140"/>
      <c r="JGC239" s="140"/>
      <c r="JGD239" s="140"/>
      <c r="JGE239" s="140"/>
      <c r="JGF239" s="140"/>
      <c r="JGG239" s="140"/>
      <c r="JGH239" s="140"/>
      <c r="JGI239" s="140"/>
      <c r="JGJ239" s="140"/>
      <c r="JGK239" s="140"/>
      <c r="JGL239" s="140"/>
      <c r="JGM239" s="140"/>
      <c r="JGN239" s="140"/>
      <c r="JGO239" s="140"/>
      <c r="JGP239" s="140"/>
      <c r="JGQ239" s="140"/>
      <c r="JGR239" s="140"/>
      <c r="JGS239" s="140"/>
      <c r="JGT239" s="140"/>
      <c r="JGU239" s="140"/>
      <c r="JGV239" s="140"/>
      <c r="JGW239" s="140"/>
      <c r="JGX239" s="140"/>
      <c r="JGY239" s="140"/>
      <c r="JGZ239" s="140"/>
      <c r="JHA239" s="140"/>
      <c r="JHB239" s="140"/>
      <c r="JHC239" s="140"/>
      <c r="JHD239" s="140"/>
      <c r="JHE239" s="140"/>
      <c r="JHF239" s="140"/>
      <c r="JHG239" s="140"/>
      <c r="JHH239" s="140"/>
      <c r="JHI239" s="140"/>
      <c r="JHJ239" s="140"/>
      <c r="JHK239" s="140"/>
      <c r="JHL239" s="140"/>
      <c r="JHM239" s="140"/>
      <c r="JHN239" s="140"/>
      <c r="JHO239" s="140"/>
      <c r="JHP239" s="140"/>
      <c r="JHQ239" s="140"/>
      <c r="JHR239" s="140"/>
      <c r="JHS239" s="140"/>
      <c r="JHT239" s="140"/>
      <c r="JHU239" s="140"/>
      <c r="JHV239" s="140"/>
      <c r="JHW239" s="140"/>
      <c r="JHX239" s="140"/>
      <c r="JHY239" s="140"/>
      <c r="JHZ239" s="140"/>
      <c r="JIA239" s="140"/>
      <c r="JIB239" s="140"/>
      <c r="JIC239" s="140"/>
      <c r="JID239" s="140"/>
      <c r="JIE239" s="140"/>
      <c r="JIF239" s="140"/>
      <c r="JIG239" s="140"/>
      <c r="JIH239" s="140"/>
      <c r="JII239" s="140"/>
      <c r="JIJ239" s="140"/>
      <c r="JIK239" s="140"/>
      <c r="JIL239" s="140"/>
      <c r="JIM239" s="140"/>
      <c r="JIN239" s="140"/>
      <c r="JIO239" s="140"/>
      <c r="JIP239" s="140"/>
      <c r="JIQ239" s="140"/>
      <c r="JIR239" s="140"/>
      <c r="JIS239" s="140"/>
      <c r="JIT239" s="140"/>
      <c r="JIU239" s="140"/>
      <c r="JIV239" s="140"/>
      <c r="JIW239" s="140"/>
      <c r="JIX239" s="140"/>
      <c r="JIY239" s="140"/>
      <c r="JIZ239" s="140"/>
      <c r="JJA239" s="140"/>
      <c r="JJB239" s="140"/>
      <c r="JJC239" s="140"/>
      <c r="JJD239" s="140"/>
      <c r="JJE239" s="140"/>
      <c r="JJF239" s="140"/>
      <c r="JJG239" s="140"/>
      <c r="JJH239" s="140"/>
      <c r="JJI239" s="140"/>
      <c r="JJJ239" s="140"/>
      <c r="JJK239" s="140"/>
      <c r="JJL239" s="140"/>
      <c r="JJM239" s="140"/>
      <c r="JJN239" s="140"/>
      <c r="JJO239" s="140"/>
      <c r="JJP239" s="140"/>
      <c r="JJQ239" s="140"/>
      <c r="JJR239" s="140"/>
      <c r="JJS239" s="140"/>
      <c r="JJT239" s="140"/>
      <c r="JJU239" s="140"/>
      <c r="JJV239" s="140"/>
      <c r="JJW239" s="140"/>
      <c r="JJX239" s="140"/>
      <c r="JJY239" s="140"/>
      <c r="JJZ239" s="140"/>
      <c r="JKA239" s="140"/>
      <c r="JKB239" s="140"/>
      <c r="JKC239" s="140"/>
      <c r="JKD239" s="140"/>
      <c r="JKE239" s="140"/>
      <c r="JKF239" s="140"/>
      <c r="JKG239" s="140"/>
      <c r="JKH239" s="140"/>
      <c r="JKI239" s="140"/>
      <c r="JKJ239" s="140"/>
      <c r="JKK239" s="140"/>
      <c r="JKL239" s="140"/>
      <c r="JKM239" s="140"/>
      <c r="JKN239" s="140"/>
      <c r="JKO239" s="140"/>
      <c r="JKP239" s="140"/>
      <c r="JKQ239" s="140"/>
      <c r="JKR239" s="140"/>
      <c r="JKS239" s="140"/>
      <c r="JKT239" s="140"/>
      <c r="JKU239" s="140"/>
      <c r="JKV239" s="140"/>
      <c r="JKW239" s="140"/>
      <c r="JKX239" s="140"/>
      <c r="JKY239" s="140"/>
      <c r="JKZ239" s="140"/>
      <c r="JLA239" s="140"/>
      <c r="JLB239" s="140"/>
      <c r="JLC239" s="140"/>
      <c r="JLD239" s="140"/>
      <c r="JLE239" s="140"/>
      <c r="JLF239" s="140"/>
      <c r="JLG239" s="140"/>
      <c r="JLH239" s="140"/>
      <c r="JLI239" s="140"/>
      <c r="JLJ239" s="140"/>
      <c r="JLK239" s="140"/>
      <c r="JLL239" s="140"/>
      <c r="JLM239" s="140"/>
      <c r="JLN239" s="140"/>
      <c r="JLO239" s="140"/>
      <c r="JLP239" s="140"/>
      <c r="JLQ239" s="140"/>
      <c r="JLR239" s="140"/>
      <c r="JLS239" s="140"/>
      <c r="JLT239" s="140"/>
      <c r="JLU239" s="140"/>
      <c r="JLV239" s="140"/>
      <c r="JLW239" s="140"/>
      <c r="JLX239" s="140"/>
      <c r="JLY239" s="140"/>
      <c r="JLZ239" s="140"/>
      <c r="JMA239" s="140"/>
      <c r="JMB239" s="140"/>
      <c r="JMC239" s="140"/>
      <c r="JMD239" s="140"/>
      <c r="JME239" s="140"/>
      <c r="JMF239" s="140"/>
      <c r="JMG239" s="140"/>
      <c r="JMH239" s="140"/>
      <c r="JMI239" s="140"/>
      <c r="JMJ239" s="140"/>
      <c r="JMK239" s="140"/>
      <c r="JML239" s="140"/>
      <c r="JMM239" s="140"/>
      <c r="JMN239" s="140"/>
      <c r="JMO239" s="140"/>
      <c r="JMP239" s="140"/>
      <c r="JMQ239" s="140"/>
      <c r="JMR239" s="140"/>
      <c r="JMS239" s="140"/>
      <c r="JMT239" s="140"/>
      <c r="JMU239" s="140"/>
      <c r="JMV239" s="140"/>
      <c r="JMW239" s="140"/>
      <c r="JMX239" s="140"/>
      <c r="JMY239" s="140"/>
      <c r="JMZ239" s="140"/>
      <c r="JNA239" s="140"/>
      <c r="JNB239" s="140"/>
      <c r="JNC239" s="140"/>
      <c r="JND239" s="140"/>
      <c r="JNE239" s="140"/>
      <c r="JNF239" s="140"/>
      <c r="JNG239" s="140"/>
      <c r="JNH239" s="140"/>
      <c r="JNI239" s="140"/>
      <c r="JNJ239" s="140"/>
      <c r="JNK239" s="140"/>
      <c r="JNL239" s="140"/>
      <c r="JNM239" s="140"/>
      <c r="JNN239" s="140"/>
      <c r="JNO239" s="140"/>
      <c r="JNP239" s="140"/>
      <c r="JNQ239" s="140"/>
      <c r="JNR239" s="140"/>
      <c r="JNS239" s="140"/>
      <c r="JNT239" s="140"/>
      <c r="JNU239" s="140"/>
      <c r="JNV239" s="140"/>
      <c r="JNW239" s="140"/>
      <c r="JNX239" s="140"/>
      <c r="JNY239" s="140"/>
      <c r="JNZ239" s="140"/>
      <c r="JOA239" s="140"/>
      <c r="JOB239" s="140"/>
      <c r="JOC239" s="140"/>
      <c r="JOD239" s="140"/>
      <c r="JOE239" s="140"/>
      <c r="JOF239" s="140"/>
      <c r="JOG239" s="140"/>
      <c r="JOH239" s="140"/>
      <c r="JOI239" s="140"/>
      <c r="JOJ239" s="140"/>
      <c r="JOK239" s="140"/>
      <c r="JOL239" s="140"/>
      <c r="JOM239" s="140"/>
      <c r="JON239" s="140"/>
      <c r="JOO239" s="140"/>
      <c r="JOP239" s="140"/>
      <c r="JOQ239" s="140"/>
      <c r="JOR239" s="140"/>
      <c r="JOS239" s="140"/>
      <c r="JOT239" s="140"/>
      <c r="JOU239" s="140"/>
      <c r="JOV239" s="140"/>
      <c r="JOW239" s="140"/>
      <c r="JOX239" s="140"/>
      <c r="JOY239" s="140"/>
      <c r="JOZ239" s="140"/>
      <c r="JPA239" s="140"/>
      <c r="JPB239" s="140"/>
      <c r="JPC239" s="140"/>
      <c r="JPD239" s="140"/>
      <c r="JPE239" s="140"/>
      <c r="JPF239" s="140"/>
      <c r="JPG239" s="140"/>
      <c r="JPH239" s="140"/>
      <c r="JPI239" s="140"/>
      <c r="JPJ239" s="140"/>
      <c r="JPK239" s="140"/>
      <c r="JPL239" s="140"/>
      <c r="JPM239" s="140"/>
      <c r="JPN239" s="140"/>
      <c r="JPO239" s="140"/>
      <c r="JPP239" s="140"/>
      <c r="JPQ239" s="140"/>
      <c r="JPR239" s="140"/>
      <c r="JPS239" s="140"/>
      <c r="JPT239" s="140"/>
      <c r="JPU239" s="140"/>
      <c r="JPV239" s="140"/>
      <c r="JPW239" s="140"/>
      <c r="JPX239" s="140"/>
      <c r="JPY239" s="140"/>
      <c r="JPZ239" s="140"/>
      <c r="JQA239" s="140"/>
      <c r="JQB239" s="140"/>
      <c r="JQC239" s="140"/>
      <c r="JQD239" s="140"/>
      <c r="JQE239" s="140"/>
      <c r="JQF239" s="140"/>
      <c r="JQG239" s="140"/>
      <c r="JQH239" s="140"/>
      <c r="JQI239" s="140"/>
      <c r="JQJ239" s="140"/>
      <c r="JQK239" s="140"/>
      <c r="JQL239" s="140"/>
      <c r="JQM239" s="140"/>
      <c r="JQN239" s="140"/>
      <c r="JQO239" s="140"/>
      <c r="JQP239" s="140"/>
      <c r="JQQ239" s="140"/>
      <c r="JQR239" s="140"/>
      <c r="JQS239" s="140"/>
      <c r="JQT239" s="140"/>
      <c r="JQU239" s="140"/>
      <c r="JQV239" s="140"/>
      <c r="JQW239" s="140"/>
      <c r="JQX239" s="140"/>
      <c r="JQY239" s="140"/>
      <c r="JQZ239" s="140"/>
      <c r="JRA239" s="140"/>
      <c r="JRB239" s="140"/>
      <c r="JRC239" s="140"/>
      <c r="JRD239" s="140"/>
      <c r="JRE239" s="140"/>
      <c r="JRF239" s="140"/>
      <c r="JRG239" s="140"/>
      <c r="JRH239" s="140"/>
      <c r="JRI239" s="140"/>
      <c r="JRJ239" s="140"/>
      <c r="JRK239" s="140"/>
      <c r="JRL239" s="140"/>
      <c r="JRM239" s="140"/>
      <c r="JRN239" s="140"/>
      <c r="JRO239" s="140"/>
      <c r="JRP239" s="140"/>
      <c r="JRQ239" s="140"/>
      <c r="JRR239" s="140"/>
      <c r="JRS239" s="140"/>
      <c r="JRT239" s="140"/>
      <c r="JRU239" s="140"/>
      <c r="JRV239" s="140"/>
      <c r="JRW239" s="140"/>
      <c r="JRX239" s="140"/>
      <c r="JRY239" s="140"/>
      <c r="JRZ239" s="140"/>
      <c r="JSA239" s="140"/>
      <c r="JSB239" s="140"/>
      <c r="JSC239" s="140"/>
      <c r="JSD239" s="140"/>
      <c r="JSE239" s="140"/>
      <c r="JSF239" s="140"/>
      <c r="JSG239" s="140"/>
      <c r="JSH239" s="140"/>
      <c r="JSI239" s="140"/>
      <c r="JSJ239" s="140"/>
      <c r="JSK239" s="140"/>
      <c r="JSL239" s="140"/>
      <c r="JSM239" s="140"/>
      <c r="JSN239" s="140"/>
      <c r="JSO239" s="140"/>
      <c r="JSP239" s="140"/>
      <c r="JSQ239" s="140"/>
      <c r="JSR239" s="140"/>
      <c r="JSS239" s="140"/>
      <c r="JST239" s="140"/>
      <c r="JSU239" s="140"/>
      <c r="JSV239" s="140"/>
      <c r="JSW239" s="140"/>
      <c r="JSX239" s="140"/>
      <c r="JSY239" s="140"/>
      <c r="JSZ239" s="140"/>
      <c r="JTA239" s="140"/>
      <c r="JTB239" s="140"/>
      <c r="JTC239" s="140"/>
      <c r="JTD239" s="140"/>
      <c r="JTE239" s="140"/>
      <c r="JTF239" s="140"/>
      <c r="JTG239" s="140"/>
      <c r="JTH239" s="140"/>
      <c r="JTI239" s="140"/>
      <c r="JTJ239" s="140"/>
      <c r="JTK239" s="140"/>
      <c r="JTL239" s="140"/>
      <c r="JTM239" s="140"/>
      <c r="JTN239" s="140"/>
      <c r="JTO239" s="140"/>
      <c r="JTP239" s="140"/>
      <c r="JTQ239" s="140"/>
      <c r="JTR239" s="140"/>
      <c r="JTS239" s="140"/>
      <c r="JTT239" s="140"/>
      <c r="JTU239" s="140"/>
      <c r="JTV239" s="140"/>
      <c r="JTW239" s="140"/>
      <c r="JTX239" s="140"/>
      <c r="JTY239" s="140"/>
      <c r="JTZ239" s="140"/>
      <c r="JUA239" s="140"/>
      <c r="JUB239" s="140"/>
      <c r="JUC239" s="140"/>
      <c r="JUD239" s="140"/>
      <c r="JUE239" s="140"/>
      <c r="JUF239" s="140"/>
      <c r="JUG239" s="140"/>
      <c r="JUH239" s="140"/>
      <c r="JUI239" s="140"/>
      <c r="JUJ239" s="140"/>
      <c r="JUK239" s="140"/>
      <c r="JUL239" s="140"/>
      <c r="JUM239" s="140"/>
      <c r="JUN239" s="140"/>
      <c r="JUO239" s="140"/>
      <c r="JUP239" s="140"/>
      <c r="JUQ239" s="140"/>
      <c r="JUR239" s="140"/>
      <c r="JUS239" s="140"/>
      <c r="JUT239" s="140"/>
      <c r="JUU239" s="140"/>
      <c r="JUV239" s="140"/>
      <c r="JUW239" s="140"/>
      <c r="JUX239" s="140"/>
      <c r="JUY239" s="140"/>
      <c r="JUZ239" s="140"/>
      <c r="JVA239" s="140"/>
      <c r="JVB239" s="140"/>
      <c r="JVC239" s="140"/>
      <c r="JVD239" s="140"/>
      <c r="JVE239" s="140"/>
      <c r="JVF239" s="140"/>
      <c r="JVG239" s="140"/>
      <c r="JVH239" s="140"/>
      <c r="JVI239" s="140"/>
      <c r="JVJ239" s="140"/>
      <c r="JVK239" s="140"/>
      <c r="JVL239" s="140"/>
      <c r="JVM239" s="140"/>
      <c r="JVN239" s="140"/>
      <c r="JVO239" s="140"/>
      <c r="JVP239" s="140"/>
      <c r="JVQ239" s="140"/>
      <c r="JVR239" s="140"/>
      <c r="JVS239" s="140"/>
      <c r="JVT239" s="140"/>
      <c r="JVU239" s="140"/>
      <c r="JVV239" s="140"/>
      <c r="JVW239" s="140"/>
      <c r="JVX239" s="140"/>
      <c r="JVY239" s="140"/>
      <c r="JVZ239" s="140"/>
      <c r="JWA239" s="140"/>
      <c r="JWB239" s="140"/>
      <c r="JWC239" s="140"/>
      <c r="JWD239" s="140"/>
      <c r="JWE239" s="140"/>
      <c r="JWF239" s="140"/>
      <c r="JWG239" s="140"/>
      <c r="JWH239" s="140"/>
      <c r="JWI239" s="140"/>
      <c r="JWJ239" s="140"/>
      <c r="JWK239" s="140"/>
      <c r="JWL239" s="140"/>
      <c r="JWM239" s="140"/>
      <c r="JWN239" s="140"/>
      <c r="JWO239" s="140"/>
      <c r="JWP239" s="140"/>
      <c r="JWQ239" s="140"/>
      <c r="JWR239" s="140"/>
      <c r="JWS239" s="140"/>
      <c r="JWT239" s="140"/>
      <c r="JWU239" s="140"/>
      <c r="JWV239" s="140"/>
      <c r="JWW239" s="140"/>
      <c r="JWX239" s="140"/>
      <c r="JWY239" s="140"/>
      <c r="JWZ239" s="140"/>
      <c r="JXA239" s="140"/>
      <c r="JXB239" s="140"/>
      <c r="JXC239" s="140"/>
      <c r="JXD239" s="140"/>
      <c r="JXE239" s="140"/>
      <c r="JXF239" s="140"/>
      <c r="JXG239" s="140"/>
      <c r="JXH239" s="140"/>
      <c r="JXI239" s="140"/>
      <c r="JXJ239" s="140"/>
      <c r="JXK239" s="140"/>
      <c r="JXL239" s="140"/>
      <c r="JXM239" s="140"/>
      <c r="JXN239" s="140"/>
      <c r="JXO239" s="140"/>
      <c r="JXP239" s="140"/>
      <c r="JXQ239" s="140"/>
      <c r="JXR239" s="140"/>
      <c r="JXS239" s="140"/>
      <c r="JXT239" s="140"/>
      <c r="JXU239" s="140"/>
      <c r="JXV239" s="140"/>
      <c r="JXW239" s="140"/>
      <c r="JXX239" s="140"/>
      <c r="JXY239" s="140"/>
      <c r="JXZ239" s="140"/>
      <c r="JYA239" s="140"/>
      <c r="JYB239" s="140"/>
      <c r="JYC239" s="140"/>
      <c r="JYD239" s="140"/>
      <c r="JYE239" s="140"/>
      <c r="JYF239" s="140"/>
      <c r="JYG239" s="140"/>
      <c r="JYH239" s="140"/>
      <c r="JYI239" s="140"/>
      <c r="JYJ239" s="140"/>
      <c r="JYK239" s="140"/>
      <c r="JYL239" s="140"/>
      <c r="JYM239" s="140"/>
      <c r="JYN239" s="140"/>
      <c r="JYO239" s="140"/>
      <c r="JYP239" s="140"/>
      <c r="JYQ239" s="140"/>
      <c r="JYR239" s="140"/>
      <c r="JYS239" s="140"/>
      <c r="JYT239" s="140"/>
      <c r="JYU239" s="140"/>
      <c r="JYV239" s="140"/>
      <c r="JYW239" s="140"/>
      <c r="JYX239" s="140"/>
      <c r="JYY239" s="140"/>
      <c r="JYZ239" s="140"/>
      <c r="JZA239" s="140"/>
      <c r="JZB239" s="140"/>
      <c r="JZC239" s="140"/>
      <c r="JZD239" s="140"/>
      <c r="JZE239" s="140"/>
      <c r="JZF239" s="140"/>
      <c r="JZG239" s="140"/>
      <c r="JZH239" s="140"/>
      <c r="JZI239" s="140"/>
      <c r="JZJ239" s="140"/>
      <c r="JZK239" s="140"/>
      <c r="JZL239" s="140"/>
      <c r="JZM239" s="140"/>
      <c r="JZN239" s="140"/>
      <c r="JZO239" s="140"/>
      <c r="JZP239" s="140"/>
      <c r="JZQ239" s="140"/>
      <c r="JZR239" s="140"/>
      <c r="JZS239" s="140"/>
      <c r="JZT239" s="140"/>
      <c r="JZU239" s="140"/>
      <c r="JZV239" s="140"/>
      <c r="JZW239" s="140"/>
      <c r="JZX239" s="140"/>
      <c r="JZY239" s="140"/>
      <c r="JZZ239" s="140"/>
      <c r="KAA239" s="140"/>
      <c r="KAB239" s="140"/>
      <c r="KAC239" s="140"/>
      <c r="KAD239" s="140"/>
      <c r="KAE239" s="140"/>
      <c r="KAF239" s="140"/>
      <c r="KAG239" s="140"/>
      <c r="KAH239" s="140"/>
      <c r="KAI239" s="140"/>
      <c r="KAJ239" s="140"/>
      <c r="KAK239" s="140"/>
      <c r="KAL239" s="140"/>
      <c r="KAM239" s="140"/>
      <c r="KAN239" s="140"/>
      <c r="KAO239" s="140"/>
      <c r="KAP239" s="140"/>
      <c r="KAQ239" s="140"/>
      <c r="KAR239" s="140"/>
      <c r="KAS239" s="140"/>
      <c r="KAT239" s="140"/>
      <c r="KAU239" s="140"/>
      <c r="KAV239" s="140"/>
      <c r="KAW239" s="140"/>
      <c r="KAX239" s="140"/>
      <c r="KAY239" s="140"/>
      <c r="KAZ239" s="140"/>
      <c r="KBA239" s="140"/>
      <c r="KBB239" s="140"/>
      <c r="KBC239" s="140"/>
      <c r="KBD239" s="140"/>
      <c r="KBE239" s="140"/>
      <c r="KBF239" s="140"/>
      <c r="KBG239" s="140"/>
      <c r="KBH239" s="140"/>
      <c r="KBI239" s="140"/>
      <c r="KBJ239" s="140"/>
      <c r="KBK239" s="140"/>
      <c r="KBL239" s="140"/>
      <c r="KBM239" s="140"/>
      <c r="KBN239" s="140"/>
      <c r="KBO239" s="140"/>
      <c r="KBP239" s="140"/>
      <c r="KBQ239" s="140"/>
      <c r="KBR239" s="140"/>
      <c r="KBS239" s="140"/>
      <c r="KBT239" s="140"/>
      <c r="KBU239" s="140"/>
      <c r="KBV239" s="140"/>
      <c r="KBW239" s="140"/>
      <c r="KBX239" s="140"/>
      <c r="KBY239" s="140"/>
      <c r="KBZ239" s="140"/>
      <c r="KCA239" s="140"/>
      <c r="KCB239" s="140"/>
      <c r="KCC239" s="140"/>
      <c r="KCD239" s="140"/>
      <c r="KCE239" s="140"/>
      <c r="KCF239" s="140"/>
      <c r="KCG239" s="140"/>
      <c r="KCH239" s="140"/>
      <c r="KCI239" s="140"/>
      <c r="KCJ239" s="140"/>
      <c r="KCK239" s="140"/>
      <c r="KCL239" s="140"/>
      <c r="KCM239" s="140"/>
      <c r="KCN239" s="140"/>
      <c r="KCO239" s="140"/>
      <c r="KCP239" s="140"/>
      <c r="KCQ239" s="140"/>
      <c r="KCR239" s="140"/>
      <c r="KCS239" s="140"/>
      <c r="KCT239" s="140"/>
      <c r="KCU239" s="140"/>
      <c r="KCV239" s="140"/>
      <c r="KCW239" s="140"/>
      <c r="KCX239" s="140"/>
      <c r="KCY239" s="140"/>
      <c r="KCZ239" s="140"/>
      <c r="KDA239" s="140"/>
      <c r="KDB239" s="140"/>
      <c r="KDC239" s="140"/>
      <c r="KDD239" s="140"/>
      <c r="KDE239" s="140"/>
      <c r="KDF239" s="140"/>
      <c r="KDG239" s="140"/>
      <c r="KDH239" s="140"/>
      <c r="KDI239" s="140"/>
      <c r="KDJ239" s="140"/>
      <c r="KDK239" s="140"/>
      <c r="KDL239" s="140"/>
      <c r="KDM239" s="140"/>
      <c r="KDN239" s="140"/>
      <c r="KDO239" s="140"/>
      <c r="KDP239" s="140"/>
      <c r="KDQ239" s="140"/>
      <c r="KDR239" s="140"/>
      <c r="KDS239" s="140"/>
      <c r="KDT239" s="140"/>
      <c r="KDU239" s="140"/>
      <c r="KDV239" s="140"/>
      <c r="KDW239" s="140"/>
      <c r="KDX239" s="140"/>
      <c r="KDY239" s="140"/>
      <c r="KDZ239" s="140"/>
      <c r="KEA239" s="140"/>
      <c r="KEB239" s="140"/>
      <c r="KEC239" s="140"/>
      <c r="KED239" s="140"/>
      <c r="KEE239" s="140"/>
      <c r="KEF239" s="140"/>
      <c r="KEG239" s="140"/>
      <c r="KEH239" s="140"/>
      <c r="KEI239" s="140"/>
      <c r="KEJ239" s="140"/>
      <c r="KEK239" s="140"/>
      <c r="KEL239" s="140"/>
      <c r="KEM239" s="140"/>
      <c r="KEN239" s="140"/>
      <c r="KEO239" s="140"/>
      <c r="KEP239" s="140"/>
      <c r="KEQ239" s="140"/>
      <c r="KER239" s="140"/>
      <c r="KES239" s="140"/>
      <c r="KET239" s="140"/>
      <c r="KEU239" s="140"/>
      <c r="KEV239" s="140"/>
      <c r="KEW239" s="140"/>
      <c r="KEX239" s="140"/>
      <c r="KEY239" s="140"/>
      <c r="KEZ239" s="140"/>
      <c r="KFA239" s="140"/>
      <c r="KFB239" s="140"/>
      <c r="KFC239" s="140"/>
      <c r="KFD239" s="140"/>
      <c r="KFE239" s="140"/>
      <c r="KFF239" s="140"/>
      <c r="KFG239" s="140"/>
      <c r="KFH239" s="140"/>
      <c r="KFI239" s="140"/>
      <c r="KFJ239" s="140"/>
      <c r="KFK239" s="140"/>
      <c r="KFL239" s="140"/>
      <c r="KFM239" s="140"/>
      <c r="KFN239" s="140"/>
      <c r="KFO239" s="140"/>
      <c r="KFP239" s="140"/>
      <c r="KFQ239" s="140"/>
      <c r="KFR239" s="140"/>
      <c r="KFS239" s="140"/>
      <c r="KFT239" s="140"/>
      <c r="KFU239" s="140"/>
      <c r="KFV239" s="140"/>
      <c r="KFW239" s="140"/>
      <c r="KFX239" s="140"/>
      <c r="KFY239" s="140"/>
      <c r="KFZ239" s="140"/>
      <c r="KGA239" s="140"/>
      <c r="KGB239" s="140"/>
      <c r="KGC239" s="140"/>
      <c r="KGD239" s="140"/>
      <c r="KGE239" s="140"/>
      <c r="KGF239" s="140"/>
      <c r="KGG239" s="140"/>
      <c r="KGH239" s="140"/>
      <c r="KGI239" s="140"/>
      <c r="KGJ239" s="140"/>
      <c r="KGK239" s="140"/>
      <c r="KGL239" s="140"/>
      <c r="KGM239" s="140"/>
      <c r="KGN239" s="140"/>
      <c r="KGO239" s="140"/>
      <c r="KGP239" s="140"/>
      <c r="KGQ239" s="140"/>
      <c r="KGR239" s="140"/>
      <c r="KGS239" s="140"/>
      <c r="KGT239" s="140"/>
      <c r="KGU239" s="140"/>
      <c r="KGV239" s="140"/>
      <c r="KGW239" s="140"/>
      <c r="KGX239" s="140"/>
      <c r="KGY239" s="140"/>
      <c r="KGZ239" s="140"/>
      <c r="KHA239" s="140"/>
      <c r="KHB239" s="140"/>
      <c r="KHC239" s="140"/>
      <c r="KHD239" s="140"/>
      <c r="KHE239" s="140"/>
      <c r="KHF239" s="140"/>
      <c r="KHG239" s="140"/>
      <c r="KHH239" s="140"/>
      <c r="KHI239" s="140"/>
      <c r="KHJ239" s="140"/>
      <c r="KHK239" s="140"/>
      <c r="KHL239" s="140"/>
      <c r="KHM239" s="140"/>
      <c r="KHN239" s="140"/>
      <c r="KHO239" s="140"/>
      <c r="KHP239" s="140"/>
      <c r="KHQ239" s="140"/>
      <c r="KHR239" s="140"/>
      <c r="KHS239" s="140"/>
      <c r="KHT239" s="140"/>
      <c r="KHU239" s="140"/>
      <c r="KHV239" s="140"/>
      <c r="KHW239" s="140"/>
      <c r="KHX239" s="140"/>
      <c r="KHY239" s="140"/>
      <c r="KHZ239" s="140"/>
      <c r="KIA239" s="140"/>
      <c r="KIB239" s="140"/>
      <c r="KIC239" s="140"/>
      <c r="KID239" s="140"/>
      <c r="KIE239" s="140"/>
      <c r="KIF239" s="140"/>
      <c r="KIG239" s="140"/>
      <c r="KIH239" s="140"/>
      <c r="KII239" s="140"/>
      <c r="KIJ239" s="140"/>
      <c r="KIK239" s="140"/>
      <c r="KIL239" s="140"/>
      <c r="KIM239" s="140"/>
      <c r="KIN239" s="140"/>
      <c r="KIO239" s="140"/>
      <c r="KIP239" s="140"/>
      <c r="KIQ239" s="140"/>
      <c r="KIR239" s="140"/>
      <c r="KIS239" s="140"/>
      <c r="KIT239" s="140"/>
      <c r="KIU239" s="140"/>
      <c r="KIV239" s="140"/>
      <c r="KIW239" s="140"/>
      <c r="KIX239" s="140"/>
      <c r="KIY239" s="140"/>
      <c r="KIZ239" s="140"/>
      <c r="KJA239" s="140"/>
      <c r="KJB239" s="140"/>
      <c r="KJC239" s="140"/>
      <c r="KJD239" s="140"/>
      <c r="KJE239" s="140"/>
      <c r="KJF239" s="140"/>
      <c r="KJG239" s="140"/>
      <c r="KJH239" s="140"/>
      <c r="KJI239" s="140"/>
      <c r="KJJ239" s="140"/>
      <c r="KJK239" s="140"/>
      <c r="KJL239" s="140"/>
      <c r="KJM239" s="140"/>
      <c r="KJN239" s="140"/>
      <c r="KJO239" s="140"/>
      <c r="KJP239" s="140"/>
      <c r="KJQ239" s="140"/>
      <c r="KJR239" s="140"/>
      <c r="KJS239" s="140"/>
      <c r="KJT239" s="140"/>
      <c r="KJU239" s="140"/>
      <c r="KJV239" s="140"/>
      <c r="KJW239" s="140"/>
      <c r="KJX239" s="140"/>
      <c r="KJY239" s="140"/>
      <c r="KJZ239" s="140"/>
      <c r="KKA239" s="140"/>
      <c r="KKB239" s="140"/>
      <c r="KKC239" s="140"/>
      <c r="KKD239" s="140"/>
      <c r="KKE239" s="140"/>
      <c r="KKF239" s="140"/>
      <c r="KKG239" s="140"/>
      <c r="KKH239" s="140"/>
      <c r="KKI239" s="140"/>
      <c r="KKJ239" s="140"/>
      <c r="KKK239" s="140"/>
      <c r="KKL239" s="140"/>
      <c r="KKM239" s="140"/>
      <c r="KKN239" s="140"/>
      <c r="KKO239" s="140"/>
      <c r="KKP239" s="140"/>
      <c r="KKQ239" s="140"/>
      <c r="KKR239" s="140"/>
      <c r="KKS239" s="140"/>
      <c r="KKT239" s="140"/>
      <c r="KKU239" s="140"/>
      <c r="KKV239" s="140"/>
      <c r="KKW239" s="140"/>
      <c r="KKX239" s="140"/>
      <c r="KKY239" s="140"/>
      <c r="KKZ239" s="140"/>
      <c r="KLA239" s="140"/>
      <c r="KLB239" s="140"/>
      <c r="KLC239" s="140"/>
      <c r="KLD239" s="140"/>
      <c r="KLE239" s="140"/>
      <c r="KLF239" s="140"/>
      <c r="KLG239" s="140"/>
      <c r="KLH239" s="140"/>
      <c r="KLI239" s="140"/>
      <c r="KLJ239" s="140"/>
      <c r="KLK239" s="140"/>
      <c r="KLL239" s="140"/>
      <c r="KLM239" s="140"/>
      <c r="KLN239" s="140"/>
      <c r="KLO239" s="140"/>
      <c r="KLP239" s="140"/>
      <c r="KLQ239" s="140"/>
      <c r="KLR239" s="140"/>
      <c r="KLS239" s="140"/>
      <c r="KLT239" s="140"/>
      <c r="KLU239" s="140"/>
      <c r="KLV239" s="140"/>
      <c r="KLW239" s="140"/>
      <c r="KLX239" s="140"/>
      <c r="KLY239" s="140"/>
      <c r="KLZ239" s="140"/>
      <c r="KMA239" s="140"/>
      <c r="KMB239" s="140"/>
      <c r="KMC239" s="140"/>
      <c r="KMD239" s="140"/>
      <c r="KME239" s="140"/>
      <c r="KMF239" s="140"/>
      <c r="KMG239" s="140"/>
      <c r="KMH239" s="140"/>
      <c r="KMI239" s="140"/>
      <c r="KMJ239" s="140"/>
      <c r="KMK239" s="140"/>
      <c r="KML239" s="140"/>
      <c r="KMM239" s="140"/>
      <c r="KMN239" s="140"/>
      <c r="KMO239" s="140"/>
      <c r="KMP239" s="140"/>
      <c r="KMQ239" s="140"/>
      <c r="KMR239" s="140"/>
      <c r="KMS239" s="140"/>
      <c r="KMT239" s="140"/>
      <c r="KMU239" s="140"/>
      <c r="KMV239" s="140"/>
      <c r="KMW239" s="140"/>
      <c r="KMX239" s="140"/>
      <c r="KMY239" s="140"/>
      <c r="KMZ239" s="140"/>
      <c r="KNA239" s="140"/>
      <c r="KNB239" s="140"/>
      <c r="KNC239" s="140"/>
      <c r="KND239" s="140"/>
      <c r="KNE239" s="140"/>
      <c r="KNF239" s="140"/>
      <c r="KNG239" s="140"/>
      <c r="KNH239" s="140"/>
      <c r="KNI239" s="140"/>
      <c r="KNJ239" s="140"/>
      <c r="KNK239" s="140"/>
      <c r="KNL239" s="140"/>
      <c r="KNM239" s="140"/>
      <c r="KNN239" s="140"/>
      <c r="KNO239" s="140"/>
      <c r="KNP239" s="140"/>
      <c r="KNQ239" s="140"/>
      <c r="KNR239" s="140"/>
      <c r="KNS239" s="140"/>
      <c r="KNT239" s="140"/>
      <c r="KNU239" s="140"/>
      <c r="KNV239" s="140"/>
      <c r="KNW239" s="140"/>
      <c r="KNX239" s="140"/>
      <c r="KNY239" s="140"/>
      <c r="KNZ239" s="140"/>
      <c r="KOA239" s="140"/>
      <c r="KOB239" s="140"/>
      <c r="KOC239" s="140"/>
      <c r="KOD239" s="140"/>
      <c r="KOE239" s="140"/>
      <c r="KOF239" s="140"/>
      <c r="KOG239" s="140"/>
      <c r="KOH239" s="140"/>
      <c r="KOI239" s="140"/>
      <c r="KOJ239" s="140"/>
      <c r="KOK239" s="140"/>
      <c r="KOL239" s="140"/>
      <c r="KOM239" s="140"/>
      <c r="KON239" s="140"/>
      <c r="KOO239" s="140"/>
      <c r="KOP239" s="140"/>
      <c r="KOQ239" s="140"/>
      <c r="KOR239" s="140"/>
      <c r="KOS239" s="140"/>
      <c r="KOT239" s="140"/>
      <c r="KOU239" s="140"/>
      <c r="KOV239" s="140"/>
      <c r="KOW239" s="140"/>
      <c r="KOX239" s="140"/>
      <c r="KOY239" s="140"/>
      <c r="KOZ239" s="140"/>
      <c r="KPA239" s="140"/>
      <c r="KPB239" s="140"/>
      <c r="KPC239" s="140"/>
      <c r="KPD239" s="140"/>
      <c r="KPE239" s="140"/>
      <c r="KPF239" s="140"/>
      <c r="KPG239" s="140"/>
      <c r="KPH239" s="140"/>
      <c r="KPI239" s="140"/>
      <c r="KPJ239" s="140"/>
      <c r="KPK239" s="140"/>
      <c r="KPL239" s="140"/>
      <c r="KPM239" s="140"/>
      <c r="KPN239" s="140"/>
      <c r="KPO239" s="140"/>
      <c r="KPP239" s="140"/>
      <c r="KPQ239" s="140"/>
      <c r="KPR239" s="140"/>
      <c r="KPS239" s="140"/>
      <c r="KPT239" s="140"/>
      <c r="KPU239" s="140"/>
      <c r="KPV239" s="140"/>
      <c r="KPW239" s="140"/>
      <c r="KPX239" s="140"/>
      <c r="KPY239" s="140"/>
      <c r="KPZ239" s="140"/>
      <c r="KQA239" s="140"/>
      <c r="KQB239" s="140"/>
      <c r="KQC239" s="140"/>
      <c r="KQD239" s="140"/>
      <c r="KQE239" s="140"/>
      <c r="KQF239" s="140"/>
      <c r="KQG239" s="140"/>
      <c r="KQH239" s="140"/>
      <c r="KQI239" s="140"/>
      <c r="KQJ239" s="140"/>
      <c r="KQK239" s="140"/>
      <c r="KQL239" s="140"/>
      <c r="KQM239" s="140"/>
      <c r="KQN239" s="140"/>
      <c r="KQO239" s="140"/>
      <c r="KQP239" s="140"/>
      <c r="KQQ239" s="140"/>
      <c r="KQR239" s="140"/>
      <c r="KQS239" s="140"/>
      <c r="KQT239" s="140"/>
      <c r="KQU239" s="140"/>
      <c r="KQV239" s="140"/>
      <c r="KQW239" s="140"/>
      <c r="KQX239" s="140"/>
      <c r="KQY239" s="140"/>
      <c r="KQZ239" s="140"/>
      <c r="KRA239" s="140"/>
      <c r="KRB239" s="140"/>
      <c r="KRC239" s="140"/>
      <c r="KRD239" s="140"/>
      <c r="KRE239" s="140"/>
      <c r="KRF239" s="140"/>
      <c r="KRG239" s="140"/>
      <c r="KRH239" s="140"/>
      <c r="KRI239" s="140"/>
      <c r="KRJ239" s="140"/>
      <c r="KRK239" s="140"/>
      <c r="KRL239" s="140"/>
      <c r="KRM239" s="140"/>
      <c r="KRN239" s="140"/>
      <c r="KRO239" s="140"/>
      <c r="KRP239" s="140"/>
      <c r="KRQ239" s="140"/>
      <c r="KRR239" s="140"/>
      <c r="KRS239" s="140"/>
      <c r="KRT239" s="140"/>
      <c r="KRU239" s="140"/>
      <c r="KRV239" s="140"/>
      <c r="KRW239" s="140"/>
      <c r="KRX239" s="140"/>
      <c r="KRY239" s="140"/>
      <c r="KRZ239" s="140"/>
      <c r="KSA239" s="140"/>
      <c r="KSB239" s="140"/>
      <c r="KSC239" s="140"/>
      <c r="KSD239" s="140"/>
      <c r="KSE239" s="140"/>
      <c r="KSF239" s="140"/>
      <c r="KSG239" s="140"/>
      <c r="KSH239" s="140"/>
      <c r="KSI239" s="140"/>
      <c r="KSJ239" s="140"/>
      <c r="KSK239" s="140"/>
      <c r="KSL239" s="140"/>
      <c r="KSM239" s="140"/>
      <c r="KSN239" s="140"/>
      <c r="KSO239" s="140"/>
      <c r="KSP239" s="140"/>
      <c r="KSQ239" s="140"/>
      <c r="KSR239" s="140"/>
      <c r="KSS239" s="140"/>
      <c r="KST239" s="140"/>
      <c r="KSU239" s="140"/>
      <c r="KSV239" s="140"/>
      <c r="KSW239" s="140"/>
      <c r="KSX239" s="140"/>
      <c r="KSY239" s="140"/>
      <c r="KSZ239" s="140"/>
      <c r="KTA239" s="140"/>
      <c r="KTB239" s="140"/>
      <c r="KTC239" s="140"/>
      <c r="KTD239" s="140"/>
      <c r="KTE239" s="140"/>
      <c r="KTF239" s="140"/>
      <c r="KTG239" s="140"/>
      <c r="KTH239" s="140"/>
      <c r="KTI239" s="140"/>
      <c r="KTJ239" s="140"/>
      <c r="KTK239" s="140"/>
      <c r="KTL239" s="140"/>
      <c r="KTM239" s="140"/>
      <c r="KTN239" s="140"/>
      <c r="KTO239" s="140"/>
      <c r="KTP239" s="140"/>
      <c r="KTQ239" s="140"/>
      <c r="KTR239" s="140"/>
      <c r="KTS239" s="140"/>
      <c r="KTT239" s="140"/>
      <c r="KTU239" s="140"/>
      <c r="KTV239" s="140"/>
      <c r="KTW239" s="140"/>
      <c r="KTX239" s="140"/>
      <c r="KTY239" s="140"/>
      <c r="KTZ239" s="140"/>
      <c r="KUA239" s="140"/>
      <c r="KUB239" s="140"/>
      <c r="KUC239" s="140"/>
      <c r="KUD239" s="140"/>
      <c r="KUE239" s="140"/>
      <c r="KUF239" s="140"/>
      <c r="KUG239" s="140"/>
      <c r="KUH239" s="140"/>
      <c r="KUI239" s="140"/>
      <c r="KUJ239" s="140"/>
      <c r="KUK239" s="140"/>
      <c r="KUL239" s="140"/>
      <c r="KUM239" s="140"/>
      <c r="KUN239" s="140"/>
      <c r="KUO239" s="140"/>
      <c r="KUP239" s="140"/>
      <c r="KUQ239" s="140"/>
      <c r="KUR239" s="140"/>
      <c r="KUS239" s="140"/>
      <c r="KUT239" s="140"/>
      <c r="KUU239" s="140"/>
      <c r="KUV239" s="140"/>
      <c r="KUW239" s="140"/>
      <c r="KUX239" s="140"/>
      <c r="KUY239" s="140"/>
      <c r="KUZ239" s="140"/>
      <c r="KVA239" s="140"/>
      <c r="KVB239" s="140"/>
      <c r="KVC239" s="140"/>
      <c r="KVD239" s="140"/>
      <c r="KVE239" s="140"/>
      <c r="KVF239" s="140"/>
      <c r="KVG239" s="140"/>
      <c r="KVH239" s="140"/>
      <c r="KVI239" s="140"/>
      <c r="KVJ239" s="140"/>
      <c r="KVK239" s="140"/>
      <c r="KVL239" s="140"/>
      <c r="KVM239" s="140"/>
      <c r="KVN239" s="140"/>
      <c r="KVO239" s="140"/>
      <c r="KVP239" s="140"/>
      <c r="KVQ239" s="140"/>
      <c r="KVR239" s="140"/>
      <c r="KVS239" s="140"/>
      <c r="KVT239" s="140"/>
      <c r="KVU239" s="140"/>
      <c r="KVV239" s="140"/>
      <c r="KVW239" s="140"/>
      <c r="KVX239" s="140"/>
      <c r="KVY239" s="140"/>
      <c r="KVZ239" s="140"/>
      <c r="KWA239" s="140"/>
      <c r="KWB239" s="140"/>
      <c r="KWC239" s="140"/>
      <c r="KWD239" s="140"/>
      <c r="KWE239" s="140"/>
      <c r="KWF239" s="140"/>
      <c r="KWG239" s="140"/>
      <c r="KWH239" s="140"/>
      <c r="KWI239" s="140"/>
      <c r="KWJ239" s="140"/>
      <c r="KWK239" s="140"/>
      <c r="KWL239" s="140"/>
      <c r="KWM239" s="140"/>
      <c r="KWN239" s="140"/>
      <c r="KWO239" s="140"/>
      <c r="KWP239" s="140"/>
      <c r="KWQ239" s="140"/>
      <c r="KWR239" s="140"/>
      <c r="KWS239" s="140"/>
      <c r="KWT239" s="140"/>
      <c r="KWU239" s="140"/>
      <c r="KWV239" s="140"/>
      <c r="KWW239" s="140"/>
      <c r="KWX239" s="140"/>
      <c r="KWY239" s="140"/>
      <c r="KWZ239" s="140"/>
      <c r="KXA239" s="140"/>
      <c r="KXB239" s="140"/>
      <c r="KXC239" s="140"/>
      <c r="KXD239" s="140"/>
      <c r="KXE239" s="140"/>
      <c r="KXF239" s="140"/>
      <c r="KXG239" s="140"/>
      <c r="KXH239" s="140"/>
      <c r="KXI239" s="140"/>
      <c r="KXJ239" s="140"/>
      <c r="KXK239" s="140"/>
      <c r="KXL239" s="140"/>
      <c r="KXM239" s="140"/>
      <c r="KXN239" s="140"/>
      <c r="KXO239" s="140"/>
      <c r="KXP239" s="140"/>
      <c r="KXQ239" s="140"/>
      <c r="KXR239" s="140"/>
      <c r="KXS239" s="140"/>
      <c r="KXT239" s="140"/>
      <c r="KXU239" s="140"/>
      <c r="KXV239" s="140"/>
      <c r="KXW239" s="140"/>
      <c r="KXX239" s="140"/>
      <c r="KXY239" s="140"/>
      <c r="KXZ239" s="140"/>
      <c r="KYA239" s="140"/>
      <c r="KYB239" s="140"/>
      <c r="KYC239" s="140"/>
      <c r="KYD239" s="140"/>
      <c r="KYE239" s="140"/>
      <c r="KYF239" s="140"/>
      <c r="KYG239" s="140"/>
      <c r="KYH239" s="140"/>
      <c r="KYI239" s="140"/>
      <c r="KYJ239" s="140"/>
      <c r="KYK239" s="140"/>
      <c r="KYL239" s="140"/>
      <c r="KYM239" s="140"/>
      <c r="KYN239" s="140"/>
      <c r="KYO239" s="140"/>
      <c r="KYP239" s="140"/>
      <c r="KYQ239" s="140"/>
      <c r="KYR239" s="140"/>
      <c r="KYS239" s="140"/>
      <c r="KYT239" s="140"/>
      <c r="KYU239" s="140"/>
      <c r="KYV239" s="140"/>
      <c r="KYW239" s="140"/>
      <c r="KYX239" s="140"/>
      <c r="KYY239" s="140"/>
      <c r="KYZ239" s="140"/>
      <c r="KZA239" s="140"/>
      <c r="KZB239" s="140"/>
      <c r="KZC239" s="140"/>
      <c r="KZD239" s="140"/>
      <c r="KZE239" s="140"/>
      <c r="KZF239" s="140"/>
      <c r="KZG239" s="140"/>
      <c r="KZH239" s="140"/>
      <c r="KZI239" s="140"/>
      <c r="KZJ239" s="140"/>
      <c r="KZK239" s="140"/>
      <c r="KZL239" s="140"/>
      <c r="KZM239" s="140"/>
      <c r="KZN239" s="140"/>
      <c r="KZO239" s="140"/>
      <c r="KZP239" s="140"/>
      <c r="KZQ239" s="140"/>
      <c r="KZR239" s="140"/>
      <c r="KZS239" s="140"/>
      <c r="KZT239" s="140"/>
      <c r="KZU239" s="140"/>
      <c r="KZV239" s="140"/>
      <c r="KZW239" s="140"/>
      <c r="KZX239" s="140"/>
      <c r="KZY239" s="140"/>
      <c r="KZZ239" s="140"/>
      <c r="LAA239" s="140"/>
      <c r="LAB239" s="140"/>
      <c r="LAC239" s="140"/>
      <c r="LAD239" s="140"/>
      <c r="LAE239" s="140"/>
      <c r="LAF239" s="140"/>
      <c r="LAG239" s="140"/>
      <c r="LAH239" s="140"/>
      <c r="LAI239" s="140"/>
      <c r="LAJ239" s="140"/>
      <c r="LAK239" s="140"/>
      <c r="LAL239" s="140"/>
      <c r="LAM239" s="140"/>
      <c r="LAN239" s="140"/>
      <c r="LAO239" s="140"/>
      <c r="LAP239" s="140"/>
      <c r="LAQ239" s="140"/>
      <c r="LAR239" s="140"/>
      <c r="LAS239" s="140"/>
      <c r="LAT239" s="140"/>
      <c r="LAU239" s="140"/>
      <c r="LAV239" s="140"/>
      <c r="LAW239" s="140"/>
      <c r="LAX239" s="140"/>
      <c r="LAY239" s="140"/>
      <c r="LAZ239" s="140"/>
      <c r="LBA239" s="140"/>
      <c r="LBB239" s="140"/>
      <c r="LBC239" s="140"/>
      <c r="LBD239" s="140"/>
      <c r="LBE239" s="140"/>
      <c r="LBF239" s="140"/>
      <c r="LBG239" s="140"/>
      <c r="LBH239" s="140"/>
      <c r="LBI239" s="140"/>
      <c r="LBJ239" s="140"/>
      <c r="LBK239" s="140"/>
      <c r="LBL239" s="140"/>
      <c r="LBM239" s="140"/>
      <c r="LBN239" s="140"/>
      <c r="LBO239" s="140"/>
      <c r="LBP239" s="140"/>
      <c r="LBQ239" s="140"/>
      <c r="LBR239" s="140"/>
      <c r="LBS239" s="140"/>
      <c r="LBT239" s="140"/>
      <c r="LBU239" s="140"/>
      <c r="LBV239" s="140"/>
      <c r="LBW239" s="140"/>
      <c r="LBX239" s="140"/>
      <c r="LBY239" s="140"/>
      <c r="LBZ239" s="140"/>
      <c r="LCA239" s="140"/>
      <c r="LCB239" s="140"/>
      <c r="LCC239" s="140"/>
      <c r="LCD239" s="140"/>
      <c r="LCE239" s="140"/>
      <c r="LCF239" s="140"/>
      <c r="LCG239" s="140"/>
      <c r="LCH239" s="140"/>
      <c r="LCI239" s="140"/>
      <c r="LCJ239" s="140"/>
      <c r="LCK239" s="140"/>
      <c r="LCL239" s="140"/>
      <c r="LCM239" s="140"/>
      <c r="LCN239" s="140"/>
      <c r="LCO239" s="140"/>
      <c r="LCP239" s="140"/>
      <c r="LCQ239" s="140"/>
      <c r="LCR239" s="140"/>
      <c r="LCS239" s="140"/>
      <c r="LCT239" s="140"/>
      <c r="LCU239" s="140"/>
      <c r="LCV239" s="140"/>
      <c r="LCW239" s="140"/>
      <c r="LCX239" s="140"/>
      <c r="LCY239" s="140"/>
      <c r="LCZ239" s="140"/>
      <c r="LDA239" s="140"/>
      <c r="LDB239" s="140"/>
      <c r="LDC239" s="140"/>
      <c r="LDD239" s="140"/>
      <c r="LDE239" s="140"/>
      <c r="LDF239" s="140"/>
      <c r="LDG239" s="140"/>
      <c r="LDH239" s="140"/>
      <c r="LDI239" s="140"/>
      <c r="LDJ239" s="140"/>
      <c r="LDK239" s="140"/>
      <c r="LDL239" s="140"/>
      <c r="LDM239" s="140"/>
      <c r="LDN239" s="140"/>
      <c r="LDO239" s="140"/>
      <c r="LDP239" s="140"/>
      <c r="LDQ239" s="140"/>
      <c r="LDR239" s="140"/>
      <c r="LDS239" s="140"/>
      <c r="LDT239" s="140"/>
      <c r="LDU239" s="140"/>
      <c r="LDV239" s="140"/>
      <c r="LDW239" s="140"/>
      <c r="LDX239" s="140"/>
      <c r="LDY239" s="140"/>
      <c r="LDZ239" s="140"/>
      <c r="LEA239" s="140"/>
      <c r="LEB239" s="140"/>
      <c r="LEC239" s="140"/>
      <c r="LED239" s="140"/>
      <c r="LEE239" s="140"/>
      <c r="LEF239" s="140"/>
      <c r="LEG239" s="140"/>
      <c r="LEH239" s="140"/>
      <c r="LEI239" s="140"/>
      <c r="LEJ239" s="140"/>
      <c r="LEK239" s="140"/>
      <c r="LEL239" s="140"/>
      <c r="LEM239" s="140"/>
      <c r="LEN239" s="140"/>
      <c r="LEO239" s="140"/>
      <c r="LEP239" s="140"/>
      <c r="LEQ239" s="140"/>
      <c r="LER239" s="140"/>
      <c r="LES239" s="140"/>
      <c r="LET239" s="140"/>
      <c r="LEU239" s="140"/>
      <c r="LEV239" s="140"/>
      <c r="LEW239" s="140"/>
      <c r="LEX239" s="140"/>
      <c r="LEY239" s="140"/>
      <c r="LEZ239" s="140"/>
      <c r="LFA239" s="140"/>
      <c r="LFB239" s="140"/>
      <c r="LFC239" s="140"/>
      <c r="LFD239" s="140"/>
      <c r="LFE239" s="140"/>
      <c r="LFF239" s="140"/>
      <c r="LFG239" s="140"/>
      <c r="LFH239" s="140"/>
      <c r="LFI239" s="140"/>
      <c r="LFJ239" s="140"/>
      <c r="LFK239" s="140"/>
      <c r="LFL239" s="140"/>
      <c r="LFM239" s="140"/>
      <c r="LFN239" s="140"/>
      <c r="LFO239" s="140"/>
      <c r="LFP239" s="140"/>
      <c r="LFQ239" s="140"/>
      <c r="LFR239" s="140"/>
      <c r="LFS239" s="140"/>
      <c r="LFT239" s="140"/>
      <c r="LFU239" s="140"/>
      <c r="LFV239" s="140"/>
      <c r="LFW239" s="140"/>
      <c r="LFX239" s="140"/>
      <c r="LFY239" s="140"/>
      <c r="LFZ239" s="140"/>
      <c r="LGA239" s="140"/>
      <c r="LGB239" s="140"/>
      <c r="LGC239" s="140"/>
      <c r="LGD239" s="140"/>
      <c r="LGE239" s="140"/>
      <c r="LGF239" s="140"/>
      <c r="LGG239" s="140"/>
      <c r="LGH239" s="140"/>
      <c r="LGI239" s="140"/>
      <c r="LGJ239" s="140"/>
      <c r="LGK239" s="140"/>
      <c r="LGL239" s="140"/>
      <c r="LGM239" s="140"/>
      <c r="LGN239" s="140"/>
      <c r="LGO239" s="140"/>
      <c r="LGP239" s="140"/>
      <c r="LGQ239" s="140"/>
      <c r="LGR239" s="140"/>
      <c r="LGS239" s="140"/>
      <c r="LGT239" s="140"/>
      <c r="LGU239" s="140"/>
      <c r="LGV239" s="140"/>
      <c r="LGW239" s="140"/>
      <c r="LGX239" s="140"/>
      <c r="LGY239" s="140"/>
      <c r="LGZ239" s="140"/>
      <c r="LHA239" s="140"/>
      <c r="LHB239" s="140"/>
      <c r="LHC239" s="140"/>
      <c r="LHD239" s="140"/>
      <c r="LHE239" s="140"/>
      <c r="LHF239" s="140"/>
      <c r="LHG239" s="140"/>
      <c r="LHH239" s="140"/>
      <c r="LHI239" s="140"/>
      <c r="LHJ239" s="140"/>
      <c r="LHK239" s="140"/>
      <c r="LHL239" s="140"/>
      <c r="LHM239" s="140"/>
      <c r="LHN239" s="140"/>
      <c r="LHO239" s="140"/>
      <c r="LHP239" s="140"/>
      <c r="LHQ239" s="140"/>
      <c r="LHR239" s="140"/>
      <c r="LHS239" s="140"/>
      <c r="LHT239" s="140"/>
      <c r="LHU239" s="140"/>
      <c r="LHV239" s="140"/>
      <c r="LHW239" s="140"/>
      <c r="LHX239" s="140"/>
      <c r="LHY239" s="140"/>
      <c r="LHZ239" s="140"/>
      <c r="LIA239" s="140"/>
      <c r="LIB239" s="140"/>
      <c r="LIC239" s="140"/>
      <c r="LID239" s="140"/>
      <c r="LIE239" s="140"/>
      <c r="LIF239" s="140"/>
      <c r="LIG239" s="140"/>
      <c r="LIH239" s="140"/>
      <c r="LII239" s="140"/>
      <c r="LIJ239" s="140"/>
      <c r="LIK239" s="140"/>
      <c r="LIL239" s="140"/>
      <c r="LIM239" s="140"/>
      <c r="LIN239" s="140"/>
      <c r="LIO239" s="140"/>
      <c r="LIP239" s="140"/>
      <c r="LIQ239" s="140"/>
      <c r="LIR239" s="140"/>
      <c r="LIS239" s="140"/>
      <c r="LIT239" s="140"/>
      <c r="LIU239" s="140"/>
      <c r="LIV239" s="140"/>
      <c r="LIW239" s="140"/>
      <c r="LIX239" s="140"/>
      <c r="LIY239" s="140"/>
      <c r="LIZ239" s="140"/>
      <c r="LJA239" s="140"/>
      <c r="LJB239" s="140"/>
      <c r="LJC239" s="140"/>
      <c r="LJD239" s="140"/>
      <c r="LJE239" s="140"/>
      <c r="LJF239" s="140"/>
      <c r="LJG239" s="140"/>
      <c r="LJH239" s="140"/>
      <c r="LJI239" s="140"/>
      <c r="LJJ239" s="140"/>
      <c r="LJK239" s="140"/>
      <c r="LJL239" s="140"/>
      <c r="LJM239" s="140"/>
      <c r="LJN239" s="140"/>
      <c r="LJO239" s="140"/>
      <c r="LJP239" s="140"/>
      <c r="LJQ239" s="140"/>
      <c r="LJR239" s="140"/>
      <c r="LJS239" s="140"/>
      <c r="LJT239" s="140"/>
      <c r="LJU239" s="140"/>
      <c r="LJV239" s="140"/>
      <c r="LJW239" s="140"/>
      <c r="LJX239" s="140"/>
      <c r="LJY239" s="140"/>
      <c r="LJZ239" s="140"/>
      <c r="LKA239" s="140"/>
      <c r="LKB239" s="140"/>
      <c r="LKC239" s="140"/>
      <c r="LKD239" s="140"/>
      <c r="LKE239" s="140"/>
      <c r="LKF239" s="140"/>
      <c r="LKG239" s="140"/>
      <c r="LKH239" s="140"/>
      <c r="LKI239" s="140"/>
      <c r="LKJ239" s="140"/>
      <c r="LKK239" s="140"/>
      <c r="LKL239" s="140"/>
      <c r="LKM239" s="140"/>
      <c r="LKN239" s="140"/>
      <c r="LKO239" s="140"/>
      <c r="LKP239" s="140"/>
      <c r="LKQ239" s="140"/>
      <c r="LKR239" s="140"/>
      <c r="LKS239" s="140"/>
      <c r="LKT239" s="140"/>
      <c r="LKU239" s="140"/>
      <c r="LKV239" s="140"/>
      <c r="LKW239" s="140"/>
      <c r="LKX239" s="140"/>
      <c r="LKY239" s="140"/>
      <c r="LKZ239" s="140"/>
      <c r="LLA239" s="140"/>
      <c r="LLB239" s="140"/>
      <c r="LLC239" s="140"/>
      <c r="LLD239" s="140"/>
      <c r="LLE239" s="140"/>
      <c r="LLF239" s="140"/>
      <c r="LLG239" s="140"/>
      <c r="LLH239" s="140"/>
      <c r="LLI239" s="140"/>
      <c r="LLJ239" s="140"/>
      <c r="LLK239" s="140"/>
      <c r="LLL239" s="140"/>
      <c r="LLM239" s="140"/>
      <c r="LLN239" s="140"/>
      <c r="LLO239" s="140"/>
      <c r="LLP239" s="140"/>
      <c r="LLQ239" s="140"/>
      <c r="LLR239" s="140"/>
      <c r="LLS239" s="140"/>
      <c r="LLT239" s="140"/>
      <c r="LLU239" s="140"/>
      <c r="LLV239" s="140"/>
      <c r="LLW239" s="140"/>
      <c r="LLX239" s="140"/>
      <c r="LLY239" s="140"/>
      <c r="LLZ239" s="140"/>
      <c r="LMA239" s="140"/>
      <c r="LMB239" s="140"/>
      <c r="LMC239" s="140"/>
      <c r="LMD239" s="140"/>
      <c r="LME239" s="140"/>
      <c r="LMF239" s="140"/>
      <c r="LMG239" s="140"/>
      <c r="LMH239" s="140"/>
      <c r="LMI239" s="140"/>
      <c r="LMJ239" s="140"/>
      <c r="LMK239" s="140"/>
      <c r="LML239" s="140"/>
      <c r="LMM239" s="140"/>
      <c r="LMN239" s="140"/>
      <c r="LMO239" s="140"/>
      <c r="LMP239" s="140"/>
      <c r="LMQ239" s="140"/>
      <c r="LMR239" s="140"/>
      <c r="LMS239" s="140"/>
      <c r="LMT239" s="140"/>
      <c r="LMU239" s="140"/>
      <c r="LMV239" s="140"/>
      <c r="LMW239" s="140"/>
      <c r="LMX239" s="140"/>
      <c r="LMY239" s="140"/>
      <c r="LMZ239" s="140"/>
      <c r="LNA239" s="140"/>
      <c r="LNB239" s="140"/>
      <c r="LNC239" s="140"/>
      <c r="LND239" s="140"/>
      <c r="LNE239" s="140"/>
      <c r="LNF239" s="140"/>
      <c r="LNG239" s="140"/>
      <c r="LNH239" s="140"/>
      <c r="LNI239" s="140"/>
      <c r="LNJ239" s="140"/>
      <c r="LNK239" s="140"/>
      <c r="LNL239" s="140"/>
      <c r="LNM239" s="140"/>
      <c r="LNN239" s="140"/>
      <c r="LNO239" s="140"/>
      <c r="LNP239" s="140"/>
      <c r="LNQ239" s="140"/>
      <c r="LNR239" s="140"/>
      <c r="LNS239" s="140"/>
      <c r="LNT239" s="140"/>
      <c r="LNU239" s="140"/>
      <c r="LNV239" s="140"/>
      <c r="LNW239" s="140"/>
      <c r="LNX239" s="140"/>
      <c r="LNY239" s="140"/>
      <c r="LNZ239" s="140"/>
      <c r="LOA239" s="140"/>
      <c r="LOB239" s="140"/>
      <c r="LOC239" s="140"/>
      <c r="LOD239" s="140"/>
      <c r="LOE239" s="140"/>
      <c r="LOF239" s="140"/>
      <c r="LOG239" s="140"/>
      <c r="LOH239" s="140"/>
      <c r="LOI239" s="140"/>
      <c r="LOJ239" s="140"/>
      <c r="LOK239" s="140"/>
      <c r="LOL239" s="140"/>
      <c r="LOM239" s="140"/>
      <c r="LON239" s="140"/>
      <c r="LOO239" s="140"/>
      <c r="LOP239" s="140"/>
      <c r="LOQ239" s="140"/>
      <c r="LOR239" s="140"/>
      <c r="LOS239" s="140"/>
      <c r="LOT239" s="140"/>
      <c r="LOU239" s="140"/>
      <c r="LOV239" s="140"/>
      <c r="LOW239" s="140"/>
      <c r="LOX239" s="140"/>
      <c r="LOY239" s="140"/>
      <c r="LOZ239" s="140"/>
      <c r="LPA239" s="140"/>
      <c r="LPB239" s="140"/>
      <c r="LPC239" s="140"/>
      <c r="LPD239" s="140"/>
      <c r="LPE239" s="140"/>
      <c r="LPF239" s="140"/>
      <c r="LPG239" s="140"/>
      <c r="LPH239" s="140"/>
      <c r="LPI239" s="140"/>
      <c r="LPJ239" s="140"/>
      <c r="LPK239" s="140"/>
      <c r="LPL239" s="140"/>
      <c r="LPM239" s="140"/>
      <c r="LPN239" s="140"/>
      <c r="LPO239" s="140"/>
      <c r="LPP239" s="140"/>
      <c r="LPQ239" s="140"/>
      <c r="LPR239" s="140"/>
      <c r="LPS239" s="140"/>
      <c r="LPT239" s="140"/>
      <c r="LPU239" s="140"/>
      <c r="LPV239" s="140"/>
      <c r="LPW239" s="140"/>
      <c r="LPX239" s="140"/>
      <c r="LPY239" s="140"/>
      <c r="LPZ239" s="140"/>
      <c r="LQA239" s="140"/>
      <c r="LQB239" s="140"/>
      <c r="LQC239" s="140"/>
      <c r="LQD239" s="140"/>
      <c r="LQE239" s="140"/>
      <c r="LQF239" s="140"/>
      <c r="LQG239" s="140"/>
      <c r="LQH239" s="140"/>
      <c r="LQI239" s="140"/>
      <c r="LQJ239" s="140"/>
      <c r="LQK239" s="140"/>
      <c r="LQL239" s="140"/>
      <c r="LQM239" s="140"/>
      <c r="LQN239" s="140"/>
      <c r="LQO239" s="140"/>
      <c r="LQP239" s="140"/>
      <c r="LQQ239" s="140"/>
      <c r="LQR239" s="140"/>
      <c r="LQS239" s="140"/>
      <c r="LQT239" s="140"/>
      <c r="LQU239" s="140"/>
      <c r="LQV239" s="140"/>
      <c r="LQW239" s="140"/>
      <c r="LQX239" s="140"/>
      <c r="LQY239" s="140"/>
      <c r="LQZ239" s="140"/>
      <c r="LRA239" s="140"/>
      <c r="LRB239" s="140"/>
      <c r="LRC239" s="140"/>
      <c r="LRD239" s="140"/>
      <c r="LRE239" s="140"/>
      <c r="LRF239" s="140"/>
      <c r="LRG239" s="140"/>
      <c r="LRH239" s="140"/>
      <c r="LRI239" s="140"/>
      <c r="LRJ239" s="140"/>
      <c r="LRK239" s="140"/>
      <c r="LRL239" s="140"/>
      <c r="LRM239" s="140"/>
      <c r="LRN239" s="140"/>
      <c r="LRO239" s="140"/>
      <c r="LRP239" s="140"/>
      <c r="LRQ239" s="140"/>
      <c r="LRR239" s="140"/>
      <c r="LRS239" s="140"/>
      <c r="LRT239" s="140"/>
      <c r="LRU239" s="140"/>
      <c r="LRV239" s="140"/>
      <c r="LRW239" s="140"/>
      <c r="LRX239" s="140"/>
      <c r="LRY239" s="140"/>
      <c r="LRZ239" s="140"/>
      <c r="LSA239" s="140"/>
      <c r="LSB239" s="140"/>
      <c r="LSC239" s="140"/>
      <c r="LSD239" s="140"/>
      <c r="LSE239" s="140"/>
      <c r="LSF239" s="140"/>
      <c r="LSG239" s="140"/>
      <c r="LSH239" s="140"/>
      <c r="LSI239" s="140"/>
      <c r="LSJ239" s="140"/>
      <c r="LSK239" s="140"/>
      <c r="LSL239" s="140"/>
      <c r="LSM239" s="140"/>
      <c r="LSN239" s="140"/>
      <c r="LSO239" s="140"/>
      <c r="LSP239" s="140"/>
      <c r="LSQ239" s="140"/>
      <c r="LSR239" s="140"/>
      <c r="LSS239" s="140"/>
      <c r="LST239" s="140"/>
      <c r="LSU239" s="140"/>
      <c r="LSV239" s="140"/>
      <c r="LSW239" s="140"/>
      <c r="LSX239" s="140"/>
      <c r="LSY239" s="140"/>
      <c r="LSZ239" s="140"/>
      <c r="LTA239" s="140"/>
      <c r="LTB239" s="140"/>
      <c r="LTC239" s="140"/>
      <c r="LTD239" s="140"/>
      <c r="LTE239" s="140"/>
      <c r="LTF239" s="140"/>
      <c r="LTG239" s="140"/>
      <c r="LTH239" s="140"/>
      <c r="LTI239" s="140"/>
      <c r="LTJ239" s="140"/>
      <c r="LTK239" s="140"/>
      <c r="LTL239" s="140"/>
      <c r="LTM239" s="140"/>
      <c r="LTN239" s="140"/>
      <c r="LTO239" s="140"/>
      <c r="LTP239" s="140"/>
      <c r="LTQ239" s="140"/>
      <c r="LTR239" s="140"/>
      <c r="LTS239" s="140"/>
      <c r="LTT239" s="140"/>
      <c r="LTU239" s="140"/>
      <c r="LTV239" s="140"/>
      <c r="LTW239" s="140"/>
      <c r="LTX239" s="140"/>
      <c r="LTY239" s="140"/>
      <c r="LTZ239" s="140"/>
      <c r="LUA239" s="140"/>
      <c r="LUB239" s="140"/>
      <c r="LUC239" s="140"/>
      <c r="LUD239" s="140"/>
      <c r="LUE239" s="140"/>
      <c r="LUF239" s="140"/>
      <c r="LUG239" s="140"/>
      <c r="LUH239" s="140"/>
      <c r="LUI239" s="140"/>
      <c r="LUJ239" s="140"/>
      <c r="LUK239" s="140"/>
      <c r="LUL239" s="140"/>
      <c r="LUM239" s="140"/>
      <c r="LUN239" s="140"/>
      <c r="LUO239" s="140"/>
      <c r="LUP239" s="140"/>
      <c r="LUQ239" s="140"/>
      <c r="LUR239" s="140"/>
      <c r="LUS239" s="140"/>
      <c r="LUT239" s="140"/>
      <c r="LUU239" s="140"/>
      <c r="LUV239" s="140"/>
      <c r="LUW239" s="140"/>
      <c r="LUX239" s="140"/>
      <c r="LUY239" s="140"/>
      <c r="LUZ239" s="140"/>
      <c r="LVA239" s="140"/>
      <c r="LVB239" s="140"/>
      <c r="LVC239" s="140"/>
      <c r="LVD239" s="140"/>
      <c r="LVE239" s="140"/>
      <c r="LVF239" s="140"/>
      <c r="LVG239" s="140"/>
      <c r="LVH239" s="140"/>
      <c r="LVI239" s="140"/>
      <c r="LVJ239" s="140"/>
      <c r="LVK239" s="140"/>
      <c r="LVL239" s="140"/>
      <c r="LVM239" s="140"/>
      <c r="LVN239" s="140"/>
      <c r="LVO239" s="140"/>
      <c r="LVP239" s="140"/>
      <c r="LVQ239" s="140"/>
      <c r="LVR239" s="140"/>
      <c r="LVS239" s="140"/>
      <c r="LVT239" s="140"/>
      <c r="LVU239" s="140"/>
      <c r="LVV239" s="140"/>
      <c r="LVW239" s="140"/>
      <c r="LVX239" s="140"/>
      <c r="LVY239" s="140"/>
      <c r="LVZ239" s="140"/>
      <c r="LWA239" s="140"/>
      <c r="LWB239" s="140"/>
      <c r="LWC239" s="140"/>
      <c r="LWD239" s="140"/>
      <c r="LWE239" s="140"/>
      <c r="LWF239" s="140"/>
      <c r="LWG239" s="140"/>
      <c r="LWH239" s="140"/>
      <c r="LWI239" s="140"/>
      <c r="LWJ239" s="140"/>
      <c r="LWK239" s="140"/>
      <c r="LWL239" s="140"/>
      <c r="LWM239" s="140"/>
      <c r="LWN239" s="140"/>
      <c r="LWO239" s="140"/>
      <c r="LWP239" s="140"/>
      <c r="LWQ239" s="140"/>
      <c r="LWR239" s="140"/>
      <c r="LWS239" s="140"/>
      <c r="LWT239" s="140"/>
      <c r="LWU239" s="140"/>
      <c r="LWV239" s="140"/>
      <c r="LWW239" s="140"/>
      <c r="LWX239" s="140"/>
      <c r="LWY239" s="140"/>
      <c r="LWZ239" s="140"/>
      <c r="LXA239" s="140"/>
      <c r="LXB239" s="140"/>
      <c r="LXC239" s="140"/>
      <c r="LXD239" s="140"/>
      <c r="LXE239" s="140"/>
      <c r="LXF239" s="140"/>
      <c r="LXG239" s="140"/>
      <c r="LXH239" s="140"/>
      <c r="LXI239" s="140"/>
      <c r="LXJ239" s="140"/>
      <c r="LXK239" s="140"/>
      <c r="LXL239" s="140"/>
      <c r="LXM239" s="140"/>
      <c r="LXN239" s="140"/>
      <c r="LXO239" s="140"/>
      <c r="LXP239" s="140"/>
      <c r="LXQ239" s="140"/>
      <c r="LXR239" s="140"/>
      <c r="LXS239" s="140"/>
      <c r="LXT239" s="140"/>
      <c r="LXU239" s="140"/>
      <c r="LXV239" s="140"/>
      <c r="LXW239" s="140"/>
      <c r="LXX239" s="140"/>
      <c r="LXY239" s="140"/>
      <c r="LXZ239" s="140"/>
      <c r="LYA239" s="140"/>
      <c r="LYB239" s="140"/>
      <c r="LYC239" s="140"/>
      <c r="LYD239" s="140"/>
      <c r="LYE239" s="140"/>
      <c r="LYF239" s="140"/>
      <c r="LYG239" s="140"/>
      <c r="LYH239" s="140"/>
      <c r="LYI239" s="140"/>
      <c r="LYJ239" s="140"/>
      <c r="LYK239" s="140"/>
      <c r="LYL239" s="140"/>
      <c r="LYM239" s="140"/>
      <c r="LYN239" s="140"/>
      <c r="LYO239" s="140"/>
      <c r="LYP239" s="140"/>
      <c r="LYQ239" s="140"/>
      <c r="LYR239" s="140"/>
      <c r="LYS239" s="140"/>
      <c r="LYT239" s="140"/>
      <c r="LYU239" s="140"/>
      <c r="LYV239" s="140"/>
      <c r="LYW239" s="140"/>
      <c r="LYX239" s="140"/>
      <c r="LYY239" s="140"/>
      <c r="LYZ239" s="140"/>
      <c r="LZA239" s="140"/>
      <c r="LZB239" s="140"/>
      <c r="LZC239" s="140"/>
      <c r="LZD239" s="140"/>
      <c r="LZE239" s="140"/>
      <c r="LZF239" s="140"/>
      <c r="LZG239" s="140"/>
      <c r="LZH239" s="140"/>
      <c r="LZI239" s="140"/>
      <c r="LZJ239" s="140"/>
      <c r="LZK239" s="140"/>
      <c r="LZL239" s="140"/>
      <c r="LZM239" s="140"/>
      <c r="LZN239" s="140"/>
      <c r="LZO239" s="140"/>
      <c r="LZP239" s="140"/>
      <c r="LZQ239" s="140"/>
      <c r="LZR239" s="140"/>
      <c r="LZS239" s="140"/>
      <c r="LZT239" s="140"/>
      <c r="LZU239" s="140"/>
      <c r="LZV239" s="140"/>
      <c r="LZW239" s="140"/>
      <c r="LZX239" s="140"/>
      <c r="LZY239" s="140"/>
      <c r="LZZ239" s="140"/>
      <c r="MAA239" s="140"/>
      <c r="MAB239" s="140"/>
      <c r="MAC239" s="140"/>
      <c r="MAD239" s="140"/>
      <c r="MAE239" s="140"/>
      <c r="MAF239" s="140"/>
      <c r="MAG239" s="140"/>
      <c r="MAH239" s="140"/>
      <c r="MAI239" s="140"/>
      <c r="MAJ239" s="140"/>
      <c r="MAK239" s="140"/>
      <c r="MAL239" s="140"/>
      <c r="MAM239" s="140"/>
      <c r="MAN239" s="140"/>
      <c r="MAO239" s="140"/>
      <c r="MAP239" s="140"/>
      <c r="MAQ239" s="140"/>
      <c r="MAR239" s="140"/>
      <c r="MAS239" s="140"/>
      <c r="MAT239" s="140"/>
      <c r="MAU239" s="140"/>
      <c r="MAV239" s="140"/>
      <c r="MAW239" s="140"/>
      <c r="MAX239" s="140"/>
      <c r="MAY239" s="140"/>
      <c r="MAZ239" s="140"/>
      <c r="MBA239" s="140"/>
      <c r="MBB239" s="140"/>
      <c r="MBC239" s="140"/>
      <c r="MBD239" s="140"/>
      <c r="MBE239" s="140"/>
      <c r="MBF239" s="140"/>
      <c r="MBG239" s="140"/>
      <c r="MBH239" s="140"/>
      <c r="MBI239" s="140"/>
      <c r="MBJ239" s="140"/>
      <c r="MBK239" s="140"/>
      <c r="MBL239" s="140"/>
      <c r="MBM239" s="140"/>
      <c r="MBN239" s="140"/>
      <c r="MBO239" s="140"/>
      <c r="MBP239" s="140"/>
      <c r="MBQ239" s="140"/>
      <c r="MBR239" s="140"/>
      <c r="MBS239" s="140"/>
      <c r="MBT239" s="140"/>
      <c r="MBU239" s="140"/>
      <c r="MBV239" s="140"/>
      <c r="MBW239" s="140"/>
      <c r="MBX239" s="140"/>
      <c r="MBY239" s="140"/>
      <c r="MBZ239" s="140"/>
      <c r="MCA239" s="140"/>
      <c r="MCB239" s="140"/>
      <c r="MCC239" s="140"/>
      <c r="MCD239" s="140"/>
      <c r="MCE239" s="140"/>
      <c r="MCF239" s="140"/>
      <c r="MCG239" s="140"/>
      <c r="MCH239" s="140"/>
      <c r="MCI239" s="140"/>
      <c r="MCJ239" s="140"/>
      <c r="MCK239" s="140"/>
      <c r="MCL239" s="140"/>
      <c r="MCM239" s="140"/>
      <c r="MCN239" s="140"/>
      <c r="MCO239" s="140"/>
      <c r="MCP239" s="140"/>
      <c r="MCQ239" s="140"/>
      <c r="MCR239" s="140"/>
      <c r="MCS239" s="140"/>
      <c r="MCT239" s="140"/>
      <c r="MCU239" s="140"/>
      <c r="MCV239" s="140"/>
      <c r="MCW239" s="140"/>
      <c r="MCX239" s="140"/>
      <c r="MCY239" s="140"/>
      <c r="MCZ239" s="140"/>
      <c r="MDA239" s="140"/>
      <c r="MDB239" s="140"/>
      <c r="MDC239" s="140"/>
      <c r="MDD239" s="140"/>
      <c r="MDE239" s="140"/>
      <c r="MDF239" s="140"/>
      <c r="MDG239" s="140"/>
      <c r="MDH239" s="140"/>
      <c r="MDI239" s="140"/>
      <c r="MDJ239" s="140"/>
      <c r="MDK239" s="140"/>
      <c r="MDL239" s="140"/>
      <c r="MDM239" s="140"/>
      <c r="MDN239" s="140"/>
      <c r="MDO239" s="140"/>
      <c r="MDP239" s="140"/>
      <c r="MDQ239" s="140"/>
      <c r="MDR239" s="140"/>
      <c r="MDS239" s="140"/>
      <c r="MDT239" s="140"/>
      <c r="MDU239" s="140"/>
      <c r="MDV239" s="140"/>
      <c r="MDW239" s="140"/>
      <c r="MDX239" s="140"/>
      <c r="MDY239" s="140"/>
      <c r="MDZ239" s="140"/>
      <c r="MEA239" s="140"/>
      <c r="MEB239" s="140"/>
      <c r="MEC239" s="140"/>
      <c r="MED239" s="140"/>
      <c r="MEE239" s="140"/>
      <c r="MEF239" s="140"/>
      <c r="MEG239" s="140"/>
      <c r="MEH239" s="140"/>
      <c r="MEI239" s="140"/>
      <c r="MEJ239" s="140"/>
      <c r="MEK239" s="140"/>
      <c r="MEL239" s="140"/>
      <c r="MEM239" s="140"/>
      <c r="MEN239" s="140"/>
      <c r="MEO239" s="140"/>
      <c r="MEP239" s="140"/>
      <c r="MEQ239" s="140"/>
      <c r="MER239" s="140"/>
      <c r="MES239" s="140"/>
      <c r="MET239" s="140"/>
      <c r="MEU239" s="140"/>
      <c r="MEV239" s="140"/>
      <c r="MEW239" s="140"/>
      <c r="MEX239" s="140"/>
      <c r="MEY239" s="140"/>
      <c r="MEZ239" s="140"/>
      <c r="MFA239" s="140"/>
      <c r="MFB239" s="140"/>
      <c r="MFC239" s="140"/>
      <c r="MFD239" s="140"/>
      <c r="MFE239" s="140"/>
      <c r="MFF239" s="140"/>
      <c r="MFG239" s="140"/>
      <c r="MFH239" s="140"/>
      <c r="MFI239" s="140"/>
      <c r="MFJ239" s="140"/>
      <c r="MFK239" s="140"/>
      <c r="MFL239" s="140"/>
      <c r="MFM239" s="140"/>
      <c r="MFN239" s="140"/>
      <c r="MFO239" s="140"/>
      <c r="MFP239" s="140"/>
      <c r="MFQ239" s="140"/>
      <c r="MFR239" s="140"/>
      <c r="MFS239" s="140"/>
      <c r="MFT239" s="140"/>
      <c r="MFU239" s="140"/>
      <c r="MFV239" s="140"/>
      <c r="MFW239" s="140"/>
      <c r="MFX239" s="140"/>
      <c r="MFY239" s="140"/>
      <c r="MFZ239" s="140"/>
      <c r="MGA239" s="140"/>
      <c r="MGB239" s="140"/>
      <c r="MGC239" s="140"/>
      <c r="MGD239" s="140"/>
      <c r="MGE239" s="140"/>
      <c r="MGF239" s="140"/>
      <c r="MGG239" s="140"/>
      <c r="MGH239" s="140"/>
      <c r="MGI239" s="140"/>
      <c r="MGJ239" s="140"/>
      <c r="MGK239" s="140"/>
      <c r="MGL239" s="140"/>
      <c r="MGM239" s="140"/>
      <c r="MGN239" s="140"/>
      <c r="MGO239" s="140"/>
      <c r="MGP239" s="140"/>
      <c r="MGQ239" s="140"/>
      <c r="MGR239" s="140"/>
      <c r="MGS239" s="140"/>
      <c r="MGT239" s="140"/>
      <c r="MGU239" s="140"/>
      <c r="MGV239" s="140"/>
      <c r="MGW239" s="140"/>
      <c r="MGX239" s="140"/>
      <c r="MGY239" s="140"/>
      <c r="MGZ239" s="140"/>
      <c r="MHA239" s="140"/>
      <c r="MHB239" s="140"/>
      <c r="MHC239" s="140"/>
      <c r="MHD239" s="140"/>
      <c r="MHE239" s="140"/>
      <c r="MHF239" s="140"/>
      <c r="MHG239" s="140"/>
      <c r="MHH239" s="140"/>
      <c r="MHI239" s="140"/>
      <c r="MHJ239" s="140"/>
      <c r="MHK239" s="140"/>
      <c r="MHL239" s="140"/>
      <c r="MHM239" s="140"/>
      <c r="MHN239" s="140"/>
      <c r="MHO239" s="140"/>
      <c r="MHP239" s="140"/>
      <c r="MHQ239" s="140"/>
      <c r="MHR239" s="140"/>
      <c r="MHS239" s="140"/>
      <c r="MHT239" s="140"/>
      <c r="MHU239" s="140"/>
      <c r="MHV239" s="140"/>
      <c r="MHW239" s="140"/>
      <c r="MHX239" s="140"/>
      <c r="MHY239" s="140"/>
      <c r="MHZ239" s="140"/>
      <c r="MIA239" s="140"/>
      <c r="MIB239" s="140"/>
      <c r="MIC239" s="140"/>
      <c r="MID239" s="140"/>
      <c r="MIE239" s="140"/>
      <c r="MIF239" s="140"/>
      <c r="MIG239" s="140"/>
      <c r="MIH239" s="140"/>
      <c r="MII239" s="140"/>
      <c r="MIJ239" s="140"/>
      <c r="MIK239" s="140"/>
      <c r="MIL239" s="140"/>
      <c r="MIM239" s="140"/>
      <c r="MIN239" s="140"/>
      <c r="MIO239" s="140"/>
      <c r="MIP239" s="140"/>
      <c r="MIQ239" s="140"/>
      <c r="MIR239" s="140"/>
      <c r="MIS239" s="140"/>
      <c r="MIT239" s="140"/>
      <c r="MIU239" s="140"/>
      <c r="MIV239" s="140"/>
      <c r="MIW239" s="140"/>
      <c r="MIX239" s="140"/>
      <c r="MIY239" s="140"/>
      <c r="MIZ239" s="140"/>
      <c r="MJA239" s="140"/>
      <c r="MJB239" s="140"/>
      <c r="MJC239" s="140"/>
      <c r="MJD239" s="140"/>
      <c r="MJE239" s="140"/>
      <c r="MJF239" s="140"/>
      <c r="MJG239" s="140"/>
      <c r="MJH239" s="140"/>
      <c r="MJI239" s="140"/>
      <c r="MJJ239" s="140"/>
      <c r="MJK239" s="140"/>
      <c r="MJL239" s="140"/>
      <c r="MJM239" s="140"/>
      <c r="MJN239" s="140"/>
      <c r="MJO239" s="140"/>
      <c r="MJP239" s="140"/>
      <c r="MJQ239" s="140"/>
      <c r="MJR239" s="140"/>
      <c r="MJS239" s="140"/>
      <c r="MJT239" s="140"/>
      <c r="MJU239" s="140"/>
      <c r="MJV239" s="140"/>
      <c r="MJW239" s="140"/>
      <c r="MJX239" s="140"/>
      <c r="MJY239" s="140"/>
      <c r="MJZ239" s="140"/>
      <c r="MKA239" s="140"/>
      <c r="MKB239" s="140"/>
      <c r="MKC239" s="140"/>
      <c r="MKD239" s="140"/>
      <c r="MKE239" s="140"/>
      <c r="MKF239" s="140"/>
      <c r="MKG239" s="140"/>
      <c r="MKH239" s="140"/>
      <c r="MKI239" s="140"/>
      <c r="MKJ239" s="140"/>
      <c r="MKK239" s="140"/>
      <c r="MKL239" s="140"/>
      <c r="MKM239" s="140"/>
      <c r="MKN239" s="140"/>
      <c r="MKO239" s="140"/>
      <c r="MKP239" s="140"/>
      <c r="MKQ239" s="140"/>
      <c r="MKR239" s="140"/>
      <c r="MKS239" s="140"/>
      <c r="MKT239" s="140"/>
      <c r="MKU239" s="140"/>
      <c r="MKV239" s="140"/>
      <c r="MKW239" s="140"/>
      <c r="MKX239" s="140"/>
      <c r="MKY239" s="140"/>
      <c r="MKZ239" s="140"/>
      <c r="MLA239" s="140"/>
      <c r="MLB239" s="140"/>
      <c r="MLC239" s="140"/>
      <c r="MLD239" s="140"/>
      <c r="MLE239" s="140"/>
      <c r="MLF239" s="140"/>
      <c r="MLG239" s="140"/>
      <c r="MLH239" s="140"/>
      <c r="MLI239" s="140"/>
      <c r="MLJ239" s="140"/>
      <c r="MLK239" s="140"/>
      <c r="MLL239" s="140"/>
      <c r="MLM239" s="140"/>
      <c r="MLN239" s="140"/>
      <c r="MLO239" s="140"/>
      <c r="MLP239" s="140"/>
      <c r="MLQ239" s="140"/>
      <c r="MLR239" s="140"/>
      <c r="MLS239" s="140"/>
      <c r="MLT239" s="140"/>
      <c r="MLU239" s="140"/>
      <c r="MLV239" s="140"/>
      <c r="MLW239" s="140"/>
      <c r="MLX239" s="140"/>
      <c r="MLY239" s="140"/>
      <c r="MLZ239" s="140"/>
      <c r="MMA239" s="140"/>
      <c r="MMB239" s="140"/>
      <c r="MMC239" s="140"/>
      <c r="MMD239" s="140"/>
      <c r="MME239" s="140"/>
      <c r="MMF239" s="140"/>
      <c r="MMG239" s="140"/>
      <c r="MMH239" s="140"/>
      <c r="MMI239" s="140"/>
      <c r="MMJ239" s="140"/>
      <c r="MMK239" s="140"/>
      <c r="MML239" s="140"/>
      <c r="MMM239" s="140"/>
      <c r="MMN239" s="140"/>
      <c r="MMO239" s="140"/>
      <c r="MMP239" s="140"/>
      <c r="MMQ239" s="140"/>
      <c r="MMR239" s="140"/>
      <c r="MMS239" s="140"/>
      <c r="MMT239" s="140"/>
      <c r="MMU239" s="140"/>
      <c r="MMV239" s="140"/>
      <c r="MMW239" s="140"/>
      <c r="MMX239" s="140"/>
      <c r="MMY239" s="140"/>
      <c r="MMZ239" s="140"/>
      <c r="MNA239" s="140"/>
      <c r="MNB239" s="140"/>
      <c r="MNC239" s="140"/>
      <c r="MND239" s="140"/>
      <c r="MNE239" s="140"/>
      <c r="MNF239" s="140"/>
      <c r="MNG239" s="140"/>
      <c r="MNH239" s="140"/>
      <c r="MNI239" s="140"/>
      <c r="MNJ239" s="140"/>
      <c r="MNK239" s="140"/>
      <c r="MNL239" s="140"/>
      <c r="MNM239" s="140"/>
      <c r="MNN239" s="140"/>
      <c r="MNO239" s="140"/>
      <c r="MNP239" s="140"/>
      <c r="MNQ239" s="140"/>
      <c r="MNR239" s="140"/>
      <c r="MNS239" s="140"/>
      <c r="MNT239" s="140"/>
      <c r="MNU239" s="140"/>
      <c r="MNV239" s="140"/>
      <c r="MNW239" s="140"/>
      <c r="MNX239" s="140"/>
      <c r="MNY239" s="140"/>
      <c r="MNZ239" s="140"/>
      <c r="MOA239" s="140"/>
      <c r="MOB239" s="140"/>
      <c r="MOC239" s="140"/>
      <c r="MOD239" s="140"/>
      <c r="MOE239" s="140"/>
      <c r="MOF239" s="140"/>
      <c r="MOG239" s="140"/>
      <c r="MOH239" s="140"/>
      <c r="MOI239" s="140"/>
      <c r="MOJ239" s="140"/>
      <c r="MOK239" s="140"/>
      <c r="MOL239" s="140"/>
      <c r="MOM239" s="140"/>
      <c r="MON239" s="140"/>
      <c r="MOO239" s="140"/>
      <c r="MOP239" s="140"/>
      <c r="MOQ239" s="140"/>
      <c r="MOR239" s="140"/>
      <c r="MOS239" s="140"/>
      <c r="MOT239" s="140"/>
      <c r="MOU239" s="140"/>
      <c r="MOV239" s="140"/>
      <c r="MOW239" s="140"/>
      <c r="MOX239" s="140"/>
      <c r="MOY239" s="140"/>
      <c r="MOZ239" s="140"/>
      <c r="MPA239" s="140"/>
      <c r="MPB239" s="140"/>
      <c r="MPC239" s="140"/>
      <c r="MPD239" s="140"/>
      <c r="MPE239" s="140"/>
      <c r="MPF239" s="140"/>
      <c r="MPG239" s="140"/>
      <c r="MPH239" s="140"/>
      <c r="MPI239" s="140"/>
      <c r="MPJ239" s="140"/>
      <c r="MPK239" s="140"/>
      <c r="MPL239" s="140"/>
      <c r="MPM239" s="140"/>
      <c r="MPN239" s="140"/>
      <c r="MPO239" s="140"/>
      <c r="MPP239" s="140"/>
      <c r="MPQ239" s="140"/>
      <c r="MPR239" s="140"/>
      <c r="MPS239" s="140"/>
      <c r="MPT239" s="140"/>
      <c r="MPU239" s="140"/>
      <c r="MPV239" s="140"/>
      <c r="MPW239" s="140"/>
      <c r="MPX239" s="140"/>
      <c r="MPY239" s="140"/>
      <c r="MPZ239" s="140"/>
      <c r="MQA239" s="140"/>
      <c r="MQB239" s="140"/>
      <c r="MQC239" s="140"/>
      <c r="MQD239" s="140"/>
      <c r="MQE239" s="140"/>
      <c r="MQF239" s="140"/>
      <c r="MQG239" s="140"/>
      <c r="MQH239" s="140"/>
      <c r="MQI239" s="140"/>
      <c r="MQJ239" s="140"/>
      <c r="MQK239" s="140"/>
      <c r="MQL239" s="140"/>
      <c r="MQM239" s="140"/>
      <c r="MQN239" s="140"/>
      <c r="MQO239" s="140"/>
      <c r="MQP239" s="140"/>
      <c r="MQQ239" s="140"/>
      <c r="MQR239" s="140"/>
      <c r="MQS239" s="140"/>
      <c r="MQT239" s="140"/>
      <c r="MQU239" s="140"/>
      <c r="MQV239" s="140"/>
      <c r="MQW239" s="140"/>
      <c r="MQX239" s="140"/>
      <c r="MQY239" s="140"/>
      <c r="MQZ239" s="140"/>
      <c r="MRA239" s="140"/>
      <c r="MRB239" s="140"/>
      <c r="MRC239" s="140"/>
      <c r="MRD239" s="140"/>
      <c r="MRE239" s="140"/>
      <c r="MRF239" s="140"/>
      <c r="MRG239" s="140"/>
      <c r="MRH239" s="140"/>
      <c r="MRI239" s="140"/>
      <c r="MRJ239" s="140"/>
      <c r="MRK239" s="140"/>
      <c r="MRL239" s="140"/>
      <c r="MRM239" s="140"/>
      <c r="MRN239" s="140"/>
      <c r="MRO239" s="140"/>
      <c r="MRP239" s="140"/>
      <c r="MRQ239" s="140"/>
      <c r="MRR239" s="140"/>
      <c r="MRS239" s="140"/>
      <c r="MRT239" s="140"/>
      <c r="MRU239" s="140"/>
      <c r="MRV239" s="140"/>
      <c r="MRW239" s="140"/>
      <c r="MRX239" s="140"/>
      <c r="MRY239" s="140"/>
      <c r="MRZ239" s="140"/>
      <c r="MSA239" s="140"/>
      <c r="MSB239" s="140"/>
      <c r="MSC239" s="140"/>
      <c r="MSD239" s="140"/>
      <c r="MSE239" s="140"/>
      <c r="MSF239" s="140"/>
      <c r="MSG239" s="140"/>
      <c r="MSH239" s="140"/>
      <c r="MSI239" s="140"/>
      <c r="MSJ239" s="140"/>
      <c r="MSK239" s="140"/>
      <c r="MSL239" s="140"/>
      <c r="MSM239" s="140"/>
      <c r="MSN239" s="140"/>
      <c r="MSO239" s="140"/>
      <c r="MSP239" s="140"/>
      <c r="MSQ239" s="140"/>
      <c r="MSR239" s="140"/>
      <c r="MSS239" s="140"/>
      <c r="MST239" s="140"/>
      <c r="MSU239" s="140"/>
      <c r="MSV239" s="140"/>
      <c r="MSW239" s="140"/>
      <c r="MSX239" s="140"/>
      <c r="MSY239" s="140"/>
      <c r="MSZ239" s="140"/>
      <c r="MTA239" s="140"/>
      <c r="MTB239" s="140"/>
      <c r="MTC239" s="140"/>
      <c r="MTD239" s="140"/>
      <c r="MTE239" s="140"/>
      <c r="MTF239" s="140"/>
      <c r="MTG239" s="140"/>
      <c r="MTH239" s="140"/>
      <c r="MTI239" s="140"/>
      <c r="MTJ239" s="140"/>
      <c r="MTK239" s="140"/>
      <c r="MTL239" s="140"/>
      <c r="MTM239" s="140"/>
      <c r="MTN239" s="140"/>
      <c r="MTO239" s="140"/>
      <c r="MTP239" s="140"/>
      <c r="MTQ239" s="140"/>
      <c r="MTR239" s="140"/>
      <c r="MTS239" s="140"/>
      <c r="MTT239" s="140"/>
      <c r="MTU239" s="140"/>
      <c r="MTV239" s="140"/>
      <c r="MTW239" s="140"/>
      <c r="MTX239" s="140"/>
      <c r="MTY239" s="140"/>
      <c r="MTZ239" s="140"/>
      <c r="MUA239" s="140"/>
      <c r="MUB239" s="140"/>
      <c r="MUC239" s="140"/>
      <c r="MUD239" s="140"/>
      <c r="MUE239" s="140"/>
      <c r="MUF239" s="140"/>
      <c r="MUG239" s="140"/>
      <c r="MUH239" s="140"/>
      <c r="MUI239" s="140"/>
      <c r="MUJ239" s="140"/>
      <c r="MUK239" s="140"/>
      <c r="MUL239" s="140"/>
      <c r="MUM239" s="140"/>
      <c r="MUN239" s="140"/>
      <c r="MUO239" s="140"/>
      <c r="MUP239" s="140"/>
      <c r="MUQ239" s="140"/>
      <c r="MUR239" s="140"/>
      <c r="MUS239" s="140"/>
      <c r="MUT239" s="140"/>
      <c r="MUU239" s="140"/>
      <c r="MUV239" s="140"/>
      <c r="MUW239" s="140"/>
      <c r="MUX239" s="140"/>
      <c r="MUY239" s="140"/>
      <c r="MUZ239" s="140"/>
      <c r="MVA239" s="140"/>
      <c r="MVB239" s="140"/>
      <c r="MVC239" s="140"/>
      <c r="MVD239" s="140"/>
      <c r="MVE239" s="140"/>
      <c r="MVF239" s="140"/>
      <c r="MVG239" s="140"/>
      <c r="MVH239" s="140"/>
      <c r="MVI239" s="140"/>
      <c r="MVJ239" s="140"/>
      <c r="MVK239" s="140"/>
      <c r="MVL239" s="140"/>
      <c r="MVM239" s="140"/>
      <c r="MVN239" s="140"/>
      <c r="MVO239" s="140"/>
      <c r="MVP239" s="140"/>
      <c r="MVQ239" s="140"/>
      <c r="MVR239" s="140"/>
      <c r="MVS239" s="140"/>
      <c r="MVT239" s="140"/>
      <c r="MVU239" s="140"/>
      <c r="MVV239" s="140"/>
      <c r="MVW239" s="140"/>
      <c r="MVX239" s="140"/>
      <c r="MVY239" s="140"/>
      <c r="MVZ239" s="140"/>
      <c r="MWA239" s="140"/>
      <c r="MWB239" s="140"/>
      <c r="MWC239" s="140"/>
      <c r="MWD239" s="140"/>
      <c r="MWE239" s="140"/>
      <c r="MWF239" s="140"/>
      <c r="MWG239" s="140"/>
      <c r="MWH239" s="140"/>
      <c r="MWI239" s="140"/>
      <c r="MWJ239" s="140"/>
      <c r="MWK239" s="140"/>
      <c r="MWL239" s="140"/>
      <c r="MWM239" s="140"/>
      <c r="MWN239" s="140"/>
      <c r="MWO239" s="140"/>
      <c r="MWP239" s="140"/>
      <c r="MWQ239" s="140"/>
      <c r="MWR239" s="140"/>
      <c r="MWS239" s="140"/>
      <c r="MWT239" s="140"/>
      <c r="MWU239" s="140"/>
      <c r="MWV239" s="140"/>
      <c r="MWW239" s="140"/>
      <c r="MWX239" s="140"/>
      <c r="MWY239" s="140"/>
      <c r="MWZ239" s="140"/>
      <c r="MXA239" s="140"/>
      <c r="MXB239" s="140"/>
      <c r="MXC239" s="140"/>
      <c r="MXD239" s="140"/>
      <c r="MXE239" s="140"/>
      <c r="MXF239" s="140"/>
      <c r="MXG239" s="140"/>
      <c r="MXH239" s="140"/>
      <c r="MXI239" s="140"/>
      <c r="MXJ239" s="140"/>
      <c r="MXK239" s="140"/>
      <c r="MXL239" s="140"/>
      <c r="MXM239" s="140"/>
      <c r="MXN239" s="140"/>
      <c r="MXO239" s="140"/>
      <c r="MXP239" s="140"/>
      <c r="MXQ239" s="140"/>
      <c r="MXR239" s="140"/>
      <c r="MXS239" s="140"/>
      <c r="MXT239" s="140"/>
      <c r="MXU239" s="140"/>
      <c r="MXV239" s="140"/>
      <c r="MXW239" s="140"/>
      <c r="MXX239" s="140"/>
      <c r="MXY239" s="140"/>
      <c r="MXZ239" s="140"/>
      <c r="MYA239" s="140"/>
      <c r="MYB239" s="140"/>
      <c r="MYC239" s="140"/>
      <c r="MYD239" s="140"/>
      <c r="MYE239" s="140"/>
      <c r="MYF239" s="140"/>
      <c r="MYG239" s="140"/>
      <c r="MYH239" s="140"/>
      <c r="MYI239" s="140"/>
      <c r="MYJ239" s="140"/>
      <c r="MYK239" s="140"/>
      <c r="MYL239" s="140"/>
      <c r="MYM239" s="140"/>
      <c r="MYN239" s="140"/>
      <c r="MYO239" s="140"/>
      <c r="MYP239" s="140"/>
      <c r="MYQ239" s="140"/>
      <c r="MYR239" s="140"/>
      <c r="MYS239" s="140"/>
      <c r="MYT239" s="140"/>
      <c r="MYU239" s="140"/>
      <c r="MYV239" s="140"/>
      <c r="MYW239" s="140"/>
      <c r="MYX239" s="140"/>
      <c r="MYY239" s="140"/>
      <c r="MYZ239" s="140"/>
      <c r="MZA239" s="140"/>
      <c r="MZB239" s="140"/>
      <c r="MZC239" s="140"/>
      <c r="MZD239" s="140"/>
      <c r="MZE239" s="140"/>
      <c r="MZF239" s="140"/>
      <c r="MZG239" s="140"/>
      <c r="MZH239" s="140"/>
      <c r="MZI239" s="140"/>
      <c r="MZJ239" s="140"/>
      <c r="MZK239" s="140"/>
      <c r="MZL239" s="140"/>
      <c r="MZM239" s="140"/>
      <c r="MZN239" s="140"/>
      <c r="MZO239" s="140"/>
      <c r="MZP239" s="140"/>
      <c r="MZQ239" s="140"/>
      <c r="MZR239" s="140"/>
      <c r="MZS239" s="140"/>
      <c r="MZT239" s="140"/>
      <c r="MZU239" s="140"/>
      <c r="MZV239" s="140"/>
      <c r="MZW239" s="140"/>
      <c r="MZX239" s="140"/>
      <c r="MZY239" s="140"/>
      <c r="MZZ239" s="140"/>
      <c r="NAA239" s="140"/>
      <c r="NAB239" s="140"/>
      <c r="NAC239" s="140"/>
      <c r="NAD239" s="140"/>
      <c r="NAE239" s="140"/>
      <c r="NAF239" s="140"/>
      <c r="NAG239" s="140"/>
      <c r="NAH239" s="140"/>
      <c r="NAI239" s="140"/>
      <c r="NAJ239" s="140"/>
      <c r="NAK239" s="140"/>
      <c r="NAL239" s="140"/>
      <c r="NAM239" s="140"/>
      <c r="NAN239" s="140"/>
      <c r="NAO239" s="140"/>
      <c r="NAP239" s="140"/>
      <c r="NAQ239" s="140"/>
      <c r="NAR239" s="140"/>
      <c r="NAS239" s="140"/>
      <c r="NAT239" s="140"/>
      <c r="NAU239" s="140"/>
      <c r="NAV239" s="140"/>
      <c r="NAW239" s="140"/>
      <c r="NAX239" s="140"/>
      <c r="NAY239" s="140"/>
      <c r="NAZ239" s="140"/>
      <c r="NBA239" s="140"/>
      <c r="NBB239" s="140"/>
      <c r="NBC239" s="140"/>
      <c r="NBD239" s="140"/>
      <c r="NBE239" s="140"/>
      <c r="NBF239" s="140"/>
      <c r="NBG239" s="140"/>
      <c r="NBH239" s="140"/>
      <c r="NBI239" s="140"/>
      <c r="NBJ239" s="140"/>
      <c r="NBK239" s="140"/>
      <c r="NBL239" s="140"/>
      <c r="NBM239" s="140"/>
      <c r="NBN239" s="140"/>
      <c r="NBO239" s="140"/>
      <c r="NBP239" s="140"/>
      <c r="NBQ239" s="140"/>
      <c r="NBR239" s="140"/>
      <c r="NBS239" s="140"/>
      <c r="NBT239" s="140"/>
      <c r="NBU239" s="140"/>
      <c r="NBV239" s="140"/>
      <c r="NBW239" s="140"/>
      <c r="NBX239" s="140"/>
      <c r="NBY239" s="140"/>
      <c r="NBZ239" s="140"/>
      <c r="NCA239" s="140"/>
      <c r="NCB239" s="140"/>
      <c r="NCC239" s="140"/>
      <c r="NCD239" s="140"/>
      <c r="NCE239" s="140"/>
      <c r="NCF239" s="140"/>
      <c r="NCG239" s="140"/>
      <c r="NCH239" s="140"/>
      <c r="NCI239" s="140"/>
      <c r="NCJ239" s="140"/>
      <c r="NCK239" s="140"/>
      <c r="NCL239" s="140"/>
      <c r="NCM239" s="140"/>
      <c r="NCN239" s="140"/>
      <c r="NCO239" s="140"/>
      <c r="NCP239" s="140"/>
      <c r="NCQ239" s="140"/>
      <c r="NCR239" s="140"/>
      <c r="NCS239" s="140"/>
      <c r="NCT239" s="140"/>
      <c r="NCU239" s="140"/>
      <c r="NCV239" s="140"/>
      <c r="NCW239" s="140"/>
      <c r="NCX239" s="140"/>
      <c r="NCY239" s="140"/>
      <c r="NCZ239" s="140"/>
      <c r="NDA239" s="140"/>
      <c r="NDB239" s="140"/>
      <c r="NDC239" s="140"/>
      <c r="NDD239" s="140"/>
      <c r="NDE239" s="140"/>
      <c r="NDF239" s="140"/>
      <c r="NDG239" s="140"/>
      <c r="NDH239" s="140"/>
      <c r="NDI239" s="140"/>
      <c r="NDJ239" s="140"/>
      <c r="NDK239" s="140"/>
      <c r="NDL239" s="140"/>
      <c r="NDM239" s="140"/>
      <c r="NDN239" s="140"/>
      <c r="NDO239" s="140"/>
      <c r="NDP239" s="140"/>
      <c r="NDQ239" s="140"/>
      <c r="NDR239" s="140"/>
      <c r="NDS239" s="140"/>
      <c r="NDT239" s="140"/>
      <c r="NDU239" s="140"/>
      <c r="NDV239" s="140"/>
      <c r="NDW239" s="140"/>
      <c r="NDX239" s="140"/>
      <c r="NDY239" s="140"/>
      <c r="NDZ239" s="140"/>
      <c r="NEA239" s="140"/>
      <c r="NEB239" s="140"/>
      <c r="NEC239" s="140"/>
      <c r="NED239" s="140"/>
      <c r="NEE239" s="140"/>
      <c r="NEF239" s="140"/>
      <c r="NEG239" s="140"/>
      <c r="NEH239" s="140"/>
      <c r="NEI239" s="140"/>
      <c r="NEJ239" s="140"/>
      <c r="NEK239" s="140"/>
      <c r="NEL239" s="140"/>
      <c r="NEM239" s="140"/>
      <c r="NEN239" s="140"/>
      <c r="NEO239" s="140"/>
      <c r="NEP239" s="140"/>
      <c r="NEQ239" s="140"/>
      <c r="NER239" s="140"/>
      <c r="NES239" s="140"/>
      <c r="NET239" s="140"/>
      <c r="NEU239" s="140"/>
      <c r="NEV239" s="140"/>
      <c r="NEW239" s="140"/>
      <c r="NEX239" s="140"/>
      <c r="NEY239" s="140"/>
      <c r="NEZ239" s="140"/>
      <c r="NFA239" s="140"/>
      <c r="NFB239" s="140"/>
      <c r="NFC239" s="140"/>
      <c r="NFD239" s="140"/>
      <c r="NFE239" s="140"/>
      <c r="NFF239" s="140"/>
      <c r="NFG239" s="140"/>
      <c r="NFH239" s="140"/>
      <c r="NFI239" s="140"/>
      <c r="NFJ239" s="140"/>
      <c r="NFK239" s="140"/>
      <c r="NFL239" s="140"/>
      <c r="NFM239" s="140"/>
      <c r="NFN239" s="140"/>
      <c r="NFO239" s="140"/>
      <c r="NFP239" s="140"/>
      <c r="NFQ239" s="140"/>
      <c r="NFR239" s="140"/>
      <c r="NFS239" s="140"/>
      <c r="NFT239" s="140"/>
      <c r="NFU239" s="140"/>
      <c r="NFV239" s="140"/>
      <c r="NFW239" s="140"/>
      <c r="NFX239" s="140"/>
      <c r="NFY239" s="140"/>
      <c r="NFZ239" s="140"/>
      <c r="NGA239" s="140"/>
      <c r="NGB239" s="140"/>
      <c r="NGC239" s="140"/>
      <c r="NGD239" s="140"/>
      <c r="NGE239" s="140"/>
      <c r="NGF239" s="140"/>
      <c r="NGG239" s="140"/>
      <c r="NGH239" s="140"/>
      <c r="NGI239" s="140"/>
      <c r="NGJ239" s="140"/>
      <c r="NGK239" s="140"/>
      <c r="NGL239" s="140"/>
      <c r="NGM239" s="140"/>
      <c r="NGN239" s="140"/>
      <c r="NGO239" s="140"/>
      <c r="NGP239" s="140"/>
      <c r="NGQ239" s="140"/>
      <c r="NGR239" s="140"/>
      <c r="NGS239" s="140"/>
      <c r="NGT239" s="140"/>
      <c r="NGU239" s="140"/>
      <c r="NGV239" s="140"/>
      <c r="NGW239" s="140"/>
      <c r="NGX239" s="140"/>
      <c r="NGY239" s="140"/>
      <c r="NGZ239" s="140"/>
      <c r="NHA239" s="140"/>
      <c r="NHB239" s="140"/>
      <c r="NHC239" s="140"/>
      <c r="NHD239" s="140"/>
      <c r="NHE239" s="140"/>
      <c r="NHF239" s="140"/>
      <c r="NHG239" s="140"/>
      <c r="NHH239" s="140"/>
      <c r="NHI239" s="140"/>
      <c r="NHJ239" s="140"/>
      <c r="NHK239" s="140"/>
      <c r="NHL239" s="140"/>
      <c r="NHM239" s="140"/>
      <c r="NHN239" s="140"/>
      <c r="NHO239" s="140"/>
      <c r="NHP239" s="140"/>
      <c r="NHQ239" s="140"/>
      <c r="NHR239" s="140"/>
      <c r="NHS239" s="140"/>
      <c r="NHT239" s="140"/>
      <c r="NHU239" s="140"/>
      <c r="NHV239" s="140"/>
      <c r="NHW239" s="140"/>
      <c r="NHX239" s="140"/>
      <c r="NHY239" s="140"/>
      <c r="NHZ239" s="140"/>
      <c r="NIA239" s="140"/>
      <c r="NIB239" s="140"/>
      <c r="NIC239" s="140"/>
      <c r="NID239" s="140"/>
      <c r="NIE239" s="140"/>
      <c r="NIF239" s="140"/>
      <c r="NIG239" s="140"/>
      <c r="NIH239" s="140"/>
      <c r="NII239" s="140"/>
      <c r="NIJ239" s="140"/>
      <c r="NIK239" s="140"/>
      <c r="NIL239" s="140"/>
      <c r="NIM239" s="140"/>
      <c r="NIN239" s="140"/>
      <c r="NIO239" s="140"/>
      <c r="NIP239" s="140"/>
      <c r="NIQ239" s="140"/>
      <c r="NIR239" s="140"/>
      <c r="NIS239" s="140"/>
      <c r="NIT239" s="140"/>
      <c r="NIU239" s="140"/>
      <c r="NIV239" s="140"/>
      <c r="NIW239" s="140"/>
      <c r="NIX239" s="140"/>
      <c r="NIY239" s="140"/>
      <c r="NIZ239" s="140"/>
      <c r="NJA239" s="140"/>
      <c r="NJB239" s="140"/>
      <c r="NJC239" s="140"/>
      <c r="NJD239" s="140"/>
      <c r="NJE239" s="140"/>
      <c r="NJF239" s="140"/>
      <c r="NJG239" s="140"/>
      <c r="NJH239" s="140"/>
      <c r="NJI239" s="140"/>
      <c r="NJJ239" s="140"/>
      <c r="NJK239" s="140"/>
      <c r="NJL239" s="140"/>
      <c r="NJM239" s="140"/>
      <c r="NJN239" s="140"/>
      <c r="NJO239" s="140"/>
      <c r="NJP239" s="140"/>
      <c r="NJQ239" s="140"/>
      <c r="NJR239" s="140"/>
      <c r="NJS239" s="140"/>
      <c r="NJT239" s="140"/>
      <c r="NJU239" s="140"/>
      <c r="NJV239" s="140"/>
      <c r="NJW239" s="140"/>
      <c r="NJX239" s="140"/>
      <c r="NJY239" s="140"/>
      <c r="NJZ239" s="140"/>
      <c r="NKA239" s="140"/>
      <c r="NKB239" s="140"/>
      <c r="NKC239" s="140"/>
      <c r="NKD239" s="140"/>
      <c r="NKE239" s="140"/>
      <c r="NKF239" s="140"/>
      <c r="NKG239" s="140"/>
      <c r="NKH239" s="140"/>
      <c r="NKI239" s="140"/>
      <c r="NKJ239" s="140"/>
      <c r="NKK239" s="140"/>
      <c r="NKL239" s="140"/>
      <c r="NKM239" s="140"/>
      <c r="NKN239" s="140"/>
      <c r="NKO239" s="140"/>
      <c r="NKP239" s="140"/>
      <c r="NKQ239" s="140"/>
      <c r="NKR239" s="140"/>
      <c r="NKS239" s="140"/>
      <c r="NKT239" s="140"/>
      <c r="NKU239" s="140"/>
      <c r="NKV239" s="140"/>
      <c r="NKW239" s="140"/>
      <c r="NKX239" s="140"/>
      <c r="NKY239" s="140"/>
      <c r="NKZ239" s="140"/>
      <c r="NLA239" s="140"/>
      <c r="NLB239" s="140"/>
      <c r="NLC239" s="140"/>
      <c r="NLD239" s="140"/>
      <c r="NLE239" s="140"/>
      <c r="NLF239" s="140"/>
      <c r="NLG239" s="140"/>
      <c r="NLH239" s="140"/>
      <c r="NLI239" s="140"/>
      <c r="NLJ239" s="140"/>
      <c r="NLK239" s="140"/>
      <c r="NLL239" s="140"/>
      <c r="NLM239" s="140"/>
      <c r="NLN239" s="140"/>
      <c r="NLO239" s="140"/>
      <c r="NLP239" s="140"/>
      <c r="NLQ239" s="140"/>
      <c r="NLR239" s="140"/>
      <c r="NLS239" s="140"/>
      <c r="NLT239" s="140"/>
      <c r="NLU239" s="140"/>
      <c r="NLV239" s="140"/>
      <c r="NLW239" s="140"/>
      <c r="NLX239" s="140"/>
      <c r="NLY239" s="140"/>
      <c r="NLZ239" s="140"/>
      <c r="NMA239" s="140"/>
      <c r="NMB239" s="140"/>
      <c r="NMC239" s="140"/>
      <c r="NMD239" s="140"/>
      <c r="NME239" s="140"/>
      <c r="NMF239" s="140"/>
      <c r="NMG239" s="140"/>
      <c r="NMH239" s="140"/>
      <c r="NMI239" s="140"/>
      <c r="NMJ239" s="140"/>
      <c r="NMK239" s="140"/>
      <c r="NML239" s="140"/>
      <c r="NMM239" s="140"/>
      <c r="NMN239" s="140"/>
      <c r="NMO239" s="140"/>
      <c r="NMP239" s="140"/>
      <c r="NMQ239" s="140"/>
      <c r="NMR239" s="140"/>
      <c r="NMS239" s="140"/>
      <c r="NMT239" s="140"/>
      <c r="NMU239" s="140"/>
      <c r="NMV239" s="140"/>
      <c r="NMW239" s="140"/>
      <c r="NMX239" s="140"/>
      <c r="NMY239" s="140"/>
      <c r="NMZ239" s="140"/>
      <c r="NNA239" s="140"/>
      <c r="NNB239" s="140"/>
      <c r="NNC239" s="140"/>
      <c r="NND239" s="140"/>
      <c r="NNE239" s="140"/>
      <c r="NNF239" s="140"/>
      <c r="NNG239" s="140"/>
      <c r="NNH239" s="140"/>
      <c r="NNI239" s="140"/>
      <c r="NNJ239" s="140"/>
      <c r="NNK239" s="140"/>
      <c r="NNL239" s="140"/>
      <c r="NNM239" s="140"/>
      <c r="NNN239" s="140"/>
      <c r="NNO239" s="140"/>
      <c r="NNP239" s="140"/>
      <c r="NNQ239" s="140"/>
      <c r="NNR239" s="140"/>
      <c r="NNS239" s="140"/>
      <c r="NNT239" s="140"/>
      <c r="NNU239" s="140"/>
      <c r="NNV239" s="140"/>
      <c r="NNW239" s="140"/>
      <c r="NNX239" s="140"/>
      <c r="NNY239" s="140"/>
      <c r="NNZ239" s="140"/>
      <c r="NOA239" s="140"/>
      <c r="NOB239" s="140"/>
      <c r="NOC239" s="140"/>
      <c r="NOD239" s="140"/>
      <c r="NOE239" s="140"/>
      <c r="NOF239" s="140"/>
      <c r="NOG239" s="140"/>
      <c r="NOH239" s="140"/>
      <c r="NOI239" s="140"/>
      <c r="NOJ239" s="140"/>
      <c r="NOK239" s="140"/>
      <c r="NOL239" s="140"/>
      <c r="NOM239" s="140"/>
      <c r="NON239" s="140"/>
      <c r="NOO239" s="140"/>
      <c r="NOP239" s="140"/>
      <c r="NOQ239" s="140"/>
      <c r="NOR239" s="140"/>
      <c r="NOS239" s="140"/>
      <c r="NOT239" s="140"/>
      <c r="NOU239" s="140"/>
      <c r="NOV239" s="140"/>
      <c r="NOW239" s="140"/>
      <c r="NOX239" s="140"/>
      <c r="NOY239" s="140"/>
      <c r="NOZ239" s="140"/>
      <c r="NPA239" s="140"/>
      <c r="NPB239" s="140"/>
      <c r="NPC239" s="140"/>
      <c r="NPD239" s="140"/>
      <c r="NPE239" s="140"/>
      <c r="NPF239" s="140"/>
      <c r="NPG239" s="140"/>
      <c r="NPH239" s="140"/>
      <c r="NPI239" s="140"/>
      <c r="NPJ239" s="140"/>
      <c r="NPK239" s="140"/>
      <c r="NPL239" s="140"/>
      <c r="NPM239" s="140"/>
      <c r="NPN239" s="140"/>
      <c r="NPO239" s="140"/>
      <c r="NPP239" s="140"/>
      <c r="NPQ239" s="140"/>
      <c r="NPR239" s="140"/>
      <c r="NPS239" s="140"/>
      <c r="NPT239" s="140"/>
      <c r="NPU239" s="140"/>
      <c r="NPV239" s="140"/>
      <c r="NPW239" s="140"/>
      <c r="NPX239" s="140"/>
      <c r="NPY239" s="140"/>
      <c r="NPZ239" s="140"/>
      <c r="NQA239" s="140"/>
      <c r="NQB239" s="140"/>
      <c r="NQC239" s="140"/>
      <c r="NQD239" s="140"/>
      <c r="NQE239" s="140"/>
      <c r="NQF239" s="140"/>
      <c r="NQG239" s="140"/>
      <c r="NQH239" s="140"/>
      <c r="NQI239" s="140"/>
      <c r="NQJ239" s="140"/>
      <c r="NQK239" s="140"/>
      <c r="NQL239" s="140"/>
      <c r="NQM239" s="140"/>
      <c r="NQN239" s="140"/>
      <c r="NQO239" s="140"/>
      <c r="NQP239" s="140"/>
      <c r="NQQ239" s="140"/>
      <c r="NQR239" s="140"/>
      <c r="NQS239" s="140"/>
      <c r="NQT239" s="140"/>
      <c r="NQU239" s="140"/>
      <c r="NQV239" s="140"/>
      <c r="NQW239" s="140"/>
      <c r="NQX239" s="140"/>
      <c r="NQY239" s="140"/>
      <c r="NQZ239" s="140"/>
      <c r="NRA239" s="140"/>
      <c r="NRB239" s="140"/>
      <c r="NRC239" s="140"/>
      <c r="NRD239" s="140"/>
      <c r="NRE239" s="140"/>
      <c r="NRF239" s="140"/>
      <c r="NRG239" s="140"/>
      <c r="NRH239" s="140"/>
      <c r="NRI239" s="140"/>
      <c r="NRJ239" s="140"/>
      <c r="NRK239" s="140"/>
      <c r="NRL239" s="140"/>
      <c r="NRM239" s="140"/>
      <c r="NRN239" s="140"/>
      <c r="NRO239" s="140"/>
      <c r="NRP239" s="140"/>
      <c r="NRQ239" s="140"/>
      <c r="NRR239" s="140"/>
      <c r="NRS239" s="140"/>
      <c r="NRT239" s="140"/>
      <c r="NRU239" s="140"/>
      <c r="NRV239" s="140"/>
      <c r="NRW239" s="140"/>
      <c r="NRX239" s="140"/>
      <c r="NRY239" s="140"/>
      <c r="NRZ239" s="140"/>
      <c r="NSA239" s="140"/>
      <c r="NSB239" s="140"/>
      <c r="NSC239" s="140"/>
      <c r="NSD239" s="140"/>
      <c r="NSE239" s="140"/>
      <c r="NSF239" s="140"/>
      <c r="NSG239" s="140"/>
      <c r="NSH239" s="140"/>
      <c r="NSI239" s="140"/>
      <c r="NSJ239" s="140"/>
      <c r="NSK239" s="140"/>
      <c r="NSL239" s="140"/>
      <c r="NSM239" s="140"/>
      <c r="NSN239" s="140"/>
      <c r="NSO239" s="140"/>
      <c r="NSP239" s="140"/>
      <c r="NSQ239" s="140"/>
      <c r="NSR239" s="140"/>
      <c r="NSS239" s="140"/>
      <c r="NST239" s="140"/>
      <c r="NSU239" s="140"/>
      <c r="NSV239" s="140"/>
      <c r="NSW239" s="140"/>
      <c r="NSX239" s="140"/>
      <c r="NSY239" s="140"/>
      <c r="NSZ239" s="140"/>
      <c r="NTA239" s="140"/>
      <c r="NTB239" s="140"/>
      <c r="NTC239" s="140"/>
      <c r="NTD239" s="140"/>
      <c r="NTE239" s="140"/>
      <c r="NTF239" s="140"/>
      <c r="NTG239" s="140"/>
      <c r="NTH239" s="140"/>
      <c r="NTI239" s="140"/>
      <c r="NTJ239" s="140"/>
      <c r="NTK239" s="140"/>
      <c r="NTL239" s="140"/>
      <c r="NTM239" s="140"/>
      <c r="NTN239" s="140"/>
      <c r="NTO239" s="140"/>
      <c r="NTP239" s="140"/>
      <c r="NTQ239" s="140"/>
      <c r="NTR239" s="140"/>
      <c r="NTS239" s="140"/>
      <c r="NTT239" s="140"/>
      <c r="NTU239" s="140"/>
      <c r="NTV239" s="140"/>
      <c r="NTW239" s="140"/>
      <c r="NTX239" s="140"/>
      <c r="NTY239" s="140"/>
      <c r="NTZ239" s="140"/>
      <c r="NUA239" s="140"/>
      <c r="NUB239" s="140"/>
      <c r="NUC239" s="140"/>
      <c r="NUD239" s="140"/>
      <c r="NUE239" s="140"/>
      <c r="NUF239" s="140"/>
      <c r="NUG239" s="140"/>
      <c r="NUH239" s="140"/>
      <c r="NUI239" s="140"/>
      <c r="NUJ239" s="140"/>
      <c r="NUK239" s="140"/>
      <c r="NUL239" s="140"/>
      <c r="NUM239" s="140"/>
      <c r="NUN239" s="140"/>
      <c r="NUO239" s="140"/>
      <c r="NUP239" s="140"/>
      <c r="NUQ239" s="140"/>
      <c r="NUR239" s="140"/>
      <c r="NUS239" s="140"/>
      <c r="NUT239" s="140"/>
      <c r="NUU239" s="140"/>
      <c r="NUV239" s="140"/>
      <c r="NUW239" s="140"/>
      <c r="NUX239" s="140"/>
      <c r="NUY239" s="140"/>
      <c r="NUZ239" s="140"/>
      <c r="NVA239" s="140"/>
      <c r="NVB239" s="140"/>
      <c r="NVC239" s="140"/>
      <c r="NVD239" s="140"/>
      <c r="NVE239" s="140"/>
      <c r="NVF239" s="140"/>
      <c r="NVG239" s="140"/>
      <c r="NVH239" s="140"/>
      <c r="NVI239" s="140"/>
      <c r="NVJ239" s="140"/>
      <c r="NVK239" s="140"/>
      <c r="NVL239" s="140"/>
      <c r="NVM239" s="140"/>
      <c r="NVN239" s="140"/>
      <c r="NVO239" s="140"/>
      <c r="NVP239" s="140"/>
      <c r="NVQ239" s="140"/>
      <c r="NVR239" s="140"/>
      <c r="NVS239" s="140"/>
      <c r="NVT239" s="140"/>
      <c r="NVU239" s="140"/>
      <c r="NVV239" s="140"/>
      <c r="NVW239" s="140"/>
      <c r="NVX239" s="140"/>
      <c r="NVY239" s="140"/>
      <c r="NVZ239" s="140"/>
      <c r="NWA239" s="140"/>
      <c r="NWB239" s="140"/>
      <c r="NWC239" s="140"/>
      <c r="NWD239" s="140"/>
      <c r="NWE239" s="140"/>
      <c r="NWF239" s="140"/>
      <c r="NWG239" s="140"/>
      <c r="NWH239" s="140"/>
      <c r="NWI239" s="140"/>
      <c r="NWJ239" s="140"/>
      <c r="NWK239" s="140"/>
      <c r="NWL239" s="140"/>
      <c r="NWM239" s="140"/>
      <c r="NWN239" s="140"/>
      <c r="NWO239" s="140"/>
      <c r="NWP239" s="140"/>
      <c r="NWQ239" s="140"/>
      <c r="NWR239" s="140"/>
      <c r="NWS239" s="140"/>
      <c r="NWT239" s="140"/>
      <c r="NWU239" s="140"/>
      <c r="NWV239" s="140"/>
      <c r="NWW239" s="140"/>
      <c r="NWX239" s="140"/>
      <c r="NWY239" s="140"/>
      <c r="NWZ239" s="140"/>
      <c r="NXA239" s="140"/>
      <c r="NXB239" s="140"/>
      <c r="NXC239" s="140"/>
      <c r="NXD239" s="140"/>
      <c r="NXE239" s="140"/>
      <c r="NXF239" s="140"/>
      <c r="NXG239" s="140"/>
      <c r="NXH239" s="140"/>
      <c r="NXI239" s="140"/>
      <c r="NXJ239" s="140"/>
      <c r="NXK239" s="140"/>
      <c r="NXL239" s="140"/>
      <c r="NXM239" s="140"/>
      <c r="NXN239" s="140"/>
      <c r="NXO239" s="140"/>
      <c r="NXP239" s="140"/>
      <c r="NXQ239" s="140"/>
      <c r="NXR239" s="140"/>
      <c r="NXS239" s="140"/>
      <c r="NXT239" s="140"/>
      <c r="NXU239" s="140"/>
      <c r="NXV239" s="140"/>
      <c r="NXW239" s="140"/>
      <c r="NXX239" s="140"/>
      <c r="NXY239" s="140"/>
      <c r="NXZ239" s="140"/>
      <c r="NYA239" s="140"/>
      <c r="NYB239" s="140"/>
      <c r="NYC239" s="140"/>
      <c r="NYD239" s="140"/>
      <c r="NYE239" s="140"/>
      <c r="NYF239" s="140"/>
      <c r="NYG239" s="140"/>
      <c r="NYH239" s="140"/>
      <c r="NYI239" s="140"/>
      <c r="NYJ239" s="140"/>
      <c r="NYK239" s="140"/>
      <c r="NYL239" s="140"/>
      <c r="NYM239" s="140"/>
      <c r="NYN239" s="140"/>
      <c r="NYO239" s="140"/>
      <c r="NYP239" s="140"/>
      <c r="NYQ239" s="140"/>
      <c r="NYR239" s="140"/>
      <c r="NYS239" s="140"/>
      <c r="NYT239" s="140"/>
      <c r="NYU239" s="140"/>
      <c r="NYV239" s="140"/>
      <c r="NYW239" s="140"/>
      <c r="NYX239" s="140"/>
      <c r="NYY239" s="140"/>
      <c r="NYZ239" s="140"/>
      <c r="NZA239" s="140"/>
      <c r="NZB239" s="140"/>
      <c r="NZC239" s="140"/>
      <c r="NZD239" s="140"/>
      <c r="NZE239" s="140"/>
      <c r="NZF239" s="140"/>
      <c r="NZG239" s="140"/>
      <c r="NZH239" s="140"/>
      <c r="NZI239" s="140"/>
      <c r="NZJ239" s="140"/>
      <c r="NZK239" s="140"/>
      <c r="NZL239" s="140"/>
      <c r="NZM239" s="140"/>
      <c r="NZN239" s="140"/>
      <c r="NZO239" s="140"/>
      <c r="NZP239" s="140"/>
      <c r="NZQ239" s="140"/>
      <c r="NZR239" s="140"/>
      <c r="NZS239" s="140"/>
      <c r="NZT239" s="140"/>
      <c r="NZU239" s="140"/>
      <c r="NZV239" s="140"/>
      <c r="NZW239" s="140"/>
      <c r="NZX239" s="140"/>
      <c r="NZY239" s="140"/>
      <c r="NZZ239" s="140"/>
      <c r="OAA239" s="140"/>
      <c r="OAB239" s="140"/>
      <c r="OAC239" s="140"/>
      <c r="OAD239" s="140"/>
      <c r="OAE239" s="140"/>
      <c r="OAF239" s="140"/>
      <c r="OAG239" s="140"/>
      <c r="OAH239" s="140"/>
      <c r="OAI239" s="140"/>
      <c r="OAJ239" s="140"/>
      <c r="OAK239" s="140"/>
      <c r="OAL239" s="140"/>
      <c r="OAM239" s="140"/>
      <c r="OAN239" s="140"/>
      <c r="OAO239" s="140"/>
      <c r="OAP239" s="140"/>
      <c r="OAQ239" s="140"/>
      <c r="OAR239" s="140"/>
      <c r="OAS239" s="140"/>
      <c r="OAT239" s="140"/>
      <c r="OAU239" s="140"/>
      <c r="OAV239" s="140"/>
      <c r="OAW239" s="140"/>
      <c r="OAX239" s="140"/>
      <c r="OAY239" s="140"/>
      <c r="OAZ239" s="140"/>
      <c r="OBA239" s="140"/>
      <c r="OBB239" s="140"/>
      <c r="OBC239" s="140"/>
      <c r="OBD239" s="140"/>
      <c r="OBE239" s="140"/>
      <c r="OBF239" s="140"/>
      <c r="OBG239" s="140"/>
      <c r="OBH239" s="140"/>
      <c r="OBI239" s="140"/>
      <c r="OBJ239" s="140"/>
      <c r="OBK239" s="140"/>
      <c r="OBL239" s="140"/>
      <c r="OBM239" s="140"/>
      <c r="OBN239" s="140"/>
      <c r="OBO239" s="140"/>
      <c r="OBP239" s="140"/>
      <c r="OBQ239" s="140"/>
      <c r="OBR239" s="140"/>
      <c r="OBS239" s="140"/>
      <c r="OBT239" s="140"/>
      <c r="OBU239" s="140"/>
      <c r="OBV239" s="140"/>
      <c r="OBW239" s="140"/>
      <c r="OBX239" s="140"/>
      <c r="OBY239" s="140"/>
      <c r="OBZ239" s="140"/>
      <c r="OCA239" s="140"/>
      <c r="OCB239" s="140"/>
      <c r="OCC239" s="140"/>
      <c r="OCD239" s="140"/>
      <c r="OCE239" s="140"/>
      <c r="OCF239" s="140"/>
      <c r="OCG239" s="140"/>
      <c r="OCH239" s="140"/>
      <c r="OCI239" s="140"/>
      <c r="OCJ239" s="140"/>
      <c r="OCK239" s="140"/>
      <c r="OCL239" s="140"/>
      <c r="OCM239" s="140"/>
      <c r="OCN239" s="140"/>
      <c r="OCO239" s="140"/>
      <c r="OCP239" s="140"/>
      <c r="OCQ239" s="140"/>
      <c r="OCR239" s="140"/>
      <c r="OCS239" s="140"/>
      <c r="OCT239" s="140"/>
      <c r="OCU239" s="140"/>
      <c r="OCV239" s="140"/>
      <c r="OCW239" s="140"/>
      <c r="OCX239" s="140"/>
      <c r="OCY239" s="140"/>
      <c r="OCZ239" s="140"/>
      <c r="ODA239" s="140"/>
      <c r="ODB239" s="140"/>
      <c r="ODC239" s="140"/>
      <c r="ODD239" s="140"/>
      <c r="ODE239" s="140"/>
      <c r="ODF239" s="140"/>
      <c r="ODG239" s="140"/>
      <c r="ODH239" s="140"/>
      <c r="ODI239" s="140"/>
      <c r="ODJ239" s="140"/>
      <c r="ODK239" s="140"/>
      <c r="ODL239" s="140"/>
      <c r="ODM239" s="140"/>
      <c r="ODN239" s="140"/>
      <c r="ODO239" s="140"/>
      <c r="ODP239" s="140"/>
      <c r="ODQ239" s="140"/>
      <c r="ODR239" s="140"/>
      <c r="ODS239" s="140"/>
      <c r="ODT239" s="140"/>
      <c r="ODU239" s="140"/>
      <c r="ODV239" s="140"/>
      <c r="ODW239" s="140"/>
      <c r="ODX239" s="140"/>
      <c r="ODY239" s="140"/>
      <c r="ODZ239" s="140"/>
      <c r="OEA239" s="140"/>
      <c r="OEB239" s="140"/>
      <c r="OEC239" s="140"/>
      <c r="OED239" s="140"/>
      <c r="OEE239" s="140"/>
      <c r="OEF239" s="140"/>
      <c r="OEG239" s="140"/>
      <c r="OEH239" s="140"/>
      <c r="OEI239" s="140"/>
      <c r="OEJ239" s="140"/>
      <c r="OEK239" s="140"/>
      <c r="OEL239" s="140"/>
      <c r="OEM239" s="140"/>
      <c r="OEN239" s="140"/>
      <c r="OEO239" s="140"/>
      <c r="OEP239" s="140"/>
      <c r="OEQ239" s="140"/>
      <c r="OER239" s="140"/>
      <c r="OES239" s="140"/>
      <c r="OET239" s="140"/>
      <c r="OEU239" s="140"/>
      <c r="OEV239" s="140"/>
      <c r="OEW239" s="140"/>
      <c r="OEX239" s="140"/>
      <c r="OEY239" s="140"/>
      <c r="OEZ239" s="140"/>
      <c r="OFA239" s="140"/>
      <c r="OFB239" s="140"/>
      <c r="OFC239" s="140"/>
      <c r="OFD239" s="140"/>
      <c r="OFE239" s="140"/>
      <c r="OFF239" s="140"/>
      <c r="OFG239" s="140"/>
      <c r="OFH239" s="140"/>
      <c r="OFI239" s="140"/>
      <c r="OFJ239" s="140"/>
      <c r="OFK239" s="140"/>
      <c r="OFL239" s="140"/>
      <c r="OFM239" s="140"/>
      <c r="OFN239" s="140"/>
      <c r="OFO239" s="140"/>
      <c r="OFP239" s="140"/>
      <c r="OFQ239" s="140"/>
      <c r="OFR239" s="140"/>
      <c r="OFS239" s="140"/>
      <c r="OFT239" s="140"/>
      <c r="OFU239" s="140"/>
      <c r="OFV239" s="140"/>
      <c r="OFW239" s="140"/>
      <c r="OFX239" s="140"/>
      <c r="OFY239" s="140"/>
      <c r="OFZ239" s="140"/>
      <c r="OGA239" s="140"/>
      <c r="OGB239" s="140"/>
      <c r="OGC239" s="140"/>
      <c r="OGD239" s="140"/>
      <c r="OGE239" s="140"/>
      <c r="OGF239" s="140"/>
      <c r="OGG239" s="140"/>
      <c r="OGH239" s="140"/>
      <c r="OGI239" s="140"/>
      <c r="OGJ239" s="140"/>
      <c r="OGK239" s="140"/>
      <c r="OGL239" s="140"/>
      <c r="OGM239" s="140"/>
      <c r="OGN239" s="140"/>
      <c r="OGO239" s="140"/>
      <c r="OGP239" s="140"/>
      <c r="OGQ239" s="140"/>
      <c r="OGR239" s="140"/>
      <c r="OGS239" s="140"/>
      <c r="OGT239" s="140"/>
      <c r="OGU239" s="140"/>
      <c r="OGV239" s="140"/>
      <c r="OGW239" s="140"/>
      <c r="OGX239" s="140"/>
      <c r="OGY239" s="140"/>
      <c r="OGZ239" s="140"/>
      <c r="OHA239" s="140"/>
      <c r="OHB239" s="140"/>
      <c r="OHC239" s="140"/>
      <c r="OHD239" s="140"/>
      <c r="OHE239" s="140"/>
      <c r="OHF239" s="140"/>
      <c r="OHG239" s="140"/>
      <c r="OHH239" s="140"/>
      <c r="OHI239" s="140"/>
      <c r="OHJ239" s="140"/>
      <c r="OHK239" s="140"/>
      <c r="OHL239" s="140"/>
      <c r="OHM239" s="140"/>
      <c r="OHN239" s="140"/>
      <c r="OHO239" s="140"/>
      <c r="OHP239" s="140"/>
      <c r="OHQ239" s="140"/>
      <c r="OHR239" s="140"/>
      <c r="OHS239" s="140"/>
      <c r="OHT239" s="140"/>
      <c r="OHU239" s="140"/>
      <c r="OHV239" s="140"/>
      <c r="OHW239" s="140"/>
      <c r="OHX239" s="140"/>
      <c r="OHY239" s="140"/>
      <c r="OHZ239" s="140"/>
      <c r="OIA239" s="140"/>
      <c r="OIB239" s="140"/>
      <c r="OIC239" s="140"/>
      <c r="OID239" s="140"/>
      <c r="OIE239" s="140"/>
      <c r="OIF239" s="140"/>
      <c r="OIG239" s="140"/>
      <c r="OIH239" s="140"/>
      <c r="OII239" s="140"/>
      <c r="OIJ239" s="140"/>
      <c r="OIK239" s="140"/>
      <c r="OIL239" s="140"/>
      <c r="OIM239" s="140"/>
      <c r="OIN239" s="140"/>
      <c r="OIO239" s="140"/>
      <c r="OIP239" s="140"/>
      <c r="OIQ239" s="140"/>
      <c r="OIR239" s="140"/>
      <c r="OIS239" s="140"/>
      <c r="OIT239" s="140"/>
      <c r="OIU239" s="140"/>
      <c r="OIV239" s="140"/>
      <c r="OIW239" s="140"/>
      <c r="OIX239" s="140"/>
      <c r="OIY239" s="140"/>
      <c r="OIZ239" s="140"/>
      <c r="OJA239" s="140"/>
      <c r="OJB239" s="140"/>
      <c r="OJC239" s="140"/>
      <c r="OJD239" s="140"/>
      <c r="OJE239" s="140"/>
      <c r="OJF239" s="140"/>
      <c r="OJG239" s="140"/>
      <c r="OJH239" s="140"/>
      <c r="OJI239" s="140"/>
      <c r="OJJ239" s="140"/>
      <c r="OJK239" s="140"/>
      <c r="OJL239" s="140"/>
      <c r="OJM239" s="140"/>
      <c r="OJN239" s="140"/>
      <c r="OJO239" s="140"/>
      <c r="OJP239" s="140"/>
      <c r="OJQ239" s="140"/>
      <c r="OJR239" s="140"/>
      <c r="OJS239" s="140"/>
      <c r="OJT239" s="140"/>
      <c r="OJU239" s="140"/>
      <c r="OJV239" s="140"/>
      <c r="OJW239" s="140"/>
      <c r="OJX239" s="140"/>
      <c r="OJY239" s="140"/>
      <c r="OJZ239" s="140"/>
      <c r="OKA239" s="140"/>
      <c r="OKB239" s="140"/>
      <c r="OKC239" s="140"/>
      <c r="OKD239" s="140"/>
      <c r="OKE239" s="140"/>
      <c r="OKF239" s="140"/>
      <c r="OKG239" s="140"/>
      <c r="OKH239" s="140"/>
      <c r="OKI239" s="140"/>
      <c r="OKJ239" s="140"/>
      <c r="OKK239" s="140"/>
      <c r="OKL239" s="140"/>
      <c r="OKM239" s="140"/>
      <c r="OKN239" s="140"/>
      <c r="OKO239" s="140"/>
      <c r="OKP239" s="140"/>
      <c r="OKQ239" s="140"/>
      <c r="OKR239" s="140"/>
      <c r="OKS239" s="140"/>
      <c r="OKT239" s="140"/>
      <c r="OKU239" s="140"/>
      <c r="OKV239" s="140"/>
      <c r="OKW239" s="140"/>
      <c r="OKX239" s="140"/>
      <c r="OKY239" s="140"/>
      <c r="OKZ239" s="140"/>
      <c r="OLA239" s="140"/>
      <c r="OLB239" s="140"/>
      <c r="OLC239" s="140"/>
      <c r="OLD239" s="140"/>
      <c r="OLE239" s="140"/>
      <c r="OLF239" s="140"/>
      <c r="OLG239" s="140"/>
      <c r="OLH239" s="140"/>
      <c r="OLI239" s="140"/>
      <c r="OLJ239" s="140"/>
      <c r="OLK239" s="140"/>
      <c r="OLL239" s="140"/>
      <c r="OLM239" s="140"/>
      <c r="OLN239" s="140"/>
      <c r="OLO239" s="140"/>
      <c r="OLP239" s="140"/>
      <c r="OLQ239" s="140"/>
      <c r="OLR239" s="140"/>
      <c r="OLS239" s="140"/>
      <c r="OLT239" s="140"/>
      <c r="OLU239" s="140"/>
      <c r="OLV239" s="140"/>
      <c r="OLW239" s="140"/>
      <c r="OLX239" s="140"/>
      <c r="OLY239" s="140"/>
      <c r="OLZ239" s="140"/>
      <c r="OMA239" s="140"/>
      <c r="OMB239" s="140"/>
      <c r="OMC239" s="140"/>
      <c r="OMD239" s="140"/>
      <c r="OME239" s="140"/>
      <c r="OMF239" s="140"/>
      <c r="OMG239" s="140"/>
      <c r="OMH239" s="140"/>
      <c r="OMI239" s="140"/>
      <c r="OMJ239" s="140"/>
      <c r="OMK239" s="140"/>
      <c r="OML239" s="140"/>
      <c r="OMM239" s="140"/>
      <c r="OMN239" s="140"/>
      <c r="OMO239" s="140"/>
      <c r="OMP239" s="140"/>
      <c r="OMQ239" s="140"/>
      <c r="OMR239" s="140"/>
      <c r="OMS239" s="140"/>
      <c r="OMT239" s="140"/>
      <c r="OMU239" s="140"/>
      <c r="OMV239" s="140"/>
      <c r="OMW239" s="140"/>
      <c r="OMX239" s="140"/>
      <c r="OMY239" s="140"/>
      <c r="OMZ239" s="140"/>
      <c r="ONA239" s="140"/>
      <c r="ONB239" s="140"/>
      <c r="ONC239" s="140"/>
      <c r="OND239" s="140"/>
      <c r="ONE239" s="140"/>
      <c r="ONF239" s="140"/>
      <c r="ONG239" s="140"/>
      <c r="ONH239" s="140"/>
      <c r="ONI239" s="140"/>
      <c r="ONJ239" s="140"/>
      <c r="ONK239" s="140"/>
      <c r="ONL239" s="140"/>
      <c r="ONM239" s="140"/>
      <c r="ONN239" s="140"/>
      <c r="ONO239" s="140"/>
      <c r="ONP239" s="140"/>
      <c r="ONQ239" s="140"/>
      <c r="ONR239" s="140"/>
      <c r="ONS239" s="140"/>
      <c r="ONT239" s="140"/>
      <c r="ONU239" s="140"/>
      <c r="ONV239" s="140"/>
      <c r="ONW239" s="140"/>
      <c r="ONX239" s="140"/>
      <c r="ONY239" s="140"/>
      <c r="ONZ239" s="140"/>
      <c r="OOA239" s="140"/>
      <c r="OOB239" s="140"/>
      <c r="OOC239" s="140"/>
      <c r="OOD239" s="140"/>
      <c r="OOE239" s="140"/>
      <c r="OOF239" s="140"/>
      <c r="OOG239" s="140"/>
      <c r="OOH239" s="140"/>
      <c r="OOI239" s="140"/>
      <c r="OOJ239" s="140"/>
      <c r="OOK239" s="140"/>
      <c r="OOL239" s="140"/>
      <c r="OOM239" s="140"/>
      <c r="OON239" s="140"/>
      <c r="OOO239" s="140"/>
      <c r="OOP239" s="140"/>
      <c r="OOQ239" s="140"/>
      <c r="OOR239" s="140"/>
      <c r="OOS239" s="140"/>
      <c r="OOT239" s="140"/>
      <c r="OOU239" s="140"/>
      <c r="OOV239" s="140"/>
      <c r="OOW239" s="140"/>
      <c r="OOX239" s="140"/>
      <c r="OOY239" s="140"/>
      <c r="OOZ239" s="140"/>
      <c r="OPA239" s="140"/>
      <c r="OPB239" s="140"/>
      <c r="OPC239" s="140"/>
      <c r="OPD239" s="140"/>
      <c r="OPE239" s="140"/>
      <c r="OPF239" s="140"/>
      <c r="OPG239" s="140"/>
      <c r="OPH239" s="140"/>
      <c r="OPI239" s="140"/>
      <c r="OPJ239" s="140"/>
      <c r="OPK239" s="140"/>
      <c r="OPL239" s="140"/>
      <c r="OPM239" s="140"/>
      <c r="OPN239" s="140"/>
      <c r="OPO239" s="140"/>
      <c r="OPP239" s="140"/>
      <c r="OPQ239" s="140"/>
      <c r="OPR239" s="140"/>
      <c r="OPS239" s="140"/>
      <c r="OPT239" s="140"/>
      <c r="OPU239" s="140"/>
      <c r="OPV239" s="140"/>
      <c r="OPW239" s="140"/>
      <c r="OPX239" s="140"/>
      <c r="OPY239" s="140"/>
      <c r="OPZ239" s="140"/>
      <c r="OQA239" s="140"/>
      <c r="OQB239" s="140"/>
      <c r="OQC239" s="140"/>
      <c r="OQD239" s="140"/>
      <c r="OQE239" s="140"/>
      <c r="OQF239" s="140"/>
      <c r="OQG239" s="140"/>
      <c r="OQH239" s="140"/>
      <c r="OQI239" s="140"/>
      <c r="OQJ239" s="140"/>
      <c r="OQK239" s="140"/>
      <c r="OQL239" s="140"/>
      <c r="OQM239" s="140"/>
      <c r="OQN239" s="140"/>
      <c r="OQO239" s="140"/>
      <c r="OQP239" s="140"/>
      <c r="OQQ239" s="140"/>
      <c r="OQR239" s="140"/>
      <c r="OQS239" s="140"/>
      <c r="OQT239" s="140"/>
      <c r="OQU239" s="140"/>
      <c r="OQV239" s="140"/>
      <c r="OQW239" s="140"/>
      <c r="OQX239" s="140"/>
      <c r="OQY239" s="140"/>
      <c r="OQZ239" s="140"/>
      <c r="ORA239" s="140"/>
      <c r="ORB239" s="140"/>
      <c r="ORC239" s="140"/>
      <c r="ORD239" s="140"/>
      <c r="ORE239" s="140"/>
      <c r="ORF239" s="140"/>
      <c r="ORG239" s="140"/>
      <c r="ORH239" s="140"/>
      <c r="ORI239" s="140"/>
      <c r="ORJ239" s="140"/>
      <c r="ORK239" s="140"/>
      <c r="ORL239" s="140"/>
      <c r="ORM239" s="140"/>
      <c r="ORN239" s="140"/>
      <c r="ORO239" s="140"/>
      <c r="ORP239" s="140"/>
      <c r="ORQ239" s="140"/>
      <c r="ORR239" s="140"/>
      <c r="ORS239" s="140"/>
      <c r="ORT239" s="140"/>
      <c r="ORU239" s="140"/>
      <c r="ORV239" s="140"/>
      <c r="ORW239" s="140"/>
      <c r="ORX239" s="140"/>
      <c r="ORY239" s="140"/>
      <c r="ORZ239" s="140"/>
      <c r="OSA239" s="140"/>
      <c r="OSB239" s="140"/>
      <c r="OSC239" s="140"/>
      <c r="OSD239" s="140"/>
      <c r="OSE239" s="140"/>
      <c r="OSF239" s="140"/>
      <c r="OSG239" s="140"/>
      <c r="OSH239" s="140"/>
      <c r="OSI239" s="140"/>
      <c r="OSJ239" s="140"/>
      <c r="OSK239" s="140"/>
      <c r="OSL239" s="140"/>
      <c r="OSM239" s="140"/>
      <c r="OSN239" s="140"/>
      <c r="OSO239" s="140"/>
      <c r="OSP239" s="140"/>
      <c r="OSQ239" s="140"/>
      <c r="OSR239" s="140"/>
      <c r="OSS239" s="140"/>
      <c r="OST239" s="140"/>
      <c r="OSU239" s="140"/>
      <c r="OSV239" s="140"/>
      <c r="OSW239" s="140"/>
      <c r="OSX239" s="140"/>
      <c r="OSY239" s="140"/>
      <c r="OSZ239" s="140"/>
      <c r="OTA239" s="140"/>
      <c r="OTB239" s="140"/>
      <c r="OTC239" s="140"/>
      <c r="OTD239" s="140"/>
      <c r="OTE239" s="140"/>
      <c r="OTF239" s="140"/>
      <c r="OTG239" s="140"/>
      <c r="OTH239" s="140"/>
      <c r="OTI239" s="140"/>
      <c r="OTJ239" s="140"/>
      <c r="OTK239" s="140"/>
      <c r="OTL239" s="140"/>
      <c r="OTM239" s="140"/>
      <c r="OTN239" s="140"/>
      <c r="OTO239" s="140"/>
      <c r="OTP239" s="140"/>
      <c r="OTQ239" s="140"/>
      <c r="OTR239" s="140"/>
      <c r="OTS239" s="140"/>
      <c r="OTT239" s="140"/>
      <c r="OTU239" s="140"/>
      <c r="OTV239" s="140"/>
      <c r="OTW239" s="140"/>
      <c r="OTX239" s="140"/>
      <c r="OTY239" s="140"/>
      <c r="OTZ239" s="140"/>
      <c r="OUA239" s="140"/>
      <c r="OUB239" s="140"/>
      <c r="OUC239" s="140"/>
      <c r="OUD239" s="140"/>
      <c r="OUE239" s="140"/>
      <c r="OUF239" s="140"/>
      <c r="OUG239" s="140"/>
      <c r="OUH239" s="140"/>
      <c r="OUI239" s="140"/>
      <c r="OUJ239" s="140"/>
      <c r="OUK239" s="140"/>
      <c r="OUL239" s="140"/>
      <c r="OUM239" s="140"/>
      <c r="OUN239" s="140"/>
      <c r="OUO239" s="140"/>
      <c r="OUP239" s="140"/>
      <c r="OUQ239" s="140"/>
      <c r="OUR239" s="140"/>
      <c r="OUS239" s="140"/>
      <c r="OUT239" s="140"/>
      <c r="OUU239" s="140"/>
      <c r="OUV239" s="140"/>
      <c r="OUW239" s="140"/>
      <c r="OUX239" s="140"/>
      <c r="OUY239" s="140"/>
      <c r="OUZ239" s="140"/>
      <c r="OVA239" s="140"/>
      <c r="OVB239" s="140"/>
      <c r="OVC239" s="140"/>
      <c r="OVD239" s="140"/>
      <c r="OVE239" s="140"/>
      <c r="OVF239" s="140"/>
      <c r="OVG239" s="140"/>
      <c r="OVH239" s="140"/>
      <c r="OVI239" s="140"/>
      <c r="OVJ239" s="140"/>
      <c r="OVK239" s="140"/>
      <c r="OVL239" s="140"/>
      <c r="OVM239" s="140"/>
      <c r="OVN239" s="140"/>
      <c r="OVO239" s="140"/>
      <c r="OVP239" s="140"/>
      <c r="OVQ239" s="140"/>
      <c r="OVR239" s="140"/>
      <c r="OVS239" s="140"/>
      <c r="OVT239" s="140"/>
      <c r="OVU239" s="140"/>
      <c r="OVV239" s="140"/>
      <c r="OVW239" s="140"/>
      <c r="OVX239" s="140"/>
      <c r="OVY239" s="140"/>
      <c r="OVZ239" s="140"/>
      <c r="OWA239" s="140"/>
      <c r="OWB239" s="140"/>
      <c r="OWC239" s="140"/>
      <c r="OWD239" s="140"/>
      <c r="OWE239" s="140"/>
      <c r="OWF239" s="140"/>
      <c r="OWG239" s="140"/>
      <c r="OWH239" s="140"/>
      <c r="OWI239" s="140"/>
      <c r="OWJ239" s="140"/>
      <c r="OWK239" s="140"/>
      <c r="OWL239" s="140"/>
      <c r="OWM239" s="140"/>
      <c r="OWN239" s="140"/>
      <c r="OWO239" s="140"/>
      <c r="OWP239" s="140"/>
      <c r="OWQ239" s="140"/>
      <c r="OWR239" s="140"/>
      <c r="OWS239" s="140"/>
      <c r="OWT239" s="140"/>
      <c r="OWU239" s="140"/>
      <c r="OWV239" s="140"/>
      <c r="OWW239" s="140"/>
      <c r="OWX239" s="140"/>
      <c r="OWY239" s="140"/>
      <c r="OWZ239" s="140"/>
      <c r="OXA239" s="140"/>
      <c r="OXB239" s="140"/>
      <c r="OXC239" s="140"/>
      <c r="OXD239" s="140"/>
      <c r="OXE239" s="140"/>
      <c r="OXF239" s="140"/>
      <c r="OXG239" s="140"/>
      <c r="OXH239" s="140"/>
      <c r="OXI239" s="140"/>
      <c r="OXJ239" s="140"/>
      <c r="OXK239" s="140"/>
      <c r="OXL239" s="140"/>
      <c r="OXM239" s="140"/>
      <c r="OXN239" s="140"/>
      <c r="OXO239" s="140"/>
      <c r="OXP239" s="140"/>
      <c r="OXQ239" s="140"/>
      <c r="OXR239" s="140"/>
      <c r="OXS239" s="140"/>
      <c r="OXT239" s="140"/>
      <c r="OXU239" s="140"/>
      <c r="OXV239" s="140"/>
      <c r="OXW239" s="140"/>
      <c r="OXX239" s="140"/>
      <c r="OXY239" s="140"/>
      <c r="OXZ239" s="140"/>
      <c r="OYA239" s="140"/>
      <c r="OYB239" s="140"/>
      <c r="OYC239" s="140"/>
      <c r="OYD239" s="140"/>
      <c r="OYE239" s="140"/>
      <c r="OYF239" s="140"/>
      <c r="OYG239" s="140"/>
      <c r="OYH239" s="140"/>
      <c r="OYI239" s="140"/>
      <c r="OYJ239" s="140"/>
      <c r="OYK239" s="140"/>
      <c r="OYL239" s="140"/>
      <c r="OYM239" s="140"/>
      <c r="OYN239" s="140"/>
      <c r="OYO239" s="140"/>
      <c r="OYP239" s="140"/>
      <c r="OYQ239" s="140"/>
      <c r="OYR239" s="140"/>
      <c r="OYS239" s="140"/>
      <c r="OYT239" s="140"/>
      <c r="OYU239" s="140"/>
      <c r="OYV239" s="140"/>
      <c r="OYW239" s="140"/>
      <c r="OYX239" s="140"/>
      <c r="OYY239" s="140"/>
      <c r="OYZ239" s="140"/>
      <c r="OZA239" s="140"/>
      <c r="OZB239" s="140"/>
      <c r="OZC239" s="140"/>
      <c r="OZD239" s="140"/>
      <c r="OZE239" s="140"/>
      <c r="OZF239" s="140"/>
      <c r="OZG239" s="140"/>
      <c r="OZH239" s="140"/>
      <c r="OZI239" s="140"/>
      <c r="OZJ239" s="140"/>
      <c r="OZK239" s="140"/>
      <c r="OZL239" s="140"/>
      <c r="OZM239" s="140"/>
      <c r="OZN239" s="140"/>
      <c r="OZO239" s="140"/>
      <c r="OZP239" s="140"/>
      <c r="OZQ239" s="140"/>
      <c r="OZR239" s="140"/>
      <c r="OZS239" s="140"/>
      <c r="OZT239" s="140"/>
      <c r="OZU239" s="140"/>
      <c r="OZV239" s="140"/>
      <c r="OZW239" s="140"/>
      <c r="OZX239" s="140"/>
      <c r="OZY239" s="140"/>
      <c r="OZZ239" s="140"/>
      <c r="PAA239" s="140"/>
      <c r="PAB239" s="140"/>
      <c r="PAC239" s="140"/>
      <c r="PAD239" s="140"/>
      <c r="PAE239" s="140"/>
      <c r="PAF239" s="140"/>
      <c r="PAG239" s="140"/>
      <c r="PAH239" s="140"/>
      <c r="PAI239" s="140"/>
      <c r="PAJ239" s="140"/>
      <c r="PAK239" s="140"/>
      <c r="PAL239" s="140"/>
      <c r="PAM239" s="140"/>
      <c r="PAN239" s="140"/>
      <c r="PAO239" s="140"/>
      <c r="PAP239" s="140"/>
      <c r="PAQ239" s="140"/>
      <c r="PAR239" s="140"/>
      <c r="PAS239" s="140"/>
      <c r="PAT239" s="140"/>
      <c r="PAU239" s="140"/>
      <c r="PAV239" s="140"/>
      <c r="PAW239" s="140"/>
      <c r="PAX239" s="140"/>
      <c r="PAY239" s="140"/>
      <c r="PAZ239" s="140"/>
      <c r="PBA239" s="140"/>
      <c r="PBB239" s="140"/>
      <c r="PBC239" s="140"/>
      <c r="PBD239" s="140"/>
      <c r="PBE239" s="140"/>
      <c r="PBF239" s="140"/>
      <c r="PBG239" s="140"/>
      <c r="PBH239" s="140"/>
      <c r="PBI239" s="140"/>
      <c r="PBJ239" s="140"/>
      <c r="PBK239" s="140"/>
      <c r="PBL239" s="140"/>
      <c r="PBM239" s="140"/>
      <c r="PBN239" s="140"/>
      <c r="PBO239" s="140"/>
      <c r="PBP239" s="140"/>
      <c r="PBQ239" s="140"/>
      <c r="PBR239" s="140"/>
      <c r="PBS239" s="140"/>
      <c r="PBT239" s="140"/>
      <c r="PBU239" s="140"/>
      <c r="PBV239" s="140"/>
      <c r="PBW239" s="140"/>
      <c r="PBX239" s="140"/>
      <c r="PBY239" s="140"/>
      <c r="PBZ239" s="140"/>
      <c r="PCA239" s="140"/>
      <c r="PCB239" s="140"/>
      <c r="PCC239" s="140"/>
      <c r="PCD239" s="140"/>
      <c r="PCE239" s="140"/>
      <c r="PCF239" s="140"/>
      <c r="PCG239" s="140"/>
      <c r="PCH239" s="140"/>
      <c r="PCI239" s="140"/>
      <c r="PCJ239" s="140"/>
      <c r="PCK239" s="140"/>
      <c r="PCL239" s="140"/>
      <c r="PCM239" s="140"/>
      <c r="PCN239" s="140"/>
      <c r="PCO239" s="140"/>
      <c r="PCP239" s="140"/>
      <c r="PCQ239" s="140"/>
      <c r="PCR239" s="140"/>
      <c r="PCS239" s="140"/>
      <c r="PCT239" s="140"/>
      <c r="PCU239" s="140"/>
      <c r="PCV239" s="140"/>
      <c r="PCW239" s="140"/>
      <c r="PCX239" s="140"/>
      <c r="PCY239" s="140"/>
      <c r="PCZ239" s="140"/>
      <c r="PDA239" s="140"/>
      <c r="PDB239" s="140"/>
      <c r="PDC239" s="140"/>
      <c r="PDD239" s="140"/>
      <c r="PDE239" s="140"/>
      <c r="PDF239" s="140"/>
      <c r="PDG239" s="140"/>
      <c r="PDH239" s="140"/>
      <c r="PDI239" s="140"/>
      <c r="PDJ239" s="140"/>
      <c r="PDK239" s="140"/>
      <c r="PDL239" s="140"/>
      <c r="PDM239" s="140"/>
      <c r="PDN239" s="140"/>
      <c r="PDO239" s="140"/>
      <c r="PDP239" s="140"/>
      <c r="PDQ239" s="140"/>
      <c r="PDR239" s="140"/>
      <c r="PDS239" s="140"/>
      <c r="PDT239" s="140"/>
      <c r="PDU239" s="140"/>
      <c r="PDV239" s="140"/>
      <c r="PDW239" s="140"/>
      <c r="PDX239" s="140"/>
      <c r="PDY239" s="140"/>
      <c r="PDZ239" s="140"/>
      <c r="PEA239" s="140"/>
      <c r="PEB239" s="140"/>
      <c r="PEC239" s="140"/>
      <c r="PED239" s="140"/>
      <c r="PEE239" s="140"/>
      <c r="PEF239" s="140"/>
      <c r="PEG239" s="140"/>
      <c r="PEH239" s="140"/>
      <c r="PEI239" s="140"/>
      <c r="PEJ239" s="140"/>
      <c r="PEK239" s="140"/>
      <c r="PEL239" s="140"/>
      <c r="PEM239" s="140"/>
      <c r="PEN239" s="140"/>
      <c r="PEO239" s="140"/>
      <c r="PEP239" s="140"/>
      <c r="PEQ239" s="140"/>
      <c r="PER239" s="140"/>
      <c r="PES239" s="140"/>
      <c r="PET239" s="140"/>
      <c r="PEU239" s="140"/>
      <c r="PEV239" s="140"/>
      <c r="PEW239" s="140"/>
      <c r="PEX239" s="140"/>
      <c r="PEY239" s="140"/>
      <c r="PEZ239" s="140"/>
      <c r="PFA239" s="140"/>
      <c r="PFB239" s="140"/>
      <c r="PFC239" s="140"/>
      <c r="PFD239" s="140"/>
      <c r="PFE239" s="140"/>
      <c r="PFF239" s="140"/>
      <c r="PFG239" s="140"/>
      <c r="PFH239" s="140"/>
      <c r="PFI239" s="140"/>
      <c r="PFJ239" s="140"/>
      <c r="PFK239" s="140"/>
      <c r="PFL239" s="140"/>
      <c r="PFM239" s="140"/>
      <c r="PFN239" s="140"/>
      <c r="PFO239" s="140"/>
      <c r="PFP239" s="140"/>
      <c r="PFQ239" s="140"/>
      <c r="PFR239" s="140"/>
      <c r="PFS239" s="140"/>
      <c r="PFT239" s="140"/>
      <c r="PFU239" s="140"/>
      <c r="PFV239" s="140"/>
      <c r="PFW239" s="140"/>
      <c r="PFX239" s="140"/>
      <c r="PFY239" s="140"/>
      <c r="PFZ239" s="140"/>
      <c r="PGA239" s="140"/>
      <c r="PGB239" s="140"/>
      <c r="PGC239" s="140"/>
      <c r="PGD239" s="140"/>
      <c r="PGE239" s="140"/>
      <c r="PGF239" s="140"/>
      <c r="PGG239" s="140"/>
      <c r="PGH239" s="140"/>
      <c r="PGI239" s="140"/>
      <c r="PGJ239" s="140"/>
      <c r="PGK239" s="140"/>
      <c r="PGL239" s="140"/>
      <c r="PGM239" s="140"/>
      <c r="PGN239" s="140"/>
      <c r="PGO239" s="140"/>
      <c r="PGP239" s="140"/>
      <c r="PGQ239" s="140"/>
      <c r="PGR239" s="140"/>
      <c r="PGS239" s="140"/>
      <c r="PGT239" s="140"/>
      <c r="PGU239" s="140"/>
      <c r="PGV239" s="140"/>
      <c r="PGW239" s="140"/>
      <c r="PGX239" s="140"/>
      <c r="PGY239" s="140"/>
      <c r="PGZ239" s="140"/>
      <c r="PHA239" s="140"/>
      <c r="PHB239" s="140"/>
      <c r="PHC239" s="140"/>
      <c r="PHD239" s="140"/>
      <c r="PHE239" s="140"/>
      <c r="PHF239" s="140"/>
      <c r="PHG239" s="140"/>
      <c r="PHH239" s="140"/>
      <c r="PHI239" s="140"/>
      <c r="PHJ239" s="140"/>
      <c r="PHK239" s="140"/>
      <c r="PHL239" s="140"/>
      <c r="PHM239" s="140"/>
      <c r="PHN239" s="140"/>
      <c r="PHO239" s="140"/>
      <c r="PHP239" s="140"/>
      <c r="PHQ239" s="140"/>
      <c r="PHR239" s="140"/>
      <c r="PHS239" s="140"/>
      <c r="PHT239" s="140"/>
      <c r="PHU239" s="140"/>
      <c r="PHV239" s="140"/>
      <c r="PHW239" s="140"/>
      <c r="PHX239" s="140"/>
      <c r="PHY239" s="140"/>
      <c r="PHZ239" s="140"/>
      <c r="PIA239" s="140"/>
      <c r="PIB239" s="140"/>
      <c r="PIC239" s="140"/>
      <c r="PID239" s="140"/>
      <c r="PIE239" s="140"/>
      <c r="PIF239" s="140"/>
      <c r="PIG239" s="140"/>
      <c r="PIH239" s="140"/>
      <c r="PII239" s="140"/>
      <c r="PIJ239" s="140"/>
      <c r="PIK239" s="140"/>
      <c r="PIL239" s="140"/>
      <c r="PIM239" s="140"/>
      <c r="PIN239" s="140"/>
      <c r="PIO239" s="140"/>
      <c r="PIP239" s="140"/>
      <c r="PIQ239" s="140"/>
      <c r="PIR239" s="140"/>
      <c r="PIS239" s="140"/>
      <c r="PIT239" s="140"/>
      <c r="PIU239" s="140"/>
      <c r="PIV239" s="140"/>
      <c r="PIW239" s="140"/>
      <c r="PIX239" s="140"/>
      <c r="PIY239" s="140"/>
      <c r="PIZ239" s="140"/>
      <c r="PJA239" s="140"/>
      <c r="PJB239" s="140"/>
      <c r="PJC239" s="140"/>
      <c r="PJD239" s="140"/>
      <c r="PJE239" s="140"/>
      <c r="PJF239" s="140"/>
      <c r="PJG239" s="140"/>
      <c r="PJH239" s="140"/>
      <c r="PJI239" s="140"/>
      <c r="PJJ239" s="140"/>
      <c r="PJK239" s="140"/>
      <c r="PJL239" s="140"/>
      <c r="PJM239" s="140"/>
      <c r="PJN239" s="140"/>
      <c r="PJO239" s="140"/>
      <c r="PJP239" s="140"/>
      <c r="PJQ239" s="140"/>
      <c r="PJR239" s="140"/>
      <c r="PJS239" s="140"/>
      <c r="PJT239" s="140"/>
      <c r="PJU239" s="140"/>
      <c r="PJV239" s="140"/>
      <c r="PJW239" s="140"/>
      <c r="PJX239" s="140"/>
      <c r="PJY239" s="140"/>
      <c r="PJZ239" s="140"/>
      <c r="PKA239" s="140"/>
      <c r="PKB239" s="140"/>
      <c r="PKC239" s="140"/>
      <c r="PKD239" s="140"/>
      <c r="PKE239" s="140"/>
      <c r="PKF239" s="140"/>
      <c r="PKG239" s="140"/>
      <c r="PKH239" s="140"/>
      <c r="PKI239" s="140"/>
      <c r="PKJ239" s="140"/>
      <c r="PKK239" s="140"/>
      <c r="PKL239" s="140"/>
      <c r="PKM239" s="140"/>
      <c r="PKN239" s="140"/>
      <c r="PKO239" s="140"/>
      <c r="PKP239" s="140"/>
      <c r="PKQ239" s="140"/>
      <c r="PKR239" s="140"/>
      <c r="PKS239" s="140"/>
      <c r="PKT239" s="140"/>
      <c r="PKU239" s="140"/>
      <c r="PKV239" s="140"/>
      <c r="PKW239" s="140"/>
      <c r="PKX239" s="140"/>
      <c r="PKY239" s="140"/>
      <c r="PKZ239" s="140"/>
      <c r="PLA239" s="140"/>
      <c r="PLB239" s="140"/>
      <c r="PLC239" s="140"/>
      <c r="PLD239" s="140"/>
      <c r="PLE239" s="140"/>
      <c r="PLF239" s="140"/>
      <c r="PLG239" s="140"/>
      <c r="PLH239" s="140"/>
      <c r="PLI239" s="140"/>
      <c r="PLJ239" s="140"/>
      <c r="PLK239" s="140"/>
      <c r="PLL239" s="140"/>
      <c r="PLM239" s="140"/>
      <c r="PLN239" s="140"/>
      <c r="PLO239" s="140"/>
      <c r="PLP239" s="140"/>
      <c r="PLQ239" s="140"/>
      <c r="PLR239" s="140"/>
      <c r="PLS239" s="140"/>
      <c r="PLT239" s="140"/>
      <c r="PLU239" s="140"/>
      <c r="PLV239" s="140"/>
      <c r="PLW239" s="140"/>
      <c r="PLX239" s="140"/>
      <c r="PLY239" s="140"/>
      <c r="PLZ239" s="140"/>
      <c r="PMA239" s="140"/>
      <c r="PMB239" s="140"/>
      <c r="PMC239" s="140"/>
      <c r="PMD239" s="140"/>
      <c r="PME239" s="140"/>
      <c r="PMF239" s="140"/>
      <c r="PMG239" s="140"/>
      <c r="PMH239" s="140"/>
      <c r="PMI239" s="140"/>
      <c r="PMJ239" s="140"/>
      <c r="PMK239" s="140"/>
      <c r="PML239" s="140"/>
      <c r="PMM239" s="140"/>
      <c r="PMN239" s="140"/>
      <c r="PMO239" s="140"/>
      <c r="PMP239" s="140"/>
      <c r="PMQ239" s="140"/>
      <c r="PMR239" s="140"/>
      <c r="PMS239" s="140"/>
      <c r="PMT239" s="140"/>
      <c r="PMU239" s="140"/>
      <c r="PMV239" s="140"/>
      <c r="PMW239" s="140"/>
      <c r="PMX239" s="140"/>
      <c r="PMY239" s="140"/>
      <c r="PMZ239" s="140"/>
      <c r="PNA239" s="140"/>
      <c r="PNB239" s="140"/>
      <c r="PNC239" s="140"/>
      <c r="PND239" s="140"/>
      <c r="PNE239" s="140"/>
      <c r="PNF239" s="140"/>
      <c r="PNG239" s="140"/>
      <c r="PNH239" s="140"/>
      <c r="PNI239" s="140"/>
      <c r="PNJ239" s="140"/>
      <c r="PNK239" s="140"/>
      <c r="PNL239" s="140"/>
      <c r="PNM239" s="140"/>
      <c r="PNN239" s="140"/>
      <c r="PNO239" s="140"/>
      <c r="PNP239" s="140"/>
      <c r="PNQ239" s="140"/>
      <c r="PNR239" s="140"/>
      <c r="PNS239" s="140"/>
      <c r="PNT239" s="140"/>
      <c r="PNU239" s="140"/>
      <c r="PNV239" s="140"/>
      <c r="PNW239" s="140"/>
      <c r="PNX239" s="140"/>
      <c r="PNY239" s="140"/>
      <c r="PNZ239" s="140"/>
      <c r="POA239" s="140"/>
      <c r="POB239" s="140"/>
      <c r="POC239" s="140"/>
      <c r="POD239" s="140"/>
      <c r="POE239" s="140"/>
      <c r="POF239" s="140"/>
      <c r="POG239" s="140"/>
      <c r="POH239" s="140"/>
      <c r="POI239" s="140"/>
      <c r="POJ239" s="140"/>
      <c r="POK239" s="140"/>
      <c r="POL239" s="140"/>
      <c r="POM239" s="140"/>
      <c r="PON239" s="140"/>
      <c r="POO239" s="140"/>
      <c r="POP239" s="140"/>
      <c r="POQ239" s="140"/>
      <c r="POR239" s="140"/>
      <c r="POS239" s="140"/>
      <c r="POT239" s="140"/>
      <c r="POU239" s="140"/>
      <c r="POV239" s="140"/>
      <c r="POW239" s="140"/>
      <c r="POX239" s="140"/>
      <c r="POY239" s="140"/>
      <c r="POZ239" s="140"/>
      <c r="PPA239" s="140"/>
      <c r="PPB239" s="140"/>
      <c r="PPC239" s="140"/>
      <c r="PPD239" s="140"/>
      <c r="PPE239" s="140"/>
      <c r="PPF239" s="140"/>
      <c r="PPG239" s="140"/>
      <c r="PPH239" s="140"/>
      <c r="PPI239" s="140"/>
      <c r="PPJ239" s="140"/>
      <c r="PPK239" s="140"/>
      <c r="PPL239" s="140"/>
      <c r="PPM239" s="140"/>
      <c r="PPN239" s="140"/>
      <c r="PPO239" s="140"/>
      <c r="PPP239" s="140"/>
      <c r="PPQ239" s="140"/>
      <c r="PPR239" s="140"/>
      <c r="PPS239" s="140"/>
      <c r="PPT239" s="140"/>
      <c r="PPU239" s="140"/>
      <c r="PPV239" s="140"/>
      <c r="PPW239" s="140"/>
      <c r="PPX239" s="140"/>
      <c r="PPY239" s="140"/>
      <c r="PPZ239" s="140"/>
      <c r="PQA239" s="140"/>
      <c r="PQB239" s="140"/>
      <c r="PQC239" s="140"/>
      <c r="PQD239" s="140"/>
      <c r="PQE239" s="140"/>
      <c r="PQF239" s="140"/>
      <c r="PQG239" s="140"/>
      <c r="PQH239" s="140"/>
      <c r="PQI239" s="140"/>
      <c r="PQJ239" s="140"/>
      <c r="PQK239" s="140"/>
      <c r="PQL239" s="140"/>
      <c r="PQM239" s="140"/>
      <c r="PQN239" s="140"/>
      <c r="PQO239" s="140"/>
      <c r="PQP239" s="140"/>
      <c r="PQQ239" s="140"/>
      <c r="PQR239" s="140"/>
      <c r="PQS239" s="140"/>
      <c r="PQT239" s="140"/>
      <c r="PQU239" s="140"/>
      <c r="PQV239" s="140"/>
      <c r="PQW239" s="140"/>
      <c r="PQX239" s="140"/>
      <c r="PQY239" s="140"/>
      <c r="PQZ239" s="140"/>
      <c r="PRA239" s="140"/>
      <c r="PRB239" s="140"/>
      <c r="PRC239" s="140"/>
      <c r="PRD239" s="140"/>
      <c r="PRE239" s="140"/>
      <c r="PRF239" s="140"/>
      <c r="PRG239" s="140"/>
      <c r="PRH239" s="140"/>
      <c r="PRI239" s="140"/>
      <c r="PRJ239" s="140"/>
      <c r="PRK239" s="140"/>
      <c r="PRL239" s="140"/>
      <c r="PRM239" s="140"/>
      <c r="PRN239" s="140"/>
      <c r="PRO239" s="140"/>
      <c r="PRP239" s="140"/>
      <c r="PRQ239" s="140"/>
      <c r="PRR239" s="140"/>
      <c r="PRS239" s="140"/>
      <c r="PRT239" s="140"/>
      <c r="PRU239" s="140"/>
      <c r="PRV239" s="140"/>
      <c r="PRW239" s="140"/>
      <c r="PRX239" s="140"/>
      <c r="PRY239" s="140"/>
      <c r="PRZ239" s="140"/>
      <c r="PSA239" s="140"/>
      <c r="PSB239" s="140"/>
      <c r="PSC239" s="140"/>
      <c r="PSD239" s="140"/>
      <c r="PSE239" s="140"/>
      <c r="PSF239" s="140"/>
      <c r="PSG239" s="140"/>
      <c r="PSH239" s="140"/>
      <c r="PSI239" s="140"/>
      <c r="PSJ239" s="140"/>
      <c r="PSK239" s="140"/>
      <c r="PSL239" s="140"/>
      <c r="PSM239" s="140"/>
      <c r="PSN239" s="140"/>
      <c r="PSO239" s="140"/>
      <c r="PSP239" s="140"/>
      <c r="PSQ239" s="140"/>
      <c r="PSR239" s="140"/>
      <c r="PSS239" s="140"/>
      <c r="PST239" s="140"/>
      <c r="PSU239" s="140"/>
      <c r="PSV239" s="140"/>
      <c r="PSW239" s="140"/>
      <c r="PSX239" s="140"/>
      <c r="PSY239" s="140"/>
      <c r="PSZ239" s="140"/>
      <c r="PTA239" s="140"/>
      <c r="PTB239" s="140"/>
      <c r="PTC239" s="140"/>
      <c r="PTD239" s="140"/>
      <c r="PTE239" s="140"/>
      <c r="PTF239" s="140"/>
      <c r="PTG239" s="140"/>
      <c r="PTH239" s="140"/>
      <c r="PTI239" s="140"/>
      <c r="PTJ239" s="140"/>
      <c r="PTK239" s="140"/>
      <c r="PTL239" s="140"/>
      <c r="PTM239" s="140"/>
      <c r="PTN239" s="140"/>
      <c r="PTO239" s="140"/>
      <c r="PTP239" s="140"/>
      <c r="PTQ239" s="140"/>
      <c r="PTR239" s="140"/>
      <c r="PTS239" s="140"/>
      <c r="PTT239" s="140"/>
      <c r="PTU239" s="140"/>
      <c r="PTV239" s="140"/>
      <c r="PTW239" s="140"/>
      <c r="PTX239" s="140"/>
      <c r="PTY239" s="140"/>
      <c r="PTZ239" s="140"/>
      <c r="PUA239" s="140"/>
      <c r="PUB239" s="140"/>
      <c r="PUC239" s="140"/>
      <c r="PUD239" s="140"/>
      <c r="PUE239" s="140"/>
      <c r="PUF239" s="140"/>
      <c r="PUG239" s="140"/>
      <c r="PUH239" s="140"/>
      <c r="PUI239" s="140"/>
      <c r="PUJ239" s="140"/>
      <c r="PUK239" s="140"/>
      <c r="PUL239" s="140"/>
      <c r="PUM239" s="140"/>
      <c r="PUN239" s="140"/>
      <c r="PUO239" s="140"/>
      <c r="PUP239" s="140"/>
      <c r="PUQ239" s="140"/>
      <c r="PUR239" s="140"/>
      <c r="PUS239" s="140"/>
      <c r="PUT239" s="140"/>
      <c r="PUU239" s="140"/>
      <c r="PUV239" s="140"/>
      <c r="PUW239" s="140"/>
      <c r="PUX239" s="140"/>
      <c r="PUY239" s="140"/>
      <c r="PUZ239" s="140"/>
      <c r="PVA239" s="140"/>
      <c r="PVB239" s="140"/>
      <c r="PVC239" s="140"/>
      <c r="PVD239" s="140"/>
      <c r="PVE239" s="140"/>
      <c r="PVF239" s="140"/>
      <c r="PVG239" s="140"/>
      <c r="PVH239" s="140"/>
      <c r="PVI239" s="140"/>
      <c r="PVJ239" s="140"/>
      <c r="PVK239" s="140"/>
      <c r="PVL239" s="140"/>
      <c r="PVM239" s="140"/>
      <c r="PVN239" s="140"/>
      <c r="PVO239" s="140"/>
      <c r="PVP239" s="140"/>
      <c r="PVQ239" s="140"/>
      <c r="PVR239" s="140"/>
      <c r="PVS239" s="140"/>
      <c r="PVT239" s="140"/>
      <c r="PVU239" s="140"/>
      <c r="PVV239" s="140"/>
      <c r="PVW239" s="140"/>
      <c r="PVX239" s="140"/>
      <c r="PVY239" s="140"/>
      <c r="PVZ239" s="140"/>
      <c r="PWA239" s="140"/>
      <c r="PWB239" s="140"/>
      <c r="PWC239" s="140"/>
      <c r="PWD239" s="140"/>
      <c r="PWE239" s="140"/>
      <c r="PWF239" s="140"/>
      <c r="PWG239" s="140"/>
      <c r="PWH239" s="140"/>
      <c r="PWI239" s="140"/>
      <c r="PWJ239" s="140"/>
      <c r="PWK239" s="140"/>
      <c r="PWL239" s="140"/>
      <c r="PWM239" s="140"/>
      <c r="PWN239" s="140"/>
      <c r="PWO239" s="140"/>
      <c r="PWP239" s="140"/>
      <c r="PWQ239" s="140"/>
      <c r="PWR239" s="140"/>
      <c r="PWS239" s="140"/>
      <c r="PWT239" s="140"/>
      <c r="PWU239" s="140"/>
      <c r="PWV239" s="140"/>
      <c r="PWW239" s="140"/>
      <c r="PWX239" s="140"/>
      <c r="PWY239" s="140"/>
      <c r="PWZ239" s="140"/>
      <c r="PXA239" s="140"/>
      <c r="PXB239" s="140"/>
      <c r="PXC239" s="140"/>
      <c r="PXD239" s="140"/>
      <c r="PXE239" s="140"/>
      <c r="PXF239" s="140"/>
      <c r="PXG239" s="140"/>
      <c r="PXH239" s="140"/>
      <c r="PXI239" s="140"/>
      <c r="PXJ239" s="140"/>
      <c r="PXK239" s="140"/>
      <c r="PXL239" s="140"/>
      <c r="PXM239" s="140"/>
      <c r="PXN239" s="140"/>
      <c r="PXO239" s="140"/>
      <c r="PXP239" s="140"/>
      <c r="PXQ239" s="140"/>
      <c r="PXR239" s="140"/>
      <c r="PXS239" s="140"/>
      <c r="PXT239" s="140"/>
      <c r="PXU239" s="140"/>
      <c r="PXV239" s="140"/>
      <c r="PXW239" s="140"/>
      <c r="PXX239" s="140"/>
      <c r="PXY239" s="140"/>
      <c r="PXZ239" s="140"/>
      <c r="PYA239" s="140"/>
      <c r="PYB239" s="140"/>
      <c r="PYC239" s="140"/>
      <c r="PYD239" s="140"/>
      <c r="PYE239" s="140"/>
      <c r="PYF239" s="140"/>
      <c r="PYG239" s="140"/>
      <c r="PYH239" s="140"/>
      <c r="PYI239" s="140"/>
      <c r="PYJ239" s="140"/>
      <c r="PYK239" s="140"/>
      <c r="PYL239" s="140"/>
      <c r="PYM239" s="140"/>
      <c r="PYN239" s="140"/>
      <c r="PYO239" s="140"/>
      <c r="PYP239" s="140"/>
      <c r="PYQ239" s="140"/>
      <c r="PYR239" s="140"/>
      <c r="PYS239" s="140"/>
      <c r="PYT239" s="140"/>
      <c r="PYU239" s="140"/>
      <c r="PYV239" s="140"/>
      <c r="PYW239" s="140"/>
      <c r="PYX239" s="140"/>
      <c r="PYY239" s="140"/>
      <c r="PYZ239" s="140"/>
      <c r="PZA239" s="140"/>
      <c r="PZB239" s="140"/>
      <c r="PZC239" s="140"/>
      <c r="PZD239" s="140"/>
      <c r="PZE239" s="140"/>
      <c r="PZF239" s="140"/>
      <c r="PZG239" s="140"/>
      <c r="PZH239" s="140"/>
      <c r="PZI239" s="140"/>
      <c r="PZJ239" s="140"/>
      <c r="PZK239" s="140"/>
      <c r="PZL239" s="140"/>
      <c r="PZM239" s="140"/>
      <c r="PZN239" s="140"/>
      <c r="PZO239" s="140"/>
      <c r="PZP239" s="140"/>
      <c r="PZQ239" s="140"/>
      <c r="PZR239" s="140"/>
      <c r="PZS239" s="140"/>
      <c r="PZT239" s="140"/>
      <c r="PZU239" s="140"/>
      <c r="PZV239" s="140"/>
      <c r="PZW239" s="140"/>
      <c r="PZX239" s="140"/>
      <c r="PZY239" s="140"/>
      <c r="PZZ239" s="140"/>
      <c r="QAA239" s="140"/>
      <c r="QAB239" s="140"/>
      <c r="QAC239" s="140"/>
      <c r="QAD239" s="140"/>
      <c r="QAE239" s="140"/>
      <c r="QAF239" s="140"/>
      <c r="QAG239" s="140"/>
      <c r="QAH239" s="140"/>
      <c r="QAI239" s="140"/>
      <c r="QAJ239" s="140"/>
      <c r="QAK239" s="140"/>
      <c r="QAL239" s="140"/>
      <c r="QAM239" s="140"/>
      <c r="QAN239" s="140"/>
      <c r="QAO239" s="140"/>
      <c r="QAP239" s="140"/>
      <c r="QAQ239" s="140"/>
      <c r="QAR239" s="140"/>
      <c r="QAS239" s="140"/>
      <c r="QAT239" s="140"/>
      <c r="QAU239" s="140"/>
      <c r="QAV239" s="140"/>
      <c r="QAW239" s="140"/>
      <c r="QAX239" s="140"/>
      <c r="QAY239" s="140"/>
      <c r="QAZ239" s="140"/>
      <c r="QBA239" s="140"/>
      <c r="QBB239" s="140"/>
      <c r="QBC239" s="140"/>
      <c r="QBD239" s="140"/>
      <c r="QBE239" s="140"/>
      <c r="QBF239" s="140"/>
      <c r="QBG239" s="140"/>
      <c r="QBH239" s="140"/>
      <c r="QBI239" s="140"/>
      <c r="QBJ239" s="140"/>
      <c r="QBK239" s="140"/>
      <c r="QBL239" s="140"/>
      <c r="QBM239" s="140"/>
      <c r="QBN239" s="140"/>
      <c r="QBO239" s="140"/>
      <c r="QBP239" s="140"/>
      <c r="QBQ239" s="140"/>
      <c r="QBR239" s="140"/>
      <c r="QBS239" s="140"/>
      <c r="QBT239" s="140"/>
      <c r="QBU239" s="140"/>
      <c r="QBV239" s="140"/>
      <c r="QBW239" s="140"/>
      <c r="QBX239" s="140"/>
      <c r="QBY239" s="140"/>
      <c r="QBZ239" s="140"/>
      <c r="QCA239" s="140"/>
      <c r="QCB239" s="140"/>
      <c r="QCC239" s="140"/>
      <c r="QCD239" s="140"/>
      <c r="QCE239" s="140"/>
      <c r="QCF239" s="140"/>
      <c r="QCG239" s="140"/>
      <c r="QCH239" s="140"/>
      <c r="QCI239" s="140"/>
      <c r="QCJ239" s="140"/>
      <c r="QCK239" s="140"/>
      <c r="QCL239" s="140"/>
      <c r="QCM239" s="140"/>
      <c r="QCN239" s="140"/>
      <c r="QCO239" s="140"/>
      <c r="QCP239" s="140"/>
      <c r="QCQ239" s="140"/>
      <c r="QCR239" s="140"/>
      <c r="QCS239" s="140"/>
      <c r="QCT239" s="140"/>
      <c r="QCU239" s="140"/>
      <c r="QCV239" s="140"/>
      <c r="QCW239" s="140"/>
      <c r="QCX239" s="140"/>
      <c r="QCY239" s="140"/>
      <c r="QCZ239" s="140"/>
      <c r="QDA239" s="140"/>
      <c r="QDB239" s="140"/>
      <c r="QDC239" s="140"/>
      <c r="QDD239" s="140"/>
      <c r="QDE239" s="140"/>
      <c r="QDF239" s="140"/>
      <c r="QDG239" s="140"/>
      <c r="QDH239" s="140"/>
      <c r="QDI239" s="140"/>
      <c r="QDJ239" s="140"/>
      <c r="QDK239" s="140"/>
      <c r="QDL239" s="140"/>
      <c r="QDM239" s="140"/>
      <c r="QDN239" s="140"/>
      <c r="QDO239" s="140"/>
      <c r="QDP239" s="140"/>
      <c r="QDQ239" s="140"/>
      <c r="QDR239" s="140"/>
      <c r="QDS239" s="140"/>
      <c r="QDT239" s="140"/>
      <c r="QDU239" s="140"/>
      <c r="QDV239" s="140"/>
      <c r="QDW239" s="140"/>
      <c r="QDX239" s="140"/>
      <c r="QDY239" s="140"/>
      <c r="QDZ239" s="140"/>
      <c r="QEA239" s="140"/>
      <c r="QEB239" s="140"/>
      <c r="QEC239" s="140"/>
      <c r="QED239" s="140"/>
      <c r="QEE239" s="140"/>
      <c r="QEF239" s="140"/>
      <c r="QEG239" s="140"/>
      <c r="QEH239" s="140"/>
      <c r="QEI239" s="140"/>
      <c r="QEJ239" s="140"/>
      <c r="QEK239" s="140"/>
      <c r="QEL239" s="140"/>
      <c r="QEM239" s="140"/>
      <c r="QEN239" s="140"/>
      <c r="QEO239" s="140"/>
      <c r="QEP239" s="140"/>
      <c r="QEQ239" s="140"/>
      <c r="QER239" s="140"/>
      <c r="QES239" s="140"/>
      <c r="QET239" s="140"/>
      <c r="QEU239" s="140"/>
      <c r="QEV239" s="140"/>
      <c r="QEW239" s="140"/>
      <c r="QEX239" s="140"/>
      <c r="QEY239" s="140"/>
      <c r="QEZ239" s="140"/>
      <c r="QFA239" s="140"/>
      <c r="QFB239" s="140"/>
      <c r="QFC239" s="140"/>
      <c r="QFD239" s="140"/>
      <c r="QFE239" s="140"/>
      <c r="QFF239" s="140"/>
      <c r="QFG239" s="140"/>
      <c r="QFH239" s="140"/>
      <c r="QFI239" s="140"/>
      <c r="QFJ239" s="140"/>
      <c r="QFK239" s="140"/>
      <c r="QFL239" s="140"/>
      <c r="QFM239" s="140"/>
      <c r="QFN239" s="140"/>
      <c r="QFO239" s="140"/>
      <c r="QFP239" s="140"/>
      <c r="QFQ239" s="140"/>
      <c r="QFR239" s="140"/>
      <c r="QFS239" s="140"/>
      <c r="QFT239" s="140"/>
      <c r="QFU239" s="140"/>
      <c r="QFV239" s="140"/>
      <c r="QFW239" s="140"/>
      <c r="QFX239" s="140"/>
      <c r="QFY239" s="140"/>
      <c r="QFZ239" s="140"/>
      <c r="QGA239" s="140"/>
      <c r="QGB239" s="140"/>
      <c r="QGC239" s="140"/>
      <c r="QGD239" s="140"/>
      <c r="QGE239" s="140"/>
      <c r="QGF239" s="140"/>
      <c r="QGG239" s="140"/>
      <c r="QGH239" s="140"/>
      <c r="QGI239" s="140"/>
      <c r="QGJ239" s="140"/>
      <c r="QGK239" s="140"/>
      <c r="QGL239" s="140"/>
      <c r="QGM239" s="140"/>
      <c r="QGN239" s="140"/>
      <c r="QGO239" s="140"/>
      <c r="QGP239" s="140"/>
      <c r="QGQ239" s="140"/>
      <c r="QGR239" s="140"/>
      <c r="QGS239" s="140"/>
      <c r="QGT239" s="140"/>
      <c r="QGU239" s="140"/>
      <c r="QGV239" s="140"/>
      <c r="QGW239" s="140"/>
      <c r="QGX239" s="140"/>
      <c r="QGY239" s="140"/>
      <c r="QGZ239" s="140"/>
      <c r="QHA239" s="140"/>
      <c r="QHB239" s="140"/>
      <c r="QHC239" s="140"/>
      <c r="QHD239" s="140"/>
      <c r="QHE239" s="140"/>
      <c r="QHF239" s="140"/>
      <c r="QHG239" s="140"/>
      <c r="QHH239" s="140"/>
      <c r="QHI239" s="140"/>
      <c r="QHJ239" s="140"/>
      <c r="QHK239" s="140"/>
      <c r="QHL239" s="140"/>
      <c r="QHM239" s="140"/>
      <c r="QHN239" s="140"/>
      <c r="QHO239" s="140"/>
      <c r="QHP239" s="140"/>
      <c r="QHQ239" s="140"/>
      <c r="QHR239" s="140"/>
      <c r="QHS239" s="140"/>
      <c r="QHT239" s="140"/>
      <c r="QHU239" s="140"/>
      <c r="QHV239" s="140"/>
      <c r="QHW239" s="140"/>
      <c r="QHX239" s="140"/>
      <c r="QHY239" s="140"/>
      <c r="QHZ239" s="140"/>
      <c r="QIA239" s="140"/>
      <c r="QIB239" s="140"/>
      <c r="QIC239" s="140"/>
      <c r="QID239" s="140"/>
      <c r="QIE239" s="140"/>
      <c r="QIF239" s="140"/>
      <c r="QIG239" s="140"/>
      <c r="QIH239" s="140"/>
      <c r="QII239" s="140"/>
      <c r="QIJ239" s="140"/>
      <c r="QIK239" s="140"/>
      <c r="QIL239" s="140"/>
      <c r="QIM239" s="140"/>
      <c r="QIN239" s="140"/>
      <c r="QIO239" s="140"/>
      <c r="QIP239" s="140"/>
      <c r="QIQ239" s="140"/>
      <c r="QIR239" s="140"/>
      <c r="QIS239" s="140"/>
      <c r="QIT239" s="140"/>
      <c r="QIU239" s="140"/>
      <c r="QIV239" s="140"/>
      <c r="QIW239" s="140"/>
      <c r="QIX239" s="140"/>
      <c r="QIY239" s="140"/>
      <c r="QIZ239" s="140"/>
      <c r="QJA239" s="140"/>
      <c r="QJB239" s="140"/>
      <c r="QJC239" s="140"/>
      <c r="QJD239" s="140"/>
      <c r="QJE239" s="140"/>
      <c r="QJF239" s="140"/>
      <c r="QJG239" s="140"/>
      <c r="QJH239" s="140"/>
      <c r="QJI239" s="140"/>
      <c r="QJJ239" s="140"/>
      <c r="QJK239" s="140"/>
      <c r="QJL239" s="140"/>
      <c r="QJM239" s="140"/>
      <c r="QJN239" s="140"/>
      <c r="QJO239" s="140"/>
      <c r="QJP239" s="140"/>
      <c r="QJQ239" s="140"/>
      <c r="QJR239" s="140"/>
      <c r="QJS239" s="140"/>
      <c r="QJT239" s="140"/>
      <c r="QJU239" s="140"/>
      <c r="QJV239" s="140"/>
      <c r="QJW239" s="140"/>
      <c r="QJX239" s="140"/>
      <c r="QJY239" s="140"/>
      <c r="QJZ239" s="140"/>
      <c r="QKA239" s="140"/>
      <c r="QKB239" s="140"/>
      <c r="QKC239" s="140"/>
      <c r="QKD239" s="140"/>
      <c r="QKE239" s="140"/>
      <c r="QKF239" s="140"/>
      <c r="QKG239" s="140"/>
      <c r="QKH239" s="140"/>
      <c r="QKI239" s="140"/>
      <c r="QKJ239" s="140"/>
      <c r="QKK239" s="140"/>
      <c r="QKL239" s="140"/>
      <c r="QKM239" s="140"/>
      <c r="QKN239" s="140"/>
      <c r="QKO239" s="140"/>
      <c r="QKP239" s="140"/>
      <c r="QKQ239" s="140"/>
      <c r="QKR239" s="140"/>
      <c r="QKS239" s="140"/>
      <c r="QKT239" s="140"/>
      <c r="QKU239" s="140"/>
      <c r="QKV239" s="140"/>
      <c r="QKW239" s="140"/>
      <c r="QKX239" s="140"/>
      <c r="QKY239" s="140"/>
      <c r="QKZ239" s="140"/>
      <c r="QLA239" s="140"/>
      <c r="QLB239" s="140"/>
      <c r="QLC239" s="140"/>
      <c r="QLD239" s="140"/>
      <c r="QLE239" s="140"/>
      <c r="QLF239" s="140"/>
      <c r="QLG239" s="140"/>
      <c r="QLH239" s="140"/>
      <c r="QLI239" s="140"/>
      <c r="QLJ239" s="140"/>
      <c r="QLK239" s="140"/>
      <c r="QLL239" s="140"/>
      <c r="QLM239" s="140"/>
      <c r="QLN239" s="140"/>
      <c r="QLO239" s="140"/>
      <c r="QLP239" s="140"/>
      <c r="QLQ239" s="140"/>
      <c r="QLR239" s="140"/>
      <c r="QLS239" s="140"/>
      <c r="QLT239" s="140"/>
      <c r="QLU239" s="140"/>
      <c r="QLV239" s="140"/>
      <c r="QLW239" s="140"/>
      <c r="QLX239" s="140"/>
      <c r="QLY239" s="140"/>
      <c r="QLZ239" s="140"/>
      <c r="QMA239" s="140"/>
      <c r="QMB239" s="140"/>
      <c r="QMC239" s="140"/>
      <c r="QMD239" s="140"/>
      <c r="QME239" s="140"/>
      <c r="QMF239" s="140"/>
      <c r="QMG239" s="140"/>
      <c r="QMH239" s="140"/>
      <c r="QMI239" s="140"/>
      <c r="QMJ239" s="140"/>
      <c r="QMK239" s="140"/>
      <c r="QML239" s="140"/>
      <c r="QMM239" s="140"/>
      <c r="QMN239" s="140"/>
      <c r="QMO239" s="140"/>
      <c r="QMP239" s="140"/>
      <c r="QMQ239" s="140"/>
      <c r="QMR239" s="140"/>
      <c r="QMS239" s="140"/>
      <c r="QMT239" s="140"/>
      <c r="QMU239" s="140"/>
      <c r="QMV239" s="140"/>
      <c r="QMW239" s="140"/>
      <c r="QMX239" s="140"/>
      <c r="QMY239" s="140"/>
      <c r="QMZ239" s="140"/>
      <c r="QNA239" s="140"/>
      <c r="QNB239" s="140"/>
      <c r="QNC239" s="140"/>
      <c r="QND239" s="140"/>
      <c r="QNE239" s="140"/>
      <c r="QNF239" s="140"/>
      <c r="QNG239" s="140"/>
      <c r="QNH239" s="140"/>
      <c r="QNI239" s="140"/>
      <c r="QNJ239" s="140"/>
      <c r="QNK239" s="140"/>
      <c r="QNL239" s="140"/>
      <c r="QNM239" s="140"/>
      <c r="QNN239" s="140"/>
      <c r="QNO239" s="140"/>
      <c r="QNP239" s="140"/>
      <c r="QNQ239" s="140"/>
      <c r="QNR239" s="140"/>
      <c r="QNS239" s="140"/>
      <c r="QNT239" s="140"/>
      <c r="QNU239" s="140"/>
      <c r="QNV239" s="140"/>
      <c r="QNW239" s="140"/>
      <c r="QNX239" s="140"/>
      <c r="QNY239" s="140"/>
      <c r="QNZ239" s="140"/>
      <c r="QOA239" s="140"/>
      <c r="QOB239" s="140"/>
      <c r="QOC239" s="140"/>
      <c r="QOD239" s="140"/>
      <c r="QOE239" s="140"/>
      <c r="QOF239" s="140"/>
      <c r="QOG239" s="140"/>
      <c r="QOH239" s="140"/>
      <c r="QOI239" s="140"/>
      <c r="QOJ239" s="140"/>
      <c r="QOK239" s="140"/>
      <c r="QOL239" s="140"/>
      <c r="QOM239" s="140"/>
      <c r="QON239" s="140"/>
      <c r="QOO239" s="140"/>
      <c r="QOP239" s="140"/>
      <c r="QOQ239" s="140"/>
      <c r="QOR239" s="140"/>
      <c r="QOS239" s="140"/>
      <c r="QOT239" s="140"/>
      <c r="QOU239" s="140"/>
      <c r="QOV239" s="140"/>
      <c r="QOW239" s="140"/>
      <c r="QOX239" s="140"/>
      <c r="QOY239" s="140"/>
      <c r="QOZ239" s="140"/>
      <c r="QPA239" s="140"/>
      <c r="QPB239" s="140"/>
      <c r="QPC239" s="140"/>
      <c r="QPD239" s="140"/>
      <c r="QPE239" s="140"/>
      <c r="QPF239" s="140"/>
      <c r="QPG239" s="140"/>
      <c r="QPH239" s="140"/>
      <c r="QPI239" s="140"/>
      <c r="QPJ239" s="140"/>
      <c r="QPK239" s="140"/>
      <c r="QPL239" s="140"/>
      <c r="QPM239" s="140"/>
      <c r="QPN239" s="140"/>
      <c r="QPO239" s="140"/>
      <c r="QPP239" s="140"/>
      <c r="QPQ239" s="140"/>
      <c r="QPR239" s="140"/>
      <c r="QPS239" s="140"/>
      <c r="QPT239" s="140"/>
      <c r="QPU239" s="140"/>
      <c r="QPV239" s="140"/>
      <c r="QPW239" s="140"/>
      <c r="QPX239" s="140"/>
      <c r="QPY239" s="140"/>
      <c r="QPZ239" s="140"/>
      <c r="QQA239" s="140"/>
      <c r="QQB239" s="140"/>
      <c r="QQC239" s="140"/>
      <c r="QQD239" s="140"/>
      <c r="QQE239" s="140"/>
      <c r="QQF239" s="140"/>
      <c r="QQG239" s="140"/>
      <c r="QQH239" s="140"/>
      <c r="QQI239" s="140"/>
      <c r="QQJ239" s="140"/>
      <c r="QQK239" s="140"/>
      <c r="QQL239" s="140"/>
      <c r="QQM239" s="140"/>
      <c r="QQN239" s="140"/>
      <c r="QQO239" s="140"/>
      <c r="QQP239" s="140"/>
      <c r="QQQ239" s="140"/>
      <c r="QQR239" s="140"/>
      <c r="QQS239" s="140"/>
      <c r="QQT239" s="140"/>
      <c r="QQU239" s="140"/>
      <c r="QQV239" s="140"/>
      <c r="QQW239" s="140"/>
      <c r="QQX239" s="140"/>
      <c r="QQY239" s="140"/>
      <c r="QQZ239" s="140"/>
      <c r="QRA239" s="140"/>
      <c r="QRB239" s="140"/>
      <c r="QRC239" s="140"/>
      <c r="QRD239" s="140"/>
      <c r="QRE239" s="140"/>
      <c r="QRF239" s="140"/>
      <c r="QRG239" s="140"/>
      <c r="QRH239" s="140"/>
      <c r="QRI239" s="140"/>
      <c r="QRJ239" s="140"/>
      <c r="QRK239" s="140"/>
      <c r="QRL239" s="140"/>
      <c r="QRM239" s="140"/>
      <c r="QRN239" s="140"/>
      <c r="QRO239" s="140"/>
      <c r="QRP239" s="140"/>
      <c r="QRQ239" s="140"/>
      <c r="QRR239" s="140"/>
      <c r="QRS239" s="140"/>
      <c r="QRT239" s="140"/>
      <c r="QRU239" s="140"/>
      <c r="QRV239" s="140"/>
      <c r="QRW239" s="140"/>
      <c r="QRX239" s="140"/>
      <c r="QRY239" s="140"/>
      <c r="QRZ239" s="140"/>
      <c r="QSA239" s="140"/>
      <c r="QSB239" s="140"/>
      <c r="QSC239" s="140"/>
      <c r="QSD239" s="140"/>
      <c r="QSE239" s="140"/>
      <c r="QSF239" s="140"/>
      <c r="QSG239" s="140"/>
      <c r="QSH239" s="140"/>
      <c r="QSI239" s="140"/>
      <c r="QSJ239" s="140"/>
      <c r="QSK239" s="140"/>
      <c r="QSL239" s="140"/>
      <c r="QSM239" s="140"/>
      <c r="QSN239" s="140"/>
      <c r="QSO239" s="140"/>
      <c r="QSP239" s="140"/>
      <c r="QSQ239" s="140"/>
      <c r="QSR239" s="140"/>
      <c r="QSS239" s="140"/>
      <c r="QST239" s="140"/>
      <c r="QSU239" s="140"/>
      <c r="QSV239" s="140"/>
      <c r="QSW239" s="140"/>
      <c r="QSX239" s="140"/>
      <c r="QSY239" s="140"/>
      <c r="QSZ239" s="140"/>
      <c r="QTA239" s="140"/>
      <c r="QTB239" s="140"/>
      <c r="QTC239" s="140"/>
      <c r="QTD239" s="140"/>
      <c r="QTE239" s="140"/>
      <c r="QTF239" s="140"/>
      <c r="QTG239" s="140"/>
      <c r="QTH239" s="140"/>
      <c r="QTI239" s="140"/>
      <c r="QTJ239" s="140"/>
      <c r="QTK239" s="140"/>
      <c r="QTL239" s="140"/>
      <c r="QTM239" s="140"/>
      <c r="QTN239" s="140"/>
      <c r="QTO239" s="140"/>
      <c r="QTP239" s="140"/>
      <c r="QTQ239" s="140"/>
      <c r="QTR239" s="140"/>
      <c r="QTS239" s="140"/>
      <c r="QTT239" s="140"/>
      <c r="QTU239" s="140"/>
      <c r="QTV239" s="140"/>
      <c r="QTW239" s="140"/>
      <c r="QTX239" s="140"/>
      <c r="QTY239" s="140"/>
      <c r="QTZ239" s="140"/>
      <c r="QUA239" s="140"/>
      <c r="QUB239" s="140"/>
      <c r="QUC239" s="140"/>
      <c r="QUD239" s="140"/>
      <c r="QUE239" s="140"/>
      <c r="QUF239" s="140"/>
      <c r="QUG239" s="140"/>
      <c r="QUH239" s="140"/>
      <c r="QUI239" s="140"/>
      <c r="QUJ239" s="140"/>
      <c r="QUK239" s="140"/>
      <c r="QUL239" s="140"/>
      <c r="QUM239" s="140"/>
      <c r="QUN239" s="140"/>
      <c r="QUO239" s="140"/>
      <c r="QUP239" s="140"/>
      <c r="QUQ239" s="140"/>
      <c r="QUR239" s="140"/>
      <c r="QUS239" s="140"/>
      <c r="QUT239" s="140"/>
      <c r="QUU239" s="140"/>
      <c r="QUV239" s="140"/>
      <c r="QUW239" s="140"/>
      <c r="QUX239" s="140"/>
      <c r="QUY239" s="140"/>
      <c r="QUZ239" s="140"/>
      <c r="QVA239" s="140"/>
      <c r="QVB239" s="140"/>
      <c r="QVC239" s="140"/>
      <c r="QVD239" s="140"/>
      <c r="QVE239" s="140"/>
      <c r="QVF239" s="140"/>
      <c r="QVG239" s="140"/>
      <c r="QVH239" s="140"/>
      <c r="QVI239" s="140"/>
      <c r="QVJ239" s="140"/>
      <c r="QVK239" s="140"/>
      <c r="QVL239" s="140"/>
      <c r="QVM239" s="140"/>
      <c r="QVN239" s="140"/>
      <c r="QVO239" s="140"/>
      <c r="QVP239" s="140"/>
      <c r="QVQ239" s="140"/>
      <c r="QVR239" s="140"/>
      <c r="QVS239" s="140"/>
      <c r="QVT239" s="140"/>
      <c r="QVU239" s="140"/>
      <c r="QVV239" s="140"/>
      <c r="QVW239" s="140"/>
      <c r="QVX239" s="140"/>
      <c r="QVY239" s="140"/>
      <c r="QVZ239" s="140"/>
      <c r="QWA239" s="140"/>
      <c r="QWB239" s="140"/>
      <c r="QWC239" s="140"/>
      <c r="QWD239" s="140"/>
      <c r="QWE239" s="140"/>
      <c r="QWF239" s="140"/>
      <c r="QWG239" s="140"/>
      <c r="QWH239" s="140"/>
      <c r="QWI239" s="140"/>
      <c r="QWJ239" s="140"/>
      <c r="QWK239" s="140"/>
      <c r="QWL239" s="140"/>
      <c r="QWM239" s="140"/>
      <c r="QWN239" s="140"/>
      <c r="QWO239" s="140"/>
      <c r="QWP239" s="140"/>
      <c r="QWQ239" s="140"/>
      <c r="QWR239" s="140"/>
      <c r="QWS239" s="140"/>
      <c r="QWT239" s="140"/>
      <c r="QWU239" s="140"/>
      <c r="QWV239" s="140"/>
      <c r="QWW239" s="140"/>
      <c r="QWX239" s="140"/>
      <c r="QWY239" s="140"/>
      <c r="QWZ239" s="140"/>
      <c r="QXA239" s="140"/>
      <c r="QXB239" s="140"/>
      <c r="QXC239" s="140"/>
      <c r="QXD239" s="140"/>
      <c r="QXE239" s="140"/>
      <c r="QXF239" s="140"/>
      <c r="QXG239" s="140"/>
      <c r="QXH239" s="140"/>
      <c r="QXI239" s="140"/>
      <c r="QXJ239" s="140"/>
      <c r="QXK239" s="140"/>
      <c r="QXL239" s="140"/>
      <c r="QXM239" s="140"/>
      <c r="QXN239" s="140"/>
      <c r="QXO239" s="140"/>
      <c r="QXP239" s="140"/>
      <c r="QXQ239" s="140"/>
      <c r="QXR239" s="140"/>
      <c r="QXS239" s="140"/>
      <c r="QXT239" s="140"/>
      <c r="QXU239" s="140"/>
      <c r="QXV239" s="140"/>
      <c r="QXW239" s="140"/>
      <c r="QXX239" s="140"/>
      <c r="QXY239" s="140"/>
      <c r="QXZ239" s="140"/>
      <c r="QYA239" s="140"/>
      <c r="QYB239" s="140"/>
      <c r="QYC239" s="140"/>
      <c r="QYD239" s="140"/>
      <c r="QYE239" s="140"/>
      <c r="QYF239" s="140"/>
      <c r="QYG239" s="140"/>
      <c r="QYH239" s="140"/>
      <c r="QYI239" s="140"/>
      <c r="QYJ239" s="140"/>
      <c r="QYK239" s="140"/>
      <c r="QYL239" s="140"/>
      <c r="QYM239" s="140"/>
      <c r="QYN239" s="140"/>
      <c r="QYO239" s="140"/>
      <c r="QYP239" s="140"/>
      <c r="QYQ239" s="140"/>
      <c r="QYR239" s="140"/>
      <c r="QYS239" s="140"/>
      <c r="QYT239" s="140"/>
      <c r="QYU239" s="140"/>
      <c r="QYV239" s="140"/>
      <c r="QYW239" s="140"/>
      <c r="QYX239" s="140"/>
      <c r="QYY239" s="140"/>
      <c r="QYZ239" s="140"/>
      <c r="QZA239" s="140"/>
      <c r="QZB239" s="140"/>
      <c r="QZC239" s="140"/>
      <c r="QZD239" s="140"/>
      <c r="QZE239" s="140"/>
      <c r="QZF239" s="140"/>
      <c r="QZG239" s="140"/>
      <c r="QZH239" s="140"/>
      <c r="QZI239" s="140"/>
      <c r="QZJ239" s="140"/>
      <c r="QZK239" s="140"/>
      <c r="QZL239" s="140"/>
      <c r="QZM239" s="140"/>
      <c r="QZN239" s="140"/>
      <c r="QZO239" s="140"/>
      <c r="QZP239" s="140"/>
      <c r="QZQ239" s="140"/>
      <c r="QZR239" s="140"/>
      <c r="QZS239" s="140"/>
      <c r="QZT239" s="140"/>
      <c r="QZU239" s="140"/>
      <c r="QZV239" s="140"/>
      <c r="QZW239" s="140"/>
      <c r="QZX239" s="140"/>
      <c r="QZY239" s="140"/>
      <c r="QZZ239" s="140"/>
      <c r="RAA239" s="140"/>
      <c r="RAB239" s="140"/>
      <c r="RAC239" s="140"/>
      <c r="RAD239" s="140"/>
      <c r="RAE239" s="140"/>
      <c r="RAF239" s="140"/>
      <c r="RAG239" s="140"/>
      <c r="RAH239" s="140"/>
      <c r="RAI239" s="140"/>
      <c r="RAJ239" s="140"/>
      <c r="RAK239" s="140"/>
      <c r="RAL239" s="140"/>
      <c r="RAM239" s="140"/>
      <c r="RAN239" s="140"/>
      <c r="RAO239" s="140"/>
      <c r="RAP239" s="140"/>
      <c r="RAQ239" s="140"/>
      <c r="RAR239" s="140"/>
      <c r="RAS239" s="140"/>
      <c r="RAT239" s="140"/>
      <c r="RAU239" s="140"/>
      <c r="RAV239" s="140"/>
      <c r="RAW239" s="140"/>
      <c r="RAX239" s="140"/>
      <c r="RAY239" s="140"/>
      <c r="RAZ239" s="140"/>
      <c r="RBA239" s="140"/>
      <c r="RBB239" s="140"/>
      <c r="RBC239" s="140"/>
      <c r="RBD239" s="140"/>
      <c r="RBE239" s="140"/>
      <c r="RBF239" s="140"/>
      <c r="RBG239" s="140"/>
      <c r="RBH239" s="140"/>
      <c r="RBI239" s="140"/>
      <c r="RBJ239" s="140"/>
      <c r="RBK239" s="140"/>
      <c r="RBL239" s="140"/>
      <c r="RBM239" s="140"/>
      <c r="RBN239" s="140"/>
      <c r="RBO239" s="140"/>
      <c r="RBP239" s="140"/>
      <c r="RBQ239" s="140"/>
      <c r="RBR239" s="140"/>
      <c r="RBS239" s="140"/>
      <c r="RBT239" s="140"/>
      <c r="RBU239" s="140"/>
      <c r="RBV239" s="140"/>
      <c r="RBW239" s="140"/>
      <c r="RBX239" s="140"/>
      <c r="RBY239" s="140"/>
      <c r="RBZ239" s="140"/>
      <c r="RCA239" s="140"/>
      <c r="RCB239" s="140"/>
      <c r="RCC239" s="140"/>
      <c r="RCD239" s="140"/>
      <c r="RCE239" s="140"/>
      <c r="RCF239" s="140"/>
      <c r="RCG239" s="140"/>
      <c r="RCH239" s="140"/>
      <c r="RCI239" s="140"/>
      <c r="RCJ239" s="140"/>
      <c r="RCK239" s="140"/>
      <c r="RCL239" s="140"/>
      <c r="RCM239" s="140"/>
      <c r="RCN239" s="140"/>
      <c r="RCO239" s="140"/>
      <c r="RCP239" s="140"/>
      <c r="RCQ239" s="140"/>
      <c r="RCR239" s="140"/>
      <c r="RCS239" s="140"/>
      <c r="RCT239" s="140"/>
      <c r="RCU239" s="140"/>
      <c r="RCV239" s="140"/>
      <c r="RCW239" s="140"/>
      <c r="RCX239" s="140"/>
      <c r="RCY239" s="140"/>
      <c r="RCZ239" s="140"/>
      <c r="RDA239" s="140"/>
      <c r="RDB239" s="140"/>
      <c r="RDC239" s="140"/>
      <c r="RDD239" s="140"/>
      <c r="RDE239" s="140"/>
      <c r="RDF239" s="140"/>
      <c r="RDG239" s="140"/>
      <c r="RDH239" s="140"/>
      <c r="RDI239" s="140"/>
      <c r="RDJ239" s="140"/>
      <c r="RDK239" s="140"/>
      <c r="RDL239" s="140"/>
      <c r="RDM239" s="140"/>
      <c r="RDN239" s="140"/>
      <c r="RDO239" s="140"/>
      <c r="RDP239" s="140"/>
      <c r="RDQ239" s="140"/>
      <c r="RDR239" s="140"/>
      <c r="RDS239" s="140"/>
      <c r="RDT239" s="140"/>
      <c r="RDU239" s="140"/>
      <c r="RDV239" s="140"/>
      <c r="RDW239" s="140"/>
      <c r="RDX239" s="140"/>
      <c r="RDY239" s="140"/>
      <c r="RDZ239" s="140"/>
      <c r="REA239" s="140"/>
      <c r="REB239" s="140"/>
      <c r="REC239" s="140"/>
      <c r="RED239" s="140"/>
      <c r="REE239" s="140"/>
      <c r="REF239" s="140"/>
      <c r="REG239" s="140"/>
      <c r="REH239" s="140"/>
      <c r="REI239" s="140"/>
      <c r="REJ239" s="140"/>
      <c r="REK239" s="140"/>
      <c r="REL239" s="140"/>
      <c r="REM239" s="140"/>
      <c r="REN239" s="140"/>
      <c r="REO239" s="140"/>
      <c r="REP239" s="140"/>
      <c r="REQ239" s="140"/>
      <c r="RER239" s="140"/>
      <c r="RES239" s="140"/>
      <c r="RET239" s="140"/>
      <c r="REU239" s="140"/>
      <c r="REV239" s="140"/>
      <c r="REW239" s="140"/>
      <c r="REX239" s="140"/>
      <c r="REY239" s="140"/>
      <c r="REZ239" s="140"/>
      <c r="RFA239" s="140"/>
      <c r="RFB239" s="140"/>
      <c r="RFC239" s="140"/>
      <c r="RFD239" s="140"/>
      <c r="RFE239" s="140"/>
      <c r="RFF239" s="140"/>
      <c r="RFG239" s="140"/>
      <c r="RFH239" s="140"/>
      <c r="RFI239" s="140"/>
      <c r="RFJ239" s="140"/>
      <c r="RFK239" s="140"/>
      <c r="RFL239" s="140"/>
      <c r="RFM239" s="140"/>
      <c r="RFN239" s="140"/>
      <c r="RFO239" s="140"/>
      <c r="RFP239" s="140"/>
      <c r="RFQ239" s="140"/>
      <c r="RFR239" s="140"/>
      <c r="RFS239" s="140"/>
      <c r="RFT239" s="140"/>
      <c r="RFU239" s="140"/>
      <c r="RFV239" s="140"/>
      <c r="RFW239" s="140"/>
      <c r="RFX239" s="140"/>
      <c r="RFY239" s="140"/>
      <c r="RFZ239" s="140"/>
      <c r="RGA239" s="140"/>
      <c r="RGB239" s="140"/>
      <c r="RGC239" s="140"/>
      <c r="RGD239" s="140"/>
      <c r="RGE239" s="140"/>
      <c r="RGF239" s="140"/>
      <c r="RGG239" s="140"/>
      <c r="RGH239" s="140"/>
      <c r="RGI239" s="140"/>
      <c r="RGJ239" s="140"/>
      <c r="RGK239" s="140"/>
      <c r="RGL239" s="140"/>
      <c r="RGM239" s="140"/>
      <c r="RGN239" s="140"/>
      <c r="RGO239" s="140"/>
      <c r="RGP239" s="140"/>
      <c r="RGQ239" s="140"/>
      <c r="RGR239" s="140"/>
      <c r="RGS239" s="140"/>
      <c r="RGT239" s="140"/>
      <c r="RGU239" s="140"/>
      <c r="RGV239" s="140"/>
      <c r="RGW239" s="140"/>
      <c r="RGX239" s="140"/>
      <c r="RGY239" s="140"/>
      <c r="RGZ239" s="140"/>
      <c r="RHA239" s="140"/>
      <c r="RHB239" s="140"/>
      <c r="RHC239" s="140"/>
      <c r="RHD239" s="140"/>
      <c r="RHE239" s="140"/>
      <c r="RHF239" s="140"/>
      <c r="RHG239" s="140"/>
      <c r="RHH239" s="140"/>
      <c r="RHI239" s="140"/>
      <c r="RHJ239" s="140"/>
      <c r="RHK239" s="140"/>
      <c r="RHL239" s="140"/>
      <c r="RHM239" s="140"/>
      <c r="RHN239" s="140"/>
      <c r="RHO239" s="140"/>
      <c r="RHP239" s="140"/>
      <c r="RHQ239" s="140"/>
      <c r="RHR239" s="140"/>
      <c r="RHS239" s="140"/>
      <c r="RHT239" s="140"/>
      <c r="RHU239" s="140"/>
      <c r="RHV239" s="140"/>
      <c r="RHW239" s="140"/>
      <c r="RHX239" s="140"/>
      <c r="RHY239" s="140"/>
      <c r="RHZ239" s="140"/>
      <c r="RIA239" s="140"/>
      <c r="RIB239" s="140"/>
      <c r="RIC239" s="140"/>
      <c r="RID239" s="140"/>
      <c r="RIE239" s="140"/>
      <c r="RIF239" s="140"/>
      <c r="RIG239" s="140"/>
      <c r="RIH239" s="140"/>
      <c r="RII239" s="140"/>
      <c r="RIJ239" s="140"/>
      <c r="RIK239" s="140"/>
      <c r="RIL239" s="140"/>
      <c r="RIM239" s="140"/>
      <c r="RIN239" s="140"/>
      <c r="RIO239" s="140"/>
      <c r="RIP239" s="140"/>
      <c r="RIQ239" s="140"/>
      <c r="RIR239" s="140"/>
      <c r="RIS239" s="140"/>
      <c r="RIT239" s="140"/>
      <c r="RIU239" s="140"/>
      <c r="RIV239" s="140"/>
      <c r="RIW239" s="140"/>
      <c r="RIX239" s="140"/>
      <c r="RIY239" s="140"/>
      <c r="RIZ239" s="140"/>
      <c r="RJA239" s="140"/>
      <c r="RJB239" s="140"/>
      <c r="RJC239" s="140"/>
      <c r="RJD239" s="140"/>
      <c r="RJE239" s="140"/>
      <c r="RJF239" s="140"/>
      <c r="RJG239" s="140"/>
      <c r="RJH239" s="140"/>
      <c r="RJI239" s="140"/>
      <c r="RJJ239" s="140"/>
      <c r="RJK239" s="140"/>
      <c r="RJL239" s="140"/>
      <c r="RJM239" s="140"/>
      <c r="RJN239" s="140"/>
      <c r="RJO239" s="140"/>
      <c r="RJP239" s="140"/>
      <c r="RJQ239" s="140"/>
      <c r="RJR239" s="140"/>
      <c r="RJS239" s="140"/>
      <c r="RJT239" s="140"/>
      <c r="RJU239" s="140"/>
      <c r="RJV239" s="140"/>
      <c r="RJW239" s="140"/>
      <c r="RJX239" s="140"/>
      <c r="RJY239" s="140"/>
      <c r="RJZ239" s="140"/>
      <c r="RKA239" s="140"/>
      <c r="RKB239" s="140"/>
      <c r="RKC239" s="140"/>
      <c r="RKD239" s="140"/>
      <c r="RKE239" s="140"/>
      <c r="RKF239" s="140"/>
      <c r="RKG239" s="140"/>
      <c r="RKH239" s="140"/>
      <c r="RKI239" s="140"/>
      <c r="RKJ239" s="140"/>
      <c r="RKK239" s="140"/>
      <c r="RKL239" s="140"/>
      <c r="RKM239" s="140"/>
      <c r="RKN239" s="140"/>
      <c r="RKO239" s="140"/>
      <c r="RKP239" s="140"/>
      <c r="RKQ239" s="140"/>
      <c r="RKR239" s="140"/>
      <c r="RKS239" s="140"/>
      <c r="RKT239" s="140"/>
      <c r="RKU239" s="140"/>
      <c r="RKV239" s="140"/>
      <c r="RKW239" s="140"/>
      <c r="RKX239" s="140"/>
      <c r="RKY239" s="140"/>
      <c r="RKZ239" s="140"/>
      <c r="RLA239" s="140"/>
      <c r="RLB239" s="140"/>
      <c r="RLC239" s="140"/>
      <c r="RLD239" s="140"/>
      <c r="RLE239" s="140"/>
      <c r="RLF239" s="140"/>
      <c r="RLG239" s="140"/>
      <c r="RLH239" s="140"/>
      <c r="RLI239" s="140"/>
      <c r="RLJ239" s="140"/>
      <c r="RLK239" s="140"/>
      <c r="RLL239" s="140"/>
      <c r="RLM239" s="140"/>
      <c r="RLN239" s="140"/>
      <c r="RLO239" s="140"/>
      <c r="RLP239" s="140"/>
      <c r="RLQ239" s="140"/>
      <c r="RLR239" s="140"/>
      <c r="RLS239" s="140"/>
      <c r="RLT239" s="140"/>
      <c r="RLU239" s="140"/>
      <c r="RLV239" s="140"/>
      <c r="RLW239" s="140"/>
      <c r="RLX239" s="140"/>
      <c r="RLY239" s="140"/>
      <c r="RLZ239" s="140"/>
      <c r="RMA239" s="140"/>
      <c r="RMB239" s="140"/>
      <c r="RMC239" s="140"/>
      <c r="RMD239" s="140"/>
      <c r="RME239" s="140"/>
      <c r="RMF239" s="140"/>
      <c r="RMG239" s="140"/>
      <c r="RMH239" s="140"/>
      <c r="RMI239" s="140"/>
      <c r="RMJ239" s="140"/>
      <c r="RMK239" s="140"/>
      <c r="RML239" s="140"/>
      <c r="RMM239" s="140"/>
      <c r="RMN239" s="140"/>
      <c r="RMO239" s="140"/>
      <c r="RMP239" s="140"/>
      <c r="RMQ239" s="140"/>
      <c r="RMR239" s="140"/>
      <c r="RMS239" s="140"/>
      <c r="RMT239" s="140"/>
      <c r="RMU239" s="140"/>
      <c r="RMV239" s="140"/>
      <c r="RMW239" s="140"/>
      <c r="RMX239" s="140"/>
      <c r="RMY239" s="140"/>
      <c r="RMZ239" s="140"/>
      <c r="RNA239" s="140"/>
      <c r="RNB239" s="140"/>
      <c r="RNC239" s="140"/>
      <c r="RND239" s="140"/>
      <c r="RNE239" s="140"/>
      <c r="RNF239" s="140"/>
      <c r="RNG239" s="140"/>
      <c r="RNH239" s="140"/>
      <c r="RNI239" s="140"/>
      <c r="RNJ239" s="140"/>
      <c r="RNK239" s="140"/>
      <c r="RNL239" s="140"/>
      <c r="RNM239" s="140"/>
      <c r="RNN239" s="140"/>
      <c r="RNO239" s="140"/>
      <c r="RNP239" s="140"/>
      <c r="RNQ239" s="140"/>
      <c r="RNR239" s="140"/>
      <c r="RNS239" s="140"/>
      <c r="RNT239" s="140"/>
      <c r="RNU239" s="140"/>
      <c r="RNV239" s="140"/>
      <c r="RNW239" s="140"/>
      <c r="RNX239" s="140"/>
      <c r="RNY239" s="140"/>
      <c r="RNZ239" s="140"/>
      <c r="ROA239" s="140"/>
      <c r="ROB239" s="140"/>
      <c r="ROC239" s="140"/>
      <c r="ROD239" s="140"/>
      <c r="ROE239" s="140"/>
      <c r="ROF239" s="140"/>
      <c r="ROG239" s="140"/>
      <c r="ROH239" s="140"/>
      <c r="ROI239" s="140"/>
      <c r="ROJ239" s="140"/>
      <c r="ROK239" s="140"/>
      <c r="ROL239" s="140"/>
      <c r="ROM239" s="140"/>
      <c r="RON239" s="140"/>
      <c r="ROO239" s="140"/>
      <c r="ROP239" s="140"/>
      <c r="ROQ239" s="140"/>
      <c r="ROR239" s="140"/>
      <c r="ROS239" s="140"/>
      <c r="ROT239" s="140"/>
      <c r="ROU239" s="140"/>
      <c r="ROV239" s="140"/>
      <c r="ROW239" s="140"/>
      <c r="ROX239" s="140"/>
      <c r="ROY239" s="140"/>
      <c r="ROZ239" s="140"/>
      <c r="RPA239" s="140"/>
      <c r="RPB239" s="140"/>
      <c r="RPC239" s="140"/>
      <c r="RPD239" s="140"/>
      <c r="RPE239" s="140"/>
      <c r="RPF239" s="140"/>
      <c r="RPG239" s="140"/>
      <c r="RPH239" s="140"/>
      <c r="RPI239" s="140"/>
      <c r="RPJ239" s="140"/>
      <c r="RPK239" s="140"/>
      <c r="RPL239" s="140"/>
      <c r="RPM239" s="140"/>
      <c r="RPN239" s="140"/>
      <c r="RPO239" s="140"/>
      <c r="RPP239" s="140"/>
      <c r="RPQ239" s="140"/>
      <c r="RPR239" s="140"/>
      <c r="RPS239" s="140"/>
      <c r="RPT239" s="140"/>
      <c r="RPU239" s="140"/>
      <c r="RPV239" s="140"/>
      <c r="RPW239" s="140"/>
      <c r="RPX239" s="140"/>
      <c r="RPY239" s="140"/>
      <c r="RPZ239" s="140"/>
      <c r="RQA239" s="140"/>
      <c r="RQB239" s="140"/>
      <c r="RQC239" s="140"/>
      <c r="RQD239" s="140"/>
      <c r="RQE239" s="140"/>
      <c r="RQF239" s="140"/>
      <c r="RQG239" s="140"/>
      <c r="RQH239" s="140"/>
      <c r="RQI239" s="140"/>
      <c r="RQJ239" s="140"/>
      <c r="RQK239" s="140"/>
      <c r="RQL239" s="140"/>
      <c r="RQM239" s="140"/>
      <c r="RQN239" s="140"/>
      <c r="RQO239" s="140"/>
      <c r="RQP239" s="140"/>
      <c r="RQQ239" s="140"/>
      <c r="RQR239" s="140"/>
      <c r="RQS239" s="140"/>
      <c r="RQT239" s="140"/>
      <c r="RQU239" s="140"/>
      <c r="RQV239" s="140"/>
      <c r="RQW239" s="140"/>
      <c r="RQX239" s="140"/>
      <c r="RQY239" s="140"/>
      <c r="RQZ239" s="140"/>
      <c r="RRA239" s="140"/>
      <c r="RRB239" s="140"/>
      <c r="RRC239" s="140"/>
      <c r="RRD239" s="140"/>
      <c r="RRE239" s="140"/>
      <c r="RRF239" s="140"/>
      <c r="RRG239" s="140"/>
      <c r="RRH239" s="140"/>
      <c r="RRI239" s="140"/>
      <c r="RRJ239" s="140"/>
      <c r="RRK239" s="140"/>
      <c r="RRL239" s="140"/>
      <c r="RRM239" s="140"/>
      <c r="RRN239" s="140"/>
      <c r="RRO239" s="140"/>
      <c r="RRP239" s="140"/>
      <c r="RRQ239" s="140"/>
      <c r="RRR239" s="140"/>
      <c r="RRS239" s="140"/>
      <c r="RRT239" s="140"/>
      <c r="RRU239" s="140"/>
      <c r="RRV239" s="140"/>
      <c r="RRW239" s="140"/>
      <c r="RRX239" s="140"/>
      <c r="RRY239" s="140"/>
      <c r="RRZ239" s="140"/>
      <c r="RSA239" s="140"/>
      <c r="RSB239" s="140"/>
      <c r="RSC239" s="140"/>
      <c r="RSD239" s="140"/>
      <c r="RSE239" s="140"/>
      <c r="RSF239" s="140"/>
      <c r="RSG239" s="140"/>
      <c r="RSH239" s="140"/>
      <c r="RSI239" s="140"/>
      <c r="RSJ239" s="140"/>
      <c r="RSK239" s="140"/>
      <c r="RSL239" s="140"/>
      <c r="RSM239" s="140"/>
      <c r="RSN239" s="140"/>
      <c r="RSO239" s="140"/>
      <c r="RSP239" s="140"/>
      <c r="RSQ239" s="140"/>
      <c r="RSR239" s="140"/>
      <c r="RSS239" s="140"/>
      <c r="RST239" s="140"/>
      <c r="RSU239" s="140"/>
      <c r="RSV239" s="140"/>
      <c r="RSW239" s="140"/>
      <c r="RSX239" s="140"/>
      <c r="RSY239" s="140"/>
      <c r="RSZ239" s="140"/>
      <c r="RTA239" s="140"/>
      <c r="RTB239" s="140"/>
      <c r="RTC239" s="140"/>
      <c r="RTD239" s="140"/>
      <c r="RTE239" s="140"/>
      <c r="RTF239" s="140"/>
      <c r="RTG239" s="140"/>
      <c r="RTH239" s="140"/>
      <c r="RTI239" s="140"/>
      <c r="RTJ239" s="140"/>
      <c r="RTK239" s="140"/>
      <c r="RTL239" s="140"/>
      <c r="RTM239" s="140"/>
      <c r="RTN239" s="140"/>
      <c r="RTO239" s="140"/>
      <c r="RTP239" s="140"/>
      <c r="RTQ239" s="140"/>
      <c r="RTR239" s="140"/>
      <c r="RTS239" s="140"/>
      <c r="RTT239" s="140"/>
      <c r="RTU239" s="140"/>
      <c r="RTV239" s="140"/>
      <c r="RTW239" s="140"/>
      <c r="RTX239" s="140"/>
      <c r="RTY239" s="140"/>
      <c r="RTZ239" s="140"/>
      <c r="RUA239" s="140"/>
      <c r="RUB239" s="140"/>
      <c r="RUC239" s="140"/>
      <c r="RUD239" s="140"/>
      <c r="RUE239" s="140"/>
      <c r="RUF239" s="140"/>
      <c r="RUG239" s="140"/>
      <c r="RUH239" s="140"/>
      <c r="RUI239" s="140"/>
      <c r="RUJ239" s="140"/>
      <c r="RUK239" s="140"/>
      <c r="RUL239" s="140"/>
      <c r="RUM239" s="140"/>
      <c r="RUN239" s="140"/>
      <c r="RUO239" s="140"/>
      <c r="RUP239" s="140"/>
      <c r="RUQ239" s="140"/>
      <c r="RUR239" s="140"/>
      <c r="RUS239" s="140"/>
      <c r="RUT239" s="140"/>
      <c r="RUU239" s="140"/>
      <c r="RUV239" s="140"/>
      <c r="RUW239" s="140"/>
      <c r="RUX239" s="140"/>
      <c r="RUY239" s="140"/>
      <c r="RUZ239" s="140"/>
      <c r="RVA239" s="140"/>
      <c r="RVB239" s="140"/>
      <c r="RVC239" s="140"/>
      <c r="RVD239" s="140"/>
      <c r="RVE239" s="140"/>
      <c r="RVF239" s="140"/>
      <c r="RVG239" s="140"/>
      <c r="RVH239" s="140"/>
      <c r="RVI239" s="140"/>
      <c r="RVJ239" s="140"/>
      <c r="RVK239" s="140"/>
      <c r="RVL239" s="140"/>
      <c r="RVM239" s="140"/>
      <c r="RVN239" s="140"/>
      <c r="RVO239" s="140"/>
      <c r="RVP239" s="140"/>
      <c r="RVQ239" s="140"/>
      <c r="RVR239" s="140"/>
      <c r="RVS239" s="140"/>
      <c r="RVT239" s="140"/>
      <c r="RVU239" s="140"/>
      <c r="RVV239" s="140"/>
      <c r="RVW239" s="140"/>
      <c r="RVX239" s="140"/>
      <c r="RVY239" s="140"/>
      <c r="RVZ239" s="140"/>
      <c r="RWA239" s="140"/>
      <c r="RWB239" s="140"/>
      <c r="RWC239" s="140"/>
      <c r="RWD239" s="140"/>
      <c r="RWE239" s="140"/>
      <c r="RWF239" s="140"/>
      <c r="RWG239" s="140"/>
      <c r="RWH239" s="140"/>
      <c r="RWI239" s="140"/>
      <c r="RWJ239" s="140"/>
      <c r="RWK239" s="140"/>
      <c r="RWL239" s="140"/>
      <c r="RWM239" s="140"/>
      <c r="RWN239" s="140"/>
      <c r="RWO239" s="140"/>
      <c r="RWP239" s="140"/>
      <c r="RWQ239" s="140"/>
      <c r="RWR239" s="140"/>
      <c r="RWS239" s="140"/>
      <c r="RWT239" s="140"/>
      <c r="RWU239" s="140"/>
      <c r="RWV239" s="140"/>
      <c r="RWW239" s="140"/>
      <c r="RWX239" s="140"/>
      <c r="RWY239" s="140"/>
      <c r="RWZ239" s="140"/>
      <c r="RXA239" s="140"/>
      <c r="RXB239" s="140"/>
      <c r="RXC239" s="140"/>
      <c r="RXD239" s="140"/>
      <c r="RXE239" s="140"/>
      <c r="RXF239" s="140"/>
      <c r="RXG239" s="140"/>
      <c r="RXH239" s="140"/>
      <c r="RXI239" s="140"/>
      <c r="RXJ239" s="140"/>
      <c r="RXK239" s="140"/>
      <c r="RXL239" s="140"/>
      <c r="RXM239" s="140"/>
      <c r="RXN239" s="140"/>
      <c r="RXO239" s="140"/>
      <c r="RXP239" s="140"/>
      <c r="RXQ239" s="140"/>
      <c r="RXR239" s="140"/>
      <c r="RXS239" s="140"/>
      <c r="RXT239" s="140"/>
      <c r="RXU239" s="140"/>
      <c r="RXV239" s="140"/>
      <c r="RXW239" s="140"/>
      <c r="RXX239" s="140"/>
      <c r="RXY239" s="140"/>
      <c r="RXZ239" s="140"/>
      <c r="RYA239" s="140"/>
      <c r="RYB239" s="140"/>
      <c r="RYC239" s="140"/>
      <c r="RYD239" s="140"/>
      <c r="RYE239" s="140"/>
      <c r="RYF239" s="140"/>
      <c r="RYG239" s="140"/>
      <c r="RYH239" s="140"/>
      <c r="RYI239" s="140"/>
      <c r="RYJ239" s="140"/>
      <c r="RYK239" s="140"/>
      <c r="RYL239" s="140"/>
      <c r="RYM239" s="140"/>
      <c r="RYN239" s="140"/>
      <c r="RYO239" s="140"/>
      <c r="RYP239" s="140"/>
      <c r="RYQ239" s="140"/>
      <c r="RYR239" s="140"/>
      <c r="RYS239" s="140"/>
      <c r="RYT239" s="140"/>
      <c r="RYU239" s="140"/>
      <c r="RYV239" s="140"/>
      <c r="RYW239" s="140"/>
      <c r="RYX239" s="140"/>
      <c r="RYY239" s="140"/>
      <c r="RYZ239" s="140"/>
      <c r="RZA239" s="140"/>
      <c r="RZB239" s="140"/>
      <c r="RZC239" s="140"/>
      <c r="RZD239" s="140"/>
      <c r="RZE239" s="140"/>
      <c r="RZF239" s="140"/>
      <c r="RZG239" s="140"/>
      <c r="RZH239" s="140"/>
      <c r="RZI239" s="140"/>
      <c r="RZJ239" s="140"/>
      <c r="RZK239" s="140"/>
      <c r="RZL239" s="140"/>
      <c r="RZM239" s="140"/>
      <c r="RZN239" s="140"/>
      <c r="RZO239" s="140"/>
      <c r="RZP239" s="140"/>
      <c r="RZQ239" s="140"/>
      <c r="RZR239" s="140"/>
      <c r="RZS239" s="140"/>
      <c r="RZT239" s="140"/>
      <c r="RZU239" s="140"/>
      <c r="RZV239" s="140"/>
      <c r="RZW239" s="140"/>
      <c r="RZX239" s="140"/>
      <c r="RZY239" s="140"/>
      <c r="RZZ239" s="140"/>
      <c r="SAA239" s="140"/>
      <c r="SAB239" s="140"/>
      <c r="SAC239" s="140"/>
      <c r="SAD239" s="140"/>
      <c r="SAE239" s="140"/>
      <c r="SAF239" s="140"/>
      <c r="SAG239" s="140"/>
      <c r="SAH239" s="140"/>
      <c r="SAI239" s="140"/>
      <c r="SAJ239" s="140"/>
      <c r="SAK239" s="140"/>
      <c r="SAL239" s="140"/>
      <c r="SAM239" s="140"/>
      <c r="SAN239" s="140"/>
      <c r="SAO239" s="140"/>
      <c r="SAP239" s="140"/>
      <c r="SAQ239" s="140"/>
      <c r="SAR239" s="140"/>
      <c r="SAS239" s="140"/>
      <c r="SAT239" s="140"/>
      <c r="SAU239" s="140"/>
      <c r="SAV239" s="140"/>
      <c r="SAW239" s="140"/>
      <c r="SAX239" s="140"/>
      <c r="SAY239" s="140"/>
      <c r="SAZ239" s="140"/>
      <c r="SBA239" s="140"/>
      <c r="SBB239" s="140"/>
      <c r="SBC239" s="140"/>
      <c r="SBD239" s="140"/>
      <c r="SBE239" s="140"/>
      <c r="SBF239" s="140"/>
      <c r="SBG239" s="140"/>
      <c r="SBH239" s="140"/>
      <c r="SBI239" s="140"/>
      <c r="SBJ239" s="140"/>
      <c r="SBK239" s="140"/>
      <c r="SBL239" s="140"/>
      <c r="SBM239" s="140"/>
      <c r="SBN239" s="140"/>
      <c r="SBO239" s="140"/>
      <c r="SBP239" s="140"/>
      <c r="SBQ239" s="140"/>
      <c r="SBR239" s="140"/>
      <c r="SBS239" s="140"/>
      <c r="SBT239" s="140"/>
      <c r="SBU239" s="140"/>
      <c r="SBV239" s="140"/>
      <c r="SBW239" s="140"/>
      <c r="SBX239" s="140"/>
      <c r="SBY239" s="140"/>
      <c r="SBZ239" s="140"/>
      <c r="SCA239" s="140"/>
      <c r="SCB239" s="140"/>
      <c r="SCC239" s="140"/>
      <c r="SCD239" s="140"/>
      <c r="SCE239" s="140"/>
      <c r="SCF239" s="140"/>
      <c r="SCG239" s="140"/>
      <c r="SCH239" s="140"/>
      <c r="SCI239" s="140"/>
      <c r="SCJ239" s="140"/>
      <c r="SCK239" s="140"/>
      <c r="SCL239" s="140"/>
      <c r="SCM239" s="140"/>
      <c r="SCN239" s="140"/>
      <c r="SCO239" s="140"/>
      <c r="SCP239" s="140"/>
      <c r="SCQ239" s="140"/>
      <c r="SCR239" s="140"/>
      <c r="SCS239" s="140"/>
      <c r="SCT239" s="140"/>
      <c r="SCU239" s="140"/>
      <c r="SCV239" s="140"/>
      <c r="SCW239" s="140"/>
      <c r="SCX239" s="140"/>
      <c r="SCY239" s="140"/>
      <c r="SCZ239" s="140"/>
      <c r="SDA239" s="140"/>
      <c r="SDB239" s="140"/>
      <c r="SDC239" s="140"/>
      <c r="SDD239" s="140"/>
      <c r="SDE239" s="140"/>
      <c r="SDF239" s="140"/>
      <c r="SDG239" s="140"/>
      <c r="SDH239" s="140"/>
      <c r="SDI239" s="140"/>
      <c r="SDJ239" s="140"/>
      <c r="SDK239" s="140"/>
      <c r="SDL239" s="140"/>
      <c r="SDM239" s="140"/>
      <c r="SDN239" s="140"/>
      <c r="SDO239" s="140"/>
      <c r="SDP239" s="140"/>
      <c r="SDQ239" s="140"/>
      <c r="SDR239" s="140"/>
      <c r="SDS239" s="140"/>
      <c r="SDT239" s="140"/>
      <c r="SDU239" s="140"/>
      <c r="SDV239" s="140"/>
      <c r="SDW239" s="140"/>
      <c r="SDX239" s="140"/>
      <c r="SDY239" s="140"/>
      <c r="SDZ239" s="140"/>
      <c r="SEA239" s="140"/>
      <c r="SEB239" s="140"/>
      <c r="SEC239" s="140"/>
      <c r="SED239" s="140"/>
      <c r="SEE239" s="140"/>
      <c r="SEF239" s="140"/>
      <c r="SEG239" s="140"/>
      <c r="SEH239" s="140"/>
      <c r="SEI239" s="140"/>
      <c r="SEJ239" s="140"/>
      <c r="SEK239" s="140"/>
      <c r="SEL239" s="140"/>
      <c r="SEM239" s="140"/>
      <c r="SEN239" s="140"/>
      <c r="SEO239" s="140"/>
      <c r="SEP239" s="140"/>
      <c r="SEQ239" s="140"/>
      <c r="SER239" s="140"/>
      <c r="SES239" s="140"/>
      <c r="SET239" s="140"/>
      <c r="SEU239" s="140"/>
      <c r="SEV239" s="140"/>
      <c r="SEW239" s="140"/>
      <c r="SEX239" s="140"/>
      <c r="SEY239" s="140"/>
      <c r="SEZ239" s="140"/>
      <c r="SFA239" s="140"/>
      <c r="SFB239" s="140"/>
      <c r="SFC239" s="140"/>
      <c r="SFD239" s="140"/>
      <c r="SFE239" s="140"/>
      <c r="SFF239" s="140"/>
      <c r="SFG239" s="140"/>
      <c r="SFH239" s="140"/>
      <c r="SFI239" s="140"/>
      <c r="SFJ239" s="140"/>
      <c r="SFK239" s="140"/>
      <c r="SFL239" s="140"/>
      <c r="SFM239" s="140"/>
      <c r="SFN239" s="140"/>
      <c r="SFO239" s="140"/>
      <c r="SFP239" s="140"/>
      <c r="SFQ239" s="140"/>
      <c r="SFR239" s="140"/>
      <c r="SFS239" s="140"/>
      <c r="SFT239" s="140"/>
      <c r="SFU239" s="140"/>
      <c r="SFV239" s="140"/>
      <c r="SFW239" s="140"/>
      <c r="SFX239" s="140"/>
      <c r="SFY239" s="140"/>
      <c r="SFZ239" s="140"/>
      <c r="SGA239" s="140"/>
      <c r="SGB239" s="140"/>
      <c r="SGC239" s="140"/>
      <c r="SGD239" s="140"/>
      <c r="SGE239" s="140"/>
      <c r="SGF239" s="140"/>
      <c r="SGG239" s="140"/>
      <c r="SGH239" s="140"/>
      <c r="SGI239" s="140"/>
      <c r="SGJ239" s="140"/>
      <c r="SGK239" s="140"/>
      <c r="SGL239" s="140"/>
      <c r="SGM239" s="140"/>
      <c r="SGN239" s="140"/>
      <c r="SGO239" s="140"/>
      <c r="SGP239" s="140"/>
      <c r="SGQ239" s="140"/>
      <c r="SGR239" s="140"/>
      <c r="SGS239" s="140"/>
      <c r="SGT239" s="140"/>
      <c r="SGU239" s="140"/>
      <c r="SGV239" s="140"/>
      <c r="SGW239" s="140"/>
      <c r="SGX239" s="140"/>
      <c r="SGY239" s="140"/>
      <c r="SGZ239" s="140"/>
      <c r="SHA239" s="140"/>
      <c r="SHB239" s="140"/>
      <c r="SHC239" s="140"/>
      <c r="SHD239" s="140"/>
      <c r="SHE239" s="140"/>
      <c r="SHF239" s="140"/>
      <c r="SHG239" s="140"/>
      <c r="SHH239" s="140"/>
      <c r="SHI239" s="140"/>
      <c r="SHJ239" s="140"/>
      <c r="SHK239" s="140"/>
      <c r="SHL239" s="140"/>
      <c r="SHM239" s="140"/>
      <c r="SHN239" s="140"/>
      <c r="SHO239" s="140"/>
      <c r="SHP239" s="140"/>
      <c r="SHQ239" s="140"/>
      <c r="SHR239" s="140"/>
      <c r="SHS239" s="140"/>
      <c r="SHT239" s="140"/>
      <c r="SHU239" s="140"/>
      <c r="SHV239" s="140"/>
      <c r="SHW239" s="140"/>
      <c r="SHX239" s="140"/>
      <c r="SHY239" s="140"/>
      <c r="SHZ239" s="140"/>
      <c r="SIA239" s="140"/>
      <c r="SIB239" s="140"/>
      <c r="SIC239" s="140"/>
      <c r="SID239" s="140"/>
      <c r="SIE239" s="140"/>
      <c r="SIF239" s="140"/>
      <c r="SIG239" s="140"/>
      <c r="SIH239" s="140"/>
      <c r="SII239" s="140"/>
      <c r="SIJ239" s="140"/>
      <c r="SIK239" s="140"/>
      <c r="SIL239" s="140"/>
      <c r="SIM239" s="140"/>
      <c r="SIN239" s="140"/>
      <c r="SIO239" s="140"/>
      <c r="SIP239" s="140"/>
      <c r="SIQ239" s="140"/>
      <c r="SIR239" s="140"/>
      <c r="SIS239" s="140"/>
      <c r="SIT239" s="140"/>
      <c r="SIU239" s="140"/>
      <c r="SIV239" s="140"/>
      <c r="SIW239" s="140"/>
      <c r="SIX239" s="140"/>
      <c r="SIY239" s="140"/>
      <c r="SIZ239" s="140"/>
      <c r="SJA239" s="140"/>
      <c r="SJB239" s="140"/>
      <c r="SJC239" s="140"/>
      <c r="SJD239" s="140"/>
      <c r="SJE239" s="140"/>
      <c r="SJF239" s="140"/>
      <c r="SJG239" s="140"/>
      <c r="SJH239" s="140"/>
      <c r="SJI239" s="140"/>
      <c r="SJJ239" s="140"/>
      <c r="SJK239" s="140"/>
      <c r="SJL239" s="140"/>
      <c r="SJM239" s="140"/>
      <c r="SJN239" s="140"/>
      <c r="SJO239" s="140"/>
      <c r="SJP239" s="140"/>
      <c r="SJQ239" s="140"/>
      <c r="SJR239" s="140"/>
      <c r="SJS239" s="140"/>
      <c r="SJT239" s="140"/>
      <c r="SJU239" s="140"/>
      <c r="SJV239" s="140"/>
      <c r="SJW239" s="140"/>
      <c r="SJX239" s="140"/>
      <c r="SJY239" s="140"/>
      <c r="SJZ239" s="140"/>
      <c r="SKA239" s="140"/>
      <c r="SKB239" s="140"/>
      <c r="SKC239" s="140"/>
      <c r="SKD239" s="140"/>
      <c r="SKE239" s="140"/>
      <c r="SKF239" s="140"/>
      <c r="SKG239" s="140"/>
      <c r="SKH239" s="140"/>
      <c r="SKI239" s="140"/>
      <c r="SKJ239" s="140"/>
      <c r="SKK239" s="140"/>
      <c r="SKL239" s="140"/>
      <c r="SKM239" s="140"/>
      <c r="SKN239" s="140"/>
      <c r="SKO239" s="140"/>
      <c r="SKP239" s="140"/>
      <c r="SKQ239" s="140"/>
      <c r="SKR239" s="140"/>
      <c r="SKS239" s="140"/>
      <c r="SKT239" s="140"/>
      <c r="SKU239" s="140"/>
      <c r="SKV239" s="140"/>
      <c r="SKW239" s="140"/>
      <c r="SKX239" s="140"/>
      <c r="SKY239" s="140"/>
      <c r="SKZ239" s="140"/>
      <c r="SLA239" s="140"/>
      <c r="SLB239" s="140"/>
      <c r="SLC239" s="140"/>
      <c r="SLD239" s="140"/>
      <c r="SLE239" s="140"/>
      <c r="SLF239" s="140"/>
      <c r="SLG239" s="140"/>
      <c r="SLH239" s="140"/>
      <c r="SLI239" s="140"/>
      <c r="SLJ239" s="140"/>
      <c r="SLK239" s="140"/>
      <c r="SLL239" s="140"/>
      <c r="SLM239" s="140"/>
      <c r="SLN239" s="140"/>
      <c r="SLO239" s="140"/>
      <c r="SLP239" s="140"/>
      <c r="SLQ239" s="140"/>
      <c r="SLR239" s="140"/>
      <c r="SLS239" s="140"/>
      <c r="SLT239" s="140"/>
      <c r="SLU239" s="140"/>
      <c r="SLV239" s="140"/>
      <c r="SLW239" s="140"/>
      <c r="SLX239" s="140"/>
      <c r="SLY239" s="140"/>
      <c r="SLZ239" s="140"/>
      <c r="SMA239" s="140"/>
      <c r="SMB239" s="140"/>
      <c r="SMC239" s="140"/>
      <c r="SMD239" s="140"/>
      <c r="SME239" s="140"/>
      <c r="SMF239" s="140"/>
      <c r="SMG239" s="140"/>
      <c r="SMH239" s="140"/>
      <c r="SMI239" s="140"/>
      <c r="SMJ239" s="140"/>
      <c r="SMK239" s="140"/>
      <c r="SML239" s="140"/>
      <c r="SMM239" s="140"/>
      <c r="SMN239" s="140"/>
      <c r="SMO239" s="140"/>
      <c r="SMP239" s="140"/>
      <c r="SMQ239" s="140"/>
      <c r="SMR239" s="140"/>
      <c r="SMS239" s="140"/>
      <c r="SMT239" s="140"/>
      <c r="SMU239" s="140"/>
      <c r="SMV239" s="140"/>
      <c r="SMW239" s="140"/>
      <c r="SMX239" s="140"/>
      <c r="SMY239" s="140"/>
      <c r="SMZ239" s="140"/>
      <c r="SNA239" s="140"/>
      <c r="SNB239" s="140"/>
      <c r="SNC239" s="140"/>
      <c r="SND239" s="140"/>
      <c r="SNE239" s="140"/>
      <c r="SNF239" s="140"/>
      <c r="SNG239" s="140"/>
      <c r="SNH239" s="140"/>
      <c r="SNI239" s="140"/>
      <c r="SNJ239" s="140"/>
      <c r="SNK239" s="140"/>
      <c r="SNL239" s="140"/>
      <c r="SNM239" s="140"/>
      <c r="SNN239" s="140"/>
      <c r="SNO239" s="140"/>
      <c r="SNP239" s="140"/>
      <c r="SNQ239" s="140"/>
      <c r="SNR239" s="140"/>
      <c r="SNS239" s="140"/>
      <c r="SNT239" s="140"/>
      <c r="SNU239" s="140"/>
      <c r="SNV239" s="140"/>
      <c r="SNW239" s="140"/>
      <c r="SNX239" s="140"/>
      <c r="SNY239" s="140"/>
      <c r="SNZ239" s="140"/>
      <c r="SOA239" s="140"/>
      <c r="SOB239" s="140"/>
      <c r="SOC239" s="140"/>
      <c r="SOD239" s="140"/>
      <c r="SOE239" s="140"/>
      <c r="SOF239" s="140"/>
      <c r="SOG239" s="140"/>
      <c r="SOH239" s="140"/>
      <c r="SOI239" s="140"/>
      <c r="SOJ239" s="140"/>
      <c r="SOK239" s="140"/>
      <c r="SOL239" s="140"/>
      <c r="SOM239" s="140"/>
      <c r="SON239" s="140"/>
      <c r="SOO239" s="140"/>
      <c r="SOP239" s="140"/>
      <c r="SOQ239" s="140"/>
      <c r="SOR239" s="140"/>
      <c r="SOS239" s="140"/>
      <c r="SOT239" s="140"/>
      <c r="SOU239" s="140"/>
      <c r="SOV239" s="140"/>
      <c r="SOW239" s="140"/>
      <c r="SOX239" s="140"/>
      <c r="SOY239" s="140"/>
      <c r="SOZ239" s="140"/>
      <c r="SPA239" s="140"/>
      <c r="SPB239" s="140"/>
      <c r="SPC239" s="140"/>
      <c r="SPD239" s="140"/>
      <c r="SPE239" s="140"/>
      <c r="SPF239" s="140"/>
      <c r="SPG239" s="140"/>
      <c r="SPH239" s="140"/>
      <c r="SPI239" s="140"/>
      <c r="SPJ239" s="140"/>
      <c r="SPK239" s="140"/>
      <c r="SPL239" s="140"/>
      <c r="SPM239" s="140"/>
      <c r="SPN239" s="140"/>
      <c r="SPO239" s="140"/>
      <c r="SPP239" s="140"/>
      <c r="SPQ239" s="140"/>
      <c r="SPR239" s="140"/>
      <c r="SPS239" s="140"/>
      <c r="SPT239" s="140"/>
      <c r="SPU239" s="140"/>
      <c r="SPV239" s="140"/>
      <c r="SPW239" s="140"/>
      <c r="SPX239" s="140"/>
      <c r="SPY239" s="140"/>
      <c r="SPZ239" s="140"/>
      <c r="SQA239" s="140"/>
      <c r="SQB239" s="140"/>
      <c r="SQC239" s="140"/>
      <c r="SQD239" s="140"/>
      <c r="SQE239" s="140"/>
      <c r="SQF239" s="140"/>
      <c r="SQG239" s="140"/>
      <c r="SQH239" s="140"/>
      <c r="SQI239" s="140"/>
      <c r="SQJ239" s="140"/>
      <c r="SQK239" s="140"/>
      <c r="SQL239" s="140"/>
      <c r="SQM239" s="140"/>
      <c r="SQN239" s="140"/>
      <c r="SQO239" s="140"/>
      <c r="SQP239" s="140"/>
      <c r="SQQ239" s="140"/>
      <c r="SQR239" s="140"/>
      <c r="SQS239" s="140"/>
      <c r="SQT239" s="140"/>
      <c r="SQU239" s="140"/>
      <c r="SQV239" s="140"/>
      <c r="SQW239" s="140"/>
      <c r="SQX239" s="140"/>
      <c r="SQY239" s="140"/>
      <c r="SQZ239" s="140"/>
      <c r="SRA239" s="140"/>
      <c r="SRB239" s="140"/>
      <c r="SRC239" s="140"/>
      <c r="SRD239" s="140"/>
      <c r="SRE239" s="140"/>
      <c r="SRF239" s="140"/>
      <c r="SRG239" s="140"/>
      <c r="SRH239" s="140"/>
      <c r="SRI239" s="140"/>
      <c r="SRJ239" s="140"/>
      <c r="SRK239" s="140"/>
      <c r="SRL239" s="140"/>
      <c r="SRM239" s="140"/>
      <c r="SRN239" s="140"/>
      <c r="SRO239" s="140"/>
      <c r="SRP239" s="140"/>
      <c r="SRQ239" s="140"/>
      <c r="SRR239" s="140"/>
      <c r="SRS239" s="140"/>
      <c r="SRT239" s="140"/>
      <c r="SRU239" s="140"/>
      <c r="SRV239" s="140"/>
      <c r="SRW239" s="140"/>
      <c r="SRX239" s="140"/>
      <c r="SRY239" s="140"/>
      <c r="SRZ239" s="140"/>
      <c r="SSA239" s="140"/>
      <c r="SSB239" s="140"/>
      <c r="SSC239" s="140"/>
      <c r="SSD239" s="140"/>
      <c r="SSE239" s="140"/>
      <c r="SSF239" s="140"/>
      <c r="SSG239" s="140"/>
      <c r="SSH239" s="140"/>
      <c r="SSI239" s="140"/>
      <c r="SSJ239" s="140"/>
      <c r="SSK239" s="140"/>
      <c r="SSL239" s="140"/>
      <c r="SSM239" s="140"/>
      <c r="SSN239" s="140"/>
      <c r="SSO239" s="140"/>
      <c r="SSP239" s="140"/>
      <c r="SSQ239" s="140"/>
      <c r="SSR239" s="140"/>
      <c r="SSS239" s="140"/>
      <c r="SST239" s="140"/>
      <c r="SSU239" s="140"/>
      <c r="SSV239" s="140"/>
      <c r="SSW239" s="140"/>
      <c r="SSX239" s="140"/>
      <c r="SSY239" s="140"/>
      <c r="SSZ239" s="140"/>
      <c r="STA239" s="140"/>
      <c r="STB239" s="140"/>
      <c r="STC239" s="140"/>
      <c r="STD239" s="140"/>
      <c r="STE239" s="140"/>
      <c r="STF239" s="140"/>
      <c r="STG239" s="140"/>
      <c r="STH239" s="140"/>
      <c r="STI239" s="140"/>
      <c r="STJ239" s="140"/>
      <c r="STK239" s="140"/>
      <c r="STL239" s="140"/>
      <c r="STM239" s="140"/>
      <c r="STN239" s="140"/>
      <c r="STO239" s="140"/>
      <c r="STP239" s="140"/>
      <c r="STQ239" s="140"/>
      <c r="STR239" s="140"/>
      <c r="STS239" s="140"/>
      <c r="STT239" s="140"/>
      <c r="STU239" s="140"/>
      <c r="STV239" s="140"/>
      <c r="STW239" s="140"/>
      <c r="STX239" s="140"/>
      <c r="STY239" s="140"/>
      <c r="STZ239" s="140"/>
      <c r="SUA239" s="140"/>
      <c r="SUB239" s="140"/>
      <c r="SUC239" s="140"/>
      <c r="SUD239" s="140"/>
      <c r="SUE239" s="140"/>
      <c r="SUF239" s="140"/>
      <c r="SUG239" s="140"/>
      <c r="SUH239" s="140"/>
      <c r="SUI239" s="140"/>
      <c r="SUJ239" s="140"/>
      <c r="SUK239" s="140"/>
      <c r="SUL239" s="140"/>
      <c r="SUM239" s="140"/>
      <c r="SUN239" s="140"/>
      <c r="SUO239" s="140"/>
      <c r="SUP239" s="140"/>
      <c r="SUQ239" s="140"/>
      <c r="SUR239" s="140"/>
      <c r="SUS239" s="140"/>
      <c r="SUT239" s="140"/>
      <c r="SUU239" s="140"/>
      <c r="SUV239" s="140"/>
      <c r="SUW239" s="140"/>
      <c r="SUX239" s="140"/>
      <c r="SUY239" s="140"/>
      <c r="SUZ239" s="140"/>
      <c r="SVA239" s="140"/>
      <c r="SVB239" s="140"/>
      <c r="SVC239" s="140"/>
      <c r="SVD239" s="140"/>
      <c r="SVE239" s="140"/>
      <c r="SVF239" s="140"/>
      <c r="SVG239" s="140"/>
      <c r="SVH239" s="140"/>
      <c r="SVI239" s="140"/>
      <c r="SVJ239" s="140"/>
      <c r="SVK239" s="140"/>
      <c r="SVL239" s="140"/>
      <c r="SVM239" s="140"/>
      <c r="SVN239" s="140"/>
      <c r="SVO239" s="140"/>
      <c r="SVP239" s="140"/>
      <c r="SVQ239" s="140"/>
      <c r="SVR239" s="140"/>
      <c r="SVS239" s="140"/>
      <c r="SVT239" s="140"/>
      <c r="SVU239" s="140"/>
      <c r="SVV239" s="140"/>
      <c r="SVW239" s="140"/>
      <c r="SVX239" s="140"/>
      <c r="SVY239" s="140"/>
      <c r="SVZ239" s="140"/>
      <c r="SWA239" s="140"/>
      <c r="SWB239" s="140"/>
      <c r="SWC239" s="140"/>
      <c r="SWD239" s="140"/>
      <c r="SWE239" s="140"/>
      <c r="SWF239" s="140"/>
      <c r="SWG239" s="140"/>
      <c r="SWH239" s="140"/>
      <c r="SWI239" s="140"/>
      <c r="SWJ239" s="140"/>
      <c r="SWK239" s="140"/>
      <c r="SWL239" s="140"/>
      <c r="SWM239" s="140"/>
      <c r="SWN239" s="140"/>
      <c r="SWO239" s="140"/>
      <c r="SWP239" s="140"/>
      <c r="SWQ239" s="140"/>
      <c r="SWR239" s="140"/>
      <c r="SWS239" s="140"/>
      <c r="SWT239" s="140"/>
      <c r="SWU239" s="140"/>
      <c r="SWV239" s="140"/>
      <c r="SWW239" s="140"/>
      <c r="SWX239" s="140"/>
      <c r="SWY239" s="140"/>
      <c r="SWZ239" s="140"/>
      <c r="SXA239" s="140"/>
      <c r="SXB239" s="140"/>
      <c r="SXC239" s="140"/>
      <c r="SXD239" s="140"/>
      <c r="SXE239" s="140"/>
      <c r="SXF239" s="140"/>
      <c r="SXG239" s="140"/>
      <c r="SXH239" s="140"/>
      <c r="SXI239" s="140"/>
      <c r="SXJ239" s="140"/>
      <c r="SXK239" s="140"/>
      <c r="SXL239" s="140"/>
      <c r="SXM239" s="140"/>
      <c r="SXN239" s="140"/>
      <c r="SXO239" s="140"/>
      <c r="SXP239" s="140"/>
      <c r="SXQ239" s="140"/>
      <c r="SXR239" s="140"/>
      <c r="SXS239" s="140"/>
      <c r="SXT239" s="140"/>
      <c r="SXU239" s="140"/>
      <c r="SXV239" s="140"/>
      <c r="SXW239" s="140"/>
      <c r="SXX239" s="140"/>
      <c r="SXY239" s="140"/>
      <c r="SXZ239" s="140"/>
      <c r="SYA239" s="140"/>
      <c r="SYB239" s="140"/>
      <c r="SYC239" s="140"/>
      <c r="SYD239" s="140"/>
      <c r="SYE239" s="140"/>
      <c r="SYF239" s="140"/>
      <c r="SYG239" s="140"/>
      <c r="SYH239" s="140"/>
      <c r="SYI239" s="140"/>
      <c r="SYJ239" s="140"/>
      <c r="SYK239" s="140"/>
      <c r="SYL239" s="140"/>
      <c r="SYM239" s="140"/>
      <c r="SYN239" s="140"/>
      <c r="SYO239" s="140"/>
      <c r="SYP239" s="140"/>
      <c r="SYQ239" s="140"/>
      <c r="SYR239" s="140"/>
      <c r="SYS239" s="140"/>
      <c r="SYT239" s="140"/>
      <c r="SYU239" s="140"/>
      <c r="SYV239" s="140"/>
      <c r="SYW239" s="140"/>
      <c r="SYX239" s="140"/>
      <c r="SYY239" s="140"/>
      <c r="SYZ239" s="140"/>
      <c r="SZA239" s="140"/>
      <c r="SZB239" s="140"/>
      <c r="SZC239" s="140"/>
      <c r="SZD239" s="140"/>
      <c r="SZE239" s="140"/>
      <c r="SZF239" s="140"/>
      <c r="SZG239" s="140"/>
      <c r="SZH239" s="140"/>
      <c r="SZI239" s="140"/>
      <c r="SZJ239" s="140"/>
      <c r="SZK239" s="140"/>
      <c r="SZL239" s="140"/>
      <c r="SZM239" s="140"/>
      <c r="SZN239" s="140"/>
      <c r="SZO239" s="140"/>
      <c r="SZP239" s="140"/>
      <c r="SZQ239" s="140"/>
      <c r="SZR239" s="140"/>
      <c r="SZS239" s="140"/>
      <c r="SZT239" s="140"/>
      <c r="SZU239" s="140"/>
      <c r="SZV239" s="140"/>
      <c r="SZW239" s="140"/>
      <c r="SZX239" s="140"/>
      <c r="SZY239" s="140"/>
      <c r="SZZ239" s="140"/>
      <c r="TAA239" s="140"/>
      <c r="TAB239" s="140"/>
      <c r="TAC239" s="140"/>
      <c r="TAD239" s="140"/>
      <c r="TAE239" s="140"/>
      <c r="TAF239" s="140"/>
      <c r="TAG239" s="140"/>
      <c r="TAH239" s="140"/>
      <c r="TAI239" s="140"/>
      <c r="TAJ239" s="140"/>
      <c r="TAK239" s="140"/>
      <c r="TAL239" s="140"/>
      <c r="TAM239" s="140"/>
      <c r="TAN239" s="140"/>
      <c r="TAO239" s="140"/>
      <c r="TAP239" s="140"/>
      <c r="TAQ239" s="140"/>
      <c r="TAR239" s="140"/>
      <c r="TAS239" s="140"/>
      <c r="TAT239" s="140"/>
      <c r="TAU239" s="140"/>
      <c r="TAV239" s="140"/>
      <c r="TAW239" s="140"/>
      <c r="TAX239" s="140"/>
      <c r="TAY239" s="140"/>
      <c r="TAZ239" s="140"/>
      <c r="TBA239" s="140"/>
      <c r="TBB239" s="140"/>
      <c r="TBC239" s="140"/>
      <c r="TBD239" s="140"/>
      <c r="TBE239" s="140"/>
      <c r="TBF239" s="140"/>
      <c r="TBG239" s="140"/>
      <c r="TBH239" s="140"/>
      <c r="TBI239" s="140"/>
      <c r="TBJ239" s="140"/>
      <c r="TBK239" s="140"/>
      <c r="TBL239" s="140"/>
      <c r="TBM239" s="140"/>
      <c r="TBN239" s="140"/>
      <c r="TBO239" s="140"/>
      <c r="TBP239" s="140"/>
      <c r="TBQ239" s="140"/>
      <c r="TBR239" s="140"/>
      <c r="TBS239" s="140"/>
      <c r="TBT239" s="140"/>
      <c r="TBU239" s="140"/>
      <c r="TBV239" s="140"/>
      <c r="TBW239" s="140"/>
      <c r="TBX239" s="140"/>
      <c r="TBY239" s="140"/>
      <c r="TBZ239" s="140"/>
      <c r="TCA239" s="140"/>
      <c r="TCB239" s="140"/>
      <c r="TCC239" s="140"/>
      <c r="TCD239" s="140"/>
      <c r="TCE239" s="140"/>
      <c r="TCF239" s="140"/>
      <c r="TCG239" s="140"/>
      <c r="TCH239" s="140"/>
      <c r="TCI239" s="140"/>
      <c r="TCJ239" s="140"/>
      <c r="TCK239" s="140"/>
      <c r="TCL239" s="140"/>
      <c r="TCM239" s="140"/>
      <c r="TCN239" s="140"/>
      <c r="TCO239" s="140"/>
      <c r="TCP239" s="140"/>
      <c r="TCQ239" s="140"/>
      <c r="TCR239" s="140"/>
      <c r="TCS239" s="140"/>
      <c r="TCT239" s="140"/>
      <c r="TCU239" s="140"/>
      <c r="TCV239" s="140"/>
      <c r="TCW239" s="140"/>
      <c r="TCX239" s="140"/>
      <c r="TCY239" s="140"/>
      <c r="TCZ239" s="140"/>
      <c r="TDA239" s="140"/>
      <c r="TDB239" s="140"/>
      <c r="TDC239" s="140"/>
      <c r="TDD239" s="140"/>
      <c r="TDE239" s="140"/>
      <c r="TDF239" s="140"/>
      <c r="TDG239" s="140"/>
      <c r="TDH239" s="140"/>
      <c r="TDI239" s="140"/>
      <c r="TDJ239" s="140"/>
      <c r="TDK239" s="140"/>
      <c r="TDL239" s="140"/>
      <c r="TDM239" s="140"/>
      <c r="TDN239" s="140"/>
      <c r="TDO239" s="140"/>
      <c r="TDP239" s="140"/>
      <c r="TDQ239" s="140"/>
      <c r="TDR239" s="140"/>
      <c r="TDS239" s="140"/>
      <c r="TDT239" s="140"/>
      <c r="TDU239" s="140"/>
      <c r="TDV239" s="140"/>
      <c r="TDW239" s="140"/>
      <c r="TDX239" s="140"/>
      <c r="TDY239" s="140"/>
      <c r="TDZ239" s="140"/>
      <c r="TEA239" s="140"/>
      <c r="TEB239" s="140"/>
      <c r="TEC239" s="140"/>
      <c r="TED239" s="140"/>
      <c r="TEE239" s="140"/>
      <c r="TEF239" s="140"/>
      <c r="TEG239" s="140"/>
      <c r="TEH239" s="140"/>
      <c r="TEI239" s="140"/>
      <c r="TEJ239" s="140"/>
      <c r="TEK239" s="140"/>
      <c r="TEL239" s="140"/>
      <c r="TEM239" s="140"/>
      <c r="TEN239" s="140"/>
      <c r="TEO239" s="140"/>
      <c r="TEP239" s="140"/>
      <c r="TEQ239" s="140"/>
      <c r="TER239" s="140"/>
      <c r="TES239" s="140"/>
      <c r="TET239" s="140"/>
      <c r="TEU239" s="140"/>
      <c r="TEV239" s="140"/>
      <c r="TEW239" s="140"/>
      <c r="TEX239" s="140"/>
      <c r="TEY239" s="140"/>
      <c r="TEZ239" s="140"/>
      <c r="TFA239" s="140"/>
      <c r="TFB239" s="140"/>
      <c r="TFC239" s="140"/>
      <c r="TFD239" s="140"/>
      <c r="TFE239" s="140"/>
      <c r="TFF239" s="140"/>
      <c r="TFG239" s="140"/>
      <c r="TFH239" s="140"/>
      <c r="TFI239" s="140"/>
      <c r="TFJ239" s="140"/>
      <c r="TFK239" s="140"/>
      <c r="TFL239" s="140"/>
      <c r="TFM239" s="140"/>
      <c r="TFN239" s="140"/>
      <c r="TFO239" s="140"/>
      <c r="TFP239" s="140"/>
      <c r="TFQ239" s="140"/>
      <c r="TFR239" s="140"/>
      <c r="TFS239" s="140"/>
      <c r="TFT239" s="140"/>
      <c r="TFU239" s="140"/>
      <c r="TFV239" s="140"/>
      <c r="TFW239" s="140"/>
      <c r="TFX239" s="140"/>
      <c r="TFY239" s="140"/>
      <c r="TFZ239" s="140"/>
      <c r="TGA239" s="140"/>
      <c r="TGB239" s="140"/>
      <c r="TGC239" s="140"/>
      <c r="TGD239" s="140"/>
      <c r="TGE239" s="140"/>
      <c r="TGF239" s="140"/>
      <c r="TGG239" s="140"/>
      <c r="TGH239" s="140"/>
      <c r="TGI239" s="140"/>
      <c r="TGJ239" s="140"/>
      <c r="TGK239" s="140"/>
      <c r="TGL239" s="140"/>
      <c r="TGM239" s="140"/>
      <c r="TGN239" s="140"/>
      <c r="TGO239" s="140"/>
      <c r="TGP239" s="140"/>
      <c r="TGQ239" s="140"/>
      <c r="TGR239" s="140"/>
      <c r="TGS239" s="140"/>
      <c r="TGT239" s="140"/>
      <c r="TGU239" s="140"/>
      <c r="TGV239" s="140"/>
      <c r="TGW239" s="140"/>
      <c r="TGX239" s="140"/>
      <c r="TGY239" s="140"/>
      <c r="TGZ239" s="140"/>
      <c r="THA239" s="140"/>
      <c r="THB239" s="140"/>
      <c r="THC239" s="140"/>
      <c r="THD239" s="140"/>
      <c r="THE239" s="140"/>
      <c r="THF239" s="140"/>
      <c r="THG239" s="140"/>
      <c r="THH239" s="140"/>
      <c r="THI239" s="140"/>
      <c r="THJ239" s="140"/>
      <c r="THK239" s="140"/>
      <c r="THL239" s="140"/>
      <c r="THM239" s="140"/>
      <c r="THN239" s="140"/>
      <c r="THO239" s="140"/>
      <c r="THP239" s="140"/>
      <c r="THQ239" s="140"/>
      <c r="THR239" s="140"/>
      <c r="THS239" s="140"/>
      <c r="THT239" s="140"/>
      <c r="THU239" s="140"/>
      <c r="THV239" s="140"/>
      <c r="THW239" s="140"/>
      <c r="THX239" s="140"/>
      <c r="THY239" s="140"/>
      <c r="THZ239" s="140"/>
      <c r="TIA239" s="140"/>
      <c r="TIB239" s="140"/>
      <c r="TIC239" s="140"/>
      <c r="TID239" s="140"/>
      <c r="TIE239" s="140"/>
      <c r="TIF239" s="140"/>
      <c r="TIG239" s="140"/>
      <c r="TIH239" s="140"/>
      <c r="TII239" s="140"/>
      <c r="TIJ239" s="140"/>
      <c r="TIK239" s="140"/>
      <c r="TIL239" s="140"/>
      <c r="TIM239" s="140"/>
      <c r="TIN239" s="140"/>
      <c r="TIO239" s="140"/>
      <c r="TIP239" s="140"/>
      <c r="TIQ239" s="140"/>
      <c r="TIR239" s="140"/>
      <c r="TIS239" s="140"/>
      <c r="TIT239" s="140"/>
      <c r="TIU239" s="140"/>
      <c r="TIV239" s="140"/>
      <c r="TIW239" s="140"/>
      <c r="TIX239" s="140"/>
      <c r="TIY239" s="140"/>
      <c r="TIZ239" s="140"/>
      <c r="TJA239" s="140"/>
      <c r="TJB239" s="140"/>
      <c r="TJC239" s="140"/>
      <c r="TJD239" s="140"/>
      <c r="TJE239" s="140"/>
      <c r="TJF239" s="140"/>
      <c r="TJG239" s="140"/>
      <c r="TJH239" s="140"/>
      <c r="TJI239" s="140"/>
      <c r="TJJ239" s="140"/>
      <c r="TJK239" s="140"/>
      <c r="TJL239" s="140"/>
      <c r="TJM239" s="140"/>
      <c r="TJN239" s="140"/>
      <c r="TJO239" s="140"/>
      <c r="TJP239" s="140"/>
      <c r="TJQ239" s="140"/>
      <c r="TJR239" s="140"/>
      <c r="TJS239" s="140"/>
      <c r="TJT239" s="140"/>
      <c r="TJU239" s="140"/>
      <c r="TJV239" s="140"/>
      <c r="TJW239" s="140"/>
      <c r="TJX239" s="140"/>
      <c r="TJY239" s="140"/>
      <c r="TJZ239" s="140"/>
      <c r="TKA239" s="140"/>
      <c r="TKB239" s="140"/>
      <c r="TKC239" s="140"/>
      <c r="TKD239" s="140"/>
      <c r="TKE239" s="140"/>
      <c r="TKF239" s="140"/>
      <c r="TKG239" s="140"/>
      <c r="TKH239" s="140"/>
      <c r="TKI239" s="140"/>
      <c r="TKJ239" s="140"/>
      <c r="TKK239" s="140"/>
      <c r="TKL239" s="140"/>
      <c r="TKM239" s="140"/>
      <c r="TKN239" s="140"/>
      <c r="TKO239" s="140"/>
      <c r="TKP239" s="140"/>
      <c r="TKQ239" s="140"/>
      <c r="TKR239" s="140"/>
      <c r="TKS239" s="140"/>
      <c r="TKT239" s="140"/>
      <c r="TKU239" s="140"/>
      <c r="TKV239" s="140"/>
      <c r="TKW239" s="140"/>
      <c r="TKX239" s="140"/>
      <c r="TKY239" s="140"/>
      <c r="TKZ239" s="140"/>
      <c r="TLA239" s="140"/>
      <c r="TLB239" s="140"/>
      <c r="TLC239" s="140"/>
      <c r="TLD239" s="140"/>
      <c r="TLE239" s="140"/>
      <c r="TLF239" s="140"/>
      <c r="TLG239" s="140"/>
      <c r="TLH239" s="140"/>
      <c r="TLI239" s="140"/>
      <c r="TLJ239" s="140"/>
      <c r="TLK239" s="140"/>
      <c r="TLL239" s="140"/>
      <c r="TLM239" s="140"/>
      <c r="TLN239" s="140"/>
      <c r="TLO239" s="140"/>
      <c r="TLP239" s="140"/>
      <c r="TLQ239" s="140"/>
      <c r="TLR239" s="140"/>
      <c r="TLS239" s="140"/>
      <c r="TLT239" s="140"/>
      <c r="TLU239" s="140"/>
      <c r="TLV239" s="140"/>
      <c r="TLW239" s="140"/>
      <c r="TLX239" s="140"/>
      <c r="TLY239" s="140"/>
      <c r="TLZ239" s="140"/>
      <c r="TMA239" s="140"/>
      <c r="TMB239" s="140"/>
      <c r="TMC239" s="140"/>
      <c r="TMD239" s="140"/>
      <c r="TME239" s="140"/>
      <c r="TMF239" s="140"/>
      <c r="TMG239" s="140"/>
      <c r="TMH239" s="140"/>
      <c r="TMI239" s="140"/>
      <c r="TMJ239" s="140"/>
      <c r="TMK239" s="140"/>
      <c r="TML239" s="140"/>
      <c r="TMM239" s="140"/>
      <c r="TMN239" s="140"/>
      <c r="TMO239" s="140"/>
      <c r="TMP239" s="140"/>
      <c r="TMQ239" s="140"/>
      <c r="TMR239" s="140"/>
      <c r="TMS239" s="140"/>
      <c r="TMT239" s="140"/>
      <c r="TMU239" s="140"/>
      <c r="TMV239" s="140"/>
      <c r="TMW239" s="140"/>
      <c r="TMX239" s="140"/>
      <c r="TMY239" s="140"/>
      <c r="TMZ239" s="140"/>
      <c r="TNA239" s="140"/>
      <c r="TNB239" s="140"/>
      <c r="TNC239" s="140"/>
      <c r="TND239" s="140"/>
      <c r="TNE239" s="140"/>
      <c r="TNF239" s="140"/>
      <c r="TNG239" s="140"/>
      <c r="TNH239" s="140"/>
      <c r="TNI239" s="140"/>
      <c r="TNJ239" s="140"/>
      <c r="TNK239" s="140"/>
      <c r="TNL239" s="140"/>
      <c r="TNM239" s="140"/>
      <c r="TNN239" s="140"/>
      <c r="TNO239" s="140"/>
      <c r="TNP239" s="140"/>
      <c r="TNQ239" s="140"/>
      <c r="TNR239" s="140"/>
      <c r="TNS239" s="140"/>
      <c r="TNT239" s="140"/>
      <c r="TNU239" s="140"/>
      <c r="TNV239" s="140"/>
      <c r="TNW239" s="140"/>
      <c r="TNX239" s="140"/>
      <c r="TNY239" s="140"/>
      <c r="TNZ239" s="140"/>
      <c r="TOA239" s="140"/>
      <c r="TOB239" s="140"/>
      <c r="TOC239" s="140"/>
      <c r="TOD239" s="140"/>
      <c r="TOE239" s="140"/>
      <c r="TOF239" s="140"/>
      <c r="TOG239" s="140"/>
      <c r="TOH239" s="140"/>
      <c r="TOI239" s="140"/>
      <c r="TOJ239" s="140"/>
      <c r="TOK239" s="140"/>
      <c r="TOL239" s="140"/>
      <c r="TOM239" s="140"/>
      <c r="TON239" s="140"/>
      <c r="TOO239" s="140"/>
      <c r="TOP239" s="140"/>
      <c r="TOQ239" s="140"/>
      <c r="TOR239" s="140"/>
      <c r="TOS239" s="140"/>
      <c r="TOT239" s="140"/>
      <c r="TOU239" s="140"/>
      <c r="TOV239" s="140"/>
      <c r="TOW239" s="140"/>
      <c r="TOX239" s="140"/>
      <c r="TOY239" s="140"/>
      <c r="TOZ239" s="140"/>
      <c r="TPA239" s="140"/>
      <c r="TPB239" s="140"/>
      <c r="TPC239" s="140"/>
      <c r="TPD239" s="140"/>
      <c r="TPE239" s="140"/>
      <c r="TPF239" s="140"/>
      <c r="TPG239" s="140"/>
      <c r="TPH239" s="140"/>
      <c r="TPI239" s="140"/>
      <c r="TPJ239" s="140"/>
      <c r="TPK239" s="140"/>
      <c r="TPL239" s="140"/>
      <c r="TPM239" s="140"/>
      <c r="TPN239" s="140"/>
      <c r="TPO239" s="140"/>
      <c r="TPP239" s="140"/>
      <c r="TPQ239" s="140"/>
      <c r="TPR239" s="140"/>
      <c r="TPS239" s="140"/>
      <c r="TPT239" s="140"/>
      <c r="TPU239" s="140"/>
      <c r="TPV239" s="140"/>
      <c r="TPW239" s="140"/>
      <c r="TPX239" s="140"/>
      <c r="TPY239" s="140"/>
      <c r="TPZ239" s="140"/>
      <c r="TQA239" s="140"/>
      <c r="TQB239" s="140"/>
      <c r="TQC239" s="140"/>
      <c r="TQD239" s="140"/>
      <c r="TQE239" s="140"/>
      <c r="TQF239" s="140"/>
      <c r="TQG239" s="140"/>
      <c r="TQH239" s="140"/>
      <c r="TQI239" s="140"/>
      <c r="TQJ239" s="140"/>
      <c r="TQK239" s="140"/>
      <c r="TQL239" s="140"/>
      <c r="TQM239" s="140"/>
      <c r="TQN239" s="140"/>
      <c r="TQO239" s="140"/>
      <c r="TQP239" s="140"/>
      <c r="TQQ239" s="140"/>
      <c r="TQR239" s="140"/>
      <c r="TQS239" s="140"/>
      <c r="TQT239" s="140"/>
      <c r="TQU239" s="140"/>
      <c r="TQV239" s="140"/>
      <c r="TQW239" s="140"/>
      <c r="TQX239" s="140"/>
      <c r="TQY239" s="140"/>
      <c r="TQZ239" s="140"/>
      <c r="TRA239" s="140"/>
      <c r="TRB239" s="140"/>
      <c r="TRC239" s="140"/>
      <c r="TRD239" s="140"/>
      <c r="TRE239" s="140"/>
      <c r="TRF239" s="140"/>
      <c r="TRG239" s="140"/>
      <c r="TRH239" s="140"/>
      <c r="TRI239" s="140"/>
      <c r="TRJ239" s="140"/>
      <c r="TRK239" s="140"/>
      <c r="TRL239" s="140"/>
      <c r="TRM239" s="140"/>
      <c r="TRN239" s="140"/>
      <c r="TRO239" s="140"/>
      <c r="TRP239" s="140"/>
      <c r="TRQ239" s="140"/>
      <c r="TRR239" s="140"/>
      <c r="TRS239" s="140"/>
      <c r="TRT239" s="140"/>
      <c r="TRU239" s="140"/>
      <c r="TRV239" s="140"/>
      <c r="TRW239" s="140"/>
      <c r="TRX239" s="140"/>
      <c r="TRY239" s="140"/>
      <c r="TRZ239" s="140"/>
      <c r="TSA239" s="140"/>
      <c r="TSB239" s="140"/>
      <c r="TSC239" s="140"/>
      <c r="TSD239" s="140"/>
      <c r="TSE239" s="140"/>
      <c r="TSF239" s="140"/>
      <c r="TSG239" s="140"/>
      <c r="TSH239" s="140"/>
      <c r="TSI239" s="140"/>
      <c r="TSJ239" s="140"/>
      <c r="TSK239" s="140"/>
      <c r="TSL239" s="140"/>
      <c r="TSM239" s="140"/>
      <c r="TSN239" s="140"/>
      <c r="TSO239" s="140"/>
      <c r="TSP239" s="140"/>
      <c r="TSQ239" s="140"/>
      <c r="TSR239" s="140"/>
      <c r="TSS239" s="140"/>
      <c r="TST239" s="140"/>
      <c r="TSU239" s="140"/>
      <c r="TSV239" s="140"/>
      <c r="TSW239" s="140"/>
      <c r="TSX239" s="140"/>
      <c r="TSY239" s="140"/>
      <c r="TSZ239" s="140"/>
      <c r="TTA239" s="140"/>
      <c r="TTB239" s="140"/>
      <c r="TTC239" s="140"/>
      <c r="TTD239" s="140"/>
      <c r="TTE239" s="140"/>
      <c r="TTF239" s="140"/>
      <c r="TTG239" s="140"/>
      <c r="TTH239" s="140"/>
      <c r="TTI239" s="140"/>
      <c r="TTJ239" s="140"/>
      <c r="TTK239" s="140"/>
      <c r="TTL239" s="140"/>
      <c r="TTM239" s="140"/>
      <c r="TTN239" s="140"/>
      <c r="TTO239" s="140"/>
      <c r="TTP239" s="140"/>
      <c r="TTQ239" s="140"/>
      <c r="TTR239" s="140"/>
      <c r="TTS239" s="140"/>
      <c r="TTT239" s="140"/>
      <c r="TTU239" s="140"/>
      <c r="TTV239" s="140"/>
      <c r="TTW239" s="140"/>
      <c r="TTX239" s="140"/>
      <c r="TTY239" s="140"/>
      <c r="TTZ239" s="140"/>
      <c r="TUA239" s="140"/>
      <c r="TUB239" s="140"/>
      <c r="TUC239" s="140"/>
      <c r="TUD239" s="140"/>
      <c r="TUE239" s="140"/>
      <c r="TUF239" s="140"/>
      <c r="TUG239" s="140"/>
      <c r="TUH239" s="140"/>
      <c r="TUI239" s="140"/>
      <c r="TUJ239" s="140"/>
      <c r="TUK239" s="140"/>
      <c r="TUL239" s="140"/>
      <c r="TUM239" s="140"/>
      <c r="TUN239" s="140"/>
      <c r="TUO239" s="140"/>
      <c r="TUP239" s="140"/>
      <c r="TUQ239" s="140"/>
      <c r="TUR239" s="140"/>
      <c r="TUS239" s="140"/>
      <c r="TUT239" s="140"/>
      <c r="TUU239" s="140"/>
      <c r="TUV239" s="140"/>
      <c r="TUW239" s="140"/>
      <c r="TUX239" s="140"/>
      <c r="TUY239" s="140"/>
      <c r="TUZ239" s="140"/>
      <c r="TVA239" s="140"/>
      <c r="TVB239" s="140"/>
      <c r="TVC239" s="140"/>
      <c r="TVD239" s="140"/>
      <c r="TVE239" s="140"/>
      <c r="TVF239" s="140"/>
      <c r="TVG239" s="140"/>
      <c r="TVH239" s="140"/>
      <c r="TVI239" s="140"/>
      <c r="TVJ239" s="140"/>
      <c r="TVK239" s="140"/>
      <c r="TVL239" s="140"/>
      <c r="TVM239" s="140"/>
      <c r="TVN239" s="140"/>
      <c r="TVO239" s="140"/>
      <c r="TVP239" s="140"/>
      <c r="TVQ239" s="140"/>
      <c r="TVR239" s="140"/>
      <c r="TVS239" s="140"/>
      <c r="TVT239" s="140"/>
      <c r="TVU239" s="140"/>
      <c r="TVV239" s="140"/>
      <c r="TVW239" s="140"/>
      <c r="TVX239" s="140"/>
      <c r="TVY239" s="140"/>
      <c r="TVZ239" s="140"/>
      <c r="TWA239" s="140"/>
      <c r="TWB239" s="140"/>
      <c r="TWC239" s="140"/>
      <c r="TWD239" s="140"/>
      <c r="TWE239" s="140"/>
      <c r="TWF239" s="140"/>
      <c r="TWG239" s="140"/>
      <c r="TWH239" s="140"/>
      <c r="TWI239" s="140"/>
      <c r="TWJ239" s="140"/>
      <c r="TWK239" s="140"/>
      <c r="TWL239" s="140"/>
      <c r="TWM239" s="140"/>
      <c r="TWN239" s="140"/>
      <c r="TWO239" s="140"/>
      <c r="TWP239" s="140"/>
      <c r="TWQ239" s="140"/>
      <c r="TWR239" s="140"/>
      <c r="TWS239" s="140"/>
      <c r="TWT239" s="140"/>
      <c r="TWU239" s="140"/>
      <c r="TWV239" s="140"/>
      <c r="TWW239" s="140"/>
      <c r="TWX239" s="140"/>
      <c r="TWY239" s="140"/>
      <c r="TWZ239" s="140"/>
      <c r="TXA239" s="140"/>
      <c r="TXB239" s="140"/>
      <c r="TXC239" s="140"/>
      <c r="TXD239" s="140"/>
      <c r="TXE239" s="140"/>
      <c r="TXF239" s="140"/>
      <c r="TXG239" s="140"/>
      <c r="TXH239" s="140"/>
      <c r="TXI239" s="140"/>
      <c r="TXJ239" s="140"/>
      <c r="TXK239" s="140"/>
      <c r="TXL239" s="140"/>
      <c r="TXM239" s="140"/>
      <c r="TXN239" s="140"/>
      <c r="TXO239" s="140"/>
      <c r="TXP239" s="140"/>
      <c r="TXQ239" s="140"/>
      <c r="TXR239" s="140"/>
      <c r="TXS239" s="140"/>
      <c r="TXT239" s="140"/>
      <c r="TXU239" s="140"/>
      <c r="TXV239" s="140"/>
      <c r="TXW239" s="140"/>
      <c r="TXX239" s="140"/>
      <c r="TXY239" s="140"/>
      <c r="TXZ239" s="140"/>
      <c r="TYA239" s="140"/>
      <c r="TYB239" s="140"/>
      <c r="TYC239" s="140"/>
      <c r="TYD239" s="140"/>
      <c r="TYE239" s="140"/>
      <c r="TYF239" s="140"/>
      <c r="TYG239" s="140"/>
      <c r="TYH239" s="140"/>
      <c r="TYI239" s="140"/>
      <c r="TYJ239" s="140"/>
      <c r="TYK239" s="140"/>
      <c r="TYL239" s="140"/>
      <c r="TYM239" s="140"/>
      <c r="TYN239" s="140"/>
      <c r="TYO239" s="140"/>
      <c r="TYP239" s="140"/>
      <c r="TYQ239" s="140"/>
      <c r="TYR239" s="140"/>
      <c r="TYS239" s="140"/>
      <c r="TYT239" s="140"/>
      <c r="TYU239" s="140"/>
      <c r="TYV239" s="140"/>
      <c r="TYW239" s="140"/>
      <c r="TYX239" s="140"/>
      <c r="TYY239" s="140"/>
      <c r="TYZ239" s="140"/>
      <c r="TZA239" s="140"/>
      <c r="TZB239" s="140"/>
      <c r="TZC239" s="140"/>
      <c r="TZD239" s="140"/>
      <c r="TZE239" s="140"/>
      <c r="TZF239" s="140"/>
      <c r="TZG239" s="140"/>
      <c r="TZH239" s="140"/>
      <c r="TZI239" s="140"/>
      <c r="TZJ239" s="140"/>
      <c r="TZK239" s="140"/>
      <c r="TZL239" s="140"/>
      <c r="TZM239" s="140"/>
      <c r="TZN239" s="140"/>
      <c r="TZO239" s="140"/>
      <c r="TZP239" s="140"/>
      <c r="TZQ239" s="140"/>
      <c r="TZR239" s="140"/>
      <c r="TZS239" s="140"/>
      <c r="TZT239" s="140"/>
      <c r="TZU239" s="140"/>
      <c r="TZV239" s="140"/>
      <c r="TZW239" s="140"/>
      <c r="TZX239" s="140"/>
      <c r="TZY239" s="140"/>
      <c r="TZZ239" s="140"/>
      <c r="UAA239" s="140"/>
      <c r="UAB239" s="140"/>
      <c r="UAC239" s="140"/>
      <c r="UAD239" s="140"/>
      <c r="UAE239" s="140"/>
      <c r="UAF239" s="140"/>
      <c r="UAG239" s="140"/>
      <c r="UAH239" s="140"/>
      <c r="UAI239" s="140"/>
      <c r="UAJ239" s="140"/>
      <c r="UAK239" s="140"/>
      <c r="UAL239" s="140"/>
      <c r="UAM239" s="140"/>
      <c r="UAN239" s="140"/>
      <c r="UAO239" s="140"/>
      <c r="UAP239" s="140"/>
      <c r="UAQ239" s="140"/>
      <c r="UAR239" s="140"/>
      <c r="UAS239" s="140"/>
      <c r="UAT239" s="140"/>
      <c r="UAU239" s="140"/>
      <c r="UAV239" s="140"/>
      <c r="UAW239" s="140"/>
      <c r="UAX239" s="140"/>
      <c r="UAY239" s="140"/>
      <c r="UAZ239" s="140"/>
      <c r="UBA239" s="140"/>
      <c r="UBB239" s="140"/>
      <c r="UBC239" s="140"/>
      <c r="UBD239" s="140"/>
      <c r="UBE239" s="140"/>
      <c r="UBF239" s="140"/>
      <c r="UBG239" s="140"/>
      <c r="UBH239" s="140"/>
      <c r="UBI239" s="140"/>
      <c r="UBJ239" s="140"/>
      <c r="UBK239" s="140"/>
      <c r="UBL239" s="140"/>
      <c r="UBM239" s="140"/>
      <c r="UBN239" s="140"/>
      <c r="UBO239" s="140"/>
      <c r="UBP239" s="140"/>
      <c r="UBQ239" s="140"/>
      <c r="UBR239" s="140"/>
      <c r="UBS239" s="140"/>
      <c r="UBT239" s="140"/>
      <c r="UBU239" s="140"/>
      <c r="UBV239" s="140"/>
      <c r="UBW239" s="140"/>
      <c r="UBX239" s="140"/>
      <c r="UBY239" s="140"/>
      <c r="UBZ239" s="140"/>
      <c r="UCA239" s="140"/>
      <c r="UCB239" s="140"/>
      <c r="UCC239" s="140"/>
      <c r="UCD239" s="140"/>
      <c r="UCE239" s="140"/>
      <c r="UCF239" s="140"/>
      <c r="UCG239" s="140"/>
      <c r="UCH239" s="140"/>
      <c r="UCI239" s="140"/>
      <c r="UCJ239" s="140"/>
      <c r="UCK239" s="140"/>
      <c r="UCL239" s="140"/>
      <c r="UCM239" s="140"/>
      <c r="UCN239" s="140"/>
      <c r="UCO239" s="140"/>
      <c r="UCP239" s="140"/>
      <c r="UCQ239" s="140"/>
      <c r="UCR239" s="140"/>
      <c r="UCS239" s="140"/>
      <c r="UCT239" s="140"/>
      <c r="UCU239" s="140"/>
      <c r="UCV239" s="140"/>
      <c r="UCW239" s="140"/>
      <c r="UCX239" s="140"/>
      <c r="UCY239" s="140"/>
      <c r="UCZ239" s="140"/>
      <c r="UDA239" s="140"/>
      <c r="UDB239" s="140"/>
      <c r="UDC239" s="140"/>
      <c r="UDD239" s="140"/>
      <c r="UDE239" s="140"/>
      <c r="UDF239" s="140"/>
      <c r="UDG239" s="140"/>
      <c r="UDH239" s="140"/>
      <c r="UDI239" s="140"/>
      <c r="UDJ239" s="140"/>
      <c r="UDK239" s="140"/>
      <c r="UDL239" s="140"/>
      <c r="UDM239" s="140"/>
      <c r="UDN239" s="140"/>
      <c r="UDO239" s="140"/>
      <c r="UDP239" s="140"/>
      <c r="UDQ239" s="140"/>
      <c r="UDR239" s="140"/>
      <c r="UDS239" s="140"/>
      <c r="UDT239" s="140"/>
      <c r="UDU239" s="140"/>
      <c r="UDV239" s="140"/>
      <c r="UDW239" s="140"/>
      <c r="UDX239" s="140"/>
      <c r="UDY239" s="140"/>
      <c r="UDZ239" s="140"/>
      <c r="UEA239" s="140"/>
      <c r="UEB239" s="140"/>
      <c r="UEC239" s="140"/>
      <c r="UED239" s="140"/>
      <c r="UEE239" s="140"/>
      <c r="UEF239" s="140"/>
      <c r="UEG239" s="140"/>
      <c r="UEH239" s="140"/>
      <c r="UEI239" s="140"/>
      <c r="UEJ239" s="140"/>
      <c r="UEK239" s="140"/>
      <c r="UEL239" s="140"/>
      <c r="UEM239" s="140"/>
      <c r="UEN239" s="140"/>
      <c r="UEO239" s="140"/>
      <c r="UEP239" s="140"/>
      <c r="UEQ239" s="140"/>
      <c r="UER239" s="140"/>
      <c r="UES239" s="140"/>
      <c r="UET239" s="140"/>
      <c r="UEU239" s="140"/>
      <c r="UEV239" s="140"/>
      <c r="UEW239" s="140"/>
      <c r="UEX239" s="140"/>
      <c r="UEY239" s="140"/>
      <c r="UEZ239" s="140"/>
      <c r="UFA239" s="140"/>
      <c r="UFB239" s="140"/>
      <c r="UFC239" s="140"/>
      <c r="UFD239" s="140"/>
      <c r="UFE239" s="140"/>
      <c r="UFF239" s="140"/>
      <c r="UFG239" s="140"/>
      <c r="UFH239" s="140"/>
      <c r="UFI239" s="140"/>
      <c r="UFJ239" s="140"/>
      <c r="UFK239" s="140"/>
      <c r="UFL239" s="140"/>
      <c r="UFM239" s="140"/>
      <c r="UFN239" s="140"/>
      <c r="UFO239" s="140"/>
      <c r="UFP239" s="140"/>
      <c r="UFQ239" s="140"/>
      <c r="UFR239" s="140"/>
      <c r="UFS239" s="140"/>
      <c r="UFT239" s="140"/>
      <c r="UFU239" s="140"/>
      <c r="UFV239" s="140"/>
      <c r="UFW239" s="140"/>
      <c r="UFX239" s="140"/>
      <c r="UFY239" s="140"/>
      <c r="UFZ239" s="140"/>
      <c r="UGA239" s="140"/>
      <c r="UGB239" s="140"/>
      <c r="UGC239" s="140"/>
      <c r="UGD239" s="140"/>
      <c r="UGE239" s="140"/>
      <c r="UGF239" s="140"/>
      <c r="UGG239" s="140"/>
      <c r="UGH239" s="140"/>
      <c r="UGI239" s="140"/>
      <c r="UGJ239" s="140"/>
      <c r="UGK239" s="140"/>
      <c r="UGL239" s="140"/>
      <c r="UGM239" s="140"/>
      <c r="UGN239" s="140"/>
      <c r="UGO239" s="140"/>
      <c r="UGP239" s="140"/>
      <c r="UGQ239" s="140"/>
      <c r="UGR239" s="140"/>
      <c r="UGS239" s="140"/>
      <c r="UGT239" s="140"/>
      <c r="UGU239" s="140"/>
      <c r="UGV239" s="140"/>
      <c r="UGW239" s="140"/>
      <c r="UGX239" s="140"/>
      <c r="UGY239" s="140"/>
      <c r="UGZ239" s="140"/>
      <c r="UHA239" s="140"/>
      <c r="UHB239" s="140"/>
      <c r="UHC239" s="140"/>
      <c r="UHD239" s="140"/>
      <c r="UHE239" s="140"/>
      <c r="UHF239" s="140"/>
      <c r="UHG239" s="140"/>
      <c r="UHH239" s="140"/>
      <c r="UHI239" s="140"/>
      <c r="UHJ239" s="140"/>
      <c r="UHK239" s="140"/>
      <c r="UHL239" s="140"/>
      <c r="UHM239" s="140"/>
      <c r="UHN239" s="140"/>
      <c r="UHO239" s="140"/>
      <c r="UHP239" s="140"/>
      <c r="UHQ239" s="140"/>
      <c r="UHR239" s="140"/>
      <c r="UHS239" s="140"/>
      <c r="UHT239" s="140"/>
      <c r="UHU239" s="140"/>
      <c r="UHV239" s="140"/>
      <c r="UHW239" s="140"/>
      <c r="UHX239" s="140"/>
      <c r="UHY239" s="140"/>
      <c r="UHZ239" s="140"/>
      <c r="UIA239" s="140"/>
      <c r="UIB239" s="140"/>
      <c r="UIC239" s="140"/>
      <c r="UID239" s="140"/>
      <c r="UIE239" s="140"/>
      <c r="UIF239" s="140"/>
      <c r="UIG239" s="140"/>
      <c r="UIH239" s="140"/>
      <c r="UII239" s="140"/>
      <c r="UIJ239" s="140"/>
      <c r="UIK239" s="140"/>
      <c r="UIL239" s="140"/>
      <c r="UIM239" s="140"/>
      <c r="UIN239" s="140"/>
      <c r="UIO239" s="140"/>
      <c r="UIP239" s="140"/>
      <c r="UIQ239" s="140"/>
      <c r="UIR239" s="140"/>
      <c r="UIS239" s="140"/>
      <c r="UIT239" s="140"/>
      <c r="UIU239" s="140"/>
      <c r="UIV239" s="140"/>
      <c r="UIW239" s="140"/>
      <c r="UIX239" s="140"/>
      <c r="UIY239" s="140"/>
      <c r="UIZ239" s="140"/>
      <c r="UJA239" s="140"/>
      <c r="UJB239" s="140"/>
      <c r="UJC239" s="140"/>
      <c r="UJD239" s="140"/>
      <c r="UJE239" s="140"/>
      <c r="UJF239" s="140"/>
      <c r="UJG239" s="140"/>
      <c r="UJH239" s="140"/>
      <c r="UJI239" s="140"/>
      <c r="UJJ239" s="140"/>
      <c r="UJK239" s="140"/>
      <c r="UJL239" s="140"/>
      <c r="UJM239" s="140"/>
      <c r="UJN239" s="140"/>
      <c r="UJO239" s="140"/>
      <c r="UJP239" s="140"/>
      <c r="UJQ239" s="140"/>
      <c r="UJR239" s="140"/>
      <c r="UJS239" s="140"/>
      <c r="UJT239" s="140"/>
      <c r="UJU239" s="140"/>
      <c r="UJV239" s="140"/>
      <c r="UJW239" s="140"/>
      <c r="UJX239" s="140"/>
      <c r="UJY239" s="140"/>
      <c r="UJZ239" s="140"/>
      <c r="UKA239" s="140"/>
      <c r="UKB239" s="140"/>
      <c r="UKC239" s="140"/>
      <c r="UKD239" s="140"/>
      <c r="UKE239" s="140"/>
      <c r="UKF239" s="140"/>
      <c r="UKG239" s="140"/>
      <c r="UKH239" s="140"/>
      <c r="UKI239" s="140"/>
      <c r="UKJ239" s="140"/>
      <c r="UKK239" s="140"/>
      <c r="UKL239" s="140"/>
      <c r="UKM239" s="140"/>
      <c r="UKN239" s="140"/>
      <c r="UKO239" s="140"/>
      <c r="UKP239" s="140"/>
      <c r="UKQ239" s="140"/>
      <c r="UKR239" s="140"/>
      <c r="UKS239" s="140"/>
      <c r="UKT239" s="140"/>
      <c r="UKU239" s="140"/>
      <c r="UKV239" s="140"/>
      <c r="UKW239" s="140"/>
      <c r="UKX239" s="140"/>
      <c r="UKY239" s="140"/>
      <c r="UKZ239" s="140"/>
      <c r="ULA239" s="140"/>
      <c r="ULB239" s="140"/>
      <c r="ULC239" s="140"/>
      <c r="ULD239" s="140"/>
      <c r="ULE239" s="140"/>
      <c r="ULF239" s="140"/>
      <c r="ULG239" s="140"/>
      <c r="ULH239" s="140"/>
      <c r="ULI239" s="140"/>
      <c r="ULJ239" s="140"/>
      <c r="ULK239" s="140"/>
      <c r="ULL239" s="140"/>
      <c r="ULM239" s="140"/>
      <c r="ULN239" s="140"/>
      <c r="ULO239" s="140"/>
      <c r="ULP239" s="140"/>
      <c r="ULQ239" s="140"/>
      <c r="ULR239" s="140"/>
      <c r="ULS239" s="140"/>
      <c r="ULT239" s="140"/>
      <c r="ULU239" s="140"/>
      <c r="ULV239" s="140"/>
      <c r="ULW239" s="140"/>
      <c r="ULX239" s="140"/>
      <c r="ULY239" s="140"/>
      <c r="ULZ239" s="140"/>
      <c r="UMA239" s="140"/>
      <c r="UMB239" s="140"/>
      <c r="UMC239" s="140"/>
      <c r="UMD239" s="140"/>
      <c r="UME239" s="140"/>
      <c r="UMF239" s="140"/>
      <c r="UMG239" s="140"/>
      <c r="UMH239" s="140"/>
      <c r="UMI239" s="140"/>
      <c r="UMJ239" s="140"/>
      <c r="UMK239" s="140"/>
      <c r="UML239" s="140"/>
      <c r="UMM239" s="140"/>
      <c r="UMN239" s="140"/>
      <c r="UMO239" s="140"/>
      <c r="UMP239" s="140"/>
      <c r="UMQ239" s="140"/>
      <c r="UMR239" s="140"/>
      <c r="UMS239" s="140"/>
      <c r="UMT239" s="140"/>
      <c r="UMU239" s="140"/>
      <c r="UMV239" s="140"/>
      <c r="UMW239" s="140"/>
      <c r="UMX239" s="140"/>
      <c r="UMY239" s="140"/>
      <c r="UMZ239" s="140"/>
      <c r="UNA239" s="140"/>
      <c r="UNB239" s="140"/>
      <c r="UNC239" s="140"/>
      <c r="UND239" s="140"/>
      <c r="UNE239" s="140"/>
      <c r="UNF239" s="140"/>
      <c r="UNG239" s="140"/>
      <c r="UNH239" s="140"/>
      <c r="UNI239" s="140"/>
      <c r="UNJ239" s="140"/>
      <c r="UNK239" s="140"/>
      <c r="UNL239" s="140"/>
      <c r="UNM239" s="140"/>
      <c r="UNN239" s="140"/>
      <c r="UNO239" s="140"/>
      <c r="UNP239" s="140"/>
      <c r="UNQ239" s="140"/>
      <c r="UNR239" s="140"/>
      <c r="UNS239" s="140"/>
      <c r="UNT239" s="140"/>
      <c r="UNU239" s="140"/>
      <c r="UNV239" s="140"/>
      <c r="UNW239" s="140"/>
      <c r="UNX239" s="140"/>
      <c r="UNY239" s="140"/>
      <c r="UNZ239" s="140"/>
      <c r="UOA239" s="140"/>
      <c r="UOB239" s="140"/>
      <c r="UOC239" s="140"/>
      <c r="UOD239" s="140"/>
      <c r="UOE239" s="140"/>
      <c r="UOF239" s="140"/>
      <c r="UOG239" s="140"/>
      <c r="UOH239" s="140"/>
      <c r="UOI239" s="140"/>
      <c r="UOJ239" s="140"/>
      <c r="UOK239" s="140"/>
      <c r="UOL239" s="140"/>
      <c r="UOM239" s="140"/>
      <c r="UON239" s="140"/>
      <c r="UOO239" s="140"/>
      <c r="UOP239" s="140"/>
      <c r="UOQ239" s="140"/>
      <c r="UOR239" s="140"/>
      <c r="UOS239" s="140"/>
      <c r="UOT239" s="140"/>
      <c r="UOU239" s="140"/>
      <c r="UOV239" s="140"/>
      <c r="UOW239" s="140"/>
      <c r="UOX239" s="140"/>
      <c r="UOY239" s="140"/>
      <c r="UOZ239" s="140"/>
      <c r="UPA239" s="140"/>
      <c r="UPB239" s="140"/>
      <c r="UPC239" s="140"/>
      <c r="UPD239" s="140"/>
      <c r="UPE239" s="140"/>
      <c r="UPF239" s="140"/>
      <c r="UPG239" s="140"/>
      <c r="UPH239" s="140"/>
      <c r="UPI239" s="140"/>
      <c r="UPJ239" s="140"/>
      <c r="UPK239" s="140"/>
      <c r="UPL239" s="140"/>
      <c r="UPM239" s="140"/>
      <c r="UPN239" s="140"/>
      <c r="UPO239" s="140"/>
      <c r="UPP239" s="140"/>
      <c r="UPQ239" s="140"/>
      <c r="UPR239" s="140"/>
      <c r="UPS239" s="140"/>
      <c r="UPT239" s="140"/>
      <c r="UPU239" s="140"/>
      <c r="UPV239" s="140"/>
      <c r="UPW239" s="140"/>
      <c r="UPX239" s="140"/>
      <c r="UPY239" s="140"/>
      <c r="UPZ239" s="140"/>
      <c r="UQA239" s="140"/>
      <c r="UQB239" s="140"/>
      <c r="UQC239" s="140"/>
      <c r="UQD239" s="140"/>
      <c r="UQE239" s="140"/>
      <c r="UQF239" s="140"/>
      <c r="UQG239" s="140"/>
      <c r="UQH239" s="140"/>
      <c r="UQI239" s="140"/>
      <c r="UQJ239" s="140"/>
      <c r="UQK239" s="140"/>
      <c r="UQL239" s="140"/>
      <c r="UQM239" s="140"/>
      <c r="UQN239" s="140"/>
      <c r="UQO239" s="140"/>
      <c r="UQP239" s="140"/>
      <c r="UQQ239" s="140"/>
      <c r="UQR239" s="140"/>
      <c r="UQS239" s="140"/>
      <c r="UQT239" s="140"/>
      <c r="UQU239" s="140"/>
      <c r="UQV239" s="140"/>
      <c r="UQW239" s="140"/>
      <c r="UQX239" s="140"/>
      <c r="UQY239" s="140"/>
      <c r="UQZ239" s="140"/>
      <c r="URA239" s="140"/>
      <c r="URB239" s="140"/>
      <c r="URC239" s="140"/>
      <c r="URD239" s="140"/>
      <c r="URE239" s="140"/>
      <c r="URF239" s="140"/>
      <c r="URG239" s="140"/>
      <c r="URH239" s="140"/>
      <c r="URI239" s="140"/>
      <c r="URJ239" s="140"/>
      <c r="URK239" s="140"/>
      <c r="URL239" s="140"/>
      <c r="URM239" s="140"/>
      <c r="URN239" s="140"/>
      <c r="URO239" s="140"/>
      <c r="URP239" s="140"/>
      <c r="URQ239" s="140"/>
      <c r="URR239" s="140"/>
      <c r="URS239" s="140"/>
      <c r="URT239" s="140"/>
      <c r="URU239" s="140"/>
      <c r="URV239" s="140"/>
      <c r="URW239" s="140"/>
      <c r="URX239" s="140"/>
      <c r="URY239" s="140"/>
      <c r="URZ239" s="140"/>
      <c r="USA239" s="140"/>
      <c r="USB239" s="140"/>
      <c r="USC239" s="140"/>
      <c r="USD239" s="140"/>
      <c r="USE239" s="140"/>
      <c r="USF239" s="140"/>
      <c r="USG239" s="140"/>
      <c r="USH239" s="140"/>
      <c r="USI239" s="140"/>
      <c r="USJ239" s="140"/>
      <c r="USK239" s="140"/>
      <c r="USL239" s="140"/>
      <c r="USM239" s="140"/>
      <c r="USN239" s="140"/>
      <c r="USO239" s="140"/>
      <c r="USP239" s="140"/>
      <c r="USQ239" s="140"/>
      <c r="USR239" s="140"/>
      <c r="USS239" s="140"/>
      <c r="UST239" s="140"/>
      <c r="USU239" s="140"/>
      <c r="USV239" s="140"/>
      <c r="USW239" s="140"/>
      <c r="USX239" s="140"/>
      <c r="USY239" s="140"/>
      <c r="USZ239" s="140"/>
      <c r="UTA239" s="140"/>
      <c r="UTB239" s="140"/>
      <c r="UTC239" s="140"/>
      <c r="UTD239" s="140"/>
      <c r="UTE239" s="140"/>
      <c r="UTF239" s="140"/>
      <c r="UTG239" s="140"/>
      <c r="UTH239" s="140"/>
      <c r="UTI239" s="140"/>
      <c r="UTJ239" s="140"/>
      <c r="UTK239" s="140"/>
      <c r="UTL239" s="140"/>
      <c r="UTM239" s="140"/>
      <c r="UTN239" s="140"/>
      <c r="UTO239" s="140"/>
      <c r="UTP239" s="140"/>
      <c r="UTQ239" s="140"/>
      <c r="UTR239" s="140"/>
      <c r="UTS239" s="140"/>
      <c r="UTT239" s="140"/>
      <c r="UTU239" s="140"/>
      <c r="UTV239" s="140"/>
      <c r="UTW239" s="140"/>
      <c r="UTX239" s="140"/>
      <c r="UTY239" s="140"/>
      <c r="UTZ239" s="140"/>
      <c r="UUA239" s="140"/>
      <c r="UUB239" s="140"/>
      <c r="UUC239" s="140"/>
      <c r="UUD239" s="140"/>
      <c r="UUE239" s="140"/>
      <c r="UUF239" s="140"/>
      <c r="UUG239" s="140"/>
      <c r="UUH239" s="140"/>
      <c r="UUI239" s="140"/>
      <c r="UUJ239" s="140"/>
      <c r="UUK239" s="140"/>
      <c r="UUL239" s="140"/>
      <c r="UUM239" s="140"/>
      <c r="UUN239" s="140"/>
      <c r="UUO239" s="140"/>
      <c r="UUP239" s="140"/>
      <c r="UUQ239" s="140"/>
      <c r="UUR239" s="140"/>
      <c r="UUS239" s="140"/>
      <c r="UUT239" s="140"/>
      <c r="UUU239" s="140"/>
      <c r="UUV239" s="140"/>
      <c r="UUW239" s="140"/>
      <c r="UUX239" s="140"/>
      <c r="UUY239" s="140"/>
      <c r="UUZ239" s="140"/>
      <c r="UVA239" s="140"/>
      <c r="UVB239" s="140"/>
      <c r="UVC239" s="140"/>
      <c r="UVD239" s="140"/>
      <c r="UVE239" s="140"/>
      <c r="UVF239" s="140"/>
      <c r="UVG239" s="140"/>
      <c r="UVH239" s="140"/>
      <c r="UVI239" s="140"/>
      <c r="UVJ239" s="140"/>
      <c r="UVK239" s="140"/>
      <c r="UVL239" s="140"/>
      <c r="UVM239" s="140"/>
      <c r="UVN239" s="140"/>
      <c r="UVO239" s="140"/>
      <c r="UVP239" s="140"/>
      <c r="UVQ239" s="140"/>
      <c r="UVR239" s="140"/>
      <c r="UVS239" s="140"/>
      <c r="UVT239" s="140"/>
      <c r="UVU239" s="140"/>
      <c r="UVV239" s="140"/>
      <c r="UVW239" s="140"/>
      <c r="UVX239" s="140"/>
      <c r="UVY239" s="140"/>
      <c r="UVZ239" s="140"/>
      <c r="UWA239" s="140"/>
      <c r="UWB239" s="140"/>
      <c r="UWC239" s="140"/>
      <c r="UWD239" s="140"/>
      <c r="UWE239" s="140"/>
      <c r="UWF239" s="140"/>
      <c r="UWG239" s="140"/>
      <c r="UWH239" s="140"/>
      <c r="UWI239" s="140"/>
      <c r="UWJ239" s="140"/>
      <c r="UWK239" s="140"/>
      <c r="UWL239" s="140"/>
      <c r="UWM239" s="140"/>
      <c r="UWN239" s="140"/>
      <c r="UWO239" s="140"/>
      <c r="UWP239" s="140"/>
      <c r="UWQ239" s="140"/>
      <c r="UWR239" s="140"/>
      <c r="UWS239" s="140"/>
      <c r="UWT239" s="140"/>
      <c r="UWU239" s="140"/>
      <c r="UWV239" s="140"/>
      <c r="UWW239" s="140"/>
      <c r="UWX239" s="140"/>
      <c r="UWY239" s="140"/>
      <c r="UWZ239" s="140"/>
      <c r="UXA239" s="140"/>
      <c r="UXB239" s="140"/>
      <c r="UXC239" s="140"/>
      <c r="UXD239" s="140"/>
      <c r="UXE239" s="140"/>
      <c r="UXF239" s="140"/>
      <c r="UXG239" s="140"/>
      <c r="UXH239" s="140"/>
      <c r="UXI239" s="140"/>
      <c r="UXJ239" s="140"/>
      <c r="UXK239" s="140"/>
      <c r="UXL239" s="140"/>
      <c r="UXM239" s="140"/>
      <c r="UXN239" s="140"/>
      <c r="UXO239" s="140"/>
      <c r="UXP239" s="140"/>
      <c r="UXQ239" s="140"/>
      <c r="UXR239" s="140"/>
      <c r="UXS239" s="140"/>
      <c r="UXT239" s="140"/>
      <c r="UXU239" s="140"/>
      <c r="UXV239" s="140"/>
      <c r="UXW239" s="140"/>
      <c r="UXX239" s="140"/>
      <c r="UXY239" s="140"/>
      <c r="UXZ239" s="140"/>
      <c r="UYA239" s="140"/>
      <c r="UYB239" s="140"/>
      <c r="UYC239" s="140"/>
      <c r="UYD239" s="140"/>
      <c r="UYE239" s="140"/>
      <c r="UYF239" s="140"/>
      <c r="UYG239" s="140"/>
      <c r="UYH239" s="140"/>
      <c r="UYI239" s="140"/>
      <c r="UYJ239" s="140"/>
      <c r="UYK239" s="140"/>
      <c r="UYL239" s="140"/>
      <c r="UYM239" s="140"/>
      <c r="UYN239" s="140"/>
      <c r="UYO239" s="140"/>
      <c r="UYP239" s="140"/>
      <c r="UYQ239" s="140"/>
      <c r="UYR239" s="140"/>
      <c r="UYS239" s="140"/>
      <c r="UYT239" s="140"/>
      <c r="UYU239" s="140"/>
      <c r="UYV239" s="140"/>
      <c r="UYW239" s="140"/>
      <c r="UYX239" s="140"/>
      <c r="UYY239" s="140"/>
      <c r="UYZ239" s="140"/>
      <c r="UZA239" s="140"/>
      <c r="UZB239" s="140"/>
      <c r="UZC239" s="140"/>
      <c r="UZD239" s="140"/>
      <c r="UZE239" s="140"/>
      <c r="UZF239" s="140"/>
      <c r="UZG239" s="140"/>
      <c r="UZH239" s="140"/>
      <c r="UZI239" s="140"/>
      <c r="UZJ239" s="140"/>
      <c r="UZK239" s="140"/>
      <c r="UZL239" s="140"/>
      <c r="UZM239" s="140"/>
      <c r="UZN239" s="140"/>
      <c r="UZO239" s="140"/>
      <c r="UZP239" s="140"/>
      <c r="UZQ239" s="140"/>
      <c r="UZR239" s="140"/>
      <c r="UZS239" s="140"/>
      <c r="UZT239" s="140"/>
      <c r="UZU239" s="140"/>
      <c r="UZV239" s="140"/>
      <c r="UZW239" s="140"/>
      <c r="UZX239" s="140"/>
      <c r="UZY239" s="140"/>
      <c r="UZZ239" s="140"/>
      <c r="VAA239" s="140"/>
      <c r="VAB239" s="140"/>
      <c r="VAC239" s="140"/>
      <c r="VAD239" s="140"/>
      <c r="VAE239" s="140"/>
      <c r="VAF239" s="140"/>
      <c r="VAG239" s="140"/>
      <c r="VAH239" s="140"/>
      <c r="VAI239" s="140"/>
      <c r="VAJ239" s="140"/>
      <c r="VAK239" s="140"/>
      <c r="VAL239" s="140"/>
      <c r="VAM239" s="140"/>
      <c r="VAN239" s="140"/>
      <c r="VAO239" s="140"/>
      <c r="VAP239" s="140"/>
      <c r="VAQ239" s="140"/>
      <c r="VAR239" s="140"/>
      <c r="VAS239" s="140"/>
      <c r="VAT239" s="140"/>
      <c r="VAU239" s="140"/>
      <c r="VAV239" s="140"/>
      <c r="VAW239" s="140"/>
      <c r="VAX239" s="140"/>
      <c r="VAY239" s="140"/>
      <c r="VAZ239" s="140"/>
      <c r="VBA239" s="140"/>
      <c r="VBB239" s="140"/>
      <c r="VBC239" s="140"/>
      <c r="VBD239" s="140"/>
      <c r="VBE239" s="140"/>
      <c r="VBF239" s="140"/>
      <c r="VBG239" s="140"/>
      <c r="VBH239" s="140"/>
      <c r="VBI239" s="140"/>
      <c r="VBJ239" s="140"/>
      <c r="VBK239" s="140"/>
      <c r="VBL239" s="140"/>
      <c r="VBM239" s="140"/>
      <c r="VBN239" s="140"/>
      <c r="VBO239" s="140"/>
      <c r="VBP239" s="140"/>
      <c r="VBQ239" s="140"/>
      <c r="VBR239" s="140"/>
      <c r="VBS239" s="140"/>
      <c r="VBT239" s="140"/>
      <c r="VBU239" s="140"/>
      <c r="VBV239" s="140"/>
      <c r="VBW239" s="140"/>
      <c r="VBX239" s="140"/>
      <c r="VBY239" s="140"/>
      <c r="VBZ239" s="140"/>
      <c r="VCA239" s="140"/>
      <c r="VCB239" s="140"/>
      <c r="VCC239" s="140"/>
      <c r="VCD239" s="140"/>
      <c r="VCE239" s="140"/>
      <c r="VCF239" s="140"/>
      <c r="VCG239" s="140"/>
      <c r="VCH239" s="140"/>
      <c r="VCI239" s="140"/>
      <c r="VCJ239" s="140"/>
      <c r="VCK239" s="140"/>
      <c r="VCL239" s="140"/>
      <c r="VCM239" s="140"/>
      <c r="VCN239" s="140"/>
      <c r="VCO239" s="140"/>
      <c r="VCP239" s="140"/>
      <c r="VCQ239" s="140"/>
      <c r="VCR239" s="140"/>
      <c r="VCS239" s="140"/>
      <c r="VCT239" s="140"/>
      <c r="VCU239" s="140"/>
      <c r="VCV239" s="140"/>
      <c r="VCW239" s="140"/>
      <c r="VCX239" s="140"/>
      <c r="VCY239" s="140"/>
      <c r="VCZ239" s="140"/>
      <c r="VDA239" s="140"/>
      <c r="VDB239" s="140"/>
      <c r="VDC239" s="140"/>
      <c r="VDD239" s="140"/>
      <c r="VDE239" s="140"/>
      <c r="VDF239" s="140"/>
      <c r="VDG239" s="140"/>
      <c r="VDH239" s="140"/>
      <c r="VDI239" s="140"/>
      <c r="VDJ239" s="140"/>
      <c r="VDK239" s="140"/>
      <c r="VDL239" s="140"/>
      <c r="VDM239" s="140"/>
      <c r="VDN239" s="140"/>
      <c r="VDO239" s="140"/>
      <c r="VDP239" s="140"/>
      <c r="VDQ239" s="140"/>
      <c r="VDR239" s="140"/>
      <c r="VDS239" s="140"/>
      <c r="VDT239" s="140"/>
      <c r="VDU239" s="140"/>
      <c r="VDV239" s="140"/>
      <c r="VDW239" s="140"/>
      <c r="VDX239" s="140"/>
      <c r="VDY239" s="140"/>
      <c r="VDZ239" s="140"/>
      <c r="VEA239" s="140"/>
      <c r="VEB239" s="140"/>
      <c r="VEC239" s="140"/>
      <c r="VED239" s="140"/>
      <c r="VEE239" s="140"/>
      <c r="VEF239" s="140"/>
      <c r="VEG239" s="140"/>
      <c r="VEH239" s="140"/>
      <c r="VEI239" s="140"/>
      <c r="VEJ239" s="140"/>
      <c r="VEK239" s="140"/>
      <c r="VEL239" s="140"/>
      <c r="VEM239" s="140"/>
      <c r="VEN239" s="140"/>
      <c r="VEO239" s="140"/>
      <c r="VEP239" s="140"/>
      <c r="VEQ239" s="140"/>
      <c r="VER239" s="140"/>
      <c r="VES239" s="140"/>
      <c r="VET239" s="140"/>
      <c r="VEU239" s="140"/>
      <c r="VEV239" s="140"/>
      <c r="VEW239" s="140"/>
      <c r="VEX239" s="140"/>
      <c r="VEY239" s="140"/>
      <c r="VEZ239" s="140"/>
      <c r="VFA239" s="140"/>
      <c r="VFB239" s="140"/>
      <c r="VFC239" s="140"/>
      <c r="VFD239" s="140"/>
      <c r="VFE239" s="140"/>
      <c r="VFF239" s="140"/>
      <c r="VFG239" s="140"/>
      <c r="VFH239" s="140"/>
      <c r="VFI239" s="140"/>
      <c r="VFJ239" s="140"/>
      <c r="VFK239" s="140"/>
      <c r="VFL239" s="140"/>
      <c r="VFM239" s="140"/>
      <c r="VFN239" s="140"/>
      <c r="VFO239" s="140"/>
      <c r="VFP239" s="140"/>
      <c r="VFQ239" s="140"/>
      <c r="VFR239" s="140"/>
      <c r="VFS239" s="140"/>
      <c r="VFT239" s="140"/>
      <c r="VFU239" s="140"/>
      <c r="VFV239" s="140"/>
      <c r="VFW239" s="140"/>
      <c r="VFX239" s="140"/>
      <c r="VFY239" s="140"/>
      <c r="VFZ239" s="140"/>
      <c r="VGA239" s="140"/>
      <c r="VGB239" s="140"/>
      <c r="VGC239" s="140"/>
      <c r="VGD239" s="140"/>
      <c r="VGE239" s="140"/>
      <c r="VGF239" s="140"/>
      <c r="VGG239" s="140"/>
      <c r="VGH239" s="140"/>
      <c r="VGI239" s="140"/>
      <c r="VGJ239" s="140"/>
      <c r="VGK239" s="140"/>
      <c r="VGL239" s="140"/>
      <c r="VGM239" s="140"/>
      <c r="VGN239" s="140"/>
      <c r="VGO239" s="140"/>
      <c r="VGP239" s="140"/>
      <c r="VGQ239" s="140"/>
      <c r="VGR239" s="140"/>
      <c r="VGS239" s="140"/>
      <c r="VGT239" s="140"/>
      <c r="VGU239" s="140"/>
      <c r="VGV239" s="140"/>
      <c r="VGW239" s="140"/>
      <c r="VGX239" s="140"/>
      <c r="VGY239" s="140"/>
      <c r="VGZ239" s="140"/>
      <c r="VHA239" s="140"/>
      <c r="VHB239" s="140"/>
      <c r="VHC239" s="140"/>
      <c r="VHD239" s="140"/>
      <c r="VHE239" s="140"/>
      <c r="VHF239" s="140"/>
      <c r="VHG239" s="140"/>
      <c r="VHH239" s="140"/>
      <c r="VHI239" s="140"/>
      <c r="VHJ239" s="140"/>
      <c r="VHK239" s="140"/>
      <c r="VHL239" s="140"/>
      <c r="VHM239" s="140"/>
      <c r="VHN239" s="140"/>
      <c r="VHO239" s="140"/>
      <c r="VHP239" s="140"/>
      <c r="VHQ239" s="140"/>
      <c r="VHR239" s="140"/>
      <c r="VHS239" s="140"/>
      <c r="VHT239" s="140"/>
      <c r="VHU239" s="140"/>
      <c r="VHV239" s="140"/>
      <c r="VHW239" s="140"/>
      <c r="VHX239" s="140"/>
      <c r="VHY239" s="140"/>
      <c r="VHZ239" s="140"/>
      <c r="VIA239" s="140"/>
      <c r="VIB239" s="140"/>
      <c r="VIC239" s="140"/>
      <c r="VID239" s="140"/>
      <c r="VIE239" s="140"/>
      <c r="VIF239" s="140"/>
      <c r="VIG239" s="140"/>
      <c r="VIH239" s="140"/>
      <c r="VII239" s="140"/>
      <c r="VIJ239" s="140"/>
      <c r="VIK239" s="140"/>
      <c r="VIL239" s="140"/>
      <c r="VIM239" s="140"/>
      <c r="VIN239" s="140"/>
      <c r="VIO239" s="140"/>
      <c r="VIP239" s="140"/>
      <c r="VIQ239" s="140"/>
      <c r="VIR239" s="140"/>
      <c r="VIS239" s="140"/>
      <c r="VIT239" s="140"/>
      <c r="VIU239" s="140"/>
      <c r="VIV239" s="140"/>
      <c r="VIW239" s="140"/>
      <c r="VIX239" s="140"/>
      <c r="VIY239" s="140"/>
      <c r="VIZ239" s="140"/>
      <c r="VJA239" s="140"/>
      <c r="VJB239" s="140"/>
      <c r="VJC239" s="140"/>
      <c r="VJD239" s="140"/>
      <c r="VJE239" s="140"/>
      <c r="VJF239" s="140"/>
      <c r="VJG239" s="140"/>
      <c r="VJH239" s="140"/>
      <c r="VJI239" s="140"/>
      <c r="VJJ239" s="140"/>
      <c r="VJK239" s="140"/>
      <c r="VJL239" s="140"/>
      <c r="VJM239" s="140"/>
      <c r="VJN239" s="140"/>
      <c r="VJO239" s="140"/>
      <c r="VJP239" s="140"/>
      <c r="VJQ239" s="140"/>
      <c r="VJR239" s="140"/>
      <c r="VJS239" s="140"/>
      <c r="VJT239" s="140"/>
      <c r="VJU239" s="140"/>
      <c r="VJV239" s="140"/>
      <c r="VJW239" s="140"/>
      <c r="VJX239" s="140"/>
      <c r="VJY239" s="140"/>
      <c r="VJZ239" s="140"/>
      <c r="VKA239" s="140"/>
      <c r="VKB239" s="140"/>
      <c r="VKC239" s="140"/>
      <c r="VKD239" s="140"/>
      <c r="VKE239" s="140"/>
      <c r="VKF239" s="140"/>
      <c r="VKG239" s="140"/>
      <c r="VKH239" s="140"/>
      <c r="VKI239" s="140"/>
      <c r="VKJ239" s="140"/>
      <c r="VKK239" s="140"/>
      <c r="VKL239" s="140"/>
      <c r="VKM239" s="140"/>
      <c r="VKN239" s="140"/>
      <c r="VKO239" s="140"/>
      <c r="VKP239" s="140"/>
      <c r="VKQ239" s="140"/>
      <c r="VKR239" s="140"/>
      <c r="VKS239" s="140"/>
      <c r="VKT239" s="140"/>
      <c r="VKU239" s="140"/>
      <c r="VKV239" s="140"/>
      <c r="VKW239" s="140"/>
      <c r="VKX239" s="140"/>
      <c r="VKY239" s="140"/>
      <c r="VKZ239" s="140"/>
      <c r="VLA239" s="140"/>
      <c r="VLB239" s="140"/>
      <c r="VLC239" s="140"/>
      <c r="VLD239" s="140"/>
      <c r="VLE239" s="140"/>
      <c r="VLF239" s="140"/>
      <c r="VLG239" s="140"/>
      <c r="VLH239" s="140"/>
      <c r="VLI239" s="140"/>
      <c r="VLJ239" s="140"/>
      <c r="VLK239" s="140"/>
      <c r="VLL239" s="140"/>
      <c r="VLM239" s="140"/>
      <c r="VLN239" s="140"/>
      <c r="VLO239" s="140"/>
      <c r="VLP239" s="140"/>
      <c r="VLQ239" s="140"/>
      <c r="VLR239" s="140"/>
      <c r="VLS239" s="140"/>
      <c r="VLT239" s="140"/>
      <c r="VLU239" s="140"/>
      <c r="VLV239" s="140"/>
      <c r="VLW239" s="140"/>
      <c r="VLX239" s="140"/>
      <c r="VLY239" s="140"/>
      <c r="VLZ239" s="140"/>
      <c r="VMA239" s="140"/>
      <c r="VMB239" s="140"/>
      <c r="VMC239" s="140"/>
      <c r="VMD239" s="140"/>
      <c r="VME239" s="140"/>
      <c r="VMF239" s="140"/>
      <c r="VMG239" s="140"/>
      <c r="VMH239" s="140"/>
      <c r="VMI239" s="140"/>
      <c r="VMJ239" s="140"/>
      <c r="VMK239" s="140"/>
      <c r="VML239" s="140"/>
      <c r="VMM239" s="140"/>
      <c r="VMN239" s="140"/>
      <c r="VMO239" s="140"/>
      <c r="VMP239" s="140"/>
      <c r="VMQ239" s="140"/>
      <c r="VMR239" s="140"/>
      <c r="VMS239" s="140"/>
      <c r="VMT239" s="140"/>
      <c r="VMU239" s="140"/>
      <c r="VMV239" s="140"/>
      <c r="VMW239" s="140"/>
      <c r="VMX239" s="140"/>
      <c r="VMY239" s="140"/>
      <c r="VMZ239" s="140"/>
      <c r="VNA239" s="140"/>
      <c r="VNB239" s="140"/>
      <c r="VNC239" s="140"/>
      <c r="VND239" s="140"/>
      <c r="VNE239" s="140"/>
      <c r="VNF239" s="140"/>
      <c r="VNG239" s="140"/>
      <c r="VNH239" s="140"/>
      <c r="VNI239" s="140"/>
      <c r="VNJ239" s="140"/>
      <c r="VNK239" s="140"/>
      <c r="VNL239" s="140"/>
      <c r="VNM239" s="140"/>
      <c r="VNN239" s="140"/>
      <c r="VNO239" s="140"/>
      <c r="VNP239" s="140"/>
      <c r="VNQ239" s="140"/>
      <c r="VNR239" s="140"/>
      <c r="VNS239" s="140"/>
      <c r="VNT239" s="140"/>
      <c r="VNU239" s="140"/>
      <c r="VNV239" s="140"/>
      <c r="VNW239" s="140"/>
      <c r="VNX239" s="140"/>
      <c r="VNY239" s="140"/>
      <c r="VNZ239" s="140"/>
      <c r="VOA239" s="140"/>
      <c r="VOB239" s="140"/>
      <c r="VOC239" s="140"/>
      <c r="VOD239" s="140"/>
      <c r="VOE239" s="140"/>
      <c r="VOF239" s="140"/>
      <c r="VOG239" s="140"/>
      <c r="VOH239" s="140"/>
      <c r="VOI239" s="140"/>
      <c r="VOJ239" s="140"/>
      <c r="VOK239" s="140"/>
      <c r="VOL239" s="140"/>
      <c r="VOM239" s="140"/>
      <c r="VON239" s="140"/>
      <c r="VOO239" s="140"/>
      <c r="VOP239" s="140"/>
      <c r="VOQ239" s="140"/>
      <c r="VOR239" s="140"/>
      <c r="VOS239" s="140"/>
      <c r="VOT239" s="140"/>
      <c r="VOU239" s="140"/>
      <c r="VOV239" s="140"/>
      <c r="VOW239" s="140"/>
      <c r="VOX239" s="140"/>
      <c r="VOY239" s="140"/>
      <c r="VOZ239" s="140"/>
      <c r="VPA239" s="140"/>
      <c r="VPB239" s="140"/>
      <c r="VPC239" s="140"/>
      <c r="VPD239" s="140"/>
      <c r="VPE239" s="140"/>
      <c r="VPF239" s="140"/>
      <c r="VPG239" s="140"/>
      <c r="VPH239" s="140"/>
      <c r="VPI239" s="140"/>
      <c r="VPJ239" s="140"/>
      <c r="VPK239" s="140"/>
      <c r="VPL239" s="140"/>
      <c r="VPM239" s="140"/>
      <c r="VPN239" s="140"/>
      <c r="VPO239" s="140"/>
      <c r="VPP239" s="140"/>
      <c r="VPQ239" s="140"/>
      <c r="VPR239" s="140"/>
      <c r="VPS239" s="140"/>
      <c r="VPT239" s="140"/>
      <c r="VPU239" s="140"/>
      <c r="VPV239" s="140"/>
      <c r="VPW239" s="140"/>
      <c r="VPX239" s="140"/>
      <c r="VPY239" s="140"/>
      <c r="VPZ239" s="140"/>
      <c r="VQA239" s="140"/>
      <c r="VQB239" s="140"/>
      <c r="VQC239" s="140"/>
      <c r="VQD239" s="140"/>
      <c r="VQE239" s="140"/>
      <c r="VQF239" s="140"/>
      <c r="VQG239" s="140"/>
      <c r="VQH239" s="140"/>
      <c r="VQI239" s="140"/>
      <c r="VQJ239" s="140"/>
      <c r="VQK239" s="140"/>
      <c r="VQL239" s="140"/>
      <c r="VQM239" s="140"/>
      <c r="VQN239" s="140"/>
      <c r="VQO239" s="140"/>
      <c r="VQP239" s="140"/>
      <c r="VQQ239" s="140"/>
      <c r="VQR239" s="140"/>
      <c r="VQS239" s="140"/>
      <c r="VQT239" s="140"/>
      <c r="VQU239" s="140"/>
      <c r="VQV239" s="140"/>
      <c r="VQW239" s="140"/>
      <c r="VQX239" s="140"/>
      <c r="VQY239" s="140"/>
      <c r="VQZ239" s="140"/>
      <c r="VRA239" s="140"/>
      <c r="VRB239" s="140"/>
      <c r="VRC239" s="140"/>
      <c r="VRD239" s="140"/>
      <c r="VRE239" s="140"/>
      <c r="VRF239" s="140"/>
      <c r="VRG239" s="140"/>
      <c r="VRH239" s="140"/>
      <c r="VRI239" s="140"/>
      <c r="VRJ239" s="140"/>
      <c r="VRK239" s="140"/>
      <c r="VRL239" s="140"/>
      <c r="VRM239" s="140"/>
      <c r="VRN239" s="140"/>
      <c r="VRO239" s="140"/>
      <c r="VRP239" s="140"/>
      <c r="VRQ239" s="140"/>
      <c r="VRR239" s="140"/>
      <c r="VRS239" s="140"/>
      <c r="VRT239" s="140"/>
      <c r="VRU239" s="140"/>
      <c r="VRV239" s="140"/>
      <c r="VRW239" s="140"/>
      <c r="VRX239" s="140"/>
      <c r="VRY239" s="140"/>
      <c r="VRZ239" s="140"/>
      <c r="VSA239" s="140"/>
      <c r="VSB239" s="140"/>
      <c r="VSC239" s="140"/>
      <c r="VSD239" s="140"/>
      <c r="VSE239" s="140"/>
      <c r="VSF239" s="140"/>
      <c r="VSG239" s="140"/>
      <c r="VSH239" s="140"/>
      <c r="VSI239" s="140"/>
      <c r="VSJ239" s="140"/>
      <c r="VSK239" s="140"/>
      <c r="VSL239" s="140"/>
      <c r="VSM239" s="140"/>
      <c r="VSN239" s="140"/>
      <c r="VSO239" s="140"/>
      <c r="VSP239" s="140"/>
      <c r="VSQ239" s="140"/>
      <c r="VSR239" s="140"/>
      <c r="VSS239" s="140"/>
      <c r="VST239" s="140"/>
      <c r="VSU239" s="140"/>
      <c r="VSV239" s="140"/>
      <c r="VSW239" s="140"/>
      <c r="VSX239" s="140"/>
      <c r="VSY239" s="140"/>
      <c r="VSZ239" s="140"/>
      <c r="VTA239" s="140"/>
      <c r="VTB239" s="140"/>
      <c r="VTC239" s="140"/>
      <c r="VTD239" s="140"/>
      <c r="VTE239" s="140"/>
      <c r="VTF239" s="140"/>
      <c r="VTG239" s="140"/>
      <c r="VTH239" s="140"/>
      <c r="VTI239" s="140"/>
      <c r="VTJ239" s="140"/>
      <c r="VTK239" s="140"/>
      <c r="VTL239" s="140"/>
      <c r="VTM239" s="140"/>
      <c r="VTN239" s="140"/>
      <c r="VTO239" s="140"/>
      <c r="VTP239" s="140"/>
      <c r="VTQ239" s="140"/>
      <c r="VTR239" s="140"/>
      <c r="VTS239" s="140"/>
      <c r="VTT239" s="140"/>
      <c r="VTU239" s="140"/>
      <c r="VTV239" s="140"/>
      <c r="VTW239" s="140"/>
      <c r="VTX239" s="140"/>
      <c r="VTY239" s="140"/>
      <c r="VTZ239" s="140"/>
      <c r="VUA239" s="140"/>
      <c r="VUB239" s="140"/>
      <c r="VUC239" s="140"/>
      <c r="VUD239" s="140"/>
      <c r="VUE239" s="140"/>
      <c r="VUF239" s="140"/>
      <c r="VUG239" s="140"/>
      <c r="VUH239" s="140"/>
      <c r="VUI239" s="140"/>
      <c r="VUJ239" s="140"/>
      <c r="VUK239" s="140"/>
      <c r="VUL239" s="140"/>
      <c r="VUM239" s="140"/>
      <c r="VUN239" s="140"/>
      <c r="VUO239" s="140"/>
      <c r="VUP239" s="140"/>
      <c r="VUQ239" s="140"/>
      <c r="VUR239" s="140"/>
      <c r="VUS239" s="140"/>
      <c r="VUT239" s="140"/>
      <c r="VUU239" s="140"/>
      <c r="VUV239" s="140"/>
      <c r="VUW239" s="140"/>
      <c r="VUX239" s="140"/>
      <c r="VUY239" s="140"/>
      <c r="VUZ239" s="140"/>
      <c r="VVA239" s="140"/>
      <c r="VVB239" s="140"/>
      <c r="VVC239" s="140"/>
      <c r="VVD239" s="140"/>
      <c r="VVE239" s="140"/>
      <c r="VVF239" s="140"/>
      <c r="VVG239" s="140"/>
      <c r="VVH239" s="140"/>
      <c r="VVI239" s="140"/>
      <c r="VVJ239" s="140"/>
      <c r="VVK239" s="140"/>
      <c r="VVL239" s="140"/>
      <c r="VVM239" s="140"/>
      <c r="VVN239" s="140"/>
      <c r="VVO239" s="140"/>
      <c r="VVP239" s="140"/>
      <c r="VVQ239" s="140"/>
      <c r="VVR239" s="140"/>
      <c r="VVS239" s="140"/>
      <c r="VVT239" s="140"/>
      <c r="VVU239" s="140"/>
      <c r="VVV239" s="140"/>
      <c r="VVW239" s="140"/>
      <c r="VVX239" s="140"/>
      <c r="VVY239" s="140"/>
      <c r="VVZ239" s="140"/>
      <c r="VWA239" s="140"/>
      <c r="VWB239" s="140"/>
      <c r="VWC239" s="140"/>
      <c r="VWD239" s="140"/>
      <c r="VWE239" s="140"/>
      <c r="VWF239" s="140"/>
      <c r="VWG239" s="140"/>
      <c r="VWH239" s="140"/>
      <c r="VWI239" s="140"/>
      <c r="VWJ239" s="140"/>
      <c r="VWK239" s="140"/>
      <c r="VWL239" s="140"/>
      <c r="VWM239" s="140"/>
      <c r="VWN239" s="140"/>
      <c r="VWO239" s="140"/>
      <c r="VWP239" s="140"/>
      <c r="VWQ239" s="140"/>
      <c r="VWR239" s="140"/>
      <c r="VWS239" s="140"/>
      <c r="VWT239" s="140"/>
      <c r="VWU239" s="140"/>
      <c r="VWV239" s="140"/>
      <c r="VWW239" s="140"/>
      <c r="VWX239" s="140"/>
      <c r="VWY239" s="140"/>
      <c r="VWZ239" s="140"/>
      <c r="VXA239" s="140"/>
      <c r="VXB239" s="140"/>
      <c r="VXC239" s="140"/>
      <c r="VXD239" s="140"/>
      <c r="VXE239" s="140"/>
      <c r="VXF239" s="140"/>
      <c r="VXG239" s="140"/>
      <c r="VXH239" s="140"/>
      <c r="VXI239" s="140"/>
      <c r="VXJ239" s="140"/>
      <c r="VXK239" s="140"/>
      <c r="VXL239" s="140"/>
      <c r="VXM239" s="140"/>
      <c r="VXN239" s="140"/>
      <c r="VXO239" s="140"/>
      <c r="VXP239" s="140"/>
      <c r="VXQ239" s="140"/>
      <c r="VXR239" s="140"/>
      <c r="VXS239" s="140"/>
      <c r="VXT239" s="140"/>
      <c r="VXU239" s="140"/>
      <c r="VXV239" s="140"/>
      <c r="VXW239" s="140"/>
      <c r="VXX239" s="140"/>
      <c r="VXY239" s="140"/>
      <c r="VXZ239" s="140"/>
      <c r="VYA239" s="140"/>
      <c r="VYB239" s="140"/>
      <c r="VYC239" s="140"/>
      <c r="VYD239" s="140"/>
      <c r="VYE239" s="140"/>
      <c r="VYF239" s="140"/>
      <c r="VYG239" s="140"/>
      <c r="VYH239" s="140"/>
      <c r="VYI239" s="140"/>
      <c r="VYJ239" s="140"/>
      <c r="VYK239" s="140"/>
      <c r="VYL239" s="140"/>
      <c r="VYM239" s="140"/>
      <c r="VYN239" s="140"/>
      <c r="VYO239" s="140"/>
      <c r="VYP239" s="140"/>
      <c r="VYQ239" s="140"/>
      <c r="VYR239" s="140"/>
      <c r="VYS239" s="140"/>
      <c r="VYT239" s="140"/>
      <c r="VYU239" s="140"/>
      <c r="VYV239" s="140"/>
      <c r="VYW239" s="140"/>
      <c r="VYX239" s="140"/>
      <c r="VYY239" s="140"/>
      <c r="VYZ239" s="140"/>
      <c r="VZA239" s="140"/>
      <c r="VZB239" s="140"/>
      <c r="VZC239" s="140"/>
      <c r="VZD239" s="140"/>
      <c r="VZE239" s="140"/>
      <c r="VZF239" s="140"/>
      <c r="VZG239" s="140"/>
      <c r="VZH239" s="140"/>
      <c r="VZI239" s="140"/>
      <c r="VZJ239" s="140"/>
      <c r="VZK239" s="140"/>
      <c r="VZL239" s="140"/>
      <c r="VZM239" s="140"/>
      <c r="VZN239" s="140"/>
      <c r="VZO239" s="140"/>
      <c r="VZP239" s="140"/>
      <c r="VZQ239" s="140"/>
      <c r="VZR239" s="140"/>
      <c r="VZS239" s="140"/>
      <c r="VZT239" s="140"/>
      <c r="VZU239" s="140"/>
      <c r="VZV239" s="140"/>
      <c r="VZW239" s="140"/>
      <c r="VZX239" s="140"/>
      <c r="VZY239" s="140"/>
      <c r="VZZ239" s="140"/>
      <c r="WAA239" s="140"/>
      <c r="WAB239" s="140"/>
      <c r="WAC239" s="140"/>
      <c r="WAD239" s="140"/>
      <c r="WAE239" s="140"/>
      <c r="WAF239" s="140"/>
      <c r="WAG239" s="140"/>
      <c r="WAH239" s="140"/>
      <c r="WAI239" s="140"/>
      <c r="WAJ239" s="140"/>
      <c r="WAK239" s="140"/>
      <c r="WAL239" s="140"/>
      <c r="WAM239" s="140"/>
      <c r="WAN239" s="140"/>
      <c r="WAO239" s="140"/>
      <c r="WAP239" s="140"/>
      <c r="WAQ239" s="140"/>
      <c r="WAR239" s="140"/>
      <c r="WAS239" s="140"/>
      <c r="WAT239" s="140"/>
      <c r="WAU239" s="140"/>
      <c r="WAV239" s="140"/>
      <c r="WAW239" s="140"/>
      <c r="WAX239" s="140"/>
      <c r="WAY239" s="140"/>
      <c r="WAZ239" s="140"/>
      <c r="WBA239" s="140"/>
      <c r="WBB239" s="140"/>
      <c r="WBC239" s="140"/>
      <c r="WBD239" s="140"/>
      <c r="WBE239" s="140"/>
      <c r="WBF239" s="140"/>
      <c r="WBG239" s="140"/>
      <c r="WBH239" s="140"/>
      <c r="WBI239" s="140"/>
      <c r="WBJ239" s="140"/>
      <c r="WBK239" s="140"/>
      <c r="WBL239" s="140"/>
      <c r="WBM239" s="140"/>
      <c r="WBN239" s="140"/>
      <c r="WBO239" s="140"/>
      <c r="WBP239" s="140"/>
      <c r="WBQ239" s="140"/>
      <c r="WBR239" s="140"/>
      <c r="WBS239" s="140"/>
      <c r="WBT239" s="140"/>
      <c r="WBU239" s="140"/>
      <c r="WBV239" s="140"/>
      <c r="WBW239" s="140"/>
      <c r="WBX239" s="140"/>
      <c r="WBY239" s="140"/>
      <c r="WBZ239" s="140"/>
      <c r="WCA239" s="140"/>
      <c r="WCB239" s="140"/>
      <c r="WCC239" s="140"/>
      <c r="WCD239" s="140"/>
      <c r="WCE239" s="140"/>
      <c r="WCF239" s="140"/>
      <c r="WCG239" s="140"/>
      <c r="WCH239" s="140"/>
      <c r="WCI239" s="140"/>
      <c r="WCJ239" s="140"/>
      <c r="WCK239" s="140"/>
      <c r="WCL239" s="140"/>
      <c r="WCM239" s="140"/>
      <c r="WCN239" s="140"/>
      <c r="WCO239" s="140"/>
      <c r="WCP239" s="140"/>
      <c r="WCQ239" s="140"/>
      <c r="WCR239" s="140"/>
      <c r="WCS239" s="140"/>
      <c r="WCT239" s="140"/>
      <c r="WCU239" s="140"/>
      <c r="WCV239" s="140"/>
      <c r="WCW239" s="140"/>
      <c r="WCX239" s="140"/>
      <c r="WCY239" s="140"/>
      <c r="WCZ239" s="140"/>
      <c r="WDA239" s="140"/>
      <c r="WDB239" s="140"/>
      <c r="WDC239" s="140"/>
      <c r="WDD239" s="140"/>
      <c r="WDE239" s="140"/>
      <c r="WDF239" s="140"/>
      <c r="WDG239" s="140"/>
      <c r="WDH239" s="140"/>
      <c r="WDI239" s="140"/>
      <c r="WDJ239" s="140"/>
      <c r="WDK239" s="140"/>
      <c r="WDL239" s="140"/>
      <c r="WDM239" s="140"/>
      <c r="WDN239" s="140"/>
      <c r="WDO239" s="140"/>
      <c r="WDP239" s="140"/>
      <c r="WDQ239" s="140"/>
      <c r="WDR239" s="140"/>
      <c r="WDS239" s="140"/>
      <c r="WDT239" s="140"/>
      <c r="WDU239" s="140"/>
      <c r="WDV239" s="140"/>
      <c r="WDW239" s="140"/>
      <c r="WDX239" s="140"/>
      <c r="WDY239" s="140"/>
      <c r="WDZ239" s="140"/>
      <c r="WEA239" s="140"/>
      <c r="WEB239" s="140"/>
      <c r="WEC239" s="140"/>
      <c r="WED239" s="140"/>
      <c r="WEE239" s="140"/>
      <c r="WEF239" s="140"/>
      <c r="WEG239" s="140"/>
      <c r="WEH239" s="140"/>
      <c r="WEI239" s="140"/>
      <c r="WEJ239" s="140"/>
      <c r="WEK239" s="140"/>
      <c r="WEL239" s="140"/>
      <c r="WEM239" s="140"/>
      <c r="WEN239" s="140"/>
      <c r="WEO239" s="140"/>
      <c r="WEP239" s="140"/>
      <c r="WEQ239" s="140"/>
      <c r="WER239" s="140"/>
      <c r="WES239" s="140"/>
      <c r="WET239" s="140"/>
      <c r="WEU239" s="140"/>
      <c r="WEV239" s="140"/>
      <c r="WEW239" s="140"/>
      <c r="WEX239" s="140"/>
      <c r="WEY239" s="140"/>
      <c r="WEZ239" s="140"/>
      <c r="WFA239" s="140"/>
      <c r="WFB239" s="140"/>
      <c r="WFC239" s="140"/>
      <c r="WFD239" s="140"/>
      <c r="WFE239" s="140"/>
      <c r="WFF239" s="140"/>
      <c r="WFG239" s="140"/>
      <c r="WFH239" s="140"/>
      <c r="WFI239" s="140"/>
      <c r="WFJ239" s="140"/>
      <c r="WFK239" s="140"/>
      <c r="WFL239" s="140"/>
      <c r="WFM239" s="140"/>
      <c r="WFN239" s="140"/>
      <c r="WFO239" s="140"/>
      <c r="WFP239" s="140"/>
      <c r="WFQ239" s="140"/>
      <c r="WFR239" s="140"/>
      <c r="WFS239" s="140"/>
      <c r="WFT239" s="140"/>
      <c r="WFU239" s="140"/>
      <c r="WFV239" s="140"/>
      <c r="WFW239" s="140"/>
      <c r="WFX239" s="140"/>
      <c r="WFY239" s="140"/>
      <c r="WFZ239" s="140"/>
      <c r="WGA239" s="140"/>
      <c r="WGB239" s="140"/>
      <c r="WGC239" s="140"/>
      <c r="WGD239" s="140"/>
      <c r="WGE239" s="140"/>
      <c r="WGF239" s="140"/>
      <c r="WGG239" s="140"/>
      <c r="WGH239" s="140"/>
      <c r="WGI239" s="140"/>
      <c r="WGJ239" s="140"/>
      <c r="WGK239" s="140"/>
      <c r="WGL239" s="140"/>
      <c r="WGM239" s="140"/>
      <c r="WGN239" s="140"/>
      <c r="WGO239" s="140"/>
      <c r="WGP239" s="140"/>
      <c r="WGQ239" s="140"/>
      <c r="WGR239" s="140"/>
      <c r="WGS239" s="140"/>
      <c r="WGT239" s="140"/>
      <c r="WGU239" s="140"/>
      <c r="WGV239" s="140"/>
      <c r="WGW239" s="140"/>
      <c r="WGX239" s="140"/>
      <c r="WGY239" s="140"/>
      <c r="WGZ239" s="140"/>
      <c r="WHA239" s="140"/>
      <c r="WHB239" s="140"/>
      <c r="WHC239" s="140"/>
      <c r="WHD239" s="140"/>
      <c r="WHE239" s="140"/>
      <c r="WHF239" s="140"/>
      <c r="WHG239" s="140"/>
      <c r="WHH239" s="140"/>
      <c r="WHI239" s="140"/>
      <c r="WHJ239" s="140"/>
      <c r="WHK239" s="140"/>
      <c r="WHL239" s="140"/>
      <c r="WHM239" s="140"/>
      <c r="WHN239" s="140"/>
      <c r="WHO239" s="140"/>
      <c r="WHP239" s="140"/>
      <c r="WHQ239" s="140"/>
      <c r="WHR239" s="140"/>
      <c r="WHS239" s="140"/>
      <c r="WHT239" s="140"/>
      <c r="WHU239" s="140"/>
      <c r="WHV239" s="140"/>
      <c r="WHW239" s="140"/>
      <c r="WHX239" s="140"/>
      <c r="WHY239" s="140"/>
      <c r="WHZ239" s="140"/>
      <c r="WIA239" s="140"/>
      <c r="WIB239" s="140"/>
      <c r="WIC239" s="140"/>
      <c r="WID239" s="140"/>
      <c r="WIE239" s="140"/>
      <c r="WIF239" s="140"/>
      <c r="WIG239" s="140"/>
      <c r="WIH239" s="140"/>
      <c r="WII239" s="140"/>
      <c r="WIJ239" s="140"/>
      <c r="WIK239" s="140"/>
      <c r="WIL239" s="140"/>
      <c r="WIM239" s="140"/>
      <c r="WIN239" s="140"/>
      <c r="WIO239" s="140"/>
      <c r="WIP239" s="140"/>
      <c r="WIQ239" s="140"/>
      <c r="WIR239" s="140"/>
      <c r="WIS239" s="140"/>
      <c r="WIT239" s="140"/>
      <c r="WIU239" s="140"/>
      <c r="WIV239" s="140"/>
      <c r="WIW239" s="140"/>
      <c r="WIX239" s="140"/>
      <c r="WIY239" s="140"/>
      <c r="WIZ239" s="140"/>
      <c r="WJA239" s="140"/>
      <c r="WJB239" s="140"/>
      <c r="WJC239" s="140"/>
      <c r="WJD239" s="140"/>
      <c r="WJE239" s="140"/>
      <c r="WJF239" s="140"/>
      <c r="WJG239" s="140"/>
      <c r="WJH239" s="140"/>
      <c r="WJI239" s="140"/>
      <c r="WJJ239" s="140"/>
      <c r="WJK239" s="140"/>
      <c r="WJL239" s="140"/>
      <c r="WJM239" s="140"/>
      <c r="WJN239" s="140"/>
      <c r="WJO239" s="140"/>
      <c r="WJP239" s="140"/>
      <c r="WJQ239" s="140"/>
      <c r="WJR239" s="140"/>
      <c r="WJS239" s="140"/>
      <c r="WJT239" s="140"/>
      <c r="WJU239" s="140"/>
      <c r="WJV239" s="140"/>
      <c r="WJW239" s="140"/>
      <c r="WJX239" s="140"/>
      <c r="WJY239" s="140"/>
      <c r="WJZ239" s="140"/>
      <c r="WKA239" s="140"/>
      <c r="WKB239" s="140"/>
      <c r="WKC239" s="140"/>
      <c r="WKD239" s="140"/>
      <c r="WKE239" s="140"/>
      <c r="WKF239" s="140"/>
      <c r="WKG239" s="140"/>
      <c r="WKH239" s="140"/>
      <c r="WKI239" s="140"/>
      <c r="WKJ239" s="140"/>
      <c r="WKK239" s="140"/>
      <c r="WKL239" s="140"/>
      <c r="WKM239" s="140"/>
      <c r="WKN239" s="140"/>
      <c r="WKO239" s="140"/>
      <c r="WKP239" s="140"/>
      <c r="WKQ239" s="140"/>
      <c r="WKR239" s="140"/>
      <c r="WKS239" s="140"/>
      <c r="WKT239" s="140"/>
      <c r="WKU239" s="140"/>
      <c r="WKV239" s="140"/>
      <c r="WKW239" s="140"/>
      <c r="WKX239" s="140"/>
      <c r="WKY239" s="140"/>
      <c r="WKZ239" s="140"/>
      <c r="WLA239" s="140"/>
      <c r="WLB239" s="140"/>
      <c r="WLC239" s="140"/>
      <c r="WLD239" s="140"/>
      <c r="WLE239" s="140"/>
      <c r="WLF239" s="140"/>
      <c r="WLG239" s="140"/>
      <c r="WLH239" s="140"/>
      <c r="WLI239" s="140"/>
      <c r="WLJ239" s="140"/>
      <c r="WLK239" s="140"/>
      <c r="WLL239" s="140"/>
      <c r="WLM239" s="140"/>
      <c r="WLN239" s="140"/>
      <c r="WLO239" s="140"/>
      <c r="WLP239" s="140"/>
      <c r="WLQ239" s="140"/>
      <c r="WLR239" s="140"/>
      <c r="WLS239" s="140"/>
      <c r="WLT239" s="140"/>
      <c r="WLU239" s="140"/>
      <c r="WLV239" s="140"/>
      <c r="WLW239" s="140"/>
      <c r="WLX239" s="140"/>
      <c r="WLY239" s="140"/>
      <c r="WLZ239" s="140"/>
      <c r="WMA239" s="140"/>
      <c r="WMB239" s="140"/>
      <c r="WMC239" s="140"/>
      <c r="WMD239" s="140"/>
      <c r="WME239" s="140"/>
      <c r="WMF239" s="140"/>
      <c r="WMG239" s="140"/>
      <c r="WMH239" s="140"/>
      <c r="WMI239" s="140"/>
      <c r="WMJ239" s="140"/>
      <c r="WMK239" s="140"/>
      <c r="WML239" s="140"/>
      <c r="WMM239" s="140"/>
      <c r="WMN239" s="140"/>
      <c r="WMO239" s="140"/>
      <c r="WMP239" s="140"/>
      <c r="WMQ239" s="140"/>
      <c r="WMR239" s="140"/>
      <c r="WMS239" s="140"/>
      <c r="WMT239" s="140"/>
      <c r="WMU239" s="140"/>
      <c r="WMV239" s="140"/>
      <c r="WMW239" s="140"/>
      <c r="WMX239" s="140"/>
      <c r="WMY239" s="140"/>
      <c r="WMZ239" s="140"/>
      <c r="WNA239" s="140"/>
      <c r="WNB239" s="140"/>
      <c r="WNC239" s="140"/>
      <c r="WND239" s="140"/>
      <c r="WNE239" s="140"/>
      <c r="WNF239" s="140"/>
      <c r="WNG239" s="140"/>
      <c r="WNH239" s="140"/>
      <c r="WNI239" s="140"/>
      <c r="WNJ239" s="140"/>
      <c r="WNK239" s="140"/>
      <c r="WNL239" s="140"/>
      <c r="WNM239" s="140"/>
      <c r="WNN239" s="140"/>
      <c r="WNO239" s="140"/>
      <c r="WNP239" s="140"/>
      <c r="WNQ239" s="140"/>
      <c r="WNR239" s="140"/>
      <c r="WNS239" s="140"/>
      <c r="WNT239" s="140"/>
      <c r="WNU239" s="140"/>
      <c r="WNV239" s="140"/>
      <c r="WNW239" s="140"/>
      <c r="WNX239" s="140"/>
      <c r="WNY239" s="140"/>
      <c r="WNZ239" s="140"/>
      <c r="WOA239" s="140"/>
      <c r="WOB239" s="140"/>
      <c r="WOC239" s="140"/>
      <c r="WOD239" s="140"/>
      <c r="WOE239" s="140"/>
      <c r="WOF239" s="140"/>
      <c r="WOG239" s="140"/>
      <c r="WOH239" s="140"/>
      <c r="WOI239" s="140"/>
      <c r="WOJ239" s="140"/>
      <c r="WOK239" s="140"/>
      <c r="WOL239" s="140"/>
      <c r="WOM239" s="140"/>
      <c r="WON239" s="140"/>
      <c r="WOO239" s="140"/>
      <c r="WOP239" s="140"/>
      <c r="WOQ239" s="140"/>
      <c r="WOR239" s="140"/>
      <c r="WOS239" s="140"/>
      <c r="WOT239" s="140"/>
      <c r="WOU239" s="140"/>
      <c r="WOV239" s="140"/>
      <c r="WOW239" s="140"/>
      <c r="WOX239" s="140"/>
      <c r="WOY239" s="140"/>
      <c r="WOZ239" s="140"/>
      <c r="WPA239" s="140"/>
      <c r="WPB239" s="140"/>
      <c r="WPC239" s="140"/>
      <c r="WPD239" s="140"/>
      <c r="WPE239" s="140"/>
      <c r="WPF239" s="140"/>
      <c r="WPG239" s="140"/>
      <c r="WPH239" s="140"/>
      <c r="WPI239" s="140"/>
      <c r="WPJ239" s="140"/>
      <c r="WPK239" s="140"/>
      <c r="WPL239" s="140"/>
      <c r="WPM239" s="140"/>
      <c r="WPN239" s="140"/>
      <c r="WPO239" s="140"/>
      <c r="WPP239" s="140"/>
      <c r="WPQ239" s="140"/>
      <c r="WPR239" s="140"/>
      <c r="WPS239" s="140"/>
      <c r="WPT239" s="140"/>
      <c r="WPU239" s="140"/>
      <c r="WPV239" s="140"/>
      <c r="WPW239" s="140"/>
      <c r="WPX239" s="140"/>
      <c r="WPY239" s="140"/>
      <c r="WPZ239" s="140"/>
      <c r="WQA239" s="140"/>
      <c r="WQB239" s="140"/>
      <c r="WQC239" s="140"/>
      <c r="WQD239" s="140"/>
      <c r="WQE239" s="140"/>
      <c r="WQF239" s="140"/>
      <c r="WQG239" s="140"/>
      <c r="WQH239" s="140"/>
      <c r="WQI239" s="140"/>
      <c r="WQJ239" s="140"/>
      <c r="WQK239" s="140"/>
      <c r="WQL239" s="140"/>
      <c r="WQM239" s="140"/>
      <c r="WQN239" s="140"/>
      <c r="WQO239" s="140"/>
      <c r="WQP239" s="140"/>
      <c r="WQQ239" s="140"/>
      <c r="WQR239" s="140"/>
      <c r="WQS239" s="140"/>
      <c r="WQT239" s="140"/>
      <c r="WQU239" s="140"/>
      <c r="WQV239" s="140"/>
      <c r="WQW239" s="140"/>
      <c r="WQX239" s="140"/>
      <c r="WQY239" s="140"/>
      <c r="WQZ239" s="140"/>
      <c r="WRA239" s="140"/>
      <c r="WRB239" s="140"/>
      <c r="WRC239" s="140"/>
      <c r="WRD239" s="140"/>
      <c r="WRE239" s="140"/>
      <c r="WRF239" s="140"/>
      <c r="WRG239" s="140"/>
      <c r="WRH239" s="140"/>
      <c r="WRI239" s="140"/>
      <c r="WRJ239" s="140"/>
      <c r="WRK239" s="140"/>
      <c r="WRL239" s="140"/>
      <c r="WRM239" s="140"/>
      <c r="WRN239" s="140"/>
      <c r="WRO239" s="140"/>
      <c r="WRP239" s="140"/>
      <c r="WRQ239" s="140"/>
      <c r="WRR239" s="140"/>
      <c r="WRS239" s="140"/>
      <c r="WRT239" s="140"/>
      <c r="WRU239" s="140"/>
      <c r="WRV239" s="140"/>
      <c r="WRW239" s="140"/>
      <c r="WRX239" s="140"/>
      <c r="WRY239" s="140"/>
      <c r="WRZ239" s="140"/>
      <c r="WSA239" s="140"/>
      <c r="WSB239" s="140"/>
      <c r="WSC239" s="140"/>
      <c r="WSD239" s="140"/>
      <c r="WSE239" s="140"/>
      <c r="WSF239" s="140"/>
      <c r="WSG239" s="140"/>
      <c r="WSH239" s="140"/>
      <c r="WSI239" s="140"/>
      <c r="WSJ239" s="140"/>
      <c r="WSK239" s="140"/>
      <c r="WSL239" s="140"/>
      <c r="WSM239" s="140"/>
      <c r="WSN239" s="140"/>
      <c r="WSO239" s="140"/>
      <c r="WSP239" s="140"/>
      <c r="WSQ239" s="140"/>
      <c r="WSR239" s="140"/>
      <c r="WSS239" s="140"/>
      <c r="WST239" s="140"/>
      <c r="WSU239" s="140"/>
      <c r="WSV239" s="140"/>
      <c r="WSW239" s="140"/>
      <c r="WSX239" s="140"/>
      <c r="WSY239" s="140"/>
      <c r="WSZ239" s="140"/>
      <c r="WTA239" s="140"/>
      <c r="WTB239" s="140"/>
      <c r="WTC239" s="140"/>
      <c r="WTD239" s="140"/>
      <c r="WTE239" s="140"/>
      <c r="WTF239" s="140"/>
      <c r="WTG239" s="140"/>
      <c r="WTH239" s="140"/>
      <c r="WTI239" s="140"/>
      <c r="WTJ239" s="140"/>
      <c r="WTK239" s="140"/>
      <c r="WTL239" s="140"/>
      <c r="WTM239" s="140"/>
      <c r="WTN239" s="140"/>
      <c r="WTO239" s="140"/>
      <c r="WTP239" s="140"/>
      <c r="WTQ239" s="140"/>
      <c r="WTR239" s="140"/>
      <c r="WTS239" s="140"/>
      <c r="WTT239" s="140"/>
      <c r="WTU239" s="140"/>
      <c r="WTV239" s="140"/>
      <c r="WTW239" s="140"/>
      <c r="WTX239" s="140"/>
      <c r="WTY239" s="140"/>
      <c r="WTZ239" s="140"/>
      <c r="WUA239" s="140"/>
      <c r="WUB239" s="140"/>
      <c r="WUC239" s="140"/>
      <c r="WUD239" s="140"/>
      <c r="WUE239" s="140"/>
      <c r="WUF239" s="140"/>
      <c r="WUG239" s="140"/>
      <c r="WUH239" s="140"/>
      <c r="WUI239" s="140"/>
      <c r="WUJ239" s="140"/>
      <c r="WUK239" s="140"/>
      <c r="WUL239" s="140"/>
      <c r="WUM239" s="140"/>
      <c r="WUN239" s="140"/>
      <c r="WUO239" s="140"/>
      <c r="WUP239" s="140"/>
      <c r="WUQ239" s="140"/>
      <c r="WUR239" s="140"/>
      <c r="WUS239" s="140"/>
      <c r="WUT239" s="140"/>
      <c r="WUU239" s="140"/>
      <c r="WUV239" s="140"/>
      <c r="WUW239" s="140"/>
      <c r="WUX239" s="140"/>
      <c r="WUY239" s="140"/>
      <c r="WUZ239" s="140"/>
      <c r="WVA239" s="140"/>
      <c r="WVB239" s="140"/>
      <c r="WVC239" s="140"/>
      <c r="WVD239" s="140"/>
      <c r="WVE239" s="140"/>
      <c r="WVF239" s="140"/>
      <c r="WVG239" s="140"/>
      <c r="WVH239" s="140"/>
      <c r="WVI239" s="140"/>
      <c r="WVJ239" s="140"/>
      <c r="WVK239" s="140"/>
      <c r="WVL239" s="140"/>
      <c r="WVM239" s="140"/>
      <c r="WVN239" s="140"/>
      <c r="WVO239" s="140"/>
      <c r="WVP239" s="140"/>
      <c r="WVQ239" s="140"/>
      <c r="WVR239" s="140"/>
      <c r="WVS239" s="140"/>
      <c r="WVT239" s="140"/>
      <c r="WVU239" s="140"/>
      <c r="WVV239" s="140"/>
      <c r="WVW239" s="140"/>
      <c r="WVX239" s="140"/>
      <c r="WVY239" s="140"/>
      <c r="WVZ239" s="140"/>
      <c r="WWA239" s="140"/>
      <c r="WWB239" s="140"/>
      <c r="WWC239" s="140"/>
      <c r="WWD239" s="140"/>
      <c r="WWE239" s="140"/>
      <c r="WWF239" s="140"/>
      <c r="WWG239" s="140"/>
      <c r="WWH239" s="140"/>
      <c r="WWI239" s="140"/>
      <c r="WWJ239" s="140"/>
      <c r="WWK239" s="140"/>
      <c r="WWL239" s="140"/>
      <c r="WWM239" s="140"/>
      <c r="WWN239" s="140"/>
      <c r="WWO239" s="140"/>
      <c r="WWP239" s="140"/>
      <c r="WWQ239" s="140"/>
      <c r="WWR239" s="140"/>
      <c r="WWS239" s="140"/>
      <c r="WWT239" s="140"/>
      <c r="WWU239" s="140"/>
      <c r="WWV239" s="140"/>
      <c r="WWW239" s="140"/>
      <c r="WWX239" s="140"/>
      <c r="WWY239" s="140"/>
      <c r="WWZ239" s="140"/>
      <c r="WXA239" s="140"/>
      <c r="WXB239" s="140"/>
      <c r="WXC239" s="140"/>
      <c r="WXD239" s="140"/>
      <c r="WXE239" s="140"/>
      <c r="WXF239" s="140"/>
      <c r="WXG239" s="140"/>
      <c r="WXH239" s="140"/>
      <c r="WXI239" s="140"/>
      <c r="WXJ239" s="140"/>
      <c r="WXK239" s="140"/>
      <c r="WXL239" s="140"/>
      <c r="WXM239" s="140"/>
      <c r="WXN239" s="140"/>
      <c r="WXO239" s="140"/>
      <c r="WXP239" s="140"/>
      <c r="WXQ239" s="140"/>
      <c r="WXR239" s="140"/>
      <c r="WXS239" s="140"/>
      <c r="WXT239" s="140"/>
      <c r="WXU239" s="140"/>
      <c r="WXV239" s="140"/>
      <c r="WXW239" s="140"/>
      <c r="WXX239" s="140"/>
      <c r="WXY239" s="140"/>
      <c r="WXZ239" s="140"/>
      <c r="WYA239" s="140"/>
      <c r="WYB239" s="140"/>
      <c r="WYC239" s="140"/>
      <c r="WYD239" s="140"/>
      <c r="WYE239" s="140"/>
      <c r="WYF239" s="140"/>
      <c r="WYG239" s="140"/>
      <c r="WYH239" s="140"/>
      <c r="WYI239" s="140"/>
      <c r="WYJ239" s="140"/>
      <c r="WYK239" s="140"/>
      <c r="WYL239" s="140"/>
      <c r="WYM239" s="140"/>
      <c r="WYN239" s="140"/>
      <c r="WYO239" s="140"/>
      <c r="WYP239" s="140"/>
      <c r="WYQ239" s="140"/>
      <c r="WYR239" s="140"/>
      <c r="WYS239" s="140"/>
      <c r="WYT239" s="140"/>
      <c r="WYU239" s="140"/>
      <c r="WYV239" s="140"/>
      <c r="WYW239" s="140"/>
      <c r="WYX239" s="140"/>
      <c r="WYY239" s="140"/>
      <c r="WYZ239" s="140"/>
      <c r="WZA239" s="140"/>
      <c r="WZB239" s="140"/>
      <c r="WZC239" s="140"/>
      <c r="WZD239" s="140"/>
      <c r="WZE239" s="140"/>
      <c r="WZF239" s="140"/>
      <c r="WZG239" s="140"/>
      <c r="WZH239" s="140"/>
      <c r="WZI239" s="140"/>
      <c r="WZJ239" s="140"/>
      <c r="WZK239" s="140"/>
      <c r="WZL239" s="140"/>
      <c r="WZM239" s="140"/>
      <c r="WZN239" s="140"/>
      <c r="WZO239" s="140"/>
      <c r="WZP239" s="140"/>
      <c r="WZQ239" s="140"/>
      <c r="WZR239" s="140"/>
      <c r="WZS239" s="140"/>
      <c r="WZT239" s="140"/>
      <c r="WZU239" s="140"/>
      <c r="WZV239" s="140"/>
      <c r="WZW239" s="140"/>
      <c r="WZX239" s="140"/>
      <c r="WZY239" s="140"/>
      <c r="WZZ239" s="140"/>
      <c r="XAA239" s="140"/>
      <c r="XAB239" s="140"/>
      <c r="XAC239" s="140"/>
      <c r="XAD239" s="140"/>
      <c r="XAE239" s="140"/>
      <c r="XAF239" s="140"/>
      <c r="XAG239" s="140"/>
      <c r="XAH239" s="140"/>
      <c r="XAI239" s="140"/>
      <c r="XAJ239" s="140"/>
      <c r="XAK239" s="140"/>
      <c r="XAL239" s="140"/>
      <c r="XAM239" s="140"/>
      <c r="XAN239" s="140"/>
      <c r="XAO239" s="140"/>
      <c r="XAP239" s="140"/>
      <c r="XAQ239" s="140"/>
      <c r="XAR239" s="140"/>
      <c r="XAS239" s="140"/>
      <c r="XAT239" s="140"/>
      <c r="XAU239" s="140"/>
      <c r="XAV239" s="140"/>
      <c r="XAW239" s="140"/>
      <c r="XAX239" s="140"/>
      <c r="XAY239" s="140"/>
      <c r="XAZ239" s="140"/>
    </row>
    <row r="240" spans="2:16276" s="22" customFormat="1" x14ac:dyDescent="0.3">
      <c r="B240" s="1535"/>
      <c r="C240" s="1536"/>
      <c r="D240" s="1536"/>
      <c r="E240" s="1536"/>
      <c r="F240" s="1536"/>
      <c r="G240" s="1536"/>
      <c r="H240" s="1536"/>
      <c r="I240" s="1536"/>
      <c r="J240" s="1536"/>
      <c r="K240" s="1536"/>
      <c r="L240" s="1536"/>
      <c r="M240" s="1536"/>
      <c r="N240" s="1536"/>
      <c r="O240" s="1536"/>
      <c r="P240" s="1536"/>
      <c r="Q240" s="1536"/>
      <c r="R240" s="1536"/>
      <c r="S240" s="1536"/>
      <c r="T240" s="1536"/>
      <c r="U240" s="1536"/>
      <c r="V240" s="1537"/>
      <c r="W240" s="1537"/>
      <c r="X240" s="1537"/>
      <c r="Y240" s="1537"/>
      <c r="AA240" s="140"/>
      <c r="AB240" s="140"/>
      <c r="AC240" s="140"/>
      <c r="AD240" s="140"/>
      <c r="AE240" s="140"/>
      <c r="AF240" s="140"/>
      <c r="AG240" s="140"/>
      <c r="AH240" s="140"/>
      <c r="AI240" s="140"/>
      <c r="AJ240" s="140"/>
      <c r="AK240" s="140"/>
      <c r="AL240" s="140"/>
      <c r="AM240" s="140"/>
      <c r="AN240" s="140"/>
      <c r="AO240" s="140"/>
      <c r="AP240" s="140"/>
      <c r="AQ240" s="140"/>
      <c r="AR240" s="140"/>
      <c r="AS240" s="140"/>
      <c r="AT240" s="140"/>
      <c r="AU240" s="140"/>
      <c r="AV240" s="140"/>
      <c r="AW240" s="140"/>
      <c r="AX240" s="140"/>
      <c r="AY240" s="140"/>
      <c r="AZ240" s="140"/>
      <c r="BA240" s="140"/>
      <c r="BB240" s="140"/>
      <c r="BC240" s="140"/>
      <c r="BD240" s="140"/>
      <c r="BE240" s="140"/>
      <c r="BF240" s="140"/>
      <c r="BG240" s="140"/>
      <c r="BH240" s="140"/>
      <c r="BI240" s="140"/>
      <c r="BJ240" s="140"/>
      <c r="BK240" s="140"/>
      <c r="BL240" s="140"/>
      <c r="BM240" s="140"/>
      <c r="BN240" s="140"/>
      <c r="BO240" s="140"/>
      <c r="BP240" s="140"/>
      <c r="BQ240" s="140"/>
      <c r="BR240" s="140"/>
      <c r="BS240" s="140"/>
      <c r="BT240" s="140"/>
      <c r="BU240" s="140"/>
      <c r="BV240" s="140"/>
      <c r="BW240" s="140"/>
      <c r="BX240" s="140"/>
      <c r="BY240" s="140"/>
      <c r="BZ240" s="140"/>
      <c r="CA240" s="140"/>
      <c r="CB240" s="140"/>
      <c r="CC240" s="140"/>
      <c r="CD240" s="140"/>
      <c r="CE240" s="140"/>
      <c r="CF240" s="140"/>
      <c r="CG240" s="140"/>
      <c r="CH240" s="140"/>
      <c r="CI240" s="140"/>
      <c r="CJ240" s="140"/>
      <c r="CK240" s="140"/>
      <c r="CL240" s="140"/>
      <c r="CM240" s="140"/>
      <c r="CN240" s="140"/>
      <c r="CO240" s="140"/>
      <c r="CP240" s="140"/>
      <c r="CQ240" s="140"/>
      <c r="CR240" s="140"/>
      <c r="CS240" s="140"/>
      <c r="CT240" s="140"/>
      <c r="CU240" s="140"/>
      <c r="CV240" s="140"/>
      <c r="CW240" s="140"/>
      <c r="CX240" s="140"/>
      <c r="CY240" s="140"/>
      <c r="CZ240" s="140"/>
      <c r="DA240" s="140"/>
      <c r="DB240" s="140"/>
      <c r="DC240" s="140"/>
      <c r="DD240" s="140"/>
      <c r="DE240" s="140"/>
      <c r="DF240" s="140"/>
      <c r="DG240" s="140"/>
      <c r="DH240" s="140"/>
      <c r="DI240" s="140"/>
      <c r="DJ240" s="140"/>
      <c r="DK240" s="140"/>
      <c r="DL240" s="140"/>
      <c r="DM240" s="140"/>
      <c r="DN240" s="140"/>
      <c r="DO240" s="140"/>
      <c r="DP240" s="140"/>
      <c r="DQ240" s="140"/>
      <c r="DR240" s="140"/>
      <c r="DS240" s="140"/>
      <c r="DT240" s="140"/>
      <c r="DU240" s="140"/>
      <c r="DV240" s="140"/>
      <c r="DW240" s="140"/>
      <c r="DX240" s="140"/>
      <c r="DY240" s="140"/>
      <c r="DZ240" s="140"/>
      <c r="EA240" s="140"/>
      <c r="EB240" s="140"/>
      <c r="EC240" s="140"/>
      <c r="ED240" s="140"/>
      <c r="EE240" s="140"/>
      <c r="EF240" s="140"/>
      <c r="EG240" s="140"/>
      <c r="EH240" s="140"/>
      <c r="EI240" s="140"/>
      <c r="EJ240" s="140"/>
      <c r="EK240" s="140"/>
      <c r="EL240" s="140"/>
      <c r="EM240" s="140"/>
      <c r="EN240" s="140"/>
      <c r="EO240" s="140"/>
      <c r="EP240" s="140"/>
      <c r="EQ240" s="140"/>
      <c r="ER240" s="140"/>
      <c r="ES240" s="140"/>
      <c r="ET240" s="140"/>
      <c r="EU240" s="140"/>
      <c r="EV240" s="140"/>
      <c r="EW240" s="140"/>
      <c r="EX240" s="140"/>
      <c r="EY240" s="140"/>
      <c r="EZ240" s="140"/>
      <c r="FA240" s="140"/>
      <c r="FB240" s="140"/>
      <c r="FC240" s="140"/>
      <c r="FD240" s="140"/>
      <c r="FE240" s="140"/>
      <c r="FF240" s="140"/>
      <c r="FG240" s="140"/>
      <c r="FH240" s="140"/>
      <c r="FI240" s="140"/>
      <c r="FJ240" s="140"/>
      <c r="FK240" s="140"/>
      <c r="FL240" s="140"/>
      <c r="FM240" s="140"/>
      <c r="FN240" s="140"/>
      <c r="FO240" s="140"/>
      <c r="FP240" s="140"/>
      <c r="FQ240" s="140"/>
      <c r="FR240" s="140"/>
      <c r="FS240" s="140"/>
      <c r="FT240" s="140"/>
      <c r="FU240" s="140"/>
      <c r="FV240" s="140"/>
      <c r="FW240" s="140"/>
      <c r="FX240" s="140"/>
      <c r="FY240" s="140"/>
      <c r="FZ240" s="140"/>
      <c r="GA240" s="140"/>
      <c r="GB240" s="140"/>
      <c r="GC240" s="140"/>
      <c r="GD240" s="140"/>
      <c r="GE240" s="140"/>
      <c r="GF240" s="140"/>
      <c r="GG240" s="140"/>
      <c r="GH240" s="140"/>
      <c r="GI240" s="140"/>
      <c r="GJ240" s="140"/>
      <c r="GK240" s="140"/>
      <c r="GL240" s="140"/>
      <c r="GM240" s="140"/>
      <c r="GN240" s="140"/>
      <c r="GO240" s="140"/>
      <c r="GP240" s="140"/>
      <c r="GQ240" s="140"/>
      <c r="GR240" s="140"/>
      <c r="GS240" s="140"/>
      <c r="GT240" s="140"/>
      <c r="GU240" s="140"/>
      <c r="GV240" s="140"/>
      <c r="GW240" s="140"/>
      <c r="GX240" s="140"/>
      <c r="GY240" s="140"/>
      <c r="GZ240" s="140"/>
      <c r="HA240" s="140"/>
      <c r="HB240" s="140"/>
      <c r="HC240" s="140"/>
      <c r="HD240" s="140"/>
      <c r="HE240" s="140"/>
      <c r="HF240" s="140"/>
      <c r="HG240" s="140"/>
      <c r="HH240" s="140"/>
      <c r="HI240" s="140"/>
      <c r="HJ240" s="140"/>
      <c r="HK240" s="140"/>
      <c r="HL240" s="140"/>
      <c r="HM240" s="140"/>
      <c r="HN240" s="140"/>
      <c r="HO240" s="140"/>
      <c r="HP240" s="140"/>
      <c r="HQ240" s="140"/>
      <c r="HR240" s="140"/>
      <c r="HS240" s="140"/>
      <c r="HT240" s="140"/>
      <c r="HU240" s="140"/>
      <c r="HV240" s="140"/>
      <c r="HW240" s="140"/>
      <c r="HX240" s="140"/>
      <c r="HY240" s="140"/>
      <c r="HZ240" s="140"/>
      <c r="IA240" s="140"/>
      <c r="IB240" s="140"/>
      <c r="IC240" s="140"/>
      <c r="ID240" s="140"/>
      <c r="IE240" s="140"/>
      <c r="IF240" s="140"/>
      <c r="IG240" s="140"/>
      <c r="IH240" s="140"/>
      <c r="II240" s="140"/>
      <c r="IJ240" s="140"/>
      <c r="IK240" s="140"/>
      <c r="IL240" s="140"/>
      <c r="IM240" s="140"/>
      <c r="IN240" s="140"/>
      <c r="IO240" s="140"/>
      <c r="IP240" s="140"/>
      <c r="IQ240" s="140"/>
      <c r="IR240" s="140"/>
      <c r="IS240" s="140"/>
      <c r="IT240" s="140"/>
      <c r="IU240" s="140"/>
      <c r="IV240" s="140"/>
      <c r="IW240" s="140"/>
      <c r="IX240" s="140"/>
      <c r="IY240" s="140"/>
      <c r="IZ240" s="140"/>
      <c r="JA240" s="140"/>
      <c r="JB240" s="140"/>
      <c r="JC240" s="140"/>
      <c r="JD240" s="140"/>
      <c r="JE240" s="140"/>
      <c r="JF240" s="140"/>
      <c r="JG240" s="140"/>
      <c r="JH240" s="140"/>
      <c r="JI240" s="140"/>
      <c r="JJ240" s="140"/>
      <c r="JK240" s="140"/>
      <c r="JL240" s="140"/>
      <c r="JM240" s="140"/>
      <c r="JN240" s="140"/>
      <c r="JO240" s="140"/>
      <c r="JP240" s="140"/>
      <c r="JQ240" s="140"/>
      <c r="JR240" s="140"/>
      <c r="JS240" s="140"/>
      <c r="JT240" s="140"/>
      <c r="JU240" s="140"/>
      <c r="JV240" s="140"/>
      <c r="JW240" s="140"/>
      <c r="JX240" s="140"/>
      <c r="JY240" s="140"/>
      <c r="JZ240" s="140"/>
      <c r="KA240" s="140"/>
      <c r="KB240" s="140"/>
      <c r="KC240" s="140"/>
      <c r="KD240" s="140"/>
      <c r="KE240" s="140"/>
      <c r="KF240" s="140"/>
      <c r="KG240" s="140"/>
      <c r="KH240" s="140"/>
      <c r="KI240" s="140"/>
      <c r="KJ240" s="140"/>
      <c r="KK240" s="140"/>
      <c r="KL240" s="140"/>
      <c r="KM240" s="140"/>
      <c r="KN240" s="140"/>
      <c r="KO240" s="140"/>
      <c r="KP240" s="140"/>
      <c r="KQ240" s="140"/>
      <c r="KR240" s="140"/>
      <c r="KS240" s="140"/>
      <c r="KT240" s="140"/>
      <c r="KU240" s="140"/>
      <c r="KV240" s="140"/>
      <c r="KW240" s="140"/>
      <c r="KX240" s="140"/>
      <c r="KY240" s="140"/>
      <c r="KZ240" s="140"/>
      <c r="LA240" s="140"/>
      <c r="LB240" s="140"/>
      <c r="LC240" s="140"/>
      <c r="LD240" s="140"/>
      <c r="LE240" s="140"/>
      <c r="LF240" s="140"/>
      <c r="LG240" s="140"/>
      <c r="LH240" s="140"/>
      <c r="LI240" s="140"/>
      <c r="LJ240" s="140"/>
      <c r="LK240" s="140"/>
      <c r="LL240" s="140"/>
      <c r="LM240" s="140"/>
      <c r="LN240" s="140"/>
      <c r="LO240" s="140"/>
      <c r="LP240" s="140"/>
      <c r="LQ240" s="140"/>
      <c r="LR240" s="140"/>
      <c r="LS240" s="140"/>
      <c r="LT240" s="140"/>
      <c r="LU240" s="140"/>
      <c r="LV240" s="140"/>
      <c r="LW240" s="140"/>
      <c r="LX240" s="140"/>
      <c r="LY240" s="140"/>
      <c r="LZ240" s="140"/>
      <c r="MA240" s="140"/>
      <c r="MB240" s="140"/>
      <c r="MC240" s="140"/>
      <c r="MD240" s="140"/>
      <c r="ME240" s="140"/>
      <c r="MF240" s="140"/>
      <c r="MG240" s="140"/>
      <c r="MH240" s="140"/>
      <c r="MI240" s="140"/>
      <c r="MJ240" s="140"/>
      <c r="MK240" s="140"/>
      <c r="ML240" s="140"/>
      <c r="MM240" s="140"/>
      <c r="MN240" s="140"/>
      <c r="MO240" s="140"/>
      <c r="MP240" s="140"/>
      <c r="MQ240" s="140"/>
      <c r="MR240" s="140"/>
      <c r="MS240" s="140"/>
      <c r="MT240" s="140"/>
      <c r="MU240" s="140"/>
      <c r="MV240" s="140"/>
      <c r="MW240" s="140"/>
      <c r="MX240" s="140"/>
      <c r="MY240" s="140"/>
      <c r="MZ240" s="140"/>
      <c r="NA240" s="140"/>
      <c r="NB240" s="140"/>
      <c r="NC240" s="140"/>
      <c r="ND240" s="140"/>
      <c r="NE240" s="140"/>
      <c r="NF240" s="140"/>
      <c r="NG240" s="140"/>
      <c r="NH240" s="140"/>
      <c r="NI240" s="140"/>
      <c r="NJ240" s="140"/>
      <c r="NK240" s="140"/>
      <c r="NL240" s="140"/>
      <c r="NM240" s="140"/>
      <c r="NN240" s="140"/>
      <c r="NO240" s="140"/>
      <c r="NP240" s="140"/>
      <c r="NQ240" s="140"/>
      <c r="NR240" s="140"/>
      <c r="NS240" s="140"/>
      <c r="NT240" s="140"/>
      <c r="NU240" s="140"/>
      <c r="NV240" s="140"/>
      <c r="NW240" s="140"/>
      <c r="NX240" s="140"/>
      <c r="NY240" s="140"/>
      <c r="NZ240" s="140"/>
      <c r="OA240" s="140"/>
      <c r="OB240" s="140"/>
      <c r="OC240" s="140"/>
      <c r="OD240" s="140"/>
      <c r="OE240" s="140"/>
      <c r="OF240" s="140"/>
      <c r="OG240" s="140"/>
      <c r="OH240" s="140"/>
      <c r="OI240" s="140"/>
      <c r="OJ240" s="140"/>
      <c r="OK240" s="140"/>
      <c r="OL240" s="140"/>
      <c r="OM240" s="140"/>
      <c r="ON240" s="140"/>
      <c r="OO240" s="140"/>
      <c r="OP240" s="140"/>
      <c r="OQ240" s="140"/>
      <c r="OR240" s="140"/>
      <c r="OS240" s="140"/>
      <c r="OT240" s="140"/>
      <c r="OU240" s="140"/>
      <c r="OV240" s="140"/>
      <c r="OW240" s="140"/>
      <c r="OX240" s="140"/>
      <c r="OY240" s="140"/>
      <c r="OZ240" s="140"/>
      <c r="PA240" s="140"/>
      <c r="PB240" s="140"/>
      <c r="PC240" s="140"/>
      <c r="PD240" s="140"/>
      <c r="PE240" s="140"/>
      <c r="PF240" s="140"/>
      <c r="PG240" s="140"/>
      <c r="PH240" s="140"/>
      <c r="PI240" s="140"/>
      <c r="PJ240" s="140"/>
      <c r="PK240" s="140"/>
      <c r="PL240" s="140"/>
      <c r="PM240" s="140"/>
      <c r="PN240" s="140"/>
      <c r="PO240" s="140"/>
      <c r="PP240" s="140"/>
      <c r="PQ240" s="140"/>
      <c r="PR240" s="140"/>
      <c r="PS240" s="140"/>
      <c r="PT240" s="140"/>
      <c r="PU240" s="140"/>
      <c r="PV240" s="140"/>
      <c r="PW240" s="140"/>
      <c r="PX240" s="140"/>
      <c r="PY240" s="140"/>
      <c r="PZ240" s="140"/>
      <c r="QA240" s="140"/>
      <c r="QB240" s="140"/>
      <c r="QC240" s="140"/>
      <c r="QD240" s="140"/>
      <c r="QE240" s="140"/>
      <c r="QF240" s="140"/>
      <c r="QG240" s="140"/>
      <c r="QH240" s="140"/>
      <c r="QI240" s="140"/>
      <c r="QJ240" s="140"/>
      <c r="QK240" s="140"/>
      <c r="QL240" s="140"/>
      <c r="QM240" s="140"/>
      <c r="QN240" s="140"/>
      <c r="QO240" s="140"/>
      <c r="QP240" s="140"/>
      <c r="QQ240" s="140"/>
      <c r="QR240" s="140"/>
      <c r="QS240" s="140"/>
      <c r="QT240" s="140"/>
      <c r="QU240" s="140"/>
      <c r="QV240" s="140"/>
      <c r="QW240" s="140"/>
      <c r="QX240" s="140"/>
      <c r="QY240" s="140"/>
      <c r="QZ240" s="140"/>
      <c r="RA240" s="140"/>
      <c r="RB240" s="140"/>
      <c r="RC240" s="140"/>
      <c r="RD240" s="140"/>
      <c r="RE240" s="140"/>
      <c r="RF240" s="140"/>
      <c r="RG240" s="140"/>
      <c r="RH240" s="140"/>
      <c r="RI240" s="140"/>
      <c r="RJ240" s="140"/>
      <c r="RK240" s="140"/>
      <c r="RL240" s="140"/>
      <c r="RM240" s="140"/>
      <c r="RN240" s="140"/>
      <c r="RO240" s="140"/>
      <c r="RP240" s="140"/>
      <c r="RQ240" s="140"/>
      <c r="RR240" s="140"/>
      <c r="RS240" s="140"/>
      <c r="RT240" s="140"/>
      <c r="RU240" s="140"/>
      <c r="RV240" s="140"/>
      <c r="RW240" s="140"/>
      <c r="RX240" s="140"/>
      <c r="RY240" s="140"/>
      <c r="RZ240" s="140"/>
      <c r="SA240" s="140"/>
      <c r="SB240" s="140"/>
      <c r="SC240" s="140"/>
      <c r="SD240" s="140"/>
      <c r="SE240" s="140"/>
      <c r="SF240" s="140"/>
      <c r="SG240" s="140"/>
      <c r="SH240" s="140"/>
      <c r="SI240" s="140"/>
      <c r="SJ240" s="140"/>
      <c r="SK240" s="140"/>
      <c r="SL240" s="140"/>
      <c r="SM240" s="140"/>
      <c r="SN240" s="140"/>
      <c r="SO240" s="140"/>
      <c r="SP240" s="140"/>
      <c r="SQ240" s="140"/>
      <c r="SR240" s="140"/>
      <c r="SS240" s="140"/>
      <c r="ST240" s="140"/>
      <c r="SU240" s="140"/>
      <c r="SV240" s="140"/>
      <c r="SW240" s="140"/>
      <c r="SX240" s="140"/>
      <c r="SY240" s="140"/>
      <c r="SZ240" s="140"/>
      <c r="TA240" s="140"/>
      <c r="TB240" s="140"/>
      <c r="TC240" s="140"/>
      <c r="TD240" s="140"/>
      <c r="TE240" s="140"/>
      <c r="TF240" s="140"/>
      <c r="TG240" s="140"/>
      <c r="TH240" s="140"/>
      <c r="TI240" s="140"/>
      <c r="TJ240" s="140"/>
      <c r="TK240" s="140"/>
      <c r="TL240" s="140"/>
      <c r="TM240" s="140"/>
      <c r="TN240" s="140"/>
      <c r="TO240" s="140"/>
      <c r="TP240" s="140"/>
      <c r="TQ240" s="140"/>
      <c r="TR240" s="140"/>
      <c r="TS240" s="140"/>
      <c r="TT240" s="140"/>
      <c r="TU240" s="140"/>
      <c r="TV240" s="140"/>
      <c r="TW240" s="140"/>
      <c r="TX240" s="140"/>
      <c r="TY240" s="140"/>
      <c r="TZ240" s="140"/>
      <c r="UA240" s="140"/>
      <c r="UB240" s="140"/>
      <c r="UC240" s="140"/>
      <c r="UD240" s="140"/>
      <c r="UE240" s="140"/>
      <c r="UF240" s="140"/>
      <c r="UG240" s="140"/>
      <c r="UH240" s="140"/>
      <c r="UI240" s="140"/>
      <c r="UJ240" s="140"/>
      <c r="UK240" s="140"/>
      <c r="UL240" s="140"/>
      <c r="UM240" s="140"/>
      <c r="UN240" s="140"/>
      <c r="UO240" s="140"/>
      <c r="UP240" s="140"/>
      <c r="UQ240" s="140"/>
      <c r="UR240" s="140"/>
      <c r="US240" s="140"/>
      <c r="UT240" s="140"/>
      <c r="UU240" s="140"/>
      <c r="UV240" s="140"/>
      <c r="UW240" s="140"/>
      <c r="UX240" s="140"/>
      <c r="UY240" s="140"/>
      <c r="UZ240" s="140"/>
      <c r="VA240" s="140"/>
      <c r="VB240" s="140"/>
      <c r="VC240" s="140"/>
      <c r="VD240" s="140"/>
      <c r="VE240" s="140"/>
      <c r="VF240" s="140"/>
      <c r="VG240" s="140"/>
      <c r="VH240" s="140"/>
      <c r="VI240" s="140"/>
      <c r="VJ240" s="140"/>
      <c r="VK240" s="140"/>
      <c r="VL240" s="140"/>
      <c r="VM240" s="140"/>
      <c r="VN240" s="140"/>
      <c r="VO240" s="140"/>
      <c r="VP240" s="140"/>
      <c r="VQ240" s="140"/>
      <c r="VR240" s="140"/>
      <c r="VS240" s="140"/>
      <c r="VT240" s="140"/>
      <c r="VU240" s="140"/>
      <c r="VV240" s="140"/>
      <c r="VW240" s="140"/>
      <c r="VX240" s="140"/>
      <c r="VY240" s="140"/>
      <c r="VZ240" s="140"/>
      <c r="WA240" s="140"/>
      <c r="WB240" s="140"/>
      <c r="WC240" s="140"/>
      <c r="WD240" s="140"/>
      <c r="WE240" s="140"/>
      <c r="WF240" s="140"/>
      <c r="WG240" s="140"/>
      <c r="WH240" s="140"/>
      <c r="WI240" s="140"/>
      <c r="WJ240" s="140"/>
      <c r="WK240" s="140"/>
      <c r="WL240" s="140"/>
      <c r="WM240" s="140"/>
      <c r="WN240" s="140"/>
      <c r="WO240" s="140"/>
      <c r="WP240" s="140"/>
      <c r="WQ240" s="140"/>
      <c r="WR240" s="140"/>
      <c r="WS240" s="140"/>
      <c r="WT240" s="140"/>
      <c r="WU240" s="140"/>
      <c r="WV240" s="140"/>
      <c r="WW240" s="140"/>
      <c r="WX240" s="140"/>
      <c r="WY240" s="140"/>
      <c r="WZ240" s="140"/>
      <c r="XA240" s="140"/>
      <c r="XB240" s="140"/>
      <c r="XC240" s="140"/>
      <c r="XD240" s="140"/>
      <c r="XE240" s="140"/>
      <c r="XF240" s="140"/>
      <c r="XG240" s="140"/>
      <c r="XH240" s="140"/>
      <c r="XI240" s="140"/>
      <c r="XJ240" s="140"/>
      <c r="XK240" s="140"/>
      <c r="XL240" s="140"/>
      <c r="XM240" s="140"/>
      <c r="XN240" s="140"/>
      <c r="XO240" s="140"/>
      <c r="XP240" s="140"/>
      <c r="XQ240" s="140"/>
      <c r="XR240" s="140"/>
      <c r="XS240" s="140"/>
      <c r="XT240" s="140"/>
      <c r="XU240" s="140"/>
      <c r="XV240" s="140"/>
      <c r="XW240" s="140"/>
      <c r="XX240" s="140"/>
      <c r="XY240" s="140"/>
      <c r="XZ240" s="140"/>
      <c r="YA240" s="140"/>
      <c r="YB240" s="140"/>
      <c r="YC240" s="140"/>
      <c r="YD240" s="140"/>
      <c r="YE240" s="140"/>
      <c r="YF240" s="140"/>
      <c r="YG240" s="140"/>
      <c r="YH240" s="140"/>
      <c r="YI240" s="140"/>
      <c r="YJ240" s="140"/>
      <c r="YK240" s="140"/>
      <c r="YL240" s="140"/>
      <c r="YM240" s="140"/>
      <c r="YN240" s="140"/>
      <c r="YO240" s="140"/>
      <c r="YP240" s="140"/>
      <c r="YQ240" s="140"/>
      <c r="YR240" s="140"/>
      <c r="YS240" s="140"/>
      <c r="YT240" s="140"/>
      <c r="YU240" s="140"/>
      <c r="YV240" s="140"/>
      <c r="YW240" s="140"/>
      <c r="YX240" s="140"/>
      <c r="YY240" s="140"/>
      <c r="YZ240" s="140"/>
      <c r="ZA240" s="140"/>
      <c r="ZB240" s="140"/>
      <c r="ZC240" s="140"/>
      <c r="ZD240" s="140"/>
      <c r="ZE240" s="140"/>
      <c r="ZF240" s="140"/>
      <c r="ZG240" s="140"/>
      <c r="ZH240" s="140"/>
      <c r="ZI240" s="140"/>
      <c r="ZJ240" s="140"/>
      <c r="ZK240" s="140"/>
      <c r="ZL240" s="140"/>
      <c r="ZM240" s="140"/>
      <c r="ZN240" s="140"/>
      <c r="ZO240" s="140"/>
      <c r="ZP240" s="140"/>
      <c r="ZQ240" s="140"/>
      <c r="ZR240" s="140"/>
      <c r="ZS240" s="140"/>
      <c r="ZT240" s="140"/>
      <c r="ZU240" s="140"/>
      <c r="ZV240" s="140"/>
      <c r="ZW240" s="140"/>
      <c r="ZX240" s="140"/>
      <c r="ZY240" s="140"/>
      <c r="ZZ240" s="140"/>
      <c r="AAA240" s="140"/>
      <c r="AAB240" s="140"/>
      <c r="AAC240" s="140"/>
      <c r="AAD240" s="140"/>
      <c r="AAE240" s="140"/>
      <c r="AAF240" s="140"/>
      <c r="AAG240" s="140"/>
      <c r="AAH240" s="140"/>
      <c r="AAI240" s="140"/>
      <c r="AAJ240" s="140"/>
      <c r="AAK240" s="140"/>
      <c r="AAL240" s="140"/>
      <c r="AAM240" s="140"/>
      <c r="AAN240" s="140"/>
      <c r="AAO240" s="140"/>
      <c r="AAP240" s="140"/>
      <c r="AAQ240" s="140"/>
      <c r="AAR240" s="140"/>
      <c r="AAS240" s="140"/>
      <c r="AAT240" s="140"/>
      <c r="AAU240" s="140"/>
      <c r="AAV240" s="140"/>
      <c r="AAW240" s="140"/>
      <c r="AAX240" s="140"/>
      <c r="AAY240" s="140"/>
      <c r="AAZ240" s="140"/>
      <c r="ABA240" s="140"/>
      <c r="ABB240" s="140"/>
      <c r="ABC240" s="140"/>
      <c r="ABD240" s="140"/>
      <c r="ABE240" s="140"/>
      <c r="ABF240" s="140"/>
      <c r="ABG240" s="140"/>
      <c r="ABH240" s="140"/>
      <c r="ABI240" s="140"/>
      <c r="ABJ240" s="140"/>
      <c r="ABK240" s="140"/>
      <c r="ABL240" s="140"/>
      <c r="ABM240" s="140"/>
      <c r="ABN240" s="140"/>
      <c r="ABO240" s="140"/>
      <c r="ABP240" s="140"/>
      <c r="ABQ240" s="140"/>
      <c r="ABR240" s="140"/>
      <c r="ABS240" s="140"/>
      <c r="ABT240" s="140"/>
      <c r="ABU240" s="140"/>
      <c r="ABV240" s="140"/>
      <c r="ABW240" s="140"/>
      <c r="ABX240" s="140"/>
      <c r="ABY240" s="140"/>
      <c r="ABZ240" s="140"/>
      <c r="ACA240" s="140"/>
      <c r="ACB240" s="140"/>
      <c r="ACC240" s="140"/>
      <c r="ACD240" s="140"/>
      <c r="ACE240" s="140"/>
      <c r="ACF240" s="140"/>
      <c r="ACG240" s="140"/>
      <c r="ACH240" s="140"/>
      <c r="ACI240" s="140"/>
      <c r="ACJ240" s="140"/>
      <c r="ACK240" s="140"/>
      <c r="ACL240" s="140"/>
      <c r="ACM240" s="140"/>
      <c r="ACN240" s="140"/>
      <c r="ACO240" s="140"/>
      <c r="ACP240" s="140"/>
      <c r="ACQ240" s="140"/>
      <c r="ACR240" s="140"/>
      <c r="ACS240" s="140"/>
      <c r="ACT240" s="140"/>
      <c r="ACU240" s="140"/>
      <c r="ACV240" s="140"/>
      <c r="ACW240" s="140"/>
      <c r="ACX240" s="140"/>
      <c r="ACY240" s="140"/>
      <c r="ACZ240" s="140"/>
      <c r="ADA240" s="140"/>
      <c r="ADB240" s="140"/>
      <c r="ADC240" s="140"/>
      <c r="ADD240" s="140"/>
      <c r="ADE240" s="140"/>
      <c r="ADF240" s="140"/>
      <c r="ADG240" s="140"/>
      <c r="ADH240" s="140"/>
      <c r="ADI240" s="140"/>
      <c r="ADJ240" s="140"/>
      <c r="ADK240" s="140"/>
      <c r="ADL240" s="140"/>
      <c r="ADM240" s="140"/>
      <c r="ADN240" s="140"/>
      <c r="ADO240" s="140"/>
      <c r="ADP240" s="140"/>
      <c r="ADQ240" s="140"/>
      <c r="ADR240" s="140"/>
      <c r="ADS240" s="140"/>
      <c r="ADT240" s="140"/>
      <c r="ADU240" s="140"/>
      <c r="ADV240" s="140"/>
      <c r="ADW240" s="140"/>
      <c r="ADX240" s="140"/>
      <c r="ADY240" s="140"/>
      <c r="ADZ240" s="140"/>
      <c r="AEA240" s="140"/>
      <c r="AEB240" s="140"/>
      <c r="AEC240" s="140"/>
      <c r="AED240" s="140"/>
      <c r="AEE240" s="140"/>
      <c r="AEF240" s="140"/>
      <c r="AEG240" s="140"/>
      <c r="AEH240" s="140"/>
      <c r="AEI240" s="140"/>
      <c r="AEJ240" s="140"/>
      <c r="AEK240" s="140"/>
      <c r="AEL240" s="140"/>
      <c r="AEM240" s="140"/>
      <c r="AEN240" s="140"/>
      <c r="AEO240" s="140"/>
      <c r="AEP240" s="140"/>
      <c r="AEQ240" s="140"/>
      <c r="AER240" s="140"/>
      <c r="AES240" s="140"/>
      <c r="AET240" s="140"/>
      <c r="AEU240" s="140"/>
      <c r="AEV240" s="140"/>
      <c r="AEW240" s="140"/>
      <c r="AEX240" s="140"/>
      <c r="AEY240" s="140"/>
      <c r="AEZ240" s="140"/>
      <c r="AFA240" s="140"/>
      <c r="AFB240" s="140"/>
      <c r="AFC240" s="140"/>
      <c r="AFD240" s="140"/>
      <c r="AFE240" s="140"/>
      <c r="AFF240" s="140"/>
      <c r="AFG240" s="140"/>
      <c r="AFH240" s="140"/>
      <c r="AFI240" s="140"/>
      <c r="AFJ240" s="140"/>
      <c r="AFK240" s="140"/>
      <c r="AFL240" s="140"/>
      <c r="AFM240" s="140"/>
      <c r="AFN240" s="140"/>
      <c r="AFO240" s="140"/>
      <c r="AFP240" s="140"/>
      <c r="AFQ240" s="140"/>
      <c r="AFR240" s="140"/>
      <c r="AFS240" s="140"/>
      <c r="AFT240" s="140"/>
      <c r="AFU240" s="140"/>
      <c r="AFV240" s="140"/>
      <c r="AFW240" s="140"/>
      <c r="AFX240" s="140"/>
      <c r="AFY240" s="140"/>
      <c r="AFZ240" s="140"/>
      <c r="AGA240" s="140"/>
      <c r="AGB240" s="140"/>
      <c r="AGC240" s="140"/>
      <c r="AGD240" s="140"/>
      <c r="AGE240" s="140"/>
      <c r="AGF240" s="140"/>
      <c r="AGG240" s="140"/>
      <c r="AGH240" s="140"/>
      <c r="AGI240" s="140"/>
      <c r="AGJ240" s="140"/>
      <c r="AGK240" s="140"/>
      <c r="AGL240" s="140"/>
      <c r="AGM240" s="140"/>
      <c r="AGN240" s="140"/>
      <c r="AGO240" s="140"/>
      <c r="AGP240" s="140"/>
      <c r="AGQ240" s="140"/>
      <c r="AGR240" s="140"/>
      <c r="AGS240" s="140"/>
      <c r="AGT240" s="140"/>
      <c r="AGU240" s="140"/>
      <c r="AGV240" s="140"/>
      <c r="AGW240" s="140"/>
      <c r="AGX240" s="140"/>
      <c r="AGY240" s="140"/>
      <c r="AGZ240" s="140"/>
      <c r="AHA240" s="140"/>
      <c r="AHB240" s="140"/>
      <c r="AHC240" s="140"/>
      <c r="AHD240" s="140"/>
      <c r="AHE240" s="140"/>
      <c r="AHF240" s="140"/>
      <c r="AHG240" s="140"/>
      <c r="AHH240" s="140"/>
      <c r="AHI240" s="140"/>
      <c r="AHJ240" s="140"/>
      <c r="AHK240" s="140"/>
      <c r="AHL240" s="140"/>
      <c r="AHM240" s="140"/>
      <c r="AHN240" s="140"/>
      <c r="AHO240" s="140"/>
      <c r="AHP240" s="140"/>
      <c r="AHQ240" s="140"/>
      <c r="AHR240" s="140"/>
      <c r="AHS240" s="140"/>
      <c r="AHT240" s="140"/>
      <c r="AHU240" s="140"/>
      <c r="AHV240" s="140"/>
      <c r="AHW240" s="140"/>
      <c r="AHX240" s="140"/>
      <c r="AHY240" s="140"/>
      <c r="AHZ240" s="140"/>
      <c r="AIA240" s="140"/>
      <c r="AIB240" s="140"/>
      <c r="AIC240" s="140"/>
      <c r="AID240" s="140"/>
      <c r="AIE240" s="140"/>
      <c r="AIF240" s="140"/>
      <c r="AIG240" s="140"/>
      <c r="AIH240" s="140"/>
      <c r="AII240" s="140"/>
      <c r="AIJ240" s="140"/>
      <c r="AIK240" s="140"/>
      <c r="AIL240" s="140"/>
      <c r="AIM240" s="140"/>
      <c r="AIN240" s="140"/>
      <c r="AIO240" s="140"/>
      <c r="AIP240" s="140"/>
      <c r="AIQ240" s="140"/>
      <c r="AIR240" s="140"/>
      <c r="AIS240" s="140"/>
      <c r="AIT240" s="140"/>
      <c r="AIU240" s="140"/>
      <c r="AIV240" s="140"/>
      <c r="AIW240" s="140"/>
      <c r="AIX240" s="140"/>
      <c r="AIY240" s="140"/>
      <c r="AIZ240" s="140"/>
      <c r="AJA240" s="140"/>
      <c r="AJB240" s="140"/>
      <c r="AJC240" s="140"/>
      <c r="AJD240" s="140"/>
      <c r="AJE240" s="140"/>
      <c r="AJF240" s="140"/>
      <c r="AJG240" s="140"/>
      <c r="AJH240" s="140"/>
      <c r="AJI240" s="140"/>
      <c r="AJJ240" s="140"/>
      <c r="AJK240" s="140"/>
      <c r="AJL240" s="140"/>
      <c r="AJM240" s="140"/>
      <c r="AJN240" s="140"/>
      <c r="AJO240" s="140"/>
      <c r="AJP240" s="140"/>
      <c r="AJQ240" s="140"/>
      <c r="AJR240" s="140"/>
      <c r="AJS240" s="140"/>
      <c r="AJT240" s="140"/>
      <c r="AJU240" s="140"/>
      <c r="AJV240" s="140"/>
      <c r="AJW240" s="140"/>
      <c r="AJX240" s="140"/>
      <c r="AJY240" s="140"/>
      <c r="AJZ240" s="140"/>
      <c r="AKA240" s="140"/>
      <c r="AKB240" s="140"/>
      <c r="AKC240" s="140"/>
      <c r="AKD240" s="140"/>
      <c r="AKE240" s="140"/>
      <c r="AKF240" s="140"/>
      <c r="AKG240" s="140"/>
      <c r="AKH240" s="140"/>
      <c r="AKI240" s="140"/>
      <c r="AKJ240" s="140"/>
      <c r="AKK240" s="140"/>
      <c r="AKL240" s="140"/>
      <c r="AKM240" s="140"/>
      <c r="AKN240" s="140"/>
      <c r="AKO240" s="140"/>
      <c r="AKP240" s="140"/>
      <c r="AKQ240" s="140"/>
      <c r="AKR240" s="140"/>
      <c r="AKS240" s="140"/>
      <c r="AKT240" s="140"/>
      <c r="AKU240" s="140"/>
      <c r="AKV240" s="140"/>
      <c r="AKW240" s="140"/>
      <c r="AKX240" s="140"/>
      <c r="AKY240" s="140"/>
      <c r="AKZ240" s="140"/>
      <c r="ALA240" s="140"/>
      <c r="ALB240" s="140"/>
      <c r="ALC240" s="140"/>
      <c r="ALD240" s="140"/>
      <c r="ALE240" s="140"/>
      <c r="ALF240" s="140"/>
      <c r="ALG240" s="140"/>
      <c r="ALH240" s="140"/>
      <c r="ALI240" s="140"/>
      <c r="ALJ240" s="140"/>
      <c r="ALK240" s="140"/>
      <c r="ALL240" s="140"/>
      <c r="ALM240" s="140"/>
      <c r="ALN240" s="140"/>
      <c r="ALO240" s="140"/>
      <c r="ALP240" s="140"/>
      <c r="ALQ240" s="140"/>
      <c r="ALR240" s="140"/>
      <c r="ALS240" s="140"/>
      <c r="ALT240" s="140"/>
      <c r="ALU240" s="140"/>
      <c r="ALV240" s="140"/>
      <c r="ALW240" s="140"/>
      <c r="ALX240" s="140"/>
      <c r="ALY240" s="140"/>
      <c r="ALZ240" s="140"/>
      <c r="AMA240" s="140"/>
      <c r="AMB240" s="140"/>
      <c r="AMC240" s="140"/>
      <c r="AMD240" s="140"/>
      <c r="AME240" s="140"/>
      <c r="AMF240" s="140"/>
      <c r="AMG240" s="140"/>
      <c r="AMH240" s="140"/>
      <c r="AMI240" s="140"/>
      <c r="AMJ240" s="140"/>
      <c r="AMK240" s="140"/>
      <c r="AML240" s="140"/>
      <c r="AMM240" s="140"/>
      <c r="AMN240" s="140"/>
      <c r="AMO240" s="140"/>
      <c r="AMP240" s="140"/>
      <c r="AMQ240" s="140"/>
      <c r="AMR240" s="140"/>
      <c r="AMS240" s="140"/>
      <c r="AMT240" s="140"/>
      <c r="AMU240" s="140"/>
      <c r="AMV240" s="140"/>
      <c r="AMW240" s="140"/>
      <c r="AMX240" s="140"/>
      <c r="AMY240" s="140"/>
      <c r="AMZ240" s="140"/>
      <c r="ANA240" s="140"/>
      <c r="ANB240" s="140"/>
      <c r="ANC240" s="140"/>
      <c r="AND240" s="140"/>
      <c r="ANE240" s="140"/>
      <c r="ANF240" s="140"/>
      <c r="ANG240" s="140"/>
      <c r="ANH240" s="140"/>
      <c r="ANI240" s="140"/>
      <c r="ANJ240" s="140"/>
      <c r="ANK240" s="140"/>
      <c r="ANL240" s="140"/>
      <c r="ANM240" s="140"/>
      <c r="ANN240" s="140"/>
      <c r="ANO240" s="140"/>
      <c r="ANP240" s="140"/>
      <c r="ANQ240" s="140"/>
      <c r="ANR240" s="140"/>
      <c r="ANS240" s="140"/>
      <c r="ANT240" s="140"/>
      <c r="ANU240" s="140"/>
      <c r="ANV240" s="140"/>
      <c r="ANW240" s="140"/>
      <c r="ANX240" s="140"/>
      <c r="ANY240" s="140"/>
      <c r="ANZ240" s="140"/>
      <c r="AOA240" s="140"/>
      <c r="AOB240" s="140"/>
      <c r="AOC240" s="140"/>
      <c r="AOD240" s="140"/>
      <c r="AOE240" s="140"/>
      <c r="AOF240" s="140"/>
      <c r="AOG240" s="140"/>
      <c r="AOH240" s="140"/>
      <c r="AOI240" s="140"/>
      <c r="AOJ240" s="140"/>
      <c r="AOK240" s="140"/>
      <c r="AOL240" s="140"/>
      <c r="AOM240" s="140"/>
      <c r="AON240" s="140"/>
      <c r="AOO240" s="140"/>
      <c r="AOP240" s="140"/>
      <c r="AOQ240" s="140"/>
      <c r="AOR240" s="140"/>
      <c r="AOS240" s="140"/>
      <c r="AOT240" s="140"/>
      <c r="AOU240" s="140"/>
      <c r="AOV240" s="140"/>
      <c r="AOW240" s="140"/>
      <c r="AOX240" s="140"/>
      <c r="AOY240" s="140"/>
      <c r="AOZ240" s="140"/>
      <c r="APA240" s="140"/>
      <c r="APB240" s="140"/>
      <c r="APC240" s="140"/>
      <c r="APD240" s="140"/>
      <c r="APE240" s="140"/>
      <c r="APF240" s="140"/>
      <c r="APG240" s="140"/>
      <c r="APH240" s="140"/>
      <c r="API240" s="140"/>
      <c r="APJ240" s="140"/>
      <c r="APK240" s="140"/>
      <c r="APL240" s="140"/>
      <c r="APM240" s="140"/>
      <c r="APN240" s="140"/>
      <c r="APO240" s="140"/>
      <c r="APP240" s="140"/>
      <c r="APQ240" s="140"/>
      <c r="APR240" s="140"/>
      <c r="APS240" s="140"/>
      <c r="APT240" s="140"/>
      <c r="APU240" s="140"/>
      <c r="APV240" s="140"/>
      <c r="APW240" s="140"/>
      <c r="APX240" s="140"/>
      <c r="APY240" s="140"/>
      <c r="APZ240" s="140"/>
      <c r="AQA240" s="140"/>
      <c r="AQB240" s="140"/>
      <c r="AQC240" s="140"/>
      <c r="AQD240" s="140"/>
      <c r="AQE240" s="140"/>
      <c r="AQF240" s="140"/>
      <c r="AQG240" s="140"/>
      <c r="AQH240" s="140"/>
      <c r="AQI240" s="140"/>
      <c r="AQJ240" s="140"/>
      <c r="AQK240" s="140"/>
      <c r="AQL240" s="140"/>
      <c r="AQM240" s="140"/>
      <c r="AQN240" s="140"/>
      <c r="AQO240" s="140"/>
      <c r="AQP240" s="140"/>
      <c r="AQQ240" s="140"/>
      <c r="AQR240" s="140"/>
      <c r="AQS240" s="140"/>
      <c r="AQT240" s="140"/>
      <c r="AQU240" s="140"/>
      <c r="AQV240" s="140"/>
      <c r="AQW240" s="140"/>
      <c r="AQX240" s="140"/>
      <c r="AQY240" s="140"/>
      <c r="AQZ240" s="140"/>
      <c r="ARA240" s="140"/>
      <c r="ARB240" s="140"/>
      <c r="ARC240" s="140"/>
      <c r="ARD240" s="140"/>
      <c r="ARE240" s="140"/>
      <c r="ARF240" s="140"/>
      <c r="ARG240" s="140"/>
      <c r="ARH240" s="140"/>
      <c r="ARI240" s="140"/>
      <c r="ARJ240" s="140"/>
      <c r="ARK240" s="140"/>
      <c r="ARL240" s="140"/>
      <c r="ARM240" s="140"/>
      <c r="ARN240" s="140"/>
      <c r="ARO240" s="140"/>
      <c r="ARP240" s="140"/>
      <c r="ARQ240" s="140"/>
      <c r="ARR240" s="140"/>
      <c r="ARS240" s="140"/>
      <c r="ART240" s="140"/>
      <c r="ARU240" s="140"/>
      <c r="ARV240" s="140"/>
      <c r="ARW240" s="140"/>
      <c r="ARX240" s="140"/>
      <c r="ARY240" s="140"/>
      <c r="ARZ240" s="140"/>
      <c r="ASA240" s="140"/>
      <c r="ASB240" s="140"/>
      <c r="ASC240" s="140"/>
      <c r="ASD240" s="140"/>
      <c r="ASE240" s="140"/>
      <c r="ASF240" s="140"/>
      <c r="ASG240" s="140"/>
      <c r="ASH240" s="140"/>
      <c r="ASI240" s="140"/>
      <c r="ASJ240" s="140"/>
      <c r="ASK240" s="140"/>
      <c r="ASL240" s="140"/>
      <c r="ASM240" s="140"/>
      <c r="ASN240" s="140"/>
      <c r="ASO240" s="140"/>
      <c r="ASP240" s="140"/>
      <c r="ASQ240" s="140"/>
      <c r="ASR240" s="140"/>
      <c r="ASS240" s="140"/>
      <c r="AST240" s="140"/>
      <c r="ASU240" s="140"/>
      <c r="ASV240" s="140"/>
      <c r="ASW240" s="140"/>
      <c r="ASX240" s="140"/>
      <c r="ASY240" s="140"/>
      <c r="ASZ240" s="140"/>
      <c r="ATA240" s="140"/>
      <c r="ATB240" s="140"/>
      <c r="ATC240" s="140"/>
      <c r="ATD240" s="140"/>
      <c r="ATE240" s="140"/>
      <c r="ATF240" s="140"/>
      <c r="ATG240" s="140"/>
      <c r="ATH240" s="140"/>
      <c r="ATI240" s="140"/>
      <c r="ATJ240" s="140"/>
      <c r="ATK240" s="140"/>
      <c r="ATL240" s="140"/>
      <c r="ATM240" s="140"/>
      <c r="ATN240" s="140"/>
      <c r="ATO240" s="140"/>
      <c r="ATP240" s="140"/>
      <c r="ATQ240" s="140"/>
      <c r="ATR240" s="140"/>
      <c r="ATS240" s="140"/>
      <c r="ATT240" s="140"/>
      <c r="ATU240" s="140"/>
      <c r="ATV240" s="140"/>
      <c r="ATW240" s="140"/>
      <c r="ATX240" s="140"/>
      <c r="ATY240" s="140"/>
      <c r="ATZ240" s="140"/>
      <c r="AUA240" s="140"/>
      <c r="AUB240" s="140"/>
      <c r="AUC240" s="140"/>
      <c r="AUD240" s="140"/>
      <c r="AUE240" s="140"/>
      <c r="AUF240" s="140"/>
      <c r="AUG240" s="140"/>
      <c r="AUH240" s="140"/>
      <c r="AUI240" s="140"/>
      <c r="AUJ240" s="140"/>
      <c r="AUK240" s="140"/>
      <c r="AUL240" s="140"/>
      <c r="AUM240" s="140"/>
      <c r="AUN240" s="140"/>
      <c r="AUO240" s="140"/>
      <c r="AUP240" s="140"/>
      <c r="AUQ240" s="140"/>
      <c r="AUR240" s="140"/>
      <c r="AUS240" s="140"/>
      <c r="AUT240" s="140"/>
      <c r="AUU240" s="140"/>
      <c r="AUV240" s="140"/>
      <c r="AUW240" s="140"/>
      <c r="AUX240" s="140"/>
      <c r="AUY240" s="140"/>
      <c r="AUZ240" s="140"/>
      <c r="AVA240" s="140"/>
      <c r="AVB240" s="140"/>
      <c r="AVC240" s="140"/>
      <c r="AVD240" s="140"/>
      <c r="AVE240" s="140"/>
      <c r="AVF240" s="140"/>
      <c r="AVG240" s="140"/>
      <c r="AVH240" s="140"/>
      <c r="AVI240" s="140"/>
      <c r="AVJ240" s="140"/>
      <c r="AVK240" s="140"/>
      <c r="AVL240" s="140"/>
      <c r="AVM240" s="140"/>
      <c r="AVN240" s="140"/>
      <c r="AVO240" s="140"/>
      <c r="AVP240" s="140"/>
      <c r="AVQ240" s="140"/>
      <c r="AVR240" s="140"/>
      <c r="AVS240" s="140"/>
      <c r="AVT240" s="140"/>
      <c r="AVU240" s="140"/>
      <c r="AVV240" s="140"/>
      <c r="AVW240" s="140"/>
      <c r="AVX240" s="140"/>
      <c r="AVY240" s="140"/>
      <c r="AVZ240" s="140"/>
      <c r="AWA240" s="140"/>
      <c r="AWB240" s="140"/>
      <c r="AWC240" s="140"/>
      <c r="AWD240" s="140"/>
      <c r="AWE240" s="140"/>
      <c r="AWF240" s="140"/>
      <c r="AWG240" s="140"/>
      <c r="AWH240" s="140"/>
      <c r="AWI240" s="140"/>
      <c r="AWJ240" s="140"/>
      <c r="AWK240" s="140"/>
      <c r="AWL240" s="140"/>
      <c r="AWM240" s="140"/>
      <c r="AWN240" s="140"/>
      <c r="AWO240" s="140"/>
      <c r="AWP240" s="140"/>
      <c r="AWQ240" s="140"/>
      <c r="AWR240" s="140"/>
      <c r="AWS240" s="140"/>
      <c r="AWT240" s="140"/>
      <c r="AWU240" s="140"/>
      <c r="AWV240" s="140"/>
      <c r="AWW240" s="140"/>
      <c r="AWX240" s="140"/>
      <c r="AWY240" s="140"/>
      <c r="AWZ240" s="140"/>
      <c r="AXA240" s="140"/>
      <c r="AXB240" s="140"/>
      <c r="AXC240" s="140"/>
      <c r="AXD240" s="140"/>
      <c r="AXE240" s="140"/>
      <c r="AXF240" s="140"/>
      <c r="AXG240" s="140"/>
      <c r="AXH240" s="140"/>
      <c r="AXI240" s="140"/>
      <c r="AXJ240" s="140"/>
      <c r="AXK240" s="140"/>
      <c r="AXL240" s="140"/>
      <c r="AXM240" s="140"/>
      <c r="AXN240" s="140"/>
      <c r="AXO240" s="140"/>
      <c r="AXP240" s="140"/>
      <c r="AXQ240" s="140"/>
      <c r="AXR240" s="140"/>
      <c r="AXS240" s="140"/>
      <c r="AXT240" s="140"/>
      <c r="AXU240" s="140"/>
      <c r="AXV240" s="140"/>
      <c r="AXW240" s="140"/>
      <c r="AXX240" s="140"/>
      <c r="AXY240" s="140"/>
      <c r="AXZ240" s="140"/>
      <c r="AYA240" s="140"/>
      <c r="AYB240" s="140"/>
      <c r="AYC240" s="140"/>
      <c r="AYD240" s="140"/>
      <c r="AYE240" s="140"/>
      <c r="AYF240" s="140"/>
      <c r="AYG240" s="140"/>
      <c r="AYH240" s="140"/>
      <c r="AYI240" s="140"/>
      <c r="AYJ240" s="140"/>
      <c r="AYK240" s="140"/>
      <c r="AYL240" s="140"/>
      <c r="AYM240" s="140"/>
      <c r="AYN240" s="140"/>
      <c r="AYO240" s="140"/>
      <c r="AYP240" s="140"/>
      <c r="AYQ240" s="140"/>
      <c r="AYR240" s="140"/>
      <c r="AYS240" s="140"/>
      <c r="AYT240" s="140"/>
      <c r="AYU240" s="140"/>
      <c r="AYV240" s="140"/>
      <c r="AYW240" s="140"/>
      <c r="AYX240" s="140"/>
      <c r="AYY240" s="140"/>
      <c r="AYZ240" s="140"/>
      <c r="AZA240" s="140"/>
      <c r="AZB240" s="140"/>
      <c r="AZC240" s="140"/>
      <c r="AZD240" s="140"/>
      <c r="AZE240" s="140"/>
      <c r="AZF240" s="140"/>
      <c r="AZG240" s="140"/>
      <c r="AZH240" s="140"/>
      <c r="AZI240" s="140"/>
      <c r="AZJ240" s="140"/>
      <c r="AZK240" s="140"/>
      <c r="AZL240" s="140"/>
      <c r="AZM240" s="140"/>
      <c r="AZN240" s="140"/>
      <c r="AZO240" s="140"/>
      <c r="AZP240" s="140"/>
      <c r="AZQ240" s="140"/>
      <c r="AZR240" s="140"/>
      <c r="AZS240" s="140"/>
      <c r="AZT240" s="140"/>
      <c r="AZU240" s="140"/>
      <c r="AZV240" s="140"/>
      <c r="AZW240" s="140"/>
      <c r="AZX240" s="140"/>
      <c r="AZY240" s="140"/>
      <c r="AZZ240" s="140"/>
      <c r="BAA240" s="140"/>
      <c r="BAB240" s="140"/>
      <c r="BAC240" s="140"/>
      <c r="BAD240" s="140"/>
      <c r="BAE240" s="140"/>
      <c r="BAF240" s="140"/>
      <c r="BAG240" s="140"/>
      <c r="BAH240" s="140"/>
      <c r="BAI240" s="140"/>
      <c r="BAJ240" s="140"/>
      <c r="BAK240" s="140"/>
      <c r="BAL240" s="140"/>
      <c r="BAM240" s="140"/>
      <c r="BAN240" s="140"/>
      <c r="BAO240" s="140"/>
      <c r="BAP240" s="140"/>
      <c r="BAQ240" s="140"/>
      <c r="BAR240" s="140"/>
      <c r="BAS240" s="140"/>
      <c r="BAT240" s="140"/>
      <c r="BAU240" s="140"/>
      <c r="BAV240" s="140"/>
      <c r="BAW240" s="140"/>
      <c r="BAX240" s="140"/>
      <c r="BAY240" s="140"/>
      <c r="BAZ240" s="140"/>
      <c r="BBA240" s="140"/>
      <c r="BBB240" s="140"/>
      <c r="BBC240" s="140"/>
      <c r="BBD240" s="140"/>
      <c r="BBE240" s="140"/>
      <c r="BBF240" s="140"/>
      <c r="BBG240" s="140"/>
      <c r="BBH240" s="140"/>
      <c r="BBI240" s="140"/>
      <c r="BBJ240" s="140"/>
      <c r="BBK240" s="140"/>
      <c r="BBL240" s="140"/>
      <c r="BBM240" s="140"/>
      <c r="BBN240" s="140"/>
      <c r="BBO240" s="140"/>
      <c r="BBP240" s="140"/>
      <c r="BBQ240" s="140"/>
      <c r="BBR240" s="140"/>
      <c r="BBS240" s="140"/>
      <c r="BBT240" s="140"/>
      <c r="BBU240" s="140"/>
      <c r="BBV240" s="140"/>
      <c r="BBW240" s="140"/>
      <c r="BBX240" s="140"/>
      <c r="BBY240" s="140"/>
      <c r="BBZ240" s="140"/>
      <c r="BCA240" s="140"/>
      <c r="BCB240" s="140"/>
      <c r="BCC240" s="140"/>
      <c r="BCD240" s="140"/>
      <c r="BCE240" s="140"/>
      <c r="BCF240" s="140"/>
      <c r="BCG240" s="140"/>
      <c r="BCH240" s="140"/>
      <c r="BCI240" s="140"/>
      <c r="BCJ240" s="140"/>
      <c r="BCK240" s="140"/>
      <c r="BCL240" s="140"/>
      <c r="BCM240" s="140"/>
      <c r="BCN240" s="140"/>
      <c r="BCO240" s="140"/>
      <c r="BCP240" s="140"/>
      <c r="BCQ240" s="140"/>
      <c r="BCR240" s="140"/>
      <c r="BCS240" s="140"/>
      <c r="BCT240" s="140"/>
      <c r="BCU240" s="140"/>
      <c r="BCV240" s="140"/>
      <c r="BCW240" s="140"/>
      <c r="BCX240" s="140"/>
      <c r="BCY240" s="140"/>
      <c r="BCZ240" s="140"/>
      <c r="BDA240" s="140"/>
      <c r="BDB240" s="140"/>
      <c r="BDC240" s="140"/>
      <c r="BDD240" s="140"/>
      <c r="BDE240" s="140"/>
      <c r="BDF240" s="140"/>
      <c r="BDG240" s="140"/>
      <c r="BDH240" s="140"/>
      <c r="BDI240" s="140"/>
      <c r="BDJ240" s="140"/>
      <c r="BDK240" s="140"/>
      <c r="BDL240" s="140"/>
      <c r="BDM240" s="140"/>
      <c r="BDN240" s="140"/>
      <c r="BDO240" s="140"/>
      <c r="BDP240" s="140"/>
      <c r="BDQ240" s="140"/>
      <c r="BDR240" s="140"/>
      <c r="BDS240" s="140"/>
      <c r="BDT240" s="140"/>
      <c r="BDU240" s="140"/>
      <c r="BDV240" s="140"/>
      <c r="BDW240" s="140"/>
      <c r="BDX240" s="140"/>
      <c r="BDY240" s="140"/>
      <c r="BDZ240" s="140"/>
      <c r="BEA240" s="140"/>
      <c r="BEB240" s="140"/>
      <c r="BEC240" s="140"/>
      <c r="BED240" s="140"/>
      <c r="BEE240" s="140"/>
      <c r="BEF240" s="140"/>
      <c r="BEG240" s="140"/>
      <c r="BEH240" s="140"/>
      <c r="BEI240" s="140"/>
      <c r="BEJ240" s="140"/>
      <c r="BEK240" s="140"/>
      <c r="BEL240" s="140"/>
      <c r="BEM240" s="140"/>
      <c r="BEN240" s="140"/>
      <c r="BEO240" s="140"/>
      <c r="BEP240" s="140"/>
      <c r="BEQ240" s="140"/>
      <c r="BER240" s="140"/>
      <c r="BES240" s="140"/>
      <c r="BET240" s="140"/>
      <c r="BEU240" s="140"/>
      <c r="BEV240" s="140"/>
      <c r="BEW240" s="140"/>
      <c r="BEX240" s="140"/>
      <c r="BEY240" s="140"/>
      <c r="BEZ240" s="140"/>
      <c r="BFA240" s="140"/>
      <c r="BFB240" s="140"/>
      <c r="BFC240" s="140"/>
      <c r="BFD240" s="140"/>
      <c r="BFE240" s="140"/>
      <c r="BFF240" s="140"/>
      <c r="BFG240" s="140"/>
      <c r="BFH240" s="140"/>
      <c r="BFI240" s="140"/>
      <c r="BFJ240" s="140"/>
      <c r="BFK240" s="140"/>
      <c r="BFL240" s="140"/>
      <c r="BFM240" s="140"/>
      <c r="BFN240" s="140"/>
      <c r="BFO240" s="140"/>
      <c r="BFP240" s="140"/>
      <c r="BFQ240" s="140"/>
      <c r="BFR240" s="140"/>
      <c r="BFS240" s="140"/>
      <c r="BFT240" s="140"/>
      <c r="BFU240" s="140"/>
      <c r="BFV240" s="140"/>
      <c r="BFW240" s="140"/>
      <c r="BFX240" s="140"/>
      <c r="BFY240" s="140"/>
      <c r="BFZ240" s="140"/>
      <c r="BGA240" s="140"/>
      <c r="BGB240" s="140"/>
      <c r="BGC240" s="140"/>
      <c r="BGD240" s="140"/>
      <c r="BGE240" s="140"/>
      <c r="BGF240" s="140"/>
      <c r="BGG240" s="140"/>
      <c r="BGH240" s="140"/>
      <c r="BGI240" s="140"/>
      <c r="BGJ240" s="140"/>
      <c r="BGK240" s="140"/>
      <c r="BGL240" s="140"/>
      <c r="BGM240" s="140"/>
      <c r="BGN240" s="140"/>
      <c r="BGO240" s="140"/>
      <c r="BGP240" s="140"/>
      <c r="BGQ240" s="140"/>
      <c r="BGR240" s="140"/>
      <c r="BGS240" s="140"/>
      <c r="BGT240" s="140"/>
      <c r="BGU240" s="140"/>
      <c r="BGV240" s="140"/>
      <c r="BGW240" s="140"/>
      <c r="BGX240" s="140"/>
      <c r="BGY240" s="140"/>
      <c r="BGZ240" s="140"/>
      <c r="BHA240" s="140"/>
      <c r="BHB240" s="140"/>
      <c r="BHC240" s="140"/>
      <c r="BHD240" s="140"/>
      <c r="BHE240" s="140"/>
      <c r="BHF240" s="140"/>
      <c r="BHG240" s="140"/>
      <c r="BHH240" s="140"/>
      <c r="BHI240" s="140"/>
      <c r="BHJ240" s="140"/>
      <c r="BHK240" s="140"/>
      <c r="BHL240" s="140"/>
      <c r="BHM240" s="140"/>
      <c r="BHN240" s="140"/>
      <c r="BHO240" s="140"/>
      <c r="BHP240" s="140"/>
      <c r="BHQ240" s="140"/>
      <c r="BHR240" s="140"/>
      <c r="BHS240" s="140"/>
      <c r="BHT240" s="140"/>
      <c r="BHU240" s="140"/>
      <c r="BHV240" s="140"/>
      <c r="BHW240" s="140"/>
      <c r="BHX240" s="140"/>
      <c r="BHY240" s="140"/>
      <c r="BHZ240" s="140"/>
      <c r="BIA240" s="140"/>
      <c r="BIB240" s="140"/>
      <c r="BIC240" s="140"/>
      <c r="BID240" s="140"/>
      <c r="BIE240" s="140"/>
      <c r="BIF240" s="140"/>
      <c r="BIG240" s="140"/>
      <c r="BIH240" s="140"/>
      <c r="BII240" s="140"/>
      <c r="BIJ240" s="140"/>
      <c r="BIK240" s="140"/>
      <c r="BIL240" s="140"/>
      <c r="BIM240" s="140"/>
      <c r="BIN240" s="140"/>
      <c r="BIO240" s="140"/>
      <c r="BIP240" s="140"/>
      <c r="BIQ240" s="140"/>
      <c r="BIR240" s="140"/>
      <c r="BIS240" s="140"/>
      <c r="BIT240" s="140"/>
      <c r="BIU240" s="140"/>
      <c r="BIV240" s="140"/>
      <c r="BIW240" s="140"/>
      <c r="BIX240" s="140"/>
      <c r="BIY240" s="140"/>
      <c r="BIZ240" s="140"/>
      <c r="BJA240" s="140"/>
      <c r="BJB240" s="140"/>
      <c r="BJC240" s="140"/>
      <c r="BJD240" s="140"/>
      <c r="BJE240" s="140"/>
      <c r="BJF240" s="140"/>
      <c r="BJG240" s="140"/>
      <c r="BJH240" s="140"/>
      <c r="BJI240" s="140"/>
      <c r="BJJ240" s="140"/>
      <c r="BJK240" s="140"/>
      <c r="BJL240" s="140"/>
      <c r="BJM240" s="140"/>
      <c r="BJN240" s="140"/>
      <c r="BJO240" s="140"/>
      <c r="BJP240" s="140"/>
      <c r="BJQ240" s="140"/>
      <c r="BJR240" s="140"/>
      <c r="BJS240" s="140"/>
      <c r="BJT240" s="140"/>
      <c r="BJU240" s="140"/>
      <c r="BJV240" s="140"/>
      <c r="BJW240" s="140"/>
      <c r="BJX240" s="140"/>
      <c r="BJY240" s="140"/>
      <c r="BJZ240" s="140"/>
      <c r="BKA240" s="140"/>
      <c r="BKB240" s="140"/>
      <c r="BKC240" s="140"/>
      <c r="BKD240" s="140"/>
      <c r="BKE240" s="140"/>
      <c r="BKF240" s="140"/>
      <c r="BKG240" s="140"/>
      <c r="BKH240" s="140"/>
      <c r="BKI240" s="140"/>
      <c r="BKJ240" s="140"/>
      <c r="BKK240" s="140"/>
      <c r="BKL240" s="140"/>
      <c r="BKM240" s="140"/>
      <c r="BKN240" s="140"/>
      <c r="BKO240" s="140"/>
      <c r="BKP240" s="140"/>
      <c r="BKQ240" s="140"/>
      <c r="BKR240" s="140"/>
      <c r="BKS240" s="140"/>
      <c r="BKT240" s="140"/>
      <c r="BKU240" s="140"/>
      <c r="BKV240" s="140"/>
      <c r="BKW240" s="140"/>
      <c r="BKX240" s="140"/>
      <c r="BKY240" s="140"/>
      <c r="BKZ240" s="140"/>
      <c r="BLA240" s="140"/>
      <c r="BLB240" s="140"/>
      <c r="BLC240" s="140"/>
      <c r="BLD240" s="140"/>
      <c r="BLE240" s="140"/>
      <c r="BLF240" s="140"/>
      <c r="BLG240" s="140"/>
      <c r="BLH240" s="140"/>
      <c r="BLI240" s="140"/>
      <c r="BLJ240" s="140"/>
      <c r="BLK240" s="140"/>
      <c r="BLL240" s="140"/>
      <c r="BLM240" s="140"/>
      <c r="BLN240" s="140"/>
      <c r="BLO240" s="140"/>
      <c r="BLP240" s="140"/>
      <c r="BLQ240" s="140"/>
      <c r="BLR240" s="140"/>
      <c r="BLS240" s="140"/>
      <c r="BLT240" s="140"/>
      <c r="BLU240" s="140"/>
      <c r="BLV240" s="140"/>
      <c r="BLW240" s="140"/>
      <c r="BLX240" s="140"/>
      <c r="BLY240" s="140"/>
      <c r="BLZ240" s="140"/>
      <c r="BMA240" s="140"/>
      <c r="BMB240" s="140"/>
      <c r="BMC240" s="140"/>
      <c r="BMD240" s="140"/>
      <c r="BME240" s="140"/>
      <c r="BMF240" s="140"/>
      <c r="BMG240" s="140"/>
      <c r="BMH240" s="140"/>
      <c r="BMI240" s="140"/>
      <c r="BMJ240" s="140"/>
      <c r="BMK240" s="140"/>
      <c r="BML240" s="140"/>
      <c r="BMM240" s="140"/>
      <c r="BMN240" s="140"/>
      <c r="BMO240" s="140"/>
      <c r="BMP240" s="140"/>
      <c r="BMQ240" s="140"/>
      <c r="BMR240" s="140"/>
      <c r="BMS240" s="140"/>
      <c r="BMT240" s="140"/>
      <c r="BMU240" s="140"/>
      <c r="BMV240" s="140"/>
      <c r="BMW240" s="140"/>
      <c r="BMX240" s="140"/>
      <c r="BMY240" s="140"/>
      <c r="BMZ240" s="140"/>
      <c r="BNA240" s="140"/>
      <c r="BNB240" s="140"/>
      <c r="BNC240" s="140"/>
      <c r="BND240" s="140"/>
      <c r="BNE240" s="140"/>
      <c r="BNF240" s="140"/>
      <c r="BNG240" s="140"/>
      <c r="BNH240" s="140"/>
      <c r="BNI240" s="140"/>
      <c r="BNJ240" s="140"/>
      <c r="BNK240" s="140"/>
      <c r="BNL240" s="140"/>
      <c r="BNM240" s="140"/>
      <c r="BNN240" s="140"/>
      <c r="BNO240" s="140"/>
      <c r="BNP240" s="140"/>
      <c r="BNQ240" s="140"/>
      <c r="BNR240" s="140"/>
      <c r="BNS240" s="140"/>
      <c r="BNT240" s="140"/>
      <c r="BNU240" s="140"/>
      <c r="BNV240" s="140"/>
      <c r="BNW240" s="140"/>
      <c r="BNX240" s="140"/>
      <c r="BNY240" s="140"/>
      <c r="BNZ240" s="140"/>
      <c r="BOA240" s="140"/>
      <c r="BOB240" s="140"/>
      <c r="BOC240" s="140"/>
      <c r="BOD240" s="140"/>
      <c r="BOE240" s="140"/>
      <c r="BOF240" s="140"/>
      <c r="BOG240" s="140"/>
      <c r="BOH240" s="140"/>
      <c r="BOI240" s="140"/>
      <c r="BOJ240" s="140"/>
      <c r="BOK240" s="140"/>
      <c r="BOL240" s="140"/>
      <c r="BOM240" s="140"/>
      <c r="BON240" s="140"/>
      <c r="BOO240" s="140"/>
      <c r="BOP240" s="140"/>
      <c r="BOQ240" s="140"/>
      <c r="BOR240" s="140"/>
      <c r="BOS240" s="140"/>
      <c r="BOT240" s="140"/>
      <c r="BOU240" s="140"/>
      <c r="BOV240" s="140"/>
      <c r="BOW240" s="140"/>
      <c r="BOX240" s="140"/>
      <c r="BOY240" s="140"/>
      <c r="BOZ240" s="140"/>
      <c r="BPA240" s="140"/>
      <c r="BPB240" s="140"/>
      <c r="BPC240" s="140"/>
      <c r="BPD240" s="140"/>
      <c r="BPE240" s="140"/>
      <c r="BPF240" s="140"/>
      <c r="BPG240" s="140"/>
      <c r="BPH240" s="140"/>
      <c r="BPI240" s="140"/>
      <c r="BPJ240" s="140"/>
      <c r="BPK240" s="140"/>
      <c r="BPL240" s="140"/>
      <c r="BPM240" s="140"/>
      <c r="BPN240" s="140"/>
      <c r="BPO240" s="140"/>
      <c r="BPP240" s="140"/>
      <c r="BPQ240" s="140"/>
      <c r="BPR240" s="140"/>
      <c r="BPS240" s="140"/>
      <c r="BPT240" s="140"/>
      <c r="BPU240" s="140"/>
      <c r="BPV240" s="140"/>
      <c r="BPW240" s="140"/>
      <c r="BPX240" s="140"/>
      <c r="BPY240" s="140"/>
      <c r="BPZ240" s="140"/>
      <c r="BQA240" s="140"/>
      <c r="BQB240" s="140"/>
      <c r="BQC240" s="140"/>
      <c r="BQD240" s="140"/>
      <c r="BQE240" s="140"/>
      <c r="BQF240" s="140"/>
      <c r="BQG240" s="140"/>
      <c r="BQH240" s="140"/>
      <c r="BQI240" s="140"/>
      <c r="BQJ240" s="140"/>
      <c r="BQK240" s="140"/>
      <c r="BQL240" s="140"/>
      <c r="BQM240" s="140"/>
      <c r="BQN240" s="140"/>
      <c r="BQO240" s="140"/>
      <c r="BQP240" s="140"/>
      <c r="BQQ240" s="140"/>
      <c r="BQR240" s="140"/>
      <c r="BQS240" s="140"/>
      <c r="BQT240" s="140"/>
      <c r="BQU240" s="140"/>
      <c r="BQV240" s="140"/>
      <c r="BQW240" s="140"/>
      <c r="BQX240" s="140"/>
      <c r="BQY240" s="140"/>
      <c r="BQZ240" s="140"/>
      <c r="BRA240" s="140"/>
      <c r="BRB240" s="140"/>
      <c r="BRC240" s="140"/>
      <c r="BRD240" s="140"/>
      <c r="BRE240" s="140"/>
      <c r="BRF240" s="140"/>
      <c r="BRG240" s="140"/>
      <c r="BRH240" s="140"/>
      <c r="BRI240" s="140"/>
      <c r="BRJ240" s="140"/>
      <c r="BRK240" s="140"/>
      <c r="BRL240" s="140"/>
      <c r="BRM240" s="140"/>
      <c r="BRN240" s="140"/>
      <c r="BRO240" s="140"/>
      <c r="BRP240" s="140"/>
      <c r="BRQ240" s="140"/>
      <c r="BRR240" s="140"/>
      <c r="BRS240" s="140"/>
      <c r="BRT240" s="140"/>
      <c r="BRU240" s="140"/>
      <c r="BRV240" s="140"/>
      <c r="BRW240" s="140"/>
      <c r="BRX240" s="140"/>
      <c r="BRY240" s="140"/>
      <c r="BRZ240" s="140"/>
      <c r="BSA240" s="140"/>
      <c r="BSB240" s="140"/>
      <c r="BSC240" s="140"/>
      <c r="BSD240" s="140"/>
      <c r="BSE240" s="140"/>
      <c r="BSF240" s="140"/>
      <c r="BSG240" s="140"/>
      <c r="BSH240" s="140"/>
      <c r="BSI240" s="140"/>
      <c r="BSJ240" s="140"/>
      <c r="BSK240" s="140"/>
      <c r="BSL240" s="140"/>
      <c r="BSM240" s="140"/>
      <c r="BSN240" s="140"/>
      <c r="BSO240" s="140"/>
      <c r="BSP240" s="140"/>
      <c r="BSQ240" s="140"/>
      <c r="BSR240" s="140"/>
      <c r="BSS240" s="140"/>
      <c r="BST240" s="140"/>
      <c r="BSU240" s="140"/>
      <c r="BSV240" s="140"/>
      <c r="BSW240" s="140"/>
      <c r="BSX240" s="140"/>
      <c r="BSY240" s="140"/>
      <c r="BSZ240" s="140"/>
      <c r="BTA240" s="140"/>
      <c r="BTB240" s="140"/>
      <c r="BTC240" s="140"/>
      <c r="BTD240" s="140"/>
      <c r="BTE240" s="140"/>
      <c r="BTF240" s="140"/>
      <c r="BTG240" s="140"/>
      <c r="BTH240" s="140"/>
      <c r="BTI240" s="140"/>
      <c r="BTJ240" s="140"/>
      <c r="BTK240" s="140"/>
      <c r="BTL240" s="140"/>
      <c r="BTM240" s="140"/>
      <c r="BTN240" s="140"/>
      <c r="BTO240" s="140"/>
      <c r="BTP240" s="140"/>
      <c r="BTQ240" s="140"/>
      <c r="BTR240" s="140"/>
      <c r="BTS240" s="140"/>
      <c r="BTT240" s="140"/>
      <c r="BTU240" s="140"/>
      <c r="BTV240" s="140"/>
      <c r="BTW240" s="140"/>
      <c r="BTX240" s="140"/>
      <c r="BTY240" s="140"/>
      <c r="BTZ240" s="140"/>
      <c r="BUA240" s="140"/>
      <c r="BUB240" s="140"/>
      <c r="BUC240" s="140"/>
      <c r="BUD240" s="140"/>
      <c r="BUE240" s="140"/>
      <c r="BUF240" s="140"/>
      <c r="BUG240" s="140"/>
      <c r="BUH240" s="140"/>
      <c r="BUI240" s="140"/>
      <c r="BUJ240" s="140"/>
      <c r="BUK240" s="140"/>
      <c r="BUL240" s="140"/>
      <c r="BUM240" s="140"/>
      <c r="BUN240" s="140"/>
      <c r="BUO240" s="140"/>
      <c r="BUP240" s="140"/>
      <c r="BUQ240" s="140"/>
      <c r="BUR240" s="140"/>
      <c r="BUS240" s="140"/>
      <c r="BUT240" s="140"/>
      <c r="BUU240" s="140"/>
      <c r="BUV240" s="140"/>
      <c r="BUW240" s="140"/>
      <c r="BUX240" s="140"/>
      <c r="BUY240" s="140"/>
      <c r="BUZ240" s="140"/>
      <c r="BVA240" s="140"/>
      <c r="BVB240" s="140"/>
      <c r="BVC240" s="140"/>
      <c r="BVD240" s="140"/>
      <c r="BVE240" s="140"/>
      <c r="BVF240" s="140"/>
      <c r="BVG240" s="140"/>
      <c r="BVH240" s="140"/>
      <c r="BVI240" s="140"/>
      <c r="BVJ240" s="140"/>
      <c r="BVK240" s="140"/>
      <c r="BVL240" s="140"/>
      <c r="BVM240" s="140"/>
      <c r="BVN240" s="140"/>
      <c r="BVO240" s="140"/>
      <c r="BVP240" s="140"/>
      <c r="BVQ240" s="140"/>
      <c r="BVR240" s="140"/>
      <c r="BVS240" s="140"/>
      <c r="BVT240" s="140"/>
      <c r="BVU240" s="140"/>
      <c r="BVV240" s="140"/>
      <c r="BVW240" s="140"/>
      <c r="BVX240" s="140"/>
      <c r="BVY240" s="140"/>
      <c r="BVZ240" s="140"/>
      <c r="BWA240" s="140"/>
      <c r="BWB240" s="140"/>
      <c r="BWC240" s="140"/>
      <c r="BWD240" s="140"/>
      <c r="BWE240" s="140"/>
      <c r="BWF240" s="140"/>
      <c r="BWG240" s="140"/>
      <c r="BWH240" s="140"/>
      <c r="BWI240" s="140"/>
      <c r="BWJ240" s="140"/>
      <c r="BWK240" s="140"/>
      <c r="BWL240" s="140"/>
      <c r="BWM240" s="140"/>
      <c r="BWN240" s="140"/>
      <c r="BWO240" s="140"/>
      <c r="BWP240" s="140"/>
      <c r="BWQ240" s="140"/>
      <c r="BWR240" s="140"/>
      <c r="BWS240" s="140"/>
      <c r="BWT240" s="140"/>
      <c r="BWU240" s="140"/>
      <c r="BWV240" s="140"/>
      <c r="BWW240" s="140"/>
      <c r="BWX240" s="140"/>
      <c r="BWY240" s="140"/>
      <c r="BWZ240" s="140"/>
      <c r="BXA240" s="140"/>
      <c r="BXB240" s="140"/>
      <c r="BXC240" s="140"/>
      <c r="BXD240" s="140"/>
      <c r="BXE240" s="140"/>
      <c r="BXF240" s="140"/>
      <c r="BXG240" s="140"/>
      <c r="BXH240" s="140"/>
      <c r="BXI240" s="140"/>
      <c r="BXJ240" s="140"/>
      <c r="BXK240" s="140"/>
      <c r="BXL240" s="140"/>
      <c r="BXM240" s="140"/>
      <c r="BXN240" s="140"/>
      <c r="BXO240" s="140"/>
      <c r="BXP240" s="140"/>
      <c r="BXQ240" s="140"/>
      <c r="BXR240" s="140"/>
      <c r="BXS240" s="140"/>
      <c r="BXT240" s="140"/>
      <c r="BXU240" s="140"/>
      <c r="BXV240" s="140"/>
      <c r="BXW240" s="140"/>
      <c r="BXX240" s="140"/>
      <c r="BXY240" s="140"/>
      <c r="BXZ240" s="140"/>
      <c r="BYA240" s="140"/>
      <c r="BYB240" s="140"/>
      <c r="BYC240" s="140"/>
      <c r="BYD240" s="140"/>
      <c r="BYE240" s="140"/>
      <c r="BYF240" s="140"/>
      <c r="BYG240" s="140"/>
      <c r="BYH240" s="140"/>
      <c r="BYI240" s="140"/>
      <c r="BYJ240" s="140"/>
      <c r="BYK240" s="140"/>
      <c r="BYL240" s="140"/>
      <c r="BYM240" s="140"/>
      <c r="BYN240" s="140"/>
      <c r="BYO240" s="140"/>
      <c r="BYP240" s="140"/>
      <c r="BYQ240" s="140"/>
      <c r="BYR240" s="140"/>
      <c r="BYS240" s="140"/>
      <c r="BYT240" s="140"/>
      <c r="BYU240" s="140"/>
      <c r="BYV240" s="140"/>
      <c r="BYW240" s="140"/>
      <c r="BYX240" s="140"/>
      <c r="BYY240" s="140"/>
      <c r="BYZ240" s="140"/>
      <c r="BZA240" s="140"/>
      <c r="BZB240" s="140"/>
      <c r="BZC240" s="140"/>
      <c r="BZD240" s="140"/>
      <c r="BZE240" s="140"/>
      <c r="BZF240" s="140"/>
      <c r="BZG240" s="140"/>
      <c r="BZH240" s="140"/>
      <c r="BZI240" s="140"/>
      <c r="BZJ240" s="140"/>
      <c r="BZK240" s="140"/>
      <c r="BZL240" s="140"/>
      <c r="BZM240" s="140"/>
      <c r="BZN240" s="140"/>
      <c r="BZO240" s="140"/>
      <c r="BZP240" s="140"/>
      <c r="BZQ240" s="140"/>
      <c r="BZR240" s="140"/>
      <c r="BZS240" s="140"/>
      <c r="BZT240" s="140"/>
      <c r="BZU240" s="140"/>
      <c r="BZV240" s="140"/>
      <c r="BZW240" s="140"/>
      <c r="BZX240" s="140"/>
      <c r="BZY240" s="140"/>
      <c r="BZZ240" s="140"/>
      <c r="CAA240" s="140"/>
      <c r="CAB240" s="140"/>
      <c r="CAC240" s="140"/>
      <c r="CAD240" s="140"/>
      <c r="CAE240" s="140"/>
      <c r="CAF240" s="140"/>
      <c r="CAG240" s="140"/>
      <c r="CAH240" s="140"/>
      <c r="CAI240" s="140"/>
      <c r="CAJ240" s="140"/>
      <c r="CAK240" s="140"/>
      <c r="CAL240" s="140"/>
      <c r="CAM240" s="140"/>
      <c r="CAN240" s="140"/>
      <c r="CAO240" s="140"/>
      <c r="CAP240" s="140"/>
      <c r="CAQ240" s="140"/>
      <c r="CAR240" s="140"/>
      <c r="CAS240" s="140"/>
      <c r="CAT240" s="140"/>
      <c r="CAU240" s="140"/>
      <c r="CAV240" s="140"/>
      <c r="CAW240" s="140"/>
      <c r="CAX240" s="140"/>
      <c r="CAY240" s="140"/>
      <c r="CAZ240" s="140"/>
      <c r="CBA240" s="140"/>
      <c r="CBB240" s="140"/>
      <c r="CBC240" s="140"/>
      <c r="CBD240" s="140"/>
      <c r="CBE240" s="140"/>
      <c r="CBF240" s="140"/>
      <c r="CBG240" s="140"/>
      <c r="CBH240" s="140"/>
      <c r="CBI240" s="140"/>
      <c r="CBJ240" s="140"/>
      <c r="CBK240" s="140"/>
      <c r="CBL240" s="140"/>
      <c r="CBM240" s="140"/>
      <c r="CBN240" s="140"/>
      <c r="CBO240" s="140"/>
      <c r="CBP240" s="140"/>
      <c r="CBQ240" s="140"/>
      <c r="CBR240" s="140"/>
      <c r="CBS240" s="140"/>
      <c r="CBT240" s="140"/>
      <c r="CBU240" s="140"/>
      <c r="CBV240" s="140"/>
      <c r="CBW240" s="140"/>
      <c r="CBX240" s="140"/>
      <c r="CBY240" s="140"/>
      <c r="CBZ240" s="140"/>
      <c r="CCA240" s="140"/>
      <c r="CCB240" s="140"/>
      <c r="CCC240" s="140"/>
      <c r="CCD240" s="140"/>
      <c r="CCE240" s="140"/>
      <c r="CCF240" s="140"/>
      <c r="CCG240" s="140"/>
      <c r="CCH240" s="140"/>
      <c r="CCI240" s="140"/>
      <c r="CCJ240" s="140"/>
      <c r="CCK240" s="140"/>
      <c r="CCL240" s="140"/>
      <c r="CCM240" s="140"/>
      <c r="CCN240" s="140"/>
      <c r="CCO240" s="140"/>
      <c r="CCP240" s="140"/>
      <c r="CCQ240" s="140"/>
      <c r="CCR240" s="140"/>
      <c r="CCS240" s="140"/>
      <c r="CCT240" s="140"/>
      <c r="CCU240" s="140"/>
      <c r="CCV240" s="140"/>
      <c r="CCW240" s="140"/>
      <c r="CCX240" s="140"/>
      <c r="CCY240" s="140"/>
      <c r="CCZ240" s="140"/>
      <c r="CDA240" s="140"/>
      <c r="CDB240" s="140"/>
      <c r="CDC240" s="140"/>
      <c r="CDD240" s="140"/>
      <c r="CDE240" s="140"/>
      <c r="CDF240" s="140"/>
      <c r="CDG240" s="140"/>
      <c r="CDH240" s="140"/>
      <c r="CDI240" s="140"/>
      <c r="CDJ240" s="140"/>
      <c r="CDK240" s="140"/>
      <c r="CDL240" s="140"/>
      <c r="CDM240" s="140"/>
      <c r="CDN240" s="140"/>
      <c r="CDO240" s="140"/>
      <c r="CDP240" s="140"/>
      <c r="CDQ240" s="140"/>
      <c r="CDR240" s="140"/>
      <c r="CDS240" s="140"/>
      <c r="CDT240" s="140"/>
      <c r="CDU240" s="140"/>
      <c r="CDV240" s="140"/>
      <c r="CDW240" s="140"/>
      <c r="CDX240" s="140"/>
      <c r="CDY240" s="140"/>
      <c r="CDZ240" s="140"/>
      <c r="CEA240" s="140"/>
      <c r="CEB240" s="140"/>
      <c r="CEC240" s="140"/>
      <c r="CED240" s="140"/>
      <c r="CEE240" s="140"/>
      <c r="CEF240" s="140"/>
      <c r="CEG240" s="140"/>
      <c r="CEH240" s="140"/>
      <c r="CEI240" s="140"/>
      <c r="CEJ240" s="140"/>
      <c r="CEK240" s="140"/>
      <c r="CEL240" s="140"/>
      <c r="CEM240" s="140"/>
      <c r="CEN240" s="140"/>
      <c r="CEO240" s="140"/>
      <c r="CEP240" s="140"/>
      <c r="CEQ240" s="140"/>
      <c r="CER240" s="140"/>
      <c r="CES240" s="140"/>
      <c r="CET240" s="140"/>
      <c r="CEU240" s="140"/>
      <c r="CEV240" s="140"/>
      <c r="CEW240" s="140"/>
      <c r="CEX240" s="140"/>
      <c r="CEY240" s="140"/>
      <c r="CEZ240" s="140"/>
      <c r="CFA240" s="140"/>
      <c r="CFB240" s="140"/>
      <c r="CFC240" s="140"/>
      <c r="CFD240" s="140"/>
      <c r="CFE240" s="140"/>
      <c r="CFF240" s="140"/>
      <c r="CFG240" s="140"/>
      <c r="CFH240" s="140"/>
      <c r="CFI240" s="140"/>
      <c r="CFJ240" s="140"/>
      <c r="CFK240" s="140"/>
      <c r="CFL240" s="140"/>
      <c r="CFM240" s="140"/>
      <c r="CFN240" s="140"/>
      <c r="CFO240" s="140"/>
      <c r="CFP240" s="140"/>
      <c r="CFQ240" s="140"/>
      <c r="CFR240" s="140"/>
      <c r="CFS240" s="140"/>
      <c r="CFT240" s="140"/>
      <c r="CFU240" s="140"/>
      <c r="CFV240" s="140"/>
      <c r="CFW240" s="140"/>
      <c r="CFX240" s="140"/>
      <c r="CFY240" s="140"/>
      <c r="CFZ240" s="140"/>
      <c r="CGA240" s="140"/>
      <c r="CGB240" s="140"/>
      <c r="CGC240" s="140"/>
      <c r="CGD240" s="140"/>
      <c r="CGE240" s="140"/>
      <c r="CGF240" s="140"/>
      <c r="CGG240" s="140"/>
      <c r="CGH240" s="140"/>
      <c r="CGI240" s="140"/>
      <c r="CGJ240" s="140"/>
      <c r="CGK240" s="140"/>
      <c r="CGL240" s="140"/>
      <c r="CGM240" s="140"/>
      <c r="CGN240" s="140"/>
      <c r="CGO240" s="140"/>
      <c r="CGP240" s="140"/>
      <c r="CGQ240" s="140"/>
      <c r="CGR240" s="140"/>
      <c r="CGS240" s="140"/>
      <c r="CGT240" s="140"/>
      <c r="CGU240" s="140"/>
      <c r="CGV240" s="140"/>
      <c r="CGW240" s="140"/>
      <c r="CGX240" s="140"/>
      <c r="CGY240" s="140"/>
      <c r="CGZ240" s="140"/>
      <c r="CHA240" s="140"/>
      <c r="CHB240" s="140"/>
      <c r="CHC240" s="140"/>
      <c r="CHD240" s="140"/>
      <c r="CHE240" s="140"/>
      <c r="CHF240" s="140"/>
      <c r="CHG240" s="140"/>
      <c r="CHH240" s="140"/>
      <c r="CHI240" s="140"/>
      <c r="CHJ240" s="140"/>
      <c r="CHK240" s="140"/>
      <c r="CHL240" s="140"/>
      <c r="CHM240" s="140"/>
      <c r="CHN240" s="140"/>
      <c r="CHO240" s="140"/>
      <c r="CHP240" s="140"/>
      <c r="CHQ240" s="140"/>
      <c r="CHR240" s="140"/>
      <c r="CHS240" s="140"/>
      <c r="CHT240" s="140"/>
      <c r="CHU240" s="140"/>
      <c r="CHV240" s="140"/>
      <c r="CHW240" s="140"/>
      <c r="CHX240" s="140"/>
      <c r="CHY240" s="140"/>
      <c r="CHZ240" s="140"/>
      <c r="CIA240" s="140"/>
      <c r="CIB240" s="140"/>
      <c r="CIC240" s="140"/>
      <c r="CID240" s="140"/>
      <c r="CIE240" s="140"/>
      <c r="CIF240" s="140"/>
      <c r="CIG240" s="140"/>
      <c r="CIH240" s="140"/>
      <c r="CII240" s="140"/>
      <c r="CIJ240" s="140"/>
      <c r="CIK240" s="140"/>
      <c r="CIL240" s="140"/>
      <c r="CIM240" s="140"/>
      <c r="CIN240" s="140"/>
      <c r="CIO240" s="140"/>
      <c r="CIP240" s="140"/>
      <c r="CIQ240" s="140"/>
      <c r="CIR240" s="140"/>
      <c r="CIS240" s="140"/>
      <c r="CIT240" s="140"/>
      <c r="CIU240" s="140"/>
      <c r="CIV240" s="140"/>
      <c r="CIW240" s="140"/>
      <c r="CIX240" s="140"/>
      <c r="CIY240" s="140"/>
      <c r="CIZ240" s="140"/>
      <c r="CJA240" s="140"/>
      <c r="CJB240" s="140"/>
      <c r="CJC240" s="140"/>
      <c r="CJD240" s="140"/>
      <c r="CJE240" s="140"/>
      <c r="CJF240" s="140"/>
      <c r="CJG240" s="140"/>
      <c r="CJH240" s="140"/>
      <c r="CJI240" s="140"/>
      <c r="CJJ240" s="140"/>
      <c r="CJK240" s="140"/>
      <c r="CJL240" s="140"/>
      <c r="CJM240" s="140"/>
      <c r="CJN240" s="140"/>
      <c r="CJO240" s="140"/>
      <c r="CJP240" s="140"/>
      <c r="CJQ240" s="140"/>
      <c r="CJR240" s="140"/>
      <c r="CJS240" s="140"/>
      <c r="CJT240" s="140"/>
      <c r="CJU240" s="140"/>
      <c r="CJV240" s="140"/>
      <c r="CJW240" s="140"/>
      <c r="CJX240" s="140"/>
      <c r="CJY240" s="140"/>
      <c r="CJZ240" s="140"/>
      <c r="CKA240" s="140"/>
      <c r="CKB240" s="140"/>
      <c r="CKC240" s="140"/>
      <c r="CKD240" s="140"/>
      <c r="CKE240" s="140"/>
      <c r="CKF240" s="140"/>
      <c r="CKG240" s="140"/>
      <c r="CKH240" s="140"/>
      <c r="CKI240" s="140"/>
      <c r="CKJ240" s="140"/>
      <c r="CKK240" s="140"/>
      <c r="CKL240" s="140"/>
      <c r="CKM240" s="140"/>
      <c r="CKN240" s="140"/>
      <c r="CKO240" s="140"/>
      <c r="CKP240" s="140"/>
      <c r="CKQ240" s="140"/>
      <c r="CKR240" s="140"/>
      <c r="CKS240" s="140"/>
      <c r="CKT240" s="140"/>
      <c r="CKU240" s="140"/>
      <c r="CKV240" s="140"/>
      <c r="CKW240" s="140"/>
      <c r="CKX240" s="140"/>
      <c r="CKY240" s="140"/>
      <c r="CKZ240" s="140"/>
      <c r="CLA240" s="140"/>
      <c r="CLB240" s="140"/>
      <c r="CLC240" s="140"/>
      <c r="CLD240" s="140"/>
      <c r="CLE240" s="140"/>
      <c r="CLF240" s="140"/>
      <c r="CLG240" s="140"/>
      <c r="CLH240" s="140"/>
      <c r="CLI240" s="140"/>
      <c r="CLJ240" s="140"/>
      <c r="CLK240" s="140"/>
      <c r="CLL240" s="140"/>
      <c r="CLM240" s="140"/>
      <c r="CLN240" s="140"/>
      <c r="CLO240" s="140"/>
      <c r="CLP240" s="140"/>
      <c r="CLQ240" s="140"/>
      <c r="CLR240" s="140"/>
      <c r="CLS240" s="140"/>
      <c r="CLT240" s="140"/>
      <c r="CLU240" s="140"/>
      <c r="CLV240" s="140"/>
      <c r="CLW240" s="140"/>
      <c r="CLX240" s="140"/>
      <c r="CLY240" s="140"/>
      <c r="CLZ240" s="140"/>
      <c r="CMA240" s="140"/>
      <c r="CMB240" s="140"/>
      <c r="CMC240" s="140"/>
      <c r="CMD240" s="140"/>
      <c r="CME240" s="140"/>
      <c r="CMF240" s="140"/>
      <c r="CMG240" s="140"/>
      <c r="CMH240" s="140"/>
      <c r="CMI240" s="140"/>
      <c r="CMJ240" s="140"/>
      <c r="CMK240" s="140"/>
      <c r="CML240" s="140"/>
      <c r="CMM240" s="140"/>
      <c r="CMN240" s="140"/>
      <c r="CMO240" s="140"/>
      <c r="CMP240" s="140"/>
      <c r="CMQ240" s="140"/>
      <c r="CMR240" s="140"/>
      <c r="CMS240" s="140"/>
      <c r="CMT240" s="140"/>
      <c r="CMU240" s="140"/>
      <c r="CMV240" s="140"/>
      <c r="CMW240" s="140"/>
      <c r="CMX240" s="140"/>
      <c r="CMY240" s="140"/>
      <c r="CMZ240" s="140"/>
      <c r="CNA240" s="140"/>
      <c r="CNB240" s="140"/>
      <c r="CNC240" s="140"/>
      <c r="CND240" s="140"/>
      <c r="CNE240" s="140"/>
      <c r="CNF240" s="140"/>
      <c r="CNG240" s="140"/>
      <c r="CNH240" s="140"/>
      <c r="CNI240" s="140"/>
      <c r="CNJ240" s="140"/>
      <c r="CNK240" s="140"/>
      <c r="CNL240" s="140"/>
      <c r="CNM240" s="140"/>
      <c r="CNN240" s="140"/>
      <c r="CNO240" s="140"/>
      <c r="CNP240" s="140"/>
      <c r="CNQ240" s="140"/>
      <c r="CNR240" s="140"/>
      <c r="CNS240" s="140"/>
      <c r="CNT240" s="140"/>
      <c r="CNU240" s="140"/>
      <c r="CNV240" s="140"/>
      <c r="CNW240" s="140"/>
      <c r="CNX240" s="140"/>
      <c r="CNY240" s="140"/>
      <c r="CNZ240" s="140"/>
      <c r="COA240" s="140"/>
      <c r="COB240" s="140"/>
      <c r="COC240" s="140"/>
      <c r="COD240" s="140"/>
      <c r="COE240" s="140"/>
      <c r="COF240" s="140"/>
      <c r="COG240" s="140"/>
      <c r="COH240" s="140"/>
      <c r="COI240" s="140"/>
      <c r="COJ240" s="140"/>
      <c r="COK240" s="140"/>
      <c r="COL240" s="140"/>
      <c r="COM240" s="140"/>
      <c r="CON240" s="140"/>
      <c r="COO240" s="140"/>
      <c r="COP240" s="140"/>
      <c r="COQ240" s="140"/>
      <c r="COR240" s="140"/>
      <c r="COS240" s="140"/>
      <c r="COT240" s="140"/>
      <c r="COU240" s="140"/>
      <c r="COV240" s="140"/>
      <c r="COW240" s="140"/>
      <c r="COX240" s="140"/>
      <c r="COY240" s="140"/>
      <c r="COZ240" s="140"/>
      <c r="CPA240" s="140"/>
      <c r="CPB240" s="140"/>
      <c r="CPC240" s="140"/>
      <c r="CPD240" s="140"/>
      <c r="CPE240" s="140"/>
      <c r="CPF240" s="140"/>
      <c r="CPG240" s="140"/>
      <c r="CPH240" s="140"/>
      <c r="CPI240" s="140"/>
      <c r="CPJ240" s="140"/>
      <c r="CPK240" s="140"/>
      <c r="CPL240" s="140"/>
      <c r="CPM240" s="140"/>
      <c r="CPN240" s="140"/>
      <c r="CPO240" s="140"/>
      <c r="CPP240" s="140"/>
      <c r="CPQ240" s="140"/>
      <c r="CPR240" s="140"/>
      <c r="CPS240" s="140"/>
      <c r="CPT240" s="140"/>
      <c r="CPU240" s="140"/>
      <c r="CPV240" s="140"/>
      <c r="CPW240" s="140"/>
      <c r="CPX240" s="140"/>
      <c r="CPY240" s="140"/>
      <c r="CPZ240" s="140"/>
      <c r="CQA240" s="140"/>
      <c r="CQB240" s="140"/>
      <c r="CQC240" s="140"/>
      <c r="CQD240" s="140"/>
      <c r="CQE240" s="140"/>
      <c r="CQF240" s="140"/>
      <c r="CQG240" s="140"/>
      <c r="CQH240" s="140"/>
      <c r="CQI240" s="140"/>
      <c r="CQJ240" s="140"/>
      <c r="CQK240" s="140"/>
      <c r="CQL240" s="140"/>
      <c r="CQM240" s="140"/>
      <c r="CQN240" s="140"/>
      <c r="CQO240" s="140"/>
      <c r="CQP240" s="140"/>
      <c r="CQQ240" s="140"/>
      <c r="CQR240" s="140"/>
      <c r="CQS240" s="140"/>
      <c r="CQT240" s="140"/>
      <c r="CQU240" s="140"/>
      <c r="CQV240" s="140"/>
      <c r="CQW240" s="140"/>
      <c r="CQX240" s="140"/>
      <c r="CQY240" s="140"/>
      <c r="CQZ240" s="140"/>
      <c r="CRA240" s="140"/>
      <c r="CRB240" s="140"/>
      <c r="CRC240" s="140"/>
      <c r="CRD240" s="140"/>
      <c r="CRE240" s="140"/>
      <c r="CRF240" s="140"/>
      <c r="CRG240" s="140"/>
      <c r="CRH240" s="140"/>
      <c r="CRI240" s="140"/>
      <c r="CRJ240" s="140"/>
      <c r="CRK240" s="140"/>
      <c r="CRL240" s="140"/>
      <c r="CRM240" s="140"/>
      <c r="CRN240" s="140"/>
      <c r="CRO240" s="140"/>
      <c r="CRP240" s="140"/>
      <c r="CRQ240" s="140"/>
      <c r="CRR240" s="140"/>
      <c r="CRS240" s="140"/>
      <c r="CRT240" s="140"/>
      <c r="CRU240" s="140"/>
      <c r="CRV240" s="140"/>
      <c r="CRW240" s="140"/>
      <c r="CRX240" s="140"/>
      <c r="CRY240" s="140"/>
      <c r="CRZ240" s="140"/>
      <c r="CSA240" s="140"/>
      <c r="CSB240" s="140"/>
      <c r="CSC240" s="140"/>
      <c r="CSD240" s="140"/>
      <c r="CSE240" s="140"/>
      <c r="CSF240" s="140"/>
      <c r="CSG240" s="140"/>
      <c r="CSH240" s="140"/>
      <c r="CSI240" s="140"/>
      <c r="CSJ240" s="140"/>
      <c r="CSK240" s="140"/>
      <c r="CSL240" s="140"/>
      <c r="CSM240" s="140"/>
      <c r="CSN240" s="140"/>
      <c r="CSO240" s="140"/>
      <c r="CSP240" s="140"/>
      <c r="CSQ240" s="140"/>
      <c r="CSR240" s="140"/>
      <c r="CSS240" s="140"/>
      <c r="CST240" s="140"/>
      <c r="CSU240" s="140"/>
      <c r="CSV240" s="140"/>
      <c r="CSW240" s="140"/>
      <c r="CSX240" s="140"/>
      <c r="CSY240" s="140"/>
      <c r="CSZ240" s="140"/>
      <c r="CTA240" s="140"/>
      <c r="CTB240" s="140"/>
      <c r="CTC240" s="140"/>
      <c r="CTD240" s="140"/>
      <c r="CTE240" s="140"/>
      <c r="CTF240" s="140"/>
      <c r="CTG240" s="140"/>
      <c r="CTH240" s="140"/>
      <c r="CTI240" s="140"/>
      <c r="CTJ240" s="140"/>
      <c r="CTK240" s="140"/>
      <c r="CTL240" s="140"/>
      <c r="CTM240" s="140"/>
      <c r="CTN240" s="140"/>
      <c r="CTO240" s="140"/>
      <c r="CTP240" s="140"/>
      <c r="CTQ240" s="140"/>
      <c r="CTR240" s="140"/>
      <c r="CTS240" s="140"/>
      <c r="CTT240" s="140"/>
      <c r="CTU240" s="140"/>
      <c r="CTV240" s="140"/>
      <c r="CTW240" s="140"/>
      <c r="CTX240" s="140"/>
      <c r="CTY240" s="140"/>
      <c r="CTZ240" s="140"/>
      <c r="CUA240" s="140"/>
      <c r="CUB240" s="140"/>
      <c r="CUC240" s="140"/>
      <c r="CUD240" s="140"/>
      <c r="CUE240" s="140"/>
      <c r="CUF240" s="140"/>
      <c r="CUG240" s="140"/>
      <c r="CUH240" s="140"/>
      <c r="CUI240" s="140"/>
      <c r="CUJ240" s="140"/>
      <c r="CUK240" s="140"/>
      <c r="CUL240" s="140"/>
      <c r="CUM240" s="140"/>
      <c r="CUN240" s="140"/>
      <c r="CUO240" s="140"/>
      <c r="CUP240" s="140"/>
      <c r="CUQ240" s="140"/>
      <c r="CUR240" s="140"/>
      <c r="CUS240" s="140"/>
      <c r="CUT240" s="140"/>
      <c r="CUU240" s="140"/>
      <c r="CUV240" s="140"/>
      <c r="CUW240" s="140"/>
      <c r="CUX240" s="140"/>
      <c r="CUY240" s="140"/>
      <c r="CUZ240" s="140"/>
      <c r="CVA240" s="140"/>
      <c r="CVB240" s="140"/>
      <c r="CVC240" s="140"/>
      <c r="CVD240" s="140"/>
      <c r="CVE240" s="140"/>
      <c r="CVF240" s="140"/>
      <c r="CVG240" s="140"/>
      <c r="CVH240" s="140"/>
      <c r="CVI240" s="140"/>
      <c r="CVJ240" s="140"/>
      <c r="CVK240" s="140"/>
      <c r="CVL240" s="140"/>
      <c r="CVM240" s="140"/>
      <c r="CVN240" s="140"/>
      <c r="CVO240" s="140"/>
      <c r="CVP240" s="140"/>
      <c r="CVQ240" s="140"/>
      <c r="CVR240" s="140"/>
      <c r="CVS240" s="140"/>
      <c r="CVT240" s="140"/>
      <c r="CVU240" s="140"/>
      <c r="CVV240" s="140"/>
      <c r="CVW240" s="140"/>
      <c r="CVX240" s="140"/>
      <c r="CVY240" s="140"/>
      <c r="CVZ240" s="140"/>
      <c r="CWA240" s="140"/>
      <c r="CWB240" s="140"/>
      <c r="CWC240" s="140"/>
      <c r="CWD240" s="140"/>
      <c r="CWE240" s="140"/>
      <c r="CWF240" s="140"/>
      <c r="CWG240" s="140"/>
      <c r="CWH240" s="140"/>
      <c r="CWI240" s="140"/>
      <c r="CWJ240" s="140"/>
      <c r="CWK240" s="140"/>
      <c r="CWL240" s="140"/>
      <c r="CWM240" s="140"/>
      <c r="CWN240" s="140"/>
      <c r="CWO240" s="140"/>
      <c r="CWP240" s="140"/>
      <c r="CWQ240" s="140"/>
      <c r="CWR240" s="140"/>
      <c r="CWS240" s="140"/>
      <c r="CWT240" s="140"/>
      <c r="CWU240" s="140"/>
      <c r="CWV240" s="140"/>
      <c r="CWW240" s="140"/>
      <c r="CWX240" s="140"/>
      <c r="CWY240" s="140"/>
      <c r="CWZ240" s="140"/>
      <c r="CXA240" s="140"/>
      <c r="CXB240" s="140"/>
      <c r="CXC240" s="140"/>
      <c r="CXD240" s="140"/>
      <c r="CXE240" s="140"/>
      <c r="CXF240" s="140"/>
      <c r="CXG240" s="140"/>
      <c r="CXH240" s="140"/>
      <c r="CXI240" s="140"/>
      <c r="CXJ240" s="140"/>
      <c r="CXK240" s="140"/>
      <c r="CXL240" s="140"/>
      <c r="CXM240" s="140"/>
      <c r="CXN240" s="140"/>
      <c r="CXO240" s="140"/>
      <c r="CXP240" s="140"/>
      <c r="CXQ240" s="140"/>
      <c r="CXR240" s="140"/>
      <c r="CXS240" s="140"/>
      <c r="CXT240" s="140"/>
      <c r="CXU240" s="140"/>
      <c r="CXV240" s="140"/>
      <c r="CXW240" s="140"/>
      <c r="CXX240" s="140"/>
      <c r="CXY240" s="140"/>
      <c r="CXZ240" s="140"/>
      <c r="CYA240" s="140"/>
      <c r="CYB240" s="140"/>
      <c r="CYC240" s="140"/>
      <c r="CYD240" s="140"/>
      <c r="CYE240" s="140"/>
      <c r="CYF240" s="140"/>
      <c r="CYG240" s="140"/>
      <c r="CYH240" s="140"/>
      <c r="CYI240" s="140"/>
      <c r="CYJ240" s="140"/>
      <c r="CYK240" s="140"/>
      <c r="CYL240" s="140"/>
      <c r="CYM240" s="140"/>
      <c r="CYN240" s="140"/>
      <c r="CYO240" s="140"/>
      <c r="CYP240" s="140"/>
      <c r="CYQ240" s="140"/>
      <c r="CYR240" s="140"/>
      <c r="CYS240" s="140"/>
      <c r="CYT240" s="140"/>
      <c r="CYU240" s="140"/>
      <c r="CYV240" s="140"/>
      <c r="CYW240" s="140"/>
      <c r="CYX240" s="140"/>
      <c r="CYY240" s="140"/>
      <c r="CYZ240" s="140"/>
      <c r="CZA240" s="140"/>
      <c r="CZB240" s="140"/>
      <c r="CZC240" s="140"/>
      <c r="CZD240" s="140"/>
      <c r="CZE240" s="140"/>
      <c r="CZF240" s="140"/>
      <c r="CZG240" s="140"/>
      <c r="CZH240" s="140"/>
      <c r="CZI240" s="140"/>
      <c r="CZJ240" s="140"/>
      <c r="CZK240" s="140"/>
      <c r="CZL240" s="140"/>
      <c r="CZM240" s="140"/>
      <c r="CZN240" s="140"/>
      <c r="CZO240" s="140"/>
      <c r="CZP240" s="140"/>
      <c r="CZQ240" s="140"/>
      <c r="CZR240" s="140"/>
      <c r="CZS240" s="140"/>
      <c r="CZT240" s="140"/>
      <c r="CZU240" s="140"/>
      <c r="CZV240" s="140"/>
      <c r="CZW240" s="140"/>
      <c r="CZX240" s="140"/>
      <c r="CZY240" s="140"/>
      <c r="CZZ240" s="140"/>
      <c r="DAA240" s="140"/>
      <c r="DAB240" s="140"/>
      <c r="DAC240" s="140"/>
      <c r="DAD240" s="140"/>
      <c r="DAE240" s="140"/>
      <c r="DAF240" s="140"/>
      <c r="DAG240" s="140"/>
      <c r="DAH240" s="140"/>
      <c r="DAI240" s="140"/>
      <c r="DAJ240" s="140"/>
      <c r="DAK240" s="140"/>
      <c r="DAL240" s="140"/>
      <c r="DAM240" s="140"/>
      <c r="DAN240" s="140"/>
      <c r="DAO240" s="140"/>
      <c r="DAP240" s="140"/>
      <c r="DAQ240" s="140"/>
      <c r="DAR240" s="140"/>
      <c r="DAS240" s="140"/>
      <c r="DAT240" s="140"/>
      <c r="DAU240" s="140"/>
      <c r="DAV240" s="140"/>
      <c r="DAW240" s="140"/>
      <c r="DAX240" s="140"/>
      <c r="DAY240" s="140"/>
      <c r="DAZ240" s="140"/>
      <c r="DBA240" s="140"/>
      <c r="DBB240" s="140"/>
      <c r="DBC240" s="140"/>
      <c r="DBD240" s="140"/>
      <c r="DBE240" s="140"/>
      <c r="DBF240" s="140"/>
      <c r="DBG240" s="140"/>
      <c r="DBH240" s="140"/>
      <c r="DBI240" s="140"/>
      <c r="DBJ240" s="140"/>
      <c r="DBK240" s="140"/>
      <c r="DBL240" s="140"/>
      <c r="DBM240" s="140"/>
      <c r="DBN240" s="140"/>
      <c r="DBO240" s="140"/>
      <c r="DBP240" s="140"/>
      <c r="DBQ240" s="140"/>
      <c r="DBR240" s="140"/>
      <c r="DBS240" s="140"/>
      <c r="DBT240" s="140"/>
      <c r="DBU240" s="140"/>
      <c r="DBV240" s="140"/>
      <c r="DBW240" s="140"/>
      <c r="DBX240" s="140"/>
      <c r="DBY240" s="140"/>
      <c r="DBZ240" s="140"/>
      <c r="DCA240" s="140"/>
      <c r="DCB240" s="140"/>
      <c r="DCC240" s="140"/>
      <c r="DCD240" s="140"/>
      <c r="DCE240" s="140"/>
      <c r="DCF240" s="140"/>
      <c r="DCG240" s="140"/>
      <c r="DCH240" s="140"/>
      <c r="DCI240" s="140"/>
      <c r="DCJ240" s="140"/>
      <c r="DCK240" s="140"/>
      <c r="DCL240" s="140"/>
      <c r="DCM240" s="140"/>
      <c r="DCN240" s="140"/>
      <c r="DCO240" s="140"/>
      <c r="DCP240" s="140"/>
      <c r="DCQ240" s="140"/>
      <c r="DCR240" s="140"/>
      <c r="DCS240" s="140"/>
      <c r="DCT240" s="140"/>
      <c r="DCU240" s="140"/>
      <c r="DCV240" s="140"/>
      <c r="DCW240" s="140"/>
      <c r="DCX240" s="140"/>
      <c r="DCY240" s="140"/>
      <c r="DCZ240" s="140"/>
      <c r="DDA240" s="140"/>
      <c r="DDB240" s="140"/>
      <c r="DDC240" s="140"/>
      <c r="DDD240" s="140"/>
      <c r="DDE240" s="140"/>
      <c r="DDF240" s="140"/>
      <c r="DDG240" s="140"/>
      <c r="DDH240" s="140"/>
      <c r="DDI240" s="140"/>
      <c r="DDJ240" s="140"/>
      <c r="DDK240" s="140"/>
      <c r="DDL240" s="140"/>
      <c r="DDM240" s="140"/>
      <c r="DDN240" s="140"/>
      <c r="DDO240" s="140"/>
      <c r="DDP240" s="140"/>
      <c r="DDQ240" s="140"/>
      <c r="DDR240" s="140"/>
      <c r="DDS240" s="140"/>
      <c r="DDT240" s="140"/>
      <c r="DDU240" s="140"/>
      <c r="DDV240" s="140"/>
      <c r="DDW240" s="140"/>
      <c r="DDX240" s="140"/>
      <c r="DDY240" s="140"/>
      <c r="DDZ240" s="140"/>
      <c r="DEA240" s="140"/>
      <c r="DEB240" s="140"/>
      <c r="DEC240" s="140"/>
      <c r="DED240" s="140"/>
      <c r="DEE240" s="140"/>
      <c r="DEF240" s="140"/>
      <c r="DEG240" s="140"/>
      <c r="DEH240" s="140"/>
      <c r="DEI240" s="140"/>
      <c r="DEJ240" s="140"/>
      <c r="DEK240" s="140"/>
      <c r="DEL240" s="140"/>
      <c r="DEM240" s="140"/>
      <c r="DEN240" s="140"/>
      <c r="DEO240" s="140"/>
      <c r="DEP240" s="140"/>
      <c r="DEQ240" s="140"/>
      <c r="DER240" s="140"/>
      <c r="DES240" s="140"/>
      <c r="DET240" s="140"/>
      <c r="DEU240" s="140"/>
      <c r="DEV240" s="140"/>
      <c r="DEW240" s="140"/>
      <c r="DEX240" s="140"/>
      <c r="DEY240" s="140"/>
      <c r="DEZ240" s="140"/>
      <c r="DFA240" s="140"/>
      <c r="DFB240" s="140"/>
      <c r="DFC240" s="140"/>
      <c r="DFD240" s="140"/>
      <c r="DFE240" s="140"/>
      <c r="DFF240" s="140"/>
      <c r="DFG240" s="140"/>
      <c r="DFH240" s="140"/>
      <c r="DFI240" s="140"/>
      <c r="DFJ240" s="140"/>
      <c r="DFK240" s="140"/>
      <c r="DFL240" s="140"/>
      <c r="DFM240" s="140"/>
      <c r="DFN240" s="140"/>
      <c r="DFO240" s="140"/>
      <c r="DFP240" s="140"/>
      <c r="DFQ240" s="140"/>
      <c r="DFR240" s="140"/>
      <c r="DFS240" s="140"/>
      <c r="DFT240" s="140"/>
      <c r="DFU240" s="140"/>
      <c r="DFV240" s="140"/>
      <c r="DFW240" s="140"/>
      <c r="DFX240" s="140"/>
      <c r="DFY240" s="140"/>
      <c r="DFZ240" s="140"/>
      <c r="DGA240" s="140"/>
      <c r="DGB240" s="140"/>
      <c r="DGC240" s="140"/>
      <c r="DGD240" s="140"/>
      <c r="DGE240" s="140"/>
      <c r="DGF240" s="140"/>
      <c r="DGG240" s="140"/>
      <c r="DGH240" s="140"/>
      <c r="DGI240" s="140"/>
      <c r="DGJ240" s="140"/>
      <c r="DGK240" s="140"/>
      <c r="DGL240" s="140"/>
      <c r="DGM240" s="140"/>
      <c r="DGN240" s="140"/>
      <c r="DGO240" s="140"/>
      <c r="DGP240" s="140"/>
      <c r="DGQ240" s="140"/>
      <c r="DGR240" s="140"/>
      <c r="DGS240" s="140"/>
      <c r="DGT240" s="140"/>
      <c r="DGU240" s="140"/>
      <c r="DGV240" s="140"/>
      <c r="DGW240" s="140"/>
      <c r="DGX240" s="140"/>
      <c r="DGY240" s="140"/>
      <c r="DGZ240" s="140"/>
      <c r="DHA240" s="140"/>
      <c r="DHB240" s="140"/>
      <c r="DHC240" s="140"/>
      <c r="DHD240" s="140"/>
      <c r="DHE240" s="140"/>
      <c r="DHF240" s="140"/>
      <c r="DHG240" s="140"/>
      <c r="DHH240" s="140"/>
      <c r="DHI240" s="140"/>
      <c r="DHJ240" s="140"/>
      <c r="DHK240" s="140"/>
      <c r="DHL240" s="140"/>
      <c r="DHM240" s="140"/>
      <c r="DHN240" s="140"/>
      <c r="DHO240" s="140"/>
      <c r="DHP240" s="140"/>
      <c r="DHQ240" s="140"/>
      <c r="DHR240" s="140"/>
      <c r="DHS240" s="140"/>
      <c r="DHT240" s="140"/>
      <c r="DHU240" s="140"/>
      <c r="DHV240" s="140"/>
      <c r="DHW240" s="140"/>
      <c r="DHX240" s="140"/>
      <c r="DHY240" s="140"/>
      <c r="DHZ240" s="140"/>
      <c r="DIA240" s="140"/>
      <c r="DIB240" s="140"/>
      <c r="DIC240" s="140"/>
      <c r="DID240" s="140"/>
      <c r="DIE240" s="140"/>
      <c r="DIF240" s="140"/>
      <c r="DIG240" s="140"/>
      <c r="DIH240" s="140"/>
      <c r="DII240" s="140"/>
      <c r="DIJ240" s="140"/>
      <c r="DIK240" s="140"/>
      <c r="DIL240" s="140"/>
      <c r="DIM240" s="140"/>
      <c r="DIN240" s="140"/>
      <c r="DIO240" s="140"/>
      <c r="DIP240" s="140"/>
      <c r="DIQ240" s="140"/>
      <c r="DIR240" s="140"/>
      <c r="DIS240" s="140"/>
      <c r="DIT240" s="140"/>
      <c r="DIU240" s="140"/>
      <c r="DIV240" s="140"/>
      <c r="DIW240" s="140"/>
      <c r="DIX240" s="140"/>
      <c r="DIY240" s="140"/>
      <c r="DIZ240" s="140"/>
      <c r="DJA240" s="140"/>
      <c r="DJB240" s="140"/>
      <c r="DJC240" s="140"/>
      <c r="DJD240" s="140"/>
      <c r="DJE240" s="140"/>
      <c r="DJF240" s="140"/>
      <c r="DJG240" s="140"/>
      <c r="DJH240" s="140"/>
      <c r="DJI240" s="140"/>
      <c r="DJJ240" s="140"/>
      <c r="DJK240" s="140"/>
      <c r="DJL240" s="140"/>
      <c r="DJM240" s="140"/>
      <c r="DJN240" s="140"/>
      <c r="DJO240" s="140"/>
      <c r="DJP240" s="140"/>
      <c r="DJQ240" s="140"/>
      <c r="DJR240" s="140"/>
      <c r="DJS240" s="140"/>
      <c r="DJT240" s="140"/>
      <c r="DJU240" s="140"/>
      <c r="DJV240" s="140"/>
      <c r="DJW240" s="140"/>
      <c r="DJX240" s="140"/>
      <c r="DJY240" s="140"/>
      <c r="DJZ240" s="140"/>
      <c r="DKA240" s="140"/>
      <c r="DKB240" s="140"/>
      <c r="DKC240" s="140"/>
      <c r="DKD240" s="140"/>
      <c r="DKE240" s="140"/>
      <c r="DKF240" s="140"/>
      <c r="DKG240" s="140"/>
      <c r="DKH240" s="140"/>
      <c r="DKI240" s="140"/>
      <c r="DKJ240" s="140"/>
      <c r="DKK240" s="140"/>
      <c r="DKL240" s="140"/>
      <c r="DKM240" s="140"/>
      <c r="DKN240" s="140"/>
      <c r="DKO240" s="140"/>
      <c r="DKP240" s="140"/>
      <c r="DKQ240" s="140"/>
      <c r="DKR240" s="140"/>
      <c r="DKS240" s="140"/>
      <c r="DKT240" s="140"/>
      <c r="DKU240" s="140"/>
      <c r="DKV240" s="140"/>
      <c r="DKW240" s="140"/>
      <c r="DKX240" s="140"/>
      <c r="DKY240" s="140"/>
      <c r="DKZ240" s="140"/>
      <c r="DLA240" s="140"/>
      <c r="DLB240" s="140"/>
      <c r="DLC240" s="140"/>
      <c r="DLD240" s="140"/>
      <c r="DLE240" s="140"/>
      <c r="DLF240" s="140"/>
      <c r="DLG240" s="140"/>
      <c r="DLH240" s="140"/>
      <c r="DLI240" s="140"/>
      <c r="DLJ240" s="140"/>
      <c r="DLK240" s="140"/>
      <c r="DLL240" s="140"/>
      <c r="DLM240" s="140"/>
      <c r="DLN240" s="140"/>
      <c r="DLO240" s="140"/>
      <c r="DLP240" s="140"/>
      <c r="DLQ240" s="140"/>
      <c r="DLR240" s="140"/>
      <c r="DLS240" s="140"/>
      <c r="DLT240" s="140"/>
      <c r="DLU240" s="140"/>
      <c r="DLV240" s="140"/>
      <c r="DLW240" s="140"/>
      <c r="DLX240" s="140"/>
      <c r="DLY240" s="140"/>
      <c r="DLZ240" s="140"/>
      <c r="DMA240" s="140"/>
      <c r="DMB240" s="140"/>
      <c r="DMC240" s="140"/>
      <c r="DMD240" s="140"/>
      <c r="DME240" s="140"/>
      <c r="DMF240" s="140"/>
      <c r="DMG240" s="140"/>
      <c r="DMH240" s="140"/>
      <c r="DMI240" s="140"/>
      <c r="DMJ240" s="140"/>
      <c r="DMK240" s="140"/>
      <c r="DML240" s="140"/>
      <c r="DMM240" s="140"/>
      <c r="DMN240" s="140"/>
      <c r="DMO240" s="140"/>
      <c r="DMP240" s="140"/>
      <c r="DMQ240" s="140"/>
      <c r="DMR240" s="140"/>
      <c r="DMS240" s="140"/>
      <c r="DMT240" s="140"/>
      <c r="DMU240" s="140"/>
      <c r="DMV240" s="140"/>
      <c r="DMW240" s="140"/>
      <c r="DMX240" s="140"/>
      <c r="DMY240" s="140"/>
      <c r="DMZ240" s="140"/>
      <c r="DNA240" s="140"/>
      <c r="DNB240" s="140"/>
      <c r="DNC240" s="140"/>
      <c r="DND240" s="140"/>
      <c r="DNE240" s="140"/>
      <c r="DNF240" s="140"/>
      <c r="DNG240" s="140"/>
      <c r="DNH240" s="140"/>
      <c r="DNI240" s="140"/>
      <c r="DNJ240" s="140"/>
      <c r="DNK240" s="140"/>
      <c r="DNL240" s="140"/>
      <c r="DNM240" s="140"/>
      <c r="DNN240" s="140"/>
      <c r="DNO240" s="140"/>
      <c r="DNP240" s="140"/>
      <c r="DNQ240" s="140"/>
      <c r="DNR240" s="140"/>
      <c r="DNS240" s="140"/>
      <c r="DNT240" s="140"/>
      <c r="DNU240" s="140"/>
      <c r="DNV240" s="140"/>
      <c r="DNW240" s="140"/>
      <c r="DNX240" s="140"/>
      <c r="DNY240" s="140"/>
      <c r="DNZ240" s="140"/>
      <c r="DOA240" s="140"/>
      <c r="DOB240" s="140"/>
      <c r="DOC240" s="140"/>
      <c r="DOD240" s="140"/>
      <c r="DOE240" s="140"/>
      <c r="DOF240" s="140"/>
      <c r="DOG240" s="140"/>
      <c r="DOH240" s="140"/>
      <c r="DOI240" s="140"/>
      <c r="DOJ240" s="140"/>
      <c r="DOK240" s="140"/>
      <c r="DOL240" s="140"/>
      <c r="DOM240" s="140"/>
      <c r="DON240" s="140"/>
      <c r="DOO240" s="140"/>
      <c r="DOP240" s="140"/>
      <c r="DOQ240" s="140"/>
      <c r="DOR240" s="140"/>
      <c r="DOS240" s="140"/>
      <c r="DOT240" s="140"/>
      <c r="DOU240" s="140"/>
      <c r="DOV240" s="140"/>
      <c r="DOW240" s="140"/>
      <c r="DOX240" s="140"/>
      <c r="DOY240" s="140"/>
      <c r="DOZ240" s="140"/>
      <c r="DPA240" s="140"/>
      <c r="DPB240" s="140"/>
      <c r="DPC240" s="140"/>
      <c r="DPD240" s="140"/>
      <c r="DPE240" s="140"/>
      <c r="DPF240" s="140"/>
      <c r="DPG240" s="140"/>
      <c r="DPH240" s="140"/>
      <c r="DPI240" s="140"/>
      <c r="DPJ240" s="140"/>
      <c r="DPK240" s="140"/>
      <c r="DPL240" s="140"/>
      <c r="DPM240" s="140"/>
      <c r="DPN240" s="140"/>
      <c r="DPO240" s="140"/>
      <c r="DPP240" s="140"/>
      <c r="DPQ240" s="140"/>
      <c r="DPR240" s="140"/>
      <c r="DPS240" s="140"/>
      <c r="DPT240" s="140"/>
      <c r="DPU240" s="140"/>
      <c r="DPV240" s="140"/>
      <c r="DPW240" s="140"/>
      <c r="DPX240" s="140"/>
      <c r="DPY240" s="140"/>
      <c r="DPZ240" s="140"/>
      <c r="DQA240" s="140"/>
      <c r="DQB240" s="140"/>
      <c r="DQC240" s="140"/>
      <c r="DQD240" s="140"/>
      <c r="DQE240" s="140"/>
      <c r="DQF240" s="140"/>
      <c r="DQG240" s="140"/>
      <c r="DQH240" s="140"/>
      <c r="DQI240" s="140"/>
      <c r="DQJ240" s="140"/>
      <c r="DQK240" s="140"/>
      <c r="DQL240" s="140"/>
      <c r="DQM240" s="140"/>
      <c r="DQN240" s="140"/>
      <c r="DQO240" s="140"/>
      <c r="DQP240" s="140"/>
      <c r="DQQ240" s="140"/>
      <c r="DQR240" s="140"/>
      <c r="DQS240" s="140"/>
      <c r="DQT240" s="140"/>
      <c r="DQU240" s="140"/>
      <c r="DQV240" s="140"/>
      <c r="DQW240" s="140"/>
      <c r="DQX240" s="140"/>
      <c r="DQY240" s="140"/>
      <c r="DQZ240" s="140"/>
      <c r="DRA240" s="140"/>
      <c r="DRB240" s="140"/>
      <c r="DRC240" s="140"/>
      <c r="DRD240" s="140"/>
      <c r="DRE240" s="140"/>
      <c r="DRF240" s="140"/>
      <c r="DRG240" s="140"/>
      <c r="DRH240" s="140"/>
      <c r="DRI240" s="140"/>
      <c r="DRJ240" s="140"/>
      <c r="DRK240" s="140"/>
      <c r="DRL240" s="140"/>
      <c r="DRM240" s="140"/>
      <c r="DRN240" s="140"/>
      <c r="DRO240" s="140"/>
      <c r="DRP240" s="140"/>
      <c r="DRQ240" s="140"/>
      <c r="DRR240" s="140"/>
      <c r="DRS240" s="140"/>
      <c r="DRT240" s="140"/>
      <c r="DRU240" s="140"/>
      <c r="DRV240" s="140"/>
      <c r="DRW240" s="140"/>
      <c r="DRX240" s="140"/>
      <c r="DRY240" s="140"/>
      <c r="DRZ240" s="140"/>
      <c r="DSA240" s="140"/>
      <c r="DSB240" s="140"/>
      <c r="DSC240" s="140"/>
      <c r="DSD240" s="140"/>
      <c r="DSE240" s="140"/>
      <c r="DSF240" s="140"/>
      <c r="DSG240" s="140"/>
      <c r="DSH240" s="140"/>
      <c r="DSI240" s="140"/>
      <c r="DSJ240" s="140"/>
      <c r="DSK240" s="140"/>
      <c r="DSL240" s="140"/>
      <c r="DSM240" s="140"/>
      <c r="DSN240" s="140"/>
      <c r="DSO240" s="140"/>
      <c r="DSP240" s="140"/>
      <c r="DSQ240" s="140"/>
      <c r="DSR240" s="140"/>
      <c r="DSS240" s="140"/>
      <c r="DST240" s="140"/>
      <c r="DSU240" s="140"/>
      <c r="DSV240" s="140"/>
      <c r="DSW240" s="140"/>
      <c r="DSX240" s="140"/>
      <c r="DSY240" s="140"/>
      <c r="DSZ240" s="140"/>
      <c r="DTA240" s="140"/>
      <c r="DTB240" s="140"/>
      <c r="DTC240" s="140"/>
      <c r="DTD240" s="140"/>
      <c r="DTE240" s="140"/>
      <c r="DTF240" s="140"/>
      <c r="DTG240" s="140"/>
      <c r="DTH240" s="140"/>
      <c r="DTI240" s="140"/>
      <c r="DTJ240" s="140"/>
      <c r="DTK240" s="140"/>
      <c r="DTL240" s="140"/>
      <c r="DTM240" s="140"/>
      <c r="DTN240" s="140"/>
      <c r="DTO240" s="140"/>
      <c r="DTP240" s="140"/>
      <c r="DTQ240" s="140"/>
      <c r="DTR240" s="140"/>
      <c r="DTS240" s="140"/>
      <c r="DTT240" s="140"/>
      <c r="DTU240" s="140"/>
      <c r="DTV240" s="140"/>
      <c r="DTW240" s="140"/>
      <c r="DTX240" s="140"/>
      <c r="DTY240" s="140"/>
      <c r="DTZ240" s="140"/>
      <c r="DUA240" s="140"/>
      <c r="DUB240" s="140"/>
      <c r="DUC240" s="140"/>
      <c r="DUD240" s="140"/>
      <c r="DUE240" s="140"/>
      <c r="DUF240" s="140"/>
      <c r="DUG240" s="140"/>
      <c r="DUH240" s="140"/>
      <c r="DUI240" s="140"/>
      <c r="DUJ240" s="140"/>
      <c r="DUK240" s="140"/>
      <c r="DUL240" s="140"/>
      <c r="DUM240" s="140"/>
      <c r="DUN240" s="140"/>
      <c r="DUO240" s="140"/>
      <c r="DUP240" s="140"/>
      <c r="DUQ240" s="140"/>
      <c r="DUR240" s="140"/>
      <c r="DUS240" s="140"/>
      <c r="DUT240" s="140"/>
      <c r="DUU240" s="140"/>
      <c r="DUV240" s="140"/>
      <c r="DUW240" s="140"/>
      <c r="DUX240" s="140"/>
      <c r="DUY240" s="140"/>
      <c r="DUZ240" s="140"/>
      <c r="DVA240" s="140"/>
      <c r="DVB240" s="140"/>
      <c r="DVC240" s="140"/>
      <c r="DVD240" s="140"/>
      <c r="DVE240" s="140"/>
      <c r="DVF240" s="140"/>
      <c r="DVG240" s="140"/>
      <c r="DVH240" s="140"/>
      <c r="DVI240" s="140"/>
      <c r="DVJ240" s="140"/>
      <c r="DVK240" s="140"/>
      <c r="DVL240" s="140"/>
      <c r="DVM240" s="140"/>
      <c r="DVN240" s="140"/>
      <c r="DVO240" s="140"/>
      <c r="DVP240" s="140"/>
      <c r="DVQ240" s="140"/>
      <c r="DVR240" s="140"/>
      <c r="DVS240" s="140"/>
      <c r="DVT240" s="140"/>
      <c r="DVU240" s="140"/>
      <c r="DVV240" s="140"/>
      <c r="DVW240" s="140"/>
      <c r="DVX240" s="140"/>
      <c r="DVY240" s="140"/>
      <c r="DVZ240" s="140"/>
      <c r="DWA240" s="140"/>
      <c r="DWB240" s="140"/>
      <c r="DWC240" s="140"/>
      <c r="DWD240" s="140"/>
      <c r="DWE240" s="140"/>
      <c r="DWF240" s="140"/>
      <c r="DWG240" s="140"/>
      <c r="DWH240" s="140"/>
      <c r="DWI240" s="140"/>
      <c r="DWJ240" s="140"/>
      <c r="DWK240" s="140"/>
      <c r="DWL240" s="140"/>
      <c r="DWM240" s="140"/>
      <c r="DWN240" s="140"/>
      <c r="DWO240" s="140"/>
      <c r="DWP240" s="140"/>
      <c r="DWQ240" s="140"/>
      <c r="DWR240" s="140"/>
      <c r="DWS240" s="140"/>
      <c r="DWT240" s="140"/>
      <c r="DWU240" s="140"/>
      <c r="DWV240" s="140"/>
      <c r="DWW240" s="140"/>
      <c r="DWX240" s="140"/>
      <c r="DWY240" s="140"/>
      <c r="DWZ240" s="140"/>
      <c r="DXA240" s="140"/>
      <c r="DXB240" s="140"/>
      <c r="DXC240" s="140"/>
      <c r="DXD240" s="140"/>
      <c r="DXE240" s="140"/>
      <c r="DXF240" s="140"/>
      <c r="DXG240" s="140"/>
      <c r="DXH240" s="140"/>
      <c r="DXI240" s="140"/>
      <c r="DXJ240" s="140"/>
      <c r="DXK240" s="140"/>
      <c r="DXL240" s="140"/>
      <c r="DXM240" s="140"/>
      <c r="DXN240" s="140"/>
      <c r="DXO240" s="140"/>
      <c r="DXP240" s="140"/>
      <c r="DXQ240" s="140"/>
      <c r="DXR240" s="140"/>
      <c r="DXS240" s="140"/>
      <c r="DXT240" s="140"/>
      <c r="DXU240" s="140"/>
      <c r="DXV240" s="140"/>
      <c r="DXW240" s="140"/>
      <c r="DXX240" s="140"/>
      <c r="DXY240" s="140"/>
      <c r="DXZ240" s="140"/>
      <c r="DYA240" s="140"/>
      <c r="DYB240" s="140"/>
      <c r="DYC240" s="140"/>
      <c r="DYD240" s="140"/>
      <c r="DYE240" s="140"/>
      <c r="DYF240" s="140"/>
      <c r="DYG240" s="140"/>
      <c r="DYH240" s="140"/>
      <c r="DYI240" s="140"/>
      <c r="DYJ240" s="140"/>
      <c r="DYK240" s="140"/>
      <c r="DYL240" s="140"/>
      <c r="DYM240" s="140"/>
      <c r="DYN240" s="140"/>
      <c r="DYO240" s="140"/>
      <c r="DYP240" s="140"/>
      <c r="DYQ240" s="140"/>
      <c r="DYR240" s="140"/>
      <c r="DYS240" s="140"/>
      <c r="DYT240" s="140"/>
      <c r="DYU240" s="140"/>
      <c r="DYV240" s="140"/>
      <c r="DYW240" s="140"/>
      <c r="DYX240" s="140"/>
      <c r="DYY240" s="140"/>
      <c r="DYZ240" s="140"/>
      <c r="DZA240" s="140"/>
      <c r="DZB240" s="140"/>
      <c r="DZC240" s="140"/>
      <c r="DZD240" s="140"/>
      <c r="DZE240" s="140"/>
      <c r="DZF240" s="140"/>
      <c r="DZG240" s="140"/>
      <c r="DZH240" s="140"/>
      <c r="DZI240" s="140"/>
      <c r="DZJ240" s="140"/>
      <c r="DZK240" s="140"/>
      <c r="DZL240" s="140"/>
      <c r="DZM240" s="140"/>
      <c r="DZN240" s="140"/>
      <c r="DZO240" s="140"/>
      <c r="DZP240" s="140"/>
      <c r="DZQ240" s="140"/>
      <c r="DZR240" s="140"/>
      <c r="DZS240" s="140"/>
      <c r="DZT240" s="140"/>
      <c r="DZU240" s="140"/>
      <c r="DZV240" s="140"/>
      <c r="DZW240" s="140"/>
      <c r="DZX240" s="140"/>
      <c r="DZY240" s="140"/>
      <c r="DZZ240" s="140"/>
      <c r="EAA240" s="140"/>
      <c r="EAB240" s="140"/>
      <c r="EAC240" s="140"/>
      <c r="EAD240" s="140"/>
      <c r="EAE240" s="140"/>
      <c r="EAF240" s="140"/>
      <c r="EAG240" s="140"/>
      <c r="EAH240" s="140"/>
      <c r="EAI240" s="140"/>
      <c r="EAJ240" s="140"/>
      <c r="EAK240" s="140"/>
      <c r="EAL240" s="140"/>
      <c r="EAM240" s="140"/>
      <c r="EAN240" s="140"/>
      <c r="EAO240" s="140"/>
      <c r="EAP240" s="140"/>
      <c r="EAQ240" s="140"/>
      <c r="EAR240" s="140"/>
      <c r="EAS240" s="140"/>
      <c r="EAT240" s="140"/>
      <c r="EAU240" s="140"/>
      <c r="EAV240" s="140"/>
      <c r="EAW240" s="140"/>
      <c r="EAX240" s="140"/>
      <c r="EAY240" s="140"/>
      <c r="EAZ240" s="140"/>
      <c r="EBA240" s="140"/>
      <c r="EBB240" s="140"/>
      <c r="EBC240" s="140"/>
      <c r="EBD240" s="140"/>
      <c r="EBE240" s="140"/>
      <c r="EBF240" s="140"/>
      <c r="EBG240" s="140"/>
      <c r="EBH240" s="140"/>
      <c r="EBI240" s="140"/>
      <c r="EBJ240" s="140"/>
      <c r="EBK240" s="140"/>
      <c r="EBL240" s="140"/>
      <c r="EBM240" s="140"/>
      <c r="EBN240" s="140"/>
      <c r="EBO240" s="140"/>
      <c r="EBP240" s="140"/>
      <c r="EBQ240" s="140"/>
      <c r="EBR240" s="140"/>
      <c r="EBS240" s="140"/>
      <c r="EBT240" s="140"/>
      <c r="EBU240" s="140"/>
      <c r="EBV240" s="140"/>
      <c r="EBW240" s="140"/>
      <c r="EBX240" s="140"/>
      <c r="EBY240" s="140"/>
      <c r="EBZ240" s="140"/>
      <c r="ECA240" s="140"/>
      <c r="ECB240" s="140"/>
      <c r="ECC240" s="140"/>
      <c r="ECD240" s="140"/>
      <c r="ECE240" s="140"/>
      <c r="ECF240" s="140"/>
      <c r="ECG240" s="140"/>
      <c r="ECH240" s="140"/>
      <c r="ECI240" s="140"/>
      <c r="ECJ240" s="140"/>
      <c r="ECK240" s="140"/>
      <c r="ECL240" s="140"/>
      <c r="ECM240" s="140"/>
      <c r="ECN240" s="140"/>
      <c r="ECO240" s="140"/>
      <c r="ECP240" s="140"/>
      <c r="ECQ240" s="140"/>
      <c r="ECR240" s="140"/>
      <c r="ECS240" s="140"/>
      <c r="ECT240" s="140"/>
      <c r="ECU240" s="140"/>
      <c r="ECV240" s="140"/>
      <c r="ECW240" s="140"/>
      <c r="ECX240" s="140"/>
      <c r="ECY240" s="140"/>
      <c r="ECZ240" s="140"/>
      <c r="EDA240" s="140"/>
      <c r="EDB240" s="140"/>
      <c r="EDC240" s="140"/>
      <c r="EDD240" s="140"/>
      <c r="EDE240" s="140"/>
      <c r="EDF240" s="140"/>
      <c r="EDG240" s="140"/>
      <c r="EDH240" s="140"/>
      <c r="EDI240" s="140"/>
      <c r="EDJ240" s="140"/>
      <c r="EDK240" s="140"/>
      <c r="EDL240" s="140"/>
      <c r="EDM240" s="140"/>
      <c r="EDN240" s="140"/>
      <c r="EDO240" s="140"/>
      <c r="EDP240" s="140"/>
      <c r="EDQ240" s="140"/>
      <c r="EDR240" s="140"/>
      <c r="EDS240" s="140"/>
      <c r="EDT240" s="140"/>
      <c r="EDU240" s="140"/>
      <c r="EDV240" s="140"/>
      <c r="EDW240" s="140"/>
      <c r="EDX240" s="140"/>
      <c r="EDY240" s="140"/>
      <c r="EDZ240" s="140"/>
      <c r="EEA240" s="140"/>
      <c r="EEB240" s="140"/>
      <c r="EEC240" s="140"/>
      <c r="EED240" s="140"/>
      <c r="EEE240" s="140"/>
      <c r="EEF240" s="140"/>
      <c r="EEG240" s="140"/>
      <c r="EEH240" s="140"/>
      <c r="EEI240" s="140"/>
      <c r="EEJ240" s="140"/>
      <c r="EEK240" s="140"/>
      <c r="EEL240" s="140"/>
      <c r="EEM240" s="140"/>
      <c r="EEN240" s="140"/>
      <c r="EEO240" s="140"/>
      <c r="EEP240" s="140"/>
      <c r="EEQ240" s="140"/>
      <c r="EER240" s="140"/>
      <c r="EES240" s="140"/>
      <c r="EET240" s="140"/>
      <c r="EEU240" s="140"/>
      <c r="EEV240" s="140"/>
      <c r="EEW240" s="140"/>
      <c r="EEX240" s="140"/>
      <c r="EEY240" s="140"/>
      <c r="EEZ240" s="140"/>
      <c r="EFA240" s="140"/>
      <c r="EFB240" s="140"/>
      <c r="EFC240" s="140"/>
      <c r="EFD240" s="140"/>
      <c r="EFE240" s="140"/>
      <c r="EFF240" s="140"/>
      <c r="EFG240" s="140"/>
      <c r="EFH240" s="140"/>
      <c r="EFI240" s="140"/>
      <c r="EFJ240" s="140"/>
      <c r="EFK240" s="140"/>
      <c r="EFL240" s="140"/>
      <c r="EFM240" s="140"/>
      <c r="EFN240" s="140"/>
      <c r="EFO240" s="140"/>
      <c r="EFP240" s="140"/>
      <c r="EFQ240" s="140"/>
      <c r="EFR240" s="140"/>
      <c r="EFS240" s="140"/>
      <c r="EFT240" s="140"/>
      <c r="EFU240" s="140"/>
      <c r="EFV240" s="140"/>
      <c r="EFW240" s="140"/>
      <c r="EFX240" s="140"/>
      <c r="EFY240" s="140"/>
      <c r="EFZ240" s="140"/>
      <c r="EGA240" s="140"/>
      <c r="EGB240" s="140"/>
      <c r="EGC240" s="140"/>
      <c r="EGD240" s="140"/>
      <c r="EGE240" s="140"/>
      <c r="EGF240" s="140"/>
      <c r="EGG240" s="140"/>
      <c r="EGH240" s="140"/>
      <c r="EGI240" s="140"/>
      <c r="EGJ240" s="140"/>
      <c r="EGK240" s="140"/>
      <c r="EGL240" s="140"/>
      <c r="EGM240" s="140"/>
      <c r="EGN240" s="140"/>
      <c r="EGO240" s="140"/>
      <c r="EGP240" s="140"/>
      <c r="EGQ240" s="140"/>
      <c r="EGR240" s="140"/>
      <c r="EGS240" s="140"/>
      <c r="EGT240" s="140"/>
      <c r="EGU240" s="140"/>
      <c r="EGV240" s="140"/>
      <c r="EGW240" s="140"/>
      <c r="EGX240" s="140"/>
      <c r="EGY240" s="140"/>
      <c r="EGZ240" s="140"/>
      <c r="EHA240" s="140"/>
      <c r="EHB240" s="140"/>
      <c r="EHC240" s="140"/>
      <c r="EHD240" s="140"/>
      <c r="EHE240" s="140"/>
      <c r="EHF240" s="140"/>
      <c r="EHG240" s="140"/>
      <c r="EHH240" s="140"/>
      <c r="EHI240" s="140"/>
      <c r="EHJ240" s="140"/>
      <c r="EHK240" s="140"/>
      <c r="EHL240" s="140"/>
      <c r="EHM240" s="140"/>
      <c r="EHN240" s="140"/>
      <c r="EHO240" s="140"/>
      <c r="EHP240" s="140"/>
      <c r="EHQ240" s="140"/>
      <c r="EHR240" s="140"/>
      <c r="EHS240" s="140"/>
      <c r="EHT240" s="140"/>
      <c r="EHU240" s="140"/>
      <c r="EHV240" s="140"/>
      <c r="EHW240" s="140"/>
      <c r="EHX240" s="140"/>
      <c r="EHY240" s="140"/>
      <c r="EHZ240" s="140"/>
      <c r="EIA240" s="140"/>
      <c r="EIB240" s="140"/>
      <c r="EIC240" s="140"/>
      <c r="EID240" s="140"/>
      <c r="EIE240" s="140"/>
      <c r="EIF240" s="140"/>
      <c r="EIG240" s="140"/>
      <c r="EIH240" s="140"/>
      <c r="EII240" s="140"/>
      <c r="EIJ240" s="140"/>
      <c r="EIK240" s="140"/>
      <c r="EIL240" s="140"/>
      <c r="EIM240" s="140"/>
      <c r="EIN240" s="140"/>
      <c r="EIO240" s="140"/>
      <c r="EIP240" s="140"/>
      <c r="EIQ240" s="140"/>
      <c r="EIR240" s="140"/>
      <c r="EIS240" s="140"/>
      <c r="EIT240" s="140"/>
      <c r="EIU240" s="140"/>
      <c r="EIV240" s="140"/>
      <c r="EIW240" s="140"/>
      <c r="EIX240" s="140"/>
      <c r="EIY240" s="140"/>
      <c r="EIZ240" s="140"/>
      <c r="EJA240" s="140"/>
      <c r="EJB240" s="140"/>
      <c r="EJC240" s="140"/>
      <c r="EJD240" s="140"/>
      <c r="EJE240" s="140"/>
      <c r="EJF240" s="140"/>
      <c r="EJG240" s="140"/>
      <c r="EJH240" s="140"/>
      <c r="EJI240" s="140"/>
      <c r="EJJ240" s="140"/>
      <c r="EJK240" s="140"/>
      <c r="EJL240" s="140"/>
      <c r="EJM240" s="140"/>
      <c r="EJN240" s="140"/>
      <c r="EJO240" s="140"/>
      <c r="EJP240" s="140"/>
      <c r="EJQ240" s="140"/>
      <c r="EJR240" s="140"/>
      <c r="EJS240" s="140"/>
      <c r="EJT240" s="140"/>
      <c r="EJU240" s="140"/>
      <c r="EJV240" s="140"/>
      <c r="EJW240" s="140"/>
      <c r="EJX240" s="140"/>
      <c r="EJY240" s="140"/>
      <c r="EJZ240" s="140"/>
      <c r="EKA240" s="140"/>
      <c r="EKB240" s="140"/>
      <c r="EKC240" s="140"/>
      <c r="EKD240" s="140"/>
      <c r="EKE240" s="140"/>
      <c r="EKF240" s="140"/>
      <c r="EKG240" s="140"/>
      <c r="EKH240" s="140"/>
      <c r="EKI240" s="140"/>
      <c r="EKJ240" s="140"/>
      <c r="EKK240" s="140"/>
      <c r="EKL240" s="140"/>
      <c r="EKM240" s="140"/>
      <c r="EKN240" s="140"/>
      <c r="EKO240" s="140"/>
      <c r="EKP240" s="140"/>
      <c r="EKQ240" s="140"/>
      <c r="EKR240" s="140"/>
      <c r="EKS240" s="140"/>
      <c r="EKT240" s="140"/>
      <c r="EKU240" s="140"/>
      <c r="EKV240" s="140"/>
      <c r="EKW240" s="140"/>
      <c r="EKX240" s="140"/>
      <c r="EKY240" s="140"/>
      <c r="EKZ240" s="140"/>
      <c r="ELA240" s="140"/>
      <c r="ELB240" s="140"/>
      <c r="ELC240" s="140"/>
      <c r="ELD240" s="140"/>
      <c r="ELE240" s="140"/>
      <c r="ELF240" s="140"/>
      <c r="ELG240" s="140"/>
      <c r="ELH240" s="140"/>
      <c r="ELI240" s="140"/>
      <c r="ELJ240" s="140"/>
      <c r="ELK240" s="140"/>
      <c r="ELL240" s="140"/>
      <c r="ELM240" s="140"/>
      <c r="ELN240" s="140"/>
      <c r="ELO240" s="140"/>
      <c r="ELP240" s="140"/>
      <c r="ELQ240" s="140"/>
      <c r="ELR240" s="140"/>
      <c r="ELS240" s="140"/>
      <c r="ELT240" s="140"/>
      <c r="ELU240" s="140"/>
      <c r="ELV240" s="140"/>
      <c r="ELW240" s="140"/>
      <c r="ELX240" s="140"/>
      <c r="ELY240" s="140"/>
      <c r="ELZ240" s="140"/>
      <c r="EMA240" s="140"/>
      <c r="EMB240" s="140"/>
      <c r="EMC240" s="140"/>
      <c r="EMD240" s="140"/>
      <c r="EME240" s="140"/>
      <c r="EMF240" s="140"/>
      <c r="EMG240" s="140"/>
      <c r="EMH240" s="140"/>
      <c r="EMI240" s="140"/>
      <c r="EMJ240" s="140"/>
      <c r="EMK240" s="140"/>
      <c r="EML240" s="140"/>
      <c r="EMM240" s="140"/>
      <c r="EMN240" s="140"/>
      <c r="EMO240" s="140"/>
      <c r="EMP240" s="140"/>
      <c r="EMQ240" s="140"/>
      <c r="EMR240" s="140"/>
      <c r="EMS240" s="140"/>
      <c r="EMT240" s="140"/>
      <c r="EMU240" s="140"/>
      <c r="EMV240" s="140"/>
      <c r="EMW240" s="140"/>
      <c r="EMX240" s="140"/>
      <c r="EMY240" s="140"/>
      <c r="EMZ240" s="140"/>
      <c r="ENA240" s="140"/>
      <c r="ENB240" s="140"/>
      <c r="ENC240" s="140"/>
      <c r="END240" s="140"/>
      <c r="ENE240" s="140"/>
      <c r="ENF240" s="140"/>
      <c r="ENG240" s="140"/>
      <c r="ENH240" s="140"/>
      <c r="ENI240" s="140"/>
      <c r="ENJ240" s="140"/>
      <c r="ENK240" s="140"/>
      <c r="ENL240" s="140"/>
      <c r="ENM240" s="140"/>
      <c r="ENN240" s="140"/>
      <c r="ENO240" s="140"/>
      <c r="ENP240" s="140"/>
      <c r="ENQ240" s="140"/>
      <c r="ENR240" s="140"/>
      <c r="ENS240" s="140"/>
      <c r="ENT240" s="140"/>
      <c r="ENU240" s="140"/>
      <c r="ENV240" s="140"/>
      <c r="ENW240" s="140"/>
      <c r="ENX240" s="140"/>
      <c r="ENY240" s="140"/>
      <c r="ENZ240" s="140"/>
      <c r="EOA240" s="140"/>
      <c r="EOB240" s="140"/>
      <c r="EOC240" s="140"/>
      <c r="EOD240" s="140"/>
      <c r="EOE240" s="140"/>
      <c r="EOF240" s="140"/>
      <c r="EOG240" s="140"/>
      <c r="EOH240" s="140"/>
      <c r="EOI240" s="140"/>
      <c r="EOJ240" s="140"/>
      <c r="EOK240" s="140"/>
      <c r="EOL240" s="140"/>
      <c r="EOM240" s="140"/>
      <c r="EON240" s="140"/>
      <c r="EOO240" s="140"/>
      <c r="EOP240" s="140"/>
      <c r="EOQ240" s="140"/>
      <c r="EOR240" s="140"/>
      <c r="EOS240" s="140"/>
      <c r="EOT240" s="140"/>
      <c r="EOU240" s="140"/>
      <c r="EOV240" s="140"/>
      <c r="EOW240" s="140"/>
      <c r="EOX240" s="140"/>
      <c r="EOY240" s="140"/>
      <c r="EOZ240" s="140"/>
      <c r="EPA240" s="140"/>
      <c r="EPB240" s="140"/>
      <c r="EPC240" s="140"/>
      <c r="EPD240" s="140"/>
      <c r="EPE240" s="140"/>
      <c r="EPF240" s="140"/>
      <c r="EPG240" s="140"/>
      <c r="EPH240" s="140"/>
      <c r="EPI240" s="140"/>
      <c r="EPJ240" s="140"/>
      <c r="EPK240" s="140"/>
      <c r="EPL240" s="140"/>
      <c r="EPM240" s="140"/>
      <c r="EPN240" s="140"/>
      <c r="EPO240" s="140"/>
      <c r="EPP240" s="140"/>
      <c r="EPQ240" s="140"/>
      <c r="EPR240" s="140"/>
      <c r="EPS240" s="140"/>
      <c r="EPT240" s="140"/>
      <c r="EPU240" s="140"/>
      <c r="EPV240" s="140"/>
      <c r="EPW240" s="140"/>
      <c r="EPX240" s="140"/>
      <c r="EPY240" s="140"/>
      <c r="EPZ240" s="140"/>
      <c r="EQA240" s="140"/>
      <c r="EQB240" s="140"/>
      <c r="EQC240" s="140"/>
      <c r="EQD240" s="140"/>
      <c r="EQE240" s="140"/>
      <c r="EQF240" s="140"/>
      <c r="EQG240" s="140"/>
      <c r="EQH240" s="140"/>
      <c r="EQI240" s="140"/>
      <c r="EQJ240" s="140"/>
      <c r="EQK240" s="140"/>
      <c r="EQL240" s="140"/>
      <c r="EQM240" s="140"/>
      <c r="EQN240" s="140"/>
      <c r="EQO240" s="140"/>
      <c r="EQP240" s="140"/>
      <c r="EQQ240" s="140"/>
      <c r="EQR240" s="140"/>
      <c r="EQS240" s="140"/>
      <c r="EQT240" s="140"/>
      <c r="EQU240" s="140"/>
      <c r="EQV240" s="140"/>
      <c r="EQW240" s="140"/>
      <c r="EQX240" s="140"/>
      <c r="EQY240" s="140"/>
      <c r="EQZ240" s="140"/>
      <c r="ERA240" s="140"/>
      <c r="ERB240" s="140"/>
      <c r="ERC240" s="140"/>
      <c r="ERD240" s="140"/>
      <c r="ERE240" s="140"/>
      <c r="ERF240" s="140"/>
      <c r="ERG240" s="140"/>
      <c r="ERH240" s="140"/>
      <c r="ERI240" s="140"/>
      <c r="ERJ240" s="140"/>
      <c r="ERK240" s="140"/>
      <c r="ERL240" s="140"/>
      <c r="ERM240" s="140"/>
      <c r="ERN240" s="140"/>
      <c r="ERO240" s="140"/>
      <c r="ERP240" s="140"/>
      <c r="ERQ240" s="140"/>
      <c r="ERR240" s="140"/>
      <c r="ERS240" s="140"/>
      <c r="ERT240" s="140"/>
      <c r="ERU240" s="140"/>
      <c r="ERV240" s="140"/>
      <c r="ERW240" s="140"/>
      <c r="ERX240" s="140"/>
      <c r="ERY240" s="140"/>
      <c r="ERZ240" s="140"/>
      <c r="ESA240" s="140"/>
      <c r="ESB240" s="140"/>
      <c r="ESC240" s="140"/>
      <c r="ESD240" s="140"/>
      <c r="ESE240" s="140"/>
      <c r="ESF240" s="140"/>
      <c r="ESG240" s="140"/>
      <c r="ESH240" s="140"/>
      <c r="ESI240" s="140"/>
      <c r="ESJ240" s="140"/>
      <c r="ESK240" s="140"/>
      <c r="ESL240" s="140"/>
      <c r="ESM240" s="140"/>
      <c r="ESN240" s="140"/>
      <c r="ESO240" s="140"/>
      <c r="ESP240" s="140"/>
      <c r="ESQ240" s="140"/>
      <c r="ESR240" s="140"/>
      <c r="ESS240" s="140"/>
      <c r="EST240" s="140"/>
      <c r="ESU240" s="140"/>
      <c r="ESV240" s="140"/>
      <c r="ESW240" s="140"/>
      <c r="ESX240" s="140"/>
      <c r="ESY240" s="140"/>
      <c r="ESZ240" s="140"/>
      <c r="ETA240" s="140"/>
      <c r="ETB240" s="140"/>
      <c r="ETC240" s="140"/>
      <c r="ETD240" s="140"/>
      <c r="ETE240" s="140"/>
      <c r="ETF240" s="140"/>
      <c r="ETG240" s="140"/>
      <c r="ETH240" s="140"/>
      <c r="ETI240" s="140"/>
      <c r="ETJ240" s="140"/>
      <c r="ETK240" s="140"/>
      <c r="ETL240" s="140"/>
      <c r="ETM240" s="140"/>
      <c r="ETN240" s="140"/>
      <c r="ETO240" s="140"/>
      <c r="ETP240" s="140"/>
      <c r="ETQ240" s="140"/>
      <c r="ETR240" s="140"/>
      <c r="ETS240" s="140"/>
      <c r="ETT240" s="140"/>
      <c r="ETU240" s="140"/>
      <c r="ETV240" s="140"/>
      <c r="ETW240" s="140"/>
      <c r="ETX240" s="140"/>
      <c r="ETY240" s="140"/>
      <c r="ETZ240" s="140"/>
      <c r="EUA240" s="140"/>
      <c r="EUB240" s="140"/>
      <c r="EUC240" s="140"/>
      <c r="EUD240" s="140"/>
      <c r="EUE240" s="140"/>
      <c r="EUF240" s="140"/>
      <c r="EUG240" s="140"/>
      <c r="EUH240" s="140"/>
      <c r="EUI240" s="140"/>
      <c r="EUJ240" s="140"/>
      <c r="EUK240" s="140"/>
      <c r="EUL240" s="140"/>
      <c r="EUM240" s="140"/>
      <c r="EUN240" s="140"/>
      <c r="EUO240" s="140"/>
      <c r="EUP240" s="140"/>
      <c r="EUQ240" s="140"/>
      <c r="EUR240" s="140"/>
      <c r="EUS240" s="140"/>
      <c r="EUT240" s="140"/>
      <c r="EUU240" s="140"/>
      <c r="EUV240" s="140"/>
      <c r="EUW240" s="140"/>
      <c r="EUX240" s="140"/>
      <c r="EUY240" s="140"/>
      <c r="EUZ240" s="140"/>
      <c r="EVA240" s="140"/>
      <c r="EVB240" s="140"/>
      <c r="EVC240" s="140"/>
      <c r="EVD240" s="140"/>
      <c r="EVE240" s="140"/>
      <c r="EVF240" s="140"/>
      <c r="EVG240" s="140"/>
      <c r="EVH240" s="140"/>
      <c r="EVI240" s="140"/>
      <c r="EVJ240" s="140"/>
      <c r="EVK240" s="140"/>
      <c r="EVL240" s="140"/>
      <c r="EVM240" s="140"/>
      <c r="EVN240" s="140"/>
      <c r="EVO240" s="140"/>
      <c r="EVP240" s="140"/>
      <c r="EVQ240" s="140"/>
      <c r="EVR240" s="140"/>
      <c r="EVS240" s="140"/>
      <c r="EVT240" s="140"/>
      <c r="EVU240" s="140"/>
      <c r="EVV240" s="140"/>
      <c r="EVW240" s="140"/>
      <c r="EVX240" s="140"/>
      <c r="EVY240" s="140"/>
      <c r="EVZ240" s="140"/>
      <c r="EWA240" s="140"/>
      <c r="EWB240" s="140"/>
      <c r="EWC240" s="140"/>
      <c r="EWD240" s="140"/>
      <c r="EWE240" s="140"/>
      <c r="EWF240" s="140"/>
      <c r="EWG240" s="140"/>
      <c r="EWH240" s="140"/>
      <c r="EWI240" s="140"/>
      <c r="EWJ240" s="140"/>
      <c r="EWK240" s="140"/>
      <c r="EWL240" s="140"/>
      <c r="EWM240" s="140"/>
      <c r="EWN240" s="140"/>
      <c r="EWO240" s="140"/>
      <c r="EWP240" s="140"/>
      <c r="EWQ240" s="140"/>
      <c r="EWR240" s="140"/>
      <c r="EWS240" s="140"/>
      <c r="EWT240" s="140"/>
      <c r="EWU240" s="140"/>
      <c r="EWV240" s="140"/>
      <c r="EWW240" s="140"/>
      <c r="EWX240" s="140"/>
      <c r="EWY240" s="140"/>
      <c r="EWZ240" s="140"/>
      <c r="EXA240" s="140"/>
      <c r="EXB240" s="140"/>
      <c r="EXC240" s="140"/>
      <c r="EXD240" s="140"/>
      <c r="EXE240" s="140"/>
      <c r="EXF240" s="140"/>
      <c r="EXG240" s="140"/>
      <c r="EXH240" s="140"/>
      <c r="EXI240" s="140"/>
      <c r="EXJ240" s="140"/>
      <c r="EXK240" s="140"/>
      <c r="EXL240" s="140"/>
      <c r="EXM240" s="140"/>
      <c r="EXN240" s="140"/>
      <c r="EXO240" s="140"/>
      <c r="EXP240" s="140"/>
      <c r="EXQ240" s="140"/>
      <c r="EXR240" s="140"/>
      <c r="EXS240" s="140"/>
      <c r="EXT240" s="140"/>
      <c r="EXU240" s="140"/>
      <c r="EXV240" s="140"/>
      <c r="EXW240" s="140"/>
      <c r="EXX240" s="140"/>
      <c r="EXY240" s="140"/>
      <c r="EXZ240" s="140"/>
      <c r="EYA240" s="140"/>
      <c r="EYB240" s="140"/>
      <c r="EYC240" s="140"/>
      <c r="EYD240" s="140"/>
      <c r="EYE240" s="140"/>
      <c r="EYF240" s="140"/>
      <c r="EYG240" s="140"/>
      <c r="EYH240" s="140"/>
      <c r="EYI240" s="140"/>
      <c r="EYJ240" s="140"/>
      <c r="EYK240" s="140"/>
      <c r="EYL240" s="140"/>
      <c r="EYM240" s="140"/>
      <c r="EYN240" s="140"/>
      <c r="EYO240" s="140"/>
      <c r="EYP240" s="140"/>
      <c r="EYQ240" s="140"/>
      <c r="EYR240" s="140"/>
      <c r="EYS240" s="140"/>
      <c r="EYT240" s="140"/>
      <c r="EYU240" s="140"/>
      <c r="EYV240" s="140"/>
      <c r="EYW240" s="140"/>
      <c r="EYX240" s="140"/>
      <c r="EYY240" s="140"/>
      <c r="EYZ240" s="140"/>
      <c r="EZA240" s="140"/>
      <c r="EZB240" s="140"/>
      <c r="EZC240" s="140"/>
      <c r="EZD240" s="140"/>
      <c r="EZE240" s="140"/>
      <c r="EZF240" s="140"/>
      <c r="EZG240" s="140"/>
      <c r="EZH240" s="140"/>
      <c r="EZI240" s="140"/>
      <c r="EZJ240" s="140"/>
      <c r="EZK240" s="140"/>
      <c r="EZL240" s="140"/>
      <c r="EZM240" s="140"/>
      <c r="EZN240" s="140"/>
      <c r="EZO240" s="140"/>
      <c r="EZP240" s="140"/>
      <c r="EZQ240" s="140"/>
      <c r="EZR240" s="140"/>
      <c r="EZS240" s="140"/>
      <c r="EZT240" s="140"/>
      <c r="EZU240" s="140"/>
      <c r="EZV240" s="140"/>
      <c r="EZW240" s="140"/>
      <c r="EZX240" s="140"/>
      <c r="EZY240" s="140"/>
      <c r="EZZ240" s="140"/>
      <c r="FAA240" s="140"/>
      <c r="FAB240" s="140"/>
      <c r="FAC240" s="140"/>
      <c r="FAD240" s="140"/>
      <c r="FAE240" s="140"/>
      <c r="FAF240" s="140"/>
      <c r="FAG240" s="140"/>
      <c r="FAH240" s="140"/>
      <c r="FAI240" s="140"/>
      <c r="FAJ240" s="140"/>
      <c r="FAK240" s="140"/>
      <c r="FAL240" s="140"/>
      <c r="FAM240" s="140"/>
      <c r="FAN240" s="140"/>
      <c r="FAO240" s="140"/>
      <c r="FAP240" s="140"/>
      <c r="FAQ240" s="140"/>
      <c r="FAR240" s="140"/>
      <c r="FAS240" s="140"/>
      <c r="FAT240" s="140"/>
      <c r="FAU240" s="140"/>
      <c r="FAV240" s="140"/>
      <c r="FAW240" s="140"/>
      <c r="FAX240" s="140"/>
      <c r="FAY240" s="140"/>
      <c r="FAZ240" s="140"/>
      <c r="FBA240" s="140"/>
      <c r="FBB240" s="140"/>
      <c r="FBC240" s="140"/>
      <c r="FBD240" s="140"/>
      <c r="FBE240" s="140"/>
      <c r="FBF240" s="140"/>
      <c r="FBG240" s="140"/>
      <c r="FBH240" s="140"/>
      <c r="FBI240" s="140"/>
      <c r="FBJ240" s="140"/>
      <c r="FBK240" s="140"/>
      <c r="FBL240" s="140"/>
      <c r="FBM240" s="140"/>
      <c r="FBN240" s="140"/>
      <c r="FBO240" s="140"/>
      <c r="FBP240" s="140"/>
      <c r="FBQ240" s="140"/>
      <c r="FBR240" s="140"/>
      <c r="FBS240" s="140"/>
      <c r="FBT240" s="140"/>
      <c r="FBU240" s="140"/>
      <c r="FBV240" s="140"/>
      <c r="FBW240" s="140"/>
      <c r="FBX240" s="140"/>
      <c r="FBY240" s="140"/>
      <c r="FBZ240" s="140"/>
      <c r="FCA240" s="140"/>
      <c r="FCB240" s="140"/>
      <c r="FCC240" s="140"/>
      <c r="FCD240" s="140"/>
      <c r="FCE240" s="140"/>
      <c r="FCF240" s="140"/>
      <c r="FCG240" s="140"/>
      <c r="FCH240" s="140"/>
      <c r="FCI240" s="140"/>
      <c r="FCJ240" s="140"/>
      <c r="FCK240" s="140"/>
      <c r="FCL240" s="140"/>
      <c r="FCM240" s="140"/>
      <c r="FCN240" s="140"/>
      <c r="FCO240" s="140"/>
      <c r="FCP240" s="140"/>
      <c r="FCQ240" s="140"/>
      <c r="FCR240" s="140"/>
      <c r="FCS240" s="140"/>
      <c r="FCT240" s="140"/>
      <c r="FCU240" s="140"/>
      <c r="FCV240" s="140"/>
      <c r="FCW240" s="140"/>
      <c r="FCX240" s="140"/>
      <c r="FCY240" s="140"/>
      <c r="FCZ240" s="140"/>
      <c r="FDA240" s="140"/>
      <c r="FDB240" s="140"/>
      <c r="FDC240" s="140"/>
      <c r="FDD240" s="140"/>
      <c r="FDE240" s="140"/>
      <c r="FDF240" s="140"/>
      <c r="FDG240" s="140"/>
      <c r="FDH240" s="140"/>
      <c r="FDI240" s="140"/>
      <c r="FDJ240" s="140"/>
      <c r="FDK240" s="140"/>
      <c r="FDL240" s="140"/>
      <c r="FDM240" s="140"/>
      <c r="FDN240" s="140"/>
      <c r="FDO240" s="140"/>
      <c r="FDP240" s="140"/>
      <c r="FDQ240" s="140"/>
      <c r="FDR240" s="140"/>
      <c r="FDS240" s="140"/>
      <c r="FDT240" s="140"/>
      <c r="FDU240" s="140"/>
      <c r="FDV240" s="140"/>
      <c r="FDW240" s="140"/>
      <c r="FDX240" s="140"/>
      <c r="FDY240" s="140"/>
      <c r="FDZ240" s="140"/>
      <c r="FEA240" s="140"/>
      <c r="FEB240" s="140"/>
      <c r="FEC240" s="140"/>
      <c r="FED240" s="140"/>
      <c r="FEE240" s="140"/>
      <c r="FEF240" s="140"/>
      <c r="FEG240" s="140"/>
      <c r="FEH240" s="140"/>
      <c r="FEI240" s="140"/>
      <c r="FEJ240" s="140"/>
      <c r="FEK240" s="140"/>
      <c r="FEL240" s="140"/>
      <c r="FEM240" s="140"/>
      <c r="FEN240" s="140"/>
      <c r="FEO240" s="140"/>
      <c r="FEP240" s="140"/>
      <c r="FEQ240" s="140"/>
      <c r="FER240" s="140"/>
      <c r="FES240" s="140"/>
      <c r="FET240" s="140"/>
      <c r="FEU240" s="140"/>
      <c r="FEV240" s="140"/>
      <c r="FEW240" s="140"/>
      <c r="FEX240" s="140"/>
      <c r="FEY240" s="140"/>
      <c r="FEZ240" s="140"/>
      <c r="FFA240" s="140"/>
      <c r="FFB240" s="140"/>
      <c r="FFC240" s="140"/>
      <c r="FFD240" s="140"/>
      <c r="FFE240" s="140"/>
      <c r="FFF240" s="140"/>
      <c r="FFG240" s="140"/>
      <c r="FFH240" s="140"/>
      <c r="FFI240" s="140"/>
      <c r="FFJ240" s="140"/>
      <c r="FFK240" s="140"/>
      <c r="FFL240" s="140"/>
      <c r="FFM240" s="140"/>
      <c r="FFN240" s="140"/>
      <c r="FFO240" s="140"/>
      <c r="FFP240" s="140"/>
      <c r="FFQ240" s="140"/>
      <c r="FFR240" s="140"/>
      <c r="FFS240" s="140"/>
      <c r="FFT240" s="140"/>
      <c r="FFU240" s="140"/>
      <c r="FFV240" s="140"/>
      <c r="FFW240" s="140"/>
      <c r="FFX240" s="140"/>
      <c r="FFY240" s="140"/>
      <c r="FFZ240" s="140"/>
      <c r="FGA240" s="140"/>
      <c r="FGB240" s="140"/>
      <c r="FGC240" s="140"/>
      <c r="FGD240" s="140"/>
      <c r="FGE240" s="140"/>
      <c r="FGF240" s="140"/>
      <c r="FGG240" s="140"/>
      <c r="FGH240" s="140"/>
      <c r="FGI240" s="140"/>
      <c r="FGJ240" s="140"/>
      <c r="FGK240" s="140"/>
      <c r="FGL240" s="140"/>
      <c r="FGM240" s="140"/>
      <c r="FGN240" s="140"/>
      <c r="FGO240" s="140"/>
      <c r="FGP240" s="140"/>
      <c r="FGQ240" s="140"/>
      <c r="FGR240" s="140"/>
      <c r="FGS240" s="140"/>
      <c r="FGT240" s="140"/>
      <c r="FGU240" s="140"/>
      <c r="FGV240" s="140"/>
      <c r="FGW240" s="140"/>
      <c r="FGX240" s="140"/>
      <c r="FGY240" s="140"/>
      <c r="FGZ240" s="140"/>
      <c r="FHA240" s="140"/>
      <c r="FHB240" s="140"/>
      <c r="FHC240" s="140"/>
      <c r="FHD240" s="140"/>
      <c r="FHE240" s="140"/>
      <c r="FHF240" s="140"/>
      <c r="FHG240" s="140"/>
      <c r="FHH240" s="140"/>
      <c r="FHI240" s="140"/>
      <c r="FHJ240" s="140"/>
      <c r="FHK240" s="140"/>
      <c r="FHL240" s="140"/>
      <c r="FHM240" s="140"/>
      <c r="FHN240" s="140"/>
      <c r="FHO240" s="140"/>
      <c r="FHP240" s="140"/>
      <c r="FHQ240" s="140"/>
      <c r="FHR240" s="140"/>
      <c r="FHS240" s="140"/>
      <c r="FHT240" s="140"/>
      <c r="FHU240" s="140"/>
      <c r="FHV240" s="140"/>
      <c r="FHW240" s="140"/>
      <c r="FHX240" s="140"/>
      <c r="FHY240" s="140"/>
      <c r="FHZ240" s="140"/>
      <c r="FIA240" s="140"/>
      <c r="FIB240" s="140"/>
      <c r="FIC240" s="140"/>
      <c r="FID240" s="140"/>
      <c r="FIE240" s="140"/>
      <c r="FIF240" s="140"/>
      <c r="FIG240" s="140"/>
      <c r="FIH240" s="140"/>
      <c r="FII240" s="140"/>
      <c r="FIJ240" s="140"/>
      <c r="FIK240" s="140"/>
      <c r="FIL240" s="140"/>
      <c r="FIM240" s="140"/>
      <c r="FIN240" s="140"/>
      <c r="FIO240" s="140"/>
      <c r="FIP240" s="140"/>
      <c r="FIQ240" s="140"/>
      <c r="FIR240" s="140"/>
      <c r="FIS240" s="140"/>
      <c r="FIT240" s="140"/>
      <c r="FIU240" s="140"/>
      <c r="FIV240" s="140"/>
      <c r="FIW240" s="140"/>
      <c r="FIX240" s="140"/>
      <c r="FIY240" s="140"/>
      <c r="FIZ240" s="140"/>
      <c r="FJA240" s="140"/>
      <c r="FJB240" s="140"/>
      <c r="FJC240" s="140"/>
      <c r="FJD240" s="140"/>
      <c r="FJE240" s="140"/>
      <c r="FJF240" s="140"/>
      <c r="FJG240" s="140"/>
      <c r="FJH240" s="140"/>
      <c r="FJI240" s="140"/>
      <c r="FJJ240" s="140"/>
      <c r="FJK240" s="140"/>
      <c r="FJL240" s="140"/>
      <c r="FJM240" s="140"/>
      <c r="FJN240" s="140"/>
      <c r="FJO240" s="140"/>
      <c r="FJP240" s="140"/>
      <c r="FJQ240" s="140"/>
      <c r="FJR240" s="140"/>
      <c r="FJS240" s="140"/>
      <c r="FJT240" s="140"/>
      <c r="FJU240" s="140"/>
      <c r="FJV240" s="140"/>
      <c r="FJW240" s="140"/>
      <c r="FJX240" s="140"/>
      <c r="FJY240" s="140"/>
      <c r="FJZ240" s="140"/>
      <c r="FKA240" s="140"/>
      <c r="FKB240" s="140"/>
      <c r="FKC240" s="140"/>
      <c r="FKD240" s="140"/>
      <c r="FKE240" s="140"/>
      <c r="FKF240" s="140"/>
      <c r="FKG240" s="140"/>
      <c r="FKH240" s="140"/>
      <c r="FKI240" s="140"/>
      <c r="FKJ240" s="140"/>
      <c r="FKK240" s="140"/>
      <c r="FKL240" s="140"/>
      <c r="FKM240" s="140"/>
      <c r="FKN240" s="140"/>
      <c r="FKO240" s="140"/>
      <c r="FKP240" s="140"/>
      <c r="FKQ240" s="140"/>
      <c r="FKR240" s="140"/>
      <c r="FKS240" s="140"/>
      <c r="FKT240" s="140"/>
      <c r="FKU240" s="140"/>
      <c r="FKV240" s="140"/>
      <c r="FKW240" s="140"/>
      <c r="FKX240" s="140"/>
      <c r="FKY240" s="140"/>
      <c r="FKZ240" s="140"/>
      <c r="FLA240" s="140"/>
      <c r="FLB240" s="140"/>
      <c r="FLC240" s="140"/>
      <c r="FLD240" s="140"/>
      <c r="FLE240" s="140"/>
      <c r="FLF240" s="140"/>
      <c r="FLG240" s="140"/>
      <c r="FLH240" s="140"/>
      <c r="FLI240" s="140"/>
      <c r="FLJ240" s="140"/>
      <c r="FLK240" s="140"/>
      <c r="FLL240" s="140"/>
      <c r="FLM240" s="140"/>
      <c r="FLN240" s="140"/>
      <c r="FLO240" s="140"/>
      <c r="FLP240" s="140"/>
      <c r="FLQ240" s="140"/>
      <c r="FLR240" s="140"/>
      <c r="FLS240" s="140"/>
      <c r="FLT240" s="140"/>
      <c r="FLU240" s="140"/>
      <c r="FLV240" s="140"/>
      <c r="FLW240" s="140"/>
      <c r="FLX240" s="140"/>
      <c r="FLY240" s="140"/>
      <c r="FLZ240" s="140"/>
      <c r="FMA240" s="140"/>
      <c r="FMB240" s="140"/>
      <c r="FMC240" s="140"/>
      <c r="FMD240" s="140"/>
      <c r="FME240" s="140"/>
      <c r="FMF240" s="140"/>
      <c r="FMG240" s="140"/>
      <c r="FMH240" s="140"/>
      <c r="FMI240" s="140"/>
      <c r="FMJ240" s="140"/>
      <c r="FMK240" s="140"/>
      <c r="FML240" s="140"/>
      <c r="FMM240" s="140"/>
      <c r="FMN240" s="140"/>
      <c r="FMO240" s="140"/>
      <c r="FMP240" s="140"/>
      <c r="FMQ240" s="140"/>
      <c r="FMR240" s="140"/>
      <c r="FMS240" s="140"/>
      <c r="FMT240" s="140"/>
      <c r="FMU240" s="140"/>
      <c r="FMV240" s="140"/>
      <c r="FMW240" s="140"/>
      <c r="FMX240" s="140"/>
      <c r="FMY240" s="140"/>
      <c r="FMZ240" s="140"/>
      <c r="FNA240" s="140"/>
      <c r="FNB240" s="140"/>
      <c r="FNC240" s="140"/>
      <c r="FND240" s="140"/>
      <c r="FNE240" s="140"/>
      <c r="FNF240" s="140"/>
      <c r="FNG240" s="140"/>
      <c r="FNH240" s="140"/>
      <c r="FNI240" s="140"/>
      <c r="FNJ240" s="140"/>
      <c r="FNK240" s="140"/>
      <c r="FNL240" s="140"/>
      <c r="FNM240" s="140"/>
      <c r="FNN240" s="140"/>
      <c r="FNO240" s="140"/>
      <c r="FNP240" s="140"/>
      <c r="FNQ240" s="140"/>
      <c r="FNR240" s="140"/>
      <c r="FNS240" s="140"/>
      <c r="FNT240" s="140"/>
      <c r="FNU240" s="140"/>
      <c r="FNV240" s="140"/>
      <c r="FNW240" s="140"/>
      <c r="FNX240" s="140"/>
      <c r="FNY240" s="140"/>
      <c r="FNZ240" s="140"/>
      <c r="FOA240" s="140"/>
      <c r="FOB240" s="140"/>
      <c r="FOC240" s="140"/>
      <c r="FOD240" s="140"/>
      <c r="FOE240" s="140"/>
      <c r="FOF240" s="140"/>
      <c r="FOG240" s="140"/>
      <c r="FOH240" s="140"/>
      <c r="FOI240" s="140"/>
      <c r="FOJ240" s="140"/>
      <c r="FOK240" s="140"/>
      <c r="FOL240" s="140"/>
      <c r="FOM240" s="140"/>
      <c r="FON240" s="140"/>
      <c r="FOO240" s="140"/>
      <c r="FOP240" s="140"/>
      <c r="FOQ240" s="140"/>
      <c r="FOR240" s="140"/>
      <c r="FOS240" s="140"/>
      <c r="FOT240" s="140"/>
      <c r="FOU240" s="140"/>
      <c r="FOV240" s="140"/>
      <c r="FOW240" s="140"/>
      <c r="FOX240" s="140"/>
      <c r="FOY240" s="140"/>
      <c r="FOZ240" s="140"/>
      <c r="FPA240" s="140"/>
      <c r="FPB240" s="140"/>
      <c r="FPC240" s="140"/>
      <c r="FPD240" s="140"/>
      <c r="FPE240" s="140"/>
      <c r="FPF240" s="140"/>
      <c r="FPG240" s="140"/>
      <c r="FPH240" s="140"/>
      <c r="FPI240" s="140"/>
      <c r="FPJ240" s="140"/>
      <c r="FPK240" s="140"/>
      <c r="FPL240" s="140"/>
      <c r="FPM240" s="140"/>
      <c r="FPN240" s="140"/>
      <c r="FPO240" s="140"/>
      <c r="FPP240" s="140"/>
      <c r="FPQ240" s="140"/>
      <c r="FPR240" s="140"/>
      <c r="FPS240" s="140"/>
      <c r="FPT240" s="140"/>
      <c r="FPU240" s="140"/>
      <c r="FPV240" s="140"/>
      <c r="FPW240" s="140"/>
      <c r="FPX240" s="140"/>
      <c r="FPY240" s="140"/>
      <c r="FPZ240" s="140"/>
      <c r="FQA240" s="140"/>
      <c r="FQB240" s="140"/>
      <c r="FQC240" s="140"/>
      <c r="FQD240" s="140"/>
      <c r="FQE240" s="140"/>
      <c r="FQF240" s="140"/>
      <c r="FQG240" s="140"/>
      <c r="FQH240" s="140"/>
      <c r="FQI240" s="140"/>
      <c r="FQJ240" s="140"/>
      <c r="FQK240" s="140"/>
      <c r="FQL240" s="140"/>
      <c r="FQM240" s="140"/>
      <c r="FQN240" s="140"/>
      <c r="FQO240" s="140"/>
      <c r="FQP240" s="140"/>
      <c r="FQQ240" s="140"/>
      <c r="FQR240" s="140"/>
      <c r="FQS240" s="140"/>
      <c r="FQT240" s="140"/>
      <c r="FQU240" s="140"/>
      <c r="FQV240" s="140"/>
      <c r="FQW240" s="140"/>
      <c r="FQX240" s="140"/>
      <c r="FQY240" s="140"/>
      <c r="FQZ240" s="140"/>
      <c r="FRA240" s="140"/>
      <c r="FRB240" s="140"/>
      <c r="FRC240" s="140"/>
      <c r="FRD240" s="140"/>
      <c r="FRE240" s="140"/>
      <c r="FRF240" s="140"/>
      <c r="FRG240" s="140"/>
      <c r="FRH240" s="140"/>
      <c r="FRI240" s="140"/>
      <c r="FRJ240" s="140"/>
      <c r="FRK240" s="140"/>
      <c r="FRL240" s="140"/>
      <c r="FRM240" s="140"/>
      <c r="FRN240" s="140"/>
      <c r="FRO240" s="140"/>
      <c r="FRP240" s="140"/>
      <c r="FRQ240" s="140"/>
      <c r="FRR240" s="140"/>
      <c r="FRS240" s="140"/>
      <c r="FRT240" s="140"/>
      <c r="FRU240" s="140"/>
      <c r="FRV240" s="140"/>
      <c r="FRW240" s="140"/>
      <c r="FRX240" s="140"/>
      <c r="FRY240" s="140"/>
      <c r="FRZ240" s="140"/>
      <c r="FSA240" s="140"/>
      <c r="FSB240" s="140"/>
      <c r="FSC240" s="140"/>
      <c r="FSD240" s="140"/>
      <c r="FSE240" s="140"/>
      <c r="FSF240" s="140"/>
      <c r="FSG240" s="140"/>
      <c r="FSH240" s="140"/>
      <c r="FSI240" s="140"/>
      <c r="FSJ240" s="140"/>
      <c r="FSK240" s="140"/>
      <c r="FSL240" s="140"/>
      <c r="FSM240" s="140"/>
      <c r="FSN240" s="140"/>
      <c r="FSO240" s="140"/>
      <c r="FSP240" s="140"/>
      <c r="FSQ240" s="140"/>
      <c r="FSR240" s="140"/>
      <c r="FSS240" s="140"/>
      <c r="FST240" s="140"/>
      <c r="FSU240" s="140"/>
      <c r="FSV240" s="140"/>
      <c r="FSW240" s="140"/>
      <c r="FSX240" s="140"/>
      <c r="FSY240" s="140"/>
      <c r="FSZ240" s="140"/>
      <c r="FTA240" s="140"/>
      <c r="FTB240" s="140"/>
      <c r="FTC240" s="140"/>
      <c r="FTD240" s="140"/>
      <c r="FTE240" s="140"/>
      <c r="FTF240" s="140"/>
      <c r="FTG240" s="140"/>
      <c r="FTH240" s="140"/>
      <c r="FTI240" s="140"/>
      <c r="FTJ240" s="140"/>
      <c r="FTK240" s="140"/>
      <c r="FTL240" s="140"/>
      <c r="FTM240" s="140"/>
      <c r="FTN240" s="140"/>
      <c r="FTO240" s="140"/>
      <c r="FTP240" s="140"/>
      <c r="FTQ240" s="140"/>
      <c r="FTR240" s="140"/>
      <c r="FTS240" s="140"/>
      <c r="FTT240" s="140"/>
      <c r="FTU240" s="140"/>
      <c r="FTV240" s="140"/>
      <c r="FTW240" s="140"/>
      <c r="FTX240" s="140"/>
      <c r="FTY240" s="140"/>
      <c r="FTZ240" s="140"/>
      <c r="FUA240" s="140"/>
      <c r="FUB240" s="140"/>
      <c r="FUC240" s="140"/>
      <c r="FUD240" s="140"/>
      <c r="FUE240" s="140"/>
      <c r="FUF240" s="140"/>
      <c r="FUG240" s="140"/>
      <c r="FUH240" s="140"/>
      <c r="FUI240" s="140"/>
      <c r="FUJ240" s="140"/>
      <c r="FUK240" s="140"/>
      <c r="FUL240" s="140"/>
      <c r="FUM240" s="140"/>
      <c r="FUN240" s="140"/>
      <c r="FUO240" s="140"/>
      <c r="FUP240" s="140"/>
      <c r="FUQ240" s="140"/>
      <c r="FUR240" s="140"/>
      <c r="FUS240" s="140"/>
      <c r="FUT240" s="140"/>
      <c r="FUU240" s="140"/>
      <c r="FUV240" s="140"/>
      <c r="FUW240" s="140"/>
      <c r="FUX240" s="140"/>
      <c r="FUY240" s="140"/>
      <c r="FUZ240" s="140"/>
      <c r="FVA240" s="140"/>
      <c r="FVB240" s="140"/>
      <c r="FVC240" s="140"/>
      <c r="FVD240" s="140"/>
      <c r="FVE240" s="140"/>
      <c r="FVF240" s="140"/>
      <c r="FVG240" s="140"/>
      <c r="FVH240" s="140"/>
      <c r="FVI240" s="140"/>
      <c r="FVJ240" s="140"/>
      <c r="FVK240" s="140"/>
      <c r="FVL240" s="140"/>
      <c r="FVM240" s="140"/>
      <c r="FVN240" s="140"/>
      <c r="FVO240" s="140"/>
      <c r="FVP240" s="140"/>
      <c r="FVQ240" s="140"/>
      <c r="FVR240" s="140"/>
      <c r="FVS240" s="140"/>
      <c r="FVT240" s="140"/>
      <c r="FVU240" s="140"/>
      <c r="FVV240" s="140"/>
      <c r="FVW240" s="140"/>
      <c r="FVX240" s="140"/>
      <c r="FVY240" s="140"/>
      <c r="FVZ240" s="140"/>
      <c r="FWA240" s="140"/>
      <c r="FWB240" s="140"/>
      <c r="FWC240" s="140"/>
      <c r="FWD240" s="140"/>
      <c r="FWE240" s="140"/>
      <c r="FWF240" s="140"/>
      <c r="FWG240" s="140"/>
      <c r="FWH240" s="140"/>
      <c r="FWI240" s="140"/>
      <c r="FWJ240" s="140"/>
      <c r="FWK240" s="140"/>
      <c r="FWL240" s="140"/>
      <c r="FWM240" s="140"/>
      <c r="FWN240" s="140"/>
      <c r="FWO240" s="140"/>
      <c r="FWP240" s="140"/>
      <c r="FWQ240" s="140"/>
      <c r="FWR240" s="140"/>
      <c r="FWS240" s="140"/>
      <c r="FWT240" s="140"/>
      <c r="FWU240" s="140"/>
      <c r="FWV240" s="140"/>
      <c r="FWW240" s="140"/>
      <c r="FWX240" s="140"/>
      <c r="FWY240" s="140"/>
      <c r="FWZ240" s="140"/>
      <c r="FXA240" s="140"/>
      <c r="FXB240" s="140"/>
      <c r="FXC240" s="140"/>
      <c r="FXD240" s="140"/>
      <c r="FXE240" s="140"/>
      <c r="FXF240" s="140"/>
      <c r="FXG240" s="140"/>
      <c r="FXH240" s="140"/>
      <c r="FXI240" s="140"/>
      <c r="FXJ240" s="140"/>
      <c r="FXK240" s="140"/>
      <c r="FXL240" s="140"/>
      <c r="FXM240" s="140"/>
      <c r="FXN240" s="140"/>
      <c r="FXO240" s="140"/>
      <c r="FXP240" s="140"/>
      <c r="FXQ240" s="140"/>
      <c r="FXR240" s="140"/>
      <c r="FXS240" s="140"/>
      <c r="FXT240" s="140"/>
      <c r="FXU240" s="140"/>
      <c r="FXV240" s="140"/>
      <c r="FXW240" s="140"/>
      <c r="FXX240" s="140"/>
      <c r="FXY240" s="140"/>
      <c r="FXZ240" s="140"/>
      <c r="FYA240" s="140"/>
      <c r="FYB240" s="140"/>
      <c r="FYC240" s="140"/>
      <c r="FYD240" s="140"/>
      <c r="FYE240" s="140"/>
      <c r="FYF240" s="140"/>
      <c r="FYG240" s="140"/>
      <c r="FYH240" s="140"/>
      <c r="FYI240" s="140"/>
      <c r="FYJ240" s="140"/>
      <c r="FYK240" s="140"/>
      <c r="FYL240" s="140"/>
      <c r="FYM240" s="140"/>
      <c r="FYN240" s="140"/>
      <c r="FYO240" s="140"/>
      <c r="FYP240" s="140"/>
      <c r="FYQ240" s="140"/>
      <c r="FYR240" s="140"/>
      <c r="FYS240" s="140"/>
      <c r="FYT240" s="140"/>
      <c r="FYU240" s="140"/>
      <c r="FYV240" s="140"/>
      <c r="FYW240" s="140"/>
      <c r="FYX240" s="140"/>
      <c r="FYY240" s="140"/>
      <c r="FYZ240" s="140"/>
      <c r="FZA240" s="140"/>
      <c r="FZB240" s="140"/>
      <c r="FZC240" s="140"/>
      <c r="FZD240" s="140"/>
      <c r="FZE240" s="140"/>
      <c r="FZF240" s="140"/>
      <c r="FZG240" s="140"/>
      <c r="FZH240" s="140"/>
      <c r="FZI240" s="140"/>
      <c r="FZJ240" s="140"/>
      <c r="FZK240" s="140"/>
      <c r="FZL240" s="140"/>
      <c r="FZM240" s="140"/>
      <c r="FZN240" s="140"/>
      <c r="FZO240" s="140"/>
      <c r="FZP240" s="140"/>
      <c r="FZQ240" s="140"/>
      <c r="FZR240" s="140"/>
      <c r="FZS240" s="140"/>
      <c r="FZT240" s="140"/>
      <c r="FZU240" s="140"/>
      <c r="FZV240" s="140"/>
      <c r="FZW240" s="140"/>
      <c r="FZX240" s="140"/>
      <c r="FZY240" s="140"/>
      <c r="FZZ240" s="140"/>
      <c r="GAA240" s="140"/>
      <c r="GAB240" s="140"/>
      <c r="GAC240" s="140"/>
      <c r="GAD240" s="140"/>
      <c r="GAE240" s="140"/>
      <c r="GAF240" s="140"/>
      <c r="GAG240" s="140"/>
      <c r="GAH240" s="140"/>
      <c r="GAI240" s="140"/>
      <c r="GAJ240" s="140"/>
      <c r="GAK240" s="140"/>
      <c r="GAL240" s="140"/>
      <c r="GAM240" s="140"/>
      <c r="GAN240" s="140"/>
      <c r="GAO240" s="140"/>
      <c r="GAP240" s="140"/>
      <c r="GAQ240" s="140"/>
      <c r="GAR240" s="140"/>
      <c r="GAS240" s="140"/>
      <c r="GAT240" s="140"/>
      <c r="GAU240" s="140"/>
      <c r="GAV240" s="140"/>
      <c r="GAW240" s="140"/>
      <c r="GAX240" s="140"/>
      <c r="GAY240" s="140"/>
      <c r="GAZ240" s="140"/>
      <c r="GBA240" s="140"/>
      <c r="GBB240" s="140"/>
      <c r="GBC240" s="140"/>
      <c r="GBD240" s="140"/>
      <c r="GBE240" s="140"/>
      <c r="GBF240" s="140"/>
      <c r="GBG240" s="140"/>
      <c r="GBH240" s="140"/>
      <c r="GBI240" s="140"/>
      <c r="GBJ240" s="140"/>
      <c r="GBK240" s="140"/>
      <c r="GBL240" s="140"/>
      <c r="GBM240" s="140"/>
      <c r="GBN240" s="140"/>
      <c r="GBO240" s="140"/>
      <c r="GBP240" s="140"/>
      <c r="GBQ240" s="140"/>
      <c r="GBR240" s="140"/>
      <c r="GBS240" s="140"/>
      <c r="GBT240" s="140"/>
      <c r="GBU240" s="140"/>
      <c r="GBV240" s="140"/>
      <c r="GBW240" s="140"/>
      <c r="GBX240" s="140"/>
      <c r="GBY240" s="140"/>
      <c r="GBZ240" s="140"/>
      <c r="GCA240" s="140"/>
      <c r="GCB240" s="140"/>
      <c r="GCC240" s="140"/>
      <c r="GCD240" s="140"/>
      <c r="GCE240" s="140"/>
      <c r="GCF240" s="140"/>
      <c r="GCG240" s="140"/>
      <c r="GCH240" s="140"/>
      <c r="GCI240" s="140"/>
      <c r="GCJ240" s="140"/>
      <c r="GCK240" s="140"/>
      <c r="GCL240" s="140"/>
      <c r="GCM240" s="140"/>
      <c r="GCN240" s="140"/>
      <c r="GCO240" s="140"/>
      <c r="GCP240" s="140"/>
      <c r="GCQ240" s="140"/>
      <c r="GCR240" s="140"/>
      <c r="GCS240" s="140"/>
      <c r="GCT240" s="140"/>
      <c r="GCU240" s="140"/>
      <c r="GCV240" s="140"/>
      <c r="GCW240" s="140"/>
      <c r="GCX240" s="140"/>
      <c r="GCY240" s="140"/>
      <c r="GCZ240" s="140"/>
      <c r="GDA240" s="140"/>
      <c r="GDB240" s="140"/>
      <c r="GDC240" s="140"/>
      <c r="GDD240" s="140"/>
      <c r="GDE240" s="140"/>
      <c r="GDF240" s="140"/>
      <c r="GDG240" s="140"/>
      <c r="GDH240" s="140"/>
      <c r="GDI240" s="140"/>
      <c r="GDJ240" s="140"/>
      <c r="GDK240" s="140"/>
      <c r="GDL240" s="140"/>
      <c r="GDM240" s="140"/>
      <c r="GDN240" s="140"/>
      <c r="GDO240" s="140"/>
      <c r="GDP240" s="140"/>
      <c r="GDQ240" s="140"/>
      <c r="GDR240" s="140"/>
      <c r="GDS240" s="140"/>
      <c r="GDT240" s="140"/>
      <c r="GDU240" s="140"/>
      <c r="GDV240" s="140"/>
      <c r="GDW240" s="140"/>
      <c r="GDX240" s="140"/>
      <c r="GDY240" s="140"/>
      <c r="GDZ240" s="140"/>
      <c r="GEA240" s="140"/>
      <c r="GEB240" s="140"/>
      <c r="GEC240" s="140"/>
      <c r="GED240" s="140"/>
      <c r="GEE240" s="140"/>
      <c r="GEF240" s="140"/>
      <c r="GEG240" s="140"/>
      <c r="GEH240" s="140"/>
      <c r="GEI240" s="140"/>
      <c r="GEJ240" s="140"/>
      <c r="GEK240" s="140"/>
      <c r="GEL240" s="140"/>
      <c r="GEM240" s="140"/>
      <c r="GEN240" s="140"/>
      <c r="GEO240" s="140"/>
      <c r="GEP240" s="140"/>
      <c r="GEQ240" s="140"/>
      <c r="GER240" s="140"/>
      <c r="GES240" s="140"/>
      <c r="GET240" s="140"/>
      <c r="GEU240" s="140"/>
      <c r="GEV240" s="140"/>
      <c r="GEW240" s="140"/>
      <c r="GEX240" s="140"/>
      <c r="GEY240" s="140"/>
      <c r="GEZ240" s="140"/>
      <c r="GFA240" s="140"/>
      <c r="GFB240" s="140"/>
      <c r="GFC240" s="140"/>
      <c r="GFD240" s="140"/>
      <c r="GFE240" s="140"/>
      <c r="GFF240" s="140"/>
      <c r="GFG240" s="140"/>
      <c r="GFH240" s="140"/>
      <c r="GFI240" s="140"/>
      <c r="GFJ240" s="140"/>
      <c r="GFK240" s="140"/>
      <c r="GFL240" s="140"/>
      <c r="GFM240" s="140"/>
      <c r="GFN240" s="140"/>
      <c r="GFO240" s="140"/>
      <c r="GFP240" s="140"/>
      <c r="GFQ240" s="140"/>
      <c r="GFR240" s="140"/>
      <c r="GFS240" s="140"/>
      <c r="GFT240" s="140"/>
      <c r="GFU240" s="140"/>
      <c r="GFV240" s="140"/>
      <c r="GFW240" s="140"/>
      <c r="GFX240" s="140"/>
      <c r="GFY240" s="140"/>
      <c r="GFZ240" s="140"/>
      <c r="GGA240" s="140"/>
      <c r="GGB240" s="140"/>
      <c r="GGC240" s="140"/>
      <c r="GGD240" s="140"/>
      <c r="GGE240" s="140"/>
      <c r="GGF240" s="140"/>
      <c r="GGG240" s="140"/>
      <c r="GGH240" s="140"/>
      <c r="GGI240" s="140"/>
      <c r="GGJ240" s="140"/>
      <c r="GGK240" s="140"/>
      <c r="GGL240" s="140"/>
      <c r="GGM240" s="140"/>
      <c r="GGN240" s="140"/>
      <c r="GGO240" s="140"/>
      <c r="GGP240" s="140"/>
      <c r="GGQ240" s="140"/>
      <c r="GGR240" s="140"/>
      <c r="GGS240" s="140"/>
      <c r="GGT240" s="140"/>
      <c r="GGU240" s="140"/>
      <c r="GGV240" s="140"/>
      <c r="GGW240" s="140"/>
      <c r="GGX240" s="140"/>
      <c r="GGY240" s="140"/>
      <c r="GGZ240" s="140"/>
      <c r="GHA240" s="140"/>
      <c r="GHB240" s="140"/>
      <c r="GHC240" s="140"/>
      <c r="GHD240" s="140"/>
      <c r="GHE240" s="140"/>
      <c r="GHF240" s="140"/>
      <c r="GHG240" s="140"/>
      <c r="GHH240" s="140"/>
      <c r="GHI240" s="140"/>
      <c r="GHJ240" s="140"/>
      <c r="GHK240" s="140"/>
      <c r="GHL240" s="140"/>
      <c r="GHM240" s="140"/>
      <c r="GHN240" s="140"/>
      <c r="GHO240" s="140"/>
      <c r="GHP240" s="140"/>
      <c r="GHQ240" s="140"/>
      <c r="GHR240" s="140"/>
      <c r="GHS240" s="140"/>
      <c r="GHT240" s="140"/>
      <c r="GHU240" s="140"/>
      <c r="GHV240" s="140"/>
      <c r="GHW240" s="140"/>
      <c r="GHX240" s="140"/>
      <c r="GHY240" s="140"/>
      <c r="GHZ240" s="140"/>
      <c r="GIA240" s="140"/>
      <c r="GIB240" s="140"/>
      <c r="GIC240" s="140"/>
      <c r="GID240" s="140"/>
      <c r="GIE240" s="140"/>
      <c r="GIF240" s="140"/>
      <c r="GIG240" s="140"/>
      <c r="GIH240" s="140"/>
      <c r="GII240" s="140"/>
      <c r="GIJ240" s="140"/>
      <c r="GIK240" s="140"/>
      <c r="GIL240" s="140"/>
      <c r="GIM240" s="140"/>
      <c r="GIN240" s="140"/>
      <c r="GIO240" s="140"/>
      <c r="GIP240" s="140"/>
      <c r="GIQ240" s="140"/>
      <c r="GIR240" s="140"/>
      <c r="GIS240" s="140"/>
      <c r="GIT240" s="140"/>
      <c r="GIU240" s="140"/>
      <c r="GIV240" s="140"/>
      <c r="GIW240" s="140"/>
      <c r="GIX240" s="140"/>
      <c r="GIY240" s="140"/>
      <c r="GIZ240" s="140"/>
      <c r="GJA240" s="140"/>
      <c r="GJB240" s="140"/>
      <c r="GJC240" s="140"/>
      <c r="GJD240" s="140"/>
      <c r="GJE240" s="140"/>
      <c r="GJF240" s="140"/>
      <c r="GJG240" s="140"/>
      <c r="GJH240" s="140"/>
      <c r="GJI240" s="140"/>
      <c r="GJJ240" s="140"/>
      <c r="GJK240" s="140"/>
      <c r="GJL240" s="140"/>
      <c r="GJM240" s="140"/>
      <c r="GJN240" s="140"/>
      <c r="GJO240" s="140"/>
      <c r="GJP240" s="140"/>
      <c r="GJQ240" s="140"/>
      <c r="GJR240" s="140"/>
      <c r="GJS240" s="140"/>
      <c r="GJT240" s="140"/>
      <c r="GJU240" s="140"/>
      <c r="GJV240" s="140"/>
      <c r="GJW240" s="140"/>
      <c r="GJX240" s="140"/>
      <c r="GJY240" s="140"/>
      <c r="GJZ240" s="140"/>
      <c r="GKA240" s="140"/>
      <c r="GKB240" s="140"/>
      <c r="GKC240" s="140"/>
      <c r="GKD240" s="140"/>
      <c r="GKE240" s="140"/>
      <c r="GKF240" s="140"/>
      <c r="GKG240" s="140"/>
      <c r="GKH240" s="140"/>
      <c r="GKI240" s="140"/>
      <c r="GKJ240" s="140"/>
      <c r="GKK240" s="140"/>
      <c r="GKL240" s="140"/>
      <c r="GKM240" s="140"/>
      <c r="GKN240" s="140"/>
      <c r="GKO240" s="140"/>
      <c r="GKP240" s="140"/>
      <c r="GKQ240" s="140"/>
      <c r="GKR240" s="140"/>
      <c r="GKS240" s="140"/>
      <c r="GKT240" s="140"/>
      <c r="GKU240" s="140"/>
      <c r="GKV240" s="140"/>
      <c r="GKW240" s="140"/>
      <c r="GKX240" s="140"/>
      <c r="GKY240" s="140"/>
      <c r="GKZ240" s="140"/>
      <c r="GLA240" s="140"/>
      <c r="GLB240" s="140"/>
      <c r="GLC240" s="140"/>
      <c r="GLD240" s="140"/>
      <c r="GLE240" s="140"/>
      <c r="GLF240" s="140"/>
      <c r="GLG240" s="140"/>
      <c r="GLH240" s="140"/>
      <c r="GLI240" s="140"/>
      <c r="GLJ240" s="140"/>
      <c r="GLK240" s="140"/>
      <c r="GLL240" s="140"/>
      <c r="GLM240" s="140"/>
      <c r="GLN240" s="140"/>
      <c r="GLO240" s="140"/>
      <c r="GLP240" s="140"/>
      <c r="GLQ240" s="140"/>
      <c r="GLR240" s="140"/>
      <c r="GLS240" s="140"/>
      <c r="GLT240" s="140"/>
      <c r="GLU240" s="140"/>
      <c r="GLV240" s="140"/>
      <c r="GLW240" s="140"/>
      <c r="GLX240" s="140"/>
      <c r="GLY240" s="140"/>
      <c r="GLZ240" s="140"/>
      <c r="GMA240" s="140"/>
      <c r="GMB240" s="140"/>
      <c r="GMC240" s="140"/>
      <c r="GMD240" s="140"/>
      <c r="GME240" s="140"/>
      <c r="GMF240" s="140"/>
      <c r="GMG240" s="140"/>
      <c r="GMH240" s="140"/>
      <c r="GMI240" s="140"/>
      <c r="GMJ240" s="140"/>
      <c r="GMK240" s="140"/>
      <c r="GML240" s="140"/>
      <c r="GMM240" s="140"/>
      <c r="GMN240" s="140"/>
      <c r="GMO240" s="140"/>
      <c r="GMP240" s="140"/>
      <c r="GMQ240" s="140"/>
      <c r="GMR240" s="140"/>
      <c r="GMS240" s="140"/>
      <c r="GMT240" s="140"/>
      <c r="GMU240" s="140"/>
      <c r="GMV240" s="140"/>
      <c r="GMW240" s="140"/>
      <c r="GMX240" s="140"/>
      <c r="GMY240" s="140"/>
      <c r="GMZ240" s="140"/>
      <c r="GNA240" s="140"/>
      <c r="GNB240" s="140"/>
      <c r="GNC240" s="140"/>
      <c r="GND240" s="140"/>
      <c r="GNE240" s="140"/>
      <c r="GNF240" s="140"/>
      <c r="GNG240" s="140"/>
      <c r="GNH240" s="140"/>
      <c r="GNI240" s="140"/>
      <c r="GNJ240" s="140"/>
      <c r="GNK240" s="140"/>
      <c r="GNL240" s="140"/>
      <c r="GNM240" s="140"/>
      <c r="GNN240" s="140"/>
      <c r="GNO240" s="140"/>
      <c r="GNP240" s="140"/>
      <c r="GNQ240" s="140"/>
      <c r="GNR240" s="140"/>
      <c r="GNS240" s="140"/>
      <c r="GNT240" s="140"/>
      <c r="GNU240" s="140"/>
      <c r="GNV240" s="140"/>
      <c r="GNW240" s="140"/>
      <c r="GNX240" s="140"/>
      <c r="GNY240" s="140"/>
      <c r="GNZ240" s="140"/>
      <c r="GOA240" s="140"/>
      <c r="GOB240" s="140"/>
      <c r="GOC240" s="140"/>
      <c r="GOD240" s="140"/>
      <c r="GOE240" s="140"/>
      <c r="GOF240" s="140"/>
      <c r="GOG240" s="140"/>
      <c r="GOH240" s="140"/>
      <c r="GOI240" s="140"/>
      <c r="GOJ240" s="140"/>
      <c r="GOK240" s="140"/>
      <c r="GOL240" s="140"/>
      <c r="GOM240" s="140"/>
      <c r="GON240" s="140"/>
      <c r="GOO240" s="140"/>
      <c r="GOP240" s="140"/>
      <c r="GOQ240" s="140"/>
      <c r="GOR240" s="140"/>
      <c r="GOS240" s="140"/>
      <c r="GOT240" s="140"/>
      <c r="GOU240" s="140"/>
      <c r="GOV240" s="140"/>
      <c r="GOW240" s="140"/>
      <c r="GOX240" s="140"/>
      <c r="GOY240" s="140"/>
      <c r="GOZ240" s="140"/>
      <c r="GPA240" s="140"/>
      <c r="GPB240" s="140"/>
      <c r="GPC240" s="140"/>
      <c r="GPD240" s="140"/>
      <c r="GPE240" s="140"/>
      <c r="GPF240" s="140"/>
      <c r="GPG240" s="140"/>
      <c r="GPH240" s="140"/>
      <c r="GPI240" s="140"/>
      <c r="GPJ240" s="140"/>
      <c r="GPK240" s="140"/>
      <c r="GPL240" s="140"/>
      <c r="GPM240" s="140"/>
      <c r="GPN240" s="140"/>
      <c r="GPO240" s="140"/>
      <c r="GPP240" s="140"/>
      <c r="GPQ240" s="140"/>
      <c r="GPR240" s="140"/>
      <c r="GPS240" s="140"/>
      <c r="GPT240" s="140"/>
      <c r="GPU240" s="140"/>
      <c r="GPV240" s="140"/>
      <c r="GPW240" s="140"/>
      <c r="GPX240" s="140"/>
      <c r="GPY240" s="140"/>
      <c r="GPZ240" s="140"/>
      <c r="GQA240" s="140"/>
      <c r="GQB240" s="140"/>
      <c r="GQC240" s="140"/>
      <c r="GQD240" s="140"/>
      <c r="GQE240" s="140"/>
      <c r="GQF240" s="140"/>
      <c r="GQG240" s="140"/>
      <c r="GQH240" s="140"/>
      <c r="GQI240" s="140"/>
      <c r="GQJ240" s="140"/>
      <c r="GQK240" s="140"/>
      <c r="GQL240" s="140"/>
      <c r="GQM240" s="140"/>
      <c r="GQN240" s="140"/>
      <c r="GQO240" s="140"/>
      <c r="GQP240" s="140"/>
      <c r="GQQ240" s="140"/>
      <c r="GQR240" s="140"/>
      <c r="GQS240" s="140"/>
      <c r="GQT240" s="140"/>
      <c r="GQU240" s="140"/>
      <c r="GQV240" s="140"/>
      <c r="GQW240" s="140"/>
      <c r="GQX240" s="140"/>
      <c r="GQY240" s="140"/>
      <c r="GQZ240" s="140"/>
      <c r="GRA240" s="140"/>
      <c r="GRB240" s="140"/>
      <c r="GRC240" s="140"/>
      <c r="GRD240" s="140"/>
      <c r="GRE240" s="140"/>
      <c r="GRF240" s="140"/>
      <c r="GRG240" s="140"/>
      <c r="GRH240" s="140"/>
      <c r="GRI240" s="140"/>
      <c r="GRJ240" s="140"/>
      <c r="GRK240" s="140"/>
      <c r="GRL240" s="140"/>
      <c r="GRM240" s="140"/>
      <c r="GRN240" s="140"/>
      <c r="GRO240" s="140"/>
      <c r="GRP240" s="140"/>
      <c r="GRQ240" s="140"/>
      <c r="GRR240" s="140"/>
      <c r="GRS240" s="140"/>
      <c r="GRT240" s="140"/>
      <c r="GRU240" s="140"/>
      <c r="GRV240" s="140"/>
      <c r="GRW240" s="140"/>
      <c r="GRX240" s="140"/>
      <c r="GRY240" s="140"/>
      <c r="GRZ240" s="140"/>
      <c r="GSA240" s="140"/>
      <c r="GSB240" s="140"/>
      <c r="GSC240" s="140"/>
      <c r="GSD240" s="140"/>
      <c r="GSE240" s="140"/>
      <c r="GSF240" s="140"/>
      <c r="GSG240" s="140"/>
      <c r="GSH240" s="140"/>
      <c r="GSI240" s="140"/>
      <c r="GSJ240" s="140"/>
      <c r="GSK240" s="140"/>
      <c r="GSL240" s="140"/>
      <c r="GSM240" s="140"/>
      <c r="GSN240" s="140"/>
      <c r="GSO240" s="140"/>
      <c r="GSP240" s="140"/>
      <c r="GSQ240" s="140"/>
      <c r="GSR240" s="140"/>
      <c r="GSS240" s="140"/>
      <c r="GST240" s="140"/>
      <c r="GSU240" s="140"/>
      <c r="GSV240" s="140"/>
      <c r="GSW240" s="140"/>
      <c r="GSX240" s="140"/>
      <c r="GSY240" s="140"/>
      <c r="GSZ240" s="140"/>
      <c r="GTA240" s="140"/>
      <c r="GTB240" s="140"/>
      <c r="GTC240" s="140"/>
      <c r="GTD240" s="140"/>
      <c r="GTE240" s="140"/>
      <c r="GTF240" s="140"/>
      <c r="GTG240" s="140"/>
      <c r="GTH240" s="140"/>
      <c r="GTI240" s="140"/>
      <c r="GTJ240" s="140"/>
      <c r="GTK240" s="140"/>
      <c r="GTL240" s="140"/>
      <c r="GTM240" s="140"/>
      <c r="GTN240" s="140"/>
      <c r="GTO240" s="140"/>
      <c r="GTP240" s="140"/>
      <c r="GTQ240" s="140"/>
      <c r="GTR240" s="140"/>
      <c r="GTS240" s="140"/>
      <c r="GTT240" s="140"/>
      <c r="GTU240" s="140"/>
      <c r="GTV240" s="140"/>
      <c r="GTW240" s="140"/>
      <c r="GTX240" s="140"/>
      <c r="GTY240" s="140"/>
      <c r="GTZ240" s="140"/>
      <c r="GUA240" s="140"/>
      <c r="GUB240" s="140"/>
      <c r="GUC240" s="140"/>
      <c r="GUD240" s="140"/>
      <c r="GUE240" s="140"/>
      <c r="GUF240" s="140"/>
      <c r="GUG240" s="140"/>
      <c r="GUH240" s="140"/>
      <c r="GUI240" s="140"/>
      <c r="GUJ240" s="140"/>
      <c r="GUK240" s="140"/>
      <c r="GUL240" s="140"/>
      <c r="GUM240" s="140"/>
      <c r="GUN240" s="140"/>
      <c r="GUO240" s="140"/>
      <c r="GUP240" s="140"/>
      <c r="GUQ240" s="140"/>
      <c r="GUR240" s="140"/>
      <c r="GUS240" s="140"/>
      <c r="GUT240" s="140"/>
      <c r="GUU240" s="140"/>
      <c r="GUV240" s="140"/>
      <c r="GUW240" s="140"/>
      <c r="GUX240" s="140"/>
      <c r="GUY240" s="140"/>
      <c r="GUZ240" s="140"/>
      <c r="GVA240" s="140"/>
      <c r="GVB240" s="140"/>
      <c r="GVC240" s="140"/>
      <c r="GVD240" s="140"/>
      <c r="GVE240" s="140"/>
      <c r="GVF240" s="140"/>
      <c r="GVG240" s="140"/>
      <c r="GVH240" s="140"/>
      <c r="GVI240" s="140"/>
      <c r="GVJ240" s="140"/>
      <c r="GVK240" s="140"/>
      <c r="GVL240" s="140"/>
      <c r="GVM240" s="140"/>
      <c r="GVN240" s="140"/>
      <c r="GVO240" s="140"/>
      <c r="GVP240" s="140"/>
      <c r="GVQ240" s="140"/>
      <c r="GVR240" s="140"/>
      <c r="GVS240" s="140"/>
      <c r="GVT240" s="140"/>
      <c r="GVU240" s="140"/>
      <c r="GVV240" s="140"/>
      <c r="GVW240" s="140"/>
      <c r="GVX240" s="140"/>
      <c r="GVY240" s="140"/>
      <c r="GVZ240" s="140"/>
      <c r="GWA240" s="140"/>
      <c r="GWB240" s="140"/>
      <c r="GWC240" s="140"/>
      <c r="GWD240" s="140"/>
      <c r="GWE240" s="140"/>
      <c r="GWF240" s="140"/>
      <c r="GWG240" s="140"/>
      <c r="GWH240" s="140"/>
      <c r="GWI240" s="140"/>
      <c r="GWJ240" s="140"/>
      <c r="GWK240" s="140"/>
      <c r="GWL240" s="140"/>
      <c r="GWM240" s="140"/>
      <c r="GWN240" s="140"/>
      <c r="GWO240" s="140"/>
      <c r="GWP240" s="140"/>
      <c r="GWQ240" s="140"/>
      <c r="GWR240" s="140"/>
      <c r="GWS240" s="140"/>
      <c r="GWT240" s="140"/>
      <c r="GWU240" s="140"/>
      <c r="GWV240" s="140"/>
      <c r="GWW240" s="140"/>
      <c r="GWX240" s="140"/>
      <c r="GWY240" s="140"/>
      <c r="GWZ240" s="140"/>
      <c r="GXA240" s="140"/>
      <c r="GXB240" s="140"/>
      <c r="GXC240" s="140"/>
      <c r="GXD240" s="140"/>
      <c r="GXE240" s="140"/>
      <c r="GXF240" s="140"/>
      <c r="GXG240" s="140"/>
      <c r="GXH240" s="140"/>
      <c r="GXI240" s="140"/>
      <c r="GXJ240" s="140"/>
      <c r="GXK240" s="140"/>
      <c r="GXL240" s="140"/>
      <c r="GXM240" s="140"/>
      <c r="GXN240" s="140"/>
      <c r="GXO240" s="140"/>
      <c r="GXP240" s="140"/>
      <c r="GXQ240" s="140"/>
      <c r="GXR240" s="140"/>
      <c r="GXS240" s="140"/>
      <c r="GXT240" s="140"/>
      <c r="GXU240" s="140"/>
      <c r="GXV240" s="140"/>
      <c r="GXW240" s="140"/>
      <c r="GXX240" s="140"/>
      <c r="GXY240" s="140"/>
      <c r="GXZ240" s="140"/>
      <c r="GYA240" s="140"/>
      <c r="GYB240" s="140"/>
      <c r="GYC240" s="140"/>
      <c r="GYD240" s="140"/>
      <c r="GYE240" s="140"/>
      <c r="GYF240" s="140"/>
      <c r="GYG240" s="140"/>
      <c r="GYH240" s="140"/>
      <c r="GYI240" s="140"/>
      <c r="GYJ240" s="140"/>
      <c r="GYK240" s="140"/>
      <c r="GYL240" s="140"/>
      <c r="GYM240" s="140"/>
      <c r="GYN240" s="140"/>
      <c r="GYO240" s="140"/>
      <c r="GYP240" s="140"/>
      <c r="GYQ240" s="140"/>
      <c r="GYR240" s="140"/>
      <c r="GYS240" s="140"/>
      <c r="GYT240" s="140"/>
      <c r="GYU240" s="140"/>
      <c r="GYV240" s="140"/>
      <c r="GYW240" s="140"/>
      <c r="GYX240" s="140"/>
      <c r="GYY240" s="140"/>
      <c r="GYZ240" s="140"/>
      <c r="GZA240" s="140"/>
      <c r="GZB240" s="140"/>
      <c r="GZC240" s="140"/>
      <c r="GZD240" s="140"/>
      <c r="GZE240" s="140"/>
      <c r="GZF240" s="140"/>
      <c r="GZG240" s="140"/>
      <c r="GZH240" s="140"/>
      <c r="GZI240" s="140"/>
      <c r="GZJ240" s="140"/>
      <c r="GZK240" s="140"/>
      <c r="GZL240" s="140"/>
      <c r="GZM240" s="140"/>
      <c r="GZN240" s="140"/>
      <c r="GZO240" s="140"/>
      <c r="GZP240" s="140"/>
      <c r="GZQ240" s="140"/>
      <c r="GZR240" s="140"/>
      <c r="GZS240" s="140"/>
      <c r="GZT240" s="140"/>
      <c r="GZU240" s="140"/>
      <c r="GZV240" s="140"/>
      <c r="GZW240" s="140"/>
      <c r="GZX240" s="140"/>
      <c r="GZY240" s="140"/>
      <c r="GZZ240" s="140"/>
      <c r="HAA240" s="140"/>
      <c r="HAB240" s="140"/>
      <c r="HAC240" s="140"/>
      <c r="HAD240" s="140"/>
      <c r="HAE240" s="140"/>
      <c r="HAF240" s="140"/>
      <c r="HAG240" s="140"/>
      <c r="HAH240" s="140"/>
      <c r="HAI240" s="140"/>
      <c r="HAJ240" s="140"/>
      <c r="HAK240" s="140"/>
      <c r="HAL240" s="140"/>
      <c r="HAM240" s="140"/>
      <c r="HAN240" s="140"/>
      <c r="HAO240" s="140"/>
      <c r="HAP240" s="140"/>
      <c r="HAQ240" s="140"/>
      <c r="HAR240" s="140"/>
      <c r="HAS240" s="140"/>
      <c r="HAT240" s="140"/>
      <c r="HAU240" s="140"/>
      <c r="HAV240" s="140"/>
      <c r="HAW240" s="140"/>
      <c r="HAX240" s="140"/>
      <c r="HAY240" s="140"/>
      <c r="HAZ240" s="140"/>
      <c r="HBA240" s="140"/>
      <c r="HBB240" s="140"/>
      <c r="HBC240" s="140"/>
      <c r="HBD240" s="140"/>
      <c r="HBE240" s="140"/>
      <c r="HBF240" s="140"/>
      <c r="HBG240" s="140"/>
      <c r="HBH240" s="140"/>
      <c r="HBI240" s="140"/>
      <c r="HBJ240" s="140"/>
      <c r="HBK240" s="140"/>
      <c r="HBL240" s="140"/>
      <c r="HBM240" s="140"/>
      <c r="HBN240" s="140"/>
      <c r="HBO240" s="140"/>
      <c r="HBP240" s="140"/>
      <c r="HBQ240" s="140"/>
      <c r="HBR240" s="140"/>
      <c r="HBS240" s="140"/>
      <c r="HBT240" s="140"/>
      <c r="HBU240" s="140"/>
      <c r="HBV240" s="140"/>
      <c r="HBW240" s="140"/>
      <c r="HBX240" s="140"/>
      <c r="HBY240" s="140"/>
      <c r="HBZ240" s="140"/>
      <c r="HCA240" s="140"/>
      <c r="HCB240" s="140"/>
      <c r="HCC240" s="140"/>
      <c r="HCD240" s="140"/>
      <c r="HCE240" s="140"/>
      <c r="HCF240" s="140"/>
      <c r="HCG240" s="140"/>
      <c r="HCH240" s="140"/>
      <c r="HCI240" s="140"/>
      <c r="HCJ240" s="140"/>
      <c r="HCK240" s="140"/>
      <c r="HCL240" s="140"/>
      <c r="HCM240" s="140"/>
      <c r="HCN240" s="140"/>
      <c r="HCO240" s="140"/>
      <c r="HCP240" s="140"/>
      <c r="HCQ240" s="140"/>
      <c r="HCR240" s="140"/>
      <c r="HCS240" s="140"/>
      <c r="HCT240" s="140"/>
      <c r="HCU240" s="140"/>
      <c r="HCV240" s="140"/>
      <c r="HCW240" s="140"/>
      <c r="HCX240" s="140"/>
      <c r="HCY240" s="140"/>
      <c r="HCZ240" s="140"/>
      <c r="HDA240" s="140"/>
      <c r="HDB240" s="140"/>
      <c r="HDC240" s="140"/>
      <c r="HDD240" s="140"/>
      <c r="HDE240" s="140"/>
      <c r="HDF240" s="140"/>
      <c r="HDG240" s="140"/>
      <c r="HDH240" s="140"/>
      <c r="HDI240" s="140"/>
      <c r="HDJ240" s="140"/>
      <c r="HDK240" s="140"/>
      <c r="HDL240" s="140"/>
      <c r="HDM240" s="140"/>
      <c r="HDN240" s="140"/>
      <c r="HDO240" s="140"/>
      <c r="HDP240" s="140"/>
      <c r="HDQ240" s="140"/>
      <c r="HDR240" s="140"/>
      <c r="HDS240" s="140"/>
      <c r="HDT240" s="140"/>
      <c r="HDU240" s="140"/>
      <c r="HDV240" s="140"/>
      <c r="HDW240" s="140"/>
      <c r="HDX240" s="140"/>
      <c r="HDY240" s="140"/>
      <c r="HDZ240" s="140"/>
      <c r="HEA240" s="140"/>
      <c r="HEB240" s="140"/>
      <c r="HEC240" s="140"/>
      <c r="HED240" s="140"/>
      <c r="HEE240" s="140"/>
      <c r="HEF240" s="140"/>
      <c r="HEG240" s="140"/>
      <c r="HEH240" s="140"/>
      <c r="HEI240" s="140"/>
      <c r="HEJ240" s="140"/>
      <c r="HEK240" s="140"/>
      <c r="HEL240" s="140"/>
      <c r="HEM240" s="140"/>
      <c r="HEN240" s="140"/>
      <c r="HEO240" s="140"/>
      <c r="HEP240" s="140"/>
      <c r="HEQ240" s="140"/>
      <c r="HER240" s="140"/>
      <c r="HES240" s="140"/>
      <c r="HET240" s="140"/>
      <c r="HEU240" s="140"/>
      <c r="HEV240" s="140"/>
      <c r="HEW240" s="140"/>
      <c r="HEX240" s="140"/>
      <c r="HEY240" s="140"/>
      <c r="HEZ240" s="140"/>
      <c r="HFA240" s="140"/>
      <c r="HFB240" s="140"/>
      <c r="HFC240" s="140"/>
      <c r="HFD240" s="140"/>
      <c r="HFE240" s="140"/>
      <c r="HFF240" s="140"/>
      <c r="HFG240" s="140"/>
      <c r="HFH240" s="140"/>
      <c r="HFI240" s="140"/>
      <c r="HFJ240" s="140"/>
      <c r="HFK240" s="140"/>
      <c r="HFL240" s="140"/>
      <c r="HFM240" s="140"/>
      <c r="HFN240" s="140"/>
      <c r="HFO240" s="140"/>
      <c r="HFP240" s="140"/>
      <c r="HFQ240" s="140"/>
      <c r="HFR240" s="140"/>
      <c r="HFS240" s="140"/>
      <c r="HFT240" s="140"/>
      <c r="HFU240" s="140"/>
      <c r="HFV240" s="140"/>
      <c r="HFW240" s="140"/>
      <c r="HFX240" s="140"/>
      <c r="HFY240" s="140"/>
      <c r="HFZ240" s="140"/>
      <c r="HGA240" s="140"/>
      <c r="HGB240" s="140"/>
      <c r="HGC240" s="140"/>
      <c r="HGD240" s="140"/>
      <c r="HGE240" s="140"/>
      <c r="HGF240" s="140"/>
      <c r="HGG240" s="140"/>
      <c r="HGH240" s="140"/>
      <c r="HGI240" s="140"/>
      <c r="HGJ240" s="140"/>
      <c r="HGK240" s="140"/>
      <c r="HGL240" s="140"/>
      <c r="HGM240" s="140"/>
      <c r="HGN240" s="140"/>
      <c r="HGO240" s="140"/>
      <c r="HGP240" s="140"/>
      <c r="HGQ240" s="140"/>
      <c r="HGR240" s="140"/>
      <c r="HGS240" s="140"/>
      <c r="HGT240" s="140"/>
      <c r="HGU240" s="140"/>
      <c r="HGV240" s="140"/>
      <c r="HGW240" s="140"/>
      <c r="HGX240" s="140"/>
      <c r="HGY240" s="140"/>
      <c r="HGZ240" s="140"/>
      <c r="HHA240" s="140"/>
      <c r="HHB240" s="140"/>
      <c r="HHC240" s="140"/>
      <c r="HHD240" s="140"/>
      <c r="HHE240" s="140"/>
      <c r="HHF240" s="140"/>
      <c r="HHG240" s="140"/>
      <c r="HHH240" s="140"/>
      <c r="HHI240" s="140"/>
      <c r="HHJ240" s="140"/>
      <c r="HHK240" s="140"/>
      <c r="HHL240" s="140"/>
      <c r="HHM240" s="140"/>
      <c r="HHN240" s="140"/>
      <c r="HHO240" s="140"/>
      <c r="HHP240" s="140"/>
      <c r="HHQ240" s="140"/>
      <c r="HHR240" s="140"/>
      <c r="HHS240" s="140"/>
      <c r="HHT240" s="140"/>
      <c r="HHU240" s="140"/>
      <c r="HHV240" s="140"/>
      <c r="HHW240" s="140"/>
      <c r="HHX240" s="140"/>
      <c r="HHY240" s="140"/>
      <c r="HHZ240" s="140"/>
      <c r="HIA240" s="140"/>
      <c r="HIB240" s="140"/>
      <c r="HIC240" s="140"/>
      <c r="HID240" s="140"/>
      <c r="HIE240" s="140"/>
      <c r="HIF240" s="140"/>
      <c r="HIG240" s="140"/>
      <c r="HIH240" s="140"/>
      <c r="HII240" s="140"/>
      <c r="HIJ240" s="140"/>
      <c r="HIK240" s="140"/>
      <c r="HIL240" s="140"/>
      <c r="HIM240" s="140"/>
      <c r="HIN240" s="140"/>
      <c r="HIO240" s="140"/>
      <c r="HIP240" s="140"/>
      <c r="HIQ240" s="140"/>
      <c r="HIR240" s="140"/>
      <c r="HIS240" s="140"/>
      <c r="HIT240" s="140"/>
      <c r="HIU240" s="140"/>
      <c r="HIV240" s="140"/>
      <c r="HIW240" s="140"/>
      <c r="HIX240" s="140"/>
      <c r="HIY240" s="140"/>
      <c r="HIZ240" s="140"/>
      <c r="HJA240" s="140"/>
      <c r="HJB240" s="140"/>
      <c r="HJC240" s="140"/>
      <c r="HJD240" s="140"/>
      <c r="HJE240" s="140"/>
      <c r="HJF240" s="140"/>
      <c r="HJG240" s="140"/>
      <c r="HJH240" s="140"/>
      <c r="HJI240" s="140"/>
      <c r="HJJ240" s="140"/>
      <c r="HJK240" s="140"/>
      <c r="HJL240" s="140"/>
      <c r="HJM240" s="140"/>
      <c r="HJN240" s="140"/>
      <c r="HJO240" s="140"/>
      <c r="HJP240" s="140"/>
      <c r="HJQ240" s="140"/>
      <c r="HJR240" s="140"/>
      <c r="HJS240" s="140"/>
      <c r="HJT240" s="140"/>
      <c r="HJU240" s="140"/>
      <c r="HJV240" s="140"/>
      <c r="HJW240" s="140"/>
      <c r="HJX240" s="140"/>
      <c r="HJY240" s="140"/>
      <c r="HJZ240" s="140"/>
      <c r="HKA240" s="140"/>
      <c r="HKB240" s="140"/>
      <c r="HKC240" s="140"/>
      <c r="HKD240" s="140"/>
      <c r="HKE240" s="140"/>
      <c r="HKF240" s="140"/>
      <c r="HKG240" s="140"/>
      <c r="HKH240" s="140"/>
      <c r="HKI240" s="140"/>
      <c r="HKJ240" s="140"/>
      <c r="HKK240" s="140"/>
      <c r="HKL240" s="140"/>
      <c r="HKM240" s="140"/>
      <c r="HKN240" s="140"/>
      <c r="HKO240" s="140"/>
      <c r="HKP240" s="140"/>
      <c r="HKQ240" s="140"/>
      <c r="HKR240" s="140"/>
      <c r="HKS240" s="140"/>
      <c r="HKT240" s="140"/>
      <c r="HKU240" s="140"/>
      <c r="HKV240" s="140"/>
      <c r="HKW240" s="140"/>
      <c r="HKX240" s="140"/>
      <c r="HKY240" s="140"/>
      <c r="HKZ240" s="140"/>
      <c r="HLA240" s="140"/>
      <c r="HLB240" s="140"/>
      <c r="HLC240" s="140"/>
      <c r="HLD240" s="140"/>
      <c r="HLE240" s="140"/>
      <c r="HLF240" s="140"/>
      <c r="HLG240" s="140"/>
      <c r="HLH240" s="140"/>
      <c r="HLI240" s="140"/>
      <c r="HLJ240" s="140"/>
      <c r="HLK240" s="140"/>
      <c r="HLL240" s="140"/>
      <c r="HLM240" s="140"/>
      <c r="HLN240" s="140"/>
      <c r="HLO240" s="140"/>
      <c r="HLP240" s="140"/>
      <c r="HLQ240" s="140"/>
      <c r="HLR240" s="140"/>
      <c r="HLS240" s="140"/>
      <c r="HLT240" s="140"/>
      <c r="HLU240" s="140"/>
      <c r="HLV240" s="140"/>
      <c r="HLW240" s="140"/>
      <c r="HLX240" s="140"/>
      <c r="HLY240" s="140"/>
      <c r="HLZ240" s="140"/>
      <c r="HMA240" s="140"/>
      <c r="HMB240" s="140"/>
      <c r="HMC240" s="140"/>
      <c r="HMD240" s="140"/>
      <c r="HME240" s="140"/>
      <c r="HMF240" s="140"/>
      <c r="HMG240" s="140"/>
      <c r="HMH240" s="140"/>
      <c r="HMI240" s="140"/>
      <c r="HMJ240" s="140"/>
      <c r="HMK240" s="140"/>
      <c r="HML240" s="140"/>
      <c r="HMM240" s="140"/>
      <c r="HMN240" s="140"/>
      <c r="HMO240" s="140"/>
      <c r="HMP240" s="140"/>
      <c r="HMQ240" s="140"/>
      <c r="HMR240" s="140"/>
      <c r="HMS240" s="140"/>
      <c r="HMT240" s="140"/>
      <c r="HMU240" s="140"/>
      <c r="HMV240" s="140"/>
      <c r="HMW240" s="140"/>
      <c r="HMX240" s="140"/>
      <c r="HMY240" s="140"/>
      <c r="HMZ240" s="140"/>
      <c r="HNA240" s="140"/>
      <c r="HNB240" s="140"/>
      <c r="HNC240" s="140"/>
      <c r="HND240" s="140"/>
      <c r="HNE240" s="140"/>
      <c r="HNF240" s="140"/>
      <c r="HNG240" s="140"/>
      <c r="HNH240" s="140"/>
      <c r="HNI240" s="140"/>
      <c r="HNJ240" s="140"/>
      <c r="HNK240" s="140"/>
      <c r="HNL240" s="140"/>
      <c r="HNM240" s="140"/>
      <c r="HNN240" s="140"/>
      <c r="HNO240" s="140"/>
      <c r="HNP240" s="140"/>
      <c r="HNQ240" s="140"/>
      <c r="HNR240" s="140"/>
      <c r="HNS240" s="140"/>
      <c r="HNT240" s="140"/>
      <c r="HNU240" s="140"/>
      <c r="HNV240" s="140"/>
      <c r="HNW240" s="140"/>
      <c r="HNX240" s="140"/>
      <c r="HNY240" s="140"/>
      <c r="HNZ240" s="140"/>
      <c r="HOA240" s="140"/>
      <c r="HOB240" s="140"/>
      <c r="HOC240" s="140"/>
      <c r="HOD240" s="140"/>
      <c r="HOE240" s="140"/>
      <c r="HOF240" s="140"/>
      <c r="HOG240" s="140"/>
      <c r="HOH240" s="140"/>
      <c r="HOI240" s="140"/>
      <c r="HOJ240" s="140"/>
      <c r="HOK240" s="140"/>
      <c r="HOL240" s="140"/>
      <c r="HOM240" s="140"/>
      <c r="HON240" s="140"/>
      <c r="HOO240" s="140"/>
      <c r="HOP240" s="140"/>
      <c r="HOQ240" s="140"/>
      <c r="HOR240" s="140"/>
      <c r="HOS240" s="140"/>
      <c r="HOT240" s="140"/>
      <c r="HOU240" s="140"/>
      <c r="HOV240" s="140"/>
      <c r="HOW240" s="140"/>
      <c r="HOX240" s="140"/>
      <c r="HOY240" s="140"/>
      <c r="HOZ240" s="140"/>
      <c r="HPA240" s="140"/>
      <c r="HPB240" s="140"/>
      <c r="HPC240" s="140"/>
      <c r="HPD240" s="140"/>
      <c r="HPE240" s="140"/>
      <c r="HPF240" s="140"/>
      <c r="HPG240" s="140"/>
      <c r="HPH240" s="140"/>
      <c r="HPI240" s="140"/>
      <c r="HPJ240" s="140"/>
      <c r="HPK240" s="140"/>
      <c r="HPL240" s="140"/>
      <c r="HPM240" s="140"/>
      <c r="HPN240" s="140"/>
      <c r="HPO240" s="140"/>
      <c r="HPP240" s="140"/>
      <c r="HPQ240" s="140"/>
      <c r="HPR240" s="140"/>
      <c r="HPS240" s="140"/>
      <c r="HPT240" s="140"/>
      <c r="HPU240" s="140"/>
      <c r="HPV240" s="140"/>
      <c r="HPW240" s="140"/>
      <c r="HPX240" s="140"/>
      <c r="HPY240" s="140"/>
      <c r="HPZ240" s="140"/>
      <c r="HQA240" s="140"/>
      <c r="HQB240" s="140"/>
      <c r="HQC240" s="140"/>
      <c r="HQD240" s="140"/>
      <c r="HQE240" s="140"/>
      <c r="HQF240" s="140"/>
      <c r="HQG240" s="140"/>
      <c r="HQH240" s="140"/>
      <c r="HQI240" s="140"/>
      <c r="HQJ240" s="140"/>
      <c r="HQK240" s="140"/>
      <c r="HQL240" s="140"/>
      <c r="HQM240" s="140"/>
      <c r="HQN240" s="140"/>
      <c r="HQO240" s="140"/>
      <c r="HQP240" s="140"/>
      <c r="HQQ240" s="140"/>
      <c r="HQR240" s="140"/>
      <c r="HQS240" s="140"/>
      <c r="HQT240" s="140"/>
      <c r="HQU240" s="140"/>
      <c r="HQV240" s="140"/>
      <c r="HQW240" s="140"/>
      <c r="HQX240" s="140"/>
      <c r="HQY240" s="140"/>
      <c r="HQZ240" s="140"/>
      <c r="HRA240" s="140"/>
      <c r="HRB240" s="140"/>
      <c r="HRC240" s="140"/>
      <c r="HRD240" s="140"/>
      <c r="HRE240" s="140"/>
      <c r="HRF240" s="140"/>
      <c r="HRG240" s="140"/>
      <c r="HRH240" s="140"/>
      <c r="HRI240" s="140"/>
      <c r="HRJ240" s="140"/>
      <c r="HRK240" s="140"/>
      <c r="HRL240" s="140"/>
      <c r="HRM240" s="140"/>
      <c r="HRN240" s="140"/>
      <c r="HRO240" s="140"/>
      <c r="HRP240" s="140"/>
      <c r="HRQ240" s="140"/>
      <c r="HRR240" s="140"/>
      <c r="HRS240" s="140"/>
      <c r="HRT240" s="140"/>
      <c r="HRU240" s="140"/>
      <c r="HRV240" s="140"/>
      <c r="HRW240" s="140"/>
      <c r="HRX240" s="140"/>
      <c r="HRY240" s="140"/>
      <c r="HRZ240" s="140"/>
      <c r="HSA240" s="140"/>
      <c r="HSB240" s="140"/>
      <c r="HSC240" s="140"/>
      <c r="HSD240" s="140"/>
      <c r="HSE240" s="140"/>
      <c r="HSF240" s="140"/>
      <c r="HSG240" s="140"/>
      <c r="HSH240" s="140"/>
      <c r="HSI240" s="140"/>
      <c r="HSJ240" s="140"/>
      <c r="HSK240" s="140"/>
      <c r="HSL240" s="140"/>
      <c r="HSM240" s="140"/>
      <c r="HSN240" s="140"/>
      <c r="HSO240" s="140"/>
      <c r="HSP240" s="140"/>
      <c r="HSQ240" s="140"/>
      <c r="HSR240" s="140"/>
      <c r="HSS240" s="140"/>
      <c r="HST240" s="140"/>
      <c r="HSU240" s="140"/>
      <c r="HSV240" s="140"/>
      <c r="HSW240" s="140"/>
      <c r="HSX240" s="140"/>
      <c r="HSY240" s="140"/>
      <c r="HSZ240" s="140"/>
      <c r="HTA240" s="140"/>
      <c r="HTB240" s="140"/>
      <c r="HTC240" s="140"/>
      <c r="HTD240" s="140"/>
      <c r="HTE240" s="140"/>
      <c r="HTF240" s="140"/>
      <c r="HTG240" s="140"/>
      <c r="HTH240" s="140"/>
      <c r="HTI240" s="140"/>
      <c r="HTJ240" s="140"/>
      <c r="HTK240" s="140"/>
      <c r="HTL240" s="140"/>
      <c r="HTM240" s="140"/>
      <c r="HTN240" s="140"/>
      <c r="HTO240" s="140"/>
      <c r="HTP240" s="140"/>
      <c r="HTQ240" s="140"/>
      <c r="HTR240" s="140"/>
      <c r="HTS240" s="140"/>
      <c r="HTT240" s="140"/>
      <c r="HTU240" s="140"/>
      <c r="HTV240" s="140"/>
      <c r="HTW240" s="140"/>
      <c r="HTX240" s="140"/>
      <c r="HTY240" s="140"/>
      <c r="HTZ240" s="140"/>
      <c r="HUA240" s="140"/>
      <c r="HUB240" s="140"/>
      <c r="HUC240" s="140"/>
      <c r="HUD240" s="140"/>
      <c r="HUE240" s="140"/>
      <c r="HUF240" s="140"/>
      <c r="HUG240" s="140"/>
      <c r="HUH240" s="140"/>
      <c r="HUI240" s="140"/>
      <c r="HUJ240" s="140"/>
      <c r="HUK240" s="140"/>
      <c r="HUL240" s="140"/>
      <c r="HUM240" s="140"/>
      <c r="HUN240" s="140"/>
      <c r="HUO240" s="140"/>
      <c r="HUP240" s="140"/>
      <c r="HUQ240" s="140"/>
      <c r="HUR240" s="140"/>
      <c r="HUS240" s="140"/>
      <c r="HUT240" s="140"/>
      <c r="HUU240" s="140"/>
      <c r="HUV240" s="140"/>
      <c r="HUW240" s="140"/>
      <c r="HUX240" s="140"/>
      <c r="HUY240" s="140"/>
      <c r="HUZ240" s="140"/>
      <c r="HVA240" s="140"/>
      <c r="HVB240" s="140"/>
      <c r="HVC240" s="140"/>
      <c r="HVD240" s="140"/>
      <c r="HVE240" s="140"/>
      <c r="HVF240" s="140"/>
      <c r="HVG240" s="140"/>
      <c r="HVH240" s="140"/>
      <c r="HVI240" s="140"/>
      <c r="HVJ240" s="140"/>
      <c r="HVK240" s="140"/>
      <c r="HVL240" s="140"/>
      <c r="HVM240" s="140"/>
      <c r="HVN240" s="140"/>
      <c r="HVO240" s="140"/>
      <c r="HVP240" s="140"/>
      <c r="HVQ240" s="140"/>
      <c r="HVR240" s="140"/>
      <c r="HVS240" s="140"/>
      <c r="HVT240" s="140"/>
      <c r="HVU240" s="140"/>
      <c r="HVV240" s="140"/>
      <c r="HVW240" s="140"/>
      <c r="HVX240" s="140"/>
      <c r="HVY240" s="140"/>
      <c r="HVZ240" s="140"/>
      <c r="HWA240" s="140"/>
      <c r="HWB240" s="140"/>
      <c r="HWC240" s="140"/>
      <c r="HWD240" s="140"/>
      <c r="HWE240" s="140"/>
      <c r="HWF240" s="140"/>
      <c r="HWG240" s="140"/>
      <c r="HWH240" s="140"/>
      <c r="HWI240" s="140"/>
      <c r="HWJ240" s="140"/>
      <c r="HWK240" s="140"/>
      <c r="HWL240" s="140"/>
      <c r="HWM240" s="140"/>
      <c r="HWN240" s="140"/>
      <c r="HWO240" s="140"/>
      <c r="HWP240" s="140"/>
      <c r="HWQ240" s="140"/>
      <c r="HWR240" s="140"/>
      <c r="HWS240" s="140"/>
      <c r="HWT240" s="140"/>
      <c r="HWU240" s="140"/>
      <c r="HWV240" s="140"/>
      <c r="HWW240" s="140"/>
      <c r="HWX240" s="140"/>
      <c r="HWY240" s="140"/>
      <c r="HWZ240" s="140"/>
      <c r="HXA240" s="140"/>
      <c r="HXB240" s="140"/>
      <c r="HXC240" s="140"/>
      <c r="HXD240" s="140"/>
      <c r="HXE240" s="140"/>
      <c r="HXF240" s="140"/>
      <c r="HXG240" s="140"/>
      <c r="HXH240" s="140"/>
      <c r="HXI240" s="140"/>
      <c r="HXJ240" s="140"/>
      <c r="HXK240" s="140"/>
      <c r="HXL240" s="140"/>
      <c r="HXM240" s="140"/>
      <c r="HXN240" s="140"/>
      <c r="HXO240" s="140"/>
      <c r="HXP240" s="140"/>
      <c r="HXQ240" s="140"/>
      <c r="HXR240" s="140"/>
      <c r="HXS240" s="140"/>
      <c r="HXT240" s="140"/>
      <c r="HXU240" s="140"/>
      <c r="HXV240" s="140"/>
      <c r="HXW240" s="140"/>
      <c r="HXX240" s="140"/>
      <c r="HXY240" s="140"/>
      <c r="HXZ240" s="140"/>
      <c r="HYA240" s="140"/>
      <c r="HYB240" s="140"/>
      <c r="HYC240" s="140"/>
      <c r="HYD240" s="140"/>
      <c r="HYE240" s="140"/>
      <c r="HYF240" s="140"/>
      <c r="HYG240" s="140"/>
      <c r="HYH240" s="140"/>
      <c r="HYI240" s="140"/>
      <c r="HYJ240" s="140"/>
      <c r="HYK240" s="140"/>
      <c r="HYL240" s="140"/>
      <c r="HYM240" s="140"/>
      <c r="HYN240" s="140"/>
      <c r="HYO240" s="140"/>
      <c r="HYP240" s="140"/>
      <c r="HYQ240" s="140"/>
      <c r="HYR240" s="140"/>
      <c r="HYS240" s="140"/>
      <c r="HYT240" s="140"/>
      <c r="HYU240" s="140"/>
      <c r="HYV240" s="140"/>
      <c r="HYW240" s="140"/>
      <c r="HYX240" s="140"/>
      <c r="HYY240" s="140"/>
      <c r="HYZ240" s="140"/>
      <c r="HZA240" s="140"/>
      <c r="HZB240" s="140"/>
      <c r="HZC240" s="140"/>
      <c r="HZD240" s="140"/>
      <c r="HZE240" s="140"/>
      <c r="HZF240" s="140"/>
      <c r="HZG240" s="140"/>
      <c r="HZH240" s="140"/>
      <c r="HZI240" s="140"/>
      <c r="HZJ240" s="140"/>
      <c r="HZK240" s="140"/>
      <c r="HZL240" s="140"/>
      <c r="HZM240" s="140"/>
      <c r="HZN240" s="140"/>
      <c r="HZO240" s="140"/>
      <c r="HZP240" s="140"/>
      <c r="HZQ240" s="140"/>
      <c r="HZR240" s="140"/>
      <c r="HZS240" s="140"/>
      <c r="HZT240" s="140"/>
      <c r="HZU240" s="140"/>
      <c r="HZV240" s="140"/>
      <c r="HZW240" s="140"/>
      <c r="HZX240" s="140"/>
      <c r="HZY240" s="140"/>
      <c r="HZZ240" s="140"/>
      <c r="IAA240" s="140"/>
      <c r="IAB240" s="140"/>
      <c r="IAC240" s="140"/>
      <c r="IAD240" s="140"/>
      <c r="IAE240" s="140"/>
      <c r="IAF240" s="140"/>
      <c r="IAG240" s="140"/>
      <c r="IAH240" s="140"/>
      <c r="IAI240" s="140"/>
      <c r="IAJ240" s="140"/>
      <c r="IAK240" s="140"/>
      <c r="IAL240" s="140"/>
      <c r="IAM240" s="140"/>
      <c r="IAN240" s="140"/>
      <c r="IAO240" s="140"/>
      <c r="IAP240" s="140"/>
      <c r="IAQ240" s="140"/>
      <c r="IAR240" s="140"/>
      <c r="IAS240" s="140"/>
      <c r="IAT240" s="140"/>
      <c r="IAU240" s="140"/>
      <c r="IAV240" s="140"/>
      <c r="IAW240" s="140"/>
      <c r="IAX240" s="140"/>
      <c r="IAY240" s="140"/>
      <c r="IAZ240" s="140"/>
      <c r="IBA240" s="140"/>
      <c r="IBB240" s="140"/>
      <c r="IBC240" s="140"/>
      <c r="IBD240" s="140"/>
      <c r="IBE240" s="140"/>
      <c r="IBF240" s="140"/>
      <c r="IBG240" s="140"/>
      <c r="IBH240" s="140"/>
      <c r="IBI240" s="140"/>
      <c r="IBJ240" s="140"/>
      <c r="IBK240" s="140"/>
      <c r="IBL240" s="140"/>
      <c r="IBM240" s="140"/>
      <c r="IBN240" s="140"/>
      <c r="IBO240" s="140"/>
      <c r="IBP240" s="140"/>
      <c r="IBQ240" s="140"/>
      <c r="IBR240" s="140"/>
      <c r="IBS240" s="140"/>
      <c r="IBT240" s="140"/>
      <c r="IBU240" s="140"/>
      <c r="IBV240" s="140"/>
      <c r="IBW240" s="140"/>
      <c r="IBX240" s="140"/>
      <c r="IBY240" s="140"/>
      <c r="IBZ240" s="140"/>
      <c r="ICA240" s="140"/>
      <c r="ICB240" s="140"/>
      <c r="ICC240" s="140"/>
      <c r="ICD240" s="140"/>
      <c r="ICE240" s="140"/>
      <c r="ICF240" s="140"/>
      <c r="ICG240" s="140"/>
      <c r="ICH240" s="140"/>
      <c r="ICI240" s="140"/>
      <c r="ICJ240" s="140"/>
      <c r="ICK240" s="140"/>
      <c r="ICL240" s="140"/>
      <c r="ICM240" s="140"/>
      <c r="ICN240" s="140"/>
      <c r="ICO240" s="140"/>
      <c r="ICP240" s="140"/>
      <c r="ICQ240" s="140"/>
      <c r="ICR240" s="140"/>
      <c r="ICS240" s="140"/>
      <c r="ICT240" s="140"/>
      <c r="ICU240" s="140"/>
      <c r="ICV240" s="140"/>
      <c r="ICW240" s="140"/>
      <c r="ICX240" s="140"/>
      <c r="ICY240" s="140"/>
      <c r="ICZ240" s="140"/>
      <c r="IDA240" s="140"/>
      <c r="IDB240" s="140"/>
      <c r="IDC240" s="140"/>
      <c r="IDD240" s="140"/>
      <c r="IDE240" s="140"/>
      <c r="IDF240" s="140"/>
      <c r="IDG240" s="140"/>
      <c r="IDH240" s="140"/>
      <c r="IDI240" s="140"/>
      <c r="IDJ240" s="140"/>
      <c r="IDK240" s="140"/>
      <c r="IDL240" s="140"/>
      <c r="IDM240" s="140"/>
      <c r="IDN240" s="140"/>
      <c r="IDO240" s="140"/>
      <c r="IDP240" s="140"/>
      <c r="IDQ240" s="140"/>
      <c r="IDR240" s="140"/>
      <c r="IDS240" s="140"/>
      <c r="IDT240" s="140"/>
      <c r="IDU240" s="140"/>
      <c r="IDV240" s="140"/>
      <c r="IDW240" s="140"/>
      <c r="IDX240" s="140"/>
      <c r="IDY240" s="140"/>
      <c r="IDZ240" s="140"/>
      <c r="IEA240" s="140"/>
      <c r="IEB240" s="140"/>
      <c r="IEC240" s="140"/>
      <c r="IED240" s="140"/>
      <c r="IEE240" s="140"/>
      <c r="IEF240" s="140"/>
      <c r="IEG240" s="140"/>
      <c r="IEH240" s="140"/>
      <c r="IEI240" s="140"/>
      <c r="IEJ240" s="140"/>
      <c r="IEK240" s="140"/>
      <c r="IEL240" s="140"/>
      <c r="IEM240" s="140"/>
      <c r="IEN240" s="140"/>
      <c r="IEO240" s="140"/>
      <c r="IEP240" s="140"/>
      <c r="IEQ240" s="140"/>
      <c r="IER240" s="140"/>
      <c r="IES240" s="140"/>
      <c r="IET240" s="140"/>
      <c r="IEU240" s="140"/>
      <c r="IEV240" s="140"/>
      <c r="IEW240" s="140"/>
      <c r="IEX240" s="140"/>
      <c r="IEY240" s="140"/>
      <c r="IEZ240" s="140"/>
      <c r="IFA240" s="140"/>
      <c r="IFB240" s="140"/>
      <c r="IFC240" s="140"/>
      <c r="IFD240" s="140"/>
      <c r="IFE240" s="140"/>
      <c r="IFF240" s="140"/>
      <c r="IFG240" s="140"/>
      <c r="IFH240" s="140"/>
      <c r="IFI240" s="140"/>
      <c r="IFJ240" s="140"/>
      <c r="IFK240" s="140"/>
      <c r="IFL240" s="140"/>
      <c r="IFM240" s="140"/>
      <c r="IFN240" s="140"/>
      <c r="IFO240" s="140"/>
      <c r="IFP240" s="140"/>
      <c r="IFQ240" s="140"/>
      <c r="IFR240" s="140"/>
      <c r="IFS240" s="140"/>
      <c r="IFT240" s="140"/>
      <c r="IFU240" s="140"/>
      <c r="IFV240" s="140"/>
      <c r="IFW240" s="140"/>
      <c r="IFX240" s="140"/>
      <c r="IFY240" s="140"/>
      <c r="IFZ240" s="140"/>
      <c r="IGA240" s="140"/>
      <c r="IGB240" s="140"/>
      <c r="IGC240" s="140"/>
      <c r="IGD240" s="140"/>
      <c r="IGE240" s="140"/>
      <c r="IGF240" s="140"/>
      <c r="IGG240" s="140"/>
      <c r="IGH240" s="140"/>
      <c r="IGI240" s="140"/>
      <c r="IGJ240" s="140"/>
      <c r="IGK240" s="140"/>
      <c r="IGL240" s="140"/>
      <c r="IGM240" s="140"/>
      <c r="IGN240" s="140"/>
      <c r="IGO240" s="140"/>
      <c r="IGP240" s="140"/>
      <c r="IGQ240" s="140"/>
      <c r="IGR240" s="140"/>
      <c r="IGS240" s="140"/>
      <c r="IGT240" s="140"/>
      <c r="IGU240" s="140"/>
      <c r="IGV240" s="140"/>
      <c r="IGW240" s="140"/>
      <c r="IGX240" s="140"/>
      <c r="IGY240" s="140"/>
      <c r="IGZ240" s="140"/>
      <c r="IHA240" s="140"/>
      <c r="IHB240" s="140"/>
      <c r="IHC240" s="140"/>
      <c r="IHD240" s="140"/>
      <c r="IHE240" s="140"/>
      <c r="IHF240" s="140"/>
      <c r="IHG240" s="140"/>
      <c r="IHH240" s="140"/>
      <c r="IHI240" s="140"/>
      <c r="IHJ240" s="140"/>
      <c r="IHK240" s="140"/>
      <c r="IHL240" s="140"/>
      <c r="IHM240" s="140"/>
      <c r="IHN240" s="140"/>
      <c r="IHO240" s="140"/>
      <c r="IHP240" s="140"/>
      <c r="IHQ240" s="140"/>
      <c r="IHR240" s="140"/>
      <c r="IHS240" s="140"/>
      <c r="IHT240" s="140"/>
      <c r="IHU240" s="140"/>
      <c r="IHV240" s="140"/>
      <c r="IHW240" s="140"/>
      <c r="IHX240" s="140"/>
      <c r="IHY240" s="140"/>
      <c r="IHZ240" s="140"/>
      <c r="IIA240" s="140"/>
      <c r="IIB240" s="140"/>
      <c r="IIC240" s="140"/>
      <c r="IID240" s="140"/>
      <c r="IIE240" s="140"/>
      <c r="IIF240" s="140"/>
      <c r="IIG240" s="140"/>
      <c r="IIH240" s="140"/>
      <c r="III240" s="140"/>
      <c r="IIJ240" s="140"/>
      <c r="IIK240" s="140"/>
      <c r="IIL240" s="140"/>
      <c r="IIM240" s="140"/>
      <c r="IIN240" s="140"/>
      <c r="IIO240" s="140"/>
      <c r="IIP240" s="140"/>
      <c r="IIQ240" s="140"/>
      <c r="IIR240" s="140"/>
      <c r="IIS240" s="140"/>
      <c r="IIT240" s="140"/>
      <c r="IIU240" s="140"/>
      <c r="IIV240" s="140"/>
      <c r="IIW240" s="140"/>
      <c r="IIX240" s="140"/>
      <c r="IIY240" s="140"/>
      <c r="IIZ240" s="140"/>
      <c r="IJA240" s="140"/>
      <c r="IJB240" s="140"/>
      <c r="IJC240" s="140"/>
      <c r="IJD240" s="140"/>
      <c r="IJE240" s="140"/>
      <c r="IJF240" s="140"/>
      <c r="IJG240" s="140"/>
      <c r="IJH240" s="140"/>
      <c r="IJI240" s="140"/>
      <c r="IJJ240" s="140"/>
      <c r="IJK240" s="140"/>
      <c r="IJL240" s="140"/>
      <c r="IJM240" s="140"/>
      <c r="IJN240" s="140"/>
      <c r="IJO240" s="140"/>
      <c r="IJP240" s="140"/>
      <c r="IJQ240" s="140"/>
      <c r="IJR240" s="140"/>
      <c r="IJS240" s="140"/>
      <c r="IJT240" s="140"/>
      <c r="IJU240" s="140"/>
      <c r="IJV240" s="140"/>
      <c r="IJW240" s="140"/>
      <c r="IJX240" s="140"/>
      <c r="IJY240" s="140"/>
      <c r="IJZ240" s="140"/>
      <c r="IKA240" s="140"/>
      <c r="IKB240" s="140"/>
      <c r="IKC240" s="140"/>
      <c r="IKD240" s="140"/>
      <c r="IKE240" s="140"/>
      <c r="IKF240" s="140"/>
      <c r="IKG240" s="140"/>
      <c r="IKH240" s="140"/>
      <c r="IKI240" s="140"/>
      <c r="IKJ240" s="140"/>
      <c r="IKK240" s="140"/>
      <c r="IKL240" s="140"/>
      <c r="IKM240" s="140"/>
      <c r="IKN240" s="140"/>
      <c r="IKO240" s="140"/>
      <c r="IKP240" s="140"/>
      <c r="IKQ240" s="140"/>
      <c r="IKR240" s="140"/>
      <c r="IKS240" s="140"/>
      <c r="IKT240" s="140"/>
      <c r="IKU240" s="140"/>
      <c r="IKV240" s="140"/>
      <c r="IKW240" s="140"/>
      <c r="IKX240" s="140"/>
      <c r="IKY240" s="140"/>
      <c r="IKZ240" s="140"/>
      <c r="ILA240" s="140"/>
      <c r="ILB240" s="140"/>
      <c r="ILC240" s="140"/>
      <c r="ILD240" s="140"/>
      <c r="ILE240" s="140"/>
      <c r="ILF240" s="140"/>
      <c r="ILG240" s="140"/>
      <c r="ILH240" s="140"/>
      <c r="ILI240" s="140"/>
      <c r="ILJ240" s="140"/>
      <c r="ILK240" s="140"/>
      <c r="ILL240" s="140"/>
      <c r="ILM240" s="140"/>
      <c r="ILN240" s="140"/>
      <c r="ILO240" s="140"/>
      <c r="ILP240" s="140"/>
      <c r="ILQ240" s="140"/>
      <c r="ILR240" s="140"/>
      <c r="ILS240" s="140"/>
      <c r="ILT240" s="140"/>
      <c r="ILU240" s="140"/>
      <c r="ILV240" s="140"/>
      <c r="ILW240" s="140"/>
      <c r="ILX240" s="140"/>
      <c r="ILY240" s="140"/>
      <c r="ILZ240" s="140"/>
      <c r="IMA240" s="140"/>
      <c r="IMB240" s="140"/>
      <c r="IMC240" s="140"/>
      <c r="IMD240" s="140"/>
      <c r="IME240" s="140"/>
      <c r="IMF240" s="140"/>
      <c r="IMG240" s="140"/>
      <c r="IMH240" s="140"/>
      <c r="IMI240" s="140"/>
      <c r="IMJ240" s="140"/>
      <c r="IMK240" s="140"/>
      <c r="IML240" s="140"/>
      <c r="IMM240" s="140"/>
      <c r="IMN240" s="140"/>
      <c r="IMO240" s="140"/>
      <c r="IMP240" s="140"/>
      <c r="IMQ240" s="140"/>
      <c r="IMR240" s="140"/>
      <c r="IMS240" s="140"/>
      <c r="IMT240" s="140"/>
      <c r="IMU240" s="140"/>
      <c r="IMV240" s="140"/>
      <c r="IMW240" s="140"/>
      <c r="IMX240" s="140"/>
      <c r="IMY240" s="140"/>
      <c r="IMZ240" s="140"/>
      <c r="INA240" s="140"/>
      <c r="INB240" s="140"/>
      <c r="INC240" s="140"/>
      <c r="IND240" s="140"/>
      <c r="INE240" s="140"/>
      <c r="INF240" s="140"/>
      <c r="ING240" s="140"/>
      <c r="INH240" s="140"/>
      <c r="INI240" s="140"/>
      <c r="INJ240" s="140"/>
      <c r="INK240" s="140"/>
      <c r="INL240" s="140"/>
      <c r="INM240" s="140"/>
      <c r="INN240" s="140"/>
      <c r="INO240" s="140"/>
      <c r="INP240" s="140"/>
      <c r="INQ240" s="140"/>
      <c r="INR240" s="140"/>
      <c r="INS240" s="140"/>
      <c r="INT240" s="140"/>
      <c r="INU240" s="140"/>
      <c r="INV240" s="140"/>
      <c r="INW240" s="140"/>
      <c r="INX240" s="140"/>
      <c r="INY240" s="140"/>
      <c r="INZ240" s="140"/>
      <c r="IOA240" s="140"/>
      <c r="IOB240" s="140"/>
      <c r="IOC240" s="140"/>
      <c r="IOD240" s="140"/>
      <c r="IOE240" s="140"/>
      <c r="IOF240" s="140"/>
      <c r="IOG240" s="140"/>
      <c r="IOH240" s="140"/>
      <c r="IOI240" s="140"/>
      <c r="IOJ240" s="140"/>
      <c r="IOK240" s="140"/>
      <c r="IOL240" s="140"/>
      <c r="IOM240" s="140"/>
      <c r="ION240" s="140"/>
      <c r="IOO240" s="140"/>
      <c r="IOP240" s="140"/>
      <c r="IOQ240" s="140"/>
      <c r="IOR240" s="140"/>
      <c r="IOS240" s="140"/>
      <c r="IOT240" s="140"/>
      <c r="IOU240" s="140"/>
      <c r="IOV240" s="140"/>
      <c r="IOW240" s="140"/>
      <c r="IOX240" s="140"/>
      <c r="IOY240" s="140"/>
      <c r="IOZ240" s="140"/>
      <c r="IPA240" s="140"/>
      <c r="IPB240" s="140"/>
      <c r="IPC240" s="140"/>
      <c r="IPD240" s="140"/>
      <c r="IPE240" s="140"/>
      <c r="IPF240" s="140"/>
      <c r="IPG240" s="140"/>
      <c r="IPH240" s="140"/>
      <c r="IPI240" s="140"/>
      <c r="IPJ240" s="140"/>
      <c r="IPK240" s="140"/>
      <c r="IPL240" s="140"/>
      <c r="IPM240" s="140"/>
      <c r="IPN240" s="140"/>
      <c r="IPO240" s="140"/>
      <c r="IPP240" s="140"/>
      <c r="IPQ240" s="140"/>
      <c r="IPR240" s="140"/>
      <c r="IPS240" s="140"/>
      <c r="IPT240" s="140"/>
      <c r="IPU240" s="140"/>
      <c r="IPV240" s="140"/>
      <c r="IPW240" s="140"/>
      <c r="IPX240" s="140"/>
      <c r="IPY240" s="140"/>
      <c r="IPZ240" s="140"/>
      <c r="IQA240" s="140"/>
      <c r="IQB240" s="140"/>
      <c r="IQC240" s="140"/>
      <c r="IQD240" s="140"/>
      <c r="IQE240" s="140"/>
      <c r="IQF240" s="140"/>
      <c r="IQG240" s="140"/>
      <c r="IQH240" s="140"/>
      <c r="IQI240" s="140"/>
      <c r="IQJ240" s="140"/>
      <c r="IQK240" s="140"/>
      <c r="IQL240" s="140"/>
      <c r="IQM240" s="140"/>
      <c r="IQN240" s="140"/>
      <c r="IQO240" s="140"/>
      <c r="IQP240" s="140"/>
      <c r="IQQ240" s="140"/>
      <c r="IQR240" s="140"/>
      <c r="IQS240" s="140"/>
      <c r="IQT240" s="140"/>
      <c r="IQU240" s="140"/>
      <c r="IQV240" s="140"/>
      <c r="IQW240" s="140"/>
      <c r="IQX240" s="140"/>
      <c r="IQY240" s="140"/>
      <c r="IQZ240" s="140"/>
      <c r="IRA240" s="140"/>
      <c r="IRB240" s="140"/>
      <c r="IRC240" s="140"/>
      <c r="IRD240" s="140"/>
      <c r="IRE240" s="140"/>
      <c r="IRF240" s="140"/>
      <c r="IRG240" s="140"/>
      <c r="IRH240" s="140"/>
      <c r="IRI240" s="140"/>
      <c r="IRJ240" s="140"/>
      <c r="IRK240" s="140"/>
      <c r="IRL240" s="140"/>
      <c r="IRM240" s="140"/>
      <c r="IRN240" s="140"/>
      <c r="IRO240" s="140"/>
      <c r="IRP240" s="140"/>
      <c r="IRQ240" s="140"/>
      <c r="IRR240" s="140"/>
      <c r="IRS240" s="140"/>
      <c r="IRT240" s="140"/>
      <c r="IRU240" s="140"/>
      <c r="IRV240" s="140"/>
      <c r="IRW240" s="140"/>
      <c r="IRX240" s="140"/>
      <c r="IRY240" s="140"/>
      <c r="IRZ240" s="140"/>
      <c r="ISA240" s="140"/>
      <c r="ISB240" s="140"/>
      <c r="ISC240" s="140"/>
      <c r="ISD240" s="140"/>
      <c r="ISE240" s="140"/>
      <c r="ISF240" s="140"/>
      <c r="ISG240" s="140"/>
      <c r="ISH240" s="140"/>
      <c r="ISI240" s="140"/>
      <c r="ISJ240" s="140"/>
      <c r="ISK240" s="140"/>
      <c r="ISL240" s="140"/>
      <c r="ISM240" s="140"/>
      <c r="ISN240" s="140"/>
      <c r="ISO240" s="140"/>
      <c r="ISP240" s="140"/>
      <c r="ISQ240" s="140"/>
      <c r="ISR240" s="140"/>
      <c r="ISS240" s="140"/>
      <c r="IST240" s="140"/>
      <c r="ISU240" s="140"/>
      <c r="ISV240" s="140"/>
      <c r="ISW240" s="140"/>
      <c r="ISX240" s="140"/>
      <c r="ISY240" s="140"/>
      <c r="ISZ240" s="140"/>
      <c r="ITA240" s="140"/>
      <c r="ITB240" s="140"/>
      <c r="ITC240" s="140"/>
      <c r="ITD240" s="140"/>
      <c r="ITE240" s="140"/>
      <c r="ITF240" s="140"/>
      <c r="ITG240" s="140"/>
      <c r="ITH240" s="140"/>
      <c r="ITI240" s="140"/>
      <c r="ITJ240" s="140"/>
      <c r="ITK240" s="140"/>
      <c r="ITL240" s="140"/>
      <c r="ITM240" s="140"/>
      <c r="ITN240" s="140"/>
      <c r="ITO240" s="140"/>
      <c r="ITP240" s="140"/>
      <c r="ITQ240" s="140"/>
      <c r="ITR240" s="140"/>
      <c r="ITS240" s="140"/>
      <c r="ITT240" s="140"/>
      <c r="ITU240" s="140"/>
      <c r="ITV240" s="140"/>
      <c r="ITW240" s="140"/>
      <c r="ITX240" s="140"/>
      <c r="ITY240" s="140"/>
      <c r="ITZ240" s="140"/>
      <c r="IUA240" s="140"/>
      <c r="IUB240" s="140"/>
      <c r="IUC240" s="140"/>
      <c r="IUD240" s="140"/>
      <c r="IUE240" s="140"/>
      <c r="IUF240" s="140"/>
      <c r="IUG240" s="140"/>
      <c r="IUH240" s="140"/>
      <c r="IUI240" s="140"/>
      <c r="IUJ240" s="140"/>
      <c r="IUK240" s="140"/>
      <c r="IUL240" s="140"/>
      <c r="IUM240" s="140"/>
      <c r="IUN240" s="140"/>
      <c r="IUO240" s="140"/>
      <c r="IUP240" s="140"/>
      <c r="IUQ240" s="140"/>
      <c r="IUR240" s="140"/>
      <c r="IUS240" s="140"/>
      <c r="IUT240" s="140"/>
      <c r="IUU240" s="140"/>
      <c r="IUV240" s="140"/>
      <c r="IUW240" s="140"/>
      <c r="IUX240" s="140"/>
      <c r="IUY240" s="140"/>
      <c r="IUZ240" s="140"/>
      <c r="IVA240" s="140"/>
      <c r="IVB240" s="140"/>
      <c r="IVC240" s="140"/>
      <c r="IVD240" s="140"/>
      <c r="IVE240" s="140"/>
      <c r="IVF240" s="140"/>
      <c r="IVG240" s="140"/>
      <c r="IVH240" s="140"/>
      <c r="IVI240" s="140"/>
      <c r="IVJ240" s="140"/>
      <c r="IVK240" s="140"/>
      <c r="IVL240" s="140"/>
      <c r="IVM240" s="140"/>
      <c r="IVN240" s="140"/>
      <c r="IVO240" s="140"/>
      <c r="IVP240" s="140"/>
      <c r="IVQ240" s="140"/>
      <c r="IVR240" s="140"/>
      <c r="IVS240" s="140"/>
      <c r="IVT240" s="140"/>
      <c r="IVU240" s="140"/>
      <c r="IVV240" s="140"/>
      <c r="IVW240" s="140"/>
      <c r="IVX240" s="140"/>
      <c r="IVY240" s="140"/>
      <c r="IVZ240" s="140"/>
      <c r="IWA240" s="140"/>
      <c r="IWB240" s="140"/>
      <c r="IWC240" s="140"/>
      <c r="IWD240" s="140"/>
      <c r="IWE240" s="140"/>
      <c r="IWF240" s="140"/>
      <c r="IWG240" s="140"/>
      <c r="IWH240" s="140"/>
      <c r="IWI240" s="140"/>
      <c r="IWJ240" s="140"/>
      <c r="IWK240" s="140"/>
      <c r="IWL240" s="140"/>
      <c r="IWM240" s="140"/>
      <c r="IWN240" s="140"/>
      <c r="IWO240" s="140"/>
      <c r="IWP240" s="140"/>
      <c r="IWQ240" s="140"/>
      <c r="IWR240" s="140"/>
      <c r="IWS240" s="140"/>
      <c r="IWT240" s="140"/>
      <c r="IWU240" s="140"/>
      <c r="IWV240" s="140"/>
      <c r="IWW240" s="140"/>
      <c r="IWX240" s="140"/>
      <c r="IWY240" s="140"/>
      <c r="IWZ240" s="140"/>
      <c r="IXA240" s="140"/>
      <c r="IXB240" s="140"/>
      <c r="IXC240" s="140"/>
      <c r="IXD240" s="140"/>
      <c r="IXE240" s="140"/>
      <c r="IXF240" s="140"/>
      <c r="IXG240" s="140"/>
      <c r="IXH240" s="140"/>
      <c r="IXI240" s="140"/>
      <c r="IXJ240" s="140"/>
      <c r="IXK240" s="140"/>
      <c r="IXL240" s="140"/>
      <c r="IXM240" s="140"/>
      <c r="IXN240" s="140"/>
      <c r="IXO240" s="140"/>
      <c r="IXP240" s="140"/>
      <c r="IXQ240" s="140"/>
      <c r="IXR240" s="140"/>
      <c r="IXS240" s="140"/>
      <c r="IXT240" s="140"/>
      <c r="IXU240" s="140"/>
      <c r="IXV240" s="140"/>
      <c r="IXW240" s="140"/>
      <c r="IXX240" s="140"/>
      <c r="IXY240" s="140"/>
      <c r="IXZ240" s="140"/>
      <c r="IYA240" s="140"/>
      <c r="IYB240" s="140"/>
      <c r="IYC240" s="140"/>
      <c r="IYD240" s="140"/>
      <c r="IYE240" s="140"/>
      <c r="IYF240" s="140"/>
      <c r="IYG240" s="140"/>
      <c r="IYH240" s="140"/>
      <c r="IYI240" s="140"/>
      <c r="IYJ240" s="140"/>
      <c r="IYK240" s="140"/>
      <c r="IYL240" s="140"/>
      <c r="IYM240" s="140"/>
      <c r="IYN240" s="140"/>
      <c r="IYO240" s="140"/>
      <c r="IYP240" s="140"/>
      <c r="IYQ240" s="140"/>
      <c r="IYR240" s="140"/>
      <c r="IYS240" s="140"/>
      <c r="IYT240" s="140"/>
      <c r="IYU240" s="140"/>
      <c r="IYV240" s="140"/>
      <c r="IYW240" s="140"/>
      <c r="IYX240" s="140"/>
      <c r="IYY240" s="140"/>
      <c r="IYZ240" s="140"/>
      <c r="IZA240" s="140"/>
      <c r="IZB240" s="140"/>
      <c r="IZC240" s="140"/>
      <c r="IZD240" s="140"/>
      <c r="IZE240" s="140"/>
      <c r="IZF240" s="140"/>
      <c r="IZG240" s="140"/>
      <c r="IZH240" s="140"/>
      <c r="IZI240" s="140"/>
      <c r="IZJ240" s="140"/>
      <c r="IZK240" s="140"/>
      <c r="IZL240" s="140"/>
      <c r="IZM240" s="140"/>
      <c r="IZN240" s="140"/>
      <c r="IZO240" s="140"/>
      <c r="IZP240" s="140"/>
      <c r="IZQ240" s="140"/>
      <c r="IZR240" s="140"/>
      <c r="IZS240" s="140"/>
      <c r="IZT240" s="140"/>
      <c r="IZU240" s="140"/>
      <c r="IZV240" s="140"/>
      <c r="IZW240" s="140"/>
      <c r="IZX240" s="140"/>
      <c r="IZY240" s="140"/>
      <c r="IZZ240" s="140"/>
      <c r="JAA240" s="140"/>
      <c r="JAB240" s="140"/>
      <c r="JAC240" s="140"/>
      <c r="JAD240" s="140"/>
      <c r="JAE240" s="140"/>
      <c r="JAF240" s="140"/>
      <c r="JAG240" s="140"/>
      <c r="JAH240" s="140"/>
      <c r="JAI240" s="140"/>
      <c r="JAJ240" s="140"/>
      <c r="JAK240" s="140"/>
      <c r="JAL240" s="140"/>
      <c r="JAM240" s="140"/>
      <c r="JAN240" s="140"/>
      <c r="JAO240" s="140"/>
      <c r="JAP240" s="140"/>
      <c r="JAQ240" s="140"/>
      <c r="JAR240" s="140"/>
      <c r="JAS240" s="140"/>
      <c r="JAT240" s="140"/>
      <c r="JAU240" s="140"/>
      <c r="JAV240" s="140"/>
      <c r="JAW240" s="140"/>
      <c r="JAX240" s="140"/>
      <c r="JAY240" s="140"/>
      <c r="JAZ240" s="140"/>
      <c r="JBA240" s="140"/>
      <c r="JBB240" s="140"/>
      <c r="JBC240" s="140"/>
      <c r="JBD240" s="140"/>
      <c r="JBE240" s="140"/>
      <c r="JBF240" s="140"/>
      <c r="JBG240" s="140"/>
      <c r="JBH240" s="140"/>
      <c r="JBI240" s="140"/>
      <c r="JBJ240" s="140"/>
      <c r="JBK240" s="140"/>
      <c r="JBL240" s="140"/>
      <c r="JBM240" s="140"/>
      <c r="JBN240" s="140"/>
      <c r="JBO240" s="140"/>
      <c r="JBP240" s="140"/>
      <c r="JBQ240" s="140"/>
      <c r="JBR240" s="140"/>
      <c r="JBS240" s="140"/>
      <c r="JBT240" s="140"/>
      <c r="JBU240" s="140"/>
      <c r="JBV240" s="140"/>
      <c r="JBW240" s="140"/>
      <c r="JBX240" s="140"/>
      <c r="JBY240" s="140"/>
      <c r="JBZ240" s="140"/>
      <c r="JCA240" s="140"/>
      <c r="JCB240" s="140"/>
      <c r="JCC240" s="140"/>
      <c r="JCD240" s="140"/>
      <c r="JCE240" s="140"/>
      <c r="JCF240" s="140"/>
      <c r="JCG240" s="140"/>
      <c r="JCH240" s="140"/>
      <c r="JCI240" s="140"/>
      <c r="JCJ240" s="140"/>
      <c r="JCK240" s="140"/>
      <c r="JCL240" s="140"/>
      <c r="JCM240" s="140"/>
      <c r="JCN240" s="140"/>
      <c r="JCO240" s="140"/>
      <c r="JCP240" s="140"/>
      <c r="JCQ240" s="140"/>
      <c r="JCR240" s="140"/>
      <c r="JCS240" s="140"/>
      <c r="JCT240" s="140"/>
      <c r="JCU240" s="140"/>
      <c r="JCV240" s="140"/>
      <c r="JCW240" s="140"/>
      <c r="JCX240" s="140"/>
      <c r="JCY240" s="140"/>
      <c r="JCZ240" s="140"/>
      <c r="JDA240" s="140"/>
      <c r="JDB240" s="140"/>
      <c r="JDC240" s="140"/>
      <c r="JDD240" s="140"/>
      <c r="JDE240" s="140"/>
      <c r="JDF240" s="140"/>
      <c r="JDG240" s="140"/>
      <c r="JDH240" s="140"/>
      <c r="JDI240" s="140"/>
      <c r="JDJ240" s="140"/>
      <c r="JDK240" s="140"/>
      <c r="JDL240" s="140"/>
      <c r="JDM240" s="140"/>
      <c r="JDN240" s="140"/>
      <c r="JDO240" s="140"/>
      <c r="JDP240" s="140"/>
      <c r="JDQ240" s="140"/>
      <c r="JDR240" s="140"/>
      <c r="JDS240" s="140"/>
      <c r="JDT240" s="140"/>
      <c r="JDU240" s="140"/>
      <c r="JDV240" s="140"/>
      <c r="JDW240" s="140"/>
      <c r="JDX240" s="140"/>
      <c r="JDY240" s="140"/>
      <c r="JDZ240" s="140"/>
      <c r="JEA240" s="140"/>
      <c r="JEB240" s="140"/>
      <c r="JEC240" s="140"/>
      <c r="JED240" s="140"/>
      <c r="JEE240" s="140"/>
      <c r="JEF240" s="140"/>
      <c r="JEG240" s="140"/>
      <c r="JEH240" s="140"/>
      <c r="JEI240" s="140"/>
      <c r="JEJ240" s="140"/>
      <c r="JEK240" s="140"/>
      <c r="JEL240" s="140"/>
      <c r="JEM240" s="140"/>
      <c r="JEN240" s="140"/>
      <c r="JEO240" s="140"/>
      <c r="JEP240" s="140"/>
      <c r="JEQ240" s="140"/>
      <c r="JER240" s="140"/>
      <c r="JES240" s="140"/>
      <c r="JET240" s="140"/>
      <c r="JEU240" s="140"/>
      <c r="JEV240" s="140"/>
      <c r="JEW240" s="140"/>
      <c r="JEX240" s="140"/>
      <c r="JEY240" s="140"/>
      <c r="JEZ240" s="140"/>
      <c r="JFA240" s="140"/>
      <c r="JFB240" s="140"/>
      <c r="JFC240" s="140"/>
      <c r="JFD240" s="140"/>
      <c r="JFE240" s="140"/>
      <c r="JFF240" s="140"/>
      <c r="JFG240" s="140"/>
      <c r="JFH240" s="140"/>
      <c r="JFI240" s="140"/>
      <c r="JFJ240" s="140"/>
      <c r="JFK240" s="140"/>
      <c r="JFL240" s="140"/>
      <c r="JFM240" s="140"/>
      <c r="JFN240" s="140"/>
      <c r="JFO240" s="140"/>
      <c r="JFP240" s="140"/>
      <c r="JFQ240" s="140"/>
      <c r="JFR240" s="140"/>
      <c r="JFS240" s="140"/>
      <c r="JFT240" s="140"/>
      <c r="JFU240" s="140"/>
      <c r="JFV240" s="140"/>
      <c r="JFW240" s="140"/>
      <c r="JFX240" s="140"/>
      <c r="JFY240" s="140"/>
      <c r="JFZ240" s="140"/>
      <c r="JGA240" s="140"/>
      <c r="JGB240" s="140"/>
      <c r="JGC240" s="140"/>
      <c r="JGD240" s="140"/>
      <c r="JGE240" s="140"/>
      <c r="JGF240" s="140"/>
      <c r="JGG240" s="140"/>
      <c r="JGH240" s="140"/>
      <c r="JGI240" s="140"/>
      <c r="JGJ240" s="140"/>
      <c r="JGK240" s="140"/>
      <c r="JGL240" s="140"/>
      <c r="JGM240" s="140"/>
      <c r="JGN240" s="140"/>
      <c r="JGO240" s="140"/>
      <c r="JGP240" s="140"/>
      <c r="JGQ240" s="140"/>
      <c r="JGR240" s="140"/>
      <c r="JGS240" s="140"/>
      <c r="JGT240" s="140"/>
      <c r="JGU240" s="140"/>
      <c r="JGV240" s="140"/>
      <c r="JGW240" s="140"/>
      <c r="JGX240" s="140"/>
      <c r="JGY240" s="140"/>
      <c r="JGZ240" s="140"/>
      <c r="JHA240" s="140"/>
      <c r="JHB240" s="140"/>
      <c r="JHC240" s="140"/>
      <c r="JHD240" s="140"/>
      <c r="JHE240" s="140"/>
      <c r="JHF240" s="140"/>
      <c r="JHG240" s="140"/>
      <c r="JHH240" s="140"/>
      <c r="JHI240" s="140"/>
      <c r="JHJ240" s="140"/>
      <c r="JHK240" s="140"/>
      <c r="JHL240" s="140"/>
      <c r="JHM240" s="140"/>
      <c r="JHN240" s="140"/>
      <c r="JHO240" s="140"/>
      <c r="JHP240" s="140"/>
      <c r="JHQ240" s="140"/>
      <c r="JHR240" s="140"/>
      <c r="JHS240" s="140"/>
      <c r="JHT240" s="140"/>
      <c r="JHU240" s="140"/>
      <c r="JHV240" s="140"/>
      <c r="JHW240" s="140"/>
      <c r="JHX240" s="140"/>
      <c r="JHY240" s="140"/>
      <c r="JHZ240" s="140"/>
      <c r="JIA240" s="140"/>
      <c r="JIB240" s="140"/>
      <c r="JIC240" s="140"/>
      <c r="JID240" s="140"/>
      <c r="JIE240" s="140"/>
      <c r="JIF240" s="140"/>
      <c r="JIG240" s="140"/>
      <c r="JIH240" s="140"/>
      <c r="JII240" s="140"/>
      <c r="JIJ240" s="140"/>
      <c r="JIK240" s="140"/>
      <c r="JIL240" s="140"/>
      <c r="JIM240" s="140"/>
      <c r="JIN240" s="140"/>
      <c r="JIO240" s="140"/>
      <c r="JIP240" s="140"/>
      <c r="JIQ240" s="140"/>
      <c r="JIR240" s="140"/>
      <c r="JIS240" s="140"/>
      <c r="JIT240" s="140"/>
      <c r="JIU240" s="140"/>
      <c r="JIV240" s="140"/>
      <c r="JIW240" s="140"/>
      <c r="JIX240" s="140"/>
      <c r="JIY240" s="140"/>
      <c r="JIZ240" s="140"/>
      <c r="JJA240" s="140"/>
      <c r="JJB240" s="140"/>
      <c r="JJC240" s="140"/>
      <c r="JJD240" s="140"/>
      <c r="JJE240" s="140"/>
      <c r="JJF240" s="140"/>
      <c r="JJG240" s="140"/>
      <c r="JJH240" s="140"/>
      <c r="JJI240" s="140"/>
      <c r="JJJ240" s="140"/>
      <c r="JJK240" s="140"/>
      <c r="JJL240" s="140"/>
      <c r="JJM240" s="140"/>
      <c r="JJN240" s="140"/>
      <c r="JJO240" s="140"/>
      <c r="JJP240" s="140"/>
      <c r="JJQ240" s="140"/>
      <c r="JJR240" s="140"/>
      <c r="JJS240" s="140"/>
      <c r="JJT240" s="140"/>
      <c r="JJU240" s="140"/>
      <c r="JJV240" s="140"/>
      <c r="JJW240" s="140"/>
      <c r="JJX240" s="140"/>
      <c r="JJY240" s="140"/>
      <c r="JJZ240" s="140"/>
      <c r="JKA240" s="140"/>
      <c r="JKB240" s="140"/>
      <c r="JKC240" s="140"/>
      <c r="JKD240" s="140"/>
      <c r="JKE240" s="140"/>
      <c r="JKF240" s="140"/>
      <c r="JKG240" s="140"/>
      <c r="JKH240" s="140"/>
      <c r="JKI240" s="140"/>
      <c r="JKJ240" s="140"/>
      <c r="JKK240" s="140"/>
      <c r="JKL240" s="140"/>
      <c r="JKM240" s="140"/>
      <c r="JKN240" s="140"/>
      <c r="JKO240" s="140"/>
      <c r="JKP240" s="140"/>
      <c r="JKQ240" s="140"/>
      <c r="JKR240" s="140"/>
      <c r="JKS240" s="140"/>
      <c r="JKT240" s="140"/>
      <c r="JKU240" s="140"/>
      <c r="JKV240" s="140"/>
      <c r="JKW240" s="140"/>
      <c r="JKX240" s="140"/>
      <c r="JKY240" s="140"/>
      <c r="JKZ240" s="140"/>
      <c r="JLA240" s="140"/>
      <c r="JLB240" s="140"/>
      <c r="JLC240" s="140"/>
      <c r="JLD240" s="140"/>
      <c r="JLE240" s="140"/>
      <c r="JLF240" s="140"/>
      <c r="JLG240" s="140"/>
      <c r="JLH240" s="140"/>
      <c r="JLI240" s="140"/>
      <c r="JLJ240" s="140"/>
      <c r="JLK240" s="140"/>
      <c r="JLL240" s="140"/>
      <c r="JLM240" s="140"/>
      <c r="JLN240" s="140"/>
      <c r="JLO240" s="140"/>
      <c r="JLP240" s="140"/>
      <c r="JLQ240" s="140"/>
      <c r="JLR240" s="140"/>
      <c r="JLS240" s="140"/>
      <c r="JLT240" s="140"/>
      <c r="JLU240" s="140"/>
      <c r="JLV240" s="140"/>
      <c r="JLW240" s="140"/>
      <c r="JLX240" s="140"/>
      <c r="JLY240" s="140"/>
      <c r="JLZ240" s="140"/>
      <c r="JMA240" s="140"/>
      <c r="JMB240" s="140"/>
      <c r="JMC240" s="140"/>
      <c r="JMD240" s="140"/>
      <c r="JME240" s="140"/>
      <c r="JMF240" s="140"/>
      <c r="JMG240" s="140"/>
      <c r="JMH240" s="140"/>
      <c r="JMI240" s="140"/>
      <c r="JMJ240" s="140"/>
      <c r="JMK240" s="140"/>
      <c r="JML240" s="140"/>
      <c r="JMM240" s="140"/>
      <c r="JMN240" s="140"/>
      <c r="JMO240" s="140"/>
      <c r="JMP240" s="140"/>
      <c r="JMQ240" s="140"/>
      <c r="JMR240" s="140"/>
      <c r="JMS240" s="140"/>
      <c r="JMT240" s="140"/>
      <c r="JMU240" s="140"/>
      <c r="JMV240" s="140"/>
      <c r="JMW240" s="140"/>
      <c r="JMX240" s="140"/>
      <c r="JMY240" s="140"/>
      <c r="JMZ240" s="140"/>
      <c r="JNA240" s="140"/>
      <c r="JNB240" s="140"/>
      <c r="JNC240" s="140"/>
      <c r="JND240" s="140"/>
      <c r="JNE240" s="140"/>
      <c r="JNF240" s="140"/>
      <c r="JNG240" s="140"/>
      <c r="JNH240" s="140"/>
      <c r="JNI240" s="140"/>
      <c r="JNJ240" s="140"/>
      <c r="JNK240" s="140"/>
      <c r="JNL240" s="140"/>
      <c r="JNM240" s="140"/>
      <c r="JNN240" s="140"/>
      <c r="JNO240" s="140"/>
      <c r="JNP240" s="140"/>
      <c r="JNQ240" s="140"/>
      <c r="JNR240" s="140"/>
      <c r="JNS240" s="140"/>
      <c r="JNT240" s="140"/>
      <c r="JNU240" s="140"/>
      <c r="JNV240" s="140"/>
      <c r="JNW240" s="140"/>
      <c r="JNX240" s="140"/>
      <c r="JNY240" s="140"/>
      <c r="JNZ240" s="140"/>
      <c r="JOA240" s="140"/>
      <c r="JOB240" s="140"/>
      <c r="JOC240" s="140"/>
      <c r="JOD240" s="140"/>
      <c r="JOE240" s="140"/>
      <c r="JOF240" s="140"/>
      <c r="JOG240" s="140"/>
      <c r="JOH240" s="140"/>
      <c r="JOI240" s="140"/>
      <c r="JOJ240" s="140"/>
      <c r="JOK240" s="140"/>
      <c r="JOL240" s="140"/>
      <c r="JOM240" s="140"/>
      <c r="JON240" s="140"/>
      <c r="JOO240" s="140"/>
      <c r="JOP240" s="140"/>
      <c r="JOQ240" s="140"/>
      <c r="JOR240" s="140"/>
      <c r="JOS240" s="140"/>
      <c r="JOT240" s="140"/>
      <c r="JOU240" s="140"/>
      <c r="JOV240" s="140"/>
      <c r="JOW240" s="140"/>
      <c r="JOX240" s="140"/>
      <c r="JOY240" s="140"/>
      <c r="JOZ240" s="140"/>
      <c r="JPA240" s="140"/>
      <c r="JPB240" s="140"/>
      <c r="JPC240" s="140"/>
      <c r="JPD240" s="140"/>
      <c r="JPE240" s="140"/>
      <c r="JPF240" s="140"/>
      <c r="JPG240" s="140"/>
      <c r="JPH240" s="140"/>
      <c r="JPI240" s="140"/>
      <c r="JPJ240" s="140"/>
      <c r="JPK240" s="140"/>
      <c r="JPL240" s="140"/>
      <c r="JPM240" s="140"/>
      <c r="JPN240" s="140"/>
      <c r="JPO240" s="140"/>
      <c r="JPP240" s="140"/>
      <c r="JPQ240" s="140"/>
      <c r="JPR240" s="140"/>
      <c r="JPS240" s="140"/>
      <c r="JPT240" s="140"/>
      <c r="JPU240" s="140"/>
      <c r="JPV240" s="140"/>
      <c r="JPW240" s="140"/>
      <c r="JPX240" s="140"/>
      <c r="JPY240" s="140"/>
      <c r="JPZ240" s="140"/>
      <c r="JQA240" s="140"/>
      <c r="JQB240" s="140"/>
      <c r="JQC240" s="140"/>
      <c r="JQD240" s="140"/>
      <c r="JQE240" s="140"/>
      <c r="JQF240" s="140"/>
      <c r="JQG240" s="140"/>
      <c r="JQH240" s="140"/>
      <c r="JQI240" s="140"/>
      <c r="JQJ240" s="140"/>
      <c r="JQK240" s="140"/>
      <c r="JQL240" s="140"/>
      <c r="JQM240" s="140"/>
      <c r="JQN240" s="140"/>
      <c r="JQO240" s="140"/>
      <c r="JQP240" s="140"/>
      <c r="JQQ240" s="140"/>
      <c r="JQR240" s="140"/>
      <c r="JQS240" s="140"/>
      <c r="JQT240" s="140"/>
      <c r="JQU240" s="140"/>
      <c r="JQV240" s="140"/>
      <c r="JQW240" s="140"/>
      <c r="JQX240" s="140"/>
      <c r="JQY240" s="140"/>
      <c r="JQZ240" s="140"/>
      <c r="JRA240" s="140"/>
      <c r="JRB240" s="140"/>
      <c r="JRC240" s="140"/>
      <c r="JRD240" s="140"/>
      <c r="JRE240" s="140"/>
      <c r="JRF240" s="140"/>
      <c r="JRG240" s="140"/>
      <c r="JRH240" s="140"/>
      <c r="JRI240" s="140"/>
      <c r="JRJ240" s="140"/>
      <c r="JRK240" s="140"/>
      <c r="JRL240" s="140"/>
      <c r="JRM240" s="140"/>
      <c r="JRN240" s="140"/>
      <c r="JRO240" s="140"/>
      <c r="JRP240" s="140"/>
      <c r="JRQ240" s="140"/>
      <c r="JRR240" s="140"/>
      <c r="JRS240" s="140"/>
      <c r="JRT240" s="140"/>
      <c r="JRU240" s="140"/>
      <c r="JRV240" s="140"/>
      <c r="JRW240" s="140"/>
      <c r="JRX240" s="140"/>
      <c r="JRY240" s="140"/>
      <c r="JRZ240" s="140"/>
      <c r="JSA240" s="140"/>
      <c r="JSB240" s="140"/>
      <c r="JSC240" s="140"/>
      <c r="JSD240" s="140"/>
      <c r="JSE240" s="140"/>
      <c r="JSF240" s="140"/>
      <c r="JSG240" s="140"/>
      <c r="JSH240" s="140"/>
      <c r="JSI240" s="140"/>
      <c r="JSJ240" s="140"/>
      <c r="JSK240" s="140"/>
      <c r="JSL240" s="140"/>
      <c r="JSM240" s="140"/>
      <c r="JSN240" s="140"/>
      <c r="JSO240" s="140"/>
      <c r="JSP240" s="140"/>
      <c r="JSQ240" s="140"/>
      <c r="JSR240" s="140"/>
      <c r="JSS240" s="140"/>
      <c r="JST240" s="140"/>
      <c r="JSU240" s="140"/>
      <c r="JSV240" s="140"/>
      <c r="JSW240" s="140"/>
      <c r="JSX240" s="140"/>
      <c r="JSY240" s="140"/>
      <c r="JSZ240" s="140"/>
      <c r="JTA240" s="140"/>
      <c r="JTB240" s="140"/>
      <c r="JTC240" s="140"/>
      <c r="JTD240" s="140"/>
      <c r="JTE240" s="140"/>
      <c r="JTF240" s="140"/>
      <c r="JTG240" s="140"/>
      <c r="JTH240" s="140"/>
      <c r="JTI240" s="140"/>
      <c r="JTJ240" s="140"/>
      <c r="JTK240" s="140"/>
      <c r="JTL240" s="140"/>
      <c r="JTM240" s="140"/>
      <c r="JTN240" s="140"/>
      <c r="JTO240" s="140"/>
      <c r="JTP240" s="140"/>
      <c r="JTQ240" s="140"/>
      <c r="JTR240" s="140"/>
      <c r="JTS240" s="140"/>
      <c r="JTT240" s="140"/>
      <c r="JTU240" s="140"/>
      <c r="JTV240" s="140"/>
      <c r="JTW240" s="140"/>
      <c r="JTX240" s="140"/>
      <c r="JTY240" s="140"/>
      <c r="JTZ240" s="140"/>
      <c r="JUA240" s="140"/>
      <c r="JUB240" s="140"/>
      <c r="JUC240" s="140"/>
      <c r="JUD240" s="140"/>
      <c r="JUE240" s="140"/>
      <c r="JUF240" s="140"/>
      <c r="JUG240" s="140"/>
      <c r="JUH240" s="140"/>
      <c r="JUI240" s="140"/>
      <c r="JUJ240" s="140"/>
      <c r="JUK240" s="140"/>
      <c r="JUL240" s="140"/>
      <c r="JUM240" s="140"/>
      <c r="JUN240" s="140"/>
      <c r="JUO240" s="140"/>
      <c r="JUP240" s="140"/>
      <c r="JUQ240" s="140"/>
      <c r="JUR240" s="140"/>
      <c r="JUS240" s="140"/>
      <c r="JUT240" s="140"/>
      <c r="JUU240" s="140"/>
      <c r="JUV240" s="140"/>
      <c r="JUW240" s="140"/>
      <c r="JUX240" s="140"/>
      <c r="JUY240" s="140"/>
      <c r="JUZ240" s="140"/>
      <c r="JVA240" s="140"/>
      <c r="JVB240" s="140"/>
      <c r="JVC240" s="140"/>
      <c r="JVD240" s="140"/>
      <c r="JVE240" s="140"/>
      <c r="JVF240" s="140"/>
      <c r="JVG240" s="140"/>
      <c r="JVH240" s="140"/>
      <c r="JVI240" s="140"/>
      <c r="JVJ240" s="140"/>
      <c r="JVK240" s="140"/>
      <c r="JVL240" s="140"/>
      <c r="JVM240" s="140"/>
      <c r="JVN240" s="140"/>
      <c r="JVO240" s="140"/>
      <c r="JVP240" s="140"/>
      <c r="JVQ240" s="140"/>
      <c r="JVR240" s="140"/>
      <c r="JVS240" s="140"/>
      <c r="JVT240" s="140"/>
      <c r="JVU240" s="140"/>
      <c r="JVV240" s="140"/>
      <c r="JVW240" s="140"/>
      <c r="JVX240" s="140"/>
      <c r="JVY240" s="140"/>
      <c r="JVZ240" s="140"/>
      <c r="JWA240" s="140"/>
      <c r="JWB240" s="140"/>
      <c r="JWC240" s="140"/>
      <c r="JWD240" s="140"/>
      <c r="JWE240" s="140"/>
      <c r="JWF240" s="140"/>
      <c r="JWG240" s="140"/>
      <c r="JWH240" s="140"/>
      <c r="JWI240" s="140"/>
      <c r="JWJ240" s="140"/>
      <c r="JWK240" s="140"/>
      <c r="JWL240" s="140"/>
      <c r="JWM240" s="140"/>
      <c r="JWN240" s="140"/>
      <c r="JWO240" s="140"/>
      <c r="JWP240" s="140"/>
      <c r="JWQ240" s="140"/>
      <c r="JWR240" s="140"/>
      <c r="JWS240" s="140"/>
      <c r="JWT240" s="140"/>
      <c r="JWU240" s="140"/>
      <c r="JWV240" s="140"/>
      <c r="JWW240" s="140"/>
      <c r="JWX240" s="140"/>
      <c r="JWY240" s="140"/>
      <c r="JWZ240" s="140"/>
      <c r="JXA240" s="140"/>
      <c r="JXB240" s="140"/>
      <c r="JXC240" s="140"/>
      <c r="JXD240" s="140"/>
      <c r="JXE240" s="140"/>
      <c r="JXF240" s="140"/>
      <c r="JXG240" s="140"/>
      <c r="JXH240" s="140"/>
      <c r="JXI240" s="140"/>
      <c r="JXJ240" s="140"/>
      <c r="JXK240" s="140"/>
      <c r="JXL240" s="140"/>
      <c r="JXM240" s="140"/>
      <c r="JXN240" s="140"/>
      <c r="JXO240" s="140"/>
      <c r="JXP240" s="140"/>
      <c r="JXQ240" s="140"/>
      <c r="JXR240" s="140"/>
      <c r="JXS240" s="140"/>
      <c r="JXT240" s="140"/>
      <c r="JXU240" s="140"/>
      <c r="JXV240" s="140"/>
      <c r="JXW240" s="140"/>
      <c r="JXX240" s="140"/>
      <c r="JXY240" s="140"/>
      <c r="JXZ240" s="140"/>
      <c r="JYA240" s="140"/>
      <c r="JYB240" s="140"/>
      <c r="JYC240" s="140"/>
      <c r="JYD240" s="140"/>
      <c r="JYE240" s="140"/>
      <c r="JYF240" s="140"/>
      <c r="JYG240" s="140"/>
      <c r="JYH240" s="140"/>
      <c r="JYI240" s="140"/>
      <c r="JYJ240" s="140"/>
      <c r="JYK240" s="140"/>
      <c r="JYL240" s="140"/>
      <c r="JYM240" s="140"/>
      <c r="JYN240" s="140"/>
      <c r="JYO240" s="140"/>
      <c r="JYP240" s="140"/>
      <c r="JYQ240" s="140"/>
      <c r="JYR240" s="140"/>
      <c r="JYS240" s="140"/>
      <c r="JYT240" s="140"/>
      <c r="JYU240" s="140"/>
      <c r="JYV240" s="140"/>
      <c r="JYW240" s="140"/>
      <c r="JYX240" s="140"/>
      <c r="JYY240" s="140"/>
      <c r="JYZ240" s="140"/>
      <c r="JZA240" s="140"/>
      <c r="JZB240" s="140"/>
      <c r="JZC240" s="140"/>
      <c r="JZD240" s="140"/>
      <c r="JZE240" s="140"/>
      <c r="JZF240" s="140"/>
      <c r="JZG240" s="140"/>
      <c r="JZH240" s="140"/>
      <c r="JZI240" s="140"/>
      <c r="JZJ240" s="140"/>
      <c r="JZK240" s="140"/>
      <c r="JZL240" s="140"/>
      <c r="JZM240" s="140"/>
      <c r="JZN240" s="140"/>
      <c r="JZO240" s="140"/>
      <c r="JZP240" s="140"/>
      <c r="JZQ240" s="140"/>
      <c r="JZR240" s="140"/>
      <c r="JZS240" s="140"/>
      <c r="JZT240" s="140"/>
      <c r="JZU240" s="140"/>
      <c r="JZV240" s="140"/>
      <c r="JZW240" s="140"/>
      <c r="JZX240" s="140"/>
      <c r="JZY240" s="140"/>
      <c r="JZZ240" s="140"/>
      <c r="KAA240" s="140"/>
      <c r="KAB240" s="140"/>
      <c r="KAC240" s="140"/>
      <c r="KAD240" s="140"/>
      <c r="KAE240" s="140"/>
      <c r="KAF240" s="140"/>
      <c r="KAG240" s="140"/>
      <c r="KAH240" s="140"/>
      <c r="KAI240" s="140"/>
      <c r="KAJ240" s="140"/>
      <c r="KAK240" s="140"/>
      <c r="KAL240" s="140"/>
      <c r="KAM240" s="140"/>
      <c r="KAN240" s="140"/>
      <c r="KAO240" s="140"/>
      <c r="KAP240" s="140"/>
      <c r="KAQ240" s="140"/>
      <c r="KAR240" s="140"/>
      <c r="KAS240" s="140"/>
      <c r="KAT240" s="140"/>
      <c r="KAU240" s="140"/>
      <c r="KAV240" s="140"/>
      <c r="KAW240" s="140"/>
      <c r="KAX240" s="140"/>
      <c r="KAY240" s="140"/>
      <c r="KAZ240" s="140"/>
      <c r="KBA240" s="140"/>
      <c r="KBB240" s="140"/>
      <c r="KBC240" s="140"/>
      <c r="KBD240" s="140"/>
      <c r="KBE240" s="140"/>
      <c r="KBF240" s="140"/>
      <c r="KBG240" s="140"/>
      <c r="KBH240" s="140"/>
      <c r="KBI240" s="140"/>
      <c r="KBJ240" s="140"/>
      <c r="KBK240" s="140"/>
      <c r="KBL240" s="140"/>
      <c r="KBM240" s="140"/>
      <c r="KBN240" s="140"/>
      <c r="KBO240" s="140"/>
      <c r="KBP240" s="140"/>
      <c r="KBQ240" s="140"/>
      <c r="KBR240" s="140"/>
      <c r="KBS240" s="140"/>
      <c r="KBT240" s="140"/>
      <c r="KBU240" s="140"/>
      <c r="KBV240" s="140"/>
      <c r="KBW240" s="140"/>
      <c r="KBX240" s="140"/>
      <c r="KBY240" s="140"/>
      <c r="KBZ240" s="140"/>
      <c r="KCA240" s="140"/>
      <c r="KCB240" s="140"/>
      <c r="KCC240" s="140"/>
      <c r="KCD240" s="140"/>
      <c r="KCE240" s="140"/>
      <c r="KCF240" s="140"/>
      <c r="KCG240" s="140"/>
      <c r="KCH240" s="140"/>
      <c r="KCI240" s="140"/>
      <c r="KCJ240" s="140"/>
      <c r="KCK240" s="140"/>
      <c r="KCL240" s="140"/>
      <c r="KCM240" s="140"/>
      <c r="KCN240" s="140"/>
      <c r="KCO240" s="140"/>
      <c r="KCP240" s="140"/>
      <c r="KCQ240" s="140"/>
      <c r="KCR240" s="140"/>
      <c r="KCS240" s="140"/>
      <c r="KCT240" s="140"/>
      <c r="KCU240" s="140"/>
      <c r="KCV240" s="140"/>
      <c r="KCW240" s="140"/>
      <c r="KCX240" s="140"/>
      <c r="KCY240" s="140"/>
      <c r="KCZ240" s="140"/>
      <c r="KDA240" s="140"/>
      <c r="KDB240" s="140"/>
      <c r="KDC240" s="140"/>
      <c r="KDD240" s="140"/>
      <c r="KDE240" s="140"/>
      <c r="KDF240" s="140"/>
      <c r="KDG240" s="140"/>
      <c r="KDH240" s="140"/>
      <c r="KDI240" s="140"/>
      <c r="KDJ240" s="140"/>
      <c r="KDK240" s="140"/>
      <c r="KDL240" s="140"/>
      <c r="KDM240" s="140"/>
      <c r="KDN240" s="140"/>
      <c r="KDO240" s="140"/>
      <c r="KDP240" s="140"/>
      <c r="KDQ240" s="140"/>
      <c r="KDR240" s="140"/>
      <c r="KDS240" s="140"/>
      <c r="KDT240" s="140"/>
      <c r="KDU240" s="140"/>
      <c r="KDV240" s="140"/>
      <c r="KDW240" s="140"/>
      <c r="KDX240" s="140"/>
      <c r="KDY240" s="140"/>
      <c r="KDZ240" s="140"/>
      <c r="KEA240" s="140"/>
      <c r="KEB240" s="140"/>
      <c r="KEC240" s="140"/>
      <c r="KED240" s="140"/>
      <c r="KEE240" s="140"/>
      <c r="KEF240" s="140"/>
      <c r="KEG240" s="140"/>
      <c r="KEH240" s="140"/>
      <c r="KEI240" s="140"/>
      <c r="KEJ240" s="140"/>
      <c r="KEK240" s="140"/>
      <c r="KEL240" s="140"/>
      <c r="KEM240" s="140"/>
      <c r="KEN240" s="140"/>
      <c r="KEO240" s="140"/>
      <c r="KEP240" s="140"/>
      <c r="KEQ240" s="140"/>
      <c r="KER240" s="140"/>
      <c r="KES240" s="140"/>
      <c r="KET240" s="140"/>
      <c r="KEU240" s="140"/>
      <c r="KEV240" s="140"/>
      <c r="KEW240" s="140"/>
      <c r="KEX240" s="140"/>
      <c r="KEY240" s="140"/>
      <c r="KEZ240" s="140"/>
      <c r="KFA240" s="140"/>
      <c r="KFB240" s="140"/>
      <c r="KFC240" s="140"/>
      <c r="KFD240" s="140"/>
      <c r="KFE240" s="140"/>
      <c r="KFF240" s="140"/>
      <c r="KFG240" s="140"/>
      <c r="KFH240" s="140"/>
      <c r="KFI240" s="140"/>
      <c r="KFJ240" s="140"/>
      <c r="KFK240" s="140"/>
      <c r="KFL240" s="140"/>
      <c r="KFM240" s="140"/>
      <c r="KFN240" s="140"/>
      <c r="KFO240" s="140"/>
      <c r="KFP240" s="140"/>
      <c r="KFQ240" s="140"/>
      <c r="KFR240" s="140"/>
      <c r="KFS240" s="140"/>
      <c r="KFT240" s="140"/>
      <c r="KFU240" s="140"/>
      <c r="KFV240" s="140"/>
      <c r="KFW240" s="140"/>
      <c r="KFX240" s="140"/>
      <c r="KFY240" s="140"/>
      <c r="KFZ240" s="140"/>
      <c r="KGA240" s="140"/>
      <c r="KGB240" s="140"/>
      <c r="KGC240" s="140"/>
      <c r="KGD240" s="140"/>
      <c r="KGE240" s="140"/>
      <c r="KGF240" s="140"/>
      <c r="KGG240" s="140"/>
      <c r="KGH240" s="140"/>
      <c r="KGI240" s="140"/>
      <c r="KGJ240" s="140"/>
      <c r="KGK240" s="140"/>
      <c r="KGL240" s="140"/>
      <c r="KGM240" s="140"/>
      <c r="KGN240" s="140"/>
      <c r="KGO240" s="140"/>
      <c r="KGP240" s="140"/>
      <c r="KGQ240" s="140"/>
      <c r="KGR240" s="140"/>
      <c r="KGS240" s="140"/>
      <c r="KGT240" s="140"/>
      <c r="KGU240" s="140"/>
      <c r="KGV240" s="140"/>
      <c r="KGW240" s="140"/>
      <c r="KGX240" s="140"/>
      <c r="KGY240" s="140"/>
      <c r="KGZ240" s="140"/>
      <c r="KHA240" s="140"/>
      <c r="KHB240" s="140"/>
      <c r="KHC240" s="140"/>
      <c r="KHD240" s="140"/>
      <c r="KHE240" s="140"/>
      <c r="KHF240" s="140"/>
      <c r="KHG240" s="140"/>
      <c r="KHH240" s="140"/>
      <c r="KHI240" s="140"/>
      <c r="KHJ240" s="140"/>
      <c r="KHK240" s="140"/>
      <c r="KHL240" s="140"/>
      <c r="KHM240" s="140"/>
      <c r="KHN240" s="140"/>
      <c r="KHO240" s="140"/>
      <c r="KHP240" s="140"/>
      <c r="KHQ240" s="140"/>
      <c r="KHR240" s="140"/>
      <c r="KHS240" s="140"/>
      <c r="KHT240" s="140"/>
      <c r="KHU240" s="140"/>
      <c r="KHV240" s="140"/>
      <c r="KHW240" s="140"/>
      <c r="KHX240" s="140"/>
      <c r="KHY240" s="140"/>
      <c r="KHZ240" s="140"/>
      <c r="KIA240" s="140"/>
      <c r="KIB240" s="140"/>
      <c r="KIC240" s="140"/>
      <c r="KID240" s="140"/>
      <c r="KIE240" s="140"/>
      <c r="KIF240" s="140"/>
      <c r="KIG240" s="140"/>
      <c r="KIH240" s="140"/>
      <c r="KII240" s="140"/>
      <c r="KIJ240" s="140"/>
      <c r="KIK240" s="140"/>
      <c r="KIL240" s="140"/>
      <c r="KIM240" s="140"/>
      <c r="KIN240" s="140"/>
      <c r="KIO240" s="140"/>
      <c r="KIP240" s="140"/>
      <c r="KIQ240" s="140"/>
      <c r="KIR240" s="140"/>
      <c r="KIS240" s="140"/>
      <c r="KIT240" s="140"/>
      <c r="KIU240" s="140"/>
      <c r="KIV240" s="140"/>
      <c r="KIW240" s="140"/>
      <c r="KIX240" s="140"/>
      <c r="KIY240" s="140"/>
      <c r="KIZ240" s="140"/>
      <c r="KJA240" s="140"/>
      <c r="KJB240" s="140"/>
      <c r="KJC240" s="140"/>
      <c r="KJD240" s="140"/>
      <c r="KJE240" s="140"/>
      <c r="KJF240" s="140"/>
      <c r="KJG240" s="140"/>
      <c r="KJH240" s="140"/>
      <c r="KJI240" s="140"/>
      <c r="KJJ240" s="140"/>
      <c r="KJK240" s="140"/>
      <c r="KJL240" s="140"/>
      <c r="KJM240" s="140"/>
      <c r="KJN240" s="140"/>
      <c r="KJO240" s="140"/>
      <c r="KJP240" s="140"/>
      <c r="KJQ240" s="140"/>
      <c r="KJR240" s="140"/>
      <c r="KJS240" s="140"/>
      <c r="KJT240" s="140"/>
      <c r="KJU240" s="140"/>
      <c r="KJV240" s="140"/>
      <c r="KJW240" s="140"/>
      <c r="KJX240" s="140"/>
      <c r="KJY240" s="140"/>
      <c r="KJZ240" s="140"/>
      <c r="KKA240" s="140"/>
      <c r="KKB240" s="140"/>
      <c r="KKC240" s="140"/>
      <c r="KKD240" s="140"/>
      <c r="KKE240" s="140"/>
      <c r="KKF240" s="140"/>
      <c r="KKG240" s="140"/>
      <c r="KKH240" s="140"/>
      <c r="KKI240" s="140"/>
      <c r="KKJ240" s="140"/>
      <c r="KKK240" s="140"/>
      <c r="KKL240" s="140"/>
      <c r="KKM240" s="140"/>
      <c r="KKN240" s="140"/>
      <c r="KKO240" s="140"/>
      <c r="KKP240" s="140"/>
      <c r="KKQ240" s="140"/>
      <c r="KKR240" s="140"/>
      <c r="KKS240" s="140"/>
      <c r="KKT240" s="140"/>
      <c r="KKU240" s="140"/>
      <c r="KKV240" s="140"/>
      <c r="KKW240" s="140"/>
      <c r="KKX240" s="140"/>
      <c r="KKY240" s="140"/>
      <c r="KKZ240" s="140"/>
      <c r="KLA240" s="140"/>
      <c r="KLB240" s="140"/>
      <c r="KLC240" s="140"/>
      <c r="KLD240" s="140"/>
      <c r="KLE240" s="140"/>
      <c r="KLF240" s="140"/>
      <c r="KLG240" s="140"/>
      <c r="KLH240" s="140"/>
      <c r="KLI240" s="140"/>
      <c r="KLJ240" s="140"/>
      <c r="KLK240" s="140"/>
      <c r="KLL240" s="140"/>
      <c r="KLM240" s="140"/>
      <c r="KLN240" s="140"/>
      <c r="KLO240" s="140"/>
      <c r="KLP240" s="140"/>
      <c r="KLQ240" s="140"/>
      <c r="KLR240" s="140"/>
      <c r="KLS240" s="140"/>
      <c r="KLT240" s="140"/>
      <c r="KLU240" s="140"/>
      <c r="KLV240" s="140"/>
      <c r="KLW240" s="140"/>
      <c r="KLX240" s="140"/>
      <c r="KLY240" s="140"/>
      <c r="KLZ240" s="140"/>
      <c r="KMA240" s="140"/>
      <c r="KMB240" s="140"/>
      <c r="KMC240" s="140"/>
      <c r="KMD240" s="140"/>
      <c r="KME240" s="140"/>
      <c r="KMF240" s="140"/>
      <c r="KMG240" s="140"/>
      <c r="KMH240" s="140"/>
      <c r="KMI240" s="140"/>
      <c r="KMJ240" s="140"/>
      <c r="KMK240" s="140"/>
      <c r="KML240" s="140"/>
      <c r="KMM240" s="140"/>
      <c r="KMN240" s="140"/>
      <c r="KMO240" s="140"/>
      <c r="KMP240" s="140"/>
      <c r="KMQ240" s="140"/>
      <c r="KMR240" s="140"/>
      <c r="KMS240" s="140"/>
      <c r="KMT240" s="140"/>
      <c r="KMU240" s="140"/>
      <c r="KMV240" s="140"/>
      <c r="KMW240" s="140"/>
      <c r="KMX240" s="140"/>
      <c r="KMY240" s="140"/>
      <c r="KMZ240" s="140"/>
      <c r="KNA240" s="140"/>
      <c r="KNB240" s="140"/>
      <c r="KNC240" s="140"/>
      <c r="KND240" s="140"/>
      <c r="KNE240" s="140"/>
      <c r="KNF240" s="140"/>
      <c r="KNG240" s="140"/>
      <c r="KNH240" s="140"/>
      <c r="KNI240" s="140"/>
      <c r="KNJ240" s="140"/>
      <c r="KNK240" s="140"/>
      <c r="KNL240" s="140"/>
      <c r="KNM240" s="140"/>
      <c r="KNN240" s="140"/>
      <c r="KNO240" s="140"/>
      <c r="KNP240" s="140"/>
      <c r="KNQ240" s="140"/>
      <c r="KNR240" s="140"/>
      <c r="KNS240" s="140"/>
      <c r="KNT240" s="140"/>
      <c r="KNU240" s="140"/>
      <c r="KNV240" s="140"/>
      <c r="KNW240" s="140"/>
      <c r="KNX240" s="140"/>
      <c r="KNY240" s="140"/>
      <c r="KNZ240" s="140"/>
      <c r="KOA240" s="140"/>
      <c r="KOB240" s="140"/>
      <c r="KOC240" s="140"/>
      <c r="KOD240" s="140"/>
      <c r="KOE240" s="140"/>
      <c r="KOF240" s="140"/>
      <c r="KOG240" s="140"/>
      <c r="KOH240" s="140"/>
      <c r="KOI240" s="140"/>
      <c r="KOJ240" s="140"/>
      <c r="KOK240" s="140"/>
      <c r="KOL240" s="140"/>
      <c r="KOM240" s="140"/>
      <c r="KON240" s="140"/>
      <c r="KOO240" s="140"/>
      <c r="KOP240" s="140"/>
      <c r="KOQ240" s="140"/>
      <c r="KOR240" s="140"/>
      <c r="KOS240" s="140"/>
      <c r="KOT240" s="140"/>
      <c r="KOU240" s="140"/>
      <c r="KOV240" s="140"/>
      <c r="KOW240" s="140"/>
      <c r="KOX240" s="140"/>
      <c r="KOY240" s="140"/>
      <c r="KOZ240" s="140"/>
      <c r="KPA240" s="140"/>
      <c r="KPB240" s="140"/>
      <c r="KPC240" s="140"/>
      <c r="KPD240" s="140"/>
      <c r="KPE240" s="140"/>
      <c r="KPF240" s="140"/>
      <c r="KPG240" s="140"/>
      <c r="KPH240" s="140"/>
      <c r="KPI240" s="140"/>
      <c r="KPJ240" s="140"/>
      <c r="KPK240" s="140"/>
      <c r="KPL240" s="140"/>
      <c r="KPM240" s="140"/>
      <c r="KPN240" s="140"/>
      <c r="KPO240" s="140"/>
      <c r="KPP240" s="140"/>
      <c r="KPQ240" s="140"/>
      <c r="KPR240" s="140"/>
      <c r="KPS240" s="140"/>
      <c r="KPT240" s="140"/>
      <c r="KPU240" s="140"/>
      <c r="KPV240" s="140"/>
      <c r="KPW240" s="140"/>
      <c r="KPX240" s="140"/>
      <c r="KPY240" s="140"/>
      <c r="KPZ240" s="140"/>
      <c r="KQA240" s="140"/>
      <c r="KQB240" s="140"/>
      <c r="KQC240" s="140"/>
      <c r="KQD240" s="140"/>
      <c r="KQE240" s="140"/>
      <c r="KQF240" s="140"/>
      <c r="KQG240" s="140"/>
      <c r="KQH240" s="140"/>
      <c r="KQI240" s="140"/>
      <c r="KQJ240" s="140"/>
      <c r="KQK240" s="140"/>
      <c r="KQL240" s="140"/>
      <c r="KQM240" s="140"/>
      <c r="KQN240" s="140"/>
      <c r="KQO240" s="140"/>
      <c r="KQP240" s="140"/>
      <c r="KQQ240" s="140"/>
      <c r="KQR240" s="140"/>
      <c r="KQS240" s="140"/>
      <c r="KQT240" s="140"/>
      <c r="KQU240" s="140"/>
      <c r="KQV240" s="140"/>
      <c r="KQW240" s="140"/>
      <c r="KQX240" s="140"/>
      <c r="KQY240" s="140"/>
      <c r="KQZ240" s="140"/>
      <c r="KRA240" s="140"/>
      <c r="KRB240" s="140"/>
      <c r="KRC240" s="140"/>
      <c r="KRD240" s="140"/>
      <c r="KRE240" s="140"/>
      <c r="KRF240" s="140"/>
      <c r="KRG240" s="140"/>
      <c r="KRH240" s="140"/>
      <c r="KRI240" s="140"/>
      <c r="KRJ240" s="140"/>
      <c r="KRK240" s="140"/>
      <c r="KRL240" s="140"/>
      <c r="KRM240" s="140"/>
      <c r="KRN240" s="140"/>
      <c r="KRO240" s="140"/>
      <c r="KRP240" s="140"/>
      <c r="KRQ240" s="140"/>
      <c r="KRR240" s="140"/>
      <c r="KRS240" s="140"/>
      <c r="KRT240" s="140"/>
      <c r="KRU240" s="140"/>
      <c r="KRV240" s="140"/>
      <c r="KRW240" s="140"/>
      <c r="KRX240" s="140"/>
      <c r="KRY240" s="140"/>
      <c r="KRZ240" s="140"/>
      <c r="KSA240" s="140"/>
      <c r="KSB240" s="140"/>
      <c r="KSC240" s="140"/>
      <c r="KSD240" s="140"/>
      <c r="KSE240" s="140"/>
      <c r="KSF240" s="140"/>
      <c r="KSG240" s="140"/>
      <c r="KSH240" s="140"/>
      <c r="KSI240" s="140"/>
      <c r="KSJ240" s="140"/>
      <c r="KSK240" s="140"/>
      <c r="KSL240" s="140"/>
      <c r="KSM240" s="140"/>
      <c r="KSN240" s="140"/>
      <c r="KSO240" s="140"/>
      <c r="KSP240" s="140"/>
      <c r="KSQ240" s="140"/>
      <c r="KSR240" s="140"/>
      <c r="KSS240" s="140"/>
      <c r="KST240" s="140"/>
      <c r="KSU240" s="140"/>
      <c r="KSV240" s="140"/>
      <c r="KSW240" s="140"/>
      <c r="KSX240" s="140"/>
      <c r="KSY240" s="140"/>
      <c r="KSZ240" s="140"/>
      <c r="KTA240" s="140"/>
      <c r="KTB240" s="140"/>
      <c r="KTC240" s="140"/>
      <c r="KTD240" s="140"/>
      <c r="KTE240" s="140"/>
      <c r="KTF240" s="140"/>
      <c r="KTG240" s="140"/>
      <c r="KTH240" s="140"/>
      <c r="KTI240" s="140"/>
      <c r="KTJ240" s="140"/>
      <c r="KTK240" s="140"/>
      <c r="KTL240" s="140"/>
      <c r="KTM240" s="140"/>
      <c r="KTN240" s="140"/>
      <c r="KTO240" s="140"/>
      <c r="KTP240" s="140"/>
      <c r="KTQ240" s="140"/>
      <c r="KTR240" s="140"/>
      <c r="KTS240" s="140"/>
      <c r="KTT240" s="140"/>
      <c r="KTU240" s="140"/>
      <c r="KTV240" s="140"/>
      <c r="KTW240" s="140"/>
      <c r="KTX240" s="140"/>
      <c r="KTY240" s="140"/>
      <c r="KTZ240" s="140"/>
      <c r="KUA240" s="140"/>
      <c r="KUB240" s="140"/>
      <c r="KUC240" s="140"/>
      <c r="KUD240" s="140"/>
      <c r="KUE240" s="140"/>
      <c r="KUF240" s="140"/>
      <c r="KUG240" s="140"/>
      <c r="KUH240" s="140"/>
      <c r="KUI240" s="140"/>
      <c r="KUJ240" s="140"/>
      <c r="KUK240" s="140"/>
      <c r="KUL240" s="140"/>
      <c r="KUM240" s="140"/>
      <c r="KUN240" s="140"/>
      <c r="KUO240" s="140"/>
      <c r="KUP240" s="140"/>
      <c r="KUQ240" s="140"/>
      <c r="KUR240" s="140"/>
      <c r="KUS240" s="140"/>
      <c r="KUT240" s="140"/>
      <c r="KUU240" s="140"/>
      <c r="KUV240" s="140"/>
      <c r="KUW240" s="140"/>
      <c r="KUX240" s="140"/>
      <c r="KUY240" s="140"/>
      <c r="KUZ240" s="140"/>
      <c r="KVA240" s="140"/>
      <c r="KVB240" s="140"/>
      <c r="KVC240" s="140"/>
      <c r="KVD240" s="140"/>
      <c r="KVE240" s="140"/>
      <c r="KVF240" s="140"/>
      <c r="KVG240" s="140"/>
      <c r="KVH240" s="140"/>
      <c r="KVI240" s="140"/>
      <c r="KVJ240" s="140"/>
      <c r="KVK240" s="140"/>
      <c r="KVL240" s="140"/>
      <c r="KVM240" s="140"/>
      <c r="KVN240" s="140"/>
      <c r="KVO240" s="140"/>
      <c r="KVP240" s="140"/>
      <c r="KVQ240" s="140"/>
      <c r="KVR240" s="140"/>
      <c r="KVS240" s="140"/>
      <c r="KVT240" s="140"/>
      <c r="KVU240" s="140"/>
      <c r="KVV240" s="140"/>
      <c r="KVW240" s="140"/>
      <c r="KVX240" s="140"/>
      <c r="KVY240" s="140"/>
      <c r="KVZ240" s="140"/>
      <c r="KWA240" s="140"/>
      <c r="KWB240" s="140"/>
      <c r="KWC240" s="140"/>
      <c r="KWD240" s="140"/>
      <c r="KWE240" s="140"/>
      <c r="KWF240" s="140"/>
      <c r="KWG240" s="140"/>
      <c r="KWH240" s="140"/>
      <c r="KWI240" s="140"/>
      <c r="KWJ240" s="140"/>
      <c r="KWK240" s="140"/>
      <c r="KWL240" s="140"/>
      <c r="KWM240" s="140"/>
      <c r="KWN240" s="140"/>
      <c r="KWO240" s="140"/>
      <c r="KWP240" s="140"/>
      <c r="KWQ240" s="140"/>
      <c r="KWR240" s="140"/>
      <c r="KWS240" s="140"/>
      <c r="KWT240" s="140"/>
      <c r="KWU240" s="140"/>
      <c r="KWV240" s="140"/>
      <c r="KWW240" s="140"/>
      <c r="KWX240" s="140"/>
      <c r="KWY240" s="140"/>
      <c r="KWZ240" s="140"/>
      <c r="KXA240" s="140"/>
      <c r="KXB240" s="140"/>
      <c r="KXC240" s="140"/>
      <c r="KXD240" s="140"/>
      <c r="KXE240" s="140"/>
      <c r="KXF240" s="140"/>
      <c r="KXG240" s="140"/>
      <c r="KXH240" s="140"/>
      <c r="KXI240" s="140"/>
      <c r="KXJ240" s="140"/>
      <c r="KXK240" s="140"/>
      <c r="KXL240" s="140"/>
      <c r="KXM240" s="140"/>
      <c r="KXN240" s="140"/>
      <c r="KXO240" s="140"/>
      <c r="KXP240" s="140"/>
      <c r="KXQ240" s="140"/>
      <c r="KXR240" s="140"/>
      <c r="KXS240" s="140"/>
      <c r="KXT240" s="140"/>
      <c r="KXU240" s="140"/>
      <c r="KXV240" s="140"/>
      <c r="KXW240" s="140"/>
      <c r="KXX240" s="140"/>
      <c r="KXY240" s="140"/>
      <c r="KXZ240" s="140"/>
      <c r="KYA240" s="140"/>
      <c r="KYB240" s="140"/>
      <c r="KYC240" s="140"/>
      <c r="KYD240" s="140"/>
      <c r="KYE240" s="140"/>
      <c r="KYF240" s="140"/>
      <c r="KYG240" s="140"/>
      <c r="KYH240" s="140"/>
      <c r="KYI240" s="140"/>
      <c r="KYJ240" s="140"/>
      <c r="KYK240" s="140"/>
      <c r="KYL240" s="140"/>
      <c r="KYM240" s="140"/>
      <c r="KYN240" s="140"/>
      <c r="KYO240" s="140"/>
      <c r="KYP240" s="140"/>
      <c r="KYQ240" s="140"/>
      <c r="KYR240" s="140"/>
      <c r="KYS240" s="140"/>
      <c r="KYT240" s="140"/>
      <c r="KYU240" s="140"/>
      <c r="KYV240" s="140"/>
      <c r="KYW240" s="140"/>
      <c r="KYX240" s="140"/>
      <c r="KYY240" s="140"/>
      <c r="KYZ240" s="140"/>
      <c r="KZA240" s="140"/>
      <c r="KZB240" s="140"/>
      <c r="KZC240" s="140"/>
      <c r="KZD240" s="140"/>
      <c r="KZE240" s="140"/>
      <c r="KZF240" s="140"/>
      <c r="KZG240" s="140"/>
      <c r="KZH240" s="140"/>
      <c r="KZI240" s="140"/>
      <c r="KZJ240" s="140"/>
      <c r="KZK240" s="140"/>
      <c r="KZL240" s="140"/>
      <c r="KZM240" s="140"/>
      <c r="KZN240" s="140"/>
      <c r="KZO240" s="140"/>
      <c r="KZP240" s="140"/>
      <c r="KZQ240" s="140"/>
      <c r="KZR240" s="140"/>
      <c r="KZS240" s="140"/>
      <c r="KZT240" s="140"/>
      <c r="KZU240" s="140"/>
      <c r="KZV240" s="140"/>
      <c r="KZW240" s="140"/>
      <c r="KZX240" s="140"/>
      <c r="KZY240" s="140"/>
      <c r="KZZ240" s="140"/>
      <c r="LAA240" s="140"/>
      <c r="LAB240" s="140"/>
      <c r="LAC240" s="140"/>
      <c r="LAD240" s="140"/>
      <c r="LAE240" s="140"/>
      <c r="LAF240" s="140"/>
      <c r="LAG240" s="140"/>
      <c r="LAH240" s="140"/>
      <c r="LAI240" s="140"/>
      <c r="LAJ240" s="140"/>
      <c r="LAK240" s="140"/>
      <c r="LAL240" s="140"/>
      <c r="LAM240" s="140"/>
      <c r="LAN240" s="140"/>
      <c r="LAO240" s="140"/>
      <c r="LAP240" s="140"/>
      <c r="LAQ240" s="140"/>
      <c r="LAR240" s="140"/>
      <c r="LAS240" s="140"/>
      <c r="LAT240" s="140"/>
      <c r="LAU240" s="140"/>
      <c r="LAV240" s="140"/>
      <c r="LAW240" s="140"/>
      <c r="LAX240" s="140"/>
      <c r="LAY240" s="140"/>
      <c r="LAZ240" s="140"/>
      <c r="LBA240" s="140"/>
      <c r="LBB240" s="140"/>
      <c r="LBC240" s="140"/>
      <c r="LBD240" s="140"/>
      <c r="LBE240" s="140"/>
      <c r="LBF240" s="140"/>
      <c r="LBG240" s="140"/>
      <c r="LBH240" s="140"/>
      <c r="LBI240" s="140"/>
      <c r="LBJ240" s="140"/>
      <c r="LBK240" s="140"/>
      <c r="LBL240" s="140"/>
      <c r="LBM240" s="140"/>
      <c r="LBN240" s="140"/>
      <c r="LBO240" s="140"/>
      <c r="LBP240" s="140"/>
      <c r="LBQ240" s="140"/>
      <c r="LBR240" s="140"/>
      <c r="LBS240" s="140"/>
      <c r="LBT240" s="140"/>
      <c r="LBU240" s="140"/>
      <c r="LBV240" s="140"/>
      <c r="LBW240" s="140"/>
      <c r="LBX240" s="140"/>
      <c r="LBY240" s="140"/>
      <c r="LBZ240" s="140"/>
      <c r="LCA240" s="140"/>
      <c r="LCB240" s="140"/>
      <c r="LCC240" s="140"/>
      <c r="LCD240" s="140"/>
      <c r="LCE240" s="140"/>
      <c r="LCF240" s="140"/>
      <c r="LCG240" s="140"/>
      <c r="LCH240" s="140"/>
      <c r="LCI240" s="140"/>
      <c r="LCJ240" s="140"/>
      <c r="LCK240" s="140"/>
      <c r="LCL240" s="140"/>
      <c r="LCM240" s="140"/>
      <c r="LCN240" s="140"/>
      <c r="LCO240" s="140"/>
      <c r="LCP240" s="140"/>
      <c r="LCQ240" s="140"/>
      <c r="LCR240" s="140"/>
      <c r="LCS240" s="140"/>
      <c r="LCT240" s="140"/>
      <c r="LCU240" s="140"/>
      <c r="LCV240" s="140"/>
      <c r="LCW240" s="140"/>
      <c r="LCX240" s="140"/>
      <c r="LCY240" s="140"/>
      <c r="LCZ240" s="140"/>
      <c r="LDA240" s="140"/>
      <c r="LDB240" s="140"/>
      <c r="LDC240" s="140"/>
      <c r="LDD240" s="140"/>
      <c r="LDE240" s="140"/>
      <c r="LDF240" s="140"/>
      <c r="LDG240" s="140"/>
      <c r="LDH240" s="140"/>
      <c r="LDI240" s="140"/>
      <c r="LDJ240" s="140"/>
      <c r="LDK240" s="140"/>
      <c r="LDL240" s="140"/>
      <c r="LDM240" s="140"/>
      <c r="LDN240" s="140"/>
      <c r="LDO240" s="140"/>
      <c r="LDP240" s="140"/>
      <c r="LDQ240" s="140"/>
      <c r="LDR240" s="140"/>
      <c r="LDS240" s="140"/>
      <c r="LDT240" s="140"/>
      <c r="LDU240" s="140"/>
      <c r="LDV240" s="140"/>
      <c r="LDW240" s="140"/>
      <c r="LDX240" s="140"/>
      <c r="LDY240" s="140"/>
      <c r="LDZ240" s="140"/>
      <c r="LEA240" s="140"/>
      <c r="LEB240" s="140"/>
      <c r="LEC240" s="140"/>
      <c r="LED240" s="140"/>
      <c r="LEE240" s="140"/>
      <c r="LEF240" s="140"/>
      <c r="LEG240" s="140"/>
      <c r="LEH240" s="140"/>
      <c r="LEI240" s="140"/>
      <c r="LEJ240" s="140"/>
      <c r="LEK240" s="140"/>
      <c r="LEL240" s="140"/>
      <c r="LEM240" s="140"/>
      <c r="LEN240" s="140"/>
      <c r="LEO240" s="140"/>
      <c r="LEP240" s="140"/>
      <c r="LEQ240" s="140"/>
      <c r="LER240" s="140"/>
      <c r="LES240" s="140"/>
      <c r="LET240" s="140"/>
      <c r="LEU240" s="140"/>
      <c r="LEV240" s="140"/>
      <c r="LEW240" s="140"/>
      <c r="LEX240" s="140"/>
      <c r="LEY240" s="140"/>
      <c r="LEZ240" s="140"/>
      <c r="LFA240" s="140"/>
      <c r="LFB240" s="140"/>
      <c r="LFC240" s="140"/>
      <c r="LFD240" s="140"/>
      <c r="LFE240" s="140"/>
      <c r="LFF240" s="140"/>
      <c r="LFG240" s="140"/>
      <c r="LFH240" s="140"/>
      <c r="LFI240" s="140"/>
      <c r="LFJ240" s="140"/>
      <c r="LFK240" s="140"/>
      <c r="LFL240" s="140"/>
      <c r="LFM240" s="140"/>
      <c r="LFN240" s="140"/>
      <c r="LFO240" s="140"/>
      <c r="LFP240" s="140"/>
      <c r="LFQ240" s="140"/>
      <c r="LFR240" s="140"/>
      <c r="LFS240" s="140"/>
      <c r="LFT240" s="140"/>
      <c r="LFU240" s="140"/>
      <c r="LFV240" s="140"/>
      <c r="LFW240" s="140"/>
      <c r="LFX240" s="140"/>
      <c r="LFY240" s="140"/>
      <c r="LFZ240" s="140"/>
      <c r="LGA240" s="140"/>
      <c r="LGB240" s="140"/>
      <c r="LGC240" s="140"/>
      <c r="LGD240" s="140"/>
      <c r="LGE240" s="140"/>
      <c r="LGF240" s="140"/>
      <c r="LGG240" s="140"/>
      <c r="LGH240" s="140"/>
      <c r="LGI240" s="140"/>
      <c r="LGJ240" s="140"/>
      <c r="LGK240" s="140"/>
      <c r="LGL240" s="140"/>
      <c r="LGM240" s="140"/>
      <c r="LGN240" s="140"/>
      <c r="LGO240" s="140"/>
      <c r="LGP240" s="140"/>
      <c r="LGQ240" s="140"/>
      <c r="LGR240" s="140"/>
      <c r="LGS240" s="140"/>
      <c r="LGT240" s="140"/>
      <c r="LGU240" s="140"/>
      <c r="LGV240" s="140"/>
      <c r="LGW240" s="140"/>
      <c r="LGX240" s="140"/>
      <c r="LGY240" s="140"/>
      <c r="LGZ240" s="140"/>
      <c r="LHA240" s="140"/>
      <c r="LHB240" s="140"/>
      <c r="LHC240" s="140"/>
      <c r="LHD240" s="140"/>
      <c r="LHE240" s="140"/>
      <c r="LHF240" s="140"/>
      <c r="LHG240" s="140"/>
      <c r="LHH240" s="140"/>
      <c r="LHI240" s="140"/>
      <c r="LHJ240" s="140"/>
      <c r="LHK240" s="140"/>
      <c r="LHL240" s="140"/>
      <c r="LHM240" s="140"/>
      <c r="LHN240" s="140"/>
      <c r="LHO240" s="140"/>
      <c r="LHP240" s="140"/>
      <c r="LHQ240" s="140"/>
      <c r="LHR240" s="140"/>
      <c r="LHS240" s="140"/>
      <c r="LHT240" s="140"/>
      <c r="LHU240" s="140"/>
      <c r="LHV240" s="140"/>
      <c r="LHW240" s="140"/>
      <c r="LHX240" s="140"/>
      <c r="LHY240" s="140"/>
      <c r="LHZ240" s="140"/>
      <c r="LIA240" s="140"/>
      <c r="LIB240" s="140"/>
      <c r="LIC240" s="140"/>
      <c r="LID240" s="140"/>
      <c r="LIE240" s="140"/>
      <c r="LIF240" s="140"/>
      <c r="LIG240" s="140"/>
      <c r="LIH240" s="140"/>
      <c r="LII240" s="140"/>
      <c r="LIJ240" s="140"/>
      <c r="LIK240" s="140"/>
      <c r="LIL240" s="140"/>
      <c r="LIM240" s="140"/>
      <c r="LIN240" s="140"/>
      <c r="LIO240" s="140"/>
      <c r="LIP240" s="140"/>
      <c r="LIQ240" s="140"/>
      <c r="LIR240" s="140"/>
      <c r="LIS240" s="140"/>
      <c r="LIT240" s="140"/>
      <c r="LIU240" s="140"/>
      <c r="LIV240" s="140"/>
      <c r="LIW240" s="140"/>
      <c r="LIX240" s="140"/>
      <c r="LIY240" s="140"/>
      <c r="LIZ240" s="140"/>
      <c r="LJA240" s="140"/>
      <c r="LJB240" s="140"/>
      <c r="LJC240" s="140"/>
      <c r="LJD240" s="140"/>
      <c r="LJE240" s="140"/>
      <c r="LJF240" s="140"/>
      <c r="LJG240" s="140"/>
      <c r="LJH240" s="140"/>
      <c r="LJI240" s="140"/>
      <c r="LJJ240" s="140"/>
      <c r="LJK240" s="140"/>
      <c r="LJL240" s="140"/>
      <c r="LJM240" s="140"/>
      <c r="LJN240" s="140"/>
      <c r="LJO240" s="140"/>
      <c r="LJP240" s="140"/>
      <c r="LJQ240" s="140"/>
      <c r="LJR240" s="140"/>
      <c r="LJS240" s="140"/>
      <c r="LJT240" s="140"/>
      <c r="LJU240" s="140"/>
      <c r="LJV240" s="140"/>
      <c r="LJW240" s="140"/>
      <c r="LJX240" s="140"/>
      <c r="LJY240" s="140"/>
      <c r="LJZ240" s="140"/>
      <c r="LKA240" s="140"/>
      <c r="LKB240" s="140"/>
      <c r="LKC240" s="140"/>
      <c r="LKD240" s="140"/>
      <c r="LKE240" s="140"/>
      <c r="LKF240" s="140"/>
      <c r="LKG240" s="140"/>
      <c r="LKH240" s="140"/>
      <c r="LKI240" s="140"/>
      <c r="LKJ240" s="140"/>
      <c r="LKK240" s="140"/>
      <c r="LKL240" s="140"/>
      <c r="LKM240" s="140"/>
      <c r="LKN240" s="140"/>
      <c r="LKO240" s="140"/>
      <c r="LKP240" s="140"/>
      <c r="LKQ240" s="140"/>
      <c r="LKR240" s="140"/>
      <c r="LKS240" s="140"/>
      <c r="LKT240" s="140"/>
      <c r="LKU240" s="140"/>
      <c r="LKV240" s="140"/>
      <c r="LKW240" s="140"/>
      <c r="LKX240" s="140"/>
      <c r="LKY240" s="140"/>
      <c r="LKZ240" s="140"/>
      <c r="LLA240" s="140"/>
      <c r="LLB240" s="140"/>
      <c r="LLC240" s="140"/>
      <c r="LLD240" s="140"/>
      <c r="LLE240" s="140"/>
      <c r="LLF240" s="140"/>
      <c r="LLG240" s="140"/>
      <c r="LLH240" s="140"/>
      <c r="LLI240" s="140"/>
      <c r="LLJ240" s="140"/>
      <c r="LLK240" s="140"/>
      <c r="LLL240" s="140"/>
      <c r="LLM240" s="140"/>
      <c r="LLN240" s="140"/>
      <c r="LLO240" s="140"/>
      <c r="LLP240" s="140"/>
      <c r="LLQ240" s="140"/>
      <c r="LLR240" s="140"/>
      <c r="LLS240" s="140"/>
      <c r="LLT240" s="140"/>
      <c r="LLU240" s="140"/>
      <c r="LLV240" s="140"/>
      <c r="LLW240" s="140"/>
      <c r="LLX240" s="140"/>
      <c r="LLY240" s="140"/>
      <c r="LLZ240" s="140"/>
      <c r="LMA240" s="140"/>
      <c r="LMB240" s="140"/>
      <c r="LMC240" s="140"/>
      <c r="LMD240" s="140"/>
      <c r="LME240" s="140"/>
      <c r="LMF240" s="140"/>
      <c r="LMG240" s="140"/>
      <c r="LMH240" s="140"/>
      <c r="LMI240" s="140"/>
      <c r="LMJ240" s="140"/>
      <c r="LMK240" s="140"/>
      <c r="LML240" s="140"/>
      <c r="LMM240" s="140"/>
      <c r="LMN240" s="140"/>
      <c r="LMO240" s="140"/>
      <c r="LMP240" s="140"/>
      <c r="LMQ240" s="140"/>
      <c r="LMR240" s="140"/>
      <c r="LMS240" s="140"/>
      <c r="LMT240" s="140"/>
      <c r="LMU240" s="140"/>
      <c r="LMV240" s="140"/>
      <c r="LMW240" s="140"/>
      <c r="LMX240" s="140"/>
      <c r="LMY240" s="140"/>
      <c r="LMZ240" s="140"/>
      <c r="LNA240" s="140"/>
      <c r="LNB240" s="140"/>
      <c r="LNC240" s="140"/>
      <c r="LND240" s="140"/>
      <c r="LNE240" s="140"/>
      <c r="LNF240" s="140"/>
      <c r="LNG240" s="140"/>
      <c r="LNH240" s="140"/>
      <c r="LNI240" s="140"/>
      <c r="LNJ240" s="140"/>
      <c r="LNK240" s="140"/>
      <c r="LNL240" s="140"/>
      <c r="LNM240" s="140"/>
      <c r="LNN240" s="140"/>
      <c r="LNO240" s="140"/>
      <c r="LNP240" s="140"/>
      <c r="LNQ240" s="140"/>
      <c r="LNR240" s="140"/>
      <c r="LNS240" s="140"/>
      <c r="LNT240" s="140"/>
      <c r="LNU240" s="140"/>
      <c r="LNV240" s="140"/>
      <c r="LNW240" s="140"/>
      <c r="LNX240" s="140"/>
      <c r="LNY240" s="140"/>
      <c r="LNZ240" s="140"/>
      <c r="LOA240" s="140"/>
      <c r="LOB240" s="140"/>
      <c r="LOC240" s="140"/>
      <c r="LOD240" s="140"/>
      <c r="LOE240" s="140"/>
      <c r="LOF240" s="140"/>
      <c r="LOG240" s="140"/>
      <c r="LOH240" s="140"/>
      <c r="LOI240" s="140"/>
      <c r="LOJ240" s="140"/>
      <c r="LOK240" s="140"/>
      <c r="LOL240" s="140"/>
      <c r="LOM240" s="140"/>
      <c r="LON240" s="140"/>
      <c r="LOO240" s="140"/>
      <c r="LOP240" s="140"/>
      <c r="LOQ240" s="140"/>
      <c r="LOR240" s="140"/>
      <c r="LOS240" s="140"/>
      <c r="LOT240" s="140"/>
      <c r="LOU240" s="140"/>
      <c r="LOV240" s="140"/>
      <c r="LOW240" s="140"/>
      <c r="LOX240" s="140"/>
      <c r="LOY240" s="140"/>
      <c r="LOZ240" s="140"/>
      <c r="LPA240" s="140"/>
      <c r="LPB240" s="140"/>
      <c r="LPC240" s="140"/>
      <c r="LPD240" s="140"/>
      <c r="LPE240" s="140"/>
      <c r="LPF240" s="140"/>
      <c r="LPG240" s="140"/>
      <c r="LPH240" s="140"/>
      <c r="LPI240" s="140"/>
      <c r="LPJ240" s="140"/>
      <c r="LPK240" s="140"/>
      <c r="LPL240" s="140"/>
      <c r="LPM240" s="140"/>
      <c r="LPN240" s="140"/>
      <c r="LPO240" s="140"/>
      <c r="LPP240" s="140"/>
      <c r="LPQ240" s="140"/>
      <c r="LPR240" s="140"/>
      <c r="LPS240" s="140"/>
      <c r="LPT240" s="140"/>
      <c r="LPU240" s="140"/>
      <c r="LPV240" s="140"/>
      <c r="LPW240" s="140"/>
      <c r="LPX240" s="140"/>
      <c r="LPY240" s="140"/>
      <c r="LPZ240" s="140"/>
      <c r="LQA240" s="140"/>
      <c r="LQB240" s="140"/>
      <c r="LQC240" s="140"/>
      <c r="LQD240" s="140"/>
      <c r="LQE240" s="140"/>
      <c r="LQF240" s="140"/>
      <c r="LQG240" s="140"/>
      <c r="LQH240" s="140"/>
      <c r="LQI240" s="140"/>
      <c r="LQJ240" s="140"/>
      <c r="LQK240" s="140"/>
      <c r="LQL240" s="140"/>
      <c r="LQM240" s="140"/>
      <c r="LQN240" s="140"/>
      <c r="LQO240" s="140"/>
      <c r="LQP240" s="140"/>
      <c r="LQQ240" s="140"/>
      <c r="LQR240" s="140"/>
      <c r="LQS240" s="140"/>
      <c r="LQT240" s="140"/>
      <c r="LQU240" s="140"/>
      <c r="LQV240" s="140"/>
      <c r="LQW240" s="140"/>
      <c r="LQX240" s="140"/>
      <c r="LQY240" s="140"/>
      <c r="LQZ240" s="140"/>
      <c r="LRA240" s="140"/>
      <c r="LRB240" s="140"/>
      <c r="LRC240" s="140"/>
      <c r="LRD240" s="140"/>
      <c r="LRE240" s="140"/>
      <c r="LRF240" s="140"/>
      <c r="LRG240" s="140"/>
      <c r="LRH240" s="140"/>
      <c r="LRI240" s="140"/>
      <c r="LRJ240" s="140"/>
      <c r="LRK240" s="140"/>
      <c r="LRL240" s="140"/>
      <c r="LRM240" s="140"/>
      <c r="LRN240" s="140"/>
      <c r="LRO240" s="140"/>
      <c r="LRP240" s="140"/>
      <c r="LRQ240" s="140"/>
      <c r="LRR240" s="140"/>
      <c r="LRS240" s="140"/>
      <c r="LRT240" s="140"/>
      <c r="LRU240" s="140"/>
      <c r="LRV240" s="140"/>
      <c r="LRW240" s="140"/>
      <c r="LRX240" s="140"/>
      <c r="LRY240" s="140"/>
      <c r="LRZ240" s="140"/>
      <c r="LSA240" s="140"/>
      <c r="LSB240" s="140"/>
      <c r="LSC240" s="140"/>
      <c r="LSD240" s="140"/>
      <c r="LSE240" s="140"/>
      <c r="LSF240" s="140"/>
      <c r="LSG240" s="140"/>
      <c r="LSH240" s="140"/>
      <c r="LSI240" s="140"/>
      <c r="LSJ240" s="140"/>
      <c r="LSK240" s="140"/>
      <c r="LSL240" s="140"/>
      <c r="LSM240" s="140"/>
      <c r="LSN240" s="140"/>
      <c r="LSO240" s="140"/>
      <c r="LSP240" s="140"/>
      <c r="LSQ240" s="140"/>
      <c r="LSR240" s="140"/>
      <c r="LSS240" s="140"/>
      <c r="LST240" s="140"/>
      <c r="LSU240" s="140"/>
      <c r="LSV240" s="140"/>
      <c r="LSW240" s="140"/>
      <c r="LSX240" s="140"/>
      <c r="LSY240" s="140"/>
      <c r="LSZ240" s="140"/>
      <c r="LTA240" s="140"/>
      <c r="LTB240" s="140"/>
      <c r="LTC240" s="140"/>
      <c r="LTD240" s="140"/>
      <c r="LTE240" s="140"/>
      <c r="LTF240" s="140"/>
      <c r="LTG240" s="140"/>
      <c r="LTH240" s="140"/>
      <c r="LTI240" s="140"/>
      <c r="LTJ240" s="140"/>
      <c r="LTK240" s="140"/>
      <c r="LTL240" s="140"/>
      <c r="LTM240" s="140"/>
      <c r="LTN240" s="140"/>
      <c r="LTO240" s="140"/>
      <c r="LTP240" s="140"/>
      <c r="LTQ240" s="140"/>
      <c r="LTR240" s="140"/>
      <c r="LTS240" s="140"/>
      <c r="LTT240" s="140"/>
      <c r="LTU240" s="140"/>
      <c r="LTV240" s="140"/>
      <c r="LTW240" s="140"/>
      <c r="LTX240" s="140"/>
      <c r="LTY240" s="140"/>
      <c r="LTZ240" s="140"/>
      <c r="LUA240" s="140"/>
      <c r="LUB240" s="140"/>
      <c r="LUC240" s="140"/>
      <c r="LUD240" s="140"/>
      <c r="LUE240" s="140"/>
      <c r="LUF240" s="140"/>
      <c r="LUG240" s="140"/>
      <c r="LUH240" s="140"/>
      <c r="LUI240" s="140"/>
      <c r="LUJ240" s="140"/>
      <c r="LUK240" s="140"/>
      <c r="LUL240" s="140"/>
      <c r="LUM240" s="140"/>
      <c r="LUN240" s="140"/>
      <c r="LUO240" s="140"/>
      <c r="LUP240" s="140"/>
      <c r="LUQ240" s="140"/>
      <c r="LUR240" s="140"/>
      <c r="LUS240" s="140"/>
      <c r="LUT240" s="140"/>
      <c r="LUU240" s="140"/>
      <c r="LUV240" s="140"/>
      <c r="LUW240" s="140"/>
      <c r="LUX240" s="140"/>
      <c r="LUY240" s="140"/>
      <c r="LUZ240" s="140"/>
      <c r="LVA240" s="140"/>
      <c r="LVB240" s="140"/>
      <c r="LVC240" s="140"/>
      <c r="LVD240" s="140"/>
      <c r="LVE240" s="140"/>
      <c r="LVF240" s="140"/>
      <c r="LVG240" s="140"/>
      <c r="LVH240" s="140"/>
      <c r="LVI240" s="140"/>
      <c r="LVJ240" s="140"/>
      <c r="LVK240" s="140"/>
      <c r="LVL240" s="140"/>
      <c r="LVM240" s="140"/>
      <c r="LVN240" s="140"/>
      <c r="LVO240" s="140"/>
      <c r="LVP240" s="140"/>
      <c r="LVQ240" s="140"/>
      <c r="LVR240" s="140"/>
      <c r="LVS240" s="140"/>
      <c r="LVT240" s="140"/>
      <c r="LVU240" s="140"/>
      <c r="LVV240" s="140"/>
      <c r="LVW240" s="140"/>
      <c r="LVX240" s="140"/>
      <c r="LVY240" s="140"/>
      <c r="LVZ240" s="140"/>
      <c r="LWA240" s="140"/>
      <c r="LWB240" s="140"/>
      <c r="LWC240" s="140"/>
      <c r="LWD240" s="140"/>
      <c r="LWE240" s="140"/>
      <c r="LWF240" s="140"/>
      <c r="LWG240" s="140"/>
      <c r="LWH240" s="140"/>
      <c r="LWI240" s="140"/>
      <c r="LWJ240" s="140"/>
      <c r="LWK240" s="140"/>
      <c r="LWL240" s="140"/>
      <c r="LWM240" s="140"/>
      <c r="LWN240" s="140"/>
      <c r="LWO240" s="140"/>
      <c r="LWP240" s="140"/>
      <c r="LWQ240" s="140"/>
      <c r="LWR240" s="140"/>
      <c r="LWS240" s="140"/>
      <c r="LWT240" s="140"/>
      <c r="LWU240" s="140"/>
      <c r="LWV240" s="140"/>
      <c r="LWW240" s="140"/>
      <c r="LWX240" s="140"/>
      <c r="LWY240" s="140"/>
      <c r="LWZ240" s="140"/>
      <c r="LXA240" s="140"/>
      <c r="LXB240" s="140"/>
      <c r="LXC240" s="140"/>
      <c r="LXD240" s="140"/>
      <c r="LXE240" s="140"/>
      <c r="LXF240" s="140"/>
      <c r="LXG240" s="140"/>
      <c r="LXH240" s="140"/>
      <c r="LXI240" s="140"/>
      <c r="LXJ240" s="140"/>
      <c r="LXK240" s="140"/>
      <c r="LXL240" s="140"/>
      <c r="LXM240" s="140"/>
      <c r="LXN240" s="140"/>
      <c r="LXO240" s="140"/>
      <c r="LXP240" s="140"/>
      <c r="LXQ240" s="140"/>
      <c r="LXR240" s="140"/>
      <c r="LXS240" s="140"/>
      <c r="LXT240" s="140"/>
      <c r="LXU240" s="140"/>
      <c r="LXV240" s="140"/>
      <c r="LXW240" s="140"/>
      <c r="LXX240" s="140"/>
      <c r="LXY240" s="140"/>
      <c r="LXZ240" s="140"/>
      <c r="LYA240" s="140"/>
      <c r="LYB240" s="140"/>
      <c r="LYC240" s="140"/>
      <c r="LYD240" s="140"/>
      <c r="LYE240" s="140"/>
      <c r="LYF240" s="140"/>
      <c r="LYG240" s="140"/>
      <c r="LYH240" s="140"/>
      <c r="LYI240" s="140"/>
      <c r="LYJ240" s="140"/>
      <c r="LYK240" s="140"/>
      <c r="LYL240" s="140"/>
      <c r="LYM240" s="140"/>
      <c r="LYN240" s="140"/>
      <c r="LYO240" s="140"/>
      <c r="LYP240" s="140"/>
      <c r="LYQ240" s="140"/>
      <c r="LYR240" s="140"/>
      <c r="LYS240" s="140"/>
      <c r="LYT240" s="140"/>
      <c r="LYU240" s="140"/>
      <c r="LYV240" s="140"/>
      <c r="LYW240" s="140"/>
      <c r="LYX240" s="140"/>
      <c r="LYY240" s="140"/>
      <c r="LYZ240" s="140"/>
      <c r="LZA240" s="140"/>
      <c r="LZB240" s="140"/>
      <c r="LZC240" s="140"/>
      <c r="LZD240" s="140"/>
      <c r="LZE240" s="140"/>
      <c r="LZF240" s="140"/>
      <c r="LZG240" s="140"/>
      <c r="LZH240" s="140"/>
      <c r="LZI240" s="140"/>
      <c r="LZJ240" s="140"/>
      <c r="LZK240" s="140"/>
      <c r="LZL240" s="140"/>
      <c r="LZM240" s="140"/>
      <c r="LZN240" s="140"/>
      <c r="LZO240" s="140"/>
      <c r="LZP240" s="140"/>
      <c r="LZQ240" s="140"/>
      <c r="LZR240" s="140"/>
      <c r="LZS240" s="140"/>
      <c r="LZT240" s="140"/>
      <c r="LZU240" s="140"/>
      <c r="LZV240" s="140"/>
      <c r="LZW240" s="140"/>
      <c r="LZX240" s="140"/>
      <c r="LZY240" s="140"/>
      <c r="LZZ240" s="140"/>
      <c r="MAA240" s="140"/>
      <c r="MAB240" s="140"/>
      <c r="MAC240" s="140"/>
      <c r="MAD240" s="140"/>
      <c r="MAE240" s="140"/>
      <c r="MAF240" s="140"/>
      <c r="MAG240" s="140"/>
      <c r="MAH240" s="140"/>
      <c r="MAI240" s="140"/>
      <c r="MAJ240" s="140"/>
      <c r="MAK240" s="140"/>
      <c r="MAL240" s="140"/>
      <c r="MAM240" s="140"/>
      <c r="MAN240" s="140"/>
      <c r="MAO240" s="140"/>
      <c r="MAP240" s="140"/>
      <c r="MAQ240" s="140"/>
      <c r="MAR240" s="140"/>
      <c r="MAS240" s="140"/>
      <c r="MAT240" s="140"/>
      <c r="MAU240" s="140"/>
      <c r="MAV240" s="140"/>
      <c r="MAW240" s="140"/>
      <c r="MAX240" s="140"/>
      <c r="MAY240" s="140"/>
      <c r="MAZ240" s="140"/>
      <c r="MBA240" s="140"/>
      <c r="MBB240" s="140"/>
      <c r="MBC240" s="140"/>
      <c r="MBD240" s="140"/>
      <c r="MBE240" s="140"/>
      <c r="MBF240" s="140"/>
      <c r="MBG240" s="140"/>
      <c r="MBH240" s="140"/>
      <c r="MBI240" s="140"/>
      <c r="MBJ240" s="140"/>
      <c r="MBK240" s="140"/>
      <c r="MBL240" s="140"/>
      <c r="MBM240" s="140"/>
      <c r="MBN240" s="140"/>
      <c r="MBO240" s="140"/>
      <c r="MBP240" s="140"/>
      <c r="MBQ240" s="140"/>
      <c r="MBR240" s="140"/>
      <c r="MBS240" s="140"/>
      <c r="MBT240" s="140"/>
      <c r="MBU240" s="140"/>
      <c r="MBV240" s="140"/>
      <c r="MBW240" s="140"/>
      <c r="MBX240" s="140"/>
      <c r="MBY240" s="140"/>
      <c r="MBZ240" s="140"/>
      <c r="MCA240" s="140"/>
      <c r="MCB240" s="140"/>
      <c r="MCC240" s="140"/>
      <c r="MCD240" s="140"/>
      <c r="MCE240" s="140"/>
      <c r="MCF240" s="140"/>
      <c r="MCG240" s="140"/>
      <c r="MCH240" s="140"/>
      <c r="MCI240" s="140"/>
      <c r="MCJ240" s="140"/>
      <c r="MCK240" s="140"/>
      <c r="MCL240" s="140"/>
      <c r="MCM240" s="140"/>
      <c r="MCN240" s="140"/>
      <c r="MCO240" s="140"/>
      <c r="MCP240" s="140"/>
      <c r="MCQ240" s="140"/>
      <c r="MCR240" s="140"/>
      <c r="MCS240" s="140"/>
      <c r="MCT240" s="140"/>
      <c r="MCU240" s="140"/>
      <c r="MCV240" s="140"/>
      <c r="MCW240" s="140"/>
      <c r="MCX240" s="140"/>
      <c r="MCY240" s="140"/>
      <c r="MCZ240" s="140"/>
      <c r="MDA240" s="140"/>
      <c r="MDB240" s="140"/>
      <c r="MDC240" s="140"/>
      <c r="MDD240" s="140"/>
      <c r="MDE240" s="140"/>
      <c r="MDF240" s="140"/>
      <c r="MDG240" s="140"/>
      <c r="MDH240" s="140"/>
      <c r="MDI240" s="140"/>
      <c r="MDJ240" s="140"/>
      <c r="MDK240" s="140"/>
      <c r="MDL240" s="140"/>
      <c r="MDM240" s="140"/>
      <c r="MDN240" s="140"/>
      <c r="MDO240" s="140"/>
      <c r="MDP240" s="140"/>
      <c r="MDQ240" s="140"/>
      <c r="MDR240" s="140"/>
      <c r="MDS240" s="140"/>
      <c r="MDT240" s="140"/>
      <c r="MDU240" s="140"/>
      <c r="MDV240" s="140"/>
      <c r="MDW240" s="140"/>
      <c r="MDX240" s="140"/>
      <c r="MDY240" s="140"/>
      <c r="MDZ240" s="140"/>
      <c r="MEA240" s="140"/>
      <c r="MEB240" s="140"/>
      <c r="MEC240" s="140"/>
      <c r="MED240" s="140"/>
      <c r="MEE240" s="140"/>
      <c r="MEF240" s="140"/>
      <c r="MEG240" s="140"/>
      <c r="MEH240" s="140"/>
      <c r="MEI240" s="140"/>
      <c r="MEJ240" s="140"/>
      <c r="MEK240" s="140"/>
      <c r="MEL240" s="140"/>
      <c r="MEM240" s="140"/>
      <c r="MEN240" s="140"/>
      <c r="MEO240" s="140"/>
      <c r="MEP240" s="140"/>
      <c r="MEQ240" s="140"/>
      <c r="MER240" s="140"/>
      <c r="MES240" s="140"/>
      <c r="MET240" s="140"/>
      <c r="MEU240" s="140"/>
      <c r="MEV240" s="140"/>
      <c r="MEW240" s="140"/>
      <c r="MEX240" s="140"/>
      <c r="MEY240" s="140"/>
      <c r="MEZ240" s="140"/>
      <c r="MFA240" s="140"/>
      <c r="MFB240" s="140"/>
      <c r="MFC240" s="140"/>
      <c r="MFD240" s="140"/>
      <c r="MFE240" s="140"/>
      <c r="MFF240" s="140"/>
      <c r="MFG240" s="140"/>
      <c r="MFH240" s="140"/>
      <c r="MFI240" s="140"/>
      <c r="MFJ240" s="140"/>
      <c r="MFK240" s="140"/>
      <c r="MFL240" s="140"/>
      <c r="MFM240" s="140"/>
      <c r="MFN240" s="140"/>
      <c r="MFO240" s="140"/>
      <c r="MFP240" s="140"/>
      <c r="MFQ240" s="140"/>
      <c r="MFR240" s="140"/>
      <c r="MFS240" s="140"/>
      <c r="MFT240" s="140"/>
      <c r="MFU240" s="140"/>
      <c r="MFV240" s="140"/>
      <c r="MFW240" s="140"/>
      <c r="MFX240" s="140"/>
      <c r="MFY240" s="140"/>
      <c r="MFZ240" s="140"/>
      <c r="MGA240" s="140"/>
      <c r="MGB240" s="140"/>
      <c r="MGC240" s="140"/>
      <c r="MGD240" s="140"/>
      <c r="MGE240" s="140"/>
      <c r="MGF240" s="140"/>
      <c r="MGG240" s="140"/>
      <c r="MGH240" s="140"/>
      <c r="MGI240" s="140"/>
      <c r="MGJ240" s="140"/>
      <c r="MGK240" s="140"/>
      <c r="MGL240" s="140"/>
      <c r="MGM240" s="140"/>
      <c r="MGN240" s="140"/>
      <c r="MGO240" s="140"/>
      <c r="MGP240" s="140"/>
      <c r="MGQ240" s="140"/>
      <c r="MGR240" s="140"/>
      <c r="MGS240" s="140"/>
      <c r="MGT240" s="140"/>
      <c r="MGU240" s="140"/>
      <c r="MGV240" s="140"/>
      <c r="MGW240" s="140"/>
      <c r="MGX240" s="140"/>
      <c r="MGY240" s="140"/>
      <c r="MGZ240" s="140"/>
      <c r="MHA240" s="140"/>
      <c r="MHB240" s="140"/>
      <c r="MHC240" s="140"/>
      <c r="MHD240" s="140"/>
      <c r="MHE240" s="140"/>
      <c r="MHF240" s="140"/>
      <c r="MHG240" s="140"/>
      <c r="MHH240" s="140"/>
      <c r="MHI240" s="140"/>
      <c r="MHJ240" s="140"/>
      <c r="MHK240" s="140"/>
      <c r="MHL240" s="140"/>
      <c r="MHM240" s="140"/>
      <c r="MHN240" s="140"/>
      <c r="MHO240" s="140"/>
      <c r="MHP240" s="140"/>
      <c r="MHQ240" s="140"/>
      <c r="MHR240" s="140"/>
      <c r="MHS240" s="140"/>
      <c r="MHT240" s="140"/>
      <c r="MHU240" s="140"/>
      <c r="MHV240" s="140"/>
      <c r="MHW240" s="140"/>
      <c r="MHX240" s="140"/>
      <c r="MHY240" s="140"/>
      <c r="MHZ240" s="140"/>
      <c r="MIA240" s="140"/>
      <c r="MIB240" s="140"/>
      <c r="MIC240" s="140"/>
      <c r="MID240" s="140"/>
      <c r="MIE240" s="140"/>
      <c r="MIF240" s="140"/>
      <c r="MIG240" s="140"/>
      <c r="MIH240" s="140"/>
      <c r="MII240" s="140"/>
      <c r="MIJ240" s="140"/>
      <c r="MIK240" s="140"/>
      <c r="MIL240" s="140"/>
      <c r="MIM240" s="140"/>
      <c r="MIN240" s="140"/>
      <c r="MIO240" s="140"/>
      <c r="MIP240" s="140"/>
      <c r="MIQ240" s="140"/>
      <c r="MIR240" s="140"/>
      <c r="MIS240" s="140"/>
      <c r="MIT240" s="140"/>
      <c r="MIU240" s="140"/>
      <c r="MIV240" s="140"/>
      <c r="MIW240" s="140"/>
      <c r="MIX240" s="140"/>
      <c r="MIY240" s="140"/>
      <c r="MIZ240" s="140"/>
      <c r="MJA240" s="140"/>
      <c r="MJB240" s="140"/>
      <c r="MJC240" s="140"/>
      <c r="MJD240" s="140"/>
      <c r="MJE240" s="140"/>
      <c r="MJF240" s="140"/>
      <c r="MJG240" s="140"/>
      <c r="MJH240" s="140"/>
      <c r="MJI240" s="140"/>
      <c r="MJJ240" s="140"/>
      <c r="MJK240" s="140"/>
      <c r="MJL240" s="140"/>
      <c r="MJM240" s="140"/>
      <c r="MJN240" s="140"/>
      <c r="MJO240" s="140"/>
      <c r="MJP240" s="140"/>
      <c r="MJQ240" s="140"/>
      <c r="MJR240" s="140"/>
      <c r="MJS240" s="140"/>
      <c r="MJT240" s="140"/>
      <c r="MJU240" s="140"/>
      <c r="MJV240" s="140"/>
      <c r="MJW240" s="140"/>
      <c r="MJX240" s="140"/>
      <c r="MJY240" s="140"/>
      <c r="MJZ240" s="140"/>
      <c r="MKA240" s="140"/>
      <c r="MKB240" s="140"/>
      <c r="MKC240" s="140"/>
      <c r="MKD240" s="140"/>
      <c r="MKE240" s="140"/>
      <c r="MKF240" s="140"/>
      <c r="MKG240" s="140"/>
      <c r="MKH240" s="140"/>
      <c r="MKI240" s="140"/>
      <c r="MKJ240" s="140"/>
      <c r="MKK240" s="140"/>
      <c r="MKL240" s="140"/>
      <c r="MKM240" s="140"/>
      <c r="MKN240" s="140"/>
      <c r="MKO240" s="140"/>
      <c r="MKP240" s="140"/>
      <c r="MKQ240" s="140"/>
      <c r="MKR240" s="140"/>
      <c r="MKS240" s="140"/>
      <c r="MKT240" s="140"/>
      <c r="MKU240" s="140"/>
      <c r="MKV240" s="140"/>
      <c r="MKW240" s="140"/>
      <c r="MKX240" s="140"/>
      <c r="MKY240" s="140"/>
      <c r="MKZ240" s="140"/>
      <c r="MLA240" s="140"/>
      <c r="MLB240" s="140"/>
      <c r="MLC240" s="140"/>
      <c r="MLD240" s="140"/>
      <c r="MLE240" s="140"/>
      <c r="MLF240" s="140"/>
      <c r="MLG240" s="140"/>
      <c r="MLH240" s="140"/>
      <c r="MLI240" s="140"/>
      <c r="MLJ240" s="140"/>
      <c r="MLK240" s="140"/>
      <c r="MLL240" s="140"/>
      <c r="MLM240" s="140"/>
      <c r="MLN240" s="140"/>
      <c r="MLO240" s="140"/>
      <c r="MLP240" s="140"/>
      <c r="MLQ240" s="140"/>
      <c r="MLR240" s="140"/>
      <c r="MLS240" s="140"/>
      <c r="MLT240" s="140"/>
      <c r="MLU240" s="140"/>
      <c r="MLV240" s="140"/>
      <c r="MLW240" s="140"/>
      <c r="MLX240" s="140"/>
      <c r="MLY240" s="140"/>
      <c r="MLZ240" s="140"/>
      <c r="MMA240" s="140"/>
      <c r="MMB240" s="140"/>
      <c r="MMC240" s="140"/>
      <c r="MMD240" s="140"/>
      <c r="MME240" s="140"/>
      <c r="MMF240" s="140"/>
      <c r="MMG240" s="140"/>
      <c r="MMH240" s="140"/>
      <c r="MMI240" s="140"/>
      <c r="MMJ240" s="140"/>
      <c r="MMK240" s="140"/>
      <c r="MML240" s="140"/>
      <c r="MMM240" s="140"/>
      <c r="MMN240" s="140"/>
      <c r="MMO240" s="140"/>
      <c r="MMP240" s="140"/>
      <c r="MMQ240" s="140"/>
      <c r="MMR240" s="140"/>
      <c r="MMS240" s="140"/>
      <c r="MMT240" s="140"/>
      <c r="MMU240" s="140"/>
      <c r="MMV240" s="140"/>
      <c r="MMW240" s="140"/>
      <c r="MMX240" s="140"/>
      <c r="MMY240" s="140"/>
      <c r="MMZ240" s="140"/>
      <c r="MNA240" s="140"/>
      <c r="MNB240" s="140"/>
      <c r="MNC240" s="140"/>
      <c r="MND240" s="140"/>
      <c r="MNE240" s="140"/>
      <c r="MNF240" s="140"/>
      <c r="MNG240" s="140"/>
      <c r="MNH240" s="140"/>
      <c r="MNI240" s="140"/>
      <c r="MNJ240" s="140"/>
      <c r="MNK240" s="140"/>
      <c r="MNL240" s="140"/>
      <c r="MNM240" s="140"/>
      <c r="MNN240" s="140"/>
      <c r="MNO240" s="140"/>
      <c r="MNP240" s="140"/>
      <c r="MNQ240" s="140"/>
      <c r="MNR240" s="140"/>
      <c r="MNS240" s="140"/>
      <c r="MNT240" s="140"/>
      <c r="MNU240" s="140"/>
      <c r="MNV240" s="140"/>
      <c r="MNW240" s="140"/>
      <c r="MNX240" s="140"/>
      <c r="MNY240" s="140"/>
      <c r="MNZ240" s="140"/>
      <c r="MOA240" s="140"/>
      <c r="MOB240" s="140"/>
      <c r="MOC240" s="140"/>
      <c r="MOD240" s="140"/>
      <c r="MOE240" s="140"/>
      <c r="MOF240" s="140"/>
      <c r="MOG240" s="140"/>
      <c r="MOH240" s="140"/>
      <c r="MOI240" s="140"/>
      <c r="MOJ240" s="140"/>
      <c r="MOK240" s="140"/>
      <c r="MOL240" s="140"/>
      <c r="MOM240" s="140"/>
      <c r="MON240" s="140"/>
      <c r="MOO240" s="140"/>
      <c r="MOP240" s="140"/>
      <c r="MOQ240" s="140"/>
      <c r="MOR240" s="140"/>
      <c r="MOS240" s="140"/>
      <c r="MOT240" s="140"/>
      <c r="MOU240" s="140"/>
      <c r="MOV240" s="140"/>
      <c r="MOW240" s="140"/>
      <c r="MOX240" s="140"/>
      <c r="MOY240" s="140"/>
      <c r="MOZ240" s="140"/>
      <c r="MPA240" s="140"/>
      <c r="MPB240" s="140"/>
      <c r="MPC240" s="140"/>
      <c r="MPD240" s="140"/>
      <c r="MPE240" s="140"/>
      <c r="MPF240" s="140"/>
      <c r="MPG240" s="140"/>
      <c r="MPH240" s="140"/>
      <c r="MPI240" s="140"/>
      <c r="MPJ240" s="140"/>
      <c r="MPK240" s="140"/>
      <c r="MPL240" s="140"/>
      <c r="MPM240" s="140"/>
      <c r="MPN240" s="140"/>
      <c r="MPO240" s="140"/>
      <c r="MPP240" s="140"/>
      <c r="MPQ240" s="140"/>
      <c r="MPR240" s="140"/>
      <c r="MPS240" s="140"/>
      <c r="MPT240" s="140"/>
      <c r="MPU240" s="140"/>
      <c r="MPV240" s="140"/>
      <c r="MPW240" s="140"/>
      <c r="MPX240" s="140"/>
      <c r="MPY240" s="140"/>
      <c r="MPZ240" s="140"/>
      <c r="MQA240" s="140"/>
      <c r="MQB240" s="140"/>
      <c r="MQC240" s="140"/>
      <c r="MQD240" s="140"/>
      <c r="MQE240" s="140"/>
      <c r="MQF240" s="140"/>
      <c r="MQG240" s="140"/>
      <c r="MQH240" s="140"/>
      <c r="MQI240" s="140"/>
      <c r="MQJ240" s="140"/>
      <c r="MQK240" s="140"/>
      <c r="MQL240" s="140"/>
      <c r="MQM240" s="140"/>
      <c r="MQN240" s="140"/>
      <c r="MQO240" s="140"/>
      <c r="MQP240" s="140"/>
      <c r="MQQ240" s="140"/>
      <c r="MQR240" s="140"/>
      <c r="MQS240" s="140"/>
      <c r="MQT240" s="140"/>
      <c r="MQU240" s="140"/>
      <c r="MQV240" s="140"/>
      <c r="MQW240" s="140"/>
      <c r="MQX240" s="140"/>
      <c r="MQY240" s="140"/>
      <c r="MQZ240" s="140"/>
      <c r="MRA240" s="140"/>
      <c r="MRB240" s="140"/>
      <c r="MRC240" s="140"/>
      <c r="MRD240" s="140"/>
      <c r="MRE240" s="140"/>
      <c r="MRF240" s="140"/>
      <c r="MRG240" s="140"/>
      <c r="MRH240" s="140"/>
      <c r="MRI240" s="140"/>
      <c r="MRJ240" s="140"/>
      <c r="MRK240" s="140"/>
      <c r="MRL240" s="140"/>
      <c r="MRM240" s="140"/>
      <c r="MRN240" s="140"/>
      <c r="MRO240" s="140"/>
      <c r="MRP240" s="140"/>
      <c r="MRQ240" s="140"/>
      <c r="MRR240" s="140"/>
      <c r="MRS240" s="140"/>
      <c r="MRT240" s="140"/>
      <c r="MRU240" s="140"/>
      <c r="MRV240" s="140"/>
      <c r="MRW240" s="140"/>
      <c r="MRX240" s="140"/>
      <c r="MRY240" s="140"/>
      <c r="MRZ240" s="140"/>
      <c r="MSA240" s="140"/>
      <c r="MSB240" s="140"/>
      <c r="MSC240" s="140"/>
      <c r="MSD240" s="140"/>
      <c r="MSE240" s="140"/>
      <c r="MSF240" s="140"/>
      <c r="MSG240" s="140"/>
      <c r="MSH240" s="140"/>
      <c r="MSI240" s="140"/>
      <c r="MSJ240" s="140"/>
      <c r="MSK240" s="140"/>
      <c r="MSL240" s="140"/>
      <c r="MSM240" s="140"/>
      <c r="MSN240" s="140"/>
      <c r="MSO240" s="140"/>
      <c r="MSP240" s="140"/>
      <c r="MSQ240" s="140"/>
      <c r="MSR240" s="140"/>
      <c r="MSS240" s="140"/>
      <c r="MST240" s="140"/>
      <c r="MSU240" s="140"/>
      <c r="MSV240" s="140"/>
      <c r="MSW240" s="140"/>
      <c r="MSX240" s="140"/>
      <c r="MSY240" s="140"/>
      <c r="MSZ240" s="140"/>
      <c r="MTA240" s="140"/>
      <c r="MTB240" s="140"/>
      <c r="MTC240" s="140"/>
      <c r="MTD240" s="140"/>
      <c r="MTE240" s="140"/>
      <c r="MTF240" s="140"/>
      <c r="MTG240" s="140"/>
      <c r="MTH240" s="140"/>
      <c r="MTI240" s="140"/>
      <c r="MTJ240" s="140"/>
      <c r="MTK240" s="140"/>
      <c r="MTL240" s="140"/>
      <c r="MTM240" s="140"/>
      <c r="MTN240" s="140"/>
      <c r="MTO240" s="140"/>
      <c r="MTP240" s="140"/>
      <c r="MTQ240" s="140"/>
      <c r="MTR240" s="140"/>
      <c r="MTS240" s="140"/>
      <c r="MTT240" s="140"/>
      <c r="MTU240" s="140"/>
      <c r="MTV240" s="140"/>
      <c r="MTW240" s="140"/>
      <c r="MTX240" s="140"/>
      <c r="MTY240" s="140"/>
      <c r="MTZ240" s="140"/>
      <c r="MUA240" s="140"/>
      <c r="MUB240" s="140"/>
      <c r="MUC240" s="140"/>
      <c r="MUD240" s="140"/>
      <c r="MUE240" s="140"/>
      <c r="MUF240" s="140"/>
      <c r="MUG240" s="140"/>
      <c r="MUH240" s="140"/>
      <c r="MUI240" s="140"/>
      <c r="MUJ240" s="140"/>
      <c r="MUK240" s="140"/>
      <c r="MUL240" s="140"/>
      <c r="MUM240" s="140"/>
      <c r="MUN240" s="140"/>
      <c r="MUO240" s="140"/>
      <c r="MUP240" s="140"/>
      <c r="MUQ240" s="140"/>
      <c r="MUR240" s="140"/>
      <c r="MUS240" s="140"/>
      <c r="MUT240" s="140"/>
      <c r="MUU240" s="140"/>
      <c r="MUV240" s="140"/>
      <c r="MUW240" s="140"/>
      <c r="MUX240" s="140"/>
      <c r="MUY240" s="140"/>
      <c r="MUZ240" s="140"/>
      <c r="MVA240" s="140"/>
      <c r="MVB240" s="140"/>
      <c r="MVC240" s="140"/>
      <c r="MVD240" s="140"/>
      <c r="MVE240" s="140"/>
      <c r="MVF240" s="140"/>
      <c r="MVG240" s="140"/>
      <c r="MVH240" s="140"/>
      <c r="MVI240" s="140"/>
      <c r="MVJ240" s="140"/>
      <c r="MVK240" s="140"/>
      <c r="MVL240" s="140"/>
      <c r="MVM240" s="140"/>
      <c r="MVN240" s="140"/>
      <c r="MVO240" s="140"/>
      <c r="MVP240" s="140"/>
      <c r="MVQ240" s="140"/>
      <c r="MVR240" s="140"/>
      <c r="MVS240" s="140"/>
      <c r="MVT240" s="140"/>
      <c r="MVU240" s="140"/>
      <c r="MVV240" s="140"/>
      <c r="MVW240" s="140"/>
      <c r="MVX240" s="140"/>
      <c r="MVY240" s="140"/>
      <c r="MVZ240" s="140"/>
      <c r="MWA240" s="140"/>
      <c r="MWB240" s="140"/>
      <c r="MWC240" s="140"/>
      <c r="MWD240" s="140"/>
      <c r="MWE240" s="140"/>
      <c r="MWF240" s="140"/>
      <c r="MWG240" s="140"/>
      <c r="MWH240" s="140"/>
      <c r="MWI240" s="140"/>
      <c r="MWJ240" s="140"/>
      <c r="MWK240" s="140"/>
      <c r="MWL240" s="140"/>
      <c r="MWM240" s="140"/>
      <c r="MWN240" s="140"/>
      <c r="MWO240" s="140"/>
      <c r="MWP240" s="140"/>
      <c r="MWQ240" s="140"/>
      <c r="MWR240" s="140"/>
      <c r="MWS240" s="140"/>
      <c r="MWT240" s="140"/>
      <c r="MWU240" s="140"/>
      <c r="MWV240" s="140"/>
      <c r="MWW240" s="140"/>
      <c r="MWX240" s="140"/>
      <c r="MWY240" s="140"/>
      <c r="MWZ240" s="140"/>
      <c r="MXA240" s="140"/>
      <c r="MXB240" s="140"/>
      <c r="MXC240" s="140"/>
      <c r="MXD240" s="140"/>
      <c r="MXE240" s="140"/>
      <c r="MXF240" s="140"/>
      <c r="MXG240" s="140"/>
      <c r="MXH240" s="140"/>
      <c r="MXI240" s="140"/>
      <c r="MXJ240" s="140"/>
      <c r="MXK240" s="140"/>
      <c r="MXL240" s="140"/>
      <c r="MXM240" s="140"/>
      <c r="MXN240" s="140"/>
      <c r="MXO240" s="140"/>
      <c r="MXP240" s="140"/>
      <c r="MXQ240" s="140"/>
      <c r="MXR240" s="140"/>
      <c r="MXS240" s="140"/>
      <c r="MXT240" s="140"/>
      <c r="MXU240" s="140"/>
      <c r="MXV240" s="140"/>
      <c r="MXW240" s="140"/>
      <c r="MXX240" s="140"/>
      <c r="MXY240" s="140"/>
      <c r="MXZ240" s="140"/>
      <c r="MYA240" s="140"/>
      <c r="MYB240" s="140"/>
      <c r="MYC240" s="140"/>
      <c r="MYD240" s="140"/>
      <c r="MYE240" s="140"/>
      <c r="MYF240" s="140"/>
      <c r="MYG240" s="140"/>
      <c r="MYH240" s="140"/>
      <c r="MYI240" s="140"/>
      <c r="MYJ240" s="140"/>
      <c r="MYK240" s="140"/>
      <c r="MYL240" s="140"/>
      <c r="MYM240" s="140"/>
      <c r="MYN240" s="140"/>
      <c r="MYO240" s="140"/>
      <c r="MYP240" s="140"/>
      <c r="MYQ240" s="140"/>
      <c r="MYR240" s="140"/>
      <c r="MYS240" s="140"/>
      <c r="MYT240" s="140"/>
      <c r="MYU240" s="140"/>
      <c r="MYV240" s="140"/>
      <c r="MYW240" s="140"/>
      <c r="MYX240" s="140"/>
      <c r="MYY240" s="140"/>
      <c r="MYZ240" s="140"/>
      <c r="MZA240" s="140"/>
      <c r="MZB240" s="140"/>
      <c r="MZC240" s="140"/>
      <c r="MZD240" s="140"/>
      <c r="MZE240" s="140"/>
      <c r="MZF240" s="140"/>
      <c r="MZG240" s="140"/>
      <c r="MZH240" s="140"/>
      <c r="MZI240" s="140"/>
      <c r="MZJ240" s="140"/>
      <c r="MZK240" s="140"/>
      <c r="MZL240" s="140"/>
      <c r="MZM240" s="140"/>
      <c r="MZN240" s="140"/>
      <c r="MZO240" s="140"/>
      <c r="MZP240" s="140"/>
      <c r="MZQ240" s="140"/>
      <c r="MZR240" s="140"/>
      <c r="MZS240" s="140"/>
      <c r="MZT240" s="140"/>
      <c r="MZU240" s="140"/>
      <c r="MZV240" s="140"/>
      <c r="MZW240" s="140"/>
      <c r="MZX240" s="140"/>
      <c r="MZY240" s="140"/>
      <c r="MZZ240" s="140"/>
      <c r="NAA240" s="140"/>
      <c r="NAB240" s="140"/>
      <c r="NAC240" s="140"/>
      <c r="NAD240" s="140"/>
      <c r="NAE240" s="140"/>
      <c r="NAF240" s="140"/>
      <c r="NAG240" s="140"/>
      <c r="NAH240" s="140"/>
      <c r="NAI240" s="140"/>
      <c r="NAJ240" s="140"/>
      <c r="NAK240" s="140"/>
      <c r="NAL240" s="140"/>
      <c r="NAM240" s="140"/>
      <c r="NAN240" s="140"/>
      <c r="NAO240" s="140"/>
      <c r="NAP240" s="140"/>
      <c r="NAQ240" s="140"/>
      <c r="NAR240" s="140"/>
      <c r="NAS240" s="140"/>
      <c r="NAT240" s="140"/>
      <c r="NAU240" s="140"/>
      <c r="NAV240" s="140"/>
      <c r="NAW240" s="140"/>
      <c r="NAX240" s="140"/>
      <c r="NAY240" s="140"/>
      <c r="NAZ240" s="140"/>
      <c r="NBA240" s="140"/>
      <c r="NBB240" s="140"/>
      <c r="NBC240" s="140"/>
      <c r="NBD240" s="140"/>
      <c r="NBE240" s="140"/>
      <c r="NBF240" s="140"/>
      <c r="NBG240" s="140"/>
      <c r="NBH240" s="140"/>
      <c r="NBI240" s="140"/>
      <c r="NBJ240" s="140"/>
      <c r="NBK240" s="140"/>
      <c r="NBL240" s="140"/>
      <c r="NBM240" s="140"/>
      <c r="NBN240" s="140"/>
      <c r="NBO240" s="140"/>
      <c r="NBP240" s="140"/>
      <c r="NBQ240" s="140"/>
      <c r="NBR240" s="140"/>
      <c r="NBS240" s="140"/>
      <c r="NBT240" s="140"/>
      <c r="NBU240" s="140"/>
      <c r="NBV240" s="140"/>
      <c r="NBW240" s="140"/>
      <c r="NBX240" s="140"/>
      <c r="NBY240" s="140"/>
      <c r="NBZ240" s="140"/>
      <c r="NCA240" s="140"/>
      <c r="NCB240" s="140"/>
      <c r="NCC240" s="140"/>
      <c r="NCD240" s="140"/>
      <c r="NCE240" s="140"/>
      <c r="NCF240" s="140"/>
      <c r="NCG240" s="140"/>
      <c r="NCH240" s="140"/>
      <c r="NCI240" s="140"/>
      <c r="NCJ240" s="140"/>
      <c r="NCK240" s="140"/>
      <c r="NCL240" s="140"/>
      <c r="NCM240" s="140"/>
      <c r="NCN240" s="140"/>
      <c r="NCO240" s="140"/>
      <c r="NCP240" s="140"/>
      <c r="NCQ240" s="140"/>
      <c r="NCR240" s="140"/>
      <c r="NCS240" s="140"/>
      <c r="NCT240" s="140"/>
      <c r="NCU240" s="140"/>
      <c r="NCV240" s="140"/>
      <c r="NCW240" s="140"/>
      <c r="NCX240" s="140"/>
      <c r="NCY240" s="140"/>
      <c r="NCZ240" s="140"/>
      <c r="NDA240" s="140"/>
      <c r="NDB240" s="140"/>
      <c r="NDC240" s="140"/>
      <c r="NDD240" s="140"/>
      <c r="NDE240" s="140"/>
      <c r="NDF240" s="140"/>
      <c r="NDG240" s="140"/>
      <c r="NDH240" s="140"/>
      <c r="NDI240" s="140"/>
      <c r="NDJ240" s="140"/>
      <c r="NDK240" s="140"/>
      <c r="NDL240" s="140"/>
      <c r="NDM240" s="140"/>
      <c r="NDN240" s="140"/>
      <c r="NDO240" s="140"/>
      <c r="NDP240" s="140"/>
      <c r="NDQ240" s="140"/>
      <c r="NDR240" s="140"/>
      <c r="NDS240" s="140"/>
      <c r="NDT240" s="140"/>
      <c r="NDU240" s="140"/>
      <c r="NDV240" s="140"/>
      <c r="NDW240" s="140"/>
      <c r="NDX240" s="140"/>
      <c r="NDY240" s="140"/>
      <c r="NDZ240" s="140"/>
      <c r="NEA240" s="140"/>
      <c r="NEB240" s="140"/>
      <c r="NEC240" s="140"/>
      <c r="NED240" s="140"/>
      <c r="NEE240" s="140"/>
      <c r="NEF240" s="140"/>
      <c r="NEG240" s="140"/>
      <c r="NEH240" s="140"/>
      <c r="NEI240" s="140"/>
      <c r="NEJ240" s="140"/>
      <c r="NEK240" s="140"/>
      <c r="NEL240" s="140"/>
      <c r="NEM240" s="140"/>
      <c r="NEN240" s="140"/>
      <c r="NEO240" s="140"/>
      <c r="NEP240" s="140"/>
      <c r="NEQ240" s="140"/>
      <c r="NER240" s="140"/>
      <c r="NES240" s="140"/>
      <c r="NET240" s="140"/>
      <c r="NEU240" s="140"/>
      <c r="NEV240" s="140"/>
      <c r="NEW240" s="140"/>
      <c r="NEX240" s="140"/>
      <c r="NEY240" s="140"/>
      <c r="NEZ240" s="140"/>
      <c r="NFA240" s="140"/>
      <c r="NFB240" s="140"/>
      <c r="NFC240" s="140"/>
      <c r="NFD240" s="140"/>
      <c r="NFE240" s="140"/>
      <c r="NFF240" s="140"/>
      <c r="NFG240" s="140"/>
      <c r="NFH240" s="140"/>
      <c r="NFI240" s="140"/>
      <c r="NFJ240" s="140"/>
      <c r="NFK240" s="140"/>
      <c r="NFL240" s="140"/>
      <c r="NFM240" s="140"/>
      <c r="NFN240" s="140"/>
      <c r="NFO240" s="140"/>
      <c r="NFP240" s="140"/>
      <c r="NFQ240" s="140"/>
      <c r="NFR240" s="140"/>
      <c r="NFS240" s="140"/>
      <c r="NFT240" s="140"/>
      <c r="NFU240" s="140"/>
      <c r="NFV240" s="140"/>
      <c r="NFW240" s="140"/>
      <c r="NFX240" s="140"/>
      <c r="NFY240" s="140"/>
      <c r="NFZ240" s="140"/>
      <c r="NGA240" s="140"/>
      <c r="NGB240" s="140"/>
      <c r="NGC240" s="140"/>
      <c r="NGD240" s="140"/>
      <c r="NGE240" s="140"/>
      <c r="NGF240" s="140"/>
      <c r="NGG240" s="140"/>
      <c r="NGH240" s="140"/>
      <c r="NGI240" s="140"/>
      <c r="NGJ240" s="140"/>
      <c r="NGK240" s="140"/>
      <c r="NGL240" s="140"/>
      <c r="NGM240" s="140"/>
      <c r="NGN240" s="140"/>
      <c r="NGO240" s="140"/>
      <c r="NGP240" s="140"/>
      <c r="NGQ240" s="140"/>
      <c r="NGR240" s="140"/>
      <c r="NGS240" s="140"/>
      <c r="NGT240" s="140"/>
      <c r="NGU240" s="140"/>
      <c r="NGV240" s="140"/>
      <c r="NGW240" s="140"/>
      <c r="NGX240" s="140"/>
      <c r="NGY240" s="140"/>
      <c r="NGZ240" s="140"/>
      <c r="NHA240" s="140"/>
      <c r="NHB240" s="140"/>
      <c r="NHC240" s="140"/>
      <c r="NHD240" s="140"/>
      <c r="NHE240" s="140"/>
      <c r="NHF240" s="140"/>
      <c r="NHG240" s="140"/>
      <c r="NHH240" s="140"/>
      <c r="NHI240" s="140"/>
      <c r="NHJ240" s="140"/>
      <c r="NHK240" s="140"/>
      <c r="NHL240" s="140"/>
      <c r="NHM240" s="140"/>
      <c r="NHN240" s="140"/>
      <c r="NHO240" s="140"/>
      <c r="NHP240" s="140"/>
      <c r="NHQ240" s="140"/>
      <c r="NHR240" s="140"/>
      <c r="NHS240" s="140"/>
      <c r="NHT240" s="140"/>
      <c r="NHU240" s="140"/>
      <c r="NHV240" s="140"/>
      <c r="NHW240" s="140"/>
      <c r="NHX240" s="140"/>
      <c r="NHY240" s="140"/>
      <c r="NHZ240" s="140"/>
      <c r="NIA240" s="140"/>
      <c r="NIB240" s="140"/>
      <c r="NIC240" s="140"/>
      <c r="NID240" s="140"/>
      <c r="NIE240" s="140"/>
      <c r="NIF240" s="140"/>
      <c r="NIG240" s="140"/>
      <c r="NIH240" s="140"/>
      <c r="NII240" s="140"/>
      <c r="NIJ240" s="140"/>
      <c r="NIK240" s="140"/>
      <c r="NIL240" s="140"/>
      <c r="NIM240" s="140"/>
      <c r="NIN240" s="140"/>
      <c r="NIO240" s="140"/>
      <c r="NIP240" s="140"/>
      <c r="NIQ240" s="140"/>
      <c r="NIR240" s="140"/>
      <c r="NIS240" s="140"/>
      <c r="NIT240" s="140"/>
      <c r="NIU240" s="140"/>
      <c r="NIV240" s="140"/>
      <c r="NIW240" s="140"/>
      <c r="NIX240" s="140"/>
      <c r="NIY240" s="140"/>
      <c r="NIZ240" s="140"/>
      <c r="NJA240" s="140"/>
      <c r="NJB240" s="140"/>
      <c r="NJC240" s="140"/>
      <c r="NJD240" s="140"/>
      <c r="NJE240" s="140"/>
      <c r="NJF240" s="140"/>
      <c r="NJG240" s="140"/>
      <c r="NJH240" s="140"/>
      <c r="NJI240" s="140"/>
      <c r="NJJ240" s="140"/>
      <c r="NJK240" s="140"/>
      <c r="NJL240" s="140"/>
      <c r="NJM240" s="140"/>
      <c r="NJN240" s="140"/>
      <c r="NJO240" s="140"/>
      <c r="NJP240" s="140"/>
      <c r="NJQ240" s="140"/>
      <c r="NJR240" s="140"/>
      <c r="NJS240" s="140"/>
      <c r="NJT240" s="140"/>
      <c r="NJU240" s="140"/>
      <c r="NJV240" s="140"/>
      <c r="NJW240" s="140"/>
      <c r="NJX240" s="140"/>
      <c r="NJY240" s="140"/>
      <c r="NJZ240" s="140"/>
      <c r="NKA240" s="140"/>
      <c r="NKB240" s="140"/>
      <c r="NKC240" s="140"/>
      <c r="NKD240" s="140"/>
      <c r="NKE240" s="140"/>
      <c r="NKF240" s="140"/>
      <c r="NKG240" s="140"/>
      <c r="NKH240" s="140"/>
      <c r="NKI240" s="140"/>
      <c r="NKJ240" s="140"/>
      <c r="NKK240" s="140"/>
      <c r="NKL240" s="140"/>
      <c r="NKM240" s="140"/>
      <c r="NKN240" s="140"/>
      <c r="NKO240" s="140"/>
      <c r="NKP240" s="140"/>
      <c r="NKQ240" s="140"/>
      <c r="NKR240" s="140"/>
      <c r="NKS240" s="140"/>
      <c r="NKT240" s="140"/>
      <c r="NKU240" s="140"/>
      <c r="NKV240" s="140"/>
      <c r="NKW240" s="140"/>
      <c r="NKX240" s="140"/>
      <c r="NKY240" s="140"/>
      <c r="NKZ240" s="140"/>
      <c r="NLA240" s="140"/>
      <c r="NLB240" s="140"/>
      <c r="NLC240" s="140"/>
      <c r="NLD240" s="140"/>
      <c r="NLE240" s="140"/>
      <c r="NLF240" s="140"/>
      <c r="NLG240" s="140"/>
      <c r="NLH240" s="140"/>
      <c r="NLI240" s="140"/>
      <c r="NLJ240" s="140"/>
      <c r="NLK240" s="140"/>
      <c r="NLL240" s="140"/>
      <c r="NLM240" s="140"/>
      <c r="NLN240" s="140"/>
      <c r="NLO240" s="140"/>
      <c r="NLP240" s="140"/>
      <c r="NLQ240" s="140"/>
      <c r="NLR240" s="140"/>
      <c r="NLS240" s="140"/>
      <c r="NLT240" s="140"/>
      <c r="NLU240" s="140"/>
      <c r="NLV240" s="140"/>
      <c r="NLW240" s="140"/>
      <c r="NLX240" s="140"/>
      <c r="NLY240" s="140"/>
      <c r="NLZ240" s="140"/>
      <c r="NMA240" s="140"/>
      <c r="NMB240" s="140"/>
      <c r="NMC240" s="140"/>
      <c r="NMD240" s="140"/>
      <c r="NME240" s="140"/>
      <c r="NMF240" s="140"/>
      <c r="NMG240" s="140"/>
      <c r="NMH240" s="140"/>
      <c r="NMI240" s="140"/>
      <c r="NMJ240" s="140"/>
      <c r="NMK240" s="140"/>
      <c r="NML240" s="140"/>
      <c r="NMM240" s="140"/>
      <c r="NMN240" s="140"/>
      <c r="NMO240" s="140"/>
      <c r="NMP240" s="140"/>
      <c r="NMQ240" s="140"/>
      <c r="NMR240" s="140"/>
      <c r="NMS240" s="140"/>
      <c r="NMT240" s="140"/>
      <c r="NMU240" s="140"/>
      <c r="NMV240" s="140"/>
      <c r="NMW240" s="140"/>
      <c r="NMX240" s="140"/>
      <c r="NMY240" s="140"/>
      <c r="NMZ240" s="140"/>
      <c r="NNA240" s="140"/>
      <c r="NNB240" s="140"/>
      <c r="NNC240" s="140"/>
      <c r="NND240" s="140"/>
      <c r="NNE240" s="140"/>
      <c r="NNF240" s="140"/>
      <c r="NNG240" s="140"/>
      <c r="NNH240" s="140"/>
      <c r="NNI240" s="140"/>
      <c r="NNJ240" s="140"/>
      <c r="NNK240" s="140"/>
      <c r="NNL240" s="140"/>
      <c r="NNM240" s="140"/>
      <c r="NNN240" s="140"/>
      <c r="NNO240" s="140"/>
      <c r="NNP240" s="140"/>
      <c r="NNQ240" s="140"/>
      <c r="NNR240" s="140"/>
      <c r="NNS240" s="140"/>
      <c r="NNT240" s="140"/>
      <c r="NNU240" s="140"/>
      <c r="NNV240" s="140"/>
      <c r="NNW240" s="140"/>
      <c r="NNX240" s="140"/>
      <c r="NNY240" s="140"/>
      <c r="NNZ240" s="140"/>
      <c r="NOA240" s="140"/>
      <c r="NOB240" s="140"/>
      <c r="NOC240" s="140"/>
      <c r="NOD240" s="140"/>
      <c r="NOE240" s="140"/>
      <c r="NOF240" s="140"/>
      <c r="NOG240" s="140"/>
      <c r="NOH240" s="140"/>
      <c r="NOI240" s="140"/>
      <c r="NOJ240" s="140"/>
      <c r="NOK240" s="140"/>
      <c r="NOL240" s="140"/>
      <c r="NOM240" s="140"/>
      <c r="NON240" s="140"/>
      <c r="NOO240" s="140"/>
      <c r="NOP240" s="140"/>
      <c r="NOQ240" s="140"/>
      <c r="NOR240" s="140"/>
      <c r="NOS240" s="140"/>
      <c r="NOT240" s="140"/>
      <c r="NOU240" s="140"/>
      <c r="NOV240" s="140"/>
      <c r="NOW240" s="140"/>
      <c r="NOX240" s="140"/>
      <c r="NOY240" s="140"/>
      <c r="NOZ240" s="140"/>
      <c r="NPA240" s="140"/>
      <c r="NPB240" s="140"/>
      <c r="NPC240" s="140"/>
      <c r="NPD240" s="140"/>
      <c r="NPE240" s="140"/>
      <c r="NPF240" s="140"/>
      <c r="NPG240" s="140"/>
      <c r="NPH240" s="140"/>
      <c r="NPI240" s="140"/>
      <c r="NPJ240" s="140"/>
      <c r="NPK240" s="140"/>
      <c r="NPL240" s="140"/>
      <c r="NPM240" s="140"/>
      <c r="NPN240" s="140"/>
      <c r="NPO240" s="140"/>
      <c r="NPP240" s="140"/>
      <c r="NPQ240" s="140"/>
      <c r="NPR240" s="140"/>
      <c r="NPS240" s="140"/>
      <c r="NPT240" s="140"/>
      <c r="NPU240" s="140"/>
      <c r="NPV240" s="140"/>
      <c r="NPW240" s="140"/>
      <c r="NPX240" s="140"/>
      <c r="NPY240" s="140"/>
      <c r="NPZ240" s="140"/>
      <c r="NQA240" s="140"/>
      <c r="NQB240" s="140"/>
      <c r="NQC240" s="140"/>
      <c r="NQD240" s="140"/>
      <c r="NQE240" s="140"/>
      <c r="NQF240" s="140"/>
      <c r="NQG240" s="140"/>
      <c r="NQH240" s="140"/>
      <c r="NQI240" s="140"/>
      <c r="NQJ240" s="140"/>
      <c r="NQK240" s="140"/>
      <c r="NQL240" s="140"/>
      <c r="NQM240" s="140"/>
      <c r="NQN240" s="140"/>
      <c r="NQO240" s="140"/>
      <c r="NQP240" s="140"/>
      <c r="NQQ240" s="140"/>
      <c r="NQR240" s="140"/>
      <c r="NQS240" s="140"/>
      <c r="NQT240" s="140"/>
      <c r="NQU240" s="140"/>
      <c r="NQV240" s="140"/>
      <c r="NQW240" s="140"/>
      <c r="NQX240" s="140"/>
      <c r="NQY240" s="140"/>
      <c r="NQZ240" s="140"/>
      <c r="NRA240" s="140"/>
      <c r="NRB240" s="140"/>
      <c r="NRC240" s="140"/>
      <c r="NRD240" s="140"/>
      <c r="NRE240" s="140"/>
      <c r="NRF240" s="140"/>
      <c r="NRG240" s="140"/>
      <c r="NRH240" s="140"/>
      <c r="NRI240" s="140"/>
      <c r="NRJ240" s="140"/>
      <c r="NRK240" s="140"/>
      <c r="NRL240" s="140"/>
      <c r="NRM240" s="140"/>
      <c r="NRN240" s="140"/>
      <c r="NRO240" s="140"/>
      <c r="NRP240" s="140"/>
      <c r="NRQ240" s="140"/>
      <c r="NRR240" s="140"/>
      <c r="NRS240" s="140"/>
      <c r="NRT240" s="140"/>
      <c r="NRU240" s="140"/>
      <c r="NRV240" s="140"/>
      <c r="NRW240" s="140"/>
      <c r="NRX240" s="140"/>
      <c r="NRY240" s="140"/>
      <c r="NRZ240" s="140"/>
      <c r="NSA240" s="140"/>
      <c r="NSB240" s="140"/>
      <c r="NSC240" s="140"/>
      <c r="NSD240" s="140"/>
      <c r="NSE240" s="140"/>
      <c r="NSF240" s="140"/>
      <c r="NSG240" s="140"/>
      <c r="NSH240" s="140"/>
      <c r="NSI240" s="140"/>
      <c r="NSJ240" s="140"/>
      <c r="NSK240" s="140"/>
      <c r="NSL240" s="140"/>
      <c r="NSM240" s="140"/>
      <c r="NSN240" s="140"/>
      <c r="NSO240" s="140"/>
      <c r="NSP240" s="140"/>
      <c r="NSQ240" s="140"/>
      <c r="NSR240" s="140"/>
      <c r="NSS240" s="140"/>
      <c r="NST240" s="140"/>
      <c r="NSU240" s="140"/>
      <c r="NSV240" s="140"/>
      <c r="NSW240" s="140"/>
      <c r="NSX240" s="140"/>
      <c r="NSY240" s="140"/>
      <c r="NSZ240" s="140"/>
      <c r="NTA240" s="140"/>
      <c r="NTB240" s="140"/>
      <c r="NTC240" s="140"/>
      <c r="NTD240" s="140"/>
      <c r="NTE240" s="140"/>
      <c r="NTF240" s="140"/>
      <c r="NTG240" s="140"/>
      <c r="NTH240" s="140"/>
      <c r="NTI240" s="140"/>
      <c r="NTJ240" s="140"/>
      <c r="NTK240" s="140"/>
      <c r="NTL240" s="140"/>
      <c r="NTM240" s="140"/>
      <c r="NTN240" s="140"/>
      <c r="NTO240" s="140"/>
      <c r="NTP240" s="140"/>
      <c r="NTQ240" s="140"/>
      <c r="NTR240" s="140"/>
      <c r="NTS240" s="140"/>
      <c r="NTT240" s="140"/>
      <c r="NTU240" s="140"/>
      <c r="NTV240" s="140"/>
      <c r="NTW240" s="140"/>
      <c r="NTX240" s="140"/>
      <c r="NTY240" s="140"/>
      <c r="NTZ240" s="140"/>
      <c r="NUA240" s="140"/>
      <c r="NUB240" s="140"/>
      <c r="NUC240" s="140"/>
      <c r="NUD240" s="140"/>
      <c r="NUE240" s="140"/>
      <c r="NUF240" s="140"/>
      <c r="NUG240" s="140"/>
      <c r="NUH240" s="140"/>
      <c r="NUI240" s="140"/>
      <c r="NUJ240" s="140"/>
      <c r="NUK240" s="140"/>
      <c r="NUL240" s="140"/>
      <c r="NUM240" s="140"/>
      <c r="NUN240" s="140"/>
      <c r="NUO240" s="140"/>
      <c r="NUP240" s="140"/>
      <c r="NUQ240" s="140"/>
      <c r="NUR240" s="140"/>
      <c r="NUS240" s="140"/>
      <c r="NUT240" s="140"/>
      <c r="NUU240" s="140"/>
      <c r="NUV240" s="140"/>
      <c r="NUW240" s="140"/>
      <c r="NUX240" s="140"/>
      <c r="NUY240" s="140"/>
      <c r="NUZ240" s="140"/>
      <c r="NVA240" s="140"/>
      <c r="NVB240" s="140"/>
      <c r="NVC240" s="140"/>
      <c r="NVD240" s="140"/>
      <c r="NVE240" s="140"/>
      <c r="NVF240" s="140"/>
      <c r="NVG240" s="140"/>
      <c r="NVH240" s="140"/>
      <c r="NVI240" s="140"/>
      <c r="NVJ240" s="140"/>
      <c r="NVK240" s="140"/>
      <c r="NVL240" s="140"/>
      <c r="NVM240" s="140"/>
      <c r="NVN240" s="140"/>
      <c r="NVO240" s="140"/>
      <c r="NVP240" s="140"/>
      <c r="NVQ240" s="140"/>
      <c r="NVR240" s="140"/>
      <c r="NVS240" s="140"/>
      <c r="NVT240" s="140"/>
      <c r="NVU240" s="140"/>
      <c r="NVV240" s="140"/>
      <c r="NVW240" s="140"/>
      <c r="NVX240" s="140"/>
      <c r="NVY240" s="140"/>
      <c r="NVZ240" s="140"/>
      <c r="NWA240" s="140"/>
      <c r="NWB240" s="140"/>
      <c r="NWC240" s="140"/>
      <c r="NWD240" s="140"/>
      <c r="NWE240" s="140"/>
      <c r="NWF240" s="140"/>
      <c r="NWG240" s="140"/>
      <c r="NWH240" s="140"/>
      <c r="NWI240" s="140"/>
      <c r="NWJ240" s="140"/>
      <c r="NWK240" s="140"/>
      <c r="NWL240" s="140"/>
      <c r="NWM240" s="140"/>
      <c r="NWN240" s="140"/>
      <c r="NWO240" s="140"/>
      <c r="NWP240" s="140"/>
      <c r="NWQ240" s="140"/>
      <c r="NWR240" s="140"/>
      <c r="NWS240" s="140"/>
      <c r="NWT240" s="140"/>
      <c r="NWU240" s="140"/>
      <c r="NWV240" s="140"/>
      <c r="NWW240" s="140"/>
      <c r="NWX240" s="140"/>
      <c r="NWY240" s="140"/>
      <c r="NWZ240" s="140"/>
      <c r="NXA240" s="140"/>
      <c r="NXB240" s="140"/>
      <c r="NXC240" s="140"/>
      <c r="NXD240" s="140"/>
      <c r="NXE240" s="140"/>
      <c r="NXF240" s="140"/>
      <c r="NXG240" s="140"/>
      <c r="NXH240" s="140"/>
      <c r="NXI240" s="140"/>
      <c r="NXJ240" s="140"/>
      <c r="NXK240" s="140"/>
      <c r="NXL240" s="140"/>
      <c r="NXM240" s="140"/>
      <c r="NXN240" s="140"/>
      <c r="NXO240" s="140"/>
      <c r="NXP240" s="140"/>
      <c r="NXQ240" s="140"/>
      <c r="NXR240" s="140"/>
      <c r="NXS240" s="140"/>
      <c r="NXT240" s="140"/>
      <c r="NXU240" s="140"/>
      <c r="NXV240" s="140"/>
      <c r="NXW240" s="140"/>
      <c r="NXX240" s="140"/>
      <c r="NXY240" s="140"/>
      <c r="NXZ240" s="140"/>
      <c r="NYA240" s="140"/>
      <c r="NYB240" s="140"/>
      <c r="NYC240" s="140"/>
      <c r="NYD240" s="140"/>
      <c r="NYE240" s="140"/>
      <c r="NYF240" s="140"/>
      <c r="NYG240" s="140"/>
      <c r="NYH240" s="140"/>
      <c r="NYI240" s="140"/>
      <c r="NYJ240" s="140"/>
      <c r="NYK240" s="140"/>
      <c r="NYL240" s="140"/>
      <c r="NYM240" s="140"/>
      <c r="NYN240" s="140"/>
      <c r="NYO240" s="140"/>
      <c r="NYP240" s="140"/>
      <c r="NYQ240" s="140"/>
      <c r="NYR240" s="140"/>
      <c r="NYS240" s="140"/>
      <c r="NYT240" s="140"/>
      <c r="NYU240" s="140"/>
      <c r="NYV240" s="140"/>
      <c r="NYW240" s="140"/>
      <c r="NYX240" s="140"/>
      <c r="NYY240" s="140"/>
      <c r="NYZ240" s="140"/>
      <c r="NZA240" s="140"/>
      <c r="NZB240" s="140"/>
      <c r="NZC240" s="140"/>
      <c r="NZD240" s="140"/>
      <c r="NZE240" s="140"/>
      <c r="NZF240" s="140"/>
      <c r="NZG240" s="140"/>
      <c r="NZH240" s="140"/>
      <c r="NZI240" s="140"/>
      <c r="NZJ240" s="140"/>
      <c r="NZK240" s="140"/>
      <c r="NZL240" s="140"/>
      <c r="NZM240" s="140"/>
      <c r="NZN240" s="140"/>
      <c r="NZO240" s="140"/>
      <c r="NZP240" s="140"/>
      <c r="NZQ240" s="140"/>
      <c r="NZR240" s="140"/>
      <c r="NZS240" s="140"/>
      <c r="NZT240" s="140"/>
      <c r="NZU240" s="140"/>
      <c r="NZV240" s="140"/>
      <c r="NZW240" s="140"/>
      <c r="NZX240" s="140"/>
      <c r="NZY240" s="140"/>
      <c r="NZZ240" s="140"/>
      <c r="OAA240" s="140"/>
      <c r="OAB240" s="140"/>
      <c r="OAC240" s="140"/>
      <c r="OAD240" s="140"/>
      <c r="OAE240" s="140"/>
      <c r="OAF240" s="140"/>
      <c r="OAG240" s="140"/>
      <c r="OAH240" s="140"/>
      <c r="OAI240" s="140"/>
      <c r="OAJ240" s="140"/>
      <c r="OAK240" s="140"/>
      <c r="OAL240" s="140"/>
      <c r="OAM240" s="140"/>
      <c r="OAN240" s="140"/>
      <c r="OAO240" s="140"/>
      <c r="OAP240" s="140"/>
      <c r="OAQ240" s="140"/>
      <c r="OAR240" s="140"/>
      <c r="OAS240" s="140"/>
      <c r="OAT240" s="140"/>
      <c r="OAU240" s="140"/>
      <c r="OAV240" s="140"/>
      <c r="OAW240" s="140"/>
      <c r="OAX240" s="140"/>
      <c r="OAY240" s="140"/>
      <c r="OAZ240" s="140"/>
      <c r="OBA240" s="140"/>
      <c r="OBB240" s="140"/>
      <c r="OBC240" s="140"/>
      <c r="OBD240" s="140"/>
      <c r="OBE240" s="140"/>
      <c r="OBF240" s="140"/>
      <c r="OBG240" s="140"/>
      <c r="OBH240" s="140"/>
      <c r="OBI240" s="140"/>
      <c r="OBJ240" s="140"/>
      <c r="OBK240" s="140"/>
      <c r="OBL240" s="140"/>
      <c r="OBM240" s="140"/>
      <c r="OBN240" s="140"/>
      <c r="OBO240" s="140"/>
      <c r="OBP240" s="140"/>
      <c r="OBQ240" s="140"/>
      <c r="OBR240" s="140"/>
      <c r="OBS240" s="140"/>
      <c r="OBT240" s="140"/>
      <c r="OBU240" s="140"/>
      <c r="OBV240" s="140"/>
      <c r="OBW240" s="140"/>
      <c r="OBX240" s="140"/>
      <c r="OBY240" s="140"/>
      <c r="OBZ240" s="140"/>
      <c r="OCA240" s="140"/>
      <c r="OCB240" s="140"/>
      <c r="OCC240" s="140"/>
      <c r="OCD240" s="140"/>
      <c r="OCE240" s="140"/>
      <c r="OCF240" s="140"/>
      <c r="OCG240" s="140"/>
      <c r="OCH240" s="140"/>
      <c r="OCI240" s="140"/>
      <c r="OCJ240" s="140"/>
      <c r="OCK240" s="140"/>
      <c r="OCL240" s="140"/>
      <c r="OCM240" s="140"/>
      <c r="OCN240" s="140"/>
      <c r="OCO240" s="140"/>
      <c r="OCP240" s="140"/>
      <c r="OCQ240" s="140"/>
      <c r="OCR240" s="140"/>
      <c r="OCS240" s="140"/>
      <c r="OCT240" s="140"/>
      <c r="OCU240" s="140"/>
      <c r="OCV240" s="140"/>
      <c r="OCW240" s="140"/>
      <c r="OCX240" s="140"/>
      <c r="OCY240" s="140"/>
      <c r="OCZ240" s="140"/>
      <c r="ODA240" s="140"/>
      <c r="ODB240" s="140"/>
      <c r="ODC240" s="140"/>
      <c r="ODD240" s="140"/>
      <c r="ODE240" s="140"/>
      <c r="ODF240" s="140"/>
      <c r="ODG240" s="140"/>
      <c r="ODH240" s="140"/>
      <c r="ODI240" s="140"/>
      <c r="ODJ240" s="140"/>
      <c r="ODK240" s="140"/>
      <c r="ODL240" s="140"/>
      <c r="ODM240" s="140"/>
      <c r="ODN240" s="140"/>
      <c r="ODO240" s="140"/>
      <c r="ODP240" s="140"/>
      <c r="ODQ240" s="140"/>
      <c r="ODR240" s="140"/>
      <c r="ODS240" s="140"/>
      <c r="ODT240" s="140"/>
      <c r="ODU240" s="140"/>
      <c r="ODV240" s="140"/>
      <c r="ODW240" s="140"/>
      <c r="ODX240" s="140"/>
      <c r="ODY240" s="140"/>
      <c r="ODZ240" s="140"/>
      <c r="OEA240" s="140"/>
      <c r="OEB240" s="140"/>
      <c r="OEC240" s="140"/>
      <c r="OED240" s="140"/>
      <c r="OEE240" s="140"/>
      <c r="OEF240" s="140"/>
      <c r="OEG240" s="140"/>
      <c r="OEH240" s="140"/>
      <c r="OEI240" s="140"/>
      <c r="OEJ240" s="140"/>
      <c r="OEK240" s="140"/>
      <c r="OEL240" s="140"/>
      <c r="OEM240" s="140"/>
      <c r="OEN240" s="140"/>
      <c r="OEO240" s="140"/>
      <c r="OEP240" s="140"/>
      <c r="OEQ240" s="140"/>
      <c r="OER240" s="140"/>
      <c r="OES240" s="140"/>
      <c r="OET240" s="140"/>
      <c r="OEU240" s="140"/>
      <c r="OEV240" s="140"/>
      <c r="OEW240" s="140"/>
      <c r="OEX240" s="140"/>
      <c r="OEY240" s="140"/>
      <c r="OEZ240" s="140"/>
      <c r="OFA240" s="140"/>
      <c r="OFB240" s="140"/>
      <c r="OFC240" s="140"/>
      <c r="OFD240" s="140"/>
      <c r="OFE240" s="140"/>
      <c r="OFF240" s="140"/>
      <c r="OFG240" s="140"/>
      <c r="OFH240" s="140"/>
      <c r="OFI240" s="140"/>
      <c r="OFJ240" s="140"/>
      <c r="OFK240" s="140"/>
      <c r="OFL240" s="140"/>
      <c r="OFM240" s="140"/>
      <c r="OFN240" s="140"/>
      <c r="OFO240" s="140"/>
      <c r="OFP240" s="140"/>
      <c r="OFQ240" s="140"/>
      <c r="OFR240" s="140"/>
      <c r="OFS240" s="140"/>
      <c r="OFT240" s="140"/>
      <c r="OFU240" s="140"/>
      <c r="OFV240" s="140"/>
      <c r="OFW240" s="140"/>
      <c r="OFX240" s="140"/>
      <c r="OFY240" s="140"/>
      <c r="OFZ240" s="140"/>
      <c r="OGA240" s="140"/>
      <c r="OGB240" s="140"/>
      <c r="OGC240" s="140"/>
      <c r="OGD240" s="140"/>
      <c r="OGE240" s="140"/>
      <c r="OGF240" s="140"/>
      <c r="OGG240" s="140"/>
      <c r="OGH240" s="140"/>
      <c r="OGI240" s="140"/>
      <c r="OGJ240" s="140"/>
      <c r="OGK240" s="140"/>
      <c r="OGL240" s="140"/>
      <c r="OGM240" s="140"/>
      <c r="OGN240" s="140"/>
      <c r="OGO240" s="140"/>
      <c r="OGP240" s="140"/>
      <c r="OGQ240" s="140"/>
      <c r="OGR240" s="140"/>
      <c r="OGS240" s="140"/>
      <c r="OGT240" s="140"/>
      <c r="OGU240" s="140"/>
      <c r="OGV240" s="140"/>
      <c r="OGW240" s="140"/>
      <c r="OGX240" s="140"/>
      <c r="OGY240" s="140"/>
      <c r="OGZ240" s="140"/>
      <c r="OHA240" s="140"/>
      <c r="OHB240" s="140"/>
      <c r="OHC240" s="140"/>
      <c r="OHD240" s="140"/>
      <c r="OHE240" s="140"/>
      <c r="OHF240" s="140"/>
      <c r="OHG240" s="140"/>
      <c r="OHH240" s="140"/>
      <c r="OHI240" s="140"/>
      <c r="OHJ240" s="140"/>
      <c r="OHK240" s="140"/>
      <c r="OHL240" s="140"/>
      <c r="OHM240" s="140"/>
      <c r="OHN240" s="140"/>
      <c r="OHO240" s="140"/>
      <c r="OHP240" s="140"/>
      <c r="OHQ240" s="140"/>
      <c r="OHR240" s="140"/>
      <c r="OHS240" s="140"/>
      <c r="OHT240" s="140"/>
      <c r="OHU240" s="140"/>
      <c r="OHV240" s="140"/>
      <c r="OHW240" s="140"/>
      <c r="OHX240" s="140"/>
      <c r="OHY240" s="140"/>
      <c r="OHZ240" s="140"/>
      <c r="OIA240" s="140"/>
      <c r="OIB240" s="140"/>
      <c r="OIC240" s="140"/>
      <c r="OID240" s="140"/>
      <c r="OIE240" s="140"/>
      <c r="OIF240" s="140"/>
      <c r="OIG240" s="140"/>
      <c r="OIH240" s="140"/>
      <c r="OII240" s="140"/>
      <c r="OIJ240" s="140"/>
      <c r="OIK240" s="140"/>
      <c r="OIL240" s="140"/>
      <c r="OIM240" s="140"/>
      <c r="OIN240" s="140"/>
      <c r="OIO240" s="140"/>
      <c r="OIP240" s="140"/>
      <c r="OIQ240" s="140"/>
      <c r="OIR240" s="140"/>
      <c r="OIS240" s="140"/>
      <c r="OIT240" s="140"/>
      <c r="OIU240" s="140"/>
      <c r="OIV240" s="140"/>
      <c r="OIW240" s="140"/>
      <c r="OIX240" s="140"/>
      <c r="OIY240" s="140"/>
      <c r="OIZ240" s="140"/>
      <c r="OJA240" s="140"/>
      <c r="OJB240" s="140"/>
      <c r="OJC240" s="140"/>
      <c r="OJD240" s="140"/>
      <c r="OJE240" s="140"/>
      <c r="OJF240" s="140"/>
      <c r="OJG240" s="140"/>
      <c r="OJH240" s="140"/>
      <c r="OJI240" s="140"/>
      <c r="OJJ240" s="140"/>
      <c r="OJK240" s="140"/>
      <c r="OJL240" s="140"/>
      <c r="OJM240" s="140"/>
      <c r="OJN240" s="140"/>
      <c r="OJO240" s="140"/>
      <c r="OJP240" s="140"/>
      <c r="OJQ240" s="140"/>
      <c r="OJR240" s="140"/>
      <c r="OJS240" s="140"/>
      <c r="OJT240" s="140"/>
      <c r="OJU240" s="140"/>
      <c r="OJV240" s="140"/>
      <c r="OJW240" s="140"/>
      <c r="OJX240" s="140"/>
      <c r="OJY240" s="140"/>
      <c r="OJZ240" s="140"/>
      <c r="OKA240" s="140"/>
      <c r="OKB240" s="140"/>
      <c r="OKC240" s="140"/>
      <c r="OKD240" s="140"/>
      <c r="OKE240" s="140"/>
      <c r="OKF240" s="140"/>
      <c r="OKG240" s="140"/>
      <c r="OKH240" s="140"/>
      <c r="OKI240" s="140"/>
      <c r="OKJ240" s="140"/>
      <c r="OKK240" s="140"/>
      <c r="OKL240" s="140"/>
      <c r="OKM240" s="140"/>
      <c r="OKN240" s="140"/>
      <c r="OKO240" s="140"/>
      <c r="OKP240" s="140"/>
      <c r="OKQ240" s="140"/>
      <c r="OKR240" s="140"/>
      <c r="OKS240" s="140"/>
      <c r="OKT240" s="140"/>
      <c r="OKU240" s="140"/>
      <c r="OKV240" s="140"/>
      <c r="OKW240" s="140"/>
      <c r="OKX240" s="140"/>
      <c r="OKY240" s="140"/>
      <c r="OKZ240" s="140"/>
      <c r="OLA240" s="140"/>
      <c r="OLB240" s="140"/>
      <c r="OLC240" s="140"/>
      <c r="OLD240" s="140"/>
      <c r="OLE240" s="140"/>
      <c r="OLF240" s="140"/>
      <c r="OLG240" s="140"/>
      <c r="OLH240" s="140"/>
      <c r="OLI240" s="140"/>
      <c r="OLJ240" s="140"/>
      <c r="OLK240" s="140"/>
      <c r="OLL240" s="140"/>
      <c r="OLM240" s="140"/>
      <c r="OLN240" s="140"/>
      <c r="OLO240" s="140"/>
      <c r="OLP240" s="140"/>
      <c r="OLQ240" s="140"/>
      <c r="OLR240" s="140"/>
      <c r="OLS240" s="140"/>
      <c r="OLT240" s="140"/>
      <c r="OLU240" s="140"/>
      <c r="OLV240" s="140"/>
      <c r="OLW240" s="140"/>
      <c r="OLX240" s="140"/>
      <c r="OLY240" s="140"/>
      <c r="OLZ240" s="140"/>
      <c r="OMA240" s="140"/>
      <c r="OMB240" s="140"/>
      <c r="OMC240" s="140"/>
      <c r="OMD240" s="140"/>
      <c r="OME240" s="140"/>
      <c r="OMF240" s="140"/>
      <c r="OMG240" s="140"/>
      <c r="OMH240" s="140"/>
      <c r="OMI240" s="140"/>
      <c r="OMJ240" s="140"/>
      <c r="OMK240" s="140"/>
      <c r="OML240" s="140"/>
      <c r="OMM240" s="140"/>
      <c r="OMN240" s="140"/>
      <c r="OMO240" s="140"/>
      <c r="OMP240" s="140"/>
      <c r="OMQ240" s="140"/>
      <c r="OMR240" s="140"/>
      <c r="OMS240" s="140"/>
      <c r="OMT240" s="140"/>
      <c r="OMU240" s="140"/>
      <c r="OMV240" s="140"/>
      <c r="OMW240" s="140"/>
      <c r="OMX240" s="140"/>
      <c r="OMY240" s="140"/>
      <c r="OMZ240" s="140"/>
      <c r="ONA240" s="140"/>
      <c r="ONB240" s="140"/>
      <c r="ONC240" s="140"/>
      <c r="OND240" s="140"/>
      <c r="ONE240" s="140"/>
      <c r="ONF240" s="140"/>
      <c r="ONG240" s="140"/>
      <c r="ONH240" s="140"/>
      <c r="ONI240" s="140"/>
      <c r="ONJ240" s="140"/>
      <c r="ONK240" s="140"/>
      <c r="ONL240" s="140"/>
      <c r="ONM240" s="140"/>
      <c r="ONN240" s="140"/>
      <c r="ONO240" s="140"/>
      <c r="ONP240" s="140"/>
      <c r="ONQ240" s="140"/>
      <c r="ONR240" s="140"/>
      <c r="ONS240" s="140"/>
      <c r="ONT240" s="140"/>
      <c r="ONU240" s="140"/>
      <c r="ONV240" s="140"/>
      <c r="ONW240" s="140"/>
      <c r="ONX240" s="140"/>
      <c r="ONY240" s="140"/>
      <c r="ONZ240" s="140"/>
      <c r="OOA240" s="140"/>
      <c r="OOB240" s="140"/>
      <c r="OOC240" s="140"/>
      <c r="OOD240" s="140"/>
      <c r="OOE240" s="140"/>
      <c r="OOF240" s="140"/>
      <c r="OOG240" s="140"/>
      <c r="OOH240" s="140"/>
      <c r="OOI240" s="140"/>
      <c r="OOJ240" s="140"/>
      <c r="OOK240" s="140"/>
      <c r="OOL240" s="140"/>
      <c r="OOM240" s="140"/>
      <c r="OON240" s="140"/>
      <c r="OOO240" s="140"/>
      <c r="OOP240" s="140"/>
      <c r="OOQ240" s="140"/>
      <c r="OOR240" s="140"/>
      <c r="OOS240" s="140"/>
      <c r="OOT240" s="140"/>
      <c r="OOU240" s="140"/>
      <c r="OOV240" s="140"/>
      <c r="OOW240" s="140"/>
      <c r="OOX240" s="140"/>
      <c r="OOY240" s="140"/>
      <c r="OOZ240" s="140"/>
      <c r="OPA240" s="140"/>
      <c r="OPB240" s="140"/>
      <c r="OPC240" s="140"/>
      <c r="OPD240" s="140"/>
      <c r="OPE240" s="140"/>
      <c r="OPF240" s="140"/>
      <c r="OPG240" s="140"/>
      <c r="OPH240" s="140"/>
      <c r="OPI240" s="140"/>
      <c r="OPJ240" s="140"/>
      <c r="OPK240" s="140"/>
      <c r="OPL240" s="140"/>
      <c r="OPM240" s="140"/>
      <c r="OPN240" s="140"/>
      <c r="OPO240" s="140"/>
      <c r="OPP240" s="140"/>
      <c r="OPQ240" s="140"/>
      <c r="OPR240" s="140"/>
      <c r="OPS240" s="140"/>
      <c r="OPT240" s="140"/>
      <c r="OPU240" s="140"/>
      <c r="OPV240" s="140"/>
      <c r="OPW240" s="140"/>
      <c r="OPX240" s="140"/>
      <c r="OPY240" s="140"/>
      <c r="OPZ240" s="140"/>
      <c r="OQA240" s="140"/>
      <c r="OQB240" s="140"/>
      <c r="OQC240" s="140"/>
      <c r="OQD240" s="140"/>
      <c r="OQE240" s="140"/>
      <c r="OQF240" s="140"/>
      <c r="OQG240" s="140"/>
      <c r="OQH240" s="140"/>
      <c r="OQI240" s="140"/>
      <c r="OQJ240" s="140"/>
      <c r="OQK240" s="140"/>
      <c r="OQL240" s="140"/>
      <c r="OQM240" s="140"/>
      <c r="OQN240" s="140"/>
      <c r="OQO240" s="140"/>
      <c r="OQP240" s="140"/>
      <c r="OQQ240" s="140"/>
      <c r="OQR240" s="140"/>
      <c r="OQS240" s="140"/>
      <c r="OQT240" s="140"/>
      <c r="OQU240" s="140"/>
      <c r="OQV240" s="140"/>
      <c r="OQW240" s="140"/>
      <c r="OQX240" s="140"/>
      <c r="OQY240" s="140"/>
      <c r="OQZ240" s="140"/>
      <c r="ORA240" s="140"/>
      <c r="ORB240" s="140"/>
      <c r="ORC240" s="140"/>
      <c r="ORD240" s="140"/>
      <c r="ORE240" s="140"/>
      <c r="ORF240" s="140"/>
      <c r="ORG240" s="140"/>
      <c r="ORH240" s="140"/>
      <c r="ORI240" s="140"/>
      <c r="ORJ240" s="140"/>
      <c r="ORK240" s="140"/>
      <c r="ORL240" s="140"/>
      <c r="ORM240" s="140"/>
      <c r="ORN240" s="140"/>
      <c r="ORO240" s="140"/>
      <c r="ORP240" s="140"/>
      <c r="ORQ240" s="140"/>
      <c r="ORR240" s="140"/>
      <c r="ORS240" s="140"/>
      <c r="ORT240" s="140"/>
      <c r="ORU240" s="140"/>
      <c r="ORV240" s="140"/>
      <c r="ORW240" s="140"/>
      <c r="ORX240" s="140"/>
      <c r="ORY240" s="140"/>
      <c r="ORZ240" s="140"/>
      <c r="OSA240" s="140"/>
      <c r="OSB240" s="140"/>
      <c r="OSC240" s="140"/>
      <c r="OSD240" s="140"/>
      <c r="OSE240" s="140"/>
      <c r="OSF240" s="140"/>
      <c r="OSG240" s="140"/>
      <c r="OSH240" s="140"/>
      <c r="OSI240" s="140"/>
      <c r="OSJ240" s="140"/>
      <c r="OSK240" s="140"/>
      <c r="OSL240" s="140"/>
      <c r="OSM240" s="140"/>
      <c r="OSN240" s="140"/>
      <c r="OSO240" s="140"/>
      <c r="OSP240" s="140"/>
      <c r="OSQ240" s="140"/>
      <c r="OSR240" s="140"/>
      <c r="OSS240" s="140"/>
      <c r="OST240" s="140"/>
      <c r="OSU240" s="140"/>
      <c r="OSV240" s="140"/>
      <c r="OSW240" s="140"/>
      <c r="OSX240" s="140"/>
      <c r="OSY240" s="140"/>
      <c r="OSZ240" s="140"/>
      <c r="OTA240" s="140"/>
      <c r="OTB240" s="140"/>
      <c r="OTC240" s="140"/>
      <c r="OTD240" s="140"/>
      <c r="OTE240" s="140"/>
      <c r="OTF240" s="140"/>
      <c r="OTG240" s="140"/>
      <c r="OTH240" s="140"/>
      <c r="OTI240" s="140"/>
      <c r="OTJ240" s="140"/>
      <c r="OTK240" s="140"/>
      <c r="OTL240" s="140"/>
      <c r="OTM240" s="140"/>
      <c r="OTN240" s="140"/>
      <c r="OTO240" s="140"/>
      <c r="OTP240" s="140"/>
      <c r="OTQ240" s="140"/>
      <c r="OTR240" s="140"/>
      <c r="OTS240" s="140"/>
      <c r="OTT240" s="140"/>
      <c r="OTU240" s="140"/>
      <c r="OTV240" s="140"/>
      <c r="OTW240" s="140"/>
      <c r="OTX240" s="140"/>
      <c r="OTY240" s="140"/>
      <c r="OTZ240" s="140"/>
      <c r="OUA240" s="140"/>
      <c r="OUB240" s="140"/>
      <c r="OUC240" s="140"/>
      <c r="OUD240" s="140"/>
      <c r="OUE240" s="140"/>
      <c r="OUF240" s="140"/>
      <c r="OUG240" s="140"/>
      <c r="OUH240" s="140"/>
      <c r="OUI240" s="140"/>
      <c r="OUJ240" s="140"/>
      <c r="OUK240" s="140"/>
      <c r="OUL240" s="140"/>
      <c r="OUM240" s="140"/>
      <c r="OUN240" s="140"/>
      <c r="OUO240" s="140"/>
      <c r="OUP240" s="140"/>
      <c r="OUQ240" s="140"/>
      <c r="OUR240" s="140"/>
      <c r="OUS240" s="140"/>
      <c r="OUT240" s="140"/>
      <c r="OUU240" s="140"/>
      <c r="OUV240" s="140"/>
      <c r="OUW240" s="140"/>
      <c r="OUX240" s="140"/>
      <c r="OUY240" s="140"/>
      <c r="OUZ240" s="140"/>
      <c r="OVA240" s="140"/>
      <c r="OVB240" s="140"/>
      <c r="OVC240" s="140"/>
      <c r="OVD240" s="140"/>
      <c r="OVE240" s="140"/>
      <c r="OVF240" s="140"/>
      <c r="OVG240" s="140"/>
      <c r="OVH240" s="140"/>
      <c r="OVI240" s="140"/>
      <c r="OVJ240" s="140"/>
      <c r="OVK240" s="140"/>
      <c r="OVL240" s="140"/>
      <c r="OVM240" s="140"/>
      <c r="OVN240" s="140"/>
      <c r="OVO240" s="140"/>
      <c r="OVP240" s="140"/>
      <c r="OVQ240" s="140"/>
      <c r="OVR240" s="140"/>
      <c r="OVS240" s="140"/>
      <c r="OVT240" s="140"/>
      <c r="OVU240" s="140"/>
      <c r="OVV240" s="140"/>
      <c r="OVW240" s="140"/>
      <c r="OVX240" s="140"/>
      <c r="OVY240" s="140"/>
      <c r="OVZ240" s="140"/>
      <c r="OWA240" s="140"/>
      <c r="OWB240" s="140"/>
      <c r="OWC240" s="140"/>
      <c r="OWD240" s="140"/>
      <c r="OWE240" s="140"/>
      <c r="OWF240" s="140"/>
      <c r="OWG240" s="140"/>
      <c r="OWH240" s="140"/>
      <c r="OWI240" s="140"/>
      <c r="OWJ240" s="140"/>
      <c r="OWK240" s="140"/>
      <c r="OWL240" s="140"/>
      <c r="OWM240" s="140"/>
      <c r="OWN240" s="140"/>
      <c r="OWO240" s="140"/>
      <c r="OWP240" s="140"/>
      <c r="OWQ240" s="140"/>
      <c r="OWR240" s="140"/>
      <c r="OWS240" s="140"/>
      <c r="OWT240" s="140"/>
      <c r="OWU240" s="140"/>
      <c r="OWV240" s="140"/>
      <c r="OWW240" s="140"/>
      <c r="OWX240" s="140"/>
      <c r="OWY240" s="140"/>
      <c r="OWZ240" s="140"/>
      <c r="OXA240" s="140"/>
      <c r="OXB240" s="140"/>
      <c r="OXC240" s="140"/>
      <c r="OXD240" s="140"/>
      <c r="OXE240" s="140"/>
      <c r="OXF240" s="140"/>
      <c r="OXG240" s="140"/>
      <c r="OXH240" s="140"/>
      <c r="OXI240" s="140"/>
      <c r="OXJ240" s="140"/>
      <c r="OXK240" s="140"/>
      <c r="OXL240" s="140"/>
      <c r="OXM240" s="140"/>
      <c r="OXN240" s="140"/>
      <c r="OXO240" s="140"/>
      <c r="OXP240" s="140"/>
      <c r="OXQ240" s="140"/>
      <c r="OXR240" s="140"/>
      <c r="OXS240" s="140"/>
      <c r="OXT240" s="140"/>
      <c r="OXU240" s="140"/>
      <c r="OXV240" s="140"/>
      <c r="OXW240" s="140"/>
      <c r="OXX240" s="140"/>
      <c r="OXY240" s="140"/>
      <c r="OXZ240" s="140"/>
      <c r="OYA240" s="140"/>
      <c r="OYB240" s="140"/>
      <c r="OYC240" s="140"/>
      <c r="OYD240" s="140"/>
      <c r="OYE240" s="140"/>
      <c r="OYF240" s="140"/>
      <c r="OYG240" s="140"/>
      <c r="OYH240" s="140"/>
      <c r="OYI240" s="140"/>
      <c r="OYJ240" s="140"/>
      <c r="OYK240" s="140"/>
      <c r="OYL240" s="140"/>
      <c r="OYM240" s="140"/>
      <c r="OYN240" s="140"/>
      <c r="OYO240" s="140"/>
      <c r="OYP240" s="140"/>
      <c r="OYQ240" s="140"/>
      <c r="OYR240" s="140"/>
      <c r="OYS240" s="140"/>
      <c r="OYT240" s="140"/>
      <c r="OYU240" s="140"/>
      <c r="OYV240" s="140"/>
      <c r="OYW240" s="140"/>
      <c r="OYX240" s="140"/>
      <c r="OYY240" s="140"/>
      <c r="OYZ240" s="140"/>
      <c r="OZA240" s="140"/>
      <c r="OZB240" s="140"/>
      <c r="OZC240" s="140"/>
      <c r="OZD240" s="140"/>
      <c r="OZE240" s="140"/>
      <c r="OZF240" s="140"/>
      <c r="OZG240" s="140"/>
      <c r="OZH240" s="140"/>
      <c r="OZI240" s="140"/>
      <c r="OZJ240" s="140"/>
      <c r="OZK240" s="140"/>
      <c r="OZL240" s="140"/>
      <c r="OZM240" s="140"/>
      <c r="OZN240" s="140"/>
      <c r="OZO240" s="140"/>
      <c r="OZP240" s="140"/>
      <c r="OZQ240" s="140"/>
      <c r="OZR240" s="140"/>
      <c r="OZS240" s="140"/>
      <c r="OZT240" s="140"/>
      <c r="OZU240" s="140"/>
      <c r="OZV240" s="140"/>
      <c r="OZW240" s="140"/>
      <c r="OZX240" s="140"/>
      <c r="OZY240" s="140"/>
      <c r="OZZ240" s="140"/>
      <c r="PAA240" s="140"/>
      <c r="PAB240" s="140"/>
      <c r="PAC240" s="140"/>
      <c r="PAD240" s="140"/>
      <c r="PAE240" s="140"/>
      <c r="PAF240" s="140"/>
      <c r="PAG240" s="140"/>
      <c r="PAH240" s="140"/>
      <c r="PAI240" s="140"/>
      <c r="PAJ240" s="140"/>
      <c r="PAK240" s="140"/>
      <c r="PAL240" s="140"/>
      <c r="PAM240" s="140"/>
      <c r="PAN240" s="140"/>
      <c r="PAO240" s="140"/>
      <c r="PAP240" s="140"/>
      <c r="PAQ240" s="140"/>
      <c r="PAR240" s="140"/>
      <c r="PAS240" s="140"/>
      <c r="PAT240" s="140"/>
      <c r="PAU240" s="140"/>
      <c r="PAV240" s="140"/>
      <c r="PAW240" s="140"/>
      <c r="PAX240" s="140"/>
      <c r="PAY240" s="140"/>
      <c r="PAZ240" s="140"/>
      <c r="PBA240" s="140"/>
      <c r="PBB240" s="140"/>
      <c r="PBC240" s="140"/>
      <c r="PBD240" s="140"/>
      <c r="PBE240" s="140"/>
      <c r="PBF240" s="140"/>
      <c r="PBG240" s="140"/>
      <c r="PBH240" s="140"/>
      <c r="PBI240" s="140"/>
      <c r="PBJ240" s="140"/>
      <c r="PBK240" s="140"/>
      <c r="PBL240" s="140"/>
      <c r="PBM240" s="140"/>
      <c r="PBN240" s="140"/>
      <c r="PBO240" s="140"/>
      <c r="PBP240" s="140"/>
      <c r="PBQ240" s="140"/>
      <c r="PBR240" s="140"/>
      <c r="PBS240" s="140"/>
      <c r="PBT240" s="140"/>
      <c r="PBU240" s="140"/>
      <c r="PBV240" s="140"/>
      <c r="PBW240" s="140"/>
      <c r="PBX240" s="140"/>
      <c r="PBY240" s="140"/>
      <c r="PBZ240" s="140"/>
      <c r="PCA240" s="140"/>
      <c r="PCB240" s="140"/>
      <c r="PCC240" s="140"/>
      <c r="PCD240" s="140"/>
      <c r="PCE240" s="140"/>
      <c r="PCF240" s="140"/>
      <c r="PCG240" s="140"/>
      <c r="PCH240" s="140"/>
      <c r="PCI240" s="140"/>
      <c r="PCJ240" s="140"/>
      <c r="PCK240" s="140"/>
      <c r="PCL240" s="140"/>
      <c r="PCM240" s="140"/>
      <c r="PCN240" s="140"/>
      <c r="PCO240" s="140"/>
      <c r="PCP240" s="140"/>
      <c r="PCQ240" s="140"/>
      <c r="PCR240" s="140"/>
      <c r="PCS240" s="140"/>
      <c r="PCT240" s="140"/>
      <c r="PCU240" s="140"/>
      <c r="PCV240" s="140"/>
      <c r="PCW240" s="140"/>
      <c r="PCX240" s="140"/>
      <c r="PCY240" s="140"/>
      <c r="PCZ240" s="140"/>
      <c r="PDA240" s="140"/>
      <c r="PDB240" s="140"/>
      <c r="PDC240" s="140"/>
      <c r="PDD240" s="140"/>
      <c r="PDE240" s="140"/>
      <c r="PDF240" s="140"/>
      <c r="PDG240" s="140"/>
      <c r="PDH240" s="140"/>
      <c r="PDI240" s="140"/>
      <c r="PDJ240" s="140"/>
      <c r="PDK240" s="140"/>
      <c r="PDL240" s="140"/>
      <c r="PDM240" s="140"/>
      <c r="PDN240" s="140"/>
      <c r="PDO240" s="140"/>
      <c r="PDP240" s="140"/>
      <c r="PDQ240" s="140"/>
      <c r="PDR240" s="140"/>
      <c r="PDS240" s="140"/>
      <c r="PDT240" s="140"/>
      <c r="PDU240" s="140"/>
      <c r="PDV240" s="140"/>
      <c r="PDW240" s="140"/>
      <c r="PDX240" s="140"/>
      <c r="PDY240" s="140"/>
      <c r="PDZ240" s="140"/>
      <c r="PEA240" s="140"/>
      <c r="PEB240" s="140"/>
      <c r="PEC240" s="140"/>
      <c r="PED240" s="140"/>
      <c r="PEE240" s="140"/>
      <c r="PEF240" s="140"/>
      <c r="PEG240" s="140"/>
      <c r="PEH240" s="140"/>
      <c r="PEI240" s="140"/>
      <c r="PEJ240" s="140"/>
      <c r="PEK240" s="140"/>
      <c r="PEL240" s="140"/>
      <c r="PEM240" s="140"/>
      <c r="PEN240" s="140"/>
      <c r="PEO240" s="140"/>
      <c r="PEP240" s="140"/>
      <c r="PEQ240" s="140"/>
      <c r="PER240" s="140"/>
      <c r="PES240" s="140"/>
      <c r="PET240" s="140"/>
      <c r="PEU240" s="140"/>
      <c r="PEV240" s="140"/>
      <c r="PEW240" s="140"/>
      <c r="PEX240" s="140"/>
      <c r="PEY240" s="140"/>
      <c r="PEZ240" s="140"/>
      <c r="PFA240" s="140"/>
      <c r="PFB240" s="140"/>
      <c r="PFC240" s="140"/>
      <c r="PFD240" s="140"/>
      <c r="PFE240" s="140"/>
      <c r="PFF240" s="140"/>
      <c r="PFG240" s="140"/>
      <c r="PFH240" s="140"/>
      <c r="PFI240" s="140"/>
      <c r="PFJ240" s="140"/>
      <c r="PFK240" s="140"/>
      <c r="PFL240" s="140"/>
      <c r="PFM240" s="140"/>
      <c r="PFN240" s="140"/>
      <c r="PFO240" s="140"/>
      <c r="PFP240" s="140"/>
      <c r="PFQ240" s="140"/>
      <c r="PFR240" s="140"/>
      <c r="PFS240" s="140"/>
      <c r="PFT240" s="140"/>
      <c r="PFU240" s="140"/>
      <c r="PFV240" s="140"/>
      <c r="PFW240" s="140"/>
      <c r="PFX240" s="140"/>
      <c r="PFY240" s="140"/>
      <c r="PFZ240" s="140"/>
      <c r="PGA240" s="140"/>
      <c r="PGB240" s="140"/>
      <c r="PGC240" s="140"/>
      <c r="PGD240" s="140"/>
      <c r="PGE240" s="140"/>
      <c r="PGF240" s="140"/>
      <c r="PGG240" s="140"/>
      <c r="PGH240" s="140"/>
      <c r="PGI240" s="140"/>
      <c r="PGJ240" s="140"/>
      <c r="PGK240" s="140"/>
      <c r="PGL240" s="140"/>
      <c r="PGM240" s="140"/>
      <c r="PGN240" s="140"/>
      <c r="PGO240" s="140"/>
      <c r="PGP240" s="140"/>
      <c r="PGQ240" s="140"/>
      <c r="PGR240" s="140"/>
      <c r="PGS240" s="140"/>
      <c r="PGT240" s="140"/>
      <c r="PGU240" s="140"/>
      <c r="PGV240" s="140"/>
      <c r="PGW240" s="140"/>
      <c r="PGX240" s="140"/>
      <c r="PGY240" s="140"/>
      <c r="PGZ240" s="140"/>
      <c r="PHA240" s="140"/>
      <c r="PHB240" s="140"/>
      <c r="PHC240" s="140"/>
      <c r="PHD240" s="140"/>
      <c r="PHE240" s="140"/>
      <c r="PHF240" s="140"/>
      <c r="PHG240" s="140"/>
      <c r="PHH240" s="140"/>
      <c r="PHI240" s="140"/>
      <c r="PHJ240" s="140"/>
      <c r="PHK240" s="140"/>
      <c r="PHL240" s="140"/>
      <c r="PHM240" s="140"/>
      <c r="PHN240" s="140"/>
      <c r="PHO240" s="140"/>
      <c r="PHP240" s="140"/>
      <c r="PHQ240" s="140"/>
      <c r="PHR240" s="140"/>
      <c r="PHS240" s="140"/>
      <c r="PHT240" s="140"/>
      <c r="PHU240" s="140"/>
      <c r="PHV240" s="140"/>
      <c r="PHW240" s="140"/>
      <c r="PHX240" s="140"/>
      <c r="PHY240" s="140"/>
      <c r="PHZ240" s="140"/>
      <c r="PIA240" s="140"/>
      <c r="PIB240" s="140"/>
      <c r="PIC240" s="140"/>
      <c r="PID240" s="140"/>
      <c r="PIE240" s="140"/>
      <c r="PIF240" s="140"/>
      <c r="PIG240" s="140"/>
      <c r="PIH240" s="140"/>
      <c r="PII240" s="140"/>
      <c r="PIJ240" s="140"/>
      <c r="PIK240" s="140"/>
      <c r="PIL240" s="140"/>
      <c r="PIM240" s="140"/>
      <c r="PIN240" s="140"/>
      <c r="PIO240" s="140"/>
      <c r="PIP240" s="140"/>
      <c r="PIQ240" s="140"/>
      <c r="PIR240" s="140"/>
      <c r="PIS240" s="140"/>
      <c r="PIT240" s="140"/>
      <c r="PIU240" s="140"/>
      <c r="PIV240" s="140"/>
      <c r="PIW240" s="140"/>
      <c r="PIX240" s="140"/>
      <c r="PIY240" s="140"/>
      <c r="PIZ240" s="140"/>
      <c r="PJA240" s="140"/>
      <c r="PJB240" s="140"/>
      <c r="PJC240" s="140"/>
      <c r="PJD240" s="140"/>
      <c r="PJE240" s="140"/>
      <c r="PJF240" s="140"/>
      <c r="PJG240" s="140"/>
      <c r="PJH240" s="140"/>
      <c r="PJI240" s="140"/>
      <c r="PJJ240" s="140"/>
      <c r="PJK240" s="140"/>
      <c r="PJL240" s="140"/>
      <c r="PJM240" s="140"/>
      <c r="PJN240" s="140"/>
      <c r="PJO240" s="140"/>
      <c r="PJP240" s="140"/>
      <c r="PJQ240" s="140"/>
      <c r="PJR240" s="140"/>
      <c r="PJS240" s="140"/>
      <c r="PJT240" s="140"/>
      <c r="PJU240" s="140"/>
      <c r="PJV240" s="140"/>
      <c r="PJW240" s="140"/>
      <c r="PJX240" s="140"/>
      <c r="PJY240" s="140"/>
      <c r="PJZ240" s="140"/>
      <c r="PKA240" s="140"/>
      <c r="PKB240" s="140"/>
      <c r="PKC240" s="140"/>
      <c r="PKD240" s="140"/>
      <c r="PKE240" s="140"/>
      <c r="PKF240" s="140"/>
      <c r="PKG240" s="140"/>
      <c r="PKH240" s="140"/>
      <c r="PKI240" s="140"/>
      <c r="PKJ240" s="140"/>
      <c r="PKK240" s="140"/>
      <c r="PKL240" s="140"/>
      <c r="PKM240" s="140"/>
      <c r="PKN240" s="140"/>
      <c r="PKO240" s="140"/>
      <c r="PKP240" s="140"/>
      <c r="PKQ240" s="140"/>
      <c r="PKR240" s="140"/>
      <c r="PKS240" s="140"/>
      <c r="PKT240" s="140"/>
      <c r="PKU240" s="140"/>
      <c r="PKV240" s="140"/>
      <c r="PKW240" s="140"/>
      <c r="PKX240" s="140"/>
      <c r="PKY240" s="140"/>
      <c r="PKZ240" s="140"/>
      <c r="PLA240" s="140"/>
      <c r="PLB240" s="140"/>
      <c r="PLC240" s="140"/>
      <c r="PLD240" s="140"/>
      <c r="PLE240" s="140"/>
      <c r="PLF240" s="140"/>
      <c r="PLG240" s="140"/>
      <c r="PLH240" s="140"/>
      <c r="PLI240" s="140"/>
      <c r="PLJ240" s="140"/>
      <c r="PLK240" s="140"/>
      <c r="PLL240" s="140"/>
      <c r="PLM240" s="140"/>
      <c r="PLN240" s="140"/>
      <c r="PLO240" s="140"/>
      <c r="PLP240" s="140"/>
      <c r="PLQ240" s="140"/>
      <c r="PLR240" s="140"/>
      <c r="PLS240" s="140"/>
      <c r="PLT240" s="140"/>
      <c r="PLU240" s="140"/>
      <c r="PLV240" s="140"/>
      <c r="PLW240" s="140"/>
      <c r="PLX240" s="140"/>
      <c r="PLY240" s="140"/>
      <c r="PLZ240" s="140"/>
      <c r="PMA240" s="140"/>
      <c r="PMB240" s="140"/>
      <c r="PMC240" s="140"/>
      <c r="PMD240" s="140"/>
      <c r="PME240" s="140"/>
      <c r="PMF240" s="140"/>
      <c r="PMG240" s="140"/>
      <c r="PMH240" s="140"/>
      <c r="PMI240" s="140"/>
      <c r="PMJ240" s="140"/>
      <c r="PMK240" s="140"/>
      <c r="PML240" s="140"/>
      <c r="PMM240" s="140"/>
      <c r="PMN240" s="140"/>
      <c r="PMO240" s="140"/>
      <c r="PMP240" s="140"/>
      <c r="PMQ240" s="140"/>
      <c r="PMR240" s="140"/>
      <c r="PMS240" s="140"/>
      <c r="PMT240" s="140"/>
      <c r="PMU240" s="140"/>
      <c r="PMV240" s="140"/>
      <c r="PMW240" s="140"/>
      <c r="PMX240" s="140"/>
      <c r="PMY240" s="140"/>
      <c r="PMZ240" s="140"/>
      <c r="PNA240" s="140"/>
      <c r="PNB240" s="140"/>
      <c r="PNC240" s="140"/>
      <c r="PND240" s="140"/>
      <c r="PNE240" s="140"/>
      <c r="PNF240" s="140"/>
      <c r="PNG240" s="140"/>
      <c r="PNH240" s="140"/>
      <c r="PNI240" s="140"/>
      <c r="PNJ240" s="140"/>
      <c r="PNK240" s="140"/>
      <c r="PNL240" s="140"/>
      <c r="PNM240" s="140"/>
      <c r="PNN240" s="140"/>
      <c r="PNO240" s="140"/>
      <c r="PNP240" s="140"/>
      <c r="PNQ240" s="140"/>
      <c r="PNR240" s="140"/>
      <c r="PNS240" s="140"/>
      <c r="PNT240" s="140"/>
      <c r="PNU240" s="140"/>
      <c r="PNV240" s="140"/>
      <c r="PNW240" s="140"/>
      <c r="PNX240" s="140"/>
      <c r="PNY240" s="140"/>
      <c r="PNZ240" s="140"/>
      <c r="POA240" s="140"/>
      <c r="POB240" s="140"/>
      <c r="POC240" s="140"/>
      <c r="POD240" s="140"/>
      <c r="POE240" s="140"/>
      <c r="POF240" s="140"/>
      <c r="POG240" s="140"/>
      <c r="POH240" s="140"/>
      <c r="POI240" s="140"/>
      <c r="POJ240" s="140"/>
      <c r="POK240" s="140"/>
      <c r="POL240" s="140"/>
      <c r="POM240" s="140"/>
      <c r="PON240" s="140"/>
      <c r="POO240" s="140"/>
      <c r="POP240" s="140"/>
      <c r="POQ240" s="140"/>
      <c r="POR240" s="140"/>
      <c r="POS240" s="140"/>
      <c r="POT240" s="140"/>
      <c r="POU240" s="140"/>
      <c r="POV240" s="140"/>
      <c r="POW240" s="140"/>
      <c r="POX240" s="140"/>
      <c r="POY240" s="140"/>
      <c r="POZ240" s="140"/>
      <c r="PPA240" s="140"/>
      <c r="PPB240" s="140"/>
      <c r="PPC240" s="140"/>
      <c r="PPD240" s="140"/>
      <c r="PPE240" s="140"/>
      <c r="PPF240" s="140"/>
      <c r="PPG240" s="140"/>
      <c r="PPH240" s="140"/>
      <c r="PPI240" s="140"/>
      <c r="PPJ240" s="140"/>
      <c r="PPK240" s="140"/>
      <c r="PPL240" s="140"/>
      <c r="PPM240" s="140"/>
      <c r="PPN240" s="140"/>
      <c r="PPO240" s="140"/>
      <c r="PPP240" s="140"/>
      <c r="PPQ240" s="140"/>
      <c r="PPR240" s="140"/>
      <c r="PPS240" s="140"/>
      <c r="PPT240" s="140"/>
      <c r="PPU240" s="140"/>
      <c r="PPV240" s="140"/>
      <c r="PPW240" s="140"/>
      <c r="PPX240" s="140"/>
      <c r="PPY240" s="140"/>
      <c r="PPZ240" s="140"/>
      <c r="PQA240" s="140"/>
      <c r="PQB240" s="140"/>
      <c r="PQC240" s="140"/>
      <c r="PQD240" s="140"/>
      <c r="PQE240" s="140"/>
      <c r="PQF240" s="140"/>
      <c r="PQG240" s="140"/>
      <c r="PQH240" s="140"/>
      <c r="PQI240" s="140"/>
      <c r="PQJ240" s="140"/>
      <c r="PQK240" s="140"/>
      <c r="PQL240" s="140"/>
      <c r="PQM240" s="140"/>
      <c r="PQN240" s="140"/>
      <c r="PQO240" s="140"/>
      <c r="PQP240" s="140"/>
      <c r="PQQ240" s="140"/>
      <c r="PQR240" s="140"/>
      <c r="PQS240" s="140"/>
      <c r="PQT240" s="140"/>
      <c r="PQU240" s="140"/>
      <c r="PQV240" s="140"/>
      <c r="PQW240" s="140"/>
      <c r="PQX240" s="140"/>
      <c r="PQY240" s="140"/>
      <c r="PQZ240" s="140"/>
      <c r="PRA240" s="140"/>
      <c r="PRB240" s="140"/>
      <c r="PRC240" s="140"/>
      <c r="PRD240" s="140"/>
      <c r="PRE240" s="140"/>
      <c r="PRF240" s="140"/>
      <c r="PRG240" s="140"/>
      <c r="PRH240" s="140"/>
      <c r="PRI240" s="140"/>
      <c r="PRJ240" s="140"/>
      <c r="PRK240" s="140"/>
      <c r="PRL240" s="140"/>
      <c r="PRM240" s="140"/>
      <c r="PRN240" s="140"/>
      <c r="PRO240" s="140"/>
      <c r="PRP240" s="140"/>
      <c r="PRQ240" s="140"/>
      <c r="PRR240" s="140"/>
      <c r="PRS240" s="140"/>
      <c r="PRT240" s="140"/>
      <c r="PRU240" s="140"/>
      <c r="PRV240" s="140"/>
      <c r="PRW240" s="140"/>
      <c r="PRX240" s="140"/>
      <c r="PRY240" s="140"/>
      <c r="PRZ240" s="140"/>
      <c r="PSA240" s="140"/>
      <c r="PSB240" s="140"/>
      <c r="PSC240" s="140"/>
      <c r="PSD240" s="140"/>
      <c r="PSE240" s="140"/>
      <c r="PSF240" s="140"/>
      <c r="PSG240" s="140"/>
      <c r="PSH240" s="140"/>
      <c r="PSI240" s="140"/>
      <c r="PSJ240" s="140"/>
      <c r="PSK240" s="140"/>
      <c r="PSL240" s="140"/>
      <c r="PSM240" s="140"/>
      <c r="PSN240" s="140"/>
      <c r="PSO240" s="140"/>
      <c r="PSP240" s="140"/>
      <c r="PSQ240" s="140"/>
      <c r="PSR240" s="140"/>
      <c r="PSS240" s="140"/>
      <c r="PST240" s="140"/>
      <c r="PSU240" s="140"/>
      <c r="PSV240" s="140"/>
      <c r="PSW240" s="140"/>
      <c r="PSX240" s="140"/>
      <c r="PSY240" s="140"/>
      <c r="PSZ240" s="140"/>
      <c r="PTA240" s="140"/>
      <c r="PTB240" s="140"/>
      <c r="PTC240" s="140"/>
      <c r="PTD240" s="140"/>
      <c r="PTE240" s="140"/>
      <c r="PTF240" s="140"/>
      <c r="PTG240" s="140"/>
      <c r="PTH240" s="140"/>
      <c r="PTI240" s="140"/>
      <c r="PTJ240" s="140"/>
      <c r="PTK240" s="140"/>
      <c r="PTL240" s="140"/>
      <c r="PTM240" s="140"/>
      <c r="PTN240" s="140"/>
      <c r="PTO240" s="140"/>
      <c r="PTP240" s="140"/>
      <c r="PTQ240" s="140"/>
      <c r="PTR240" s="140"/>
      <c r="PTS240" s="140"/>
      <c r="PTT240" s="140"/>
      <c r="PTU240" s="140"/>
      <c r="PTV240" s="140"/>
      <c r="PTW240" s="140"/>
      <c r="PTX240" s="140"/>
      <c r="PTY240" s="140"/>
      <c r="PTZ240" s="140"/>
      <c r="PUA240" s="140"/>
      <c r="PUB240" s="140"/>
      <c r="PUC240" s="140"/>
      <c r="PUD240" s="140"/>
      <c r="PUE240" s="140"/>
      <c r="PUF240" s="140"/>
      <c r="PUG240" s="140"/>
      <c r="PUH240" s="140"/>
      <c r="PUI240" s="140"/>
      <c r="PUJ240" s="140"/>
      <c r="PUK240" s="140"/>
      <c r="PUL240" s="140"/>
      <c r="PUM240" s="140"/>
      <c r="PUN240" s="140"/>
      <c r="PUO240" s="140"/>
      <c r="PUP240" s="140"/>
      <c r="PUQ240" s="140"/>
      <c r="PUR240" s="140"/>
      <c r="PUS240" s="140"/>
      <c r="PUT240" s="140"/>
      <c r="PUU240" s="140"/>
      <c r="PUV240" s="140"/>
      <c r="PUW240" s="140"/>
      <c r="PUX240" s="140"/>
      <c r="PUY240" s="140"/>
      <c r="PUZ240" s="140"/>
      <c r="PVA240" s="140"/>
      <c r="PVB240" s="140"/>
      <c r="PVC240" s="140"/>
      <c r="PVD240" s="140"/>
      <c r="PVE240" s="140"/>
      <c r="PVF240" s="140"/>
      <c r="PVG240" s="140"/>
      <c r="PVH240" s="140"/>
      <c r="PVI240" s="140"/>
      <c r="PVJ240" s="140"/>
      <c r="PVK240" s="140"/>
      <c r="PVL240" s="140"/>
      <c r="PVM240" s="140"/>
      <c r="PVN240" s="140"/>
      <c r="PVO240" s="140"/>
      <c r="PVP240" s="140"/>
      <c r="PVQ240" s="140"/>
      <c r="PVR240" s="140"/>
      <c r="PVS240" s="140"/>
      <c r="PVT240" s="140"/>
      <c r="PVU240" s="140"/>
      <c r="PVV240" s="140"/>
      <c r="PVW240" s="140"/>
      <c r="PVX240" s="140"/>
      <c r="PVY240" s="140"/>
      <c r="PVZ240" s="140"/>
      <c r="PWA240" s="140"/>
      <c r="PWB240" s="140"/>
      <c r="PWC240" s="140"/>
      <c r="PWD240" s="140"/>
      <c r="PWE240" s="140"/>
      <c r="PWF240" s="140"/>
      <c r="PWG240" s="140"/>
      <c r="PWH240" s="140"/>
      <c r="PWI240" s="140"/>
      <c r="PWJ240" s="140"/>
      <c r="PWK240" s="140"/>
      <c r="PWL240" s="140"/>
      <c r="PWM240" s="140"/>
      <c r="PWN240" s="140"/>
      <c r="PWO240" s="140"/>
      <c r="PWP240" s="140"/>
      <c r="PWQ240" s="140"/>
      <c r="PWR240" s="140"/>
      <c r="PWS240" s="140"/>
      <c r="PWT240" s="140"/>
      <c r="PWU240" s="140"/>
      <c r="PWV240" s="140"/>
      <c r="PWW240" s="140"/>
      <c r="PWX240" s="140"/>
      <c r="PWY240" s="140"/>
      <c r="PWZ240" s="140"/>
      <c r="PXA240" s="140"/>
      <c r="PXB240" s="140"/>
      <c r="PXC240" s="140"/>
      <c r="PXD240" s="140"/>
      <c r="PXE240" s="140"/>
      <c r="PXF240" s="140"/>
      <c r="PXG240" s="140"/>
      <c r="PXH240" s="140"/>
      <c r="PXI240" s="140"/>
      <c r="PXJ240" s="140"/>
      <c r="PXK240" s="140"/>
      <c r="PXL240" s="140"/>
      <c r="PXM240" s="140"/>
      <c r="PXN240" s="140"/>
      <c r="PXO240" s="140"/>
      <c r="PXP240" s="140"/>
      <c r="PXQ240" s="140"/>
      <c r="PXR240" s="140"/>
      <c r="PXS240" s="140"/>
      <c r="PXT240" s="140"/>
      <c r="PXU240" s="140"/>
      <c r="PXV240" s="140"/>
      <c r="PXW240" s="140"/>
      <c r="PXX240" s="140"/>
      <c r="PXY240" s="140"/>
      <c r="PXZ240" s="140"/>
      <c r="PYA240" s="140"/>
      <c r="PYB240" s="140"/>
      <c r="PYC240" s="140"/>
      <c r="PYD240" s="140"/>
      <c r="PYE240" s="140"/>
      <c r="PYF240" s="140"/>
      <c r="PYG240" s="140"/>
      <c r="PYH240" s="140"/>
      <c r="PYI240" s="140"/>
      <c r="PYJ240" s="140"/>
      <c r="PYK240" s="140"/>
      <c r="PYL240" s="140"/>
      <c r="PYM240" s="140"/>
      <c r="PYN240" s="140"/>
      <c r="PYO240" s="140"/>
      <c r="PYP240" s="140"/>
      <c r="PYQ240" s="140"/>
      <c r="PYR240" s="140"/>
      <c r="PYS240" s="140"/>
      <c r="PYT240" s="140"/>
      <c r="PYU240" s="140"/>
      <c r="PYV240" s="140"/>
      <c r="PYW240" s="140"/>
      <c r="PYX240" s="140"/>
      <c r="PYY240" s="140"/>
      <c r="PYZ240" s="140"/>
      <c r="PZA240" s="140"/>
      <c r="PZB240" s="140"/>
      <c r="PZC240" s="140"/>
      <c r="PZD240" s="140"/>
      <c r="PZE240" s="140"/>
      <c r="PZF240" s="140"/>
      <c r="PZG240" s="140"/>
      <c r="PZH240" s="140"/>
      <c r="PZI240" s="140"/>
      <c r="PZJ240" s="140"/>
      <c r="PZK240" s="140"/>
      <c r="PZL240" s="140"/>
      <c r="PZM240" s="140"/>
      <c r="PZN240" s="140"/>
      <c r="PZO240" s="140"/>
      <c r="PZP240" s="140"/>
      <c r="PZQ240" s="140"/>
      <c r="PZR240" s="140"/>
      <c r="PZS240" s="140"/>
      <c r="PZT240" s="140"/>
      <c r="PZU240" s="140"/>
      <c r="PZV240" s="140"/>
      <c r="PZW240" s="140"/>
      <c r="PZX240" s="140"/>
      <c r="PZY240" s="140"/>
      <c r="PZZ240" s="140"/>
      <c r="QAA240" s="140"/>
      <c r="QAB240" s="140"/>
      <c r="QAC240" s="140"/>
      <c r="QAD240" s="140"/>
      <c r="QAE240" s="140"/>
      <c r="QAF240" s="140"/>
      <c r="QAG240" s="140"/>
      <c r="QAH240" s="140"/>
      <c r="QAI240" s="140"/>
      <c r="QAJ240" s="140"/>
      <c r="QAK240" s="140"/>
      <c r="QAL240" s="140"/>
      <c r="QAM240" s="140"/>
      <c r="QAN240" s="140"/>
      <c r="QAO240" s="140"/>
      <c r="QAP240" s="140"/>
      <c r="QAQ240" s="140"/>
      <c r="QAR240" s="140"/>
      <c r="QAS240" s="140"/>
      <c r="QAT240" s="140"/>
      <c r="QAU240" s="140"/>
      <c r="QAV240" s="140"/>
      <c r="QAW240" s="140"/>
      <c r="QAX240" s="140"/>
      <c r="QAY240" s="140"/>
      <c r="QAZ240" s="140"/>
      <c r="QBA240" s="140"/>
      <c r="QBB240" s="140"/>
      <c r="QBC240" s="140"/>
      <c r="QBD240" s="140"/>
      <c r="QBE240" s="140"/>
      <c r="QBF240" s="140"/>
      <c r="QBG240" s="140"/>
      <c r="QBH240" s="140"/>
      <c r="QBI240" s="140"/>
      <c r="QBJ240" s="140"/>
      <c r="QBK240" s="140"/>
      <c r="QBL240" s="140"/>
      <c r="QBM240" s="140"/>
      <c r="QBN240" s="140"/>
      <c r="QBO240" s="140"/>
      <c r="QBP240" s="140"/>
      <c r="QBQ240" s="140"/>
      <c r="QBR240" s="140"/>
      <c r="QBS240" s="140"/>
      <c r="QBT240" s="140"/>
      <c r="QBU240" s="140"/>
      <c r="QBV240" s="140"/>
      <c r="QBW240" s="140"/>
      <c r="QBX240" s="140"/>
      <c r="QBY240" s="140"/>
      <c r="QBZ240" s="140"/>
      <c r="QCA240" s="140"/>
      <c r="QCB240" s="140"/>
      <c r="QCC240" s="140"/>
      <c r="QCD240" s="140"/>
      <c r="QCE240" s="140"/>
      <c r="QCF240" s="140"/>
      <c r="QCG240" s="140"/>
      <c r="QCH240" s="140"/>
      <c r="QCI240" s="140"/>
      <c r="QCJ240" s="140"/>
      <c r="QCK240" s="140"/>
      <c r="QCL240" s="140"/>
      <c r="QCM240" s="140"/>
      <c r="QCN240" s="140"/>
      <c r="QCO240" s="140"/>
      <c r="QCP240" s="140"/>
      <c r="QCQ240" s="140"/>
      <c r="QCR240" s="140"/>
      <c r="QCS240" s="140"/>
      <c r="QCT240" s="140"/>
      <c r="QCU240" s="140"/>
      <c r="QCV240" s="140"/>
      <c r="QCW240" s="140"/>
      <c r="QCX240" s="140"/>
      <c r="QCY240" s="140"/>
      <c r="QCZ240" s="140"/>
      <c r="QDA240" s="140"/>
      <c r="QDB240" s="140"/>
      <c r="QDC240" s="140"/>
      <c r="QDD240" s="140"/>
      <c r="QDE240" s="140"/>
      <c r="QDF240" s="140"/>
      <c r="QDG240" s="140"/>
      <c r="QDH240" s="140"/>
      <c r="QDI240" s="140"/>
      <c r="QDJ240" s="140"/>
      <c r="QDK240" s="140"/>
      <c r="QDL240" s="140"/>
      <c r="QDM240" s="140"/>
      <c r="QDN240" s="140"/>
      <c r="QDO240" s="140"/>
      <c r="QDP240" s="140"/>
      <c r="QDQ240" s="140"/>
      <c r="QDR240" s="140"/>
      <c r="QDS240" s="140"/>
      <c r="QDT240" s="140"/>
      <c r="QDU240" s="140"/>
      <c r="QDV240" s="140"/>
      <c r="QDW240" s="140"/>
      <c r="QDX240" s="140"/>
      <c r="QDY240" s="140"/>
      <c r="QDZ240" s="140"/>
      <c r="QEA240" s="140"/>
      <c r="QEB240" s="140"/>
      <c r="QEC240" s="140"/>
      <c r="QED240" s="140"/>
      <c r="QEE240" s="140"/>
      <c r="QEF240" s="140"/>
      <c r="QEG240" s="140"/>
      <c r="QEH240" s="140"/>
      <c r="QEI240" s="140"/>
      <c r="QEJ240" s="140"/>
      <c r="QEK240" s="140"/>
      <c r="QEL240" s="140"/>
      <c r="QEM240" s="140"/>
      <c r="QEN240" s="140"/>
      <c r="QEO240" s="140"/>
      <c r="QEP240" s="140"/>
      <c r="QEQ240" s="140"/>
      <c r="QER240" s="140"/>
      <c r="QES240" s="140"/>
      <c r="QET240" s="140"/>
      <c r="QEU240" s="140"/>
      <c r="QEV240" s="140"/>
      <c r="QEW240" s="140"/>
      <c r="QEX240" s="140"/>
      <c r="QEY240" s="140"/>
      <c r="QEZ240" s="140"/>
      <c r="QFA240" s="140"/>
      <c r="QFB240" s="140"/>
      <c r="QFC240" s="140"/>
      <c r="QFD240" s="140"/>
      <c r="QFE240" s="140"/>
      <c r="QFF240" s="140"/>
      <c r="QFG240" s="140"/>
      <c r="QFH240" s="140"/>
      <c r="QFI240" s="140"/>
      <c r="QFJ240" s="140"/>
      <c r="QFK240" s="140"/>
      <c r="QFL240" s="140"/>
      <c r="QFM240" s="140"/>
      <c r="QFN240" s="140"/>
      <c r="QFO240" s="140"/>
      <c r="QFP240" s="140"/>
      <c r="QFQ240" s="140"/>
      <c r="QFR240" s="140"/>
      <c r="QFS240" s="140"/>
      <c r="QFT240" s="140"/>
      <c r="QFU240" s="140"/>
      <c r="QFV240" s="140"/>
      <c r="QFW240" s="140"/>
      <c r="QFX240" s="140"/>
      <c r="QFY240" s="140"/>
      <c r="QFZ240" s="140"/>
      <c r="QGA240" s="140"/>
      <c r="QGB240" s="140"/>
      <c r="QGC240" s="140"/>
      <c r="QGD240" s="140"/>
      <c r="QGE240" s="140"/>
      <c r="QGF240" s="140"/>
      <c r="QGG240" s="140"/>
      <c r="QGH240" s="140"/>
      <c r="QGI240" s="140"/>
      <c r="QGJ240" s="140"/>
      <c r="QGK240" s="140"/>
      <c r="QGL240" s="140"/>
      <c r="QGM240" s="140"/>
      <c r="QGN240" s="140"/>
      <c r="QGO240" s="140"/>
      <c r="QGP240" s="140"/>
      <c r="QGQ240" s="140"/>
      <c r="QGR240" s="140"/>
      <c r="QGS240" s="140"/>
      <c r="QGT240" s="140"/>
      <c r="QGU240" s="140"/>
      <c r="QGV240" s="140"/>
      <c r="QGW240" s="140"/>
      <c r="QGX240" s="140"/>
      <c r="QGY240" s="140"/>
      <c r="QGZ240" s="140"/>
      <c r="QHA240" s="140"/>
      <c r="QHB240" s="140"/>
      <c r="QHC240" s="140"/>
      <c r="QHD240" s="140"/>
      <c r="QHE240" s="140"/>
      <c r="QHF240" s="140"/>
      <c r="QHG240" s="140"/>
      <c r="QHH240" s="140"/>
      <c r="QHI240" s="140"/>
      <c r="QHJ240" s="140"/>
      <c r="QHK240" s="140"/>
      <c r="QHL240" s="140"/>
      <c r="QHM240" s="140"/>
      <c r="QHN240" s="140"/>
      <c r="QHO240" s="140"/>
      <c r="QHP240" s="140"/>
      <c r="QHQ240" s="140"/>
      <c r="QHR240" s="140"/>
      <c r="QHS240" s="140"/>
      <c r="QHT240" s="140"/>
      <c r="QHU240" s="140"/>
      <c r="QHV240" s="140"/>
      <c r="QHW240" s="140"/>
      <c r="QHX240" s="140"/>
      <c r="QHY240" s="140"/>
      <c r="QHZ240" s="140"/>
      <c r="QIA240" s="140"/>
      <c r="QIB240" s="140"/>
      <c r="QIC240" s="140"/>
      <c r="QID240" s="140"/>
      <c r="QIE240" s="140"/>
      <c r="QIF240" s="140"/>
      <c r="QIG240" s="140"/>
      <c r="QIH240" s="140"/>
      <c r="QII240" s="140"/>
      <c r="QIJ240" s="140"/>
      <c r="QIK240" s="140"/>
      <c r="QIL240" s="140"/>
      <c r="QIM240" s="140"/>
      <c r="QIN240" s="140"/>
      <c r="QIO240" s="140"/>
      <c r="QIP240" s="140"/>
      <c r="QIQ240" s="140"/>
      <c r="QIR240" s="140"/>
      <c r="QIS240" s="140"/>
      <c r="QIT240" s="140"/>
      <c r="QIU240" s="140"/>
      <c r="QIV240" s="140"/>
      <c r="QIW240" s="140"/>
      <c r="QIX240" s="140"/>
      <c r="QIY240" s="140"/>
      <c r="QIZ240" s="140"/>
      <c r="QJA240" s="140"/>
      <c r="QJB240" s="140"/>
      <c r="QJC240" s="140"/>
      <c r="QJD240" s="140"/>
      <c r="QJE240" s="140"/>
      <c r="QJF240" s="140"/>
      <c r="QJG240" s="140"/>
      <c r="QJH240" s="140"/>
      <c r="QJI240" s="140"/>
      <c r="QJJ240" s="140"/>
      <c r="QJK240" s="140"/>
      <c r="QJL240" s="140"/>
      <c r="QJM240" s="140"/>
      <c r="QJN240" s="140"/>
      <c r="QJO240" s="140"/>
      <c r="QJP240" s="140"/>
      <c r="QJQ240" s="140"/>
      <c r="QJR240" s="140"/>
      <c r="QJS240" s="140"/>
      <c r="QJT240" s="140"/>
      <c r="QJU240" s="140"/>
      <c r="QJV240" s="140"/>
      <c r="QJW240" s="140"/>
      <c r="QJX240" s="140"/>
      <c r="QJY240" s="140"/>
      <c r="QJZ240" s="140"/>
      <c r="QKA240" s="140"/>
      <c r="QKB240" s="140"/>
      <c r="QKC240" s="140"/>
      <c r="QKD240" s="140"/>
      <c r="QKE240" s="140"/>
      <c r="QKF240" s="140"/>
      <c r="QKG240" s="140"/>
      <c r="QKH240" s="140"/>
      <c r="QKI240" s="140"/>
      <c r="QKJ240" s="140"/>
      <c r="QKK240" s="140"/>
      <c r="QKL240" s="140"/>
      <c r="QKM240" s="140"/>
      <c r="QKN240" s="140"/>
      <c r="QKO240" s="140"/>
      <c r="QKP240" s="140"/>
      <c r="QKQ240" s="140"/>
      <c r="QKR240" s="140"/>
      <c r="QKS240" s="140"/>
      <c r="QKT240" s="140"/>
      <c r="QKU240" s="140"/>
      <c r="QKV240" s="140"/>
      <c r="QKW240" s="140"/>
      <c r="QKX240" s="140"/>
      <c r="QKY240" s="140"/>
      <c r="QKZ240" s="140"/>
      <c r="QLA240" s="140"/>
      <c r="QLB240" s="140"/>
      <c r="QLC240" s="140"/>
      <c r="QLD240" s="140"/>
      <c r="QLE240" s="140"/>
      <c r="QLF240" s="140"/>
      <c r="QLG240" s="140"/>
      <c r="QLH240" s="140"/>
      <c r="QLI240" s="140"/>
      <c r="QLJ240" s="140"/>
      <c r="QLK240" s="140"/>
      <c r="QLL240" s="140"/>
      <c r="QLM240" s="140"/>
      <c r="QLN240" s="140"/>
      <c r="QLO240" s="140"/>
      <c r="QLP240" s="140"/>
      <c r="QLQ240" s="140"/>
      <c r="QLR240" s="140"/>
      <c r="QLS240" s="140"/>
      <c r="QLT240" s="140"/>
      <c r="QLU240" s="140"/>
      <c r="QLV240" s="140"/>
      <c r="QLW240" s="140"/>
      <c r="QLX240" s="140"/>
      <c r="QLY240" s="140"/>
      <c r="QLZ240" s="140"/>
      <c r="QMA240" s="140"/>
      <c r="QMB240" s="140"/>
      <c r="QMC240" s="140"/>
      <c r="QMD240" s="140"/>
      <c r="QME240" s="140"/>
      <c r="QMF240" s="140"/>
      <c r="QMG240" s="140"/>
      <c r="QMH240" s="140"/>
      <c r="QMI240" s="140"/>
      <c r="QMJ240" s="140"/>
      <c r="QMK240" s="140"/>
      <c r="QML240" s="140"/>
      <c r="QMM240" s="140"/>
      <c r="QMN240" s="140"/>
      <c r="QMO240" s="140"/>
      <c r="QMP240" s="140"/>
      <c r="QMQ240" s="140"/>
      <c r="QMR240" s="140"/>
      <c r="QMS240" s="140"/>
      <c r="QMT240" s="140"/>
      <c r="QMU240" s="140"/>
      <c r="QMV240" s="140"/>
      <c r="QMW240" s="140"/>
      <c r="QMX240" s="140"/>
      <c r="QMY240" s="140"/>
      <c r="QMZ240" s="140"/>
      <c r="QNA240" s="140"/>
      <c r="QNB240" s="140"/>
      <c r="QNC240" s="140"/>
      <c r="QND240" s="140"/>
      <c r="QNE240" s="140"/>
      <c r="QNF240" s="140"/>
      <c r="QNG240" s="140"/>
      <c r="QNH240" s="140"/>
      <c r="QNI240" s="140"/>
      <c r="QNJ240" s="140"/>
      <c r="QNK240" s="140"/>
      <c r="QNL240" s="140"/>
      <c r="QNM240" s="140"/>
      <c r="QNN240" s="140"/>
      <c r="QNO240" s="140"/>
      <c r="QNP240" s="140"/>
      <c r="QNQ240" s="140"/>
      <c r="QNR240" s="140"/>
      <c r="QNS240" s="140"/>
      <c r="QNT240" s="140"/>
      <c r="QNU240" s="140"/>
      <c r="QNV240" s="140"/>
      <c r="QNW240" s="140"/>
      <c r="QNX240" s="140"/>
      <c r="QNY240" s="140"/>
      <c r="QNZ240" s="140"/>
      <c r="QOA240" s="140"/>
      <c r="QOB240" s="140"/>
      <c r="QOC240" s="140"/>
      <c r="QOD240" s="140"/>
      <c r="QOE240" s="140"/>
      <c r="QOF240" s="140"/>
      <c r="QOG240" s="140"/>
      <c r="QOH240" s="140"/>
      <c r="QOI240" s="140"/>
      <c r="QOJ240" s="140"/>
      <c r="QOK240" s="140"/>
      <c r="QOL240" s="140"/>
      <c r="QOM240" s="140"/>
      <c r="QON240" s="140"/>
      <c r="QOO240" s="140"/>
      <c r="QOP240" s="140"/>
      <c r="QOQ240" s="140"/>
      <c r="QOR240" s="140"/>
      <c r="QOS240" s="140"/>
      <c r="QOT240" s="140"/>
      <c r="QOU240" s="140"/>
      <c r="QOV240" s="140"/>
      <c r="QOW240" s="140"/>
      <c r="QOX240" s="140"/>
      <c r="QOY240" s="140"/>
      <c r="QOZ240" s="140"/>
      <c r="QPA240" s="140"/>
      <c r="QPB240" s="140"/>
      <c r="QPC240" s="140"/>
      <c r="QPD240" s="140"/>
      <c r="QPE240" s="140"/>
      <c r="QPF240" s="140"/>
      <c r="QPG240" s="140"/>
      <c r="QPH240" s="140"/>
      <c r="QPI240" s="140"/>
      <c r="QPJ240" s="140"/>
      <c r="QPK240" s="140"/>
      <c r="QPL240" s="140"/>
      <c r="QPM240" s="140"/>
      <c r="QPN240" s="140"/>
      <c r="QPO240" s="140"/>
      <c r="QPP240" s="140"/>
      <c r="QPQ240" s="140"/>
      <c r="QPR240" s="140"/>
      <c r="QPS240" s="140"/>
      <c r="QPT240" s="140"/>
      <c r="QPU240" s="140"/>
      <c r="QPV240" s="140"/>
      <c r="QPW240" s="140"/>
      <c r="QPX240" s="140"/>
      <c r="QPY240" s="140"/>
      <c r="QPZ240" s="140"/>
      <c r="QQA240" s="140"/>
      <c r="QQB240" s="140"/>
      <c r="QQC240" s="140"/>
      <c r="QQD240" s="140"/>
      <c r="QQE240" s="140"/>
      <c r="QQF240" s="140"/>
      <c r="QQG240" s="140"/>
      <c r="QQH240" s="140"/>
      <c r="QQI240" s="140"/>
      <c r="QQJ240" s="140"/>
      <c r="QQK240" s="140"/>
      <c r="QQL240" s="140"/>
      <c r="QQM240" s="140"/>
      <c r="QQN240" s="140"/>
      <c r="QQO240" s="140"/>
      <c r="QQP240" s="140"/>
      <c r="QQQ240" s="140"/>
      <c r="QQR240" s="140"/>
      <c r="QQS240" s="140"/>
      <c r="QQT240" s="140"/>
      <c r="QQU240" s="140"/>
      <c r="QQV240" s="140"/>
      <c r="QQW240" s="140"/>
      <c r="QQX240" s="140"/>
      <c r="QQY240" s="140"/>
      <c r="QQZ240" s="140"/>
      <c r="QRA240" s="140"/>
      <c r="QRB240" s="140"/>
      <c r="QRC240" s="140"/>
      <c r="QRD240" s="140"/>
      <c r="QRE240" s="140"/>
      <c r="QRF240" s="140"/>
      <c r="QRG240" s="140"/>
      <c r="QRH240" s="140"/>
      <c r="QRI240" s="140"/>
      <c r="QRJ240" s="140"/>
      <c r="QRK240" s="140"/>
      <c r="QRL240" s="140"/>
      <c r="QRM240" s="140"/>
      <c r="QRN240" s="140"/>
      <c r="QRO240" s="140"/>
      <c r="QRP240" s="140"/>
      <c r="QRQ240" s="140"/>
      <c r="QRR240" s="140"/>
      <c r="QRS240" s="140"/>
      <c r="QRT240" s="140"/>
      <c r="QRU240" s="140"/>
      <c r="QRV240" s="140"/>
      <c r="QRW240" s="140"/>
      <c r="QRX240" s="140"/>
      <c r="QRY240" s="140"/>
      <c r="QRZ240" s="140"/>
      <c r="QSA240" s="140"/>
      <c r="QSB240" s="140"/>
      <c r="QSC240" s="140"/>
      <c r="QSD240" s="140"/>
      <c r="QSE240" s="140"/>
      <c r="QSF240" s="140"/>
      <c r="QSG240" s="140"/>
      <c r="QSH240" s="140"/>
      <c r="QSI240" s="140"/>
      <c r="QSJ240" s="140"/>
      <c r="QSK240" s="140"/>
      <c r="QSL240" s="140"/>
      <c r="QSM240" s="140"/>
      <c r="QSN240" s="140"/>
      <c r="QSO240" s="140"/>
      <c r="QSP240" s="140"/>
      <c r="QSQ240" s="140"/>
      <c r="QSR240" s="140"/>
      <c r="QSS240" s="140"/>
      <c r="QST240" s="140"/>
      <c r="QSU240" s="140"/>
      <c r="QSV240" s="140"/>
      <c r="QSW240" s="140"/>
      <c r="QSX240" s="140"/>
      <c r="QSY240" s="140"/>
      <c r="QSZ240" s="140"/>
      <c r="QTA240" s="140"/>
      <c r="QTB240" s="140"/>
      <c r="QTC240" s="140"/>
      <c r="QTD240" s="140"/>
      <c r="QTE240" s="140"/>
      <c r="QTF240" s="140"/>
      <c r="QTG240" s="140"/>
      <c r="QTH240" s="140"/>
      <c r="QTI240" s="140"/>
      <c r="QTJ240" s="140"/>
      <c r="QTK240" s="140"/>
      <c r="QTL240" s="140"/>
      <c r="QTM240" s="140"/>
      <c r="QTN240" s="140"/>
      <c r="QTO240" s="140"/>
      <c r="QTP240" s="140"/>
      <c r="QTQ240" s="140"/>
      <c r="QTR240" s="140"/>
      <c r="QTS240" s="140"/>
      <c r="QTT240" s="140"/>
      <c r="QTU240" s="140"/>
      <c r="QTV240" s="140"/>
      <c r="QTW240" s="140"/>
      <c r="QTX240" s="140"/>
      <c r="QTY240" s="140"/>
      <c r="QTZ240" s="140"/>
      <c r="QUA240" s="140"/>
      <c r="QUB240" s="140"/>
      <c r="QUC240" s="140"/>
      <c r="QUD240" s="140"/>
      <c r="QUE240" s="140"/>
      <c r="QUF240" s="140"/>
      <c r="QUG240" s="140"/>
      <c r="QUH240" s="140"/>
      <c r="QUI240" s="140"/>
      <c r="QUJ240" s="140"/>
      <c r="QUK240" s="140"/>
      <c r="QUL240" s="140"/>
      <c r="QUM240" s="140"/>
      <c r="QUN240" s="140"/>
      <c r="QUO240" s="140"/>
      <c r="QUP240" s="140"/>
      <c r="QUQ240" s="140"/>
      <c r="QUR240" s="140"/>
      <c r="QUS240" s="140"/>
      <c r="QUT240" s="140"/>
      <c r="QUU240" s="140"/>
      <c r="QUV240" s="140"/>
      <c r="QUW240" s="140"/>
      <c r="QUX240" s="140"/>
      <c r="QUY240" s="140"/>
      <c r="QUZ240" s="140"/>
      <c r="QVA240" s="140"/>
      <c r="QVB240" s="140"/>
      <c r="QVC240" s="140"/>
      <c r="QVD240" s="140"/>
      <c r="QVE240" s="140"/>
      <c r="QVF240" s="140"/>
      <c r="QVG240" s="140"/>
      <c r="QVH240" s="140"/>
      <c r="QVI240" s="140"/>
      <c r="QVJ240" s="140"/>
      <c r="QVK240" s="140"/>
      <c r="QVL240" s="140"/>
      <c r="QVM240" s="140"/>
      <c r="QVN240" s="140"/>
      <c r="QVO240" s="140"/>
      <c r="QVP240" s="140"/>
      <c r="QVQ240" s="140"/>
      <c r="QVR240" s="140"/>
      <c r="QVS240" s="140"/>
      <c r="QVT240" s="140"/>
      <c r="QVU240" s="140"/>
      <c r="QVV240" s="140"/>
      <c r="QVW240" s="140"/>
      <c r="QVX240" s="140"/>
      <c r="QVY240" s="140"/>
      <c r="QVZ240" s="140"/>
      <c r="QWA240" s="140"/>
      <c r="QWB240" s="140"/>
      <c r="QWC240" s="140"/>
      <c r="QWD240" s="140"/>
      <c r="QWE240" s="140"/>
      <c r="QWF240" s="140"/>
      <c r="QWG240" s="140"/>
      <c r="QWH240" s="140"/>
      <c r="QWI240" s="140"/>
      <c r="QWJ240" s="140"/>
      <c r="QWK240" s="140"/>
      <c r="QWL240" s="140"/>
      <c r="QWM240" s="140"/>
      <c r="QWN240" s="140"/>
      <c r="QWO240" s="140"/>
      <c r="QWP240" s="140"/>
      <c r="QWQ240" s="140"/>
      <c r="QWR240" s="140"/>
      <c r="QWS240" s="140"/>
      <c r="QWT240" s="140"/>
      <c r="QWU240" s="140"/>
      <c r="QWV240" s="140"/>
      <c r="QWW240" s="140"/>
      <c r="QWX240" s="140"/>
      <c r="QWY240" s="140"/>
      <c r="QWZ240" s="140"/>
      <c r="QXA240" s="140"/>
      <c r="QXB240" s="140"/>
      <c r="QXC240" s="140"/>
      <c r="QXD240" s="140"/>
      <c r="QXE240" s="140"/>
      <c r="QXF240" s="140"/>
      <c r="QXG240" s="140"/>
      <c r="QXH240" s="140"/>
      <c r="QXI240" s="140"/>
      <c r="QXJ240" s="140"/>
      <c r="QXK240" s="140"/>
      <c r="QXL240" s="140"/>
      <c r="QXM240" s="140"/>
      <c r="QXN240" s="140"/>
      <c r="QXO240" s="140"/>
      <c r="QXP240" s="140"/>
      <c r="QXQ240" s="140"/>
      <c r="QXR240" s="140"/>
      <c r="QXS240" s="140"/>
      <c r="QXT240" s="140"/>
      <c r="QXU240" s="140"/>
      <c r="QXV240" s="140"/>
      <c r="QXW240" s="140"/>
      <c r="QXX240" s="140"/>
      <c r="QXY240" s="140"/>
      <c r="QXZ240" s="140"/>
      <c r="QYA240" s="140"/>
      <c r="QYB240" s="140"/>
      <c r="QYC240" s="140"/>
      <c r="QYD240" s="140"/>
      <c r="QYE240" s="140"/>
      <c r="QYF240" s="140"/>
      <c r="QYG240" s="140"/>
      <c r="QYH240" s="140"/>
      <c r="QYI240" s="140"/>
      <c r="QYJ240" s="140"/>
      <c r="QYK240" s="140"/>
      <c r="QYL240" s="140"/>
      <c r="QYM240" s="140"/>
      <c r="QYN240" s="140"/>
      <c r="QYO240" s="140"/>
      <c r="QYP240" s="140"/>
      <c r="QYQ240" s="140"/>
      <c r="QYR240" s="140"/>
      <c r="QYS240" s="140"/>
      <c r="QYT240" s="140"/>
      <c r="QYU240" s="140"/>
      <c r="QYV240" s="140"/>
      <c r="QYW240" s="140"/>
      <c r="QYX240" s="140"/>
      <c r="QYY240" s="140"/>
      <c r="QYZ240" s="140"/>
      <c r="QZA240" s="140"/>
      <c r="QZB240" s="140"/>
      <c r="QZC240" s="140"/>
      <c r="QZD240" s="140"/>
      <c r="QZE240" s="140"/>
      <c r="QZF240" s="140"/>
      <c r="QZG240" s="140"/>
      <c r="QZH240" s="140"/>
      <c r="QZI240" s="140"/>
      <c r="QZJ240" s="140"/>
      <c r="QZK240" s="140"/>
      <c r="QZL240" s="140"/>
      <c r="QZM240" s="140"/>
      <c r="QZN240" s="140"/>
      <c r="QZO240" s="140"/>
      <c r="QZP240" s="140"/>
      <c r="QZQ240" s="140"/>
      <c r="QZR240" s="140"/>
      <c r="QZS240" s="140"/>
      <c r="QZT240" s="140"/>
      <c r="QZU240" s="140"/>
      <c r="QZV240" s="140"/>
      <c r="QZW240" s="140"/>
      <c r="QZX240" s="140"/>
      <c r="QZY240" s="140"/>
      <c r="QZZ240" s="140"/>
      <c r="RAA240" s="140"/>
      <c r="RAB240" s="140"/>
      <c r="RAC240" s="140"/>
      <c r="RAD240" s="140"/>
      <c r="RAE240" s="140"/>
      <c r="RAF240" s="140"/>
      <c r="RAG240" s="140"/>
      <c r="RAH240" s="140"/>
      <c r="RAI240" s="140"/>
      <c r="RAJ240" s="140"/>
      <c r="RAK240" s="140"/>
      <c r="RAL240" s="140"/>
      <c r="RAM240" s="140"/>
      <c r="RAN240" s="140"/>
      <c r="RAO240" s="140"/>
      <c r="RAP240" s="140"/>
      <c r="RAQ240" s="140"/>
      <c r="RAR240" s="140"/>
      <c r="RAS240" s="140"/>
      <c r="RAT240" s="140"/>
      <c r="RAU240" s="140"/>
      <c r="RAV240" s="140"/>
      <c r="RAW240" s="140"/>
      <c r="RAX240" s="140"/>
      <c r="RAY240" s="140"/>
      <c r="RAZ240" s="140"/>
      <c r="RBA240" s="140"/>
      <c r="RBB240" s="140"/>
      <c r="RBC240" s="140"/>
      <c r="RBD240" s="140"/>
      <c r="RBE240" s="140"/>
      <c r="RBF240" s="140"/>
      <c r="RBG240" s="140"/>
      <c r="RBH240" s="140"/>
      <c r="RBI240" s="140"/>
      <c r="RBJ240" s="140"/>
      <c r="RBK240" s="140"/>
      <c r="RBL240" s="140"/>
      <c r="RBM240" s="140"/>
      <c r="RBN240" s="140"/>
      <c r="RBO240" s="140"/>
      <c r="RBP240" s="140"/>
      <c r="RBQ240" s="140"/>
      <c r="RBR240" s="140"/>
      <c r="RBS240" s="140"/>
      <c r="RBT240" s="140"/>
      <c r="RBU240" s="140"/>
      <c r="RBV240" s="140"/>
      <c r="RBW240" s="140"/>
      <c r="RBX240" s="140"/>
      <c r="RBY240" s="140"/>
      <c r="RBZ240" s="140"/>
      <c r="RCA240" s="140"/>
      <c r="RCB240" s="140"/>
      <c r="RCC240" s="140"/>
      <c r="RCD240" s="140"/>
      <c r="RCE240" s="140"/>
      <c r="RCF240" s="140"/>
      <c r="RCG240" s="140"/>
      <c r="RCH240" s="140"/>
      <c r="RCI240" s="140"/>
      <c r="RCJ240" s="140"/>
      <c r="RCK240" s="140"/>
      <c r="RCL240" s="140"/>
      <c r="RCM240" s="140"/>
      <c r="RCN240" s="140"/>
      <c r="RCO240" s="140"/>
      <c r="RCP240" s="140"/>
      <c r="RCQ240" s="140"/>
      <c r="RCR240" s="140"/>
      <c r="RCS240" s="140"/>
      <c r="RCT240" s="140"/>
      <c r="RCU240" s="140"/>
      <c r="RCV240" s="140"/>
      <c r="RCW240" s="140"/>
      <c r="RCX240" s="140"/>
      <c r="RCY240" s="140"/>
      <c r="RCZ240" s="140"/>
      <c r="RDA240" s="140"/>
      <c r="RDB240" s="140"/>
      <c r="RDC240" s="140"/>
      <c r="RDD240" s="140"/>
      <c r="RDE240" s="140"/>
      <c r="RDF240" s="140"/>
      <c r="RDG240" s="140"/>
      <c r="RDH240" s="140"/>
      <c r="RDI240" s="140"/>
      <c r="RDJ240" s="140"/>
      <c r="RDK240" s="140"/>
      <c r="RDL240" s="140"/>
      <c r="RDM240" s="140"/>
      <c r="RDN240" s="140"/>
      <c r="RDO240" s="140"/>
      <c r="RDP240" s="140"/>
      <c r="RDQ240" s="140"/>
      <c r="RDR240" s="140"/>
      <c r="RDS240" s="140"/>
      <c r="RDT240" s="140"/>
      <c r="RDU240" s="140"/>
      <c r="RDV240" s="140"/>
      <c r="RDW240" s="140"/>
      <c r="RDX240" s="140"/>
      <c r="RDY240" s="140"/>
      <c r="RDZ240" s="140"/>
      <c r="REA240" s="140"/>
      <c r="REB240" s="140"/>
      <c r="REC240" s="140"/>
      <c r="RED240" s="140"/>
      <c r="REE240" s="140"/>
      <c r="REF240" s="140"/>
      <c r="REG240" s="140"/>
      <c r="REH240" s="140"/>
      <c r="REI240" s="140"/>
      <c r="REJ240" s="140"/>
      <c r="REK240" s="140"/>
      <c r="REL240" s="140"/>
      <c r="REM240" s="140"/>
      <c r="REN240" s="140"/>
      <c r="REO240" s="140"/>
      <c r="REP240" s="140"/>
      <c r="REQ240" s="140"/>
      <c r="RER240" s="140"/>
      <c r="RES240" s="140"/>
      <c r="RET240" s="140"/>
      <c r="REU240" s="140"/>
      <c r="REV240" s="140"/>
      <c r="REW240" s="140"/>
      <c r="REX240" s="140"/>
      <c r="REY240" s="140"/>
      <c r="REZ240" s="140"/>
      <c r="RFA240" s="140"/>
      <c r="RFB240" s="140"/>
      <c r="RFC240" s="140"/>
      <c r="RFD240" s="140"/>
      <c r="RFE240" s="140"/>
      <c r="RFF240" s="140"/>
      <c r="RFG240" s="140"/>
      <c r="RFH240" s="140"/>
      <c r="RFI240" s="140"/>
      <c r="RFJ240" s="140"/>
      <c r="RFK240" s="140"/>
      <c r="RFL240" s="140"/>
      <c r="RFM240" s="140"/>
      <c r="RFN240" s="140"/>
      <c r="RFO240" s="140"/>
      <c r="RFP240" s="140"/>
      <c r="RFQ240" s="140"/>
      <c r="RFR240" s="140"/>
      <c r="RFS240" s="140"/>
      <c r="RFT240" s="140"/>
      <c r="RFU240" s="140"/>
      <c r="RFV240" s="140"/>
      <c r="RFW240" s="140"/>
      <c r="RFX240" s="140"/>
      <c r="RFY240" s="140"/>
      <c r="RFZ240" s="140"/>
      <c r="RGA240" s="140"/>
      <c r="RGB240" s="140"/>
      <c r="RGC240" s="140"/>
      <c r="RGD240" s="140"/>
      <c r="RGE240" s="140"/>
      <c r="RGF240" s="140"/>
      <c r="RGG240" s="140"/>
      <c r="RGH240" s="140"/>
      <c r="RGI240" s="140"/>
      <c r="RGJ240" s="140"/>
      <c r="RGK240" s="140"/>
      <c r="RGL240" s="140"/>
      <c r="RGM240" s="140"/>
      <c r="RGN240" s="140"/>
      <c r="RGO240" s="140"/>
      <c r="RGP240" s="140"/>
      <c r="RGQ240" s="140"/>
      <c r="RGR240" s="140"/>
      <c r="RGS240" s="140"/>
      <c r="RGT240" s="140"/>
      <c r="RGU240" s="140"/>
      <c r="RGV240" s="140"/>
      <c r="RGW240" s="140"/>
      <c r="RGX240" s="140"/>
      <c r="RGY240" s="140"/>
      <c r="RGZ240" s="140"/>
      <c r="RHA240" s="140"/>
      <c r="RHB240" s="140"/>
      <c r="RHC240" s="140"/>
      <c r="RHD240" s="140"/>
      <c r="RHE240" s="140"/>
      <c r="RHF240" s="140"/>
      <c r="RHG240" s="140"/>
      <c r="RHH240" s="140"/>
      <c r="RHI240" s="140"/>
      <c r="RHJ240" s="140"/>
      <c r="RHK240" s="140"/>
      <c r="RHL240" s="140"/>
      <c r="RHM240" s="140"/>
      <c r="RHN240" s="140"/>
      <c r="RHO240" s="140"/>
      <c r="RHP240" s="140"/>
      <c r="RHQ240" s="140"/>
      <c r="RHR240" s="140"/>
      <c r="RHS240" s="140"/>
      <c r="RHT240" s="140"/>
      <c r="RHU240" s="140"/>
      <c r="RHV240" s="140"/>
      <c r="RHW240" s="140"/>
      <c r="RHX240" s="140"/>
      <c r="RHY240" s="140"/>
      <c r="RHZ240" s="140"/>
      <c r="RIA240" s="140"/>
      <c r="RIB240" s="140"/>
      <c r="RIC240" s="140"/>
      <c r="RID240" s="140"/>
      <c r="RIE240" s="140"/>
      <c r="RIF240" s="140"/>
      <c r="RIG240" s="140"/>
      <c r="RIH240" s="140"/>
      <c r="RII240" s="140"/>
      <c r="RIJ240" s="140"/>
      <c r="RIK240" s="140"/>
      <c r="RIL240" s="140"/>
      <c r="RIM240" s="140"/>
      <c r="RIN240" s="140"/>
      <c r="RIO240" s="140"/>
      <c r="RIP240" s="140"/>
      <c r="RIQ240" s="140"/>
      <c r="RIR240" s="140"/>
      <c r="RIS240" s="140"/>
      <c r="RIT240" s="140"/>
      <c r="RIU240" s="140"/>
      <c r="RIV240" s="140"/>
      <c r="RIW240" s="140"/>
      <c r="RIX240" s="140"/>
      <c r="RIY240" s="140"/>
      <c r="RIZ240" s="140"/>
      <c r="RJA240" s="140"/>
      <c r="RJB240" s="140"/>
      <c r="RJC240" s="140"/>
      <c r="RJD240" s="140"/>
      <c r="RJE240" s="140"/>
      <c r="RJF240" s="140"/>
      <c r="RJG240" s="140"/>
      <c r="RJH240" s="140"/>
      <c r="RJI240" s="140"/>
      <c r="RJJ240" s="140"/>
      <c r="RJK240" s="140"/>
      <c r="RJL240" s="140"/>
      <c r="RJM240" s="140"/>
      <c r="RJN240" s="140"/>
      <c r="RJO240" s="140"/>
      <c r="RJP240" s="140"/>
      <c r="RJQ240" s="140"/>
      <c r="RJR240" s="140"/>
      <c r="RJS240" s="140"/>
      <c r="RJT240" s="140"/>
      <c r="RJU240" s="140"/>
      <c r="RJV240" s="140"/>
      <c r="RJW240" s="140"/>
      <c r="RJX240" s="140"/>
      <c r="RJY240" s="140"/>
      <c r="RJZ240" s="140"/>
      <c r="RKA240" s="140"/>
      <c r="RKB240" s="140"/>
      <c r="RKC240" s="140"/>
      <c r="RKD240" s="140"/>
      <c r="RKE240" s="140"/>
      <c r="RKF240" s="140"/>
      <c r="RKG240" s="140"/>
      <c r="RKH240" s="140"/>
      <c r="RKI240" s="140"/>
      <c r="RKJ240" s="140"/>
      <c r="RKK240" s="140"/>
      <c r="RKL240" s="140"/>
      <c r="RKM240" s="140"/>
      <c r="RKN240" s="140"/>
      <c r="RKO240" s="140"/>
      <c r="RKP240" s="140"/>
      <c r="RKQ240" s="140"/>
      <c r="RKR240" s="140"/>
      <c r="RKS240" s="140"/>
      <c r="RKT240" s="140"/>
      <c r="RKU240" s="140"/>
      <c r="RKV240" s="140"/>
      <c r="RKW240" s="140"/>
      <c r="RKX240" s="140"/>
      <c r="RKY240" s="140"/>
      <c r="RKZ240" s="140"/>
      <c r="RLA240" s="140"/>
      <c r="RLB240" s="140"/>
      <c r="RLC240" s="140"/>
      <c r="RLD240" s="140"/>
      <c r="RLE240" s="140"/>
      <c r="RLF240" s="140"/>
      <c r="RLG240" s="140"/>
      <c r="RLH240" s="140"/>
      <c r="RLI240" s="140"/>
      <c r="RLJ240" s="140"/>
      <c r="RLK240" s="140"/>
      <c r="RLL240" s="140"/>
      <c r="RLM240" s="140"/>
      <c r="RLN240" s="140"/>
      <c r="RLO240" s="140"/>
      <c r="RLP240" s="140"/>
      <c r="RLQ240" s="140"/>
      <c r="RLR240" s="140"/>
      <c r="RLS240" s="140"/>
      <c r="RLT240" s="140"/>
      <c r="RLU240" s="140"/>
      <c r="RLV240" s="140"/>
      <c r="RLW240" s="140"/>
      <c r="RLX240" s="140"/>
      <c r="RLY240" s="140"/>
      <c r="RLZ240" s="140"/>
      <c r="RMA240" s="140"/>
      <c r="RMB240" s="140"/>
      <c r="RMC240" s="140"/>
      <c r="RMD240" s="140"/>
      <c r="RME240" s="140"/>
      <c r="RMF240" s="140"/>
      <c r="RMG240" s="140"/>
      <c r="RMH240" s="140"/>
      <c r="RMI240" s="140"/>
      <c r="RMJ240" s="140"/>
      <c r="RMK240" s="140"/>
      <c r="RML240" s="140"/>
      <c r="RMM240" s="140"/>
      <c r="RMN240" s="140"/>
      <c r="RMO240" s="140"/>
      <c r="RMP240" s="140"/>
      <c r="RMQ240" s="140"/>
      <c r="RMR240" s="140"/>
      <c r="RMS240" s="140"/>
      <c r="RMT240" s="140"/>
      <c r="RMU240" s="140"/>
      <c r="RMV240" s="140"/>
      <c r="RMW240" s="140"/>
      <c r="RMX240" s="140"/>
      <c r="RMY240" s="140"/>
      <c r="RMZ240" s="140"/>
      <c r="RNA240" s="140"/>
      <c r="RNB240" s="140"/>
      <c r="RNC240" s="140"/>
      <c r="RND240" s="140"/>
      <c r="RNE240" s="140"/>
      <c r="RNF240" s="140"/>
      <c r="RNG240" s="140"/>
      <c r="RNH240" s="140"/>
      <c r="RNI240" s="140"/>
      <c r="RNJ240" s="140"/>
      <c r="RNK240" s="140"/>
      <c r="RNL240" s="140"/>
      <c r="RNM240" s="140"/>
      <c r="RNN240" s="140"/>
      <c r="RNO240" s="140"/>
      <c r="RNP240" s="140"/>
      <c r="RNQ240" s="140"/>
      <c r="RNR240" s="140"/>
      <c r="RNS240" s="140"/>
      <c r="RNT240" s="140"/>
      <c r="RNU240" s="140"/>
      <c r="RNV240" s="140"/>
      <c r="RNW240" s="140"/>
      <c r="RNX240" s="140"/>
      <c r="RNY240" s="140"/>
      <c r="RNZ240" s="140"/>
      <c r="ROA240" s="140"/>
      <c r="ROB240" s="140"/>
      <c r="ROC240" s="140"/>
      <c r="ROD240" s="140"/>
      <c r="ROE240" s="140"/>
      <c r="ROF240" s="140"/>
      <c r="ROG240" s="140"/>
      <c r="ROH240" s="140"/>
      <c r="ROI240" s="140"/>
      <c r="ROJ240" s="140"/>
      <c r="ROK240" s="140"/>
      <c r="ROL240" s="140"/>
      <c r="ROM240" s="140"/>
      <c r="RON240" s="140"/>
      <c r="ROO240" s="140"/>
      <c r="ROP240" s="140"/>
      <c r="ROQ240" s="140"/>
      <c r="ROR240" s="140"/>
      <c r="ROS240" s="140"/>
      <c r="ROT240" s="140"/>
      <c r="ROU240" s="140"/>
      <c r="ROV240" s="140"/>
      <c r="ROW240" s="140"/>
      <c r="ROX240" s="140"/>
      <c r="ROY240" s="140"/>
      <c r="ROZ240" s="140"/>
      <c r="RPA240" s="140"/>
      <c r="RPB240" s="140"/>
      <c r="RPC240" s="140"/>
      <c r="RPD240" s="140"/>
      <c r="RPE240" s="140"/>
      <c r="RPF240" s="140"/>
      <c r="RPG240" s="140"/>
      <c r="RPH240" s="140"/>
      <c r="RPI240" s="140"/>
      <c r="RPJ240" s="140"/>
      <c r="RPK240" s="140"/>
      <c r="RPL240" s="140"/>
      <c r="RPM240" s="140"/>
      <c r="RPN240" s="140"/>
      <c r="RPO240" s="140"/>
      <c r="RPP240" s="140"/>
      <c r="RPQ240" s="140"/>
      <c r="RPR240" s="140"/>
      <c r="RPS240" s="140"/>
      <c r="RPT240" s="140"/>
      <c r="RPU240" s="140"/>
      <c r="RPV240" s="140"/>
      <c r="RPW240" s="140"/>
      <c r="RPX240" s="140"/>
      <c r="RPY240" s="140"/>
      <c r="RPZ240" s="140"/>
      <c r="RQA240" s="140"/>
      <c r="RQB240" s="140"/>
      <c r="RQC240" s="140"/>
      <c r="RQD240" s="140"/>
      <c r="RQE240" s="140"/>
      <c r="RQF240" s="140"/>
      <c r="RQG240" s="140"/>
      <c r="RQH240" s="140"/>
      <c r="RQI240" s="140"/>
      <c r="RQJ240" s="140"/>
      <c r="RQK240" s="140"/>
      <c r="RQL240" s="140"/>
      <c r="RQM240" s="140"/>
      <c r="RQN240" s="140"/>
      <c r="RQO240" s="140"/>
      <c r="RQP240" s="140"/>
      <c r="RQQ240" s="140"/>
      <c r="RQR240" s="140"/>
      <c r="RQS240" s="140"/>
      <c r="RQT240" s="140"/>
      <c r="RQU240" s="140"/>
      <c r="RQV240" s="140"/>
      <c r="RQW240" s="140"/>
      <c r="RQX240" s="140"/>
      <c r="RQY240" s="140"/>
      <c r="RQZ240" s="140"/>
      <c r="RRA240" s="140"/>
      <c r="RRB240" s="140"/>
      <c r="RRC240" s="140"/>
      <c r="RRD240" s="140"/>
      <c r="RRE240" s="140"/>
      <c r="RRF240" s="140"/>
      <c r="RRG240" s="140"/>
      <c r="RRH240" s="140"/>
      <c r="RRI240" s="140"/>
      <c r="RRJ240" s="140"/>
      <c r="RRK240" s="140"/>
      <c r="RRL240" s="140"/>
      <c r="RRM240" s="140"/>
      <c r="RRN240" s="140"/>
      <c r="RRO240" s="140"/>
      <c r="RRP240" s="140"/>
      <c r="RRQ240" s="140"/>
      <c r="RRR240" s="140"/>
      <c r="RRS240" s="140"/>
      <c r="RRT240" s="140"/>
      <c r="RRU240" s="140"/>
      <c r="RRV240" s="140"/>
      <c r="RRW240" s="140"/>
      <c r="RRX240" s="140"/>
      <c r="RRY240" s="140"/>
      <c r="RRZ240" s="140"/>
      <c r="RSA240" s="140"/>
      <c r="RSB240" s="140"/>
      <c r="RSC240" s="140"/>
      <c r="RSD240" s="140"/>
      <c r="RSE240" s="140"/>
      <c r="RSF240" s="140"/>
      <c r="RSG240" s="140"/>
      <c r="RSH240" s="140"/>
      <c r="RSI240" s="140"/>
      <c r="RSJ240" s="140"/>
      <c r="RSK240" s="140"/>
      <c r="RSL240" s="140"/>
      <c r="RSM240" s="140"/>
      <c r="RSN240" s="140"/>
      <c r="RSO240" s="140"/>
      <c r="RSP240" s="140"/>
      <c r="RSQ240" s="140"/>
      <c r="RSR240" s="140"/>
      <c r="RSS240" s="140"/>
      <c r="RST240" s="140"/>
      <c r="RSU240" s="140"/>
      <c r="RSV240" s="140"/>
      <c r="RSW240" s="140"/>
      <c r="RSX240" s="140"/>
      <c r="RSY240" s="140"/>
      <c r="RSZ240" s="140"/>
      <c r="RTA240" s="140"/>
      <c r="RTB240" s="140"/>
      <c r="RTC240" s="140"/>
      <c r="RTD240" s="140"/>
      <c r="RTE240" s="140"/>
      <c r="RTF240" s="140"/>
      <c r="RTG240" s="140"/>
      <c r="RTH240" s="140"/>
      <c r="RTI240" s="140"/>
      <c r="RTJ240" s="140"/>
      <c r="RTK240" s="140"/>
      <c r="RTL240" s="140"/>
      <c r="RTM240" s="140"/>
      <c r="RTN240" s="140"/>
      <c r="RTO240" s="140"/>
      <c r="RTP240" s="140"/>
      <c r="RTQ240" s="140"/>
      <c r="RTR240" s="140"/>
      <c r="RTS240" s="140"/>
      <c r="RTT240" s="140"/>
      <c r="RTU240" s="140"/>
      <c r="RTV240" s="140"/>
      <c r="RTW240" s="140"/>
      <c r="RTX240" s="140"/>
      <c r="RTY240" s="140"/>
      <c r="RTZ240" s="140"/>
      <c r="RUA240" s="140"/>
      <c r="RUB240" s="140"/>
      <c r="RUC240" s="140"/>
      <c r="RUD240" s="140"/>
      <c r="RUE240" s="140"/>
      <c r="RUF240" s="140"/>
      <c r="RUG240" s="140"/>
      <c r="RUH240" s="140"/>
      <c r="RUI240" s="140"/>
      <c r="RUJ240" s="140"/>
      <c r="RUK240" s="140"/>
      <c r="RUL240" s="140"/>
      <c r="RUM240" s="140"/>
      <c r="RUN240" s="140"/>
      <c r="RUO240" s="140"/>
      <c r="RUP240" s="140"/>
      <c r="RUQ240" s="140"/>
      <c r="RUR240" s="140"/>
      <c r="RUS240" s="140"/>
      <c r="RUT240" s="140"/>
      <c r="RUU240" s="140"/>
      <c r="RUV240" s="140"/>
      <c r="RUW240" s="140"/>
      <c r="RUX240" s="140"/>
      <c r="RUY240" s="140"/>
      <c r="RUZ240" s="140"/>
      <c r="RVA240" s="140"/>
      <c r="RVB240" s="140"/>
      <c r="RVC240" s="140"/>
      <c r="RVD240" s="140"/>
      <c r="RVE240" s="140"/>
      <c r="RVF240" s="140"/>
      <c r="RVG240" s="140"/>
      <c r="RVH240" s="140"/>
      <c r="RVI240" s="140"/>
      <c r="RVJ240" s="140"/>
      <c r="RVK240" s="140"/>
      <c r="RVL240" s="140"/>
      <c r="RVM240" s="140"/>
      <c r="RVN240" s="140"/>
      <c r="RVO240" s="140"/>
      <c r="RVP240" s="140"/>
      <c r="RVQ240" s="140"/>
      <c r="RVR240" s="140"/>
      <c r="RVS240" s="140"/>
      <c r="RVT240" s="140"/>
      <c r="RVU240" s="140"/>
      <c r="RVV240" s="140"/>
      <c r="RVW240" s="140"/>
      <c r="RVX240" s="140"/>
      <c r="RVY240" s="140"/>
      <c r="RVZ240" s="140"/>
      <c r="RWA240" s="140"/>
      <c r="RWB240" s="140"/>
      <c r="RWC240" s="140"/>
      <c r="RWD240" s="140"/>
      <c r="RWE240" s="140"/>
      <c r="RWF240" s="140"/>
      <c r="RWG240" s="140"/>
      <c r="RWH240" s="140"/>
      <c r="RWI240" s="140"/>
      <c r="RWJ240" s="140"/>
      <c r="RWK240" s="140"/>
      <c r="RWL240" s="140"/>
      <c r="RWM240" s="140"/>
      <c r="RWN240" s="140"/>
      <c r="RWO240" s="140"/>
      <c r="RWP240" s="140"/>
      <c r="RWQ240" s="140"/>
      <c r="RWR240" s="140"/>
      <c r="RWS240" s="140"/>
      <c r="RWT240" s="140"/>
      <c r="RWU240" s="140"/>
      <c r="RWV240" s="140"/>
      <c r="RWW240" s="140"/>
      <c r="RWX240" s="140"/>
      <c r="RWY240" s="140"/>
      <c r="RWZ240" s="140"/>
      <c r="RXA240" s="140"/>
      <c r="RXB240" s="140"/>
      <c r="RXC240" s="140"/>
      <c r="RXD240" s="140"/>
      <c r="RXE240" s="140"/>
      <c r="RXF240" s="140"/>
      <c r="RXG240" s="140"/>
      <c r="RXH240" s="140"/>
      <c r="RXI240" s="140"/>
      <c r="RXJ240" s="140"/>
      <c r="RXK240" s="140"/>
      <c r="RXL240" s="140"/>
      <c r="RXM240" s="140"/>
      <c r="RXN240" s="140"/>
      <c r="RXO240" s="140"/>
      <c r="RXP240" s="140"/>
      <c r="RXQ240" s="140"/>
      <c r="RXR240" s="140"/>
      <c r="RXS240" s="140"/>
      <c r="RXT240" s="140"/>
      <c r="RXU240" s="140"/>
      <c r="RXV240" s="140"/>
      <c r="RXW240" s="140"/>
      <c r="RXX240" s="140"/>
      <c r="RXY240" s="140"/>
      <c r="RXZ240" s="140"/>
      <c r="RYA240" s="140"/>
      <c r="RYB240" s="140"/>
      <c r="RYC240" s="140"/>
      <c r="RYD240" s="140"/>
      <c r="RYE240" s="140"/>
      <c r="RYF240" s="140"/>
      <c r="RYG240" s="140"/>
      <c r="RYH240" s="140"/>
      <c r="RYI240" s="140"/>
      <c r="RYJ240" s="140"/>
      <c r="RYK240" s="140"/>
      <c r="RYL240" s="140"/>
      <c r="RYM240" s="140"/>
      <c r="RYN240" s="140"/>
      <c r="RYO240" s="140"/>
      <c r="RYP240" s="140"/>
      <c r="RYQ240" s="140"/>
      <c r="RYR240" s="140"/>
      <c r="RYS240" s="140"/>
      <c r="RYT240" s="140"/>
      <c r="RYU240" s="140"/>
      <c r="RYV240" s="140"/>
      <c r="RYW240" s="140"/>
      <c r="RYX240" s="140"/>
      <c r="RYY240" s="140"/>
      <c r="RYZ240" s="140"/>
      <c r="RZA240" s="140"/>
      <c r="RZB240" s="140"/>
      <c r="RZC240" s="140"/>
      <c r="RZD240" s="140"/>
      <c r="RZE240" s="140"/>
      <c r="RZF240" s="140"/>
      <c r="RZG240" s="140"/>
      <c r="RZH240" s="140"/>
      <c r="RZI240" s="140"/>
      <c r="RZJ240" s="140"/>
      <c r="RZK240" s="140"/>
      <c r="RZL240" s="140"/>
      <c r="RZM240" s="140"/>
      <c r="RZN240" s="140"/>
      <c r="RZO240" s="140"/>
      <c r="RZP240" s="140"/>
      <c r="RZQ240" s="140"/>
      <c r="RZR240" s="140"/>
      <c r="RZS240" s="140"/>
      <c r="RZT240" s="140"/>
      <c r="RZU240" s="140"/>
      <c r="RZV240" s="140"/>
      <c r="RZW240" s="140"/>
      <c r="RZX240" s="140"/>
      <c r="RZY240" s="140"/>
      <c r="RZZ240" s="140"/>
      <c r="SAA240" s="140"/>
      <c r="SAB240" s="140"/>
      <c r="SAC240" s="140"/>
      <c r="SAD240" s="140"/>
      <c r="SAE240" s="140"/>
      <c r="SAF240" s="140"/>
      <c r="SAG240" s="140"/>
      <c r="SAH240" s="140"/>
      <c r="SAI240" s="140"/>
      <c r="SAJ240" s="140"/>
      <c r="SAK240" s="140"/>
      <c r="SAL240" s="140"/>
      <c r="SAM240" s="140"/>
      <c r="SAN240" s="140"/>
      <c r="SAO240" s="140"/>
      <c r="SAP240" s="140"/>
      <c r="SAQ240" s="140"/>
      <c r="SAR240" s="140"/>
      <c r="SAS240" s="140"/>
      <c r="SAT240" s="140"/>
      <c r="SAU240" s="140"/>
      <c r="SAV240" s="140"/>
      <c r="SAW240" s="140"/>
      <c r="SAX240" s="140"/>
      <c r="SAY240" s="140"/>
      <c r="SAZ240" s="140"/>
      <c r="SBA240" s="140"/>
      <c r="SBB240" s="140"/>
      <c r="SBC240" s="140"/>
      <c r="SBD240" s="140"/>
      <c r="SBE240" s="140"/>
      <c r="SBF240" s="140"/>
      <c r="SBG240" s="140"/>
      <c r="SBH240" s="140"/>
      <c r="SBI240" s="140"/>
      <c r="SBJ240" s="140"/>
      <c r="SBK240" s="140"/>
      <c r="SBL240" s="140"/>
      <c r="SBM240" s="140"/>
      <c r="SBN240" s="140"/>
      <c r="SBO240" s="140"/>
      <c r="SBP240" s="140"/>
      <c r="SBQ240" s="140"/>
      <c r="SBR240" s="140"/>
      <c r="SBS240" s="140"/>
      <c r="SBT240" s="140"/>
      <c r="SBU240" s="140"/>
      <c r="SBV240" s="140"/>
      <c r="SBW240" s="140"/>
      <c r="SBX240" s="140"/>
      <c r="SBY240" s="140"/>
      <c r="SBZ240" s="140"/>
      <c r="SCA240" s="140"/>
      <c r="SCB240" s="140"/>
      <c r="SCC240" s="140"/>
      <c r="SCD240" s="140"/>
      <c r="SCE240" s="140"/>
      <c r="SCF240" s="140"/>
      <c r="SCG240" s="140"/>
      <c r="SCH240" s="140"/>
      <c r="SCI240" s="140"/>
      <c r="SCJ240" s="140"/>
      <c r="SCK240" s="140"/>
      <c r="SCL240" s="140"/>
      <c r="SCM240" s="140"/>
      <c r="SCN240" s="140"/>
      <c r="SCO240" s="140"/>
      <c r="SCP240" s="140"/>
      <c r="SCQ240" s="140"/>
      <c r="SCR240" s="140"/>
      <c r="SCS240" s="140"/>
      <c r="SCT240" s="140"/>
      <c r="SCU240" s="140"/>
      <c r="SCV240" s="140"/>
      <c r="SCW240" s="140"/>
      <c r="SCX240" s="140"/>
      <c r="SCY240" s="140"/>
      <c r="SCZ240" s="140"/>
      <c r="SDA240" s="140"/>
      <c r="SDB240" s="140"/>
      <c r="SDC240" s="140"/>
      <c r="SDD240" s="140"/>
      <c r="SDE240" s="140"/>
      <c r="SDF240" s="140"/>
      <c r="SDG240" s="140"/>
      <c r="SDH240" s="140"/>
      <c r="SDI240" s="140"/>
      <c r="SDJ240" s="140"/>
      <c r="SDK240" s="140"/>
      <c r="SDL240" s="140"/>
      <c r="SDM240" s="140"/>
      <c r="SDN240" s="140"/>
      <c r="SDO240" s="140"/>
      <c r="SDP240" s="140"/>
      <c r="SDQ240" s="140"/>
      <c r="SDR240" s="140"/>
      <c r="SDS240" s="140"/>
      <c r="SDT240" s="140"/>
      <c r="SDU240" s="140"/>
      <c r="SDV240" s="140"/>
      <c r="SDW240" s="140"/>
      <c r="SDX240" s="140"/>
      <c r="SDY240" s="140"/>
      <c r="SDZ240" s="140"/>
      <c r="SEA240" s="140"/>
      <c r="SEB240" s="140"/>
      <c r="SEC240" s="140"/>
      <c r="SED240" s="140"/>
      <c r="SEE240" s="140"/>
      <c r="SEF240" s="140"/>
      <c r="SEG240" s="140"/>
      <c r="SEH240" s="140"/>
      <c r="SEI240" s="140"/>
      <c r="SEJ240" s="140"/>
      <c r="SEK240" s="140"/>
      <c r="SEL240" s="140"/>
      <c r="SEM240" s="140"/>
      <c r="SEN240" s="140"/>
      <c r="SEO240" s="140"/>
      <c r="SEP240" s="140"/>
      <c r="SEQ240" s="140"/>
      <c r="SER240" s="140"/>
      <c r="SES240" s="140"/>
      <c r="SET240" s="140"/>
      <c r="SEU240" s="140"/>
      <c r="SEV240" s="140"/>
      <c r="SEW240" s="140"/>
      <c r="SEX240" s="140"/>
      <c r="SEY240" s="140"/>
      <c r="SEZ240" s="140"/>
      <c r="SFA240" s="140"/>
      <c r="SFB240" s="140"/>
      <c r="SFC240" s="140"/>
      <c r="SFD240" s="140"/>
      <c r="SFE240" s="140"/>
      <c r="SFF240" s="140"/>
      <c r="SFG240" s="140"/>
      <c r="SFH240" s="140"/>
      <c r="SFI240" s="140"/>
      <c r="SFJ240" s="140"/>
      <c r="SFK240" s="140"/>
      <c r="SFL240" s="140"/>
      <c r="SFM240" s="140"/>
      <c r="SFN240" s="140"/>
      <c r="SFO240" s="140"/>
      <c r="SFP240" s="140"/>
      <c r="SFQ240" s="140"/>
      <c r="SFR240" s="140"/>
      <c r="SFS240" s="140"/>
      <c r="SFT240" s="140"/>
      <c r="SFU240" s="140"/>
      <c r="SFV240" s="140"/>
      <c r="SFW240" s="140"/>
      <c r="SFX240" s="140"/>
      <c r="SFY240" s="140"/>
      <c r="SFZ240" s="140"/>
      <c r="SGA240" s="140"/>
      <c r="SGB240" s="140"/>
      <c r="SGC240" s="140"/>
      <c r="SGD240" s="140"/>
      <c r="SGE240" s="140"/>
      <c r="SGF240" s="140"/>
      <c r="SGG240" s="140"/>
      <c r="SGH240" s="140"/>
      <c r="SGI240" s="140"/>
      <c r="SGJ240" s="140"/>
      <c r="SGK240" s="140"/>
      <c r="SGL240" s="140"/>
      <c r="SGM240" s="140"/>
      <c r="SGN240" s="140"/>
      <c r="SGO240" s="140"/>
      <c r="SGP240" s="140"/>
      <c r="SGQ240" s="140"/>
      <c r="SGR240" s="140"/>
      <c r="SGS240" s="140"/>
      <c r="SGT240" s="140"/>
      <c r="SGU240" s="140"/>
      <c r="SGV240" s="140"/>
      <c r="SGW240" s="140"/>
      <c r="SGX240" s="140"/>
      <c r="SGY240" s="140"/>
      <c r="SGZ240" s="140"/>
      <c r="SHA240" s="140"/>
      <c r="SHB240" s="140"/>
      <c r="SHC240" s="140"/>
      <c r="SHD240" s="140"/>
      <c r="SHE240" s="140"/>
      <c r="SHF240" s="140"/>
      <c r="SHG240" s="140"/>
      <c r="SHH240" s="140"/>
      <c r="SHI240" s="140"/>
      <c r="SHJ240" s="140"/>
      <c r="SHK240" s="140"/>
      <c r="SHL240" s="140"/>
      <c r="SHM240" s="140"/>
      <c r="SHN240" s="140"/>
      <c r="SHO240" s="140"/>
      <c r="SHP240" s="140"/>
      <c r="SHQ240" s="140"/>
      <c r="SHR240" s="140"/>
      <c r="SHS240" s="140"/>
      <c r="SHT240" s="140"/>
      <c r="SHU240" s="140"/>
      <c r="SHV240" s="140"/>
      <c r="SHW240" s="140"/>
      <c r="SHX240" s="140"/>
      <c r="SHY240" s="140"/>
      <c r="SHZ240" s="140"/>
      <c r="SIA240" s="140"/>
      <c r="SIB240" s="140"/>
      <c r="SIC240" s="140"/>
      <c r="SID240" s="140"/>
      <c r="SIE240" s="140"/>
      <c r="SIF240" s="140"/>
      <c r="SIG240" s="140"/>
      <c r="SIH240" s="140"/>
      <c r="SII240" s="140"/>
      <c r="SIJ240" s="140"/>
      <c r="SIK240" s="140"/>
      <c r="SIL240" s="140"/>
      <c r="SIM240" s="140"/>
      <c r="SIN240" s="140"/>
      <c r="SIO240" s="140"/>
      <c r="SIP240" s="140"/>
      <c r="SIQ240" s="140"/>
      <c r="SIR240" s="140"/>
      <c r="SIS240" s="140"/>
      <c r="SIT240" s="140"/>
      <c r="SIU240" s="140"/>
      <c r="SIV240" s="140"/>
      <c r="SIW240" s="140"/>
      <c r="SIX240" s="140"/>
      <c r="SIY240" s="140"/>
      <c r="SIZ240" s="140"/>
      <c r="SJA240" s="140"/>
      <c r="SJB240" s="140"/>
      <c r="SJC240" s="140"/>
      <c r="SJD240" s="140"/>
      <c r="SJE240" s="140"/>
      <c r="SJF240" s="140"/>
      <c r="SJG240" s="140"/>
      <c r="SJH240" s="140"/>
      <c r="SJI240" s="140"/>
      <c r="SJJ240" s="140"/>
      <c r="SJK240" s="140"/>
      <c r="SJL240" s="140"/>
      <c r="SJM240" s="140"/>
      <c r="SJN240" s="140"/>
      <c r="SJO240" s="140"/>
      <c r="SJP240" s="140"/>
      <c r="SJQ240" s="140"/>
      <c r="SJR240" s="140"/>
      <c r="SJS240" s="140"/>
      <c r="SJT240" s="140"/>
      <c r="SJU240" s="140"/>
      <c r="SJV240" s="140"/>
      <c r="SJW240" s="140"/>
      <c r="SJX240" s="140"/>
      <c r="SJY240" s="140"/>
      <c r="SJZ240" s="140"/>
      <c r="SKA240" s="140"/>
      <c r="SKB240" s="140"/>
      <c r="SKC240" s="140"/>
      <c r="SKD240" s="140"/>
      <c r="SKE240" s="140"/>
      <c r="SKF240" s="140"/>
      <c r="SKG240" s="140"/>
      <c r="SKH240" s="140"/>
      <c r="SKI240" s="140"/>
      <c r="SKJ240" s="140"/>
      <c r="SKK240" s="140"/>
      <c r="SKL240" s="140"/>
      <c r="SKM240" s="140"/>
      <c r="SKN240" s="140"/>
      <c r="SKO240" s="140"/>
      <c r="SKP240" s="140"/>
      <c r="SKQ240" s="140"/>
      <c r="SKR240" s="140"/>
      <c r="SKS240" s="140"/>
      <c r="SKT240" s="140"/>
      <c r="SKU240" s="140"/>
      <c r="SKV240" s="140"/>
      <c r="SKW240" s="140"/>
      <c r="SKX240" s="140"/>
      <c r="SKY240" s="140"/>
      <c r="SKZ240" s="140"/>
      <c r="SLA240" s="140"/>
      <c r="SLB240" s="140"/>
      <c r="SLC240" s="140"/>
      <c r="SLD240" s="140"/>
      <c r="SLE240" s="140"/>
      <c r="SLF240" s="140"/>
      <c r="SLG240" s="140"/>
      <c r="SLH240" s="140"/>
      <c r="SLI240" s="140"/>
      <c r="SLJ240" s="140"/>
      <c r="SLK240" s="140"/>
      <c r="SLL240" s="140"/>
      <c r="SLM240" s="140"/>
      <c r="SLN240" s="140"/>
      <c r="SLO240" s="140"/>
      <c r="SLP240" s="140"/>
      <c r="SLQ240" s="140"/>
      <c r="SLR240" s="140"/>
      <c r="SLS240" s="140"/>
      <c r="SLT240" s="140"/>
      <c r="SLU240" s="140"/>
      <c r="SLV240" s="140"/>
      <c r="SLW240" s="140"/>
      <c r="SLX240" s="140"/>
      <c r="SLY240" s="140"/>
      <c r="SLZ240" s="140"/>
      <c r="SMA240" s="140"/>
      <c r="SMB240" s="140"/>
      <c r="SMC240" s="140"/>
      <c r="SMD240" s="140"/>
      <c r="SME240" s="140"/>
      <c r="SMF240" s="140"/>
      <c r="SMG240" s="140"/>
      <c r="SMH240" s="140"/>
      <c r="SMI240" s="140"/>
      <c r="SMJ240" s="140"/>
      <c r="SMK240" s="140"/>
      <c r="SML240" s="140"/>
      <c r="SMM240" s="140"/>
      <c r="SMN240" s="140"/>
      <c r="SMO240" s="140"/>
      <c r="SMP240" s="140"/>
      <c r="SMQ240" s="140"/>
      <c r="SMR240" s="140"/>
      <c r="SMS240" s="140"/>
      <c r="SMT240" s="140"/>
      <c r="SMU240" s="140"/>
      <c r="SMV240" s="140"/>
      <c r="SMW240" s="140"/>
      <c r="SMX240" s="140"/>
      <c r="SMY240" s="140"/>
      <c r="SMZ240" s="140"/>
      <c r="SNA240" s="140"/>
      <c r="SNB240" s="140"/>
      <c r="SNC240" s="140"/>
      <c r="SND240" s="140"/>
      <c r="SNE240" s="140"/>
      <c r="SNF240" s="140"/>
      <c r="SNG240" s="140"/>
      <c r="SNH240" s="140"/>
      <c r="SNI240" s="140"/>
      <c r="SNJ240" s="140"/>
      <c r="SNK240" s="140"/>
      <c r="SNL240" s="140"/>
      <c r="SNM240" s="140"/>
      <c r="SNN240" s="140"/>
      <c r="SNO240" s="140"/>
      <c r="SNP240" s="140"/>
      <c r="SNQ240" s="140"/>
      <c r="SNR240" s="140"/>
      <c r="SNS240" s="140"/>
      <c r="SNT240" s="140"/>
      <c r="SNU240" s="140"/>
      <c r="SNV240" s="140"/>
      <c r="SNW240" s="140"/>
      <c r="SNX240" s="140"/>
      <c r="SNY240" s="140"/>
      <c r="SNZ240" s="140"/>
      <c r="SOA240" s="140"/>
      <c r="SOB240" s="140"/>
      <c r="SOC240" s="140"/>
      <c r="SOD240" s="140"/>
      <c r="SOE240" s="140"/>
      <c r="SOF240" s="140"/>
      <c r="SOG240" s="140"/>
      <c r="SOH240" s="140"/>
      <c r="SOI240" s="140"/>
      <c r="SOJ240" s="140"/>
      <c r="SOK240" s="140"/>
      <c r="SOL240" s="140"/>
      <c r="SOM240" s="140"/>
      <c r="SON240" s="140"/>
      <c r="SOO240" s="140"/>
      <c r="SOP240" s="140"/>
      <c r="SOQ240" s="140"/>
      <c r="SOR240" s="140"/>
      <c r="SOS240" s="140"/>
      <c r="SOT240" s="140"/>
      <c r="SOU240" s="140"/>
      <c r="SOV240" s="140"/>
      <c r="SOW240" s="140"/>
      <c r="SOX240" s="140"/>
      <c r="SOY240" s="140"/>
      <c r="SOZ240" s="140"/>
      <c r="SPA240" s="140"/>
      <c r="SPB240" s="140"/>
      <c r="SPC240" s="140"/>
      <c r="SPD240" s="140"/>
      <c r="SPE240" s="140"/>
      <c r="SPF240" s="140"/>
      <c r="SPG240" s="140"/>
      <c r="SPH240" s="140"/>
      <c r="SPI240" s="140"/>
      <c r="SPJ240" s="140"/>
      <c r="SPK240" s="140"/>
      <c r="SPL240" s="140"/>
      <c r="SPM240" s="140"/>
      <c r="SPN240" s="140"/>
      <c r="SPO240" s="140"/>
      <c r="SPP240" s="140"/>
      <c r="SPQ240" s="140"/>
      <c r="SPR240" s="140"/>
      <c r="SPS240" s="140"/>
      <c r="SPT240" s="140"/>
      <c r="SPU240" s="140"/>
      <c r="SPV240" s="140"/>
      <c r="SPW240" s="140"/>
      <c r="SPX240" s="140"/>
      <c r="SPY240" s="140"/>
      <c r="SPZ240" s="140"/>
      <c r="SQA240" s="140"/>
      <c r="SQB240" s="140"/>
      <c r="SQC240" s="140"/>
      <c r="SQD240" s="140"/>
      <c r="SQE240" s="140"/>
      <c r="SQF240" s="140"/>
      <c r="SQG240" s="140"/>
      <c r="SQH240" s="140"/>
      <c r="SQI240" s="140"/>
      <c r="SQJ240" s="140"/>
      <c r="SQK240" s="140"/>
      <c r="SQL240" s="140"/>
      <c r="SQM240" s="140"/>
      <c r="SQN240" s="140"/>
      <c r="SQO240" s="140"/>
      <c r="SQP240" s="140"/>
      <c r="SQQ240" s="140"/>
      <c r="SQR240" s="140"/>
      <c r="SQS240" s="140"/>
      <c r="SQT240" s="140"/>
      <c r="SQU240" s="140"/>
      <c r="SQV240" s="140"/>
      <c r="SQW240" s="140"/>
      <c r="SQX240" s="140"/>
      <c r="SQY240" s="140"/>
      <c r="SQZ240" s="140"/>
      <c r="SRA240" s="140"/>
      <c r="SRB240" s="140"/>
      <c r="SRC240" s="140"/>
      <c r="SRD240" s="140"/>
      <c r="SRE240" s="140"/>
      <c r="SRF240" s="140"/>
      <c r="SRG240" s="140"/>
      <c r="SRH240" s="140"/>
      <c r="SRI240" s="140"/>
      <c r="SRJ240" s="140"/>
      <c r="SRK240" s="140"/>
      <c r="SRL240" s="140"/>
      <c r="SRM240" s="140"/>
      <c r="SRN240" s="140"/>
      <c r="SRO240" s="140"/>
      <c r="SRP240" s="140"/>
      <c r="SRQ240" s="140"/>
      <c r="SRR240" s="140"/>
      <c r="SRS240" s="140"/>
      <c r="SRT240" s="140"/>
      <c r="SRU240" s="140"/>
      <c r="SRV240" s="140"/>
      <c r="SRW240" s="140"/>
      <c r="SRX240" s="140"/>
      <c r="SRY240" s="140"/>
      <c r="SRZ240" s="140"/>
      <c r="SSA240" s="140"/>
      <c r="SSB240" s="140"/>
      <c r="SSC240" s="140"/>
      <c r="SSD240" s="140"/>
      <c r="SSE240" s="140"/>
      <c r="SSF240" s="140"/>
      <c r="SSG240" s="140"/>
      <c r="SSH240" s="140"/>
      <c r="SSI240" s="140"/>
      <c r="SSJ240" s="140"/>
      <c r="SSK240" s="140"/>
      <c r="SSL240" s="140"/>
      <c r="SSM240" s="140"/>
      <c r="SSN240" s="140"/>
      <c r="SSO240" s="140"/>
      <c r="SSP240" s="140"/>
      <c r="SSQ240" s="140"/>
      <c r="SSR240" s="140"/>
      <c r="SSS240" s="140"/>
      <c r="SST240" s="140"/>
      <c r="SSU240" s="140"/>
      <c r="SSV240" s="140"/>
      <c r="SSW240" s="140"/>
      <c r="SSX240" s="140"/>
      <c r="SSY240" s="140"/>
      <c r="SSZ240" s="140"/>
      <c r="STA240" s="140"/>
      <c r="STB240" s="140"/>
      <c r="STC240" s="140"/>
      <c r="STD240" s="140"/>
      <c r="STE240" s="140"/>
      <c r="STF240" s="140"/>
      <c r="STG240" s="140"/>
      <c r="STH240" s="140"/>
      <c r="STI240" s="140"/>
      <c r="STJ240" s="140"/>
      <c r="STK240" s="140"/>
      <c r="STL240" s="140"/>
      <c r="STM240" s="140"/>
      <c r="STN240" s="140"/>
      <c r="STO240" s="140"/>
      <c r="STP240" s="140"/>
      <c r="STQ240" s="140"/>
      <c r="STR240" s="140"/>
      <c r="STS240" s="140"/>
      <c r="STT240" s="140"/>
      <c r="STU240" s="140"/>
      <c r="STV240" s="140"/>
      <c r="STW240" s="140"/>
      <c r="STX240" s="140"/>
      <c r="STY240" s="140"/>
      <c r="STZ240" s="140"/>
      <c r="SUA240" s="140"/>
      <c r="SUB240" s="140"/>
      <c r="SUC240" s="140"/>
      <c r="SUD240" s="140"/>
      <c r="SUE240" s="140"/>
      <c r="SUF240" s="140"/>
      <c r="SUG240" s="140"/>
      <c r="SUH240" s="140"/>
      <c r="SUI240" s="140"/>
      <c r="SUJ240" s="140"/>
      <c r="SUK240" s="140"/>
      <c r="SUL240" s="140"/>
      <c r="SUM240" s="140"/>
      <c r="SUN240" s="140"/>
      <c r="SUO240" s="140"/>
      <c r="SUP240" s="140"/>
      <c r="SUQ240" s="140"/>
      <c r="SUR240" s="140"/>
      <c r="SUS240" s="140"/>
      <c r="SUT240" s="140"/>
      <c r="SUU240" s="140"/>
      <c r="SUV240" s="140"/>
      <c r="SUW240" s="140"/>
      <c r="SUX240" s="140"/>
      <c r="SUY240" s="140"/>
      <c r="SUZ240" s="140"/>
      <c r="SVA240" s="140"/>
      <c r="SVB240" s="140"/>
      <c r="SVC240" s="140"/>
      <c r="SVD240" s="140"/>
      <c r="SVE240" s="140"/>
      <c r="SVF240" s="140"/>
      <c r="SVG240" s="140"/>
      <c r="SVH240" s="140"/>
      <c r="SVI240" s="140"/>
      <c r="SVJ240" s="140"/>
      <c r="SVK240" s="140"/>
      <c r="SVL240" s="140"/>
      <c r="SVM240" s="140"/>
      <c r="SVN240" s="140"/>
      <c r="SVO240" s="140"/>
      <c r="SVP240" s="140"/>
      <c r="SVQ240" s="140"/>
      <c r="SVR240" s="140"/>
      <c r="SVS240" s="140"/>
      <c r="SVT240" s="140"/>
      <c r="SVU240" s="140"/>
      <c r="SVV240" s="140"/>
      <c r="SVW240" s="140"/>
      <c r="SVX240" s="140"/>
      <c r="SVY240" s="140"/>
      <c r="SVZ240" s="140"/>
      <c r="SWA240" s="140"/>
      <c r="SWB240" s="140"/>
      <c r="SWC240" s="140"/>
      <c r="SWD240" s="140"/>
      <c r="SWE240" s="140"/>
      <c r="SWF240" s="140"/>
      <c r="SWG240" s="140"/>
      <c r="SWH240" s="140"/>
      <c r="SWI240" s="140"/>
      <c r="SWJ240" s="140"/>
      <c r="SWK240" s="140"/>
      <c r="SWL240" s="140"/>
      <c r="SWM240" s="140"/>
      <c r="SWN240" s="140"/>
      <c r="SWO240" s="140"/>
      <c r="SWP240" s="140"/>
      <c r="SWQ240" s="140"/>
      <c r="SWR240" s="140"/>
      <c r="SWS240" s="140"/>
      <c r="SWT240" s="140"/>
      <c r="SWU240" s="140"/>
      <c r="SWV240" s="140"/>
      <c r="SWW240" s="140"/>
      <c r="SWX240" s="140"/>
      <c r="SWY240" s="140"/>
      <c r="SWZ240" s="140"/>
      <c r="SXA240" s="140"/>
      <c r="SXB240" s="140"/>
      <c r="SXC240" s="140"/>
      <c r="SXD240" s="140"/>
      <c r="SXE240" s="140"/>
      <c r="SXF240" s="140"/>
      <c r="SXG240" s="140"/>
      <c r="SXH240" s="140"/>
      <c r="SXI240" s="140"/>
      <c r="SXJ240" s="140"/>
      <c r="SXK240" s="140"/>
      <c r="SXL240" s="140"/>
      <c r="SXM240" s="140"/>
      <c r="SXN240" s="140"/>
      <c r="SXO240" s="140"/>
      <c r="SXP240" s="140"/>
      <c r="SXQ240" s="140"/>
      <c r="SXR240" s="140"/>
      <c r="SXS240" s="140"/>
      <c r="SXT240" s="140"/>
      <c r="SXU240" s="140"/>
      <c r="SXV240" s="140"/>
      <c r="SXW240" s="140"/>
      <c r="SXX240" s="140"/>
      <c r="SXY240" s="140"/>
      <c r="SXZ240" s="140"/>
      <c r="SYA240" s="140"/>
      <c r="SYB240" s="140"/>
      <c r="SYC240" s="140"/>
      <c r="SYD240" s="140"/>
      <c r="SYE240" s="140"/>
      <c r="SYF240" s="140"/>
      <c r="SYG240" s="140"/>
      <c r="SYH240" s="140"/>
      <c r="SYI240" s="140"/>
      <c r="SYJ240" s="140"/>
      <c r="SYK240" s="140"/>
      <c r="SYL240" s="140"/>
      <c r="SYM240" s="140"/>
      <c r="SYN240" s="140"/>
      <c r="SYO240" s="140"/>
      <c r="SYP240" s="140"/>
      <c r="SYQ240" s="140"/>
      <c r="SYR240" s="140"/>
      <c r="SYS240" s="140"/>
      <c r="SYT240" s="140"/>
      <c r="SYU240" s="140"/>
      <c r="SYV240" s="140"/>
      <c r="SYW240" s="140"/>
      <c r="SYX240" s="140"/>
      <c r="SYY240" s="140"/>
      <c r="SYZ240" s="140"/>
      <c r="SZA240" s="140"/>
      <c r="SZB240" s="140"/>
      <c r="SZC240" s="140"/>
      <c r="SZD240" s="140"/>
      <c r="SZE240" s="140"/>
      <c r="SZF240" s="140"/>
      <c r="SZG240" s="140"/>
      <c r="SZH240" s="140"/>
      <c r="SZI240" s="140"/>
      <c r="SZJ240" s="140"/>
      <c r="SZK240" s="140"/>
      <c r="SZL240" s="140"/>
      <c r="SZM240" s="140"/>
      <c r="SZN240" s="140"/>
      <c r="SZO240" s="140"/>
      <c r="SZP240" s="140"/>
      <c r="SZQ240" s="140"/>
      <c r="SZR240" s="140"/>
      <c r="SZS240" s="140"/>
      <c r="SZT240" s="140"/>
      <c r="SZU240" s="140"/>
      <c r="SZV240" s="140"/>
      <c r="SZW240" s="140"/>
      <c r="SZX240" s="140"/>
      <c r="SZY240" s="140"/>
      <c r="SZZ240" s="140"/>
      <c r="TAA240" s="140"/>
      <c r="TAB240" s="140"/>
      <c r="TAC240" s="140"/>
      <c r="TAD240" s="140"/>
      <c r="TAE240" s="140"/>
      <c r="TAF240" s="140"/>
      <c r="TAG240" s="140"/>
      <c r="TAH240" s="140"/>
      <c r="TAI240" s="140"/>
      <c r="TAJ240" s="140"/>
      <c r="TAK240" s="140"/>
      <c r="TAL240" s="140"/>
      <c r="TAM240" s="140"/>
      <c r="TAN240" s="140"/>
      <c r="TAO240" s="140"/>
      <c r="TAP240" s="140"/>
      <c r="TAQ240" s="140"/>
      <c r="TAR240" s="140"/>
      <c r="TAS240" s="140"/>
      <c r="TAT240" s="140"/>
      <c r="TAU240" s="140"/>
      <c r="TAV240" s="140"/>
      <c r="TAW240" s="140"/>
      <c r="TAX240" s="140"/>
      <c r="TAY240" s="140"/>
      <c r="TAZ240" s="140"/>
      <c r="TBA240" s="140"/>
      <c r="TBB240" s="140"/>
      <c r="TBC240" s="140"/>
      <c r="TBD240" s="140"/>
      <c r="TBE240" s="140"/>
      <c r="TBF240" s="140"/>
      <c r="TBG240" s="140"/>
      <c r="TBH240" s="140"/>
      <c r="TBI240" s="140"/>
      <c r="TBJ240" s="140"/>
      <c r="TBK240" s="140"/>
      <c r="TBL240" s="140"/>
      <c r="TBM240" s="140"/>
      <c r="TBN240" s="140"/>
      <c r="TBO240" s="140"/>
      <c r="TBP240" s="140"/>
      <c r="TBQ240" s="140"/>
      <c r="TBR240" s="140"/>
      <c r="TBS240" s="140"/>
      <c r="TBT240" s="140"/>
      <c r="TBU240" s="140"/>
      <c r="TBV240" s="140"/>
      <c r="TBW240" s="140"/>
      <c r="TBX240" s="140"/>
      <c r="TBY240" s="140"/>
      <c r="TBZ240" s="140"/>
      <c r="TCA240" s="140"/>
      <c r="TCB240" s="140"/>
      <c r="TCC240" s="140"/>
      <c r="TCD240" s="140"/>
      <c r="TCE240" s="140"/>
      <c r="TCF240" s="140"/>
      <c r="TCG240" s="140"/>
      <c r="TCH240" s="140"/>
      <c r="TCI240" s="140"/>
      <c r="TCJ240" s="140"/>
      <c r="TCK240" s="140"/>
      <c r="TCL240" s="140"/>
      <c r="TCM240" s="140"/>
      <c r="TCN240" s="140"/>
      <c r="TCO240" s="140"/>
      <c r="TCP240" s="140"/>
      <c r="TCQ240" s="140"/>
      <c r="TCR240" s="140"/>
      <c r="TCS240" s="140"/>
      <c r="TCT240" s="140"/>
      <c r="TCU240" s="140"/>
      <c r="TCV240" s="140"/>
      <c r="TCW240" s="140"/>
      <c r="TCX240" s="140"/>
      <c r="TCY240" s="140"/>
      <c r="TCZ240" s="140"/>
      <c r="TDA240" s="140"/>
      <c r="TDB240" s="140"/>
      <c r="TDC240" s="140"/>
      <c r="TDD240" s="140"/>
      <c r="TDE240" s="140"/>
      <c r="TDF240" s="140"/>
      <c r="TDG240" s="140"/>
      <c r="TDH240" s="140"/>
      <c r="TDI240" s="140"/>
      <c r="TDJ240" s="140"/>
      <c r="TDK240" s="140"/>
      <c r="TDL240" s="140"/>
      <c r="TDM240" s="140"/>
      <c r="TDN240" s="140"/>
      <c r="TDO240" s="140"/>
      <c r="TDP240" s="140"/>
      <c r="TDQ240" s="140"/>
      <c r="TDR240" s="140"/>
      <c r="TDS240" s="140"/>
      <c r="TDT240" s="140"/>
      <c r="TDU240" s="140"/>
      <c r="TDV240" s="140"/>
      <c r="TDW240" s="140"/>
      <c r="TDX240" s="140"/>
      <c r="TDY240" s="140"/>
      <c r="TDZ240" s="140"/>
      <c r="TEA240" s="140"/>
      <c r="TEB240" s="140"/>
      <c r="TEC240" s="140"/>
      <c r="TED240" s="140"/>
      <c r="TEE240" s="140"/>
      <c r="TEF240" s="140"/>
      <c r="TEG240" s="140"/>
      <c r="TEH240" s="140"/>
      <c r="TEI240" s="140"/>
      <c r="TEJ240" s="140"/>
      <c r="TEK240" s="140"/>
      <c r="TEL240" s="140"/>
      <c r="TEM240" s="140"/>
      <c r="TEN240" s="140"/>
      <c r="TEO240" s="140"/>
      <c r="TEP240" s="140"/>
      <c r="TEQ240" s="140"/>
      <c r="TER240" s="140"/>
      <c r="TES240" s="140"/>
      <c r="TET240" s="140"/>
      <c r="TEU240" s="140"/>
      <c r="TEV240" s="140"/>
      <c r="TEW240" s="140"/>
      <c r="TEX240" s="140"/>
      <c r="TEY240" s="140"/>
      <c r="TEZ240" s="140"/>
      <c r="TFA240" s="140"/>
      <c r="TFB240" s="140"/>
      <c r="TFC240" s="140"/>
      <c r="TFD240" s="140"/>
      <c r="TFE240" s="140"/>
      <c r="TFF240" s="140"/>
      <c r="TFG240" s="140"/>
      <c r="TFH240" s="140"/>
      <c r="TFI240" s="140"/>
      <c r="TFJ240" s="140"/>
      <c r="TFK240" s="140"/>
      <c r="TFL240" s="140"/>
      <c r="TFM240" s="140"/>
      <c r="TFN240" s="140"/>
      <c r="TFO240" s="140"/>
      <c r="TFP240" s="140"/>
      <c r="TFQ240" s="140"/>
      <c r="TFR240" s="140"/>
      <c r="TFS240" s="140"/>
      <c r="TFT240" s="140"/>
      <c r="TFU240" s="140"/>
      <c r="TFV240" s="140"/>
      <c r="TFW240" s="140"/>
      <c r="TFX240" s="140"/>
      <c r="TFY240" s="140"/>
      <c r="TFZ240" s="140"/>
      <c r="TGA240" s="140"/>
      <c r="TGB240" s="140"/>
      <c r="TGC240" s="140"/>
      <c r="TGD240" s="140"/>
      <c r="TGE240" s="140"/>
      <c r="TGF240" s="140"/>
      <c r="TGG240" s="140"/>
      <c r="TGH240" s="140"/>
      <c r="TGI240" s="140"/>
      <c r="TGJ240" s="140"/>
      <c r="TGK240" s="140"/>
      <c r="TGL240" s="140"/>
      <c r="TGM240" s="140"/>
      <c r="TGN240" s="140"/>
      <c r="TGO240" s="140"/>
      <c r="TGP240" s="140"/>
      <c r="TGQ240" s="140"/>
      <c r="TGR240" s="140"/>
      <c r="TGS240" s="140"/>
      <c r="TGT240" s="140"/>
      <c r="TGU240" s="140"/>
      <c r="TGV240" s="140"/>
      <c r="TGW240" s="140"/>
      <c r="TGX240" s="140"/>
      <c r="TGY240" s="140"/>
      <c r="TGZ240" s="140"/>
      <c r="THA240" s="140"/>
      <c r="THB240" s="140"/>
      <c r="THC240" s="140"/>
      <c r="THD240" s="140"/>
      <c r="THE240" s="140"/>
      <c r="THF240" s="140"/>
      <c r="THG240" s="140"/>
      <c r="THH240" s="140"/>
      <c r="THI240" s="140"/>
      <c r="THJ240" s="140"/>
      <c r="THK240" s="140"/>
      <c r="THL240" s="140"/>
      <c r="THM240" s="140"/>
      <c r="THN240" s="140"/>
      <c r="THO240" s="140"/>
      <c r="THP240" s="140"/>
      <c r="THQ240" s="140"/>
      <c r="THR240" s="140"/>
      <c r="THS240" s="140"/>
      <c r="THT240" s="140"/>
      <c r="THU240" s="140"/>
      <c r="THV240" s="140"/>
      <c r="THW240" s="140"/>
      <c r="THX240" s="140"/>
      <c r="THY240" s="140"/>
      <c r="THZ240" s="140"/>
      <c r="TIA240" s="140"/>
      <c r="TIB240" s="140"/>
      <c r="TIC240" s="140"/>
      <c r="TID240" s="140"/>
      <c r="TIE240" s="140"/>
      <c r="TIF240" s="140"/>
      <c r="TIG240" s="140"/>
      <c r="TIH240" s="140"/>
      <c r="TII240" s="140"/>
      <c r="TIJ240" s="140"/>
      <c r="TIK240" s="140"/>
      <c r="TIL240" s="140"/>
      <c r="TIM240" s="140"/>
      <c r="TIN240" s="140"/>
      <c r="TIO240" s="140"/>
      <c r="TIP240" s="140"/>
      <c r="TIQ240" s="140"/>
      <c r="TIR240" s="140"/>
      <c r="TIS240" s="140"/>
      <c r="TIT240" s="140"/>
      <c r="TIU240" s="140"/>
      <c r="TIV240" s="140"/>
      <c r="TIW240" s="140"/>
      <c r="TIX240" s="140"/>
      <c r="TIY240" s="140"/>
      <c r="TIZ240" s="140"/>
      <c r="TJA240" s="140"/>
      <c r="TJB240" s="140"/>
      <c r="TJC240" s="140"/>
      <c r="TJD240" s="140"/>
      <c r="TJE240" s="140"/>
      <c r="TJF240" s="140"/>
      <c r="TJG240" s="140"/>
      <c r="TJH240" s="140"/>
      <c r="TJI240" s="140"/>
      <c r="TJJ240" s="140"/>
      <c r="TJK240" s="140"/>
      <c r="TJL240" s="140"/>
      <c r="TJM240" s="140"/>
      <c r="TJN240" s="140"/>
      <c r="TJO240" s="140"/>
      <c r="TJP240" s="140"/>
      <c r="TJQ240" s="140"/>
      <c r="TJR240" s="140"/>
      <c r="TJS240" s="140"/>
      <c r="TJT240" s="140"/>
      <c r="TJU240" s="140"/>
      <c r="TJV240" s="140"/>
      <c r="TJW240" s="140"/>
      <c r="TJX240" s="140"/>
      <c r="TJY240" s="140"/>
      <c r="TJZ240" s="140"/>
      <c r="TKA240" s="140"/>
      <c r="TKB240" s="140"/>
      <c r="TKC240" s="140"/>
      <c r="TKD240" s="140"/>
      <c r="TKE240" s="140"/>
      <c r="TKF240" s="140"/>
      <c r="TKG240" s="140"/>
      <c r="TKH240" s="140"/>
      <c r="TKI240" s="140"/>
      <c r="TKJ240" s="140"/>
      <c r="TKK240" s="140"/>
      <c r="TKL240" s="140"/>
      <c r="TKM240" s="140"/>
      <c r="TKN240" s="140"/>
      <c r="TKO240" s="140"/>
      <c r="TKP240" s="140"/>
      <c r="TKQ240" s="140"/>
      <c r="TKR240" s="140"/>
      <c r="TKS240" s="140"/>
      <c r="TKT240" s="140"/>
      <c r="TKU240" s="140"/>
      <c r="TKV240" s="140"/>
      <c r="TKW240" s="140"/>
      <c r="TKX240" s="140"/>
      <c r="TKY240" s="140"/>
      <c r="TKZ240" s="140"/>
      <c r="TLA240" s="140"/>
      <c r="TLB240" s="140"/>
      <c r="TLC240" s="140"/>
      <c r="TLD240" s="140"/>
      <c r="TLE240" s="140"/>
      <c r="TLF240" s="140"/>
      <c r="TLG240" s="140"/>
      <c r="TLH240" s="140"/>
      <c r="TLI240" s="140"/>
      <c r="TLJ240" s="140"/>
      <c r="TLK240" s="140"/>
      <c r="TLL240" s="140"/>
      <c r="TLM240" s="140"/>
      <c r="TLN240" s="140"/>
      <c r="TLO240" s="140"/>
      <c r="TLP240" s="140"/>
      <c r="TLQ240" s="140"/>
      <c r="TLR240" s="140"/>
      <c r="TLS240" s="140"/>
      <c r="TLT240" s="140"/>
      <c r="TLU240" s="140"/>
      <c r="TLV240" s="140"/>
      <c r="TLW240" s="140"/>
      <c r="TLX240" s="140"/>
      <c r="TLY240" s="140"/>
      <c r="TLZ240" s="140"/>
      <c r="TMA240" s="140"/>
      <c r="TMB240" s="140"/>
      <c r="TMC240" s="140"/>
      <c r="TMD240" s="140"/>
      <c r="TME240" s="140"/>
      <c r="TMF240" s="140"/>
      <c r="TMG240" s="140"/>
      <c r="TMH240" s="140"/>
      <c r="TMI240" s="140"/>
      <c r="TMJ240" s="140"/>
      <c r="TMK240" s="140"/>
      <c r="TML240" s="140"/>
      <c r="TMM240" s="140"/>
      <c r="TMN240" s="140"/>
      <c r="TMO240" s="140"/>
      <c r="TMP240" s="140"/>
      <c r="TMQ240" s="140"/>
      <c r="TMR240" s="140"/>
      <c r="TMS240" s="140"/>
      <c r="TMT240" s="140"/>
      <c r="TMU240" s="140"/>
      <c r="TMV240" s="140"/>
      <c r="TMW240" s="140"/>
      <c r="TMX240" s="140"/>
      <c r="TMY240" s="140"/>
      <c r="TMZ240" s="140"/>
      <c r="TNA240" s="140"/>
      <c r="TNB240" s="140"/>
      <c r="TNC240" s="140"/>
      <c r="TND240" s="140"/>
      <c r="TNE240" s="140"/>
      <c r="TNF240" s="140"/>
      <c r="TNG240" s="140"/>
      <c r="TNH240" s="140"/>
      <c r="TNI240" s="140"/>
      <c r="TNJ240" s="140"/>
      <c r="TNK240" s="140"/>
      <c r="TNL240" s="140"/>
      <c r="TNM240" s="140"/>
      <c r="TNN240" s="140"/>
      <c r="TNO240" s="140"/>
      <c r="TNP240" s="140"/>
      <c r="TNQ240" s="140"/>
      <c r="TNR240" s="140"/>
      <c r="TNS240" s="140"/>
      <c r="TNT240" s="140"/>
      <c r="TNU240" s="140"/>
      <c r="TNV240" s="140"/>
      <c r="TNW240" s="140"/>
      <c r="TNX240" s="140"/>
      <c r="TNY240" s="140"/>
      <c r="TNZ240" s="140"/>
      <c r="TOA240" s="140"/>
      <c r="TOB240" s="140"/>
      <c r="TOC240" s="140"/>
      <c r="TOD240" s="140"/>
      <c r="TOE240" s="140"/>
      <c r="TOF240" s="140"/>
      <c r="TOG240" s="140"/>
      <c r="TOH240" s="140"/>
      <c r="TOI240" s="140"/>
      <c r="TOJ240" s="140"/>
      <c r="TOK240" s="140"/>
      <c r="TOL240" s="140"/>
      <c r="TOM240" s="140"/>
      <c r="TON240" s="140"/>
      <c r="TOO240" s="140"/>
      <c r="TOP240" s="140"/>
      <c r="TOQ240" s="140"/>
      <c r="TOR240" s="140"/>
      <c r="TOS240" s="140"/>
      <c r="TOT240" s="140"/>
      <c r="TOU240" s="140"/>
      <c r="TOV240" s="140"/>
      <c r="TOW240" s="140"/>
      <c r="TOX240" s="140"/>
      <c r="TOY240" s="140"/>
      <c r="TOZ240" s="140"/>
      <c r="TPA240" s="140"/>
      <c r="TPB240" s="140"/>
      <c r="TPC240" s="140"/>
      <c r="TPD240" s="140"/>
      <c r="TPE240" s="140"/>
      <c r="TPF240" s="140"/>
      <c r="TPG240" s="140"/>
      <c r="TPH240" s="140"/>
      <c r="TPI240" s="140"/>
      <c r="TPJ240" s="140"/>
      <c r="TPK240" s="140"/>
      <c r="TPL240" s="140"/>
      <c r="TPM240" s="140"/>
      <c r="TPN240" s="140"/>
      <c r="TPO240" s="140"/>
      <c r="TPP240" s="140"/>
      <c r="TPQ240" s="140"/>
      <c r="TPR240" s="140"/>
      <c r="TPS240" s="140"/>
      <c r="TPT240" s="140"/>
      <c r="TPU240" s="140"/>
      <c r="TPV240" s="140"/>
      <c r="TPW240" s="140"/>
      <c r="TPX240" s="140"/>
      <c r="TPY240" s="140"/>
      <c r="TPZ240" s="140"/>
      <c r="TQA240" s="140"/>
      <c r="TQB240" s="140"/>
      <c r="TQC240" s="140"/>
      <c r="TQD240" s="140"/>
      <c r="TQE240" s="140"/>
      <c r="TQF240" s="140"/>
      <c r="TQG240" s="140"/>
      <c r="TQH240" s="140"/>
      <c r="TQI240" s="140"/>
      <c r="TQJ240" s="140"/>
      <c r="TQK240" s="140"/>
      <c r="TQL240" s="140"/>
      <c r="TQM240" s="140"/>
      <c r="TQN240" s="140"/>
      <c r="TQO240" s="140"/>
      <c r="TQP240" s="140"/>
      <c r="TQQ240" s="140"/>
      <c r="TQR240" s="140"/>
      <c r="TQS240" s="140"/>
      <c r="TQT240" s="140"/>
      <c r="TQU240" s="140"/>
      <c r="TQV240" s="140"/>
      <c r="TQW240" s="140"/>
      <c r="TQX240" s="140"/>
      <c r="TQY240" s="140"/>
      <c r="TQZ240" s="140"/>
      <c r="TRA240" s="140"/>
      <c r="TRB240" s="140"/>
      <c r="TRC240" s="140"/>
      <c r="TRD240" s="140"/>
      <c r="TRE240" s="140"/>
      <c r="TRF240" s="140"/>
      <c r="TRG240" s="140"/>
      <c r="TRH240" s="140"/>
      <c r="TRI240" s="140"/>
      <c r="TRJ240" s="140"/>
      <c r="TRK240" s="140"/>
      <c r="TRL240" s="140"/>
      <c r="TRM240" s="140"/>
      <c r="TRN240" s="140"/>
      <c r="TRO240" s="140"/>
      <c r="TRP240" s="140"/>
      <c r="TRQ240" s="140"/>
      <c r="TRR240" s="140"/>
      <c r="TRS240" s="140"/>
      <c r="TRT240" s="140"/>
      <c r="TRU240" s="140"/>
      <c r="TRV240" s="140"/>
      <c r="TRW240" s="140"/>
      <c r="TRX240" s="140"/>
      <c r="TRY240" s="140"/>
      <c r="TRZ240" s="140"/>
      <c r="TSA240" s="140"/>
      <c r="TSB240" s="140"/>
      <c r="TSC240" s="140"/>
      <c r="TSD240" s="140"/>
      <c r="TSE240" s="140"/>
      <c r="TSF240" s="140"/>
      <c r="TSG240" s="140"/>
      <c r="TSH240" s="140"/>
      <c r="TSI240" s="140"/>
      <c r="TSJ240" s="140"/>
      <c r="TSK240" s="140"/>
      <c r="TSL240" s="140"/>
      <c r="TSM240" s="140"/>
      <c r="TSN240" s="140"/>
      <c r="TSO240" s="140"/>
      <c r="TSP240" s="140"/>
      <c r="TSQ240" s="140"/>
      <c r="TSR240" s="140"/>
      <c r="TSS240" s="140"/>
      <c r="TST240" s="140"/>
      <c r="TSU240" s="140"/>
      <c r="TSV240" s="140"/>
      <c r="TSW240" s="140"/>
      <c r="TSX240" s="140"/>
      <c r="TSY240" s="140"/>
      <c r="TSZ240" s="140"/>
      <c r="TTA240" s="140"/>
      <c r="TTB240" s="140"/>
      <c r="TTC240" s="140"/>
      <c r="TTD240" s="140"/>
      <c r="TTE240" s="140"/>
      <c r="TTF240" s="140"/>
      <c r="TTG240" s="140"/>
      <c r="TTH240" s="140"/>
      <c r="TTI240" s="140"/>
      <c r="TTJ240" s="140"/>
      <c r="TTK240" s="140"/>
      <c r="TTL240" s="140"/>
      <c r="TTM240" s="140"/>
      <c r="TTN240" s="140"/>
      <c r="TTO240" s="140"/>
      <c r="TTP240" s="140"/>
      <c r="TTQ240" s="140"/>
      <c r="TTR240" s="140"/>
      <c r="TTS240" s="140"/>
      <c r="TTT240" s="140"/>
      <c r="TTU240" s="140"/>
      <c r="TTV240" s="140"/>
      <c r="TTW240" s="140"/>
      <c r="TTX240" s="140"/>
      <c r="TTY240" s="140"/>
      <c r="TTZ240" s="140"/>
      <c r="TUA240" s="140"/>
      <c r="TUB240" s="140"/>
      <c r="TUC240" s="140"/>
      <c r="TUD240" s="140"/>
      <c r="TUE240" s="140"/>
      <c r="TUF240" s="140"/>
      <c r="TUG240" s="140"/>
      <c r="TUH240" s="140"/>
      <c r="TUI240" s="140"/>
      <c r="TUJ240" s="140"/>
      <c r="TUK240" s="140"/>
      <c r="TUL240" s="140"/>
      <c r="TUM240" s="140"/>
      <c r="TUN240" s="140"/>
      <c r="TUO240" s="140"/>
      <c r="TUP240" s="140"/>
      <c r="TUQ240" s="140"/>
      <c r="TUR240" s="140"/>
      <c r="TUS240" s="140"/>
      <c r="TUT240" s="140"/>
      <c r="TUU240" s="140"/>
      <c r="TUV240" s="140"/>
      <c r="TUW240" s="140"/>
      <c r="TUX240" s="140"/>
      <c r="TUY240" s="140"/>
      <c r="TUZ240" s="140"/>
      <c r="TVA240" s="140"/>
      <c r="TVB240" s="140"/>
      <c r="TVC240" s="140"/>
      <c r="TVD240" s="140"/>
      <c r="TVE240" s="140"/>
      <c r="TVF240" s="140"/>
      <c r="TVG240" s="140"/>
      <c r="TVH240" s="140"/>
      <c r="TVI240" s="140"/>
      <c r="TVJ240" s="140"/>
      <c r="TVK240" s="140"/>
      <c r="TVL240" s="140"/>
      <c r="TVM240" s="140"/>
      <c r="TVN240" s="140"/>
      <c r="TVO240" s="140"/>
      <c r="TVP240" s="140"/>
      <c r="TVQ240" s="140"/>
      <c r="TVR240" s="140"/>
      <c r="TVS240" s="140"/>
      <c r="TVT240" s="140"/>
      <c r="TVU240" s="140"/>
      <c r="TVV240" s="140"/>
      <c r="TVW240" s="140"/>
      <c r="TVX240" s="140"/>
      <c r="TVY240" s="140"/>
      <c r="TVZ240" s="140"/>
      <c r="TWA240" s="140"/>
      <c r="TWB240" s="140"/>
      <c r="TWC240" s="140"/>
      <c r="TWD240" s="140"/>
      <c r="TWE240" s="140"/>
      <c r="TWF240" s="140"/>
      <c r="TWG240" s="140"/>
      <c r="TWH240" s="140"/>
      <c r="TWI240" s="140"/>
      <c r="TWJ240" s="140"/>
      <c r="TWK240" s="140"/>
      <c r="TWL240" s="140"/>
      <c r="TWM240" s="140"/>
      <c r="TWN240" s="140"/>
      <c r="TWO240" s="140"/>
      <c r="TWP240" s="140"/>
      <c r="TWQ240" s="140"/>
      <c r="TWR240" s="140"/>
      <c r="TWS240" s="140"/>
      <c r="TWT240" s="140"/>
      <c r="TWU240" s="140"/>
      <c r="TWV240" s="140"/>
      <c r="TWW240" s="140"/>
      <c r="TWX240" s="140"/>
      <c r="TWY240" s="140"/>
      <c r="TWZ240" s="140"/>
      <c r="TXA240" s="140"/>
      <c r="TXB240" s="140"/>
      <c r="TXC240" s="140"/>
      <c r="TXD240" s="140"/>
      <c r="TXE240" s="140"/>
      <c r="TXF240" s="140"/>
      <c r="TXG240" s="140"/>
      <c r="TXH240" s="140"/>
      <c r="TXI240" s="140"/>
      <c r="TXJ240" s="140"/>
      <c r="TXK240" s="140"/>
      <c r="TXL240" s="140"/>
      <c r="TXM240" s="140"/>
      <c r="TXN240" s="140"/>
      <c r="TXO240" s="140"/>
      <c r="TXP240" s="140"/>
      <c r="TXQ240" s="140"/>
      <c r="TXR240" s="140"/>
      <c r="TXS240" s="140"/>
      <c r="TXT240" s="140"/>
      <c r="TXU240" s="140"/>
      <c r="TXV240" s="140"/>
      <c r="TXW240" s="140"/>
      <c r="TXX240" s="140"/>
      <c r="TXY240" s="140"/>
      <c r="TXZ240" s="140"/>
      <c r="TYA240" s="140"/>
      <c r="TYB240" s="140"/>
      <c r="TYC240" s="140"/>
      <c r="TYD240" s="140"/>
      <c r="TYE240" s="140"/>
      <c r="TYF240" s="140"/>
      <c r="TYG240" s="140"/>
      <c r="TYH240" s="140"/>
      <c r="TYI240" s="140"/>
      <c r="TYJ240" s="140"/>
      <c r="TYK240" s="140"/>
      <c r="TYL240" s="140"/>
      <c r="TYM240" s="140"/>
      <c r="TYN240" s="140"/>
      <c r="TYO240" s="140"/>
      <c r="TYP240" s="140"/>
      <c r="TYQ240" s="140"/>
      <c r="TYR240" s="140"/>
      <c r="TYS240" s="140"/>
      <c r="TYT240" s="140"/>
      <c r="TYU240" s="140"/>
      <c r="TYV240" s="140"/>
      <c r="TYW240" s="140"/>
      <c r="TYX240" s="140"/>
      <c r="TYY240" s="140"/>
      <c r="TYZ240" s="140"/>
      <c r="TZA240" s="140"/>
      <c r="TZB240" s="140"/>
      <c r="TZC240" s="140"/>
      <c r="TZD240" s="140"/>
      <c r="TZE240" s="140"/>
      <c r="TZF240" s="140"/>
      <c r="TZG240" s="140"/>
      <c r="TZH240" s="140"/>
      <c r="TZI240" s="140"/>
      <c r="TZJ240" s="140"/>
      <c r="TZK240" s="140"/>
      <c r="TZL240" s="140"/>
      <c r="TZM240" s="140"/>
      <c r="TZN240" s="140"/>
      <c r="TZO240" s="140"/>
      <c r="TZP240" s="140"/>
      <c r="TZQ240" s="140"/>
      <c r="TZR240" s="140"/>
      <c r="TZS240" s="140"/>
      <c r="TZT240" s="140"/>
      <c r="TZU240" s="140"/>
      <c r="TZV240" s="140"/>
      <c r="TZW240" s="140"/>
      <c r="TZX240" s="140"/>
      <c r="TZY240" s="140"/>
      <c r="TZZ240" s="140"/>
      <c r="UAA240" s="140"/>
      <c r="UAB240" s="140"/>
      <c r="UAC240" s="140"/>
      <c r="UAD240" s="140"/>
      <c r="UAE240" s="140"/>
      <c r="UAF240" s="140"/>
      <c r="UAG240" s="140"/>
      <c r="UAH240" s="140"/>
      <c r="UAI240" s="140"/>
      <c r="UAJ240" s="140"/>
      <c r="UAK240" s="140"/>
      <c r="UAL240" s="140"/>
      <c r="UAM240" s="140"/>
      <c r="UAN240" s="140"/>
      <c r="UAO240" s="140"/>
      <c r="UAP240" s="140"/>
      <c r="UAQ240" s="140"/>
      <c r="UAR240" s="140"/>
      <c r="UAS240" s="140"/>
      <c r="UAT240" s="140"/>
      <c r="UAU240" s="140"/>
      <c r="UAV240" s="140"/>
      <c r="UAW240" s="140"/>
      <c r="UAX240" s="140"/>
      <c r="UAY240" s="140"/>
      <c r="UAZ240" s="140"/>
      <c r="UBA240" s="140"/>
      <c r="UBB240" s="140"/>
      <c r="UBC240" s="140"/>
      <c r="UBD240" s="140"/>
      <c r="UBE240" s="140"/>
      <c r="UBF240" s="140"/>
      <c r="UBG240" s="140"/>
      <c r="UBH240" s="140"/>
      <c r="UBI240" s="140"/>
      <c r="UBJ240" s="140"/>
      <c r="UBK240" s="140"/>
      <c r="UBL240" s="140"/>
      <c r="UBM240" s="140"/>
      <c r="UBN240" s="140"/>
      <c r="UBO240" s="140"/>
      <c r="UBP240" s="140"/>
      <c r="UBQ240" s="140"/>
      <c r="UBR240" s="140"/>
      <c r="UBS240" s="140"/>
      <c r="UBT240" s="140"/>
      <c r="UBU240" s="140"/>
      <c r="UBV240" s="140"/>
      <c r="UBW240" s="140"/>
      <c r="UBX240" s="140"/>
      <c r="UBY240" s="140"/>
      <c r="UBZ240" s="140"/>
      <c r="UCA240" s="140"/>
      <c r="UCB240" s="140"/>
      <c r="UCC240" s="140"/>
      <c r="UCD240" s="140"/>
      <c r="UCE240" s="140"/>
      <c r="UCF240" s="140"/>
      <c r="UCG240" s="140"/>
      <c r="UCH240" s="140"/>
      <c r="UCI240" s="140"/>
      <c r="UCJ240" s="140"/>
      <c r="UCK240" s="140"/>
      <c r="UCL240" s="140"/>
      <c r="UCM240" s="140"/>
      <c r="UCN240" s="140"/>
      <c r="UCO240" s="140"/>
      <c r="UCP240" s="140"/>
      <c r="UCQ240" s="140"/>
      <c r="UCR240" s="140"/>
      <c r="UCS240" s="140"/>
      <c r="UCT240" s="140"/>
      <c r="UCU240" s="140"/>
      <c r="UCV240" s="140"/>
      <c r="UCW240" s="140"/>
      <c r="UCX240" s="140"/>
      <c r="UCY240" s="140"/>
      <c r="UCZ240" s="140"/>
      <c r="UDA240" s="140"/>
      <c r="UDB240" s="140"/>
      <c r="UDC240" s="140"/>
      <c r="UDD240" s="140"/>
      <c r="UDE240" s="140"/>
      <c r="UDF240" s="140"/>
      <c r="UDG240" s="140"/>
      <c r="UDH240" s="140"/>
      <c r="UDI240" s="140"/>
      <c r="UDJ240" s="140"/>
      <c r="UDK240" s="140"/>
      <c r="UDL240" s="140"/>
      <c r="UDM240" s="140"/>
      <c r="UDN240" s="140"/>
      <c r="UDO240" s="140"/>
      <c r="UDP240" s="140"/>
      <c r="UDQ240" s="140"/>
      <c r="UDR240" s="140"/>
      <c r="UDS240" s="140"/>
      <c r="UDT240" s="140"/>
      <c r="UDU240" s="140"/>
      <c r="UDV240" s="140"/>
      <c r="UDW240" s="140"/>
      <c r="UDX240" s="140"/>
      <c r="UDY240" s="140"/>
      <c r="UDZ240" s="140"/>
      <c r="UEA240" s="140"/>
      <c r="UEB240" s="140"/>
      <c r="UEC240" s="140"/>
      <c r="UED240" s="140"/>
      <c r="UEE240" s="140"/>
      <c r="UEF240" s="140"/>
      <c r="UEG240" s="140"/>
      <c r="UEH240" s="140"/>
      <c r="UEI240" s="140"/>
      <c r="UEJ240" s="140"/>
      <c r="UEK240" s="140"/>
      <c r="UEL240" s="140"/>
      <c r="UEM240" s="140"/>
      <c r="UEN240" s="140"/>
      <c r="UEO240" s="140"/>
      <c r="UEP240" s="140"/>
      <c r="UEQ240" s="140"/>
      <c r="UER240" s="140"/>
      <c r="UES240" s="140"/>
      <c r="UET240" s="140"/>
      <c r="UEU240" s="140"/>
      <c r="UEV240" s="140"/>
      <c r="UEW240" s="140"/>
      <c r="UEX240" s="140"/>
      <c r="UEY240" s="140"/>
      <c r="UEZ240" s="140"/>
      <c r="UFA240" s="140"/>
      <c r="UFB240" s="140"/>
      <c r="UFC240" s="140"/>
      <c r="UFD240" s="140"/>
      <c r="UFE240" s="140"/>
      <c r="UFF240" s="140"/>
      <c r="UFG240" s="140"/>
      <c r="UFH240" s="140"/>
      <c r="UFI240" s="140"/>
      <c r="UFJ240" s="140"/>
      <c r="UFK240" s="140"/>
      <c r="UFL240" s="140"/>
      <c r="UFM240" s="140"/>
      <c r="UFN240" s="140"/>
      <c r="UFO240" s="140"/>
      <c r="UFP240" s="140"/>
      <c r="UFQ240" s="140"/>
      <c r="UFR240" s="140"/>
      <c r="UFS240" s="140"/>
      <c r="UFT240" s="140"/>
      <c r="UFU240" s="140"/>
      <c r="UFV240" s="140"/>
      <c r="UFW240" s="140"/>
      <c r="UFX240" s="140"/>
      <c r="UFY240" s="140"/>
      <c r="UFZ240" s="140"/>
      <c r="UGA240" s="140"/>
      <c r="UGB240" s="140"/>
      <c r="UGC240" s="140"/>
      <c r="UGD240" s="140"/>
      <c r="UGE240" s="140"/>
      <c r="UGF240" s="140"/>
      <c r="UGG240" s="140"/>
      <c r="UGH240" s="140"/>
      <c r="UGI240" s="140"/>
      <c r="UGJ240" s="140"/>
      <c r="UGK240" s="140"/>
      <c r="UGL240" s="140"/>
      <c r="UGM240" s="140"/>
      <c r="UGN240" s="140"/>
      <c r="UGO240" s="140"/>
      <c r="UGP240" s="140"/>
      <c r="UGQ240" s="140"/>
      <c r="UGR240" s="140"/>
      <c r="UGS240" s="140"/>
      <c r="UGT240" s="140"/>
      <c r="UGU240" s="140"/>
      <c r="UGV240" s="140"/>
      <c r="UGW240" s="140"/>
      <c r="UGX240" s="140"/>
      <c r="UGY240" s="140"/>
      <c r="UGZ240" s="140"/>
      <c r="UHA240" s="140"/>
      <c r="UHB240" s="140"/>
      <c r="UHC240" s="140"/>
      <c r="UHD240" s="140"/>
      <c r="UHE240" s="140"/>
      <c r="UHF240" s="140"/>
      <c r="UHG240" s="140"/>
      <c r="UHH240" s="140"/>
      <c r="UHI240" s="140"/>
      <c r="UHJ240" s="140"/>
      <c r="UHK240" s="140"/>
      <c r="UHL240" s="140"/>
      <c r="UHM240" s="140"/>
      <c r="UHN240" s="140"/>
      <c r="UHO240" s="140"/>
      <c r="UHP240" s="140"/>
      <c r="UHQ240" s="140"/>
      <c r="UHR240" s="140"/>
      <c r="UHS240" s="140"/>
      <c r="UHT240" s="140"/>
      <c r="UHU240" s="140"/>
      <c r="UHV240" s="140"/>
      <c r="UHW240" s="140"/>
      <c r="UHX240" s="140"/>
      <c r="UHY240" s="140"/>
      <c r="UHZ240" s="140"/>
      <c r="UIA240" s="140"/>
      <c r="UIB240" s="140"/>
      <c r="UIC240" s="140"/>
      <c r="UID240" s="140"/>
      <c r="UIE240" s="140"/>
      <c r="UIF240" s="140"/>
      <c r="UIG240" s="140"/>
      <c r="UIH240" s="140"/>
      <c r="UII240" s="140"/>
      <c r="UIJ240" s="140"/>
      <c r="UIK240" s="140"/>
      <c r="UIL240" s="140"/>
      <c r="UIM240" s="140"/>
      <c r="UIN240" s="140"/>
      <c r="UIO240" s="140"/>
      <c r="UIP240" s="140"/>
      <c r="UIQ240" s="140"/>
      <c r="UIR240" s="140"/>
      <c r="UIS240" s="140"/>
      <c r="UIT240" s="140"/>
      <c r="UIU240" s="140"/>
      <c r="UIV240" s="140"/>
      <c r="UIW240" s="140"/>
      <c r="UIX240" s="140"/>
      <c r="UIY240" s="140"/>
      <c r="UIZ240" s="140"/>
      <c r="UJA240" s="140"/>
      <c r="UJB240" s="140"/>
      <c r="UJC240" s="140"/>
      <c r="UJD240" s="140"/>
      <c r="UJE240" s="140"/>
      <c r="UJF240" s="140"/>
      <c r="UJG240" s="140"/>
      <c r="UJH240" s="140"/>
      <c r="UJI240" s="140"/>
      <c r="UJJ240" s="140"/>
      <c r="UJK240" s="140"/>
      <c r="UJL240" s="140"/>
      <c r="UJM240" s="140"/>
      <c r="UJN240" s="140"/>
      <c r="UJO240" s="140"/>
      <c r="UJP240" s="140"/>
      <c r="UJQ240" s="140"/>
      <c r="UJR240" s="140"/>
      <c r="UJS240" s="140"/>
      <c r="UJT240" s="140"/>
      <c r="UJU240" s="140"/>
      <c r="UJV240" s="140"/>
      <c r="UJW240" s="140"/>
      <c r="UJX240" s="140"/>
      <c r="UJY240" s="140"/>
      <c r="UJZ240" s="140"/>
      <c r="UKA240" s="140"/>
      <c r="UKB240" s="140"/>
      <c r="UKC240" s="140"/>
      <c r="UKD240" s="140"/>
      <c r="UKE240" s="140"/>
      <c r="UKF240" s="140"/>
      <c r="UKG240" s="140"/>
      <c r="UKH240" s="140"/>
      <c r="UKI240" s="140"/>
      <c r="UKJ240" s="140"/>
      <c r="UKK240" s="140"/>
      <c r="UKL240" s="140"/>
      <c r="UKM240" s="140"/>
      <c r="UKN240" s="140"/>
      <c r="UKO240" s="140"/>
      <c r="UKP240" s="140"/>
      <c r="UKQ240" s="140"/>
      <c r="UKR240" s="140"/>
      <c r="UKS240" s="140"/>
      <c r="UKT240" s="140"/>
      <c r="UKU240" s="140"/>
      <c r="UKV240" s="140"/>
      <c r="UKW240" s="140"/>
      <c r="UKX240" s="140"/>
      <c r="UKY240" s="140"/>
      <c r="UKZ240" s="140"/>
      <c r="ULA240" s="140"/>
      <c r="ULB240" s="140"/>
      <c r="ULC240" s="140"/>
      <c r="ULD240" s="140"/>
      <c r="ULE240" s="140"/>
      <c r="ULF240" s="140"/>
      <c r="ULG240" s="140"/>
      <c r="ULH240" s="140"/>
      <c r="ULI240" s="140"/>
      <c r="ULJ240" s="140"/>
      <c r="ULK240" s="140"/>
      <c r="ULL240" s="140"/>
      <c r="ULM240" s="140"/>
      <c r="ULN240" s="140"/>
      <c r="ULO240" s="140"/>
      <c r="ULP240" s="140"/>
      <c r="ULQ240" s="140"/>
      <c r="ULR240" s="140"/>
      <c r="ULS240" s="140"/>
      <c r="ULT240" s="140"/>
      <c r="ULU240" s="140"/>
      <c r="ULV240" s="140"/>
      <c r="ULW240" s="140"/>
      <c r="ULX240" s="140"/>
      <c r="ULY240" s="140"/>
      <c r="ULZ240" s="140"/>
      <c r="UMA240" s="140"/>
      <c r="UMB240" s="140"/>
      <c r="UMC240" s="140"/>
      <c r="UMD240" s="140"/>
      <c r="UME240" s="140"/>
      <c r="UMF240" s="140"/>
      <c r="UMG240" s="140"/>
      <c r="UMH240" s="140"/>
      <c r="UMI240" s="140"/>
      <c r="UMJ240" s="140"/>
      <c r="UMK240" s="140"/>
      <c r="UML240" s="140"/>
      <c r="UMM240" s="140"/>
      <c r="UMN240" s="140"/>
      <c r="UMO240" s="140"/>
      <c r="UMP240" s="140"/>
      <c r="UMQ240" s="140"/>
      <c r="UMR240" s="140"/>
      <c r="UMS240" s="140"/>
      <c r="UMT240" s="140"/>
      <c r="UMU240" s="140"/>
      <c r="UMV240" s="140"/>
      <c r="UMW240" s="140"/>
      <c r="UMX240" s="140"/>
      <c r="UMY240" s="140"/>
      <c r="UMZ240" s="140"/>
      <c r="UNA240" s="140"/>
      <c r="UNB240" s="140"/>
      <c r="UNC240" s="140"/>
      <c r="UND240" s="140"/>
      <c r="UNE240" s="140"/>
      <c r="UNF240" s="140"/>
      <c r="UNG240" s="140"/>
      <c r="UNH240" s="140"/>
      <c r="UNI240" s="140"/>
      <c r="UNJ240" s="140"/>
      <c r="UNK240" s="140"/>
      <c r="UNL240" s="140"/>
      <c r="UNM240" s="140"/>
      <c r="UNN240" s="140"/>
      <c r="UNO240" s="140"/>
      <c r="UNP240" s="140"/>
      <c r="UNQ240" s="140"/>
      <c r="UNR240" s="140"/>
      <c r="UNS240" s="140"/>
      <c r="UNT240" s="140"/>
      <c r="UNU240" s="140"/>
      <c r="UNV240" s="140"/>
      <c r="UNW240" s="140"/>
      <c r="UNX240" s="140"/>
      <c r="UNY240" s="140"/>
      <c r="UNZ240" s="140"/>
      <c r="UOA240" s="140"/>
      <c r="UOB240" s="140"/>
      <c r="UOC240" s="140"/>
      <c r="UOD240" s="140"/>
      <c r="UOE240" s="140"/>
      <c r="UOF240" s="140"/>
      <c r="UOG240" s="140"/>
      <c r="UOH240" s="140"/>
      <c r="UOI240" s="140"/>
      <c r="UOJ240" s="140"/>
      <c r="UOK240" s="140"/>
      <c r="UOL240" s="140"/>
      <c r="UOM240" s="140"/>
      <c r="UON240" s="140"/>
      <c r="UOO240" s="140"/>
      <c r="UOP240" s="140"/>
      <c r="UOQ240" s="140"/>
      <c r="UOR240" s="140"/>
      <c r="UOS240" s="140"/>
      <c r="UOT240" s="140"/>
      <c r="UOU240" s="140"/>
      <c r="UOV240" s="140"/>
      <c r="UOW240" s="140"/>
      <c r="UOX240" s="140"/>
      <c r="UOY240" s="140"/>
      <c r="UOZ240" s="140"/>
      <c r="UPA240" s="140"/>
      <c r="UPB240" s="140"/>
      <c r="UPC240" s="140"/>
      <c r="UPD240" s="140"/>
      <c r="UPE240" s="140"/>
      <c r="UPF240" s="140"/>
      <c r="UPG240" s="140"/>
      <c r="UPH240" s="140"/>
      <c r="UPI240" s="140"/>
      <c r="UPJ240" s="140"/>
      <c r="UPK240" s="140"/>
      <c r="UPL240" s="140"/>
      <c r="UPM240" s="140"/>
      <c r="UPN240" s="140"/>
      <c r="UPO240" s="140"/>
      <c r="UPP240" s="140"/>
      <c r="UPQ240" s="140"/>
      <c r="UPR240" s="140"/>
      <c r="UPS240" s="140"/>
      <c r="UPT240" s="140"/>
      <c r="UPU240" s="140"/>
      <c r="UPV240" s="140"/>
      <c r="UPW240" s="140"/>
      <c r="UPX240" s="140"/>
      <c r="UPY240" s="140"/>
      <c r="UPZ240" s="140"/>
      <c r="UQA240" s="140"/>
      <c r="UQB240" s="140"/>
      <c r="UQC240" s="140"/>
      <c r="UQD240" s="140"/>
      <c r="UQE240" s="140"/>
      <c r="UQF240" s="140"/>
      <c r="UQG240" s="140"/>
      <c r="UQH240" s="140"/>
      <c r="UQI240" s="140"/>
      <c r="UQJ240" s="140"/>
      <c r="UQK240" s="140"/>
      <c r="UQL240" s="140"/>
      <c r="UQM240" s="140"/>
      <c r="UQN240" s="140"/>
      <c r="UQO240" s="140"/>
      <c r="UQP240" s="140"/>
      <c r="UQQ240" s="140"/>
      <c r="UQR240" s="140"/>
      <c r="UQS240" s="140"/>
      <c r="UQT240" s="140"/>
      <c r="UQU240" s="140"/>
      <c r="UQV240" s="140"/>
      <c r="UQW240" s="140"/>
      <c r="UQX240" s="140"/>
      <c r="UQY240" s="140"/>
      <c r="UQZ240" s="140"/>
      <c r="URA240" s="140"/>
      <c r="URB240" s="140"/>
      <c r="URC240" s="140"/>
      <c r="URD240" s="140"/>
      <c r="URE240" s="140"/>
      <c r="URF240" s="140"/>
      <c r="URG240" s="140"/>
      <c r="URH240" s="140"/>
      <c r="URI240" s="140"/>
      <c r="URJ240" s="140"/>
      <c r="URK240" s="140"/>
      <c r="URL240" s="140"/>
      <c r="URM240" s="140"/>
      <c r="URN240" s="140"/>
      <c r="URO240" s="140"/>
      <c r="URP240" s="140"/>
      <c r="URQ240" s="140"/>
      <c r="URR240" s="140"/>
      <c r="URS240" s="140"/>
      <c r="URT240" s="140"/>
      <c r="URU240" s="140"/>
      <c r="URV240" s="140"/>
      <c r="URW240" s="140"/>
      <c r="URX240" s="140"/>
      <c r="URY240" s="140"/>
      <c r="URZ240" s="140"/>
      <c r="USA240" s="140"/>
      <c r="USB240" s="140"/>
      <c r="USC240" s="140"/>
      <c r="USD240" s="140"/>
      <c r="USE240" s="140"/>
      <c r="USF240" s="140"/>
      <c r="USG240" s="140"/>
      <c r="USH240" s="140"/>
      <c r="USI240" s="140"/>
      <c r="USJ240" s="140"/>
      <c r="USK240" s="140"/>
      <c r="USL240" s="140"/>
      <c r="USM240" s="140"/>
      <c r="USN240" s="140"/>
      <c r="USO240" s="140"/>
      <c r="USP240" s="140"/>
      <c r="USQ240" s="140"/>
      <c r="USR240" s="140"/>
      <c r="USS240" s="140"/>
      <c r="UST240" s="140"/>
      <c r="USU240" s="140"/>
      <c r="USV240" s="140"/>
      <c r="USW240" s="140"/>
      <c r="USX240" s="140"/>
      <c r="USY240" s="140"/>
      <c r="USZ240" s="140"/>
      <c r="UTA240" s="140"/>
      <c r="UTB240" s="140"/>
      <c r="UTC240" s="140"/>
      <c r="UTD240" s="140"/>
      <c r="UTE240" s="140"/>
      <c r="UTF240" s="140"/>
      <c r="UTG240" s="140"/>
      <c r="UTH240" s="140"/>
      <c r="UTI240" s="140"/>
      <c r="UTJ240" s="140"/>
      <c r="UTK240" s="140"/>
      <c r="UTL240" s="140"/>
      <c r="UTM240" s="140"/>
      <c r="UTN240" s="140"/>
      <c r="UTO240" s="140"/>
      <c r="UTP240" s="140"/>
      <c r="UTQ240" s="140"/>
      <c r="UTR240" s="140"/>
      <c r="UTS240" s="140"/>
      <c r="UTT240" s="140"/>
      <c r="UTU240" s="140"/>
      <c r="UTV240" s="140"/>
      <c r="UTW240" s="140"/>
      <c r="UTX240" s="140"/>
      <c r="UTY240" s="140"/>
      <c r="UTZ240" s="140"/>
      <c r="UUA240" s="140"/>
      <c r="UUB240" s="140"/>
      <c r="UUC240" s="140"/>
      <c r="UUD240" s="140"/>
      <c r="UUE240" s="140"/>
      <c r="UUF240" s="140"/>
      <c r="UUG240" s="140"/>
      <c r="UUH240" s="140"/>
      <c r="UUI240" s="140"/>
      <c r="UUJ240" s="140"/>
      <c r="UUK240" s="140"/>
      <c r="UUL240" s="140"/>
      <c r="UUM240" s="140"/>
      <c r="UUN240" s="140"/>
      <c r="UUO240" s="140"/>
      <c r="UUP240" s="140"/>
      <c r="UUQ240" s="140"/>
      <c r="UUR240" s="140"/>
      <c r="UUS240" s="140"/>
      <c r="UUT240" s="140"/>
      <c r="UUU240" s="140"/>
      <c r="UUV240" s="140"/>
      <c r="UUW240" s="140"/>
      <c r="UUX240" s="140"/>
      <c r="UUY240" s="140"/>
      <c r="UUZ240" s="140"/>
      <c r="UVA240" s="140"/>
      <c r="UVB240" s="140"/>
      <c r="UVC240" s="140"/>
      <c r="UVD240" s="140"/>
      <c r="UVE240" s="140"/>
      <c r="UVF240" s="140"/>
      <c r="UVG240" s="140"/>
      <c r="UVH240" s="140"/>
      <c r="UVI240" s="140"/>
      <c r="UVJ240" s="140"/>
      <c r="UVK240" s="140"/>
      <c r="UVL240" s="140"/>
      <c r="UVM240" s="140"/>
      <c r="UVN240" s="140"/>
      <c r="UVO240" s="140"/>
      <c r="UVP240" s="140"/>
      <c r="UVQ240" s="140"/>
      <c r="UVR240" s="140"/>
      <c r="UVS240" s="140"/>
      <c r="UVT240" s="140"/>
      <c r="UVU240" s="140"/>
      <c r="UVV240" s="140"/>
      <c r="UVW240" s="140"/>
      <c r="UVX240" s="140"/>
      <c r="UVY240" s="140"/>
      <c r="UVZ240" s="140"/>
      <c r="UWA240" s="140"/>
      <c r="UWB240" s="140"/>
      <c r="UWC240" s="140"/>
      <c r="UWD240" s="140"/>
      <c r="UWE240" s="140"/>
      <c r="UWF240" s="140"/>
      <c r="UWG240" s="140"/>
      <c r="UWH240" s="140"/>
      <c r="UWI240" s="140"/>
      <c r="UWJ240" s="140"/>
      <c r="UWK240" s="140"/>
      <c r="UWL240" s="140"/>
      <c r="UWM240" s="140"/>
      <c r="UWN240" s="140"/>
      <c r="UWO240" s="140"/>
      <c r="UWP240" s="140"/>
      <c r="UWQ240" s="140"/>
      <c r="UWR240" s="140"/>
      <c r="UWS240" s="140"/>
      <c r="UWT240" s="140"/>
      <c r="UWU240" s="140"/>
      <c r="UWV240" s="140"/>
      <c r="UWW240" s="140"/>
      <c r="UWX240" s="140"/>
      <c r="UWY240" s="140"/>
      <c r="UWZ240" s="140"/>
      <c r="UXA240" s="140"/>
      <c r="UXB240" s="140"/>
      <c r="UXC240" s="140"/>
      <c r="UXD240" s="140"/>
      <c r="UXE240" s="140"/>
      <c r="UXF240" s="140"/>
      <c r="UXG240" s="140"/>
      <c r="UXH240" s="140"/>
      <c r="UXI240" s="140"/>
      <c r="UXJ240" s="140"/>
      <c r="UXK240" s="140"/>
      <c r="UXL240" s="140"/>
      <c r="UXM240" s="140"/>
      <c r="UXN240" s="140"/>
      <c r="UXO240" s="140"/>
      <c r="UXP240" s="140"/>
      <c r="UXQ240" s="140"/>
      <c r="UXR240" s="140"/>
      <c r="UXS240" s="140"/>
      <c r="UXT240" s="140"/>
      <c r="UXU240" s="140"/>
      <c r="UXV240" s="140"/>
      <c r="UXW240" s="140"/>
      <c r="UXX240" s="140"/>
      <c r="UXY240" s="140"/>
      <c r="UXZ240" s="140"/>
      <c r="UYA240" s="140"/>
      <c r="UYB240" s="140"/>
      <c r="UYC240" s="140"/>
      <c r="UYD240" s="140"/>
      <c r="UYE240" s="140"/>
      <c r="UYF240" s="140"/>
      <c r="UYG240" s="140"/>
      <c r="UYH240" s="140"/>
      <c r="UYI240" s="140"/>
      <c r="UYJ240" s="140"/>
      <c r="UYK240" s="140"/>
      <c r="UYL240" s="140"/>
      <c r="UYM240" s="140"/>
      <c r="UYN240" s="140"/>
      <c r="UYO240" s="140"/>
      <c r="UYP240" s="140"/>
      <c r="UYQ240" s="140"/>
      <c r="UYR240" s="140"/>
      <c r="UYS240" s="140"/>
      <c r="UYT240" s="140"/>
      <c r="UYU240" s="140"/>
      <c r="UYV240" s="140"/>
      <c r="UYW240" s="140"/>
      <c r="UYX240" s="140"/>
      <c r="UYY240" s="140"/>
      <c r="UYZ240" s="140"/>
      <c r="UZA240" s="140"/>
      <c r="UZB240" s="140"/>
      <c r="UZC240" s="140"/>
      <c r="UZD240" s="140"/>
      <c r="UZE240" s="140"/>
      <c r="UZF240" s="140"/>
      <c r="UZG240" s="140"/>
      <c r="UZH240" s="140"/>
      <c r="UZI240" s="140"/>
      <c r="UZJ240" s="140"/>
      <c r="UZK240" s="140"/>
      <c r="UZL240" s="140"/>
      <c r="UZM240" s="140"/>
      <c r="UZN240" s="140"/>
      <c r="UZO240" s="140"/>
      <c r="UZP240" s="140"/>
      <c r="UZQ240" s="140"/>
      <c r="UZR240" s="140"/>
      <c r="UZS240" s="140"/>
      <c r="UZT240" s="140"/>
      <c r="UZU240" s="140"/>
      <c r="UZV240" s="140"/>
      <c r="UZW240" s="140"/>
      <c r="UZX240" s="140"/>
      <c r="UZY240" s="140"/>
      <c r="UZZ240" s="140"/>
      <c r="VAA240" s="140"/>
      <c r="VAB240" s="140"/>
      <c r="VAC240" s="140"/>
      <c r="VAD240" s="140"/>
      <c r="VAE240" s="140"/>
      <c r="VAF240" s="140"/>
      <c r="VAG240" s="140"/>
      <c r="VAH240" s="140"/>
      <c r="VAI240" s="140"/>
      <c r="VAJ240" s="140"/>
      <c r="VAK240" s="140"/>
      <c r="VAL240" s="140"/>
      <c r="VAM240" s="140"/>
      <c r="VAN240" s="140"/>
      <c r="VAO240" s="140"/>
      <c r="VAP240" s="140"/>
      <c r="VAQ240" s="140"/>
      <c r="VAR240" s="140"/>
      <c r="VAS240" s="140"/>
      <c r="VAT240" s="140"/>
      <c r="VAU240" s="140"/>
      <c r="VAV240" s="140"/>
      <c r="VAW240" s="140"/>
      <c r="VAX240" s="140"/>
      <c r="VAY240" s="140"/>
      <c r="VAZ240" s="140"/>
      <c r="VBA240" s="140"/>
      <c r="VBB240" s="140"/>
      <c r="VBC240" s="140"/>
      <c r="VBD240" s="140"/>
      <c r="VBE240" s="140"/>
      <c r="VBF240" s="140"/>
      <c r="VBG240" s="140"/>
      <c r="VBH240" s="140"/>
      <c r="VBI240" s="140"/>
      <c r="VBJ240" s="140"/>
      <c r="VBK240" s="140"/>
      <c r="VBL240" s="140"/>
      <c r="VBM240" s="140"/>
      <c r="VBN240" s="140"/>
      <c r="VBO240" s="140"/>
      <c r="VBP240" s="140"/>
      <c r="VBQ240" s="140"/>
      <c r="VBR240" s="140"/>
      <c r="VBS240" s="140"/>
      <c r="VBT240" s="140"/>
      <c r="VBU240" s="140"/>
      <c r="VBV240" s="140"/>
      <c r="VBW240" s="140"/>
      <c r="VBX240" s="140"/>
      <c r="VBY240" s="140"/>
      <c r="VBZ240" s="140"/>
      <c r="VCA240" s="140"/>
      <c r="VCB240" s="140"/>
      <c r="VCC240" s="140"/>
      <c r="VCD240" s="140"/>
      <c r="VCE240" s="140"/>
      <c r="VCF240" s="140"/>
      <c r="VCG240" s="140"/>
      <c r="VCH240" s="140"/>
      <c r="VCI240" s="140"/>
      <c r="VCJ240" s="140"/>
      <c r="VCK240" s="140"/>
      <c r="VCL240" s="140"/>
      <c r="VCM240" s="140"/>
      <c r="VCN240" s="140"/>
      <c r="VCO240" s="140"/>
      <c r="VCP240" s="140"/>
      <c r="VCQ240" s="140"/>
      <c r="VCR240" s="140"/>
      <c r="VCS240" s="140"/>
      <c r="VCT240" s="140"/>
      <c r="VCU240" s="140"/>
      <c r="VCV240" s="140"/>
      <c r="VCW240" s="140"/>
      <c r="VCX240" s="140"/>
      <c r="VCY240" s="140"/>
      <c r="VCZ240" s="140"/>
      <c r="VDA240" s="140"/>
      <c r="VDB240" s="140"/>
      <c r="VDC240" s="140"/>
      <c r="VDD240" s="140"/>
      <c r="VDE240" s="140"/>
      <c r="VDF240" s="140"/>
      <c r="VDG240" s="140"/>
      <c r="VDH240" s="140"/>
      <c r="VDI240" s="140"/>
      <c r="VDJ240" s="140"/>
      <c r="VDK240" s="140"/>
      <c r="VDL240" s="140"/>
      <c r="VDM240" s="140"/>
      <c r="VDN240" s="140"/>
      <c r="VDO240" s="140"/>
      <c r="VDP240" s="140"/>
      <c r="VDQ240" s="140"/>
      <c r="VDR240" s="140"/>
      <c r="VDS240" s="140"/>
      <c r="VDT240" s="140"/>
      <c r="VDU240" s="140"/>
      <c r="VDV240" s="140"/>
      <c r="VDW240" s="140"/>
      <c r="VDX240" s="140"/>
      <c r="VDY240" s="140"/>
      <c r="VDZ240" s="140"/>
      <c r="VEA240" s="140"/>
      <c r="VEB240" s="140"/>
      <c r="VEC240" s="140"/>
      <c r="VED240" s="140"/>
      <c r="VEE240" s="140"/>
      <c r="VEF240" s="140"/>
      <c r="VEG240" s="140"/>
      <c r="VEH240" s="140"/>
      <c r="VEI240" s="140"/>
      <c r="VEJ240" s="140"/>
      <c r="VEK240" s="140"/>
      <c r="VEL240" s="140"/>
      <c r="VEM240" s="140"/>
      <c r="VEN240" s="140"/>
      <c r="VEO240" s="140"/>
      <c r="VEP240" s="140"/>
      <c r="VEQ240" s="140"/>
      <c r="VER240" s="140"/>
      <c r="VES240" s="140"/>
      <c r="VET240" s="140"/>
      <c r="VEU240" s="140"/>
      <c r="VEV240" s="140"/>
      <c r="VEW240" s="140"/>
      <c r="VEX240" s="140"/>
      <c r="VEY240" s="140"/>
      <c r="VEZ240" s="140"/>
      <c r="VFA240" s="140"/>
      <c r="VFB240" s="140"/>
      <c r="VFC240" s="140"/>
      <c r="VFD240" s="140"/>
      <c r="VFE240" s="140"/>
      <c r="VFF240" s="140"/>
      <c r="VFG240" s="140"/>
      <c r="VFH240" s="140"/>
      <c r="VFI240" s="140"/>
      <c r="VFJ240" s="140"/>
      <c r="VFK240" s="140"/>
      <c r="VFL240" s="140"/>
      <c r="VFM240" s="140"/>
      <c r="VFN240" s="140"/>
      <c r="VFO240" s="140"/>
      <c r="VFP240" s="140"/>
      <c r="VFQ240" s="140"/>
      <c r="VFR240" s="140"/>
      <c r="VFS240" s="140"/>
      <c r="VFT240" s="140"/>
      <c r="VFU240" s="140"/>
      <c r="VFV240" s="140"/>
      <c r="VFW240" s="140"/>
      <c r="VFX240" s="140"/>
      <c r="VFY240" s="140"/>
      <c r="VFZ240" s="140"/>
      <c r="VGA240" s="140"/>
      <c r="VGB240" s="140"/>
      <c r="VGC240" s="140"/>
      <c r="VGD240" s="140"/>
      <c r="VGE240" s="140"/>
      <c r="VGF240" s="140"/>
      <c r="VGG240" s="140"/>
      <c r="VGH240" s="140"/>
      <c r="VGI240" s="140"/>
      <c r="VGJ240" s="140"/>
      <c r="VGK240" s="140"/>
      <c r="VGL240" s="140"/>
      <c r="VGM240" s="140"/>
      <c r="VGN240" s="140"/>
      <c r="VGO240" s="140"/>
      <c r="VGP240" s="140"/>
      <c r="VGQ240" s="140"/>
      <c r="VGR240" s="140"/>
      <c r="VGS240" s="140"/>
      <c r="VGT240" s="140"/>
      <c r="VGU240" s="140"/>
      <c r="VGV240" s="140"/>
      <c r="VGW240" s="140"/>
      <c r="VGX240" s="140"/>
      <c r="VGY240" s="140"/>
      <c r="VGZ240" s="140"/>
      <c r="VHA240" s="140"/>
      <c r="VHB240" s="140"/>
      <c r="VHC240" s="140"/>
      <c r="VHD240" s="140"/>
      <c r="VHE240" s="140"/>
      <c r="VHF240" s="140"/>
      <c r="VHG240" s="140"/>
      <c r="VHH240" s="140"/>
      <c r="VHI240" s="140"/>
      <c r="VHJ240" s="140"/>
      <c r="VHK240" s="140"/>
      <c r="VHL240" s="140"/>
      <c r="VHM240" s="140"/>
      <c r="VHN240" s="140"/>
      <c r="VHO240" s="140"/>
      <c r="VHP240" s="140"/>
      <c r="VHQ240" s="140"/>
      <c r="VHR240" s="140"/>
      <c r="VHS240" s="140"/>
      <c r="VHT240" s="140"/>
      <c r="VHU240" s="140"/>
      <c r="VHV240" s="140"/>
      <c r="VHW240" s="140"/>
      <c r="VHX240" s="140"/>
      <c r="VHY240" s="140"/>
      <c r="VHZ240" s="140"/>
      <c r="VIA240" s="140"/>
      <c r="VIB240" s="140"/>
      <c r="VIC240" s="140"/>
      <c r="VID240" s="140"/>
      <c r="VIE240" s="140"/>
      <c r="VIF240" s="140"/>
      <c r="VIG240" s="140"/>
      <c r="VIH240" s="140"/>
      <c r="VII240" s="140"/>
      <c r="VIJ240" s="140"/>
      <c r="VIK240" s="140"/>
      <c r="VIL240" s="140"/>
      <c r="VIM240" s="140"/>
      <c r="VIN240" s="140"/>
      <c r="VIO240" s="140"/>
      <c r="VIP240" s="140"/>
      <c r="VIQ240" s="140"/>
      <c r="VIR240" s="140"/>
      <c r="VIS240" s="140"/>
      <c r="VIT240" s="140"/>
      <c r="VIU240" s="140"/>
      <c r="VIV240" s="140"/>
      <c r="VIW240" s="140"/>
      <c r="VIX240" s="140"/>
      <c r="VIY240" s="140"/>
      <c r="VIZ240" s="140"/>
      <c r="VJA240" s="140"/>
      <c r="VJB240" s="140"/>
      <c r="VJC240" s="140"/>
      <c r="VJD240" s="140"/>
      <c r="VJE240" s="140"/>
      <c r="VJF240" s="140"/>
      <c r="VJG240" s="140"/>
      <c r="VJH240" s="140"/>
      <c r="VJI240" s="140"/>
      <c r="VJJ240" s="140"/>
      <c r="VJK240" s="140"/>
      <c r="VJL240" s="140"/>
      <c r="VJM240" s="140"/>
      <c r="VJN240" s="140"/>
      <c r="VJO240" s="140"/>
      <c r="VJP240" s="140"/>
      <c r="VJQ240" s="140"/>
      <c r="VJR240" s="140"/>
      <c r="VJS240" s="140"/>
      <c r="VJT240" s="140"/>
      <c r="VJU240" s="140"/>
      <c r="VJV240" s="140"/>
      <c r="VJW240" s="140"/>
      <c r="VJX240" s="140"/>
      <c r="VJY240" s="140"/>
      <c r="VJZ240" s="140"/>
      <c r="VKA240" s="140"/>
      <c r="VKB240" s="140"/>
      <c r="VKC240" s="140"/>
      <c r="VKD240" s="140"/>
      <c r="VKE240" s="140"/>
      <c r="VKF240" s="140"/>
      <c r="VKG240" s="140"/>
      <c r="VKH240" s="140"/>
      <c r="VKI240" s="140"/>
      <c r="VKJ240" s="140"/>
      <c r="VKK240" s="140"/>
      <c r="VKL240" s="140"/>
      <c r="VKM240" s="140"/>
      <c r="VKN240" s="140"/>
      <c r="VKO240" s="140"/>
      <c r="VKP240" s="140"/>
      <c r="VKQ240" s="140"/>
      <c r="VKR240" s="140"/>
      <c r="VKS240" s="140"/>
      <c r="VKT240" s="140"/>
      <c r="VKU240" s="140"/>
      <c r="VKV240" s="140"/>
      <c r="VKW240" s="140"/>
      <c r="VKX240" s="140"/>
      <c r="VKY240" s="140"/>
      <c r="VKZ240" s="140"/>
      <c r="VLA240" s="140"/>
      <c r="VLB240" s="140"/>
      <c r="VLC240" s="140"/>
      <c r="VLD240" s="140"/>
      <c r="VLE240" s="140"/>
      <c r="VLF240" s="140"/>
      <c r="VLG240" s="140"/>
      <c r="VLH240" s="140"/>
      <c r="VLI240" s="140"/>
      <c r="VLJ240" s="140"/>
      <c r="VLK240" s="140"/>
      <c r="VLL240" s="140"/>
      <c r="VLM240" s="140"/>
      <c r="VLN240" s="140"/>
      <c r="VLO240" s="140"/>
      <c r="VLP240" s="140"/>
      <c r="VLQ240" s="140"/>
      <c r="VLR240" s="140"/>
      <c r="VLS240" s="140"/>
      <c r="VLT240" s="140"/>
      <c r="VLU240" s="140"/>
      <c r="VLV240" s="140"/>
      <c r="VLW240" s="140"/>
      <c r="VLX240" s="140"/>
      <c r="VLY240" s="140"/>
      <c r="VLZ240" s="140"/>
      <c r="VMA240" s="140"/>
      <c r="VMB240" s="140"/>
      <c r="VMC240" s="140"/>
      <c r="VMD240" s="140"/>
      <c r="VME240" s="140"/>
      <c r="VMF240" s="140"/>
      <c r="VMG240" s="140"/>
      <c r="VMH240" s="140"/>
      <c r="VMI240" s="140"/>
      <c r="VMJ240" s="140"/>
      <c r="VMK240" s="140"/>
      <c r="VML240" s="140"/>
      <c r="VMM240" s="140"/>
      <c r="VMN240" s="140"/>
      <c r="VMO240" s="140"/>
      <c r="VMP240" s="140"/>
      <c r="VMQ240" s="140"/>
      <c r="VMR240" s="140"/>
      <c r="VMS240" s="140"/>
      <c r="VMT240" s="140"/>
      <c r="VMU240" s="140"/>
      <c r="VMV240" s="140"/>
      <c r="VMW240" s="140"/>
      <c r="VMX240" s="140"/>
      <c r="VMY240" s="140"/>
      <c r="VMZ240" s="140"/>
      <c r="VNA240" s="140"/>
      <c r="VNB240" s="140"/>
      <c r="VNC240" s="140"/>
      <c r="VND240" s="140"/>
      <c r="VNE240" s="140"/>
      <c r="VNF240" s="140"/>
      <c r="VNG240" s="140"/>
      <c r="VNH240" s="140"/>
      <c r="VNI240" s="140"/>
      <c r="VNJ240" s="140"/>
      <c r="VNK240" s="140"/>
      <c r="VNL240" s="140"/>
      <c r="VNM240" s="140"/>
      <c r="VNN240" s="140"/>
      <c r="VNO240" s="140"/>
      <c r="VNP240" s="140"/>
      <c r="VNQ240" s="140"/>
      <c r="VNR240" s="140"/>
      <c r="VNS240" s="140"/>
      <c r="VNT240" s="140"/>
      <c r="VNU240" s="140"/>
      <c r="VNV240" s="140"/>
      <c r="VNW240" s="140"/>
      <c r="VNX240" s="140"/>
      <c r="VNY240" s="140"/>
      <c r="VNZ240" s="140"/>
      <c r="VOA240" s="140"/>
      <c r="VOB240" s="140"/>
      <c r="VOC240" s="140"/>
      <c r="VOD240" s="140"/>
      <c r="VOE240" s="140"/>
      <c r="VOF240" s="140"/>
      <c r="VOG240" s="140"/>
      <c r="VOH240" s="140"/>
      <c r="VOI240" s="140"/>
      <c r="VOJ240" s="140"/>
      <c r="VOK240" s="140"/>
      <c r="VOL240" s="140"/>
      <c r="VOM240" s="140"/>
      <c r="VON240" s="140"/>
      <c r="VOO240" s="140"/>
      <c r="VOP240" s="140"/>
      <c r="VOQ240" s="140"/>
      <c r="VOR240" s="140"/>
      <c r="VOS240" s="140"/>
      <c r="VOT240" s="140"/>
      <c r="VOU240" s="140"/>
      <c r="VOV240" s="140"/>
      <c r="VOW240" s="140"/>
      <c r="VOX240" s="140"/>
      <c r="VOY240" s="140"/>
      <c r="VOZ240" s="140"/>
      <c r="VPA240" s="140"/>
      <c r="VPB240" s="140"/>
      <c r="VPC240" s="140"/>
      <c r="VPD240" s="140"/>
      <c r="VPE240" s="140"/>
      <c r="VPF240" s="140"/>
      <c r="VPG240" s="140"/>
      <c r="VPH240" s="140"/>
      <c r="VPI240" s="140"/>
      <c r="VPJ240" s="140"/>
      <c r="VPK240" s="140"/>
      <c r="VPL240" s="140"/>
      <c r="VPM240" s="140"/>
      <c r="VPN240" s="140"/>
      <c r="VPO240" s="140"/>
      <c r="VPP240" s="140"/>
      <c r="VPQ240" s="140"/>
      <c r="VPR240" s="140"/>
      <c r="VPS240" s="140"/>
      <c r="VPT240" s="140"/>
      <c r="VPU240" s="140"/>
      <c r="VPV240" s="140"/>
      <c r="VPW240" s="140"/>
      <c r="VPX240" s="140"/>
      <c r="VPY240" s="140"/>
      <c r="VPZ240" s="140"/>
      <c r="VQA240" s="140"/>
      <c r="VQB240" s="140"/>
      <c r="VQC240" s="140"/>
      <c r="VQD240" s="140"/>
      <c r="VQE240" s="140"/>
      <c r="VQF240" s="140"/>
      <c r="VQG240" s="140"/>
      <c r="VQH240" s="140"/>
      <c r="VQI240" s="140"/>
      <c r="VQJ240" s="140"/>
      <c r="VQK240" s="140"/>
      <c r="VQL240" s="140"/>
      <c r="VQM240" s="140"/>
      <c r="VQN240" s="140"/>
      <c r="VQO240" s="140"/>
      <c r="VQP240" s="140"/>
      <c r="VQQ240" s="140"/>
      <c r="VQR240" s="140"/>
      <c r="VQS240" s="140"/>
      <c r="VQT240" s="140"/>
      <c r="VQU240" s="140"/>
      <c r="VQV240" s="140"/>
      <c r="VQW240" s="140"/>
      <c r="VQX240" s="140"/>
      <c r="VQY240" s="140"/>
      <c r="VQZ240" s="140"/>
      <c r="VRA240" s="140"/>
      <c r="VRB240" s="140"/>
      <c r="VRC240" s="140"/>
      <c r="VRD240" s="140"/>
      <c r="VRE240" s="140"/>
      <c r="VRF240" s="140"/>
      <c r="VRG240" s="140"/>
      <c r="VRH240" s="140"/>
      <c r="VRI240" s="140"/>
      <c r="VRJ240" s="140"/>
      <c r="VRK240" s="140"/>
      <c r="VRL240" s="140"/>
      <c r="VRM240" s="140"/>
      <c r="VRN240" s="140"/>
      <c r="VRO240" s="140"/>
      <c r="VRP240" s="140"/>
      <c r="VRQ240" s="140"/>
      <c r="VRR240" s="140"/>
      <c r="VRS240" s="140"/>
      <c r="VRT240" s="140"/>
      <c r="VRU240" s="140"/>
      <c r="VRV240" s="140"/>
      <c r="VRW240" s="140"/>
      <c r="VRX240" s="140"/>
      <c r="VRY240" s="140"/>
      <c r="VRZ240" s="140"/>
      <c r="VSA240" s="140"/>
      <c r="VSB240" s="140"/>
      <c r="VSC240" s="140"/>
      <c r="VSD240" s="140"/>
      <c r="VSE240" s="140"/>
      <c r="VSF240" s="140"/>
      <c r="VSG240" s="140"/>
      <c r="VSH240" s="140"/>
      <c r="VSI240" s="140"/>
      <c r="VSJ240" s="140"/>
      <c r="VSK240" s="140"/>
      <c r="VSL240" s="140"/>
      <c r="VSM240" s="140"/>
      <c r="VSN240" s="140"/>
      <c r="VSO240" s="140"/>
      <c r="VSP240" s="140"/>
      <c r="VSQ240" s="140"/>
      <c r="VSR240" s="140"/>
      <c r="VSS240" s="140"/>
      <c r="VST240" s="140"/>
      <c r="VSU240" s="140"/>
      <c r="VSV240" s="140"/>
      <c r="VSW240" s="140"/>
      <c r="VSX240" s="140"/>
      <c r="VSY240" s="140"/>
      <c r="VSZ240" s="140"/>
      <c r="VTA240" s="140"/>
      <c r="VTB240" s="140"/>
      <c r="VTC240" s="140"/>
      <c r="VTD240" s="140"/>
      <c r="VTE240" s="140"/>
      <c r="VTF240" s="140"/>
      <c r="VTG240" s="140"/>
      <c r="VTH240" s="140"/>
      <c r="VTI240" s="140"/>
      <c r="VTJ240" s="140"/>
      <c r="VTK240" s="140"/>
      <c r="VTL240" s="140"/>
      <c r="VTM240" s="140"/>
      <c r="VTN240" s="140"/>
      <c r="VTO240" s="140"/>
      <c r="VTP240" s="140"/>
      <c r="VTQ240" s="140"/>
      <c r="VTR240" s="140"/>
      <c r="VTS240" s="140"/>
      <c r="VTT240" s="140"/>
      <c r="VTU240" s="140"/>
      <c r="VTV240" s="140"/>
      <c r="VTW240" s="140"/>
      <c r="VTX240" s="140"/>
      <c r="VTY240" s="140"/>
      <c r="VTZ240" s="140"/>
      <c r="VUA240" s="140"/>
      <c r="VUB240" s="140"/>
      <c r="VUC240" s="140"/>
      <c r="VUD240" s="140"/>
      <c r="VUE240" s="140"/>
      <c r="VUF240" s="140"/>
      <c r="VUG240" s="140"/>
      <c r="VUH240" s="140"/>
      <c r="VUI240" s="140"/>
      <c r="VUJ240" s="140"/>
      <c r="VUK240" s="140"/>
      <c r="VUL240" s="140"/>
      <c r="VUM240" s="140"/>
      <c r="VUN240" s="140"/>
      <c r="VUO240" s="140"/>
      <c r="VUP240" s="140"/>
      <c r="VUQ240" s="140"/>
      <c r="VUR240" s="140"/>
      <c r="VUS240" s="140"/>
      <c r="VUT240" s="140"/>
      <c r="VUU240" s="140"/>
      <c r="VUV240" s="140"/>
      <c r="VUW240" s="140"/>
      <c r="VUX240" s="140"/>
      <c r="VUY240" s="140"/>
      <c r="VUZ240" s="140"/>
      <c r="VVA240" s="140"/>
      <c r="VVB240" s="140"/>
      <c r="VVC240" s="140"/>
      <c r="VVD240" s="140"/>
      <c r="VVE240" s="140"/>
      <c r="VVF240" s="140"/>
      <c r="VVG240" s="140"/>
      <c r="VVH240" s="140"/>
      <c r="VVI240" s="140"/>
      <c r="VVJ240" s="140"/>
      <c r="VVK240" s="140"/>
      <c r="VVL240" s="140"/>
      <c r="VVM240" s="140"/>
      <c r="VVN240" s="140"/>
      <c r="VVO240" s="140"/>
      <c r="VVP240" s="140"/>
      <c r="VVQ240" s="140"/>
      <c r="VVR240" s="140"/>
      <c r="VVS240" s="140"/>
      <c r="VVT240" s="140"/>
      <c r="VVU240" s="140"/>
      <c r="VVV240" s="140"/>
      <c r="VVW240" s="140"/>
      <c r="VVX240" s="140"/>
      <c r="VVY240" s="140"/>
      <c r="VVZ240" s="140"/>
      <c r="VWA240" s="140"/>
      <c r="VWB240" s="140"/>
      <c r="VWC240" s="140"/>
      <c r="VWD240" s="140"/>
      <c r="VWE240" s="140"/>
      <c r="VWF240" s="140"/>
      <c r="VWG240" s="140"/>
      <c r="VWH240" s="140"/>
      <c r="VWI240" s="140"/>
      <c r="VWJ240" s="140"/>
      <c r="VWK240" s="140"/>
      <c r="VWL240" s="140"/>
      <c r="VWM240" s="140"/>
      <c r="VWN240" s="140"/>
      <c r="VWO240" s="140"/>
      <c r="VWP240" s="140"/>
      <c r="VWQ240" s="140"/>
      <c r="VWR240" s="140"/>
      <c r="VWS240" s="140"/>
      <c r="VWT240" s="140"/>
      <c r="VWU240" s="140"/>
      <c r="VWV240" s="140"/>
      <c r="VWW240" s="140"/>
      <c r="VWX240" s="140"/>
      <c r="VWY240" s="140"/>
      <c r="VWZ240" s="140"/>
      <c r="VXA240" s="140"/>
      <c r="VXB240" s="140"/>
      <c r="VXC240" s="140"/>
      <c r="VXD240" s="140"/>
      <c r="VXE240" s="140"/>
      <c r="VXF240" s="140"/>
      <c r="VXG240" s="140"/>
      <c r="VXH240" s="140"/>
      <c r="VXI240" s="140"/>
      <c r="VXJ240" s="140"/>
      <c r="VXK240" s="140"/>
      <c r="VXL240" s="140"/>
      <c r="VXM240" s="140"/>
      <c r="VXN240" s="140"/>
      <c r="VXO240" s="140"/>
      <c r="VXP240" s="140"/>
      <c r="VXQ240" s="140"/>
      <c r="VXR240" s="140"/>
      <c r="VXS240" s="140"/>
      <c r="VXT240" s="140"/>
      <c r="VXU240" s="140"/>
      <c r="VXV240" s="140"/>
      <c r="VXW240" s="140"/>
      <c r="VXX240" s="140"/>
      <c r="VXY240" s="140"/>
      <c r="VXZ240" s="140"/>
      <c r="VYA240" s="140"/>
      <c r="VYB240" s="140"/>
      <c r="VYC240" s="140"/>
      <c r="VYD240" s="140"/>
      <c r="VYE240" s="140"/>
      <c r="VYF240" s="140"/>
      <c r="VYG240" s="140"/>
      <c r="VYH240" s="140"/>
      <c r="VYI240" s="140"/>
      <c r="VYJ240" s="140"/>
      <c r="VYK240" s="140"/>
      <c r="VYL240" s="140"/>
      <c r="VYM240" s="140"/>
      <c r="VYN240" s="140"/>
      <c r="VYO240" s="140"/>
      <c r="VYP240" s="140"/>
      <c r="VYQ240" s="140"/>
      <c r="VYR240" s="140"/>
      <c r="VYS240" s="140"/>
      <c r="VYT240" s="140"/>
      <c r="VYU240" s="140"/>
      <c r="VYV240" s="140"/>
      <c r="VYW240" s="140"/>
      <c r="VYX240" s="140"/>
      <c r="VYY240" s="140"/>
      <c r="VYZ240" s="140"/>
      <c r="VZA240" s="140"/>
      <c r="VZB240" s="140"/>
      <c r="VZC240" s="140"/>
      <c r="VZD240" s="140"/>
      <c r="VZE240" s="140"/>
      <c r="VZF240" s="140"/>
      <c r="VZG240" s="140"/>
      <c r="VZH240" s="140"/>
      <c r="VZI240" s="140"/>
      <c r="VZJ240" s="140"/>
      <c r="VZK240" s="140"/>
      <c r="VZL240" s="140"/>
      <c r="VZM240" s="140"/>
      <c r="VZN240" s="140"/>
      <c r="VZO240" s="140"/>
      <c r="VZP240" s="140"/>
      <c r="VZQ240" s="140"/>
      <c r="VZR240" s="140"/>
      <c r="VZS240" s="140"/>
      <c r="VZT240" s="140"/>
      <c r="VZU240" s="140"/>
      <c r="VZV240" s="140"/>
      <c r="VZW240" s="140"/>
      <c r="VZX240" s="140"/>
      <c r="VZY240" s="140"/>
      <c r="VZZ240" s="140"/>
      <c r="WAA240" s="140"/>
      <c r="WAB240" s="140"/>
      <c r="WAC240" s="140"/>
      <c r="WAD240" s="140"/>
      <c r="WAE240" s="140"/>
      <c r="WAF240" s="140"/>
      <c r="WAG240" s="140"/>
      <c r="WAH240" s="140"/>
      <c r="WAI240" s="140"/>
      <c r="WAJ240" s="140"/>
      <c r="WAK240" s="140"/>
      <c r="WAL240" s="140"/>
      <c r="WAM240" s="140"/>
      <c r="WAN240" s="140"/>
      <c r="WAO240" s="140"/>
      <c r="WAP240" s="140"/>
      <c r="WAQ240" s="140"/>
      <c r="WAR240" s="140"/>
      <c r="WAS240" s="140"/>
      <c r="WAT240" s="140"/>
      <c r="WAU240" s="140"/>
      <c r="WAV240" s="140"/>
      <c r="WAW240" s="140"/>
      <c r="WAX240" s="140"/>
      <c r="WAY240" s="140"/>
      <c r="WAZ240" s="140"/>
      <c r="WBA240" s="140"/>
      <c r="WBB240" s="140"/>
      <c r="WBC240" s="140"/>
      <c r="WBD240" s="140"/>
      <c r="WBE240" s="140"/>
      <c r="WBF240" s="140"/>
      <c r="WBG240" s="140"/>
      <c r="WBH240" s="140"/>
      <c r="WBI240" s="140"/>
      <c r="WBJ240" s="140"/>
      <c r="WBK240" s="140"/>
      <c r="WBL240" s="140"/>
      <c r="WBM240" s="140"/>
      <c r="WBN240" s="140"/>
      <c r="WBO240" s="140"/>
      <c r="WBP240" s="140"/>
      <c r="WBQ240" s="140"/>
      <c r="WBR240" s="140"/>
      <c r="WBS240" s="140"/>
      <c r="WBT240" s="140"/>
      <c r="WBU240" s="140"/>
      <c r="WBV240" s="140"/>
      <c r="WBW240" s="140"/>
      <c r="WBX240" s="140"/>
      <c r="WBY240" s="140"/>
      <c r="WBZ240" s="140"/>
      <c r="WCA240" s="140"/>
      <c r="WCB240" s="140"/>
      <c r="WCC240" s="140"/>
      <c r="WCD240" s="140"/>
      <c r="WCE240" s="140"/>
      <c r="WCF240" s="140"/>
      <c r="WCG240" s="140"/>
      <c r="WCH240" s="140"/>
      <c r="WCI240" s="140"/>
      <c r="WCJ240" s="140"/>
      <c r="WCK240" s="140"/>
      <c r="WCL240" s="140"/>
      <c r="WCM240" s="140"/>
      <c r="WCN240" s="140"/>
      <c r="WCO240" s="140"/>
      <c r="WCP240" s="140"/>
      <c r="WCQ240" s="140"/>
      <c r="WCR240" s="140"/>
      <c r="WCS240" s="140"/>
      <c r="WCT240" s="140"/>
      <c r="WCU240" s="140"/>
      <c r="WCV240" s="140"/>
      <c r="WCW240" s="140"/>
      <c r="WCX240" s="140"/>
      <c r="WCY240" s="140"/>
      <c r="WCZ240" s="140"/>
      <c r="WDA240" s="140"/>
      <c r="WDB240" s="140"/>
      <c r="WDC240" s="140"/>
      <c r="WDD240" s="140"/>
      <c r="WDE240" s="140"/>
      <c r="WDF240" s="140"/>
      <c r="WDG240" s="140"/>
      <c r="WDH240" s="140"/>
      <c r="WDI240" s="140"/>
      <c r="WDJ240" s="140"/>
      <c r="WDK240" s="140"/>
      <c r="WDL240" s="140"/>
      <c r="WDM240" s="140"/>
      <c r="WDN240" s="140"/>
      <c r="WDO240" s="140"/>
      <c r="WDP240" s="140"/>
      <c r="WDQ240" s="140"/>
      <c r="WDR240" s="140"/>
      <c r="WDS240" s="140"/>
      <c r="WDT240" s="140"/>
      <c r="WDU240" s="140"/>
      <c r="WDV240" s="140"/>
      <c r="WDW240" s="140"/>
      <c r="WDX240" s="140"/>
      <c r="WDY240" s="140"/>
      <c r="WDZ240" s="140"/>
      <c r="WEA240" s="140"/>
      <c r="WEB240" s="140"/>
      <c r="WEC240" s="140"/>
      <c r="WED240" s="140"/>
      <c r="WEE240" s="140"/>
      <c r="WEF240" s="140"/>
      <c r="WEG240" s="140"/>
      <c r="WEH240" s="140"/>
      <c r="WEI240" s="140"/>
      <c r="WEJ240" s="140"/>
      <c r="WEK240" s="140"/>
      <c r="WEL240" s="140"/>
      <c r="WEM240" s="140"/>
      <c r="WEN240" s="140"/>
      <c r="WEO240" s="140"/>
      <c r="WEP240" s="140"/>
      <c r="WEQ240" s="140"/>
      <c r="WER240" s="140"/>
      <c r="WES240" s="140"/>
      <c r="WET240" s="140"/>
      <c r="WEU240" s="140"/>
      <c r="WEV240" s="140"/>
      <c r="WEW240" s="140"/>
      <c r="WEX240" s="140"/>
      <c r="WEY240" s="140"/>
      <c r="WEZ240" s="140"/>
      <c r="WFA240" s="140"/>
      <c r="WFB240" s="140"/>
      <c r="WFC240" s="140"/>
      <c r="WFD240" s="140"/>
      <c r="WFE240" s="140"/>
      <c r="WFF240" s="140"/>
      <c r="WFG240" s="140"/>
      <c r="WFH240" s="140"/>
      <c r="WFI240" s="140"/>
      <c r="WFJ240" s="140"/>
      <c r="WFK240" s="140"/>
      <c r="WFL240" s="140"/>
      <c r="WFM240" s="140"/>
      <c r="WFN240" s="140"/>
      <c r="WFO240" s="140"/>
      <c r="WFP240" s="140"/>
      <c r="WFQ240" s="140"/>
      <c r="WFR240" s="140"/>
      <c r="WFS240" s="140"/>
      <c r="WFT240" s="140"/>
      <c r="WFU240" s="140"/>
      <c r="WFV240" s="140"/>
      <c r="WFW240" s="140"/>
      <c r="WFX240" s="140"/>
      <c r="WFY240" s="140"/>
      <c r="WFZ240" s="140"/>
      <c r="WGA240" s="140"/>
      <c r="WGB240" s="140"/>
      <c r="WGC240" s="140"/>
      <c r="WGD240" s="140"/>
      <c r="WGE240" s="140"/>
      <c r="WGF240" s="140"/>
      <c r="WGG240" s="140"/>
      <c r="WGH240" s="140"/>
      <c r="WGI240" s="140"/>
      <c r="WGJ240" s="140"/>
      <c r="WGK240" s="140"/>
      <c r="WGL240" s="140"/>
      <c r="WGM240" s="140"/>
      <c r="WGN240" s="140"/>
      <c r="WGO240" s="140"/>
      <c r="WGP240" s="140"/>
      <c r="WGQ240" s="140"/>
      <c r="WGR240" s="140"/>
      <c r="WGS240" s="140"/>
      <c r="WGT240" s="140"/>
      <c r="WGU240" s="140"/>
      <c r="WGV240" s="140"/>
      <c r="WGW240" s="140"/>
      <c r="WGX240" s="140"/>
      <c r="WGY240" s="140"/>
      <c r="WGZ240" s="140"/>
      <c r="WHA240" s="140"/>
      <c r="WHB240" s="140"/>
      <c r="WHC240" s="140"/>
      <c r="WHD240" s="140"/>
      <c r="WHE240" s="140"/>
      <c r="WHF240" s="140"/>
      <c r="WHG240" s="140"/>
      <c r="WHH240" s="140"/>
      <c r="WHI240" s="140"/>
      <c r="WHJ240" s="140"/>
      <c r="WHK240" s="140"/>
      <c r="WHL240" s="140"/>
      <c r="WHM240" s="140"/>
      <c r="WHN240" s="140"/>
      <c r="WHO240" s="140"/>
      <c r="WHP240" s="140"/>
      <c r="WHQ240" s="140"/>
      <c r="WHR240" s="140"/>
      <c r="WHS240" s="140"/>
      <c r="WHT240" s="140"/>
      <c r="WHU240" s="140"/>
      <c r="WHV240" s="140"/>
      <c r="WHW240" s="140"/>
      <c r="WHX240" s="140"/>
      <c r="WHY240" s="140"/>
      <c r="WHZ240" s="140"/>
      <c r="WIA240" s="140"/>
      <c r="WIB240" s="140"/>
      <c r="WIC240" s="140"/>
      <c r="WID240" s="140"/>
      <c r="WIE240" s="140"/>
      <c r="WIF240" s="140"/>
      <c r="WIG240" s="140"/>
      <c r="WIH240" s="140"/>
      <c r="WII240" s="140"/>
      <c r="WIJ240" s="140"/>
      <c r="WIK240" s="140"/>
      <c r="WIL240" s="140"/>
      <c r="WIM240" s="140"/>
      <c r="WIN240" s="140"/>
      <c r="WIO240" s="140"/>
      <c r="WIP240" s="140"/>
      <c r="WIQ240" s="140"/>
      <c r="WIR240" s="140"/>
      <c r="WIS240" s="140"/>
      <c r="WIT240" s="140"/>
      <c r="WIU240" s="140"/>
      <c r="WIV240" s="140"/>
      <c r="WIW240" s="140"/>
      <c r="WIX240" s="140"/>
      <c r="WIY240" s="140"/>
      <c r="WIZ240" s="140"/>
      <c r="WJA240" s="140"/>
      <c r="WJB240" s="140"/>
      <c r="WJC240" s="140"/>
      <c r="WJD240" s="140"/>
      <c r="WJE240" s="140"/>
      <c r="WJF240" s="140"/>
      <c r="WJG240" s="140"/>
      <c r="WJH240" s="140"/>
      <c r="WJI240" s="140"/>
      <c r="WJJ240" s="140"/>
      <c r="WJK240" s="140"/>
      <c r="WJL240" s="140"/>
      <c r="WJM240" s="140"/>
      <c r="WJN240" s="140"/>
      <c r="WJO240" s="140"/>
      <c r="WJP240" s="140"/>
      <c r="WJQ240" s="140"/>
      <c r="WJR240" s="140"/>
      <c r="WJS240" s="140"/>
      <c r="WJT240" s="140"/>
      <c r="WJU240" s="140"/>
      <c r="WJV240" s="140"/>
      <c r="WJW240" s="140"/>
      <c r="WJX240" s="140"/>
      <c r="WJY240" s="140"/>
      <c r="WJZ240" s="140"/>
      <c r="WKA240" s="140"/>
      <c r="WKB240" s="140"/>
      <c r="WKC240" s="140"/>
      <c r="WKD240" s="140"/>
      <c r="WKE240" s="140"/>
      <c r="WKF240" s="140"/>
      <c r="WKG240" s="140"/>
      <c r="WKH240" s="140"/>
      <c r="WKI240" s="140"/>
      <c r="WKJ240" s="140"/>
      <c r="WKK240" s="140"/>
      <c r="WKL240" s="140"/>
      <c r="WKM240" s="140"/>
      <c r="WKN240" s="140"/>
      <c r="WKO240" s="140"/>
      <c r="WKP240" s="140"/>
      <c r="WKQ240" s="140"/>
      <c r="WKR240" s="140"/>
      <c r="WKS240" s="140"/>
      <c r="WKT240" s="140"/>
      <c r="WKU240" s="140"/>
      <c r="WKV240" s="140"/>
      <c r="WKW240" s="140"/>
      <c r="WKX240" s="140"/>
      <c r="WKY240" s="140"/>
      <c r="WKZ240" s="140"/>
      <c r="WLA240" s="140"/>
      <c r="WLB240" s="140"/>
      <c r="WLC240" s="140"/>
      <c r="WLD240" s="140"/>
      <c r="WLE240" s="140"/>
      <c r="WLF240" s="140"/>
      <c r="WLG240" s="140"/>
      <c r="WLH240" s="140"/>
      <c r="WLI240" s="140"/>
      <c r="WLJ240" s="140"/>
      <c r="WLK240" s="140"/>
      <c r="WLL240" s="140"/>
      <c r="WLM240" s="140"/>
      <c r="WLN240" s="140"/>
      <c r="WLO240" s="140"/>
      <c r="WLP240" s="140"/>
      <c r="WLQ240" s="140"/>
      <c r="WLR240" s="140"/>
      <c r="WLS240" s="140"/>
      <c r="WLT240" s="140"/>
      <c r="WLU240" s="140"/>
      <c r="WLV240" s="140"/>
      <c r="WLW240" s="140"/>
      <c r="WLX240" s="140"/>
      <c r="WLY240" s="140"/>
      <c r="WLZ240" s="140"/>
      <c r="WMA240" s="140"/>
      <c r="WMB240" s="140"/>
      <c r="WMC240" s="140"/>
      <c r="WMD240" s="140"/>
      <c r="WME240" s="140"/>
      <c r="WMF240" s="140"/>
      <c r="WMG240" s="140"/>
      <c r="WMH240" s="140"/>
      <c r="WMI240" s="140"/>
      <c r="WMJ240" s="140"/>
      <c r="WMK240" s="140"/>
      <c r="WML240" s="140"/>
      <c r="WMM240" s="140"/>
      <c r="WMN240" s="140"/>
      <c r="WMO240" s="140"/>
      <c r="WMP240" s="140"/>
      <c r="WMQ240" s="140"/>
      <c r="WMR240" s="140"/>
      <c r="WMS240" s="140"/>
      <c r="WMT240" s="140"/>
      <c r="WMU240" s="140"/>
      <c r="WMV240" s="140"/>
      <c r="WMW240" s="140"/>
      <c r="WMX240" s="140"/>
      <c r="WMY240" s="140"/>
      <c r="WMZ240" s="140"/>
      <c r="WNA240" s="140"/>
      <c r="WNB240" s="140"/>
      <c r="WNC240" s="140"/>
      <c r="WND240" s="140"/>
      <c r="WNE240" s="140"/>
      <c r="WNF240" s="140"/>
      <c r="WNG240" s="140"/>
      <c r="WNH240" s="140"/>
      <c r="WNI240" s="140"/>
      <c r="WNJ240" s="140"/>
      <c r="WNK240" s="140"/>
      <c r="WNL240" s="140"/>
      <c r="WNM240" s="140"/>
      <c r="WNN240" s="140"/>
      <c r="WNO240" s="140"/>
      <c r="WNP240" s="140"/>
      <c r="WNQ240" s="140"/>
      <c r="WNR240" s="140"/>
      <c r="WNS240" s="140"/>
      <c r="WNT240" s="140"/>
      <c r="WNU240" s="140"/>
      <c r="WNV240" s="140"/>
      <c r="WNW240" s="140"/>
      <c r="WNX240" s="140"/>
      <c r="WNY240" s="140"/>
      <c r="WNZ240" s="140"/>
      <c r="WOA240" s="140"/>
      <c r="WOB240" s="140"/>
      <c r="WOC240" s="140"/>
      <c r="WOD240" s="140"/>
      <c r="WOE240" s="140"/>
      <c r="WOF240" s="140"/>
      <c r="WOG240" s="140"/>
      <c r="WOH240" s="140"/>
      <c r="WOI240" s="140"/>
      <c r="WOJ240" s="140"/>
      <c r="WOK240" s="140"/>
      <c r="WOL240" s="140"/>
      <c r="WOM240" s="140"/>
      <c r="WON240" s="140"/>
      <c r="WOO240" s="140"/>
      <c r="WOP240" s="140"/>
      <c r="WOQ240" s="140"/>
      <c r="WOR240" s="140"/>
      <c r="WOS240" s="140"/>
      <c r="WOT240" s="140"/>
      <c r="WOU240" s="140"/>
      <c r="WOV240" s="140"/>
      <c r="WOW240" s="140"/>
      <c r="WOX240" s="140"/>
      <c r="WOY240" s="140"/>
      <c r="WOZ240" s="140"/>
      <c r="WPA240" s="140"/>
      <c r="WPB240" s="140"/>
      <c r="WPC240" s="140"/>
      <c r="WPD240" s="140"/>
      <c r="WPE240" s="140"/>
      <c r="WPF240" s="140"/>
      <c r="WPG240" s="140"/>
      <c r="WPH240" s="140"/>
      <c r="WPI240" s="140"/>
      <c r="WPJ240" s="140"/>
      <c r="WPK240" s="140"/>
      <c r="WPL240" s="140"/>
      <c r="WPM240" s="140"/>
      <c r="WPN240" s="140"/>
      <c r="WPO240" s="140"/>
      <c r="WPP240" s="140"/>
      <c r="WPQ240" s="140"/>
      <c r="WPR240" s="140"/>
      <c r="WPS240" s="140"/>
      <c r="WPT240" s="140"/>
      <c r="WPU240" s="140"/>
      <c r="WPV240" s="140"/>
      <c r="WPW240" s="140"/>
      <c r="WPX240" s="140"/>
      <c r="WPY240" s="140"/>
      <c r="WPZ240" s="140"/>
      <c r="WQA240" s="140"/>
      <c r="WQB240" s="140"/>
      <c r="WQC240" s="140"/>
      <c r="WQD240" s="140"/>
      <c r="WQE240" s="140"/>
      <c r="WQF240" s="140"/>
      <c r="WQG240" s="140"/>
      <c r="WQH240" s="140"/>
      <c r="WQI240" s="140"/>
      <c r="WQJ240" s="140"/>
      <c r="WQK240" s="140"/>
      <c r="WQL240" s="140"/>
      <c r="WQM240" s="140"/>
      <c r="WQN240" s="140"/>
      <c r="WQO240" s="140"/>
      <c r="WQP240" s="140"/>
      <c r="WQQ240" s="140"/>
      <c r="WQR240" s="140"/>
      <c r="WQS240" s="140"/>
      <c r="WQT240" s="140"/>
      <c r="WQU240" s="140"/>
      <c r="WQV240" s="140"/>
      <c r="WQW240" s="140"/>
      <c r="WQX240" s="140"/>
      <c r="WQY240" s="140"/>
      <c r="WQZ240" s="140"/>
      <c r="WRA240" s="140"/>
      <c r="WRB240" s="140"/>
      <c r="WRC240" s="140"/>
      <c r="WRD240" s="140"/>
      <c r="WRE240" s="140"/>
      <c r="WRF240" s="140"/>
      <c r="WRG240" s="140"/>
      <c r="WRH240" s="140"/>
      <c r="WRI240" s="140"/>
      <c r="WRJ240" s="140"/>
      <c r="WRK240" s="140"/>
      <c r="WRL240" s="140"/>
      <c r="WRM240" s="140"/>
      <c r="WRN240" s="140"/>
      <c r="WRO240" s="140"/>
      <c r="WRP240" s="140"/>
      <c r="WRQ240" s="140"/>
      <c r="WRR240" s="140"/>
      <c r="WRS240" s="140"/>
      <c r="WRT240" s="140"/>
      <c r="WRU240" s="140"/>
      <c r="WRV240" s="140"/>
      <c r="WRW240" s="140"/>
      <c r="WRX240" s="140"/>
      <c r="WRY240" s="140"/>
      <c r="WRZ240" s="140"/>
      <c r="WSA240" s="140"/>
      <c r="WSB240" s="140"/>
      <c r="WSC240" s="140"/>
      <c r="WSD240" s="140"/>
      <c r="WSE240" s="140"/>
      <c r="WSF240" s="140"/>
      <c r="WSG240" s="140"/>
      <c r="WSH240" s="140"/>
      <c r="WSI240" s="140"/>
      <c r="WSJ240" s="140"/>
      <c r="WSK240" s="140"/>
      <c r="WSL240" s="140"/>
      <c r="WSM240" s="140"/>
      <c r="WSN240" s="140"/>
      <c r="WSO240" s="140"/>
      <c r="WSP240" s="140"/>
      <c r="WSQ240" s="140"/>
      <c r="WSR240" s="140"/>
      <c r="WSS240" s="140"/>
      <c r="WST240" s="140"/>
      <c r="WSU240" s="140"/>
      <c r="WSV240" s="140"/>
      <c r="WSW240" s="140"/>
      <c r="WSX240" s="140"/>
      <c r="WSY240" s="140"/>
      <c r="WSZ240" s="140"/>
      <c r="WTA240" s="140"/>
      <c r="WTB240" s="140"/>
      <c r="WTC240" s="140"/>
      <c r="WTD240" s="140"/>
      <c r="WTE240" s="140"/>
      <c r="WTF240" s="140"/>
      <c r="WTG240" s="140"/>
      <c r="WTH240" s="140"/>
      <c r="WTI240" s="140"/>
      <c r="WTJ240" s="140"/>
      <c r="WTK240" s="140"/>
      <c r="WTL240" s="140"/>
      <c r="WTM240" s="140"/>
      <c r="WTN240" s="140"/>
      <c r="WTO240" s="140"/>
      <c r="WTP240" s="140"/>
      <c r="WTQ240" s="140"/>
      <c r="WTR240" s="140"/>
      <c r="WTS240" s="140"/>
      <c r="WTT240" s="140"/>
      <c r="WTU240" s="140"/>
      <c r="WTV240" s="140"/>
      <c r="WTW240" s="140"/>
      <c r="WTX240" s="140"/>
      <c r="WTY240" s="140"/>
      <c r="WTZ240" s="140"/>
      <c r="WUA240" s="140"/>
      <c r="WUB240" s="140"/>
      <c r="WUC240" s="140"/>
      <c r="WUD240" s="140"/>
      <c r="WUE240" s="140"/>
      <c r="WUF240" s="140"/>
      <c r="WUG240" s="140"/>
      <c r="WUH240" s="140"/>
      <c r="WUI240" s="140"/>
      <c r="WUJ240" s="140"/>
      <c r="WUK240" s="140"/>
      <c r="WUL240" s="140"/>
      <c r="WUM240" s="140"/>
      <c r="WUN240" s="140"/>
      <c r="WUO240" s="140"/>
      <c r="WUP240" s="140"/>
      <c r="WUQ240" s="140"/>
      <c r="WUR240" s="140"/>
      <c r="WUS240" s="140"/>
      <c r="WUT240" s="140"/>
      <c r="WUU240" s="140"/>
      <c r="WUV240" s="140"/>
      <c r="WUW240" s="140"/>
      <c r="WUX240" s="140"/>
      <c r="WUY240" s="140"/>
      <c r="WUZ240" s="140"/>
      <c r="WVA240" s="140"/>
      <c r="WVB240" s="140"/>
      <c r="WVC240" s="140"/>
      <c r="WVD240" s="140"/>
      <c r="WVE240" s="140"/>
      <c r="WVF240" s="140"/>
      <c r="WVG240" s="140"/>
      <c r="WVH240" s="140"/>
      <c r="WVI240" s="140"/>
      <c r="WVJ240" s="140"/>
      <c r="WVK240" s="140"/>
      <c r="WVL240" s="140"/>
      <c r="WVM240" s="140"/>
      <c r="WVN240" s="140"/>
      <c r="WVO240" s="140"/>
      <c r="WVP240" s="140"/>
      <c r="WVQ240" s="140"/>
      <c r="WVR240" s="140"/>
      <c r="WVS240" s="140"/>
      <c r="WVT240" s="140"/>
      <c r="WVU240" s="140"/>
      <c r="WVV240" s="140"/>
      <c r="WVW240" s="140"/>
      <c r="WVX240" s="140"/>
      <c r="WVY240" s="140"/>
      <c r="WVZ240" s="140"/>
      <c r="WWA240" s="140"/>
      <c r="WWB240" s="140"/>
      <c r="WWC240" s="140"/>
      <c r="WWD240" s="140"/>
      <c r="WWE240" s="140"/>
      <c r="WWF240" s="140"/>
      <c r="WWG240" s="140"/>
      <c r="WWH240" s="140"/>
      <c r="WWI240" s="140"/>
      <c r="WWJ240" s="140"/>
      <c r="WWK240" s="140"/>
      <c r="WWL240" s="140"/>
      <c r="WWM240" s="140"/>
      <c r="WWN240" s="140"/>
      <c r="WWO240" s="140"/>
      <c r="WWP240" s="140"/>
      <c r="WWQ240" s="140"/>
      <c r="WWR240" s="140"/>
      <c r="WWS240" s="140"/>
      <c r="WWT240" s="140"/>
      <c r="WWU240" s="140"/>
      <c r="WWV240" s="140"/>
      <c r="WWW240" s="140"/>
      <c r="WWX240" s="140"/>
      <c r="WWY240" s="140"/>
      <c r="WWZ240" s="140"/>
      <c r="WXA240" s="140"/>
      <c r="WXB240" s="140"/>
      <c r="WXC240" s="140"/>
      <c r="WXD240" s="140"/>
      <c r="WXE240" s="140"/>
      <c r="WXF240" s="140"/>
      <c r="WXG240" s="140"/>
      <c r="WXH240" s="140"/>
      <c r="WXI240" s="140"/>
      <c r="WXJ240" s="140"/>
      <c r="WXK240" s="140"/>
      <c r="WXL240" s="140"/>
      <c r="WXM240" s="140"/>
      <c r="WXN240" s="140"/>
      <c r="WXO240" s="140"/>
      <c r="WXP240" s="140"/>
      <c r="WXQ240" s="140"/>
      <c r="WXR240" s="140"/>
      <c r="WXS240" s="140"/>
      <c r="WXT240" s="140"/>
      <c r="WXU240" s="140"/>
      <c r="WXV240" s="140"/>
      <c r="WXW240" s="140"/>
      <c r="WXX240" s="140"/>
      <c r="WXY240" s="140"/>
      <c r="WXZ240" s="140"/>
      <c r="WYA240" s="140"/>
      <c r="WYB240" s="140"/>
      <c r="WYC240" s="140"/>
      <c r="WYD240" s="140"/>
      <c r="WYE240" s="140"/>
      <c r="WYF240" s="140"/>
      <c r="WYG240" s="140"/>
      <c r="WYH240" s="140"/>
      <c r="WYI240" s="140"/>
      <c r="WYJ240" s="140"/>
      <c r="WYK240" s="140"/>
      <c r="WYL240" s="140"/>
      <c r="WYM240" s="140"/>
      <c r="WYN240" s="140"/>
      <c r="WYO240" s="140"/>
      <c r="WYP240" s="140"/>
      <c r="WYQ240" s="140"/>
      <c r="WYR240" s="140"/>
      <c r="WYS240" s="140"/>
      <c r="WYT240" s="140"/>
      <c r="WYU240" s="140"/>
      <c r="WYV240" s="140"/>
      <c r="WYW240" s="140"/>
      <c r="WYX240" s="140"/>
      <c r="WYY240" s="140"/>
      <c r="WYZ240" s="140"/>
      <c r="WZA240" s="140"/>
      <c r="WZB240" s="140"/>
      <c r="WZC240" s="140"/>
      <c r="WZD240" s="140"/>
      <c r="WZE240" s="140"/>
      <c r="WZF240" s="140"/>
      <c r="WZG240" s="140"/>
      <c r="WZH240" s="140"/>
      <c r="WZI240" s="140"/>
      <c r="WZJ240" s="140"/>
      <c r="WZK240" s="140"/>
      <c r="WZL240" s="140"/>
      <c r="WZM240" s="140"/>
      <c r="WZN240" s="140"/>
      <c r="WZO240" s="140"/>
      <c r="WZP240" s="140"/>
      <c r="WZQ240" s="140"/>
      <c r="WZR240" s="140"/>
      <c r="WZS240" s="140"/>
      <c r="WZT240" s="140"/>
      <c r="WZU240" s="140"/>
      <c r="WZV240" s="140"/>
      <c r="WZW240" s="140"/>
      <c r="WZX240" s="140"/>
      <c r="WZY240" s="140"/>
      <c r="WZZ240" s="140"/>
      <c r="XAA240" s="140"/>
      <c r="XAB240" s="140"/>
      <c r="XAC240" s="140"/>
      <c r="XAD240" s="140"/>
      <c r="XAE240" s="140"/>
      <c r="XAF240" s="140"/>
      <c r="XAG240" s="140"/>
      <c r="XAH240" s="140"/>
      <c r="XAI240" s="140"/>
      <c r="XAJ240" s="140"/>
      <c r="XAK240" s="140"/>
      <c r="XAL240" s="140"/>
      <c r="XAM240" s="140"/>
      <c r="XAN240" s="140"/>
      <c r="XAO240" s="140"/>
      <c r="XAP240" s="140"/>
      <c r="XAQ240" s="140"/>
      <c r="XAR240" s="140"/>
      <c r="XAS240" s="140"/>
      <c r="XAT240" s="140"/>
      <c r="XAU240" s="140"/>
      <c r="XAV240" s="140"/>
      <c r="XAW240" s="140"/>
      <c r="XAX240" s="140"/>
      <c r="XAY240" s="140"/>
      <c r="XAZ240" s="140"/>
    </row>
    <row r="241" s="22" customFormat="1" x14ac:dyDescent="0.3"/>
    <row r="242" s="22" customFormat="1" x14ac:dyDescent="0.3"/>
    <row r="243" s="22" customFormat="1" x14ac:dyDescent="0.3"/>
    <row r="244" s="22" customFormat="1" x14ac:dyDescent="0.3"/>
    <row r="245" s="22" customFormat="1" hidden="1" x14ac:dyDescent="0.3"/>
    <row r="246" s="22" customFormat="1" hidden="1" x14ac:dyDescent="0.3"/>
    <row r="247" s="22" customFormat="1" hidden="1" x14ac:dyDescent="0.3"/>
    <row r="248" s="22" customFormat="1" hidden="1" x14ac:dyDescent="0.3"/>
    <row r="249" s="22" customFormat="1" hidden="1" x14ac:dyDescent="0.3"/>
    <row r="250" s="22" customFormat="1" hidden="1" x14ac:dyDescent="0.3"/>
    <row r="251" s="22" customFormat="1" hidden="1" x14ac:dyDescent="0.3"/>
    <row r="252" s="22" customFormat="1" hidden="1" x14ac:dyDescent="0.3"/>
    <row r="253" s="22" customFormat="1" hidden="1" x14ac:dyDescent="0.3"/>
    <row r="254" s="22" customFormat="1" hidden="1" x14ac:dyDescent="0.3"/>
    <row r="255" s="22" customFormat="1" hidden="1" x14ac:dyDescent="0.3"/>
    <row r="256" s="22" customFormat="1" hidden="1" x14ac:dyDescent="0.3"/>
    <row r="257" s="22" customFormat="1" hidden="1" x14ac:dyDescent="0.3"/>
    <row r="258" s="22" customFormat="1" hidden="1" x14ac:dyDescent="0.3"/>
    <row r="259" s="22" customFormat="1" hidden="1" x14ac:dyDescent="0.3"/>
    <row r="260" s="22" customFormat="1" hidden="1" x14ac:dyDescent="0.3"/>
    <row r="261" s="22" customFormat="1" hidden="1" x14ac:dyDescent="0.3"/>
    <row r="262" s="22" customFormat="1" hidden="1" x14ac:dyDescent="0.3"/>
    <row r="263" s="22" customFormat="1" hidden="1" x14ac:dyDescent="0.3"/>
    <row r="264" s="22" customFormat="1" hidden="1" x14ac:dyDescent="0.3"/>
    <row r="265" s="22" customFormat="1" hidden="1" x14ac:dyDescent="0.3"/>
    <row r="266" s="22" customFormat="1" hidden="1" x14ac:dyDescent="0.3"/>
    <row r="267" s="22" customFormat="1" hidden="1" x14ac:dyDescent="0.3"/>
    <row r="268" s="22" customFormat="1" hidden="1" x14ac:dyDescent="0.3"/>
    <row r="269" s="22" customFormat="1" hidden="1" x14ac:dyDescent="0.3"/>
    <row r="270" s="22" customFormat="1" hidden="1" x14ac:dyDescent="0.3"/>
    <row r="271" s="22" customFormat="1" hidden="1" x14ac:dyDescent="0.3"/>
    <row r="272" s="22" customFormat="1" hidden="1" x14ac:dyDescent="0.3"/>
    <row r="273" s="22" customFormat="1" hidden="1" x14ac:dyDescent="0.3"/>
    <row r="274" s="22" customFormat="1" hidden="1" x14ac:dyDescent="0.3"/>
    <row r="275" s="22" customFormat="1" hidden="1" x14ac:dyDescent="0.3"/>
    <row r="276" s="22" customFormat="1" hidden="1" x14ac:dyDescent="0.3"/>
    <row r="277" s="22" customFormat="1" hidden="1" x14ac:dyDescent="0.3"/>
    <row r="278" s="22" customFormat="1" hidden="1" x14ac:dyDescent="0.3"/>
    <row r="279" s="22" customFormat="1" hidden="1" x14ac:dyDescent="0.3"/>
    <row r="280" s="22" customFormat="1" hidden="1" x14ac:dyDescent="0.3"/>
    <row r="281" s="22" customFormat="1" hidden="1" x14ac:dyDescent="0.3"/>
    <row r="282" s="22" customFormat="1" hidden="1" x14ac:dyDescent="0.3"/>
    <row r="283" s="22" customFormat="1" hidden="1" x14ac:dyDescent="0.3"/>
    <row r="284" s="22" customFormat="1" hidden="1" x14ac:dyDescent="0.3"/>
    <row r="285" s="22" customFormat="1" hidden="1" x14ac:dyDescent="0.3"/>
    <row r="286" s="22" customFormat="1" hidden="1" x14ac:dyDescent="0.3"/>
    <row r="287" s="22" customFormat="1" hidden="1" x14ac:dyDescent="0.3"/>
    <row r="288" s="22" customFormat="1" hidden="1" x14ac:dyDescent="0.3"/>
    <row r="289" s="22" customFormat="1" hidden="1" x14ac:dyDescent="0.3"/>
    <row r="290" s="22" customFormat="1" hidden="1" x14ac:dyDescent="0.3"/>
    <row r="291" s="22" customFormat="1" hidden="1" x14ac:dyDescent="0.3"/>
    <row r="292" s="22" customFormat="1" hidden="1" x14ac:dyDescent="0.3"/>
    <row r="293" s="22" customFormat="1" hidden="1" x14ac:dyDescent="0.3"/>
    <row r="294" s="22" customFormat="1" hidden="1" x14ac:dyDescent="0.3"/>
    <row r="295" s="22" customFormat="1" hidden="1" x14ac:dyDescent="0.3"/>
    <row r="296" s="22" customFormat="1" hidden="1" x14ac:dyDescent="0.3"/>
    <row r="297" s="22" customFormat="1" hidden="1" x14ac:dyDescent="0.3"/>
    <row r="298" s="22" customFormat="1" hidden="1" x14ac:dyDescent="0.3"/>
    <row r="299" s="22" customFormat="1" hidden="1" x14ac:dyDescent="0.3"/>
    <row r="300" s="22" customFormat="1" hidden="1" x14ac:dyDescent="0.3"/>
    <row r="301" s="22" customFormat="1" hidden="1" x14ac:dyDescent="0.3"/>
    <row r="302" s="22" customFormat="1" hidden="1" x14ac:dyDescent="0.3"/>
    <row r="303" s="22" customFormat="1" hidden="1" x14ac:dyDescent="0.3"/>
    <row r="304" s="22" customFormat="1" hidden="1" x14ac:dyDescent="0.3"/>
    <row r="305" s="22" customFormat="1" hidden="1" x14ac:dyDescent="0.3"/>
    <row r="306" s="22" customFormat="1" hidden="1" x14ac:dyDescent="0.3"/>
    <row r="307" s="22" customFormat="1" hidden="1" x14ac:dyDescent="0.3"/>
    <row r="308" s="22" customFormat="1" hidden="1" x14ac:dyDescent="0.3"/>
    <row r="309" s="22" customFormat="1" hidden="1" x14ac:dyDescent="0.3"/>
    <row r="310" s="22" customFormat="1" hidden="1" x14ac:dyDescent="0.3"/>
    <row r="311" s="22" customFormat="1" hidden="1" x14ac:dyDescent="0.3"/>
    <row r="312" s="22" customFormat="1" hidden="1" x14ac:dyDescent="0.3"/>
    <row r="313" s="22" customFormat="1" hidden="1" x14ac:dyDescent="0.3"/>
    <row r="314" s="22" customFormat="1" hidden="1" x14ac:dyDescent="0.3"/>
    <row r="315" s="22" customFormat="1" hidden="1" x14ac:dyDescent="0.3"/>
    <row r="316" s="22" customFormat="1" hidden="1" x14ac:dyDescent="0.3"/>
    <row r="317" s="22" customFormat="1" hidden="1" x14ac:dyDescent="0.3"/>
    <row r="318" s="22" customFormat="1" hidden="1" x14ac:dyDescent="0.3"/>
    <row r="319" s="22" customFormat="1" hidden="1" x14ac:dyDescent="0.3"/>
    <row r="320" s="22" customFormat="1" hidden="1" x14ac:dyDescent="0.3"/>
    <row r="321" s="22" customFormat="1" hidden="1" x14ac:dyDescent="0.3"/>
    <row r="322" s="22" customFormat="1" hidden="1" x14ac:dyDescent="0.3"/>
    <row r="323" s="22" customFormat="1" hidden="1" x14ac:dyDescent="0.3"/>
    <row r="324" s="22" customFormat="1" hidden="1" x14ac:dyDescent="0.3"/>
    <row r="325" s="22" customFormat="1" hidden="1" x14ac:dyDescent="0.3"/>
    <row r="326" s="22" customFormat="1" hidden="1" x14ac:dyDescent="0.3"/>
    <row r="327" s="22" customFormat="1" hidden="1" x14ac:dyDescent="0.3"/>
    <row r="328" s="22" customFormat="1" hidden="1" x14ac:dyDescent="0.3"/>
    <row r="329" s="22" customFormat="1" hidden="1" x14ac:dyDescent="0.3"/>
    <row r="330" s="22" customFormat="1" hidden="1" x14ac:dyDescent="0.3"/>
    <row r="331" s="22" customFormat="1" hidden="1" x14ac:dyDescent="0.3"/>
    <row r="332" s="22" customFormat="1" hidden="1" x14ac:dyDescent="0.3"/>
    <row r="333" s="22" customFormat="1" hidden="1" x14ac:dyDescent="0.3"/>
    <row r="334" s="22" customFormat="1" hidden="1" x14ac:dyDescent="0.3"/>
    <row r="335" s="22" customFormat="1" hidden="1" x14ac:dyDescent="0.3"/>
    <row r="336" s="22" customFormat="1" hidden="1" x14ac:dyDescent="0.3"/>
    <row r="337" s="22" customFormat="1" hidden="1" x14ac:dyDescent="0.3"/>
    <row r="338" s="22" customFormat="1" hidden="1" x14ac:dyDescent="0.3"/>
    <row r="339" s="22" customFormat="1" hidden="1" x14ac:dyDescent="0.3"/>
    <row r="340" s="22" customFormat="1" hidden="1" x14ac:dyDescent="0.3"/>
    <row r="341" s="22" customFormat="1" hidden="1" x14ac:dyDescent="0.3"/>
    <row r="342" s="22" customFormat="1" hidden="1" x14ac:dyDescent="0.3"/>
    <row r="343" s="22" customFormat="1" hidden="1" x14ac:dyDescent="0.3"/>
    <row r="344" s="22" customFormat="1" hidden="1" x14ac:dyDescent="0.3"/>
    <row r="345" s="22" customFormat="1" hidden="1" x14ac:dyDescent="0.3"/>
    <row r="346" s="22" customFormat="1" hidden="1" x14ac:dyDescent="0.3"/>
    <row r="347" s="22" customFormat="1" hidden="1" x14ac:dyDescent="0.3"/>
    <row r="348" s="22" customFormat="1" hidden="1" x14ac:dyDescent="0.3"/>
    <row r="349" s="22" customFormat="1" hidden="1" x14ac:dyDescent="0.3"/>
    <row r="350" s="22" customFormat="1" hidden="1" x14ac:dyDescent="0.3"/>
    <row r="351" s="22" customFormat="1" hidden="1" x14ac:dyDescent="0.3"/>
    <row r="352" s="22" customFormat="1" hidden="1" x14ac:dyDescent="0.3"/>
    <row r="353" s="22" customFormat="1" hidden="1" x14ac:dyDescent="0.3"/>
    <row r="354" s="22" customFormat="1" hidden="1" x14ac:dyDescent="0.3"/>
    <row r="355" s="22" customFormat="1" hidden="1" x14ac:dyDescent="0.3"/>
    <row r="356" s="22" customFormat="1" hidden="1" x14ac:dyDescent="0.3"/>
    <row r="357" s="22" customFormat="1" hidden="1" x14ac:dyDescent="0.3"/>
    <row r="358" s="22" customFormat="1" hidden="1" x14ac:dyDescent="0.3"/>
    <row r="359" s="22" customFormat="1" hidden="1" x14ac:dyDescent="0.3"/>
    <row r="360" s="22" customFormat="1" hidden="1" x14ac:dyDescent="0.3"/>
    <row r="361" s="22" customFormat="1" hidden="1" x14ac:dyDescent="0.3"/>
    <row r="362" s="22" customFormat="1" hidden="1" x14ac:dyDescent="0.3"/>
    <row r="363" s="22" customFormat="1" hidden="1" x14ac:dyDescent="0.3"/>
    <row r="364" s="22" customFormat="1" hidden="1" x14ac:dyDescent="0.3"/>
    <row r="365" s="22" customFormat="1" hidden="1" x14ac:dyDescent="0.3"/>
    <row r="366" s="22" customFormat="1" hidden="1" x14ac:dyDescent="0.3"/>
    <row r="367" s="22" customFormat="1" hidden="1" x14ac:dyDescent="0.3"/>
    <row r="368" s="22" customFormat="1" hidden="1" x14ac:dyDescent="0.3"/>
    <row r="369" s="22" customFormat="1" hidden="1" x14ac:dyDescent="0.3"/>
    <row r="370" s="22" customFormat="1" hidden="1" x14ac:dyDescent="0.3"/>
    <row r="371" s="22" customFormat="1" hidden="1" x14ac:dyDescent="0.3"/>
    <row r="372" s="22" customFormat="1" hidden="1" x14ac:dyDescent="0.3"/>
    <row r="373" s="22" customFormat="1" hidden="1" x14ac:dyDescent="0.3"/>
    <row r="374" s="22" customFormat="1" hidden="1" x14ac:dyDescent="0.3"/>
    <row r="375" s="22" customFormat="1" hidden="1" x14ac:dyDescent="0.3"/>
    <row r="376" s="22" customFormat="1" hidden="1" x14ac:dyDescent="0.3"/>
    <row r="377" s="22" customFormat="1" hidden="1" x14ac:dyDescent="0.3"/>
    <row r="378" s="22" customFormat="1" hidden="1" x14ac:dyDescent="0.3"/>
    <row r="379" s="22" customFormat="1" hidden="1" x14ac:dyDescent="0.3"/>
    <row r="380" s="22" customFormat="1" hidden="1" x14ac:dyDescent="0.3"/>
    <row r="381" s="22" customFormat="1" hidden="1" x14ac:dyDescent="0.3"/>
    <row r="382" s="22" customFormat="1" hidden="1" x14ac:dyDescent="0.3"/>
    <row r="383" s="22" customFormat="1" hidden="1" x14ac:dyDescent="0.3"/>
    <row r="384" s="22" customFormat="1" hidden="1" x14ac:dyDescent="0.3"/>
    <row r="385" s="22" customFormat="1" hidden="1" x14ac:dyDescent="0.3"/>
    <row r="386" s="22" customFormat="1" hidden="1" x14ac:dyDescent="0.3"/>
    <row r="387" s="22" customFormat="1" hidden="1" x14ac:dyDescent="0.3"/>
    <row r="388" s="22" customFormat="1" hidden="1" x14ac:dyDescent="0.3"/>
    <row r="389" s="22" customFormat="1" hidden="1" x14ac:dyDescent="0.3"/>
    <row r="390" s="22" customFormat="1" hidden="1" x14ac:dyDescent="0.3"/>
    <row r="391" s="22" customFormat="1" hidden="1" x14ac:dyDescent="0.3"/>
    <row r="392" s="22" customFormat="1" hidden="1" x14ac:dyDescent="0.3"/>
    <row r="393" s="22" customFormat="1" hidden="1" x14ac:dyDescent="0.3"/>
    <row r="394" s="22" customFormat="1" hidden="1" x14ac:dyDescent="0.3"/>
    <row r="395" s="22" customFormat="1" hidden="1" x14ac:dyDescent="0.3"/>
    <row r="396" s="22" customFormat="1" hidden="1" x14ac:dyDescent="0.3"/>
    <row r="397" s="22" customFormat="1" hidden="1" x14ac:dyDescent="0.3"/>
    <row r="398" s="22" customFormat="1" hidden="1" x14ac:dyDescent="0.3"/>
    <row r="399" s="22" customFormat="1" hidden="1" x14ac:dyDescent="0.3"/>
    <row r="400" s="22" customFormat="1" hidden="1" x14ac:dyDescent="0.3"/>
    <row r="401" s="22" customFormat="1" hidden="1" x14ac:dyDescent="0.3"/>
    <row r="402" s="22" customFormat="1" hidden="1" x14ac:dyDescent="0.3"/>
    <row r="403" s="22" customFormat="1" hidden="1" x14ac:dyDescent="0.3"/>
    <row r="404" s="22" customFormat="1" hidden="1" x14ac:dyDescent="0.3"/>
    <row r="405" s="22" customFormat="1" hidden="1" x14ac:dyDescent="0.3"/>
    <row r="406" s="22" customFormat="1" hidden="1" x14ac:dyDescent="0.3"/>
    <row r="407" s="22" customFormat="1" hidden="1" x14ac:dyDescent="0.3"/>
    <row r="408" s="22" customFormat="1" hidden="1" x14ac:dyDescent="0.3"/>
    <row r="409" s="22" customFormat="1" hidden="1" x14ac:dyDescent="0.3"/>
    <row r="410" s="22" customFormat="1" hidden="1" x14ac:dyDescent="0.3"/>
    <row r="411" s="22" customFormat="1" hidden="1" x14ac:dyDescent="0.3"/>
    <row r="412" s="22" customFormat="1" hidden="1" x14ac:dyDescent="0.3"/>
    <row r="413" s="22" customFormat="1" hidden="1" x14ac:dyDescent="0.3"/>
    <row r="414" s="22" customFormat="1" hidden="1" x14ac:dyDescent="0.3"/>
    <row r="415" s="22" customFormat="1" hidden="1" x14ac:dyDescent="0.3"/>
    <row r="416" s="22" customFormat="1" hidden="1" x14ac:dyDescent="0.3"/>
    <row r="417" spans="3:9" s="22" customFormat="1" hidden="1" x14ac:dyDescent="0.3"/>
    <row r="418" spans="3:9" s="22" customFormat="1" hidden="1" x14ac:dyDescent="0.3">
      <c r="C418"/>
      <c r="D418"/>
      <c r="E418"/>
      <c r="F418"/>
      <c r="G418"/>
      <c r="H418"/>
      <c r="I418"/>
    </row>
    <row r="419" spans="3:9" s="22" customFormat="1" hidden="1" x14ac:dyDescent="0.3">
      <c r="C419"/>
      <c r="D419"/>
      <c r="E419"/>
      <c r="F419"/>
      <c r="G419"/>
      <c r="H419"/>
      <c r="I419"/>
    </row>
    <row r="420" spans="3:9" s="22" customFormat="1" hidden="1" x14ac:dyDescent="0.3">
      <c r="C420"/>
      <c r="D420"/>
      <c r="E420"/>
      <c r="F420"/>
      <c r="G420"/>
      <c r="H420"/>
      <c r="I420"/>
    </row>
    <row r="421" spans="3:9" s="22" customFormat="1" hidden="1" x14ac:dyDescent="0.3">
      <c r="C421"/>
      <c r="D421"/>
      <c r="E421"/>
      <c r="F421"/>
      <c r="G421"/>
      <c r="H421"/>
      <c r="I421"/>
    </row>
    <row r="422" spans="3:9" s="22" customFormat="1" hidden="1" x14ac:dyDescent="0.3">
      <c r="C422"/>
      <c r="D422"/>
      <c r="E422"/>
      <c r="F422"/>
      <c r="G422"/>
      <c r="H422"/>
      <c r="I422"/>
    </row>
  </sheetData>
  <sheetProtection algorithmName="SHA-512" hashValue="qEpKjZnyOdQMpfF1PFOtubdTD2DS+x53gYre/ntECIYtLt2oL9hUOnAJRvzi/y27IQqqmSriK91JaZo/Ljqt6Q==" saltValue="u5a1Oo7O/8bJ8MdsLHtC4w==" spinCount="100000" sheet="1" autoFilter="0"/>
  <mergeCells count="19">
    <mergeCell ref="B240:Y240"/>
    <mergeCell ref="C212:D212"/>
    <mergeCell ref="C216:D216"/>
    <mergeCell ref="C220:D220"/>
    <mergeCell ref="E19:F19"/>
    <mergeCell ref="E20:F20"/>
    <mergeCell ref="C197:D197"/>
    <mergeCell ref="C200:D200"/>
    <mergeCell ref="C205:D205"/>
    <mergeCell ref="C210:D210"/>
    <mergeCell ref="C211:D211"/>
    <mergeCell ref="C198:D198"/>
    <mergeCell ref="C206:D206"/>
    <mergeCell ref="E10:F10"/>
    <mergeCell ref="E11:F11"/>
    <mergeCell ref="E12:F12"/>
    <mergeCell ref="E13:F13"/>
    <mergeCell ref="E18:F18"/>
    <mergeCell ref="E17:F17"/>
  </mergeCells>
  <phoneticPr fontId="27" type="noConversion"/>
  <conditionalFormatting sqref="Y239">
    <cfRule type="expression" dxfId="1696" priority="1" stopIfTrue="1">
      <formula>VisibleFailures&gt;0</formula>
    </cfRule>
    <cfRule type="expression" dxfId="1695" priority="2" stopIfTrue="1">
      <formula>AND(AllInputsOK=TRUE,ShowPassCond=TRUE,ShowPassSHG=TRUE)</formula>
    </cfRule>
  </conditionalFormatting>
  <pageMargins left="0.7" right="0.7" top="0.75" bottom="0.75" header="0.3" footer="0.3"/>
  <pageSetup paperSize="9" scale="29" fitToHeight="0" orientation="portrait" r:id="rId1"/>
  <headerFooter>
    <oddFooter>Page &amp;P of &amp;N</oddFooter>
  </headerFooter>
  <drawing r:id="rId2"/>
  <legacyDrawing r:id="rId3"/>
  <tableParts count="6">
    <tablePart r:id="rId4"/>
    <tablePart r:id="rId5"/>
    <tablePart r:id="rId6"/>
    <tablePart r:id="rId7"/>
    <tablePart r:id="rId8"/>
    <tablePart r:id="rId9"/>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C0008-179D-49E8-BF6F-45FEE9E0BC9F}">
  <sheetPr codeName="Sheet49"/>
  <dimension ref="A1:BD286"/>
  <sheetViews>
    <sheetView showGridLines="0" zoomScale="70" zoomScaleNormal="70" workbookViewId="0">
      <selection activeCell="H35" sqref="H35"/>
    </sheetView>
  </sheetViews>
  <sheetFormatPr defaultRowHeight="14" x14ac:dyDescent="0.3"/>
  <cols>
    <col min="1" max="1" width="2.58203125" customWidth="1"/>
    <col min="2" max="2" width="136.58203125" customWidth="1"/>
  </cols>
  <sheetData>
    <row r="1" spans="1:56" ht="132" customHeight="1" x14ac:dyDescent="0.3">
      <c r="A1" s="1046"/>
      <c r="B1" s="1046"/>
      <c r="C1" s="1072"/>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row>
    <row r="2" spans="1:56" ht="24" customHeight="1" x14ac:dyDescent="0.3">
      <c r="A2" s="1046"/>
      <c r="B2" s="1046"/>
      <c r="C2" s="1072"/>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row>
    <row r="3" spans="1:56" x14ac:dyDescent="0.3">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row>
    <row r="4" spans="1:56" x14ac:dyDescent="0.3">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row>
    <row r="5" spans="1:56" ht="18" x14ac:dyDescent="0.4">
      <c r="A5" s="5"/>
      <c r="B5" s="996" t="s">
        <v>1349</v>
      </c>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row>
    <row r="6" spans="1:56" x14ac:dyDescent="0.3">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row>
    <row r="7" spans="1:56" ht="18" x14ac:dyDescent="0.4">
      <c r="A7" s="5"/>
      <c r="B7" s="996" t="s">
        <v>101</v>
      </c>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row>
    <row r="8" spans="1:56" x14ac:dyDescent="0.3">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row>
    <row r="9" spans="1:56" x14ac:dyDescent="0.3">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row>
    <row r="10" spans="1:56" x14ac:dyDescent="0.3">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row>
    <row r="11" spans="1:56" x14ac:dyDescent="0.3">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row>
    <row r="12" spans="1:56" x14ac:dyDescent="0.3">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row>
    <row r="13" spans="1:56" x14ac:dyDescent="0.3">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row>
    <row r="14" spans="1:56" x14ac:dyDescent="0.3">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row>
    <row r="15" spans="1:56" x14ac:dyDescent="0.3">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row>
    <row r="16" spans="1:56" x14ac:dyDescent="0.3">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row>
    <row r="17" spans="1:56" x14ac:dyDescent="0.3">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row>
    <row r="18" spans="1:56" x14ac:dyDescent="0.3">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row>
    <row r="19" spans="1:56" x14ac:dyDescent="0.3">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row>
    <row r="20" spans="1:56" x14ac:dyDescent="0.3">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row>
    <row r="21" spans="1:56" x14ac:dyDescent="0.3">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row>
    <row r="22" spans="1:56" x14ac:dyDescent="0.3">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row>
    <row r="23" spans="1:56" x14ac:dyDescent="0.3">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row>
    <row r="24" spans="1:56" x14ac:dyDescent="0.3">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row>
    <row r="25" spans="1:56" x14ac:dyDescent="0.3">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row>
    <row r="26" spans="1:56" x14ac:dyDescent="0.3">
      <c r="A26" s="5"/>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row>
    <row r="27" spans="1:56" x14ac:dyDescent="0.3">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row>
    <row r="28" spans="1:56" ht="18" x14ac:dyDescent="0.4">
      <c r="A28" s="5"/>
      <c r="B28" s="996" t="s">
        <v>102</v>
      </c>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row>
    <row r="29" spans="1:56" x14ac:dyDescent="0.3">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row>
    <row r="30" spans="1:56" x14ac:dyDescent="0.3">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row>
    <row r="31" spans="1:56" x14ac:dyDescent="0.3">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row>
    <row r="32" spans="1:56" x14ac:dyDescent="0.3">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row>
    <row r="33" spans="1:56" x14ac:dyDescent="0.3">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row>
    <row r="34" spans="1:56" x14ac:dyDescent="0.3">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row>
    <row r="35" spans="1:56" x14ac:dyDescent="0.3">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row>
    <row r="36" spans="1:56" x14ac:dyDescent="0.3">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row>
    <row r="37" spans="1:56" x14ac:dyDescent="0.3">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row>
    <row r="38" spans="1:56" x14ac:dyDescent="0.3">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row>
    <row r="39" spans="1:56" x14ac:dyDescent="0.3">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row>
    <row r="40" spans="1:56" x14ac:dyDescent="0.3">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row>
    <row r="41" spans="1:56" x14ac:dyDescent="0.3">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row>
    <row r="42" spans="1:56" x14ac:dyDescent="0.3">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row>
    <row r="43" spans="1:56" x14ac:dyDescent="0.3">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row>
    <row r="44" spans="1:56" x14ac:dyDescent="0.3">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row>
    <row r="45" spans="1:56" x14ac:dyDescent="0.3">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row>
    <row r="46" spans="1:56" x14ac:dyDescent="0.3">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row>
    <row r="47" spans="1:56" x14ac:dyDescent="0.3">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row>
    <row r="48" spans="1:56" x14ac:dyDescent="0.3">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row>
    <row r="49" spans="1:56" ht="18" x14ac:dyDescent="0.4">
      <c r="A49" s="5"/>
      <c r="B49" s="996" t="s">
        <v>74</v>
      </c>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row>
    <row r="50" spans="1:56" x14ac:dyDescent="0.3">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row>
    <row r="51" spans="1:56" ht="18" x14ac:dyDescent="0.4">
      <c r="A51" s="5"/>
      <c r="B51" s="996" t="s">
        <v>101</v>
      </c>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row>
    <row r="52" spans="1:56" x14ac:dyDescent="0.3">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row>
    <row r="53" spans="1:56" x14ac:dyDescent="0.3">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row>
    <row r="54" spans="1:56" x14ac:dyDescent="0.3">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row>
    <row r="55" spans="1:56" x14ac:dyDescent="0.3">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row>
    <row r="56" spans="1:56" x14ac:dyDescent="0.3">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row>
    <row r="57" spans="1:56" x14ac:dyDescent="0.3">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row>
    <row r="58" spans="1:56" x14ac:dyDescent="0.3">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row>
    <row r="59" spans="1:56" x14ac:dyDescent="0.3">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row>
    <row r="60" spans="1:56" x14ac:dyDescent="0.3">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row>
    <row r="61" spans="1:56" x14ac:dyDescent="0.3">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row>
    <row r="62" spans="1:56" x14ac:dyDescent="0.3">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row>
    <row r="63" spans="1:56" x14ac:dyDescent="0.3">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row>
    <row r="64" spans="1:56" x14ac:dyDescent="0.3">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row>
    <row r="65" spans="1:56" x14ac:dyDescent="0.3">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row>
    <row r="66" spans="1:56" x14ac:dyDescent="0.3">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row>
    <row r="67" spans="1:56" x14ac:dyDescent="0.3">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row>
    <row r="68" spans="1:56" x14ac:dyDescent="0.3">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row>
    <row r="69" spans="1:56" x14ac:dyDescent="0.3">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row>
    <row r="70" spans="1:56" x14ac:dyDescent="0.3">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row>
    <row r="71" spans="1:56" x14ac:dyDescent="0.3">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row>
    <row r="72" spans="1:56" x14ac:dyDescent="0.3">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row>
    <row r="73" spans="1:56" x14ac:dyDescent="0.3">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row>
    <row r="74" spans="1:56" x14ac:dyDescent="0.3">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row>
    <row r="75" spans="1:56" x14ac:dyDescent="0.3">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row>
    <row r="76" spans="1:56" x14ac:dyDescent="0.3">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row>
    <row r="77" spans="1:56" x14ac:dyDescent="0.3">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row>
    <row r="78" spans="1:56" ht="18" x14ac:dyDescent="0.4">
      <c r="A78" s="5"/>
      <c r="B78" s="996" t="s">
        <v>102</v>
      </c>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row>
    <row r="79" spans="1:56" x14ac:dyDescent="0.3">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row>
    <row r="80" spans="1:56" x14ac:dyDescent="0.3">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row>
    <row r="81" spans="1:56" x14ac:dyDescent="0.3">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row>
    <row r="82" spans="1:56" x14ac:dyDescent="0.3">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row>
    <row r="83" spans="1:56" x14ac:dyDescent="0.3">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row>
    <row r="84" spans="1:56" x14ac:dyDescent="0.3">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row>
    <row r="85" spans="1:56" x14ac:dyDescent="0.3">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row>
    <row r="86" spans="1:56" x14ac:dyDescent="0.3">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row>
    <row r="87" spans="1:56" x14ac:dyDescent="0.3">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row>
    <row r="88" spans="1:56" x14ac:dyDescent="0.3">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row>
    <row r="89" spans="1:56" x14ac:dyDescent="0.3">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row>
    <row r="90" spans="1:56" x14ac:dyDescent="0.3">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row>
    <row r="91" spans="1:56" x14ac:dyDescent="0.3">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row>
    <row r="92" spans="1:56" x14ac:dyDescent="0.3">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row>
    <row r="93" spans="1:56" x14ac:dyDescent="0.3">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row>
    <row r="94" spans="1:56" x14ac:dyDescent="0.3">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row>
    <row r="95" spans="1:56" x14ac:dyDescent="0.3">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row>
    <row r="96" spans="1:56" x14ac:dyDescent="0.3">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row>
    <row r="97" spans="1:56" x14ac:dyDescent="0.3">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row>
    <row r="98" spans="1:56" x14ac:dyDescent="0.3">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row>
    <row r="99" spans="1:56" x14ac:dyDescent="0.3">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row>
    <row r="100" spans="1:56" x14ac:dyDescent="0.3">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row>
    <row r="101" spans="1:56" x14ac:dyDescent="0.3">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row>
    <row r="102" spans="1:56" x14ac:dyDescent="0.3">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row>
    <row r="103" spans="1:56" x14ac:dyDescent="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row>
    <row r="104" spans="1:56" x14ac:dyDescent="0.3">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row>
    <row r="105" spans="1:56" x14ac:dyDescent="0.3">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row>
    <row r="106" spans="1:56" ht="18" x14ac:dyDescent="0.4">
      <c r="A106" s="5"/>
      <c r="B106" s="996" t="s">
        <v>1350</v>
      </c>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row>
    <row r="107" spans="1:56" x14ac:dyDescent="0.3">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row>
    <row r="108" spans="1:56" ht="18" x14ac:dyDescent="0.4">
      <c r="A108" s="5"/>
      <c r="B108" s="996" t="s">
        <v>101</v>
      </c>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row>
    <row r="109" spans="1:56" x14ac:dyDescent="0.3">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row>
    <row r="110" spans="1:56" x14ac:dyDescent="0.3">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row>
    <row r="111" spans="1:56" x14ac:dyDescent="0.3">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row>
    <row r="112" spans="1:56" x14ac:dyDescent="0.3">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row>
    <row r="113" spans="1:56" x14ac:dyDescent="0.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row>
    <row r="114" spans="1:56" x14ac:dyDescent="0.3">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row>
    <row r="115" spans="1:56" x14ac:dyDescent="0.3">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row>
    <row r="116" spans="1:56" x14ac:dyDescent="0.3">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row>
    <row r="117" spans="1:56" x14ac:dyDescent="0.3">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row>
    <row r="118" spans="1:56" x14ac:dyDescent="0.3">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row>
    <row r="119" spans="1:56" x14ac:dyDescent="0.3">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row>
    <row r="120" spans="1:56" x14ac:dyDescent="0.3">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row>
    <row r="121" spans="1:56" x14ac:dyDescent="0.3">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row>
    <row r="122" spans="1:56" x14ac:dyDescent="0.3">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row>
    <row r="123" spans="1:56" x14ac:dyDescent="0.3">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row>
    <row r="124" spans="1:56" x14ac:dyDescent="0.3">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row>
    <row r="125" spans="1:56" x14ac:dyDescent="0.3">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row>
    <row r="126" spans="1:56" x14ac:dyDescent="0.3">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row>
    <row r="127" spans="1:56" x14ac:dyDescent="0.3">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row>
    <row r="128" spans="1:56" x14ac:dyDescent="0.3">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row>
    <row r="129" spans="1:56" ht="18" x14ac:dyDescent="0.4">
      <c r="A129" s="5"/>
      <c r="B129" s="996" t="s">
        <v>102</v>
      </c>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row>
    <row r="130" spans="1:56" x14ac:dyDescent="0.3">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row>
    <row r="131" spans="1:56" x14ac:dyDescent="0.3">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row>
    <row r="132" spans="1:56" x14ac:dyDescent="0.3">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row>
    <row r="133" spans="1:56" x14ac:dyDescent="0.3">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row>
    <row r="134" spans="1:56" x14ac:dyDescent="0.3">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row>
    <row r="135" spans="1:56" x14ac:dyDescent="0.3">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row>
    <row r="136" spans="1:56" x14ac:dyDescent="0.3">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row>
    <row r="137" spans="1:56" x14ac:dyDescent="0.3">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row>
    <row r="138" spans="1:56" x14ac:dyDescent="0.3">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row>
    <row r="139" spans="1:56" x14ac:dyDescent="0.3">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row>
    <row r="140" spans="1:56" x14ac:dyDescent="0.3">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row>
    <row r="141" spans="1:56" x14ac:dyDescent="0.3">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row>
    <row r="142" spans="1:56" x14ac:dyDescent="0.3">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row>
    <row r="143" spans="1:56" x14ac:dyDescent="0.3">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row>
    <row r="144" spans="1:56" x14ac:dyDescent="0.3">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row>
    <row r="145" spans="1:56" x14ac:dyDescent="0.3">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row>
    <row r="146" spans="1:56" x14ac:dyDescent="0.3">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row>
    <row r="147" spans="1:56" x14ac:dyDescent="0.3">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row>
    <row r="148" spans="1:56" x14ac:dyDescent="0.3">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row>
    <row r="149" spans="1:56" x14ac:dyDescent="0.3">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row>
    <row r="150" spans="1:56" x14ac:dyDescent="0.3">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row>
    <row r="151" spans="1:56" ht="18" x14ac:dyDescent="0.4">
      <c r="A151" s="5"/>
      <c r="B151" s="996" t="s">
        <v>1351</v>
      </c>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row>
    <row r="152" spans="1:56" x14ac:dyDescent="0.3">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row>
    <row r="153" spans="1:56" ht="18" x14ac:dyDescent="0.4">
      <c r="A153" s="5"/>
      <c r="B153" s="996" t="s">
        <v>101</v>
      </c>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row>
    <row r="154" spans="1:56" x14ac:dyDescent="0.3">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row>
    <row r="155" spans="1:56" x14ac:dyDescent="0.3">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row>
    <row r="156" spans="1:56" x14ac:dyDescent="0.3">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row>
    <row r="157" spans="1:56" x14ac:dyDescent="0.3">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row>
    <row r="158" spans="1:56" x14ac:dyDescent="0.3">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row>
    <row r="159" spans="1:56" x14ac:dyDescent="0.3">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row>
    <row r="160" spans="1:56" x14ac:dyDescent="0.3">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row>
    <row r="161" spans="1:56" x14ac:dyDescent="0.3">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row>
    <row r="162" spans="1:56" x14ac:dyDescent="0.3">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row>
    <row r="163" spans="1:56" x14ac:dyDescent="0.3">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row>
    <row r="164" spans="1:56" x14ac:dyDescent="0.3">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row>
    <row r="165" spans="1:56" x14ac:dyDescent="0.3">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row>
    <row r="166" spans="1:56" x14ac:dyDescent="0.3">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row>
    <row r="167" spans="1:56" x14ac:dyDescent="0.3">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row>
    <row r="168" spans="1:56" x14ac:dyDescent="0.3">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row>
    <row r="169" spans="1:56" x14ac:dyDescent="0.3">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row>
    <row r="170" spans="1:56" x14ac:dyDescent="0.3">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row>
    <row r="171" spans="1:56" x14ac:dyDescent="0.3">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row>
    <row r="172" spans="1:56" x14ac:dyDescent="0.3">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row>
    <row r="173" spans="1:56" x14ac:dyDescent="0.3">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row>
    <row r="174" spans="1:56" x14ac:dyDescent="0.3">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row>
    <row r="175" spans="1:56" x14ac:dyDescent="0.3">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row>
    <row r="176" spans="1:56" x14ac:dyDescent="0.3">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row>
    <row r="177" spans="1:56" x14ac:dyDescent="0.3">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row>
    <row r="178" spans="1:56" x14ac:dyDescent="0.3">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row>
    <row r="179" spans="1:56" x14ac:dyDescent="0.3">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row>
    <row r="180" spans="1:56" x14ac:dyDescent="0.3">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row>
    <row r="181" spans="1:56" x14ac:dyDescent="0.3">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row>
    <row r="182" spans="1:56" ht="18" x14ac:dyDescent="0.4">
      <c r="A182" s="5"/>
      <c r="B182" s="996" t="s">
        <v>102</v>
      </c>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row>
    <row r="183" spans="1:56" x14ac:dyDescent="0.3">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row>
    <row r="184" spans="1:56" x14ac:dyDescent="0.3">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row>
    <row r="185" spans="1:56" x14ac:dyDescent="0.3">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row>
    <row r="186" spans="1:56" x14ac:dyDescent="0.3">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row>
    <row r="187" spans="1:56" x14ac:dyDescent="0.3">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row>
    <row r="188" spans="1:56" x14ac:dyDescent="0.3">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row>
    <row r="189" spans="1:56" x14ac:dyDescent="0.3">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row>
    <row r="190" spans="1:56" x14ac:dyDescent="0.3">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row>
    <row r="191" spans="1:56" x14ac:dyDescent="0.3">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row>
    <row r="192" spans="1:56" x14ac:dyDescent="0.3">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row>
    <row r="193" spans="1:56" x14ac:dyDescent="0.3">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row>
    <row r="194" spans="1:56" x14ac:dyDescent="0.3">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row>
    <row r="195" spans="1:56" x14ac:dyDescent="0.3">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row>
    <row r="196" spans="1:56" x14ac:dyDescent="0.3">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row>
    <row r="197" spans="1:56" x14ac:dyDescent="0.3">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row>
    <row r="198" spans="1:56" x14ac:dyDescent="0.3">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row>
    <row r="199" spans="1:56" x14ac:dyDescent="0.3">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row>
    <row r="200" spans="1:56" x14ac:dyDescent="0.3">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row>
    <row r="201" spans="1:56" x14ac:dyDescent="0.3">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row>
    <row r="202" spans="1:56" x14ac:dyDescent="0.3">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row>
    <row r="203" spans="1:56" x14ac:dyDescent="0.3">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row>
    <row r="204" spans="1:56" x14ac:dyDescent="0.3">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row>
    <row r="205" spans="1:56" x14ac:dyDescent="0.3">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row>
    <row r="206" spans="1:56" x14ac:dyDescent="0.3">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row>
    <row r="207" spans="1:56" x14ac:dyDescent="0.3">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row>
    <row r="208" spans="1:56" x14ac:dyDescent="0.3">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row>
    <row r="209" spans="1:56" x14ac:dyDescent="0.3">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row>
    <row r="210" spans="1:56" x14ac:dyDescent="0.3">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row>
    <row r="211" spans="1:56" x14ac:dyDescent="0.3">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row>
    <row r="212" spans="1:56" x14ac:dyDescent="0.3">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row>
    <row r="213" spans="1:56" x14ac:dyDescent="0.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row>
    <row r="214" spans="1:56" x14ac:dyDescent="0.3">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row>
    <row r="215" spans="1:56" x14ac:dyDescent="0.3">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row>
    <row r="216" spans="1:56" x14ac:dyDescent="0.3">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row>
    <row r="217" spans="1:56" x14ac:dyDescent="0.3">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row>
    <row r="218" spans="1:56" x14ac:dyDescent="0.3">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row>
    <row r="219" spans="1:56" x14ac:dyDescent="0.3">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row>
    <row r="220" spans="1:56" x14ac:dyDescent="0.3">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row>
    <row r="221" spans="1:56" x14ac:dyDescent="0.3">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row>
    <row r="222" spans="1:56" x14ac:dyDescent="0.3">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row>
    <row r="223" spans="1:56" x14ac:dyDescent="0.3">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row>
    <row r="224" spans="1:56" x14ac:dyDescent="0.3">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row>
    <row r="225" spans="1:56" x14ac:dyDescent="0.3">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row>
    <row r="226" spans="1:56" x14ac:dyDescent="0.3">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row>
    <row r="227" spans="1:56" x14ac:dyDescent="0.3">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row>
    <row r="228" spans="1:56" x14ac:dyDescent="0.3">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row>
    <row r="229" spans="1:56" x14ac:dyDescent="0.3">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row>
    <row r="230" spans="1:56" x14ac:dyDescent="0.3">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row>
    <row r="231" spans="1:56" x14ac:dyDescent="0.3">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row>
    <row r="232" spans="1:56" x14ac:dyDescent="0.3">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row>
    <row r="233" spans="1:56" x14ac:dyDescent="0.3">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row>
    <row r="234" spans="1:56" x14ac:dyDescent="0.3">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row>
    <row r="235" spans="1:56" x14ac:dyDescent="0.3">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row>
    <row r="236" spans="1:56" x14ac:dyDescent="0.3">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row>
    <row r="237" spans="1:56" x14ac:dyDescent="0.3">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row>
    <row r="238" spans="1:56" x14ac:dyDescent="0.3">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row>
    <row r="239" spans="1:56" x14ac:dyDescent="0.3">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row>
    <row r="240" spans="1:56" x14ac:dyDescent="0.3">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row>
    <row r="241" spans="1:56" x14ac:dyDescent="0.3">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row>
    <row r="242" spans="1:56" x14ac:dyDescent="0.3">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row>
    <row r="243" spans="1:56" x14ac:dyDescent="0.3">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row>
    <row r="244" spans="1:56" x14ac:dyDescent="0.3">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row>
    <row r="245" spans="1:56" x14ac:dyDescent="0.3">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row>
    <row r="246" spans="1:56" x14ac:dyDescent="0.3">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row>
    <row r="247" spans="1:56" x14ac:dyDescent="0.3">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row>
    <row r="248" spans="1:56" x14ac:dyDescent="0.3">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row>
    <row r="249" spans="1:56" x14ac:dyDescent="0.3">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row>
    <row r="250" spans="1:56" x14ac:dyDescent="0.3">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row>
    <row r="251" spans="1:56" x14ac:dyDescent="0.3">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row>
    <row r="252" spans="1:56" x14ac:dyDescent="0.3">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row>
    <row r="253" spans="1:56" x14ac:dyDescent="0.3">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row>
    <row r="254" spans="1:56" x14ac:dyDescent="0.3">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row>
    <row r="255" spans="1:56" x14ac:dyDescent="0.3">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row>
    <row r="256" spans="1:56" x14ac:dyDescent="0.3">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row>
    <row r="257" spans="1:56" x14ac:dyDescent="0.3">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row>
    <row r="258" spans="1:56" x14ac:dyDescent="0.3">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row>
    <row r="259" spans="1:56" x14ac:dyDescent="0.3">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row>
    <row r="260" spans="1:56" x14ac:dyDescent="0.3">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row>
    <row r="261" spans="1:56" x14ac:dyDescent="0.3">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row>
    <row r="262" spans="1:56" x14ac:dyDescent="0.3">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row>
    <row r="263" spans="1:56" x14ac:dyDescent="0.3">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row>
    <row r="264" spans="1:56" x14ac:dyDescent="0.3">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row>
    <row r="265" spans="1:56" x14ac:dyDescent="0.3">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row>
    <row r="266" spans="1:56" x14ac:dyDescent="0.3">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row>
    <row r="267" spans="1:56" x14ac:dyDescent="0.3">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row>
    <row r="268" spans="1:56" x14ac:dyDescent="0.3">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row>
    <row r="269" spans="1:56" x14ac:dyDescent="0.3">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row>
    <row r="270" spans="1:56" x14ac:dyDescent="0.3">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row>
    <row r="271" spans="1:56" x14ac:dyDescent="0.3">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row>
    <row r="272" spans="1:56" x14ac:dyDescent="0.3">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row>
    <row r="273" spans="1:56" x14ac:dyDescent="0.3">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row>
    <row r="274" spans="1:56" x14ac:dyDescent="0.3">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row>
    <row r="275" spans="1:56" x14ac:dyDescent="0.3">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row>
    <row r="276" spans="1:56" x14ac:dyDescent="0.3">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row>
    <row r="277" spans="1:56" x14ac:dyDescent="0.3">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row>
    <row r="278" spans="1:56" x14ac:dyDescent="0.3">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row>
    <row r="279" spans="1:56" x14ac:dyDescent="0.3">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row>
    <row r="280" spans="1:56" x14ac:dyDescent="0.3">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row>
    <row r="281" spans="1:56" x14ac:dyDescent="0.3">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row>
    <row r="282" spans="1:56" x14ac:dyDescent="0.3">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row>
    <row r="283" spans="1:56" x14ac:dyDescent="0.3">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row>
    <row r="284" spans="1:56" x14ac:dyDescent="0.3">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row>
    <row r="285" spans="1:56" x14ac:dyDescent="0.3">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row>
    <row r="286" spans="1:56" x14ac:dyDescent="0.3">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row>
  </sheetData>
  <sheetProtection autoFilter="0"/>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tabColor theme="4"/>
    <pageSetUpPr fitToPage="1"/>
  </sheetPr>
  <dimension ref="A1:T253"/>
  <sheetViews>
    <sheetView showGridLines="0" topLeftCell="E1" zoomScale="85" zoomScaleNormal="85" workbookViewId="0">
      <selection activeCell="L26" sqref="L26"/>
    </sheetView>
  </sheetViews>
  <sheetFormatPr defaultColWidth="0" defaultRowHeight="14" x14ac:dyDescent="0.3"/>
  <cols>
    <col min="1" max="1" width="12.5" hidden="1" customWidth="1"/>
    <col min="2" max="2" width="8.58203125" hidden="1" customWidth="1"/>
    <col min="3" max="3" width="7.08203125" hidden="1" customWidth="1"/>
    <col min="4" max="4" width="9" customWidth="1"/>
    <col min="5" max="5" width="5.08203125" customWidth="1"/>
    <col min="6" max="6" width="15.33203125" customWidth="1"/>
    <col min="7" max="7" width="16.58203125" customWidth="1"/>
    <col min="8" max="8" width="34.33203125" customWidth="1"/>
    <col min="9" max="9" width="34" bestFit="1" customWidth="1"/>
    <col min="10" max="10" width="19.58203125" customWidth="1"/>
    <col min="11" max="11" width="32.58203125" customWidth="1"/>
    <col min="12" max="12" width="36.08203125" bestFit="1" customWidth="1"/>
    <col min="13" max="20" width="9" customWidth="1"/>
    <col min="21" max="16384" width="9" hidden="1"/>
  </cols>
  <sheetData>
    <row r="1" spans="1:20" x14ac:dyDescent="0.3">
      <c r="A1" s="1110"/>
      <c r="B1" s="1110"/>
      <c r="C1" s="1110"/>
      <c r="D1" s="1"/>
      <c r="E1" s="1"/>
      <c r="F1" s="1"/>
      <c r="G1" s="1"/>
      <c r="H1" s="1"/>
      <c r="I1" s="1"/>
      <c r="J1" s="1"/>
      <c r="K1" s="1"/>
      <c r="L1" s="1"/>
      <c r="M1" s="1"/>
      <c r="N1" s="1"/>
      <c r="O1" s="1"/>
      <c r="P1" s="1"/>
      <c r="Q1" s="1"/>
      <c r="R1" s="1"/>
      <c r="S1" s="1"/>
      <c r="T1" s="1"/>
    </row>
    <row r="2" spans="1:20" x14ac:dyDescent="0.3">
      <c r="A2" s="1110"/>
      <c r="B2" s="1110"/>
      <c r="C2" s="1110"/>
      <c r="D2" s="1"/>
      <c r="E2" s="1"/>
      <c r="F2" s="1"/>
      <c r="G2" s="1"/>
      <c r="H2" s="1"/>
      <c r="I2" s="1"/>
      <c r="J2" s="1"/>
      <c r="K2" s="1"/>
      <c r="L2" s="1"/>
      <c r="M2" s="1"/>
      <c r="N2" s="1"/>
      <c r="O2" s="1"/>
      <c r="P2" s="1"/>
      <c r="Q2" s="1"/>
      <c r="R2" s="1"/>
      <c r="S2" s="1"/>
      <c r="T2" s="1"/>
    </row>
    <row r="3" spans="1:20" x14ac:dyDescent="0.3">
      <c r="A3" s="1110"/>
      <c r="B3" s="1110"/>
      <c r="C3" s="1110"/>
      <c r="D3" s="1"/>
      <c r="E3" s="1"/>
      <c r="F3" s="1"/>
      <c r="G3" s="1"/>
      <c r="H3" s="1"/>
      <c r="I3" s="1"/>
      <c r="J3" s="1"/>
      <c r="K3" s="1"/>
      <c r="L3" s="1"/>
      <c r="M3" s="1"/>
      <c r="N3" s="1"/>
      <c r="O3" s="1"/>
      <c r="P3" s="1"/>
      <c r="Q3" s="1"/>
      <c r="R3" s="1"/>
      <c r="S3" s="1"/>
      <c r="T3" s="1"/>
    </row>
    <row r="4" spans="1:20" x14ac:dyDescent="0.3">
      <c r="A4" s="1110"/>
      <c r="B4" s="1110"/>
      <c r="C4" s="1110"/>
      <c r="D4" s="1"/>
      <c r="E4" s="1"/>
      <c r="F4" s="1"/>
      <c r="G4" s="1"/>
      <c r="H4" s="1"/>
      <c r="I4" s="1"/>
      <c r="J4" s="1"/>
      <c r="K4" s="1"/>
      <c r="L4" s="1"/>
      <c r="M4" s="1"/>
      <c r="N4" s="1"/>
      <c r="O4" s="1"/>
      <c r="P4" s="1"/>
      <c r="Q4" s="1"/>
      <c r="R4" s="1"/>
      <c r="S4" s="1"/>
      <c r="T4" s="1"/>
    </row>
    <row r="5" spans="1:20" x14ac:dyDescent="0.3">
      <c r="A5" s="1110"/>
      <c r="B5" s="1110"/>
      <c r="C5" s="1110"/>
      <c r="D5" s="1"/>
      <c r="E5" s="1"/>
      <c r="F5" s="1"/>
      <c r="G5" s="1"/>
      <c r="H5" s="1"/>
      <c r="I5" s="1"/>
      <c r="J5" s="1"/>
      <c r="K5" s="1"/>
      <c r="L5" s="1"/>
      <c r="M5" s="1"/>
      <c r="N5" s="1"/>
      <c r="O5" s="1"/>
      <c r="P5" s="1"/>
      <c r="Q5" s="1"/>
      <c r="R5" s="1"/>
      <c r="S5" s="1"/>
      <c r="T5" s="1"/>
    </row>
    <row r="6" spans="1:20" x14ac:dyDescent="0.3">
      <c r="A6" s="1110"/>
      <c r="B6" s="1110"/>
      <c r="C6" s="1110"/>
      <c r="D6" s="1"/>
      <c r="E6" s="1"/>
      <c r="F6" s="1"/>
      <c r="G6" s="1"/>
      <c r="H6" s="1"/>
      <c r="I6" s="1"/>
      <c r="J6" s="1"/>
      <c r="K6" s="1"/>
      <c r="L6" s="1"/>
      <c r="M6" s="1"/>
      <c r="N6" s="1"/>
      <c r="O6" s="1"/>
      <c r="P6" s="1"/>
      <c r="Q6" s="1"/>
      <c r="R6" s="1"/>
      <c r="S6" s="1"/>
      <c r="T6" s="1"/>
    </row>
    <row r="7" spans="1:20" s="22" customFormat="1" x14ac:dyDescent="0.3">
      <c r="A7" s="1109"/>
      <c r="B7" s="1109"/>
      <c r="C7" s="1109"/>
    </row>
    <row r="8" spans="1:20" s="22" customFormat="1" x14ac:dyDescent="0.3">
      <c r="A8" s="1109"/>
      <c r="B8" s="1109"/>
      <c r="C8" s="1109"/>
    </row>
    <row r="9" spans="1:20" s="22" customFormat="1" ht="18" x14ac:dyDescent="0.4">
      <c r="A9" s="1109"/>
      <c r="B9" s="1111" t="b">
        <v>1</v>
      </c>
      <c r="C9" s="1109"/>
      <c r="E9" s="729" t="s">
        <v>1352</v>
      </c>
      <c r="M9" s="719"/>
    </row>
    <row r="10" spans="1:20" s="22" customFormat="1" ht="18" customHeight="1" x14ac:dyDescent="0.4">
      <c r="A10" s="1109"/>
      <c r="B10" s="1109"/>
      <c r="C10" s="1109"/>
      <c r="E10" s="729"/>
    </row>
    <row r="11" spans="1:20" s="22" customFormat="1" ht="15.5" x14ac:dyDescent="0.35">
      <c r="A11" s="1109"/>
      <c r="B11" s="1109"/>
      <c r="C11" s="1109"/>
      <c r="F11" s="784" t="s">
        <v>1353</v>
      </c>
    </row>
    <row r="12" spans="1:20" s="22" customFormat="1" ht="15.5" x14ac:dyDescent="0.35">
      <c r="A12" s="1109"/>
      <c r="B12" s="1109"/>
      <c r="C12" s="1109"/>
      <c r="F12" s="784"/>
    </row>
    <row r="13" spans="1:20" s="22" customFormat="1" ht="15.5" x14ac:dyDescent="0.35">
      <c r="A13" s="1109"/>
      <c r="B13" s="1109"/>
      <c r="C13" s="1109"/>
      <c r="F13" s="828" t="s">
        <v>1354</v>
      </c>
      <c r="M13" s="719"/>
    </row>
    <row r="14" spans="1:20" s="22" customFormat="1" x14ac:dyDescent="0.3">
      <c r="A14" s="1109"/>
      <c r="B14" s="1109"/>
      <c r="C14" s="1109"/>
    </row>
    <row r="15" spans="1:20" s="22" customFormat="1" x14ac:dyDescent="0.3">
      <c r="A15" s="1109"/>
      <c r="B15" s="1109"/>
      <c r="C15" s="1109"/>
    </row>
    <row r="16" spans="1:20" s="22" customFormat="1" ht="18" x14ac:dyDescent="0.4">
      <c r="A16" s="1109"/>
      <c r="B16" s="1111" t="b">
        <v>0</v>
      </c>
      <c r="C16" s="1109"/>
      <c r="E16" s="729" t="s">
        <v>1355</v>
      </c>
    </row>
    <row r="17" spans="1:12" s="22" customFormat="1" x14ac:dyDescent="0.3">
      <c r="A17" s="1109"/>
      <c r="B17" s="1109"/>
      <c r="C17" s="1109"/>
    </row>
    <row r="18" spans="1:12" s="22" customFormat="1" ht="15.5" x14ac:dyDescent="0.35">
      <c r="A18" s="1109"/>
      <c r="B18" s="1109"/>
      <c r="C18" s="1109"/>
      <c r="F18" s="784" t="s">
        <v>1356</v>
      </c>
    </row>
    <row r="19" spans="1:12" s="22" customFormat="1" x14ac:dyDescent="0.3">
      <c r="A19" s="1109"/>
      <c r="B19" s="1109"/>
      <c r="C19" s="1109"/>
    </row>
    <row r="20" spans="1:12" s="22" customFormat="1" ht="15.5" x14ac:dyDescent="0.35">
      <c r="A20" s="1109"/>
      <c r="B20" s="1109"/>
      <c r="C20" s="1109"/>
      <c r="F20" s="806" t="s">
        <v>1357</v>
      </c>
    </row>
    <row r="21" spans="1:12" s="22" customFormat="1" x14ac:dyDescent="0.3">
      <c r="A21" s="1109"/>
      <c r="B21" s="1109"/>
      <c r="C21" s="1109"/>
    </row>
    <row r="22" spans="1:12" s="22" customFormat="1" x14ac:dyDescent="0.3">
      <c r="A22" s="1109"/>
      <c r="B22" s="1109"/>
      <c r="C22" s="1109"/>
    </row>
    <row r="23" spans="1:12" s="22" customFormat="1" ht="18" x14ac:dyDescent="0.4">
      <c r="A23" s="1109"/>
      <c r="B23" s="1109"/>
      <c r="C23" s="1109"/>
      <c r="E23" s="729" t="s">
        <v>68</v>
      </c>
    </row>
    <row r="24" spans="1:12" s="22" customFormat="1" ht="12.75" customHeight="1" x14ac:dyDescent="0.4">
      <c r="A24" s="1109"/>
      <c r="B24" s="1109"/>
      <c r="C24" s="1109"/>
      <c r="E24" s="729"/>
    </row>
    <row r="25" spans="1:12" s="22" customFormat="1" ht="16.5" customHeight="1" x14ac:dyDescent="0.4">
      <c r="A25" s="1109"/>
      <c r="B25" s="1109"/>
      <c r="C25" s="1109"/>
      <c r="E25" s="729"/>
      <c r="F25" s="807" t="s">
        <v>1358</v>
      </c>
      <c r="G25" s="784"/>
      <c r="H25" s="784"/>
      <c r="I25" s="784"/>
    </row>
    <row r="26" spans="1:12" s="22" customFormat="1" ht="71.25" customHeight="1" x14ac:dyDescent="0.4">
      <c r="A26" s="1109"/>
      <c r="B26" s="1109"/>
      <c r="C26" s="1109"/>
      <c r="E26" s="729"/>
      <c r="F26" s="1589" t="s">
        <v>1359</v>
      </c>
      <c r="G26" s="1589"/>
      <c r="H26" s="1589"/>
      <c r="I26" s="1589"/>
      <c r="J26" s="1589"/>
    </row>
    <row r="27" spans="1:12" s="22" customFormat="1" ht="6" customHeight="1" x14ac:dyDescent="0.4">
      <c r="A27" s="1109"/>
      <c r="B27" s="1109"/>
      <c r="C27" s="1109"/>
      <c r="E27" s="729"/>
      <c r="F27" s="759"/>
      <c r="G27" s="759"/>
      <c r="H27" s="759"/>
      <c r="I27" s="759"/>
    </row>
    <row r="28" spans="1:12" s="22" customFormat="1" ht="15.5" x14ac:dyDescent="0.35">
      <c r="A28" s="1109"/>
      <c r="B28" s="1109"/>
      <c r="C28" s="1109"/>
      <c r="F28" s="784" t="s">
        <v>1360</v>
      </c>
      <c r="G28" s="785">
        <v>2</v>
      </c>
      <c r="H28" s="792" t="str">
        <f>IF(RowsRequiredRoofLights&gt;G40,"Not possible - maximum number available is "&amp;G40,IF(RowsRequiredRoofLights&lt;&gt;B41,("Click filter arrow beside the table header 'Rows'. Select only '"&amp;RowsRequiredRoofLights&amp;"' on the drop-down list, (as currently displayed)"),""))</f>
        <v/>
      </c>
    </row>
    <row r="29" spans="1:12" s="22" customFormat="1" x14ac:dyDescent="0.3">
      <c r="A29" s="1109"/>
      <c r="B29" s="1109"/>
      <c r="C29" s="1109"/>
    </row>
    <row r="30" spans="1:12" s="727" customFormat="1" ht="36" x14ac:dyDescent="0.3">
      <c r="A30" s="1112"/>
      <c r="B30" s="1113" t="s">
        <v>119</v>
      </c>
      <c r="C30" s="1112"/>
      <c r="E30" s="760"/>
      <c r="F30" s="808" t="s">
        <v>120</v>
      </c>
      <c r="G30" s="781" t="s">
        <v>121</v>
      </c>
      <c r="H30" s="809" t="s">
        <v>1361</v>
      </c>
      <c r="I30" s="781" t="s">
        <v>70</v>
      </c>
      <c r="J30" s="810" t="s">
        <v>71</v>
      </c>
      <c r="K30" s="781" t="s">
        <v>1358</v>
      </c>
      <c r="L30" s="811" t="s">
        <v>1362</v>
      </c>
    </row>
    <row r="31" spans="1:12" s="22" customFormat="1" ht="24" customHeight="1" x14ac:dyDescent="0.4">
      <c r="A31" s="1109"/>
      <c r="B31" s="1114">
        <v>1</v>
      </c>
      <c r="C31" s="1111" t="b">
        <v>0</v>
      </c>
      <c r="E31" s="729"/>
      <c r="F31" s="1419">
        <f t="shared" ref="F31:F40" si="0">IF(ISBLANK(RowsRequiredRoofLights),"1",IF(ISBLANK(B31),"-",IF(B31&lt;=RowsRequiredRoofLights,RowsRequiredRoofLights,"-")))</f>
        <v>2</v>
      </c>
      <c r="G31" s="1419">
        <v>1</v>
      </c>
      <c r="H31" s="1121" t="str">
        <f>IF('13.2 Building Fabric'!$L44="","",'13.2 Building Fabric'!$L44)</f>
        <v/>
      </c>
      <c r="I31" s="1420"/>
      <c r="J31" s="813"/>
      <c r="K31" s="1421" t="str">
        <f>IF(Table4[[#This Row],[Location of roof light]]="","",IF(OR(Table4[[#This Row],[Location of roof light]]="Conditioned Space",
AND(Table4[[#This Row],[Location of roof light]]="Habitable room",AND(Selection_ClimateZone&lt;&gt;1,Selection_ClimateZone&lt;&gt;2,Selection_ClimateZone&lt;&gt;3))),"Yes","No"))</f>
        <v/>
      </c>
      <c r="L31" s="814"/>
    </row>
    <row r="32" spans="1:12" s="22" customFormat="1" ht="24" customHeight="1" x14ac:dyDescent="0.4">
      <c r="A32" s="1109"/>
      <c r="B32" s="1114">
        <v>2</v>
      </c>
      <c r="C32" s="1111" t="b">
        <v>0</v>
      </c>
      <c r="E32" s="729"/>
      <c r="F32" s="1419">
        <f t="shared" si="0"/>
        <v>2</v>
      </c>
      <c r="G32" s="1419">
        <v>2</v>
      </c>
      <c r="H32" s="1121" t="str">
        <f>IF('13.2 Building Fabric'!$L45="","",'13.2 Building Fabric'!$L45)</f>
        <v/>
      </c>
      <c r="I32" s="1420"/>
      <c r="J32" s="813"/>
      <c r="K32" s="1421" t="str">
        <f>IF(Table4[[#This Row],[Location of roof light]]="","",IF(OR(Table4[[#This Row],[Location of roof light]]="Conditioned Space",
AND(Table4[[#This Row],[Location of roof light]]="Habitable room",AND(Selection_ClimateZone&lt;&gt;1,Selection_ClimateZone&lt;&gt;2,Selection_ClimateZone&lt;&gt;3))),"Yes","No"))</f>
        <v/>
      </c>
      <c r="L32" s="814"/>
    </row>
    <row r="33" spans="1:12" s="22" customFormat="1" ht="24" hidden="1" customHeight="1" x14ac:dyDescent="0.4">
      <c r="A33" s="1109"/>
      <c r="B33" s="1114">
        <v>3</v>
      </c>
      <c r="C33" s="1111" t="b">
        <v>0</v>
      </c>
      <c r="E33" s="729"/>
      <c r="F33" s="1419" t="str">
        <f t="shared" si="0"/>
        <v>-</v>
      </c>
      <c r="G33" s="1419">
        <v>3</v>
      </c>
      <c r="H33" s="1123" t="str">
        <f>IF('13.2 Building Fabric'!$L46="","",'13.2 Building Fabric'!$L46)</f>
        <v/>
      </c>
      <c r="I33" s="1422"/>
      <c r="J33" s="815"/>
      <c r="K33" s="1423" t="str">
        <f>IF(Table4[[#This Row],[Location of roof light]]="","",IF(OR(Table4[[#This Row],[Location of roof light]]="Conditioned Space",
AND(Table4[[#This Row],[Location of roof light]]="Habitable room",AND(Selection_ClimateZone&lt;&gt;1,Selection_ClimateZone&lt;&gt;2,Selection_ClimateZone&lt;&gt;3))),"Yes","No"))</f>
        <v/>
      </c>
      <c r="L33" s="816"/>
    </row>
    <row r="34" spans="1:12" s="22" customFormat="1" ht="24" hidden="1" customHeight="1" x14ac:dyDescent="0.4">
      <c r="A34" s="1109"/>
      <c r="B34" s="1114">
        <v>4</v>
      </c>
      <c r="C34" s="1111" t="b">
        <v>0</v>
      </c>
      <c r="E34" s="729"/>
      <c r="F34" s="1419" t="str">
        <f t="shared" si="0"/>
        <v>-</v>
      </c>
      <c r="G34" s="1419">
        <v>4</v>
      </c>
      <c r="H34" s="1122" t="str">
        <f>IF('13.2 Building Fabric'!$L47="","",'13.2 Building Fabric'!$L47)</f>
        <v/>
      </c>
      <c r="I34" s="1205"/>
      <c r="J34" s="1205"/>
      <c r="K34" s="1206" t="str">
        <f>IF(Table4[[#This Row],[Location of roof light]]="","",IF(OR(Table4[[#This Row],[Location of roof light]]="Conditioned Space",
AND(Table4[[#This Row],[Location of roof light]]="Habitable room",AND(Selection_ClimateZone&lt;&gt;1,Selection_ClimateZone&lt;&gt;2,Selection_ClimateZone&lt;&gt;3))),"Yes","No"))</f>
        <v/>
      </c>
      <c r="L34" s="1207"/>
    </row>
    <row r="35" spans="1:12" s="22" customFormat="1" ht="24" hidden="1" customHeight="1" x14ac:dyDescent="0.4">
      <c r="A35" s="1109"/>
      <c r="B35" s="1114">
        <v>5</v>
      </c>
      <c r="C35" s="1111" t="b">
        <v>0</v>
      </c>
      <c r="E35" s="729"/>
      <c r="F35" s="1419" t="str">
        <f t="shared" si="0"/>
        <v>-</v>
      </c>
      <c r="G35" s="1419">
        <v>5</v>
      </c>
      <c r="H35" s="1121" t="str">
        <f>IF('13.2 Building Fabric'!$L48="","",'13.2 Building Fabric'!$L48)</f>
        <v/>
      </c>
      <c r="I35" s="1420"/>
      <c r="J35" s="813"/>
      <c r="K35" s="1421" t="str">
        <f>IF(Table4[[#This Row],[Location of roof light]]="","",IF(OR(Table4[[#This Row],[Location of roof light]]="Conditioned Space",
AND(Table4[[#This Row],[Location of roof light]]="Habitable room",AND(Selection_ClimateZone&lt;&gt;1,Selection_ClimateZone&lt;&gt;2,Selection_ClimateZone&lt;&gt;3))),"Yes","No"))</f>
        <v/>
      </c>
      <c r="L35" s="814"/>
    </row>
    <row r="36" spans="1:12" s="22" customFormat="1" ht="24" hidden="1" customHeight="1" x14ac:dyDescent="0.4">
      <c r="A36" s="1109"/>
      <c r="B36" s="1114">
        <v>6</v>
      </c>
      <c r="C36" s="1111" t="b">
        <v>0</v>
      </c>
      <c r="E36" s="729"/>
      <c r="F36" s="1419" t="str">
        <f t="shared" si="0"/>
        <v>-</v>
      </c>
      <c r="G36" s="1419">
        <v>6</v>
      </c>
      <c r="H36" s="1121" t="str">
        <f>IF('13.2 Building Fabric'!$L49="","",'13.2 Building Fabric'!$L49)</f>
        <v/>
      </c>
      <c r="I36" s="1420"/>
      <c r="J36" s="813"/>
      <c r="K36" s="1421" t="str">
        <f>IF(Table4[[#This Row],[Location of roof light]]="","",IF(OR(Table4[[#This Row],[Location of roof light]]="Conditioned Space",
AND(Table4[[#This Row],[Location of roof light]]="Habitable room",AND(Selection_ClimateZone&lt;&gt;1,Selection_ClimateZone&lt;&gt;2,Selection_ClimateZone&lt;&gt;3))),"Yes","No"))</f>
        <v/>
      </c>
      <c r="L36" s="814"/>
    </row>
    <row r="37" spans="1:12" s="22" customFormat="1" ht="24" hidden="1" customHeight="1" x14ac:dyDescent="0.4">
      <c r="A37" s="1109"/>
      <c r="B37" s="1114">
        <v>7</v>
      </c>
      <c r="C37" s="1111" t="b">
        <v>0</v>
      </c>
      <c r="E37" s="729"/>
      <c r="F37" s="1419" t="str">
        <f t="shared" si="0"/>
        <v>-</v>
      </c>
      <c r="G37" s="1419">
        <v>7</v>
      </c>
      <c r="H37" s="1121" t="str">
        <f>IF('13.2 Building Fabric'!$L50="","",'13.2 Building Fabric'!$L50)</f>
        <v/>
      </c>
      <c r="I37" s="1420"/>
      <c r="J37" s="813"/>
      <c r="K37" s="1421" t="str">
        <f>IF(Table4[[#This Row],[Location of roof light]]="","",IF(OR(Table4[[#This Row],[Location of roof light]]="Conditioned Space",
AND(Table4[[#This Row],[Location of roof light]]="Habitable room",AND(Selection_ClimateZone&lt;&gt;1,Selection_ClimateZone&lt;&gt;2,Selection_ClimateZone&lt;&gt;3))),"Yes","No"))</f>
        <v/>
      </c>
      <c r="L37" s="814"/>
    </row>
    <row r="38" spans="1:12" s="22" customFormat="1" ht="24" hidden="1" customHeight="1" x14ac:dyDescent="0.4">
      <c r="A38" s="1109"/>
      <c r="B38" s="1114">
        <v>8</v>
      </c>
      <c r="C38" s="1111" t="b">
        <v>0</v>
      </c>
      <c r="E38" s="729"/>
      <c r="F38" s="1419" t="str">
        <f t="shared" si="0"/>
        <v>-</v>
      </c>
      <c r="G38" s="1419">
        <v>8</v>
      </c>
      <c r="H38" s="1121" t="str">
        <f>IF('13.2 Building Fabric'!$L51="","",'13.2 Building Fabric'!$L51)</f>
        <v/>
      </c>
      <c r="I38" s="1420"/>
      <c r="J38" s="813"/>
      <c r="K38" s="1421" t="str">
        <f>IF(Table4[[#This Row],[Location of roof light]]="","",IF(OR(Table4[[#This Row],[Location of roof light]]="Conditioned Space",
AND(Table4[[#This Row],[Location of roof light]]="Habitable room",AND(Selection_ClimateZone&lt;&gt;1,Selection_ClimateZone&lt;&gt;2,Selection_ClimateZone&lt;&gt;3))),"Yes","No"))</f>
        <v/>
      </c>
      <c r="L38" s="814"/>
    </row>
    <row r="39" spans="1:12" s="22" customFormat="1" ht="24" hidden="1" customHeight="1" x14ac:dyDescent="0.35">
      <c r="A39" s="1109"/>
      <c r="B39" s="1114">
        <v>9</v>
      </c>
      <c r="C39" s="1111" t="b">
        <v>0</v>
      </c>
      <c r="F39" s="1419" t="str">
        <f t="shared" si="0"/>
        <v>-</v>
      </c>
      <c r="G39" s="1419">
        <v>9</v>
      </c>
      <c r="H39" s="1121" t="str">
        <f>IF('13.2 Building Fabric'!$L52="","",'13.2 Building Fabric'!$L52)</f>
        <v/>
      </c>
      <c r="I39" s="1420"/>
      <c r="J39" s="813"/>
      <c r="K39" s="1421" t="str">
        <f>IF(Table4[[#This Row],[Location of roof light]]="","",IF(OR(Table4[[#This Row],[Location of roof light]]="Conditioned Space",
AND(Table4[[#This Row],[Location of roof light]]="Habitable room",AND(Selection_ClimateZone&lt;&gt;1,Selection_ClimateZone&lt;&gt;2,Selection_ClimateZone&lt;&gt;3))),"Yes","No"))</f>
        <v/>
      </c>
      <c r="L39" s="814"/>
    </row>
    <row r="40" spans="1:12" s="22" customFormat="1" ht="24" hidden="1" customHeight="1" x14ac:dyDescent="0.35">
      <c r="A40" s="1109"/>
      <c r="B40" s="1114">
        <v>10</v>
      </c>
      <c r="C40" s="1111" t="b">
        <v>0</v>
      </c>
      <c r="F40" s="1424" t="str">
        <f t="shared" si="0"/>
        <v>-</v>
      </c>
      <c r="G40" s="1424">
        <v>10</v>
      </c>
      <c r="H40" s="1121" t="str">
        <f>IF('13.2 Building Fabric'!$L53="","",'13.2 Building Fabric'!$L53)</f>
        <v/>
      </c>
      <c r="I40" s="1420"/>
      <c r="J40" s="813"/>
      <c r="K40" s="1421" t="str">
        <f>IF(Table4[[#This Row],[Location of roof light]]="","",IF(OR(Table4[[#This Row],[Location of roof light]]="Conditioned Space",
AND(Table4[[#This Row],[Location of roof light]]="Habitable room",AND(Selection_ClimateZone&lt;&gt;1,Selection_ClimateZone&lt;&gt;2,Selection_ClimateZone&lt;&gt;3))),"Yes","No"))</f>
        <v/>
      </c>
      <c r="L40" s="814"/>
    </row>
    <row r="41" spans="1:12" s="22" customFormat="1" ht="15.5" x14ac:dyDescent="0.35">
      <c r="A41" s="1109" t="s">
        <v>132</v>
      </c>
      <c r="B41" s="1115">
        <f>SUBTOTAL(2,Table4['#])</f>
        <v>2</v>
      </c>
      <c r="C41" s="1109"/>
      <c r="F41" s="784" t="s">
        <v>1363</v>
      </c>
    </row>
    <row r="42" spans="1:12" s="22" customFormat="1" x14ac:dyDescent="0.3">
      <c r="A42" s="1109"/>
      <c r="B42" s="1114"/>
      <c r="C42" s="1109"/>
    </row>
    <row r="43" spans="1:12" s="22" customFormat="1" ht="18" x14ac:dyDescent="0.4">
      <c r="A43" s="1109"/>
      <c r="B43" s="1109"/>
      <c r="C43" s="1109"/>
      <c r="E43" s="729" t="s">
        <v>74</v>
      </c>
    </row>
    <row r="44" spans="1:12" s="22" customFormat="1" x14ac:dyDescent="0.3">
      <c r="A44" s="1109"/>
      <c r="B44" s="1109"/>
      <c r="C44" s="1109"/>
    </row>
    <row r="45" spans="1:12" s="22" customFormat="1" ht="16.5" customHeight="1" x14ac:dyDescent="0.4">
      <c r="A45" s="1109"/>
      <c r="B45" s="1109"/>
      <c r="C45" s="1109"/>
      <c r="E45" s="729"/>
      <c r="F45" s="807" t="s">
        <v>1358</v>
      </c>
      <c r="G45" s="784"/>
      <c r="H45" s="784"/>
      <c r="I45" s="832"/>
      <c r="J45" s="784"/>
      <c r="K45" s="784"/>
    </row>
    <row r="46" spans="1:12" s="22" customFormat="1" ht="70.5" customHeight="1" x14ac:dyDescent="0.3">
      <c r="A46" s="1109"/>
      <c r="B46" s="1109"/>
      <c r="C46" s="1109"/>
      <c r="F46" s="1589" t="s">
        <v>1364</v>
      </c>
      <c r="G46" s="1589"/>
      <c r="H46" s="1589"/>
      <c r="I46" s="1589"/>
      <c r="J46" s="1589"/>
      <c r="K46" s="1589"/>
    </row>
    <row r="47" spans="1:12" s="22" customFormat="1" ht="15.5" x14ac:dyDescent="0.35">
      <c r="A47" s="1109"/>
      <c r="B47" s="1109"/>
      <c r="C47" s="1109"/>
      <c r="F47" s="784" t="s">
        <v>1365</v>
      </c>
      <c r="G47" s="784"/>
    </row>
    <row r="48" spans="1:12" s="22" customFormat="1" ht="15.5" x14ac:dyDescent="0.35">
      <c r="A48" s="1109"/>
      <c r="B48" s="1109"/>
      <c r="C48" s="1109"/>
      <c r="F48" s="784"/>
      <c r="G48" s="784"/>
    </row>
    <row r="49" spans="1:12" s="22" customFormat="1" ht="15.5" x14ac:dyDescent="0.35">
      <c r="A49" s="1109"/>
      <c r="B49" s="1109"/>
      <c r="C49" s="1109"/>
      <c r="F49" s="784" t="s">
        <v>1366</v>
      </c>
    </row>
    <row r="50" spans="1:12" s="22" customFormat="1" ht="15.5" x14ac:dyDescent="0.35">
      <c r="A50" s="1109"/>
      <c r="B50" s="1109"/>
      <c r="C50" s="1109"/>
      <c r="F50" s="784"/>
      <c r="G50" s="784"/>
    </row>
    <row r="51" spans="1:12" s="22" customFormat="1" ht="15.5" x14ac:dyDescent="0.35">
      <c r="A51" s="1109"/>
      <c r="B51" s="1109"/>
      <c r="C51" s="1109"/>
      <c r="F51" s="784" t="s">
        <v>1360</v>
      </c>
      <c r="G51" s="785">
        <v>4</v>
      </c>
      <c r="H51" s="792" t="str">
        <f>IF(RowsRequiredExtWindowsDoors&gt;G57,"Not possible - maximum number available is "&amp;G57,IF(RowsRequiredExtWindowsDoors&lt;&gt;B58,("Click filter arrow beside the table header 'Rows'. Select only '"&amp;RowsRequiredExtWindowsDoors&amp;"' on the drop-down list, (as currently displayed)"),""))</f>
        <v/>
      </c>
    </row>
    <row r="52" spans="1:12" s="22" customFormat="1" x14ac:dyDescent="0.3">
      <c r="A52" s="1109"/>
      <c r="B52" s="1109"/>
      <c r="C52" s="1109"/>
    </row>
    <row r="53" spans="1:12" s="738" customFormat="1" ht="36" x14ac:dyDescent="0.3">
      <c r="A53" s="1116"/>
      <c r="B53" s="1117" t="s">
        <v>119</v>
      </c>
      <c r="C53" s="1116"/>
      <c r="E53" s="761"/>
      <c r="F53" s="817" t="s">
        <v>120</v>
      </c>
      <c r="G53" s="780" t="s">
        <v>121</v>
      </c>
      <c r="H53" s="809" t="s">
        <v>1367</v>
      </c>
      <c r="I53" s="781" t="s">
        <v>76</v>
      </c>
      <c r="J53" s="781" t="s">
        <v>1358</v>
      </c>
      <c r="K53" s="818" t="s">
        <v>1362</v>
      </c>
      <c r="L53" s="22"/>
    </row>
    <row r="54" spans="1:12" s="22" customFormat="1" ht="17.25" customHeight="1" x14ac:dyDescent="0.4">
      <c r="A54" s="1109"/>
      <c r="B54" s="1114">
        <v>1</v>
      </c>
      <c r="C54" s="1111" t="b">
        <v>0</v>
      </c>
      <c r="E54" s="729"/>
      <c r="F54" s="1419">
        <f t="shared" ref="F54:F57" si="1">IF(ISBLANK(RowsRequiredExtWindowsDoors),"1",IF(ISBLANK(B54),"-",IF(B54&lt;=RowsRequiredExtWindowsDoors,RowsRequiredExtWindowsDoors,"-")))</f>
        <v>4</v>
      </c>
      <c r="G54" s="1419">
        <v>1</v>
      </c>
      <c r="H54" s="812"/>
      <c r="I54" s="1420"/>
      <c r="J54" s="1421" t="str">
        <f>IF(Table473[[#This Row],[Location of external doors]]="","",IF(OR(Table473[[#This Row],[Location of external doors]]="Conditioned Space",
AND(Table473[[#This Row],[Location of external doors]]="Habitable room",AND(Selection_ClimateZone&lt;&gt;1,Selection_ClimateZone&lt;&gt;2,Selection_ClimateZone&lt;&gt;3))),"Yes","No"))</f>
        <v/>
      </c>
      <c r="K54" s="814"/>
    </row>
    <row r="55" spans="1:12" s="22" customFormat="1" ht="17.25" customHeight="1" x14ac:dyDescent="0.4">
      <c r="A55" s="1109"/>
      <c r="B55" s="1114">
        <v>2</v>
      </c>
      <c r="C55" s="1111" t="b">
        <v>0</v>
      </c>
      <c r="E55" s="729"/>
      <c r="F55" s="1419">
        <f t="shared" si="1"/>
        <v>4</v>
      </c>
      <c r="G55" s="1419">
        <v>2</v>
      </c>
      <c r="H55" s="1425"/>
      <c r="I55" s="1420"/>
      <c r="J55" s="1421" t="str">
        <f>IF(Table473[[#This Row],[Location of external doors]]="","",IF(OR(Table473[[#This Row],[Location of external doors]]="Conditioned Space",
AND(Table473[[#This Row],[Location of external doors]]="Habitable room",AND(Selection_ClimateZone&lt;&gt;1,Selection_ClimateZone&lt;&gt;2,Selection_ClimateZone&lt;&gt;3))),"Yes","No"))</f>
        <v/>
      </c>
      <c r="K55" s="814"/>
    </row>
    <row r="56" spans="1:12" s="22" customFormat="1" ht="17.25" customHeight="1" x14ac:dyDescent="0.4">
      <c r="A56" s="1109"/>
      <c r="B56" s="1114">
        <v>3</v>
      </c>
      <c r="C56" s="1111" t="b">
        <v>0</v>
      </c>
      <c r="E56" s="729"/>
      <c r="F56" s="1419">
        <f t="shared" si="1"/>
        <v>4</v>
      </c>
      <c r="G56" s="1419">
        <v>3</v>
      </c>
      <c r="H56" s="1425"/>
      <c r="I56" s="1420"/>
      <c r="J56" s="1421" t="str">
        <f>IF(Table473[[#This Row],[Location of external doors]]="","",IF(OR(Table473[[#This Row],[Location of external doors]]="Conditioned Space",
AND(Table473[[#This Row],[Location of external doors]]="Habitable room",AND(Selection_ClimateZone&lt;&gt;1,Selection_ClimateZone&lt;&gt;2,Selection_ClimateZone&lt;&gt;3))),"Yes","No"))</f>
        <v/>
      </c>
      <c r="K56" s="814"/>
    </row>
    <row r="57" spans="1:12" s="22" customFormat="1" ht="17.25" customHeight="1" x14ac:dyDescent="0.4">
      <c r="A57" s="1109"/>
      <c r="B57" s="1114">
        <v>4</v>
      </c>
      <c r="C57" s="1111" t="b">
        <v>0</v>
      </c>
      <c r="E57" s="729"/>
      <c r="F57" s="1419">
        <f t="shared" si="1"/>
        <v>4</v>
      </c>
      <c r="G57" s="1419">
        <v>4</v>
      </c>
      <c r="H57" s="1425"/>
      <c r="I57" s="1420"/>
      <c r="J57" s="1421" t="str">
        <f>IF(Table473[[#This Row],[Location of external doors]]="","",IF(OR(Table473[[#This Row],[Location of external doors]]="Conditioned Space",
AND(Table473[[#This Row],[Location of external doors]]="Habitable room",AND(Selection_ClimateZone&lt;&gt;1,Selection_ClimateZone&lt;&gt;2,Selection_ClimateZone&lt;&gt;3))),"Yes","No"))</f>
        <v/>
      </c>
      <c r="K57" s="814"/>
    </row>
    <row r="58" spans="1:12" s="22" customFormat="1" x14ac:dyDescent="0.3">
      <c r="A58" s="1109" t="s">
        <v>132</v>
      </c>
      <c r="B58" s="1115">
        <f>SUBTOTAL(2,Table473['#])</f>
        <v>4</v>
      </c>
      <c r="C58" s="1109"/>
    </row>
    <row r="59" spans="1:12" s="22" customFormat="1" ht="18" x14ac:dyDescent="0.4">
      <c r="A59" s="1109"/>
      <c r="B59" s="1109"/>
      <c r="C59" s="1109"/>
      <c r="E59" s="729" t="s">
        <v>1350</v>
      </c>
    </row>
    <row r="60" spans="1:12" s="22" customFormat="1" x14ac:dyDescent="0.3">
      <c r="A60" s="1109"/>
      <c r="B60" s="1109"/>
      <c r="C60" s="1109"/>
    </row>
    <row r="61" spans="1:12" s="22" customFormat="1" ht="16.5" customHeight="1" x14ac:dyDescent="0.4">
      <c r="A61" s="1109"/>
      <c r="B61" s="1109"/>
      <c r="C61" s="1109"/>
      <c r="E61" s="729"/>
      <c r="F61" s="807" t="s">
        <v>1358</v>
      </c>
      <c r="G61" s="784"/>
      <c r="H61" s="784"/>
    </row>
    <row r="62" spans="1:12" s="22" customFormat="1" ht="15.5" x14ac:dyDescent="0.35">
      <c r="A62" s="1109"/>
      <c r="B62" s="1109"/>
      <c r="C62" s="1109"/>
      <c r="F62" s="784" t="s">
        <v>1368</v>
      </c>
      <c r="G62" s="784"/>
      <c r="H62" s="784"/>
    </row>
    <row r="63" spans="1:12" s="22" customFormat="1" ht="15.5" x14ac:dyDescent="0.35">
      <c r="A63" s="1109"/>
      <c r="B63" s="1109"/>
      <c r="C63" s="1109"/>
      <c r="F63" s="784"/>
      <c r="G63" s="784"/>
      <c r="H63" s="784"/>
    </row>
    <row r="64" spans="1:12" s="22" customFormat="1" ht="15.5" x14ac:dyDescent="0.35">
      <c r="A64" s="1109"/>
      <c r="B64" s="1109"/>
      <c r="C64" s="1109"/>
      <c r="F64" s="784" t="s">
        <v>1360</v>
      </c>
      <c r="G64" s="785">
        <v>5</v>
      </c>
      <c r="H64" s="792" t="str">
        <f>IF(RowsRequiredExhaust&gt;G76,"Not possible - maximum number available is "&amp;G76,IF(RowsRequiredExhaust&lt;&gt;B77,("Click filter arrow beside the table header 'Rows'. Select only '"&amp;RowsRequiredExhaust&amp;"' on the drop-down list, (as currently displayed)"),""))</f>
        <v/>
      </c>
    </row>
    <row r="65" spans="1:12" s="22" customFormat="1" x14ac:dyDescent="0.3">
      <c r="A65" s="1109"/>
      <c r="B65" s="1109"/>
      <c r="C65" s="1109"/>
    </row>
    <row r="66" spans="1:12" s="738" customFormat="1" ht="39" customHeight="1" x14ac:dyDescent="0.3">
      <c r="A66" s="1116"/>
      <c r="B66" s="1117" t="s">
        <v>119</v>
      </c>
      <c r="C66" s="1116"/>
      <c r="E66" s="761"/>
      <c r="F66" s="817" t="s">
        <v>120</v>
      </c>
      <c r="G66" s="780" t="s">
        <v>121</v>
      </c>
      <c r="H66" s="809" t="s">
        <v>1367</v>
      </c>
      <c r="I66" s="781" t="s">
        <v>1369</v>
      </c>
      <c r="J66" s="810" t="s">
        <v>1370</v>
      </c>
      <c r="K66" s="781" t="s">
        <v>1358</v>
      </c>
      <c r="L66" s="818" t="s">
        <v>1362</v>
      </c>
    </row>
    <row r="67" spans="1:12" s="22" customFormat="1" ht="24" customHeight="1" x14ac:dyDescent="0.4">
      <c r="A67" s="1109"/>
      <c r="B67" s="1114">
        <v>1</v>
      </c>
      <c r="C67" s="1111" t="b">
        <v>0</v>
      </c>
      <c r="E67" s="729"/>
      <c r="F67" s="1419">
        <f t="shared" ref="F67:F76" si="2">IF(ISBLANK(RowsRequiredExhaust),"1",IF(ISBLANK(B67),"-",IF(B67&lt;=RowsRequiredExhaust,RowsRequiredExhaust,"-")))</f>
        <v>5</v>
      </c>
      <c r="G67" s="1419">
        <v>1</v>
      </c>
      <c r="H67" s="812"/>
      <c r="I67" s="1420"/>
      <c r="J67" s="813"/>
      <c r="K67" s="1421" t="str">
        <f>IF(Table4737[[#This Row],[Location of exhaust fan]]="","",IF(OR(Table4737[[#This Row],[Location of exhaust fan]]="Conditioned Space",
AND(Table4737[[#This Row],[Location of exhaust fan]]="Habitable room",AND(Selection_ClimateZone&lt;&gt;1,Selection_ClimateZone&lt;&gt;2,Selection_ClimateZone&lt;&gt;3))),"Yes","No"))</f>
        <v/>
      </c>
      <c r="L67" s="814"/>
    </row>
    <row r="68" spans="1:12" s="22" customFormat="1" ht="24" customHeight="1" x14ac:dyDescent="0.4">
      <c r="A68" s="1109"/>
      <c r="B68" s="1114">
        <v>2</v>
      </c>
      <c r="C68" s="1111" t="b">
        <v>0</v>
      </c>
      <c r="E68" s="729"/>
      <c r="F68" s="1419">
        <f t="shared" si="2"/>
        <v>5</v>
      </c>
      <c r="G68" s="1419">
        <v>2</v>
      </c>
      <c r="H68" s="1425"/>
      <c r="I68" s="1420"/>
      <c r="J68" s="813"/>
      <c r="K68" s="1421" t="str">
        <f>IF(Table4737[[#This Row],[Location of exhaust fan]]="","",IF(OR(Table4737[[#This Row],[Location of exhaust fan]]="Conditioned Space",
AND(Table4737[[#This Row],[Location of exhaust fan]]="Habitable room",AND(Selection_ClimateZone&lt;&gt;1,Selection_ClimateZone&lt;&gt;2,Selection_ClimateZone&lt;&gt;3))),"Yes","No"))</f>
        <v/>
      </c>
      <c r="L68" s="814"/>
    </row>
    <row r="69" spans="1:12" s="22" customFormat="1" ht="24" customHeight="1" x14ac:dyDescent="0.4">
      <c r="A69" s="1109"/>
      <c r="B69" s="1114">
        <v>3</v>
      </c>
      <c r="C69" s="1111" t="b">
        <v>0</v>
      </c>
      <c r="E69" s="729"/>
      <c r="F69" s="1419">
        <f t="shared" si="2"/>
        <v>5</v>
      </c>
      <c r="G69" s="1419">
        <v>3</v>
      </c>
      <c r="H69" s="1425"/>
      <c r="I69" s="1420"/>
      <c r="J69" s="813"/>
      <c r="K69" s="1421" t="str">
        <f>IF(Table4737[[#This Row],[Location of exhaust fan]]="","",IF(OR(Table4737[[#This Row],[Location of exhaust fan]]="Conditioned Space",
AND(Table4737[[#This Row],[Location of exhaust fan]]="Habitable room",AND(Selection_ClimateZone&lt;&gt;1,Selection_ClimateZone&lt;&gt;2,Selection_ClimateZone&lt;&gt;3))),"Yes","No"))</f>
        <v/>
      </c>
      <c r="L69" s="814"/>
    </row>
    <row r="70" spans="1:12" s="22" customFormat="1" ht="24" customHeight="1" x14ac:dyDescent="0.4">
      <c r="A70" s="1109"/>
      <c r="B70" s="1114">
        <v>4</v>
      </c>
      <c r="C70" s="1111" t="b">
        <v>0</v>
      </c>
      <c r="E70" s="729"/>
      <c r="F70" s="1419">
        <f t="shared" si="2"/>
        <v>5</v>
      </c>
      <c r="G70" s="1419">
        <v>4</v>
      </c>
      <c r="H70" s="1425"/>
      <c r="I70" s="1420"/>
      <c r="J70" s="813"/>
      <c r="K70" s="1421" t="str">
        <f>IF(Table4737[[#This Row],[Location of exhaust fan]]="","",IF(OR(Table4737[[#This Row],[Location of exhaust fan]]="Conditioned Space",
AND(Table4737[[#This Row],[Location of exhaust fan]]="Habitable room",AND(Selection_ClimateZone&lt;&gt;1,Selection_ClimateZone&lt;&gt;2,Selection_ClimateZone&lt;&gt;3))),"Yes","No"))</f>
        <v/>
      </c>
      <c r="L70" s="814"/>
    </row>
    <row r="71" spans="1:12" s="22" customFormat="1" ht="24" customHeight="1" x14ac:dyDescent="0.4">
      <c r="A71" s="1109"/>
      <c r="B71" s="1114">
        <v>5</v>
      </c>
      <c r="C71" s="1111" t="b">
        <v>0</v>
      </c>
      <c r="E71" s="729"/>
      <c r="F71" s="1419">
        <f t="shared" si="2"/>
        <v>5</v>
      </c>
      <c r="G71" s="1419">
        <v>5</v>
      </c>
      <c r="H71" s="1426"/>
      <c r="I71" s="1422"/>
      <c r="J71" s="815"/>
      <c r="K71" s="1423" t="str">
        <f>IF(Table4737[[#This Row],[Location of exhaust fan]]="","",IF(OR(Table4737[[#This Row],[Location of exhaust fan]]="Conditioned Space",
AND(Table4737[[#This Row],[Location of exhaust fan]]="Habitable room",AND(Selection_ClimateZone&lt;&gt;1,Selection_ClimateZone&lt;&gt;2,Selection_ClimateZone&lt;&gt;3))),"Yes","No"))</f>
        <v/>
      </c>
      <c r="L71" s="816"/>
    </row>
    <row r="72" spans="1:12" s="22" customFormat="1" ht="24" hidden="1" customHeight="1" x14ac:dyDescent="0.4">
      <c r="A72" s="1109"/>
      <c r="B72" s="1114">
        <v>6</v>
      </c>
      <c r="C72" s="1111" t="b">
        <v>0</v>
      </c>
      <c r="E72" s="729"/>
      <c r="F72" s="1419" t="str">
        <f t="shared" si="2"/>
        <v>-</v>
      </c>
      <c r="G72" s="1419">
        <v>6</v>
      </c>
      <c r="H72" s="1208"/>
      <c r="I72" s="1205"/>
      <c r="J72" s="1205"/>
      <c r="K72" s="1206" t="str">
        <f>IF(Table4737[[#This Row],[Location of exhaust fan]]="","",IF(OR(Table4737[[#This Row],[Location of exhaust fan]]="Conditioned Space",
AND(Table4737[[#This Row],[Location of exhaust fan]]="Habitable room",AND(Selection_ClimateZone&lt;&gt;1,Selection_ClimateZone&lt;&gt;2,Selection_ClimateZone&lt;&gt;3))),"Yes","No"))</f>
        <v/>
      </c>
      <c r="L72" s="1207"/>
    </row>
    <row r="73" spans="1:12" s="22" customFormat="1" ht="24" hidden="1" customHeight="1" x14ac:dyDescent="0.4">
      <c r="A73" s="1109"/>
      <c r="B73" s="1114">
        <v>7</v>
      </c>
      <c r="C73" s="1111" t="b">
        <v>0</v>
      </c>
      <c r="E73" s="729"/>
      <c r="F73" s="1419" t="str">
        <f t="shared" si="2"/>
        <v>-</v>
      </c>
      <c r="G73" s="1419">
        <v>7</v>
      </c>
      <c r="H73" s="1425"/>
      <c r="I73" s="1420"/>
      <c r="J73" s="813"/>
      <c r="K73" s="1421" t="str">
        <f>IF(Table4737[[#This Row],[Location of exhaust fan]]="","",IF(OR(Table4737[[#This Row],[Location of exhaust fan]]="Conditioned Space",
AND(Table4737[[#This Row],[Location of exhaust fan]]="Habitable room",AND(Selection_ClimateZone&lt;&gt;1,Selection_ClimateZone&lt;&gt;2,Selection_ClimateZone&lt;&gt;3))),"Yes","No"))</f>
        <v/>
      </c>
      <c r="L73" s="814"/>
    </row>
    <row r="74" spans="1:12" s="22" customFormat="1" ht="24" hidden="1" customHeight="1" x14ac:dyDescent="0.4">
      <c r="A74" s="1109"/>
      <c r="B74" s="1114">
        <v>8</v>
      </c>
      <c r="C74" s="1111" t="b">
        <v>0</v>
      </c>
      <c r="E74" s="729"/>
      <c r="F74" s="1419" t="str">
        <f t="shared" si="2"/>
        <v>-</v>
      </c>
      <c r="G74" s="1419">
        <v>8</v>
      </c>
      <c r="H74" s="1425"/>
      <c r="I74" s="1420"/>
      <c r="J74" s="813"/>
      <c r="K74" s="1421" t="str">
        <f>IF(Table4737[[#This Row],[Location of exhaust fan]]="","",IF(OR(Table4737[[#This Row],[Location of exhaust fan]]="Conditioned Space",
AND(Table4737[[#This Row],[Location of exhaust fan]]="Habitable room",AND(Selection_ClimateZone&lt;&gt;1,Selection_ClimateZone&lt;&gt;2,Selection_ClimateZone&lt;&gt;3))),"Yes","No"))</f>
        <v/>
      </c>
      <c r="L74" s="814"/>
    </row>
    <row r="75" spans="1:12" s="22" customFormat="1" ht="24" hidden="1" customHeight="1" x14ac:dyDescent="0.35">
      <c r="A75" s="1109"/>
      <c r="B75" s="1114">
        <v>9</v>
      </c>
      <c r="C75" s="1111" t="b">
        <v>0</v>
      </c>
      <c r="F75" s="1419" t="str">
        <f t="shared" si="2"/>
        <v>-</v>
      </c>
      <c r="G75" s="1419">
        <v>9</v>
      </c>
      <c r="H75" s="1425"/>
      <c r="I75" s="1420"/>
      <c r="J75" s="813"/>
      <c r="K75" s="1421" t="str">
        <f>IF(Table4737[[#This Row],[Location of exhaust fan]]="","",IF(OR(Table4737[[#This Row],[Location of exhaust fan]]="Conditioned Space",
AND(Table4737[[#This Row],[Location of exhaust fan]]="Habitable room",AND(Selection_ClimateZone&lt;&gt;1,Selection_ClimateZone&lt;&gt;2,Selection_ClimateZone&lt;&gt;3))),"Yes","No"))</f>
        <v/>
      </c>
      <c r="L75" s="814"/>
    </row>
    <row r="76" spans="1:12" s="22" customFormat="1" ht="24" hidden="1" customHeight="1" x14ac:dyDescent="0.35">
      <c r="A76" s="1109"/>
      <c r="B76" s="1114">
        <v>10</v>
      </c>
      <c r="C76" s="1111" t="b">
        <v>0</v>
      </c>
      <c r="F76" s="1424" t="str">
        <f t="shared" si="2"/>
        <v>-</v>
      </c>
      <c r="G76" s="1424">
        <v>10</v>
      </c>
      <c r="H76" s="1425"/>
      <c r="I76" s="1420"/>
      <c r="J76" s="813"/>
      <c r="K76" s="1421" t="str">
        <f>IF(Table4737[[#This Row],[Location of exhaust fan]]="","",IF(OR(Table4737[[#This Row],[Location of exhaust fan]]="Conditioned Space",
AND(Table4737[[#This Row],[Location of exhaust fan]]="Habitable room",AND(Selection_ClimateZone&lt;&gt;1,Selection_ClimateZone&lt;&gt;2,Selection_ClimateZone&lt;&gt;3))),"Yes","No"))</f>
        <v/>
      </c>
      <c r="L76" s="814"/>
    </row>
    <row r="77" spans="1:12" s="22" customFormat="1" x14ac:dyDescent="0.3">
      <c r="A77" s="1109" t="s">
        <v>132</v>
      </c>
      <c r="B77" s="1115">
        <f>SUBTOTAL(2,Table4737['#])</f>
        <v>5</v>
      </c>
      <c r="C77" s="1109"/>
    </row>
    <row r="78" spans="1:12" s="22" customFormat="1" ht="18" x14ac:dyDescent="0.4">
      <c r="A78" s="1109"/>
      <c r="B78" s="1109"/>
      <c r="C78" s="1109"/>
      <c r="E78" s="729" t="s">
        <v>1371</v>
      </c>
    </row>
    <row r="79" spans="1:12" s="22" customFormat="1" x14ac:dyDescent="0.3">
      <c r="A79" s="1109"/>
      <c r="B79" s="1109"/>
      <c r="C79" s="1109"/>
    </row>
    <row r="80" spans="1:12" s="22" customFormat="1" ht="16.5" customHeight="1" x14ac:dyDescent="0.4">
      <c r="A80" s="1109"/>
      <c r="B80" s="1109"/>
      <c r="C80" s="1109"/>
      <c r="E80" s="729"/>
      <c r="F80" s="807" t="s">
        <v>1358</v>
      </c>
      <c r="G80" s="784"/>
      <c r="H80" s="784"/>
      <c r="I80" s="784"/>
      <c r="J80" s="784"/>
      <c r="K80" s="784"/>
      <c r="L80" s="784"/>
    </row>
    <row r="81" spans="1:12" s="22" customFormat="1" ht="144.75" customHeight="1" x14ac:dyDescent="0.3">
      <c r="A81" s="1109"/>
      <c r="B81" s="1109"/>
      <c r="C81" s="1118" t="b">
        <v>0</v>
      </c>
      <c r="F81" s="1589" t="s">
        <v>1372</v>
      </c>
      <c r="G81" s="1589"/>
      <c r="H81" s="1589"/>
      <c r="I81" s="1589"/>
      <c r="J81" s="1589"/>
      <c r="K81" s="1589"/>
      <c r="L81" s="1589"/>
    </row>
    <row r="82" spans="1:12" s="22" customFormat="1" ht="18" x14ac:dyDescent="0.4">
      <c r="A82" s="1109"/>
      <c r="B82" s="1109"/>
      <c r="C82" s="1109"/>
      <c r="E82" s="729" t="s">
        <v>1373</v>
      </c>
    </row>
    <row r="83" spans="1:12" s="22" customFormat="1" x14ac:dyDescent="0.3">
      <c r="A83" s="1109"/>
      <c r="B83" s="1109"/>
      <c r="C83" s="1109"/>
    </row>
    <row r="84" spans="1:12" s="22" customFormat="1" ht="16.5" customHeight="1" x14ac:dyDescent="0.4">
      <c r="A84" s="1109"/>
      <c r="B84" s="1109"/>
      <c r="C84" s="1109"/>
      <c r="E84" s="729"/>
      <c r="F84" s="807" t="s">
        <v>1358</v>
      </c>
      <c r="G84" s="784"/>
      <c r="H84" s="784"/>
      <c r="I84" s="784"/>
      <c r="J84" s="784"/>
      <c r="K84" s="784"/>
    </row>
    <row r="85" spans="1:12" s="22" customFormat="1" ht="48" customHeight="1" x14ac:dyDescent="0.3">
      <c r="A85" s="1109"/>
      <c r="B85" s="1109"/>
      <c r="C85" s="1118" t="b">
        <v>0</v>
      </c>
      <c r="F85" s="1589" t="s">
        <v>1374</v>
      </c>
      <c r="G85" s="1590"/>
      <c r="H85" s="1590"/>
      <c r="I85" s="1590"/>
      <c r="J85" s="1590"/>
      <c r="K85" s="1590"/>
    </row>
    <row r="86" spans="1:12" s="22" customFormat="1" x14ac:dyDescent="0.3"/>
    <row r="87" spans="1:12" s="22" customFormat="1" x14ac:dyDescent="0.3"/>
    <row r="88" spans="1:12" s="22" customFormat="1" x14ac:dyDescent="0.3"/>
    <row r="89" spans="1:12" s="22" customFormat="1" x14ac:dyDescent="0.3"/>
    <row r="90" spans="1:12" s="22" customFormat="1" x14ac:dyDescent="0.3"/>
    <row r="91" spans="1:12" s="22" customFormat="1" x14ac:dyDescent="0.3"/>
    <row r="92" spans="1:12" s="22" customFormat="1" x14ac:dyDescent="0.3"/>
    <row r="93" spans="1:12" s="22" customFormat="1" x14ac:dyDescent="0.3"/>
    <row r="94" spans="1:12" s="22" customFormat="1" x14ac:dyDescent="0.3"/>
    <row r="95" spans="1:12" s="22" customFormat="1" x14ac:dyDescent="0.3"/>
    <row r="96" spans="1:12" s="22" customFormat="1" x14ac:dyDescent="0.3"/>
    <row r="97" s="22" customFormat="1" x14ac:dyDescent="0.3"/>
    <row r="98" s="22" customFormat="1" x14ac:dyDescent="0.3"/>
    <row r="99" s="22" customFormat="1" x14ac:dyDescent="0.3"/>
    <row r="100" s="22" customFormat="1" x14ac:dyDescent="0.3"/>
    <row r="101" s="22" customFormat="1" x14ac:dyDescent="0.3"/>
    <row r="102" s="22" customFormat="1" x14ac:dyDescent="0.3"/>
    <row r="103" s="22" customFormat="1" x14ac:dyDescent="0.3"/>
    <row r="104" s="22" customFormat="1" x14ac:dyDescent="0.3"/>
    <row r="105" s="22" customFormat="1" x14ac:dyDescent="0.3"/>
    <row r="106" s="22" customFormat="1" x14ac:dyDescent="0.3"/>
    <row r="107" s="22" customFormat="1" x14ac:dyDescent="0.3"/>
    <row r="108" s="22" customFormat="1" x14ac:dyDescent="0.3"/>
    <row r="109" s="22" customFormat="1" x14ac:dyDescent="0.3"/>
    <row r="110" s="22" customFormat="1" x14ac:dyDescent="0.3"/>
    <row r="111" s="22" customFormat="1" x14ac:dyDescent="0.3"/>
    <row r="112" s="22" customFormat="1" x14ac:dyDescent="0.3"/>
    <row r="113" s="22" customFormat="1" x14ac:dyDescent="0.3"/>
    <row r="114" s="22" customFormat="1" x14ac:dyDescent="0.3"/>
    <row r="115" s="22" customFormat="1" x14ac:dyDescent="0.3"/>
    <row r="116" s="22" customFormat="1" x14ac:dyDescent="0.3"/>
    <row r="117" s="22" customFormat="1" x14ac:dyDescent="0.3"/>
    <row r="118" s="22" customFormat="1" x14ac:dyDescent="0.3"/>
    <row r="119" s="22" customFormat="1" x14ac:dyDescent="0.3"/>
    <row r="120" s="22" customFormat="1" x14ac:dyDescent="0.3"/>
    <row r="121" s="22" customFormat="1" x14ac:dyDescent="0.3"/>
    <row r="122" s="22" customFormat="1" x14ac:dyDescent="0.3"/>
    <row r="123" s="22" customFormat="1" x14ac:dyDescent="0.3"/>
    <row r="124" s="22" customFormat="1" x14ac:dyDescent="0.3"/>
    <row r="125" s="22" customFormat="1" x14ac:dyDescent="0.3"/>
    <row r="126" s="22" customFormat="1" x14ac:dyDescent="0.3"/>
    <row r="127" s="22" customFormat="1" x14ac:dyDescent="0.3"/>
    <row r="128" s="22" customFormat="1" x14ac:dyDescent="0.3"/>
    <row r="129" s="22" customFormat="1" x14ac:dyDescent="0.3"/>
    <row r="130" s="22" customFormat="1" x14ac:dyDescent="0.3"/>
    <row r="131" s="22" customFormat="1" x14ac:dyDescent="0.3"/>
    <row r="132" s="22" customFormat="1" x14ac:dyDescent="0.3"/>
    <row r="133" s="22" customFormat="1" x14ac:dyDescent="0.3"/>
    <row r="134" s="22" customFormat="1" x14ac:dyDescent="0.3"/>
    <row r="135" s="22" customFormat="1" x14ac:dyDescent="0.3"/>
    <row r="136" s="22" customFormat="1" x14ac:dyDescent="0.3"/>
    <row r="137" s="22" customFormat="1" x14ac:dyDescent="0.3"/>
    <row r="138" s="22" customFormat="1" x14ac:dyDescent="0.3"/>
    <row r="139" s="22" customFormat="1" x14ac:dyDescent="0.3"/>
    <row r="140" s="22" customFormat="1" x14ac:dyDescent="0.3"/>
    <row r="141" s="22" customFormat="1" x14ac:dyDescent="0.3"/>
    <row r="142" s="22" customFormat="1" x14ac:dyDescent="0.3"/>
    <row r="143" s="22" customFormat="1" x14ac:dyDescent="0.3"/>
    <row r="144" s="22" customFormat="1" x14ac:dyDescent="0.3"/>
    <row r="145" s="22" customFormat="1" x14ac:dyDescent="0.3"/>
    <row r="146" s="22" customFormat="1" x14ac:dyDescent="0.3"/>
    <row r="147" s="22" customFormat="1" x14ac:dyDescent="0.3"/>
    <row r="148" s="22" customFormat="1" x14ac:dyDescent="0.3"/>
    <row r="149" s="22" customFormat="1" x14ac:dyDescent="0.3"/>
    <row r="150" s="22" customFormat="1" x14ac:dyDescent="0.3"/>
    <row r="151" s="22" customFormat="1" x14ac:dyDescent="0.3"/>
    <row r="152" s="22" customFormat="1" x14ac:dyDescent="0.3"/>
    <row r="153" s="22" customFormat="1" x14ac:dyDescent="0.3"/>
    <row r="154" s="22" customFormat="1" x14ac:dyDescent="0.3"/>
    <row r="155" s="22" customFormat="1" x14ac:dyDescent="0.3"/>
    <row r="156" s="22" customFormat="1" x14ac:dyDescent="0.3"/>
    <row r="157" s="22" customFormat="1" x14ac:dyDescent="0.3"/>
    <row r="158" s="22" customFormat="1" x14ac:dyDescent="0.3"/>
    <row r="159" s="22" customFormat="1" x14ac:dyDescent="0.3"/>
    <row r="160" s="22" customFormat="1" x14ac:dyDescent="0.3"/>
    <row r="161" s="22" customFormat="1" x14ac:dyDescent="0.3"/>
    <row r="162" s="22" customFormat="1" x14ac:dyDescent="0.3"/>
    <row r="163" s="22" customFormat="1" x14ac:dyDescent="0.3"/>
    <row r="164" s="22" customFormat="1" x14ac:dyDescent="0.3"/>
    <row r="165" s="22" customFormat="1" x14ac:dyDescent="0.3"/>
    <row r="166" s="22" customFormat="1" x14ac:dyDescent="0.3"/>
    <row r="167" s="22" customFormat="1" x14ac:dyDescent="0.3"/>
    <row r="168" s="22" customFormat="1" x14ac:dyDescent="0.3"/>
    <row r="169" s="22" customFormat="1" x14ac:dyDescent="0.3"/>
    <row r="170" s="22" customFormat="1" x14ac:dyDescent="0.3"/>
    <row r="171" s="22" customFormat="1" x14ac:dyDescent="0.3"/>
    <row r="172" s="22" customFormat="1" x14ac:dyDescent="0.3"/>
    <row r="173" s="22" customFormat="1" x14ac:dyDescent="0.3"/>
    <row r="174" s="22" customFormat="1" x14ac:dyDescent="0.3"/>
    <row r="175" s="22" customFormat="1" x14ac:dyDescent="0.3"/>
    <row r="176" s="22" customFormat="1" x14ac:dyDescent="0.3"/>
    <row r="177" s="22" customFormat="1" x14ac:dyDescent="0.3"/>
    <row r="178" s="22" customFormat="1" x14ac:dyDescent="0.3"/>
    <row r="179" s="22" customFormat="1" x14ac:dyDescent="0.3"/>
    <row r="180" s="22" customFormat="1" x14ac:dyDescent="0.3"/>
    <row r="181" s="22" customFormat="1" x14ac:dyDescent="0.3"/>
    <row r="182" s="22" customFormat="1" x14ac:dyDescent="0.3"/>
    <row r="183" s="22" customFormat="1" x14ac:dyDescent="0.3"/>
    <row r="184" s="22" customFormat="1" x14ac:dyDescent="0.3"/>
    <row r="185" s="22" customFormat="1" x14ac:dyDescent="0.3"/>
    <row r="186" s="22" customFormat="1" x14ac:dyDescent="0.3"/>
    <row r="187" s="22" customFormat="1" x14ac:dyDescent="0.3"/>
    <row r="188" s="22" customFormat="1" x14ac:dyDescent="0.3"/>
    <row r="189" s="22" customFormat="1" x14ac:dyDescent="0.3"/>
    <row r="190" s="22" customFormat="1" x14ac:dyDescent="0.3"/>
    <row r="191" s="22" customFormat="1" x14ac:dyDescent="0.3"/>
    <row r="192" s="22" customFormat="1" x14ac:dyDescent="0.3"/>
    <row r="193" s="22" customFormat="1" x14ac:dyDescent="0.3"/>
    <row r="194" s="22" customFormat="1" x14ac:dyDescent="0.3"/>
    <row r="195" s="22" customFormat="1" x14ac:dyDescent="0.3"/>
    <row r="196" s="22" customFormat="1" x14ac:dyDescent="0.3"/>
    <row r="197" s="22" customFormat="1" x14ac:dyDescent="0.3"/>
    <row r="198" s="22" customFormat="1" x14ac:dyDescent="0.3"/>
    <row r="199" s="22" customFormat="1" x14ac:dyDescent="0.3"/>
    <row r="200" s="22" customFormat="1" x14ac:dyDescent="0.3"/>
    <row r="201" s="22" customFormat="1" x14ac:dyDescent="0.3"/>
    <row r="202" s="22" customFormat="1" x14ac:dyDescent="0.3"/>
    <row r="203" s="22" customFormat="1" x14ac:dyDescent="0.3"/>
    <row r="204" s="22" customFormat="1" x14ac:dyDescent="0.3"/>
    <row r="205" s="22" customFormat="1" x14ac:dyDescent="0.3"/>
    <row r="206" s="22" customFormat="1" x14ac:dyDescent="0.3"/>
    <row r="207" s="22" customFormat="1" x14ac:dyDescent="0.3"/>
    <row r="208" s="22" customFormat="1" x14ac:dyDescent="0.3"/>
    <row r="209" s="22" customFormat="1" x14ac:dyDescent="0.3"/>
    <row r="210" s="22" customFormat="1" x14ac:dyDescent="0.3"/>
    <row r="211" s="22" customFormat="1" x14ac:dyDescent="0.3"/>
    <row r="212" s="22" customFormat="1" x14ac:dyDescent="0.3"/>
    <row r="213" s="22" customFormat="1" x14ac:dyDescent="0.3"/>
    <row r="214" s="22" customFormat="1" x14ac:dyDescent="0.3"/>
    <row r="215" s="22" customFormat="1" x14ac:dyDescent="0.3"/>
    <row r="216" s="22" customFormat="1" x14ac:dyDescent="0.3"/>
    <row r="217" s="22" customFormat="1" x14ac:dyDescent="0.3"/>
    <row r="218" s="22" customFormat="1" x14ac:dyDescent="0.3"/>
    <row r="219" s="22" customFormat="1" x14ac:dyDescent="0.3"/>
    <row r="220" s="22" customFormat="1" x14ac:dyDescent="0.3"/>
    <row r="221" s="22" customFormat="1" x14ac:dyDescent="0.3"/>
    <row r="222" s="22" customFormat="1" x14ac:dyDescent="0.3"/>
    <row r="223" s="22" customFormat="1" x14ac:dyDescent="0.3"/>
    <row r="224" s="22" customFormat="1" x14ac:dyDescent="0.3"/>
    <row r="225" s="22" customFormat="1" x14ac:dyDescent="0.3"/>
    <row r="226" s="22" customFormat="1" x14ac:dyDescent="0.3"/>
    <row r="227" s="22" customFormat="1" x14ac:dyDescent="0.3"/>
    <row r="228" s="22" customFormat="1" x14ac:dyDescent="0.3"/>
    <row r="229" s="22" customFormat="1" x14ac:dyDescent="0.3"/>
    <row r="230" s="22" customFormat="1" x14ac:dyDescent="0.3"/>
    <row r="231" s="22" customFormat="1" x14ac:dyDescent="0.3"/>
    <row r="232" s="22" customFormat="1" x14ac:dyDescent="0.3"/>
    <row r="233" s="22" customFormat="1" x14ac:dyDescent="0.3"/>
    <row r="234" s="22" customFormat="1" x14ac:dyDescent="0.3"/>
    <row r="235" s="22" customFormat="1" x14ac:dyDescent="0.3"/>
    <row r="236" s="22" customFormat="1" x14ac:dyDescent="0.3"/>
    <row r="237" s="22" customFormat="1" x14ac:dyDescent="0.3"/>
    <row r="238" s="22" customFormat="1" x14ac:dyDescent="0.3"/>
    <row r="239" s="22" customFormat="1" x14ac:dyDescent="0.3"/>
    <row r="240" s="22" customFormat="1" x14ac:dyDescent="0.3"/>
    <row r="241" s="22" customFormat="1" x14ac:dyDescent="0.3"/>
    <row r="242" s="22" customFormat="1" x14ac:dyDescent="0.3"/>
    <row r="243" s="22" customFormat="1" x14ac:dyDescent="0.3"/>
    <row r="244" s="22" customFormat="1" x14ac:dyDescent="0.3"/>
    <row r="245" s="22" customFormat="1" x14ac:dyDescent="0.3"/>
    <row r="246" s="22" customFormat="1" x14ac:dyDescent="0.3"/>
    <row r="247" s="22" customFormat="1" x14ac:dyDescent="0.3"/>
    <row r="248" s="22" customFormat="1" x14ac:dyDescent="0.3"/>
    <row r="249" s="22" customFormat="1" x14ac:dyDescent="0.3"/>
    <row r="250" s="22" customFormat="1" x14ac:dyDescent="0.3"/>
    <row r="251" s="22" customFormat="1" x14ac:dyDescent="0.3"/>
    <row r="252" s="22" customFormat="1" x14ac:dyDescent="0.3"/>
    <row r="253" s="22" customFormat="1" x14ac:dyDescent="0.3"/>
  </sheetData>
  <sheetProtection algorithmName="SHA-512" hashValue="jPO40XpBwY9bTJ6DqG6XSoeDHh6Rht+ys2ysP8apSWnDKiW+r18HdO5kiinFnaBnp0JCK8Cwdj7CLmnOJzmEmA==" saltValue="iR5Oo+5hHPhPvPZgSrjc9w==" spinCount="100000" sheet="1" autoFilter="0"/>
  <mergeCells count="4">
    <mergeCell ref="F46:K46"/>
    <mergeCell ref="F81:L81"/>
    <mergeCell ref="F85:K85"/>
    <mergeCell ref="F26:J26"/>
  </mergeCells>
  <phoneticPr fontId="27" type="noConversion"/>
  <dataValidations count="2">
    <dataValidation type="whole" allowBlank="1" showInputMessage="1" showErrorMessage="1" sqref="G28 G51 G64" xr:uid="{00000000-0002-0000-1100-000000000000}">
      <formula1>1</formula1>
      <formula2>10</formula2>
    </dataValidation>
    <dataValidation type="list" allowBlank="1" showInputMessage="1" showErrorMessage="1" sqref="I31:I40 I67:I76 I54:K57" xr:uid="{00000000-0002-0000-1100-000001000000}">
      <formula1>"Conditioned space, Habitable room"</formula1>
    </dataValidation>
  </dataValidations>
  <hyperlinks>
    <hyperlink ref="F13" r:id="rId1" display="Refer to National Construction Code Part 13.4" xr:uid="{00000000-0004-0000-1100-000000000000}"/>
    <hyperlink ref="F20" r:id="rId2" location="_99ae28ad-343e-4437-8c1c-0cf518f9c6bd" xr:uid="{00000000-0004-0000-1100-000001000000}"/>
  </hyperlinks>
  <pageMargins left="0.7" right="0.7" top="0.75" bottom="0.75" header="0.3" footer="0.3"/>
  <pageSetup paperSize="9" scale="29" fitToHeight="0"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4342" r:id="rId6" name="Check Box 6">
              <controlPr locked="0" defaultSize="0" autoFill="0" autoLine="0" autoPict="0">
                <anchor moveWithCells="1" sizeWithCells="1">
                  <from>
                    <xdr:col>11</xdr:col>
                    <xdr:colOff>133350</xdr:colOff>
                    <xdr:row>30</xdr:row>
                    <xdr:rowOff>57150</xdr:rowOff>
                  </from>
                  <to>
                    <xdr:col>11</xdr:col>
                    <xdr:colOff>355600</xdr:colOff>
                    <xdr:row>30</xdr:row>
                    <xdr:rowOff>266700</xdr:rowOff>
                  </to>
                </anchor>
              </controlPr>
            </control>
          </mc:Choice>
        </mc:AlternateContent>
        <mc:AlternateContent xmlns:mc="http://schemas.openxmlformats.org/markup-compatibility/2006">
          <mc:Choice Requires="x14">
            <control shapeId="14343" r:id="rId7" name="Check Box 7">
              <controlPr locked="0" defaultSize="0" autoFill="0" autoLine="0" autoPict="0">
                <anchor moveWithCells="1" sizeWithCells="1">
                  <from>
                    <xdr:col>11</xdr:col>
                    <xdr:colOff>133350</xdr:colOff>
                    <xdr:row>31</xdr:row>
                    <xdr:rowOff>57150</xdr:rowOff>
                  </from>
                  <to>
                    <xdr:col>11</xdr:col>
                    <xdr:colOff>355600</xdr:colOff>
                    <xdr:row>31</xdr:row>
                    <xdr:rowOff>266700</xdr:rowOff>
                  </to>
                </anchor>
              </controlPr>
            </control>
          </mc:Choice>
        </mc:AlternateContent>
        <mc:AlternateContent xmlns:mc="http://schemas.openxmlformats.org/markup-compatibility/2006">
          <mc:Choice Requires="x14">
            <control shapeId="14375" r:id="rId8" name="Check Box 39">
              <controlPr locked="0" defaultSize="0" autoFill="0" autoLine="0" autoPict="0">
                <anchor moveWithCells="1">
                  <from>
                    <xdr:col>4</xdr:col>
                    <xdr:colOff>133350</xdr:colOff>
                    <xdr:row>17</xdr:row>
                    <xdr:rowOff>19050</xdr:rowOff>
                  </from>
                  <to>
                    <xdr:col>4</xdr:col>
                    <xdr:colOff>342900</xdr:colOff>
                    <xdr:row>18</xdr:row>
                    <xdr:rowOff>38100</xdr:rowOff>
                  </to>
                </anchor>
              </controlPr>
            </control>
          </mc:Choice>
        </mc:AlternateContent>
        <mc:AlternateContent xmlns:mc="http://schemas.openxmlformats.org/markup-compatibility/2006">
          <mc:Choice Requires="x14">
            <control shapeId="14376" r:id="rId9" name="Check Box 40">
              <controlPr locked="0" defaultSize="0" autoFill="0" autoLine="0" autoPict="0">
                <anchor moveWithCells="1" sizeWithCells="1">
                  <from>
                    <xdr:col>11</xdr:col>
                    <xdr:colOff>133350</xdr:colOff>
                    <xdr:row>32</xdr:row>
                    <xdr:rowOff>57150</xdr:rowOff>
                  </from>
                  <to>
                    <xdr:col>11</xdr:col>
                    <xdr:colOff>355600</xdr:colOff>
                    <xdr:row>32</xdr:row>
                    <xdr:rowOff>266700</xdr:rowOff>
                  </to>
                </anchor>
              </controlPr>
            </control>
          </mc:Choice>
        </mc:AlternateContent>
        <mc:AlternateContent xmlns:mc="http://schemas.openxmlformats.org/markup-compatibility/2006">
          <mc:Choice Requires="x14">
            <control shapeId="14377" r:id="rId10" name="Check Box 41">
              <controlPr locked="0" defaultSize="0" autoFill="0" autoLine="0" autoPict="0">
                <anchor moveWithCells="1" sizeWithCells="1">
                  <from>
                    <xdr:col>11</xdr:col>
                    <xdr:colOff>133350</xdr:colOff>
                    <xdr:row>33</xdr:row>
                    <xdr:rowOff>57150</xdr:rowOff>
                  </from>
                  <to>
                    <xdr:col>11</xdr:col>
                    <xdr:colOff>355600</xdr:colOff>
                    <xdr:row>33</xdr:row>
                    <xdr:rowOff>266700</xdr:rowOff>
                  </to>
                </anchor>
              </controlPr>
            </control>
          </mc:Choice>
        </mc:AlternateContent>
        <mc:AlternateContent xmlns:mc="http://schemas.openxmlformats.org/markup-compatibility/2006">
          <mc:Choice Requires="x14">
            <control shapeId="14378" r:id="rId11" name="Check Box 42">
              <controlPr locked="0" defaultSize="0" autoFill="0" autoLine="0" autoPict="0">
                <anchor moveWithCells="1" sizeWithCells="1">
                  <from>
                    <xdr:col>11</xdr:col>
                    <xdr:colOff>133350</xdr:colOff>
                    <xdr:row>34</xdr:row>
                    <xdr:rowOff>57150</xdr:rowOff>
                  </from>
                  <to>
                    <xdr:col>11</xdr:col>
                    <xdr:colOff>355600</xdr:colOff>
                    <xdr:row>34</xdr:row>
                    <xdr:rowOff>266700</xdr:rowOff>
                  </to>
                </anchor>
              </controlPr>
            </control>
          </mc:Choice>
        </mc:AlternateContent>
        <mc:AlternateContent xmlns:mc="http://schemas.openxmlformats.org/markup-compatibility/2006">
          <mc:Choice Requires="x14">
            <control shapeId="14379" r:id="rId12" name="Check Box 43">
              <controlPr locked="0" defaultSize="0" autoFill="0" autoLine="0" autoPict="0">
                <anchor moveWithCells="1" sizeWithCells="1">
                  <from>
                    <xdr:col>11</xdr:col>
                    <xdr:colOff>133350</xdr:colOff>
                    <xdr:row>35</xdr:row>
                    <xdr:rowOff>57150</xdr:rowOff>
                  </from>
                  <to>
                    <xdr:col>11</xdr:col>
                    <xdr:colOff>355600</xdr:colOff>
                    <xdr:row>35</xdr:row>
                    <xdr:rowOff>266700</xdr:rowOff>
                  </to>
                </anchor>
              </controlPr>
            </control>
          </mc:Choice>
        </mc:AlternateContent>
        <mc:AlternateContent xmlns:mc="http://schemas.openxmlformats.org/markup-compatibility/2006">
          <mc:Choice Requires="x14">
            <control shapeId="14380" r:id="rId13" name="Check Box 44">
              <controlPr locked="0" defaultSize="0" autoFill="0" autoLine="0" autoPict="0">
                <anchor moveWithCells="1" sizeWithCells="1">
                  <from>
                    <xdr:col>11</xdr:col>
                    <xdr:colOff>133350</xdr:colOff>
                    <xdr:row>36</xdr:row>
                    <xdr:rowOff>57150</xdr:rowOff>
                  </from>
                  <to>
                    <xdr:col>11</xdr:col>
                    <xdr:colOff>355600</xdr:colOff>
                    <xdr:row>36</xdr:row>
                    <xdr:rowOff>266700</xdr:rowOff>
                  </to>
                </anchor>
              </controlPr>
            </control>
          </mc:Choice>
        </mc:AlternateContent>
        <mc:AlternateContent xmlns:mc="http://schemas.openxmlformats.org/markup-compatibility/2006">
          <mc:Choice Requires="x14">
            <control shapeId="14381" r:id="rId14" name="Check Box 45">
              <controlPr locked="0" defaultSize="0" autoFill="0" autoLine="0" autoPict="0">
                <anchor moveWithCells="1" sizeWithCells="1">
                  <from>
                    <xdr:col>11</xdr:col>
                    <xdr:colOff>133350</xdr:colOff>
                    <xdr:row>37</xdr:row>
                    <xdr:rowOff>57150</xdr:rowOff>
                  </from>
                  <to>
                    <xdr:col>11</xdr:col>
                    <xdr:colOff>355600</xdr:colOff>
                    <xdr:row>37</xdr:row>
                    <xdr:rowOff>266700</xdr:rowOff>
                  </to>
                </anchor>
              </controlPr>
            </control>
          </mc:Choice>
        </mc:AlternateContent>
        <mc:AlternateContent xmlns:mc="http://schemas.openxmlformats.org/markup-compatibility/2006">
          <mc:Choice Requires="x14">
            <control shapeId="14382" r:id="rId15" name="Check Box 46">
              <controlPr locked="0" defaultSize="0" autoFill="0" autoLine="0" autoPict="0">
                <anchor moveWithCells="1" sizeWithCells="1">
                  <from>
                    <xdr:col>11</xdr:col>
                    <xdr:colOff>133350</xdr:colOff>
                    <xdr:row>38</xdr:row>
                    <xdr:rowOff>57150</xdr:rowOff>
                  </from>
                  <to>
                    <xdr:col>11</xdr:col>
                    <xdr:colOff>355600</xdr:colOff>
                    <xdr:row>38</xdr:row>
                    <xdr:rowOff>266700</xdr:rowOff>
                  </to>
                </anchor>
              </controlPr>
            </control>
          </mc:Choice>
        </mc:AlternateContent>
        <mc:AlternateContent xmlns:mc="http://schemas.openxmlformats.org/markup-compatibility/2006">
          <mc:Choice Requires="x14">
            <control shapeId="14384" r:id="rId16" name="Check Box 48">
              <controlPr locked="0" defaultSize="0" autoFill="0" autoLine="0" autoPict="0">
                <anchor moveWithCells="1" sizeWithCells="1">
                  <from>
                    <xdr:col>10</xdr:col>
                    <xdr:colOff>133350</xdr:colOff>
                    <xdr:row>53</xdr:row>
                    <xdr:rowOff>19050</xdr:rowOff>
                  </from>
                  <to>
                    <xdr:col>10</xdr:col>
                    <xdr:colOff>342900</xdr:colOff>
                    <xdr:row>54</xdr:row>
                    <xdr:rowOff>19050</xdr:rowOff>
                  </to>
                </anchor>
              </controlPr>
            </control>
          </mc:Choice>
        </mc:AlternateContent>
        <mc:AlternateContent xmlns:mc="http://schemas.openxmlformats.org/markup-compatibility/2006">
          <mc:Choice Requires="x14">
            <control shapeId="14385" r:id="rId17" name="Check Box 49">
              <controlPr locked="0" defaultSize="0" autoFill="0" autoLine="0" autoPict="0">
                <anchor moveWithCells="1" sizeWithCells="1">
                  <from>
                    <xdr:col>10</xdr:col>
                    <xdr:colOff>133350</xdr:colOff>
                    <xdr:row>54</xdr:row>
                    <xdr:rowOff>19050</xdr:rowOff>
                  </from>
                  <to>
                    <xdr:col>10</xdr:col>
                    <xdr:colOff>342900</xdr:colOff>
                    <xdr:row>55</xdr:row>
                    <xdr:rowOff>19050</xdr:rowOff>
                  </to>
                </anchor>
              </controlPr>
            </control>
          </mc:Choice>
        </mc:AlternateContent>
        <mc:AlternateContent xmlns:mc="http://schemas.openxmlformats.org/markup-compatibility/2006">
          <mc:Choice Requires="x14">
            <control shapeId="14386" r:id="rId18" name="Check Box 50">
              <controlPr locked="0" defaultSize="0" autoFill="0" autoLine="0" autoPict="0">
                <anchor moveWithCells="1" sizeWithCells="1">
                  <from>
                    <xdr:col>10</xdr:col>
                    <xdr:colOff>133350</xdr:colOff>
                    <xdr:row>55</xdr:row>
                    <xdr:rowOff>19050</xdr:rowOff>
                  </from>
                  <to>
                    <xdr:col>10</xdr:col>
                    <xdr:colOff>342900</xdr:colOff>
                    <xdr:row>56</xdr:row>
                    <xdr:rowOff>19050</xdr:rowOff>
                  </to>
                </anchor>
              </controlPr>
            </control>
          </mc:Choice>
        </mc:AlternateContent>
        <mc:AlternateContent xmlns:mc="http://schemas.openxmlformats.org/markup-compatibility/2006">
          <mc:Choice Requires="x14">
            <control shapeId="14387" r:id="rId19" name="Check Box 51">
              <controlPr locked="0" defaultSize="0" autoFill="0" autoLine="0" autoPict="0">
                <anchor moveWithCells="1" sizeWithCells="1">
                  <from>
                    <xdr:col>10</xdr:col>
                    <xdr:colOff>133350</xdr:colOff>
                    <xdr:row>56</xdr:row>
                    <xdr:rowOff>19050</xdr:rowOff>
                  </from>
                  <to>
                    <xdr:col>10</xdr:col>
                    <xdr:colOff>342900</xdr:colOff>
                    <xdr:row>57</xdr:row>
                    <xdr:rowOff>0</xdr:rowOff>
                  </to>
                </anchor>
              </controlPr>
            </control>
          </mc:Choice>
        </mc:AlternateContent>
        <mc:AlternateContent xmlns:mc="http://schemas.openxmlformats.org/markup-compatibility/2006">
          <mc:Choice Requires="x14">
            <control shapeId="14394" r:id="rId20" name="Check Box 58">
              <controlPr locked="0" defaultSize="0" autoFill="0" autoLine="0" autoPict="0">
                <anchor moveWithCells="1" sizeWithCells="1">
                  <from>
                    <xdr:col>11</xdr:col>
                    <xdr:colOff>133350</xdr:colOff>
                    <xdr:row>66</xdr:row>
                    <xdr:rowOff>88900</xdr:rowOff>
                  </from>
                  <to>
                    <xdr:col>11</xdr:col>
                    <xdr:colOff>323850</xdr:colOff>
                    <xdr:row>66</xdr:row>
                    <xdr:rowOff>266700</xdr:rowOff>
                  </to>
                </anchor>
              </controlPr>
            </control>
          </mc:Choice>
        </mc:AlternateContent>
        <mc:AlternateContent xmlns:mc="http://schemas.openxmlformats.org/markup-compatibility/2006">
          <mc:Choice Requires="x14">
            <control shapeId="14395" r:id="rId21" name="Check Box 59">
              <controlPr locked="0" defaultSize="0" autoFill="0" autoLine="0" autoPict="0">
                <anchor moveWithCells="1" sizeWithCells="1">
                  <from>
                    <xdr:col>11</xdr:col>
                    <xdr:colOff>133350</xdr:colOff>
                    <xdr:row>67</xdr:row>
                    <xdr:rowOff>88900</xdr:rowOff>
                  </from>
                  <to>
                    <xdr:col>11</xdr:col>
                    <xdr:colOff>323850</xdr:colOff>
                    <xdr:row>67</xdr:row>
                    <xdr:rowOff>266700</xdr:rowOff>
                  </to>
                </anchor>
              </controlPr>
            </control>
          </mc:Choice>
        </mc:AlternateContent>
        <mc:AlternateContent xmlns:mc="http://schemas.openxmlformats.org/markup-compatibility/2006">
          <mc:Choice Requires="x14">
            <control shapeId="14396" r:id="rId22" name="Check Box 60">
              <controlPr locked="0" defaultSize="0" autoFill="0" autoLine="0" autoPict="0">
                <anchor moveWithCells="1" sizeWithCells="1">
                  <from>
                    <xdr:col>11</xdr:col>
                    <xdr:colOff>133350</xdr:colOff>
                    <xdr:row>68</xdr:row>
                    <xdr:rowOff>88900</xdr:rowOff>
                  </from>
                  <to>
                    <xdr:col>11</xdr:col>
                    <xdr:colOff>323850</xdr:colOff>
                    <xdr:row>68</xdr:row>
                    <xdr:rowOff>260350</xdr:rowOff>
                  </to>
                </anchor>
              </controlPr>
            </control>
          </mc:Choice>
        </mc:AlternateContent>
        <mc:AlternateContent xmlns:mc="http://schemas.openxmlformats.org/markup-compatibility/2006">
          <mc:Choice Requires="x14">
            <control shapeId="14397" r:id="rId23" name="Check Box 61">
              <controlPr locked="0" defaultSize="0" autoFill="0" autoLine="0" autoPict="0">
                <anchor moveWithCells="1" sizeWithCells="1">
                  <from>
                    <xdr:col>11</xdr:col>
                    <xdr:colOff>133350</xdr:colOff>
                    <xdr:row>69</xdr:row>
                    <xdr:rowOff>76200</xdr:rowOff>
                  </from>
                  <to>
                    <xdr:col>11</xdr:col>
                    <xdr:colOff>323850</xdr:colOff>
                    <xdr:row>69</xdr:row>
                    <xdr:rowOff>260350</xdr:rowOff>
                  </to>
                </anchor>
              </controlPr>
            </control>
          </mc:Choice>
        </mc:AlternateContent>
        <mc:AlternateContent xmlns:mc="http://schemas.openxmlformats.org/markup-compatibility/2006">
          <mc:Choice Requires="x14">
            <control shapeId="14398" r:id="rId24" name="Check Box 62">
              <controlPr locked="0" defaultSize="0" autoFill="0" autoLine="0" autoPict="0">
                <anchor moveWithCells="1" sizeWithCells="1">
                  <from>
                    <xdr:col>11</xdr:col>
                    <xdr:colOff>133350</xdr:colOff>
                    <xdr:row>70</xdr:row>
                    <xdr:rowOff>76200</xdr:rowOff>
                  </from>
                  <to>
                    <xdr:col>11</xdr:col>
                    <xdr:colOff>323850</xdr:colOff>
                    <xdr:row>70</xdr:row>
                    <xdr:rowOff>260350</xdr:rowOff>
                  </to>
                </anchor>
              </controlPr>
            </control>
          </mc:Choice>
        </mc:AlternateContent>
        <mc:AlternateContent xmlns:mc="http://schemas.openxmlformats.org/markup-compatibility/2006">
          <mc:Choice Requires="x14">
            <control shapeId="14399" r:id="rId25" name="Check Box 63">
              <controlPr locked="0" defaultSize="0" autoFill="0" autoLine="0" autoPict="0">
                <anchor moveWithCells="1" sizeWithCells="1">
                  <from>
                    <xdr:col>11</xdr:col>
                    <xdr:colOff>133350</xdr:colOff>
                    <xdr:row>71</xdr:row>
                    <xdr:rowOff>76200</xdr:rowOff>
                  </from>
                  <to>
                    <xdr:col>11</xdr:col>
                    <xdr:colOff>323850</xdr:colOff>
                    <xdr:row>71</xdr:row>
                    <xdr:rowOff>247650</xdr:rowOff>
                  </to>
                </anchor>
              </controlPr>
            </control>
          </mc:Choice>
        </mc:AlternateContent>
        <mc:AlternateContent xmlns:mc="http://schemas.openxmlformats.org/markup-compatibility/2006">
          <mc:Choice Requires="x14">
            <control shapeId="14400" r:id="rId26" name="Check Box 64">
              <controlPr locked="0" defaultSize="0" autoFill="0" autoLine="0" autoPict="0">
                <anchor moveWithCells="1" sizeWithCells="1">
                  <from>
                    <xdr:col>11</xdr:col>
                    <xdr:colOff>133350</xdr:colOff>
                    <xdr:row>72</xdr:row>
                    <xdr:rowOff>69850</xdr:rowOff>
                  </from>
                  <to>
                    <xdr:col>11</xdr:col>
                    <xdr:colOff>323850</xdr:colOff>
                    <xdr:row>72</xdr:row>
                    <xdr:rowOff>247650</xdr:rowOff>
                  </to>
                </anchor>
              </controlPr>
            </control>
          </mc:Choice>
        </mc:AlternateContent>
        <mc:AlternateContent xmlns:mc="http://schemas.openxmlformats.org/markup-compatibility/2006">
          <mc:Choice Requires="x14">
            <control shapeId="14401" r:id="rId27" name="Check Box 65">
              <controlPr locked="0" defaultSize="0" autoFill="0" autoLine="0" autoPict="0">
                <anchor moveWithCells="1" sizeWithCells="1">
                  <from>
                    <xdr:col>11</xdr:col>
                    <xdr:colOff>133350</xdr:colOff>
                    <xdr:row>73</xdr:row>
                    <xdr:rowOff>69850</xdr:rowOff>
                  </from>
                  <to>
                    <xdr:col>11</xdr:col>
                    <xdr:colOff>323850</xdr:colOff>
                    <xdr:row>73</xdr:row>
                    <xdr:rowOff>247650</xdr:rowOff>
                  </to>
                </anchor>
              </controlPr>
            </control>
          </mc:Choice>
        </mc:AlternateContent>
        <mc:AlternateContent xmlns:mc="http://schemas.openxmlformats.org/markup-compatibility/2006">
          <mc:Choice Requires="x14">
            <control shapeId="14402" r:id="rId28" name="Check Box 66">
              <controlPr locked="0" defaultSize="0" autoFill="0" autoLine="0" autoPict="0">
                <anchor moveWithCells="1" sizeWithCells="1">
                  <from>
                    <xdr:col>11</xdr:col>
                    <xdr:colOff>133350</xdr:colOff>
                    <xdr:row>74</xdr:row>
                    <xdr:rowOff>69850</xdr:rowOff>
                  </from>
                  <to>
                    <xdr:col>11</xdr:col>
                    <xdr:colOff>323850</xdr:colOff>
                    <xdr:row>74</xdr:row>
                    <xdr:rowOff>247650</xdr:rowOff>
                  </to>
                </anchor>
              </controlPr>
            </control>
          </mc:Choice>
        </mc:AlternateContent>
        <mc:AlternateContent xmlns:mc="http://schemas.openxmlformats.org/markup-compatibility/2006">
          <mc:Choice Requires="x14">
            <control shapeId="14403" r:id="rId29" name="Check Box 67">
              <controlPr locked="0" defaultSize="0" autoFill="0" autoLine="0" autoPict="0">
                <anchor moveWithCells="1" sizeWithCells="1">
                  <from>
                    <xdr:col>11</xdr:col>
                    <xdr:colOff>133350</xdr:colOff>
                    <xdr:row>75</xdr:row>
                    <xdr:rowOff>57150</xdr:rowOff>
                  </from>
                  <to>
                    <xdr:col>11</xdr:col>
                    <xdr:colOff>323850</xdr:colOff>
                    <xdr:row>75</xdr:row>
                    <xdr:rowOff>247650</xdr:rowOff>
                  </to>
                </anchor>
              </controlPr>
            </control>
          </mc:Choice>
        </mc:AlternateContent>
        <mc:AlternateContent xmlns:mc="http://schemas.openxmlformats.org/markup-compatibility/2006">
          <mc:Choice Requires="x14">
            <control shapeId="14425" r:id="rId30" name="Check Box 89">
              <controlPr locked="0" defaultSize="0" autoFill="0" autoLine="0" autoPict="0">
                <anchor moveWithCells="1" sizeWithCells="1">
                  <from>
                    <xdr:col>4</xdr:col>
                    <xdr:colOff>76200</xdr:colOff>
                    <xdr:row>80</xdr:row>
                    <xdr:rowOff>114300</xdr:rowOff>
                  </from>
                  <to>
                    <xdr:col>4</xdr:col>
                    <xdr:colOff>298450</xdr:colOff>
                    <xdr:row>80</xdr:row>
                    <xdr:rowOff>336550</xdr:rowOff>
                  </to>
                </anchor>
              </controlPr>
            </control>
          </mc:Choice>
        </mc:AlternateContent>
        <mc:AlternateContent xmlns:mc="http://schemas.openxmlformats.org/markup-compatibility/2006">
          <mc:Choice Requires="x14">
            <control shapeId="14427" r:id="rId31" name="Check Box 91">
              <controlPr locked="0" defaultSize="0" autoFill="0" autoLine="0" autoPict="0">
                <anchor moveWithCells="1" sizeWithCells="1">
                  <from>
                    <xdr:col>4</xdr:col>
                    <xdr:colOff>31750</xdr:colOff>
                    <xdr:row>84</xdr:row>
                    <xdr:rowOff>107950</xdr:rowOff>
                  </from>
                  <to>
                    <xdr:col>4</xdr:col>
                    <xdr:colOff>247650</xdr:colOff>
                    <xdr:row>84</xdr:row>
                    <xdr:rowOff>323850</xdr:rowOff>
                  </to>
                </anchor>
              </controlPr>
            </control>
          </mc:Choice>
        </mc:AlternateContent>
        <mc:AlternateContent xmlns:mc="http://schemas.openxmlformats.org/markup-compatibility/2006">
          <mc:Choice Requires="x14">
            <control shapeId="14435" r:id="rId32" name="Check Box 99">
              <controlPr locked="0" defaultSize="0" autoFill="0" autoLine="0" autoPict="0">
                <anchor moveWithCells="1">
                  <from>
                    <xdr:col>4</xdr:col>
                    <xdr:colOff>133350</xdr:colOff>
                    <xdr:row>47</xdr:row>
                    <xdr:rowOff>190500</xdr:rowOff>
                  </from>
                  <to>
                    <xdr:col>4</xdr:col>
                    <xdr:colOff>342900</xdr:colOff>
                    <xdr:row>49</xdr:row>
                    <xdr:rowOff>31750</xdr:rowOff>
                  </to>
                </anchor>
              </controlPr>
            </control>
          </mc:Choice>
        </mc:AlternateContent>
        <mc:AlternateContent xmlns:mc="http://schemas.openxmlformats.org/markup-compatibility/2006">
          <mc:Choice Requires="x14">
            <control shapeId="14436" r:id="rId33" name="Check Box 100">
              <controlPr locked="0" defaultSize="0" autoFill="0" autoLine="0" autoPict="0">
                <anchor moveWithCells="1" sizeWithCells="1">
                  <from>
                    <xdr:col>11</xdr:col>
                    <xdr:colOff>133350</xdr:colOff>
                    <xdr:row>39</xdr:row>
                    <xdr:rowOff>57150</xdr:rowOff>
                  </from>
                  <to>
                    <xdr:col>11</xdr:col>
                    <xdr:colOff>355600</xdr:colOff>
                    <xdr:row>39</xdr:row>
                    <xdr:rowOff>266700</xdr:rowOff>
                  </to>
                </anchor>
              </controlPr>
            </control>
          </mc:Choice>
        </mc:AlternateContent>
      </controls>
    </mc:Choice>
  </mc:AlternateContent>
  <tableParts count="3">
    <tablePart r:id="rId34"/>
    <tablePart r:id="rId35"/>
    <tablePart r:id="rId36"/>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8092E-7F31-46B8-82A0-43338DCD5476}">
  <sheetPr codeName="Sheet50"/>
  <dimension ref="A1:BD120"/>
  <sheetViews>
    <sheetView showGridLines="0" zoomScale="85" zoomScaleNormal="85" workbookViewId="0">
      <selection activeCell="I58" sqref="I58"/>
    </sheetView>
  </sheetViews>
  <sheetFormatPr defaultRowHeight="14" x14ac:dyDescent="0.3"/>
  <cols>
    <col min="1" max="1" width="2.58203125" customWidth="1"/>
    <col min="2" max="2" width="136.58203125" customWidth="1"/>
  </cols>
  <sheetData>
    <row r="1" spans="1:56" ht="132" customHeight="1" x14ac:dyDescent="0.3">
      <c r="A1" s="1046"/>
      <c r="B1" s="1046"/>
      <c r="C1" s="1072"/>
      <c r="D1" s="1072"/>
      <c r="E1" s="1072"/>
      <c r="F1" s="1072"/>
      <c r="G1" s="1072"/>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row>
    <row r="2" spans="1:56" ht="24" customHeight="1" x14ac:dyDescent="0.3">
      <c r="A2" s="1046"/>
      <c r="B2" s="1046"/>
      <c r="C2" s="1072"/>
      <c r="D2" s="1072"/>
      <c r="E2" s="1072"/>
      <c r="F2" s="1072"/>
      <c r="G2" s="1072"/>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row>
    <row r="3" spans="1:56" x14ac:dyDescent="0.3">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row>
    <row r="4" spans="1:56" x14ac:dyDescent="0.3">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row>
    <row r="5" spans="1:56" ht="18" x14ac:dyDescent="0.4">
      <c r="A5" s="5"/>
      <c r="B5" s="996" t="s">
        <v>101</v>
      </c>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row>
    <row r="6" spans="1:56" x14ac:dyDescent="0.3">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row>
    <row r="7" spans="1:56" x14ac:dyDescent="0.3">
      <c r="A7" s="5"/>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row>
    <row r="8" spans="1:56" x14ac:dyDescent="0.3">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row>
    <row r="9" spans="1:56" x14ac:dyDescent="0.3">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row>
    <row r="10" spans="1:56" x14ac:dyDescent="0.3">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row>
    <row r="11" spans="1:56" x14ac:dyDescent="0.3">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row>
    <row r="12" spans="1:56" x14ac:dyDescent="0.3">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row>
    <row r="13" spans="1:56" x14ac:dyDescent="0.3">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row>
    <row r="14" spans="1:56" x14ac:dyDescent="0.3">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row>
    <row r="15" spans="1:56" x14ac:dyDescent="0.3">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row>
    <row r="16" spans="1:56" x14ac:dyDescent="0.3">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row>
    <row r="17" spans="1:56" x14ac:dyDescent="0.3">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row>
    <row r="18" spans="1:56" x14ac:dyDescent="0.3">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row>
    <row r="19" spans="1:56" x14ac:dyDescent="0.3">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row>
    <row r="20" spans="1:56" x14ac:dyDescent="0.3">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row>
    <row r="21" spans="1:56" x14ac:dyDescent="0.3">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row>
    <row r="22" spans="1:56" x14ac:dyDescent="0.3">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row>
    <row r="23" spans="1:56" x14ac:dyDescent="0.3">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row>
    <row r="24" spans="1:56" x14ac:dyDescent="0.3">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row>
    <row r="25" spans="1:56" x14ac:dyDescent="0.3">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row>
    <row r="26" spans="1:56" x14ac:dyDescent="0.3">
      <c r="A26" s="5"/>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row>
    <row r="27" spans="1:56" x14ac:dyDescent="0.3">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row>
    <row r="28" spans="1:56" x14ac:dyDescent="0.3">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row>
    <row r="29" spans="1:56" ht="18" x14ac:dyDescent="0.4">
      <c r="A29" s="5"/>
      <c r="B29" s="996" t="s">
        <v>102</v>
      </c>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row>
    <row r="30" spans="1:56" x14ac:dyDescent="0.3">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row>
    <row r="31" spans="1:56" x14ac:dyDescent="0.3">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row>
    <row r="32" spans="1:56" x14ac:dyDescent="0.3">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row>
    <row r="33" spans="1:56" x14ac:dyDescent="0.3">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row>
    <row r="34" spans="1:56" x14ac:dyDescent="0.3">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row>
    <row r="35" spans="1:56" x14ac:dyDescent="0.3">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row>
    <row r="36" spans="1:56" x14ac:dyDescent="0.3">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row>
    <row r="37" spans="1:56" x14ac:dyDescent="0.3">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row>
    <row r="38" spans="1:56" x14ac:dyDescent="0.3">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row>
    <row r="39" spans="1:56" x14ac:dyDescent="0.3">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row>
    <row r="40" spans="1:56" x14ac:dyDescent="0.3">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row>
    <row r="41" spans="1:56" x14ac:dyDescent="0.3">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row>
    <row r="42" spans="1:56" x14ac:dyDescent="0.3">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row>
    <row r="43" spans="1:56" x14ac:dyDescent="0.3">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row>
    <row r="44" spans="1:56" x14ac:dyDescent="0.3">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row>
    <row r="45" spans="1:56" x14ac:dyDescent="0.3">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row>
    <row r="46" spans="1:56" x14ac:dyDescent="0.3">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row>
    <row r="47" spans="1:56" x14ac:dyDescent="0.3">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row>
    <row r="48" spans="1:56" x14ac:dyDescent="0.3">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row>
    <row r="49" spans="1:56" x14ac:dyDescent="0.3">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row>
    <row r="50" spans="1:56" x14ac:dyDescent="0.3">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row>
    <row r="51" spans="1:56" x14ac:dyDescent="0.3">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row>
    <row r="52" spans="1:56" x14ac:dyDescent="0.3">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row>
    <row r="53" spans="1:56" x14ac:dyDescent="0.3">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row>
    <row r="54" spans="1:56" x14ac:dyDescent="0.3">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row>
    <row r="55" spans="1:56" x14ac:dyDescent="0.3">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row>
    <row r="56" spans="1:56" x14ac:dyDescent="0.3">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row>
    <row r="57" spans="1:56" x14ac:dyDescent="0.3">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row>
    <row r="58" spans="1:56" x14ac:dyDescent="0.3">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row>
    <row r="59" spans="1:56" x14ac:dyDescent="0.3">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row>
    <row r="60" spans="1:56" x14ac:dyDescent="0.3">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row>
    <row r="61" spans="1:56" x14ac:dyDescent="0.3">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row>
    <row r="62" spans="1:56" x14ac:dyDescent="0.3">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row>
    <row r="63" spans="1:56" x14ac:dyDescent="0.3">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row>
    <row r="64" spans="1:56" x14ac:dyDescent="0.3">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row>
    <row r="65" spans="1:56" x14ac:dyDescent="0.3">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row>
    <row r="66" spans="1:56" x14ac:dyDescent="0.3">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row>
    <row r="67" spans="1:56" x14ac:dyDescent="0.3">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row>
    <row r="68" spans="1:56" x14ac:dyDescent="0.3">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row>
    <row r="69" spans="1:56" x14ac:dyDescent="0.3">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row>
    <row r="70" spans="1:56" x14ac:dyDescent="0.3">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row>
    <row r="71" spans="1:56" x14ac:dyDescent="0.3">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row>
    <row r="72" spans="1:56" x14ac:dyDescent="0.3">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row>
    <row r="73" spans="1:56" x14ac:dyDescent="0.3">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row>
    <row r="74" spans="1:56" x14ac:dyDescent="0.3">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row>
    <row r="75" spans="1:56" x14ac:dyDescent="0.3">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row>
    <row r="76" spans="1:56" x14ac:dyDescent="0.3">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row>
    <row r="77" spans="1:56" x14ac:dyDescent="0.3">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row>
    <row r="78" spans="1:56" x14ac:dyDescent="0.3">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row>
    <row r="79" spans="1:56" x14ac:dyDescent="0.3">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row>
    <row r="80" spans="1:56" x14ac:dyDescent="0.3">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row>
    <row r="81" spans="1:56" x14ac:dyDescent="0.3">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row>
    <row r="82" spans="1:56" x14ac:dyDescent="0.3">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row>
    <row r="83" spans="1:56" x14ac:dyDescent="0.3">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row>
    <row r="84" spans="1:56" x14ac:dyDescent="0.3">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row>
    <row r="85" spans="1:56" x14ac:dyDescent="0.3">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row>
    <row r="86" spans="1:56" x14ac:dyDescent="0.3">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row>
    <row r="87" spans="1:56" x14ac:dyDescent="0.3">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row>
    <row r="88" spans="1:56" x14ac:dyDescent="0.3">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row>
    <row r="89" spans="1:56" x14ac:dyDescent="0.3">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row>
    <row r="90" spans="1:56" x14ac:dyDescent="0.3">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row>
    <row r="91" spans="1:56" x14ac:dyDescent="0.3">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row>
    <row r="92" spans="1:56" x14ac:dyDescent="0.3">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row>
    <row r="93" spans="1:56" x14ac:dyDescent="0.3">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row>
    <row r="94" spans="1:56" x14ac:dyDescent="0.3">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row>
    <row r="95" spans="1:56" x14ac:dyDescent="0.3">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row>
    <row r="96" spans="1:56" x14ac:dyDescent="0.3">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row>
    <row r="97" spans="1:56" x14ac:dyDescent="0.3">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row>
    <row r="98" spans="1:56" x14ac:dyDescent="0.3">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row>
    <row r="99" spans="1:56" x14ac:dyDescent="0.3">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row>
    <row r="100" spans="1:56" x14ac:dyDescent="0.3">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row>
    <row r="101" spans="1:56" x14ac:dyDescent="0.3">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row>
    <row r="102" spans="1:56" x14ac:dyDescent="0.3">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row>
    <row r="103" spans="1:56" x14ac:dyDescent="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row>
    <row r="104" spans="1:56" x14ac:dyDescent="0.3">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row>
    <row r="105" spans="1:56" x14ac:dyDescent="0.3">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row>
    <row r="106" spans="1:56" x14ac:dyDescent="0.3">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row>
    <row r="107" spans="1:56" x14ac:dyDescent="0.3">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row>
    <row r="108" spans="1:56" x14ac:dyDescent="0.3">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row>
    <row r="109" spans="1:56" x14ac:dyDescent="0.3">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row>
    <row r="110" spans="1:56" x14ac:dyDescent="0.3">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row>
    <row r="111" spans="1:56" x14ac:dyDescent="0.3">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row>
    <row r="112" spans="1:56" x14ac:dyDescent="0.3">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row>
    <row r="113" spans="1:56" x14ac:dyDescent="0.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row>
    <row r="114" spans="1:56" x14ac:dyDescent="0.3">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row>
    <row r="115" spans="1:56" x14ac:dyDescent="0.3">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row>
    <row r="116" spans="1:56" x14ac:dyDescent="0.3">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row>
    <row r="117" spans="1:56" x14ac:dyDescent="0.3">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row>
    <row r="118" spans="1:56" x14ac:dyDescent="0.3">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row>
    <row r="119" spans="1:56" x14ac:dyDescent="0.3">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row>
    <row r="120" spans="1:56" x14ac:dyDescent="0.3">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row>
  </sheetData>
  <sheetProtection autoFilter="0"/>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tabColor theme="4"/>
    <pageSetUpPr fitToPage="1"/>
  </sheetPr>
  <dimension ref="A1:Z57"/>
  <sheetViews>
    <sheetView showGridLines="0" topLeftCell="D1" zoomScale="70" zoomScaleNormal="70" workbookViewId="0">
      <selection activeCell="M43" sqref="M43"/>
    </sheetView>
  </sheetViews>
  <sheetFormatPr defaultColWidth="0" defaultRowHeight="14" x14ac:dyDescent="0.3"/>
  <cols>
    <col min="1" max="1" width="17.08203125" hidden="1" customWidth="1"/>
    <col min="2" max="3" width="9" hidden="1" customWidth="1"/>
    <col min="4" max="4" width="8.58203125" customWidth="1"/>
    <col min="5" max="5" width="5.08203125" customWidth="1"/>
    <col min="6" max="6" width="16.5" customWidth="1"/>
    <col min="7" max="7" width="16.58203125" customWidth="1"/>
    <col min="8" max="8" width="26.58203125" bestFit="1" customWidth="1"/>
    <col min="9" max="9" width="21.08203125" customWidth="1"/>
    <col min="10" max="10" width="25.25" bestFit="1" customWidth="1"/>
    <col min="11" max="11" width="23.5" bestFit="1" customWidth="1"/>
    <col min="12" max="12" width="30.83203125" bestFit="1" customWidth="1"/>
    <col min="13" max="13" width="53" customWidth="1"/>
    <col min="14" max="14" width="55" bestFit="1" customWidth="1"/>
    <col min="15" max="15" width="8.58203125" customWidth="1"/>
    <col min="16" max="20" width="9" hidden="1" customWidth="1"/>
    <col min="21" max="16384" width="8.58203125" hidden="1"/>
  </cols>
  <sheetData>
    <row r="1" spans="1:26" x14ac:dyDescent="0.3">
      <c r="A1" s="1110"/>
      <c r="B1" s="1110"/>
      <c r="C1" s="1110"/>
      <c r="D1" s="1"/>
      <c r="E1" s="1"/>
      <c r="F1" s="1"/>
      <c r="G1" s="1"/>
      <c r="H1" s="1"/>
      <c r="I1" s="1"/>
      <c r="J1" s="1"/>
      <c r="K1" s="1"/>
      <c r="L1" s="1"/>
      <c r="M1" s="1"/>
      <c r="N1" s="1"/>
      <c r="O1" s="1"/>
      <c r="P1" s="1"/>
      <c r="Q1" s="1"/>
      <c r="R1" s="1"/>
      <c r="S1" s="1"/>
      <c r="T1" s="1"/>
      <c r="U1" s="1"/>
      <c r="V1" s="1"/>
      <c r="W1" s="1"/>
      <c r="X1" s="1"/>
      <c r="Y1" s="1"/>
      <c r="Z1" s="1"/>
    </row>
    <row r="2" spans="1:26" x14ac:dyDescent="0.3">
      <c r="A2" s="1110"/>
      <c r="B2" s="1110"/>
      <c r="C2" s="1110"/>
      <c r="D2" s="1"/>
      <c r="E2" s="1"/>
      <c r="F2" s="1"/>
      <c r="G2" s="1"/>
      <c r="H2" s="1"/>
      <c r="I2" s="1"/>
      <c r="J2" s="1"/>
      <c r="K2" s="1"/>
      <c r="L2" s="1"/>
      <c r="M2" s="1"/>
      <c r="N2" s="1"/>
      <c r="O2" s="1"/>
      <c r="P2" s="1"/>
      <c r="Q2" s="1"/>
      <c r="R2" s="1"/>
      <c r="S2" s="1"/>
      <c r="T2" s="1"/>
      <c r="U2" s="1"/>
      <c r="V2" s="1"/>
      <c r="W2" s="1"/>
      <c r="X2" s="1"/>
      <c r="Y2" s="1"/>
      <c r="Z2" s="1"/>
    </row>
    <row r="3" spans="1:26" x14ac:dyDescent="0.3">
      <c r="A3" s="1110"/>
      <c r="B3" s="1110"/>
      <c r="C3" s="1110"/>
      <c r="D3" s="1"/>
      <c r="E3" s="1"/>
      <c r="F3" s="1"/>
      <c r="G3" s="1"/>
      <c r="H3" s="1"/>
      <c r="I3" s="1"/>
      <c r="J3" s="1"/>
      <c r="K3" s="1"/>
      <c r="L3" s="1"/>
      <c r="M3" s="1"/>
      <c r="N3" s="1"/>
      <c r="O3" s="1"/>
      <c r="P3" s="1"/>
      <c r="Q3" s="1"/>
      <c r="R3" s="1"/>
      <c r="S3" s="1"/>
      <c r="T3" s="1"/>
      <c r="U3" s="1"/>
      <c r="V3" s="1"/>
      <c r="W3" s="1"/>
      <c r="X3" s="1"/>
      <c r="Y3" s="1"/>
      <c r="Z3" s="1"/>
    </row>
    <row r="4" spans="1:26" x14ac:dyDescent="0.3">
      <c r="A4" s="1110"/>
      <c r="B4" s="1110"/>
      <c r="C4" s="1110"/>
      <c r="D4" s="1"/>
      <c r="E4" s="1"/>
      <c r="F4" s="1"/>
      <c r="G4" s="1"/>
      <c r="H4" s="1"/>
      <c r="I4" s="1"/>
      <c r="J4" s="1"/>
      <c r="K4" s="1"/>
      <c r="L4" s="1"/>
      <c r="M4" s="1"/>
      <c r="N4" s="1"/>
      <c r="O4" s="1"/>
      <c r="P4" s="1"/>
      <c r="Q4" s="1"/>
      <c r="R4" s="1"/>
      <c r="S4" s="1"/>
      <c r="T4" s="1"/>
      <c r="U4" s="1"/>
      <c r="V4" s="1"/>
      <c r="W4" s="1"/>
      <c r="X4" s="1"/>
      <c r="Y4" s="1"/>
      <c r="Z4" s="1"/>
    </row>
    <row r="5" spans="1:26" x14ac:dyDescent="0.3">
      <c r="A5" s="1110"/>
      <c r="B5" s="1110"/>
      <c r="C5" s="1110"/>
      <c r="D5" s="1"/>
      <c r="E5" s="1"/>
      <c r="F5" s="1"/>
      <c r="G5" s="1"/>
      <c r="H5" s="1"/>
      <c r="I5" s="1"/>
      <c r="J5" s="1"/>
      <c r="K5" s="1"/>
      <c r="L5" s="1"/>
      <c r="M5" s="1"/>
      <c r="N5" s="1"/>
      <c r="O5" s="1"/>
      <c r="P5" s="1"/>
      <c r="Q5" s="1"/>
      <c r="R5" s="1"/>
      <c r="S5" s="1"/>
      <c r="T5" s="1"/>
      <c r="U5" s="1"/>
      <c r="V5" s="1"/>
      <c r="W5" s="1"/>
      <c r="X5" s="1"/>
      <c r="Y5" s="1"/>
      <c r="Z5" s="1"/>
    </row>
    <row r="6" spans="1:26" x14ac:dyDescent="0.3">
      <c r="A6" s="1110"/>
      <c r="B6" s="1110"/>
      <c r="C6" s="1110"/>
      <c r="D6" s="1"/>
      <c r="E6" s="1"/>
      <c r="F6" s="1"/>
      <c r="G6" s="1"/>
      <c r="H6" s="1"/>
      <c r="I6" s="1"/>
      <c r="J6" s="1"/>
      <c r="K6" s="1"/>
      <c r="L6" s="1"/>
      <c r="M6" s="1"/>
      <c r="N6" s="1"/>
      <c r="O6" s="1"/>
      <c r="P6" s="1"/>
      <c r="Q6" s="1"/>
      <c r="R6" s="1"/>
      <c r="S6" s="1"/>
      <c r="T6" s="1"/>
      <c r="U6" s="1"/>
      <c r="V6" s="1"/>
      <c r="W6" s="1"/>
      <c r="X6" s="1"/>
      <c r="Y6" s="1"/>
      <c r="Z6" s="1"/>
    </row>
    <row r="7" spans="1:26" s="22" customFormat="1" x14ac:dyDescent="0.3">
      <c r="A7" s="1109"/>
      <c r="B7" s="1109"/>
      <c r="C7" s="1109"/>
    </row>
    <row r="8" spans="1:26" s="22" customFormat="1" x14ac:dyDescent="0.3">
      <c r="A8" s="1109"/>
      <c r="B8" s="1109"/>
      <c r="C8" s="1109"/>
    </row>
    <row r="9" spans="1:26" s="22" customFormat="1" ht="18" x14ac:dyDescent="0.4">
      <c r="A9" s="1109"/>
      <c r="B9" s="1109"/>
      <c r="C9" s="1109"/>
      <c r="E9" s="729" t="s">
        <v>1375</v>
      </c>
    </row>
    <row r="10" spans="1:26" s="22" customFormat="1" x14ac:dyDescent="0.3">
      <c r="A10" s="1109"/>
      <c r="B10" s="1109"/>
      <c r="C10" s="1109"/>
    </row>
    <row r="11" spans="1:26" s="22" customFormat="1" ht="15.5" x14ac:dyDescent="0.35">
      <c r="A11" s="1109"/>
      <c r="B11" s="1109"/>
      <c r="C11" s="1109"/>
      <c r="F11" s="784" t="s">
        <v>1376</v>
      </c>
    </row>
    <row r="12" spans="1:26" s="22" customFormat="1" ht="15.5" x14ac:dyDescent="0.35">
      <c r="A12" s="1109"/>
      <c r="B12" s="1109"/>
      <c r="C12" s="1109"/>
      <c r="F12" s="784"/>
    </row>
    <row r="13" spans="1:26" s="22" customFormat="1" ht="15.5" x14ac:dyDescent="0.35">
      <c r="A13" s="1109"/>
      <c r="B13" s="1109"/>
      <c r="C13" s="1109"/>
      <c r="F13" s="828" t="s">
        <v>1377</v>
      </c>
    </row>
    <row r="14" spans="1:26" s="22" customFormat="1" x14ac:dyDescent="0.3">
      <c r="A14" s="1109"/>
      <c r="B14" s="1109"/>
      <c r="C14" s="1109"/>
    </row>
    <row r="15" spans="1:26" s="22" customFormat="1" ht="18" x14ac:dyDescent="0.4">
      <c r="A15" s="1109"/>
      <c r="B15" s="1109"/>
      <c r="C15" s="1109"/>
      <c r="E15" s="729" t="s">
        <v>80</v>
      </c>
    </row>
    <row r="16" spans="1:26" s="22" customFormat="1" x14ac:dyDescent="0.3">
      <c r="A16" s="1109"/>
      <c r="B16" s="1109"/>
      <c r="C16" s="1109"/>
    </row>
    <row r="17" spans="1:20" s="22" customFormat="1" ht="15.5" x14ac:dyDescent="0.35">
      <c r="A17" s="1109" t="s">
        <v>1378</v>
      </c>
      <c r="B17" s="1109" t="b">
        <f>OR(Selection_ClimateZone=1,Selection_ClimateZone=2,Selection_ClimateZone=3)</f>
        <v>0</v>
      </c>
      <c r="C17" s="1109"/>
      <c r="F17" s="784" t="s">
        <v>1379</v>
      </c>
      <c r="G17" s="784"/>
      <c r="H17" s="784"/>
    </row>
    <row r="18" spans="1:20" s="22" customFormat="1" ht="15.5" x14ac:dyDescent="0.35">
      <c r="A18" s="1109" t="s">
        <v>1380</v>
      </c>
      <c r="B18" s="1109" t="b">
        <f>AND(Selection_ClimateZone=5,OR(Select_State="NSW",Select_State="QLD"))</f>
        <v>0</v>
      </c>
      <c r="C18" s="1109"/>
      <c r="F18" s="786"/>
      <c r="G18" s="784"/>
      <c r="H18" s="784"/>
    </row>
    <row r="19" spans="1:20" s="22" customFormat="1" ht="15.5" x14ac:dyDescent="0.3">
      <c r="A19" s="1109" t="s">
        <v>1381</v>
      </c>
      <c r="B19" s="1109" t="b">
        <f>(OR(B17=TRUE,B18=TRUE))</f>
        <v>0</v>
      </c>
      <c r="C19" s="1109"/>
      <c r="F19" s="1554" t="str">
        <f>IF(D_List!$B$36="","Ceiling fans must be installed in accordance with the table below based on the user inputs","13.5.2 is NOT APPLICABLE")</f>
        <v>13.5.2 is NOT APPLICABLE</v>
      </c>
      <c r="G19" s="1554"/>
      <c r="H19" s="1554"/>
      <c r="I19" s="1554"/>
      <c r="J19" s="1554"/>
      <c r="K19" s="1554"/>
      <c r="L19" s="1554"/>
      <c r="M19" s="1554"/>
    </row>
    <row r="20" spans="1:20" s="22" customFormat="1" ht="5.15" customHeight="1" x14ac:dyDescent="0.35">
      <c r="A20" s="1109"/>
      <c r="B20" s="1109"/>
      <c r="C20" s="1109"/>
      <c r="F20" s="784"/>
      <c r="G20" s="784"/>
      <c r="H20" s="784"/>
    </row>
    <row r="21" spans="1:20" s="22" customFormat="1" ht="15.5" x14ac:dyDescent="0.35">
      <c r="A21" s="1109"/>
      <c r="B21" s="1109"/>
      <c r="C21" s="1109"/>
      <c r="E21" s="732"/>
      <c r="F21" s="784" t="str">
        <f>IF(D_List!$B$36="","Please complete the table below:","")</f>
        <v/>
      </c>
      <c r="G21" s="784"/>
      <c r="H21" s="784"/>
    </row>
    <row r="22" spans="1:20" s="22" customFormat="1" ht="15.5" x14ac:dyDescent="0.35">
      <c r="A22" s="1109"/>
      <c r="B22" s="1109"/>
      <c r="C22" s="1109"/>
      <c r="E22" s="732"/>
      <c r="F22" s="784"/>
      <c r="G22" s="784"/>
      <c r="H22" s="784"/>
    </row>
    <row r="23" spans="1:20" s="22" customFormat="1" ht="15.5" x14ac:dyDescent="0.35">
      <c r="A23" s="1109"/>
      <c r="B23" s="1109"/>
      <c r="C23" s="1109"/>
      <c r="F23" s="784" t="s">
        <v>1360</v>
      </c>
      <c r="G23" s="785">
        <v>3</v>
      </c>
      <c r="H23" s="792" t="str">
        <f>IF(RowsRequiredCeilingFans&gt;G35,"Not possible - maximum number available is "&amp;G35,IF(RowsRequiredCeilingFans&lt;&gt;B36,("Click filter arrow beside the table header 'Rows'. Select only '"&amp;RowsRequiredCeilingFans&amp;"' on the drop-down list, (as currently displayed)"),""))</f>
        <v/>
      </c>
    </row>
    <row r="24" spans="1:20" s="22" customFormat="1" x14ac:dyDescent="0.3">
      <c r="A24" s="1109"/>
      <c r="B24" s="1109"/>
      <c r="C24" s="1109"/>
    </row>
    <row r="25" spans="1:20" s="41" customFormat="1" ht="36" x14ac:dyDescent="0.3">
      <c r="A25" s="1115"/>
      <c r="B25" s="1119" t="s">
        <v>119</v>
      </c>
      <c r="C25" s="1115"/>
      <c r="F25" s="819" t="s">
        <v>120</v>
      </c>
      <c r="G25" s="819" t="s">
        <v>121</v>
      </c>
      <c r="H25" s="819" t="s">
        <v>1382</v>
      </c>
      <c r="I25" s="820" t="s">
        <v>1383</v>
      </c>
      <c r="J25" s="819" t="s">
        <v>83</v>
      </c>
      <c r="K25" s="819" t="s">
        <v>84</v>
      </c>
      <c r="L25" s="819" t="s">
        <v>85</v>
      </c>
      <c r="M25" s="820" t="s">
        <v>1384</v>
      </c>
      <c r="N25" s="820" t="s">
        <v>1385</v>
      </c>
      <c r="P25" s="1427" t="s">
        <v>450</v>
      </c>
      <c r="Q25" s="1427" t="s">
        <v>451</v>
      </c>
      <c r="S25" s="1427" t="s">
        <v>1386</v>
      </c>
      <c r="T25" s="1427" t="s">
        <v>1387</v>
      </c>
    </row>
    <row r="26" spans="1:20" s="22" customFormat="1" ht="15.5" x14ac:dyDescent="0.35">
      <c r="A26" s="1109"/>
      <c r="B26" s="1114">
        <v>1</v>
      </c>
      <c r="C26" s="1109"/>
      <c r="F26" s="1419">
        <f t="shared" ref="F26:F35" si="0">IF(ISBLANK(RowsRequiredCeilingFans),"1",IF(ISBLANK(B26),"-",IF(B26&lt;=RowsRequiredCeilingFans,RowsRequiredCeilingFans,"-")))</f>
        <v>3</v>
      </c>
      <c r="G26" s="1419">
        <v>1</v>
      </c>
      <c r="H26" s="1428"/>
      <c r="I26" s="1428"/>
      <c r="J26" s="1428"/>
      <c r="K26" s="1428"/>
      <c r="L26" s="1428"/>
      <c r="M26" s="1429" t="str" cm="1">
        <f t="array" ref="M26">IF(OR(J26="",I26=""),"",INDEX(Minimum_ceiling_fan_requirements_in_climate_zones_1_2_3_5[[Minimum number and diameter (mm) of ceiling fans required in a bedroom in climate zones 1, 2 and 3]:[Minimum number and diameter (mm) of ceiling fans required in a habitable room other than a bedroom in climate zones 1, 2, 3 and 5 (NSW and Qld)]],P26,Q26))</f>
        <v/>
      </c>
      <c r="N26" s="1429" t="str">
        <f>IF(OR(J26="",K26="",L26="",I26=""),"",IF(AND(K26&gt;=S26,L26&gt;=T26),"Room Ceiling Requirement Satisfied","Room Ceiling Requirement Not Satisfied - Please Review"))</f>
        <v/>
      </c>
      <c r="P26" s="1430">
        <f t="array" ref="P26">MATCH(1,(J26&gt;=D_Ceiling_Fans!$F$14:$F$20)*(J26&lt;D_Ceiling_Fans!$G$14:$G$20),0)</f>
        <v>1</v>
      </c>
      <c r="Q26" s="1430">
        <f>IF(I26="Bedroom",1, 2)</f>
        <v>2</v>
      </c>
      <c r="S26" s="1430" t="e">
        <f>TRIM(LEFT(M26,FIND("x",M26)-1))+0</f>
        <v>#VALUE!</v>
      </c>
      <c r="T26" s="1430" t="e">
        <f>TRIM(RIGHT(M26,LEN(M26)-FIND("x",M26)-1))+0</f>
        <v>#VALUE!</v>
      </c>
    </row>
    <row r="27" spans="1:20" s="22" customFormat="1" ht="15.5" x14ac:dyDescent="0.35">
      <c r="A27" s="1109"/>
      <c r="B27" s="1114">
        <v>2</v>
      </c>
      <c r="C27" s="1109"/>
      <c r="F27" s="1419">
        <f t="shared" si="0"/>
        <v>3</v>
      </c>
      <c r="G27" s="1419">
        <v>2</v>
      </c>
      <c r="H27" s="1428"/>
      <c r="I27" s="1428"/>
      <c r="J27" s="1428"/>
      <c r="K27" s="1428"/>
      <c r="L27" s="1428"/>
      <c r="M27" s="1429" t="str" cm="1">
        <f t="array" ref="M27">IF(OR(J27="",I27=""),"",INDEX(Minimum_ceiling_fan_requirements_in_climate_zones_1_2_3_5[[Minimum number and diameter (mm) of ceiling fans required in a bedroom in climate zones 1, 2 and 3]:[Minimum number and diameter (mm) of ceiling fans required in a habitable room other than a bedroom in climate zones 1, 2, 3 and 5 (NSW and Qld)]],P27,Q27))</f>
        <v/>
      </c>
      <c r="N27" s="1429" t="str">
        <f t="shared" ref="N27:N35" si="1">IF(OR(J27="",K27="",L27="",I27=""),"",IF(AND(K27&gt;=S27,L27&gt;=T27),"Room Ceiling Requirement Satisfied","Room Ceiling Requirement Not Satisfied - Please Review"))</f>
        <v/>
      </c>
      <c r="P27" s="1430" cm="1">
        <f t="array" ref="P27">MATCH(1,(J27&gt;=D_Ceiling_Fans!$F$14:$F$20)*(J27&lt;D_Ceiling_Fans!$G$14:$G$20),0)</f>
        <v>1</v>
      </c>
      <c r="Q27" s="1430">
        <f t="shared" ref="Q27:Q35" si="2">IF(I27="Bedroom",1, 2)</f>
        <v>2</v>
      </c>
      <c r="S27" s="1430" t="e">
        <f t="shared" ref="S27:S35" si="3">TRIM(LEFT(M27,FIND("x",M27)-1))+0</f>
        <v>#VALUE!</v>
      </c>
      <c r="T27" s="1430" t="e">
        <f t="shared" ref="T27:T35" si="4">TRIM(RIGHT(M27,LEN(M27)-FIND("x",M27)-1))+0</f>
        <v>#VALUE!</v>
      </c>
    </row>
    <row r="28" spans="1:20" s="22" customFormat="1" ht="15.5" x14ac:dyDescent="0.35">
      <c r="A28" s="1109"/>
      <c r="B28" s="1114">
        <v>3</v>
      </c>
      <c r="C28" s="1109"/>
      <c r="F28" s="1419">
        <f t="shared" si="0"/>
        <v>3</v>
      </c>
      <c r="G28" s="1419">
        <v>3</v>
      </c>
      <c r="H28" s="1428"/>
      <c r="I28" s="1428"/>
      <c r="J28" s="1428"/>
      <c r="K28" s="1428"/>
      <c r="L28" s="1428"/>
      <c r="M28" s="1429" t="str" cm="1">
        <f t="array" ref="M28">IF(OR(J28="",I28=""),"",INDEX(Minimum_ceiling_fan_requirements_in_climate_zones_1_2_3_5[[Minimum number and diameter (mm) of ceiling fans required in a bedroom in climate zones 1, 2 and 3]:[Minimum number and diameter (mm) of ceiling fans required in a habitable room other than a bedroom in climate zones 1, 2, 3 and 5 (NSW and Qld)]],P28,Q28))</f>
        <v/>
      </c>
      <c r="N28" s="1429" t="str">
        <f>IF(OR(J28="",K28="",L28="",I28=""),"",IF(AND(K28&gt;=S28,L28&gt;=T28),"Room Ceiling Requirement Satisfied","Room Ceiling Requirement Not Satisfied - Please Review"))</f>
        <v/>
      </c>
      <c r="P28" s="1430">
        <f t="array" ref="P28">MATCH(1,(J28&gt;=D_Ceiling_Fans!$F$14:$F$20)*(J28&lt;D_Ceiling_Fans!$G$14:$G$20),0)</f>
        <v>1</v>
      </c>
      <c r="Q28" s="1430">
        <f t="shared" si="2"/>
        <v>2</v>
      </c>
      <c r="S28" s="1430" t="e">
        <f t="shared" si="3"/>
        <v>#VALUE!</v>
      </c>
      <c r="T28" s="1430" t="e">
        <f t="shared" si="4"/>
        <v>#VALUE!</v>
      </c>
    </row>
    <row r="29" spans="1:20" s="22" customFormat="1" ht="15.5" hidden="1" x14ac:dyDescent="0.35">
      <c r="A29" s="1109"/>
      <c r="B29" s="1114">
        <v>4</v>
      </c>
      <c r="C29" s="1109"/>
      <c r="F29" s="1419" t="str">
        <f t="shared" si="0"/>
        <v>-</v>
      </c>
      <c r="G29" s="1419">
        <v>4</v>
      </c>
      <c r="H29" s="1428"/>
      <c r="I29" s="1428"/>
      <c r="J29" s="1428"/>
      <c r="K29" s="1428"/>
      <c r="L29" s="1428"/>
      <c r="M29" s="1429" t="str" cm="1">
        <f t="array" ref="M29">IF(OR(J29="",I29=""),"",INDEX(Minimum_ceiling_fan_requirements_in_climate_zones_1_2_3_5[[Minimum number and diameter (mm) of ceiling fans required in a bedroom in climate zones 1, 2 and 3]:[Minimum number and diameter (mm) of ceiling fans required in a habitable room other than a bedroom in climate zones 1, 2, 3 and 5 (NSW and Qld)]],P29,Q29))</f>
        <v/>
      </c>
      <c r="N29" s="1429" t="str">
        <f t="shared" si="1"/>
        <v/>
      </c>
      <c r="P29" s="1430">
        <f t="array" ref="P29">MATCH(1,(J29&gt;=D_Ceiling_Fans!$F$14:$F$20)*(J29&lt;D_Ceiling_Fans!$G$14:$G$20),0)</f>
        <v>1</v>
      </c>
      <c r="Q29" s="1430">
        <f t="shared" si="2"/>
        <v>2</v>
      </c>
      <c r="S29" s="1430" t="e">
        <f t="shared" si="3"/>
        <v>#VALUE!</v>
      </c>
      <c r="T29" s="1430" t="e">
        <f t="shared" si="4"/>
        <v>#VALUE!</v>
      </c>
    </row>
    <row r="30" spans="1:20" s="22" customFormat="1" ht="15.5" hidden="1" x14ac:dyDescent="0.35">
      <c r="A30" s="1109"/>
      <c r="B30" s="1114">
        <v>5</v>
      </c>
      <c r="C30" s="1109"/>
      <c r="F30" s="1419" t="str">
        <f t="shared" si="0"/>
        <v>-</v>
      </c>
      <c r="G30" s="1419">
        <v>5</v>
      </c>
      <c r="H30" s="1428"/>
      <c r="I30" s="1428"/>
      <c r="J30" s="1428"/>
      <c r="K30" s="1428"/>
      <c r="L30" s="1428"/>
      <c r="M30" s="1429" t="str" cm="1">
        <f t="array" ref="M30">IF(OR(J30="",I30=""),"",INDEX(Minimum_ceiling_fan_requirements_in_climate_zones_1_2_3_5[[Minimum number and diameter (mm) of ceiling fans required in a bedroom in climate zones 1, 2 and 3]:[Minimum number and diameter (mm) of ceiling fans required in a habitable room other than a bedroom in climate zones 1, 2, 3 and 5 (NSW and Qld)]],P30,Q30))</f>
        <v/>
      </c>
      <c r="N30" s="1429" t="str">
        <f t="shared" si="1"/>
        <v/>
      </c>
      <c r="P30" s="1430">
        <f t="array" ref="P30">MATCH(1,(J30&gt;=D_Ceiling_Fans!$F$14:$F$20)*(J30&lt;D_Ceiling_Fans!$G$14:$G$20),0)</f>
        <v>1</v>
      </c>
      <c r="Q30" s="1430">
        <f t="shared" si="2"/>
        <v>2</v>
      </c>
      <c r="S30" s="1430" t="e">
        <f t="shared" si="3"/>
        <v>#VALUE!</v>
      </c>
      <c r="T30" s="1430" t="e">
        <f t="shared" si="4"/>
        <v>#VALUE!</v>
      </c>
    </row>
    <row r="31" spans="1:20" s="22" customFormat="1" ht="15.5" hidden="1" x14ac:dyDescent="0.35">
      <c r="A31" s="1109"/>
      <c r="B31" s="1114">
        <v>6</v>
      </c>
      <c r="C31" s="1109"/>
      <c r="F31" s="1419" t="str">
        <f t="shared" si="0"/>
        <v>-</v>
      </c>
      <c r="G31" s="1419">
        <v>6</v>
      </c>
      <c r="H31" s="1428"/>
      <c r="I31" s="1428"/>
      <c r="J31" s="1428"/>
      <c r="K31" s="1428"/>
      <c r="L31" s="1428"/>
      <c r="M31" s="1429" t="str" cm="1">
        <f t="array" ref="M31">IF(OR(J31="",I31=""),"",INDEX(Minimum_ceiling_fan_requirements_in_climate_zones_1_2_3_5[[Minimum number and diameter (mm) of ceiling fans required in a bedroom in climate zones 1, 2 and 3]:[Minimum number and diameter (mm) of ceiling fans required in a habitable room other than a bedroom in climate zones 1, 2, 3 and 5 (NSW and Qld)]],P31,Q31))</f>
        <v/>
      </c>
      <c r="N31" s="1429" t="str">
        <f t="shared" si="1"/>
        <v/>
      </c>
      <c r="P31" s="1430">
        <f t="array" ref="P31">MATCH(1,(J31&gt;=D_Ceiling_Fans!$F$14:$F$20)*(J31&lt;D_Ceiling_Fans!$G$14:$G$20),0)</f>
        <v>1</v>
      </c>
      <c r="Q31" s="1430">
        <f t="shared" si="2"/>
        <v>2</v>
      </c>
      <c r="S31" s="1430" t="e">
        <f t="shared" si="3"/>
        <v>#VALUE!</v>
      </c>
      <c r="T31" s="1430" t="e">
        <f t="shared" si="4"/>
        <v>#VALUE!</v>
      </c>
    </row>
    <row r="32" spans="1:20" s="22" customFormat="1" ht="15.5" hidden="1" x14ac:dyDescent="0.35">
      <c r="A32" s="1109"/>
      <c r="B32" s="1114">
        <v>7</v>
      </c>
      <c r="C32" s="1109"/>
      <c r="F32" s="1419" t="str">
        <f t="shared" si="0"/>
        <v>-</v>
      </c>
      <c r="G32" s="1419">
        <v>7</v>
      </c>
      <c r="H32" s="1428"/>
      <c r="I32" s="1428"/>
      <c r="J32" s="1428"/>
      <c r="K32" s="1428"/>
      <c r="L32" s="1428"/>
      <c r="M32" s="1429" t="str" cm="1">
        <f t="array" ref="M32">IF(OR(J32="",I32=""),"",INDEX(Minimum_ceiling_fan_requirements_in_climate_zones_1_2_3_5[[Minimum number and diameter (mm) of ceiling fans required in a bedroom in climate zones 1, 2 and 3]:[Minimum number and diameter (mm) of ceiling fans required in a habitable room other than a bedroom in climate zones 1, 2, 3 and 5 (NSW and Qld)]],P32,Q32))</f>
        <v/>
      </c>
      <c r="N32" s="1429" t="str">
        <f t="shared" si="1"/>
        <v/>
      </c>
      <c r="P32" s="1430">
        <f t="array" ref="P32">MATCH(1,(J32&gt;=D_Ceiling_Fans!$F$14:$F$20)*(J32&lt;D_Ceiling_Fans!$G$14:$G$20),0)</f>
        <v>1</v>
      </c>
      <c r="Q32" s="1430">
        <f t="shared" si="2"/>
        <v>2</v>
      </c>
      <c r="S32" s="1430" t="e">
        <f t="shared" si="3"/>
        <v>#VALUE!</v>
      </c>
      <c r="T32" s="1430" t="e">
        <f t="shared" si="4"/>
        <v>#VALUE!</v>
      </c>
    </row>
    <row r="33" spans="1:20" s="22" customFormat="1" ht="15.5" hidden="1" x14ac:dyDescent="0.35">
      <c r="A33" s="1109"/>
      <c r="B33" s="1114">
        <v>8</v>
      </c>
      <c r="C33" s="1109"/>
      <c r="F33" s="1419" t="str">
        <f t="shared" si="0"/>
        <v>-</v>
      </c>
      <c r="G33" s="1419">
        <v>8</v>
      </c>
      <c r="H33" s="1428"/>
      <c r="I33" s="1428"/>
      <c r="J33" s="1428"/>
      <c r="K33" s="1428"/>
      <c r="L33" s="1428"/>
      <c r="M33" s="1429" t="str" cm="1">
        <f t="array" ref="M33">IF(OR(J33="",I33=""),"",INDEX(Minimum_ceiling_fan_requirements_in_climate_zones_1_2_3_5[[Minimum number and diameter (mm) of ceiling fans required in a bedroom in climate zones 1, 2 and 3]:[Minimum number and diameter (mm) of ceiling fans required in a habitable room other than a bedroom in climate zones 1, 2, 3 and 5 (NSW and Qld)]],P33,Q33))</f>
        <v/>
      </c>
      <c r="N33" s="1429" t="str">
        <f t="shared" si="1"/>
        <v/>
      </c>
      <c r="P33" s="1430">
        <f t="array" ref="P33">MATCH(1,(J33&gt;=D_Ceiling_Fans!$F$14:$F$20)*(J33&lt;D_Ceiling_Fans!$G$14:$G$20),0)</f>
        <v>1</v>
      </c>
      <c r="Q33" s="1430">
        <f t="shared" si="2"/>
        <v>2</v>
      </c>
      <c r="S33" s="1430" t="e">
        <f t="shared" si="3"/>
        <v>#VALUE!</v>
      </c>
      <c r="T33" s="1430" t="e">
        <f t="shared" si="4"/>
        <v>#VALUE!</v>
      </c>
    </row>
    <row r="34" spans="1:20" s="22" customFormat="1" ht="15.5" hidden="1" x14ac:dyDescent="0.35">
      <c r="A34" s="1109"/>
      <c r="B34" s="1114">
        <v>9</v>
      </c>
      <c r="C34" s="1109"/>
      <c r="F34" s="1419" t="str">
        <f t="shared" si="0"/>
        <v>-</v>
      </c>
      <c r="G34" s="1419">
        <v>9</v>
      </c>
      <c r="H34" s="1428"/>
      <c r="I34" s="1428"/>
      <c r="J34" s="1428"/>
      <c r="K34" s="1428"/>
      <c r="L34" s="1428"/>
      <c r="M34" s="1429" t="str" cm="1">
        <f t="array" ref="M34">IF(OR(J34="",I34=""),"",INDEX(Minimum_ceiling_fan_requirements_in_climate_zones_1_2_3_5[[Minimum number and diameter (mm) of ceiling fans required in a bedroom in climate zones 1, 2 and 3]:[Minimum number and diameter (mm) of ceiling fans required in a habitable room other than a bedroom in climate zones 1, 2, 3 and 5 (NSW and Qld)]],P34,Q34))</f>
        <v/>
      </c>
      <c r="N34" s="1429" t="str">
        <f t="shared" si="1"/>
        <v/>
      </c>
      <c r="P34" s="1430">
        <f t="array" ref="P34">MATCH(1,(J34&gt;=D_Ceiling_Fans!$F$14:$F$20)*(J34&lt;D_Ceiling_Fans!$G$14:$G$20),0)</f>
        <v>1</v>
      </c>
      <c r="Q34" s="1430">
        <f t="shared" si="2"/>
        <v>2</v>
      </c>
      <c r="S34" s="1430" t="e">
        <f t="shared" si="3"/>
        <v>#VALUE!</v>
      </c>
      <c r="T34" s="1430" t="e">
        <f t="shared" si="4"/>
        <v>#VALUE!</v>
      </c>
    </row>
    <row r="35" spans="1:20" s="22" customFormat="1" ht="15.5" hidden="1" x14ac:dyDescent="0.35">
      <c r="A35" s="1109"/>
      <c r="B35" s="1114">
        <v>10</v>
      </c>
      <c r="C35" s="1109"/>
      <c r="F35" s="1424" t="str">
        <f t="shared" si="0"/>
        <v>-</v>
      </c>
      <c r="G35" s="1424">
        <v>10</v>
      </c>
      <c r="H35" s="1431"/>
      <c r="I35" s="1431"/>
      <c r="J35" s="1431"/>
      <c r="K35" s="1431"/>
      <c r="L35" s="1431"/>
      <c r="M35" s="1429" t="str" cm="1">
        <f t="array" ref="M35">IF(OR(J35="",I35=""),"",INDEX(Minimum_ceiling_fan_requirements_in_climate_zones_1_2_3_5[[Minimum number and diameter (mm) of ceiling fans required in a bedroom in climate zones 1, 2 and 3]:[Minimum number and diameter (mm) of ceiling fans required in a habitable room other than a bedroom in climate zones 1, 2, 3 and 5 (NSW and Qld)]],P35,Q35))</f>
        <v/>
      </c>
      <c r="N35" s="1432" t="str">
        <f t="shared" si="1"/>
        <v/>
      </c>
      <c r="P35" s="1430">
        <f t="array" ref="P35">MATCH(1,(J35&gt;=D_Ceiling_Fans!$F$14:$F$20)*(J35&lt;D_Ceiling_Fans!$G$14:$G$20),0)</f>
        <v>1</v>
      </c>
      <c r="Q35" s="1430">
        <f t="shared" si="2"/>
        <v>2</v>
      </c>
      <c r="S35" s="1430" t="e">
        <f t="shared" si="3"/>
        <v>#VALUE!</v>
      </c>
      <c r="T35" s="1430" t="e">
        <f t="shared" si="4"/>
        <v>#VALUE!</v>
      </c>
    </row>
    <row r="36" spans="1:20" s="22" customFormat="1" x14ac:dyDescent="0.3">
      <c r="A36" s="1109" t="s">
        <v>132</v>
      </c>
      <c r="B36" s="1115">
        <f>SUBTOTAL(2,Table71['#])</f>
        <v>3</v>
      </c>
      <c r="C36" s="1109"/>
    </row>
    <row r="37" spans="1:20" s="22" customFormat="1" x14ac:dyDescent="0.3">
      <c r="A37" s="1109"/>
      <c r="B37" s="1114"/>
      <c r="C37" s="1109"/>
    </row>
    <row r="38" spans="1:20" s="22" customFormat="1" x14ac:dyDescent="0.3">
      <c r="A38" s="1109"/>
      <c r="B38" s="1109"/>
      <c r="C38" s="1109"/>
    </row>
    <row r="39" spans="1:20" s="22" customFormat="1" x14ac:dyDescent="0.3">
      <c r="A39" s="1109"/>
      <c r="B39" s="1109"/>
      <c r="C39" s="1109"/>
    </row>
    <row r="40" spans="1:20" s="22" customFormat="1" x14ac:dyDescent="0.3"/>
    <row r="41" spans="1:20" s="22" customFormat="1" x14ac:dyDescent="0.3"/>
    <row r="42" spans="1:20" s="22" customFormat="1" x14ac:dyDescent="0.3"/>
    <row r="43" spans="1:20" s="22" customFormat="1" x14ac:dyDescent="0.3"/>
    <row r="44" spans="1:20" s="22" customFormat="1" x14ac:dyDescent="0.3"/>
    <row r="45" spans="1:20" s="22" customFormat="1" x14ac:dyDescent="0.3"/>
    <row r="46" spans="1:20" s="22" customFormat="1" x14ac:dyDescent="0.3"/>
    <row r="47" spans="1:20" s="22" customFormat="1" x14ac:dyDescent="0.3"/>
    <row r="48" spans="1:20" s="22" customFormat="1" x14ac:dyDescent="0.3"/>
    <row r="49" s="22" customFormat="1" x14ac:dyDescent="0.3"/>
    <row r="50" s="22" customFormat="1" x14ac:dyDescent="0.3"/>
    <row r="51" s="22" customFormat="1" x14ac:dyDescent="0.3"/>
    <row r="52" s="22" customFormat="1" x14ac:dyDescent="0.3"/>
    <row r="53" s="22" customFormat="1" x14ac:dyDescent="0.3"/>
    <row r="54" s="22" customFormat="1" x14ac:dyDescent="0.3"/>
    <row r="55" s="22" customFormat="1" x14ac:dyDescent="0.3"/>
    <row r="56" s="22" customFormat="1" x14ac:dyDescent="0.3"/>
    <row r="57" s="22" customFormat="1" x14ac:dyDescent="0.3"/>
  </sheetData>
  <sheetProtection algorithmName="SHA-512" hashValue="t2SPWeSe/eCsEYiArbbKyU+nbckGnvqQo509Cvb1QHeomr6PAJZcXNYoINpFAm1/WByUAi+x5GhN709vbYryPg==" saltValue="gNvAqKggXjAHC4aSiSlLoQ==" spinCount="100000" sheet="1" autoFilter="0"/>
  <mergeCells count="1">
    <mergeCell ref="F19:M19"/>
  </mergeCells>
  <conditionalFormatting sqref="F19">
    <cfRule type="containsText" dxfId="782" priority="1" operator="containsText" text="NOT APPLICABLE">
      <formula>NOT(ISERROR(SEARCH("NOT APPLICABLE",F19)))</formula>
    </cfRule>
  </conditionalFormatting>
  <dataValidations disablePrompts="1" count="5">
    <dataValidation type="whole" allowBlank="1" showInputMessage="1" showErrorMessage="1" sqref="G23" xr:uid="{00000000-0002-0000-1200-000000000000}">
      <formula1>1</formula1>
      <formula2>10</formula2>
    </dataValidation>
    <dataValidation type="list" allowBlank="1" showInputMessage="1" showErrorMessage="1" sqref="I26:I35" xr:uid="{00000000-0002-0000-1200-000001000000}">
      <formula1>"Bedroom, Non-bedroom"</formula1>
    </dataValidation>
    <dataValidation type="decimal" allowBlank="1" showInputMessage="1" showErrorMessage="1" sqref="J26:J35" xr:uid="{00000000-0002-0000-1200-000002000000}">
      <formula1>0</formula1>
      <formula2>1000</formula2>
    </dataValidation>
    <dataValidation type="whole" allowBlank="1" showInputMessage="1" showErrorMessage="1" sqref="K26:K35" xr:uid="{00000000-0002-0000-1200-000003000000}">
      <formula1>0</formula1>
      <formula2>1000</formula2>
    </dataValidation>
    <dataValidation type="decimal" allowBlank="1" showInputMessage="1" showErrorMessage="1" sqref="L26:L35" xr:uid="{00000000-0002-0000-1200-000004000000}">
      <formula1>0</formula1>
      <formula2>10000</formula2>
    </dataValidation>
  </dataValidations>
  <hyperlinks>
    <hyperlink ref="F13" r:id="rId1" display="Refer to National Construction Code Part 13.5" xr:uid="{00000000-0004-0000-1200-000000000000}"/>
  </hyperlinks>
  <pageMargins left="0.7" right="0.7" top="0.75" bottom="0.75" header="0.3" footer="0.3"/>
  <pageSetup paperSize="9" scale="27" fitToHeight="0" orientation="portrait" r:id="rId2"/>
  <drawing r:id="rId3"/>
  <tableParts count="1">
    <tablePart r:id="rId4"/>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40239-91CB-4A62-AA81-4718E95160DA}">
  <sheetPr codeName="Sheet52">
    <pageSetUpPr autoPageBreaks="0"/>
  </sheetPr>
  <dimension ref="C1:K117"/>
  <sheetViews>
    <sheetView showGridLines="0" zoomScale="70" zoomScaleNormal="70" workbookViewId="0">
      <selection activeCell="H14" sqref="H14"/>
    </sheetView>
  </sheetViews>
  <sheetFormatPr defaultColWidth="8.33203125" defaultRowHeight="17.5" x14ac:dyDescent="0.35"/>
  <cols>
    <col min="1" max="2" width="1.33203125" style="1045" customWidth="1"/>
    <col min="3" max="3" width="5.83203125" style="1045" customWidth="1"/>
    <col min="4" max="4" width="0.75" style="1045" customWidth="1"/>
    <col min="5" max="5" width="129.58203125" style="1045" customWidth="1"/>
    <col min="6" max="6" width="5" style="1045" customWidth="1"/>
    <col min="7" max="7" width="8.33203125" style="1045"/>
    <col min="8" max="9" width="8.33203125" style="1045" customWidth="1"/>
    <col min="10" max="16384" width="8.33203125" style="1045"/>
  </cols>
  <sheetData>
    <row r="1" spans="3:11" ht="120.25" customHeight="1" x14ac:dyDescent="0.4">
      <c r="C1" s="1043"/>
      <c r="D1" s="1044"/>
      <c r="E1" s="1043"/>
      <c r="F1" s="1075"/>
      <c r="G1" s="1075"/>
      <c r="H1" s="1075"/>
      <c r="I1" s="1075"/>
      <c r="J1" s="1075"/>
      <c r="K1" s="1075"/>
    </row>
    <row r="2" spans="3:11" ht="37.4" customHeight="1" x14ac:dyDescent="0.4">
      <c r="C2" s="1043"/>
      <c r="D2" s="1044"/>
      <c r="E2" s="1046"/>
      <c r="F2" s="1075"/>
      <c r="G2" s="1075"/>
      <c r="H2" s="1075"/>
      <c r="I2" s="1075"/>
      <c r="J2" s="1075"/>
      <c r="K2" s="1075"/>
    </row>
    <row r="4" spans="3:11" ht="18" x14ac:dyDescent="0.4">
      <c r="C4" s="1047" t="s">
        <v>1388</v>
      </c>
      <c r="D4" s="1047"/>
    </row>
    <row r="5" spans="3:11" ht="18" x14ac:dyDescent="0.4">
      <c r="C5" s="1047"/>
      <c r="D5" s="1047"/>
    </row>
    <row r="6" spans="3:11" ht="18" x14ac:dyDescent="0.4">
      <c r="D6" s="1047" t="s">
        <v>1389</v>
      </c>
    </row>
    <row r="7" spans="3:11" ht="36" customHeight="1" x14ac:dyDescent="0.35">
      <c r="C7" s="1048">
        <f>IF(AND(ISBLANK(D7),ISBLANK(E7)=FALSE),MAX(C$6:C6)+1,"")</f>
        <v>1</v>
      </c>
      <c r="D7" s="1049"/>
      <c r="E7" s="1078" t="s">
        <v>1390</v>
      </c>
      <c r="G7" s="1051"/>
    </row>
    <row r="8" spans="3:11" ht="36" customHeight="1" x14ac:dyDescent="0.35">
      <c r="C8" s="1048">
        <f>IF(AND(ISBLANK(D8),ISBLANK(E8)=FALSE),MAX(C$6:C7)+1,"")</f>
        <v>2</v>
      </c>
      <c r="D8" s="1048"/>
      <c r="E8" s="1078" t="s">
        <v>1391</v>
      </c>
    </row>
    <row r="9" spans="3:11" ht="35" x14ac:dyDescent="0.35">
      <c r="C9" s="1048">
        <f>IF(AND(ISBLANK(D9),ISBLANK(E9)=FALSE),MAX(C$6:C8)+1,"")</f>
        <v>3</v>
      </c>
      <c r="D9" s="1048"/>
      <c r="E9" s="1078" t="s">
        <v>740</v>
      </c>
    </row>
    <row r="10" spans="3:11" x14ac:dyDescent="0.35">
      <c r="C10" s="1048" t="str">
        <f>IF(AND(ISBLANK(D10),ISBLANK(E10)=FALSE),MAX(C$6:C9)+1,"")</f>
        <v/>
      </c>
      <c r="D10" s="1048"/>
      <c r="E10" s="1079"/>
    </row>
    <row r="11" spans="3:11" ht="18" x14ac:dyDescent="0.4">
      <c r="C11" s="1048" t="str">
        <f>IF(AND(ISBLANK(D11),ISBLANK(E11)=FALSE),MAX(C$6:C10)+1,"")</f>
        <v/>
      </c>
      <c r="D11" s="1047" t="s">
        <v>741</v>
      </c>
      <c r="E11" s="1079"/>
    </row>
    <row r="12" spans="3:11" x14ac:dyDescent="0.35">
      <c r="C12" s="1048">
        <f>IF(AND(ISBLANK(D12),ISBLANK(E12)=FALSE),MAX(C$6:C11)+1,"")</f>
        <v>4</v>
      </c>
      <c r="D12" s="1049"/>
      <c r="E12" s="1080" t="s">
        <v>1392</v>
      </c>
    </row>
    <row r="13" spans="3:11" ht="35" x14ac:dyDescent="0.35">
      <c r="C13" s="1048">
        <f>IF(AND(ISBLANK(D13),ISBLANK(E13)=FALSE),MAX(C$6:C12)+1,"")</f>
        <v>5</v>
      </c>
      <c r="D13" s="1049"/>
      <c r="E13" s="1080" t="s">
        <v>1393</v>
      </c>
      <c r="G13" s="1053"/>
    </row>
    <row r="14" spans="3:11" x14ac:dyDescent="0.35">
      <c r="C14" s="1048" t="str">
        <f>IF(AND(ISBLANK(D14),ISBLANK(E14)=FALSE),MAX(C$6:C13)+1,"")</f>
        <v/>
      </c>
      <c r="D14" s="1054"/>
    </row>
    <row r="15" spans="3:11" ht="18" x14ac:dyDescent="0.4">
      <c r="C15" s="1048" t="str">
        <f>IF(AND(ISBLANK(D15),ISBLANK(E15)=FALSE),MAX(C$6:C14)+1,"")</f>
        <v/>
      </c>
      <c r="D15" s="1047" t="s">
        <v>1394</v>
      </c>
    </row>
    <row r="16" spans="3:11" x14ac:dyDescent="0.35">
      <c r="C16" s="1048">
        <f>IF(AND(ISBLANK(D16),ISBLANK(E16)=FALSE),MAX(C$6:C15)+1,"")</f>
        <v>6</v>
      </c>
      <c r="D16" s="1049"/>
      <c r="E16" s="1050" t="s">
        <v>1395</v>
      </c>
    </row>
    <row r="17" spans="3:5" ht="35" x14ac:dyDescent="0.35">
      <c r="C17" s="1048">
        <f>IF(AND(ISBLANK(D17),ISBLANK(E17)=FALSE),MAX(C$6:C16)+1,"")</f>
        <v>7</v>
      </c>
      <c r="D17" s="1049"/>
      <c r="E17" s="1050" t="s">
        <v>1396</v>
      </c>
    </row>
    <row r="18" spans="3:5" ht="52.5" x14ac:dyDescent="0.35">
      <c r="C18" s="1048">
        <f>IF(AND(ISBLANK(D18),ISBLANK(E18)=FALSE),MAX(C$6:C17)+1,"")</f>
        <v>8</v>
      </c>
      <c r="D18" s="1049"/>
      <c r="E18" s="1050" t="s">
        <v>1397</v>
      </c>
    </row>
    <row r="19" spans="3:5" x14ac:dyDescent="0.35">
      <c r="C19" s="1048"/>
      <c r="D19" s="1049"/>
      <c r="E19" s="1050"/>
    </row>
    <row r="20" spans="3:5" x14ac:dyDescent="0.35">
      <c r="C20" s="1048"/>
      <c r="D20" s="1049"/>
      <c r="E20" s="1050"/>
    </row>
    <row r="21" spans="3:5" x14ac:dyDescent="0.35">
      <c r="C21" s="1048"/>
      <c r="D21" s="1049"/>
      <c r="E21" s="1050"/>
    </row>
    <row r="22" spans="3:5" x14ac:dyDescent="0.35">
      <c r="C22" s="1048"/>
      <c r="D22" s="1049"/>
      <c r="E22" s="1050"/>
    </row>
    <row r="23" spans="3:5" x14ac:dyDescent="0.35">
      <c r="C23" s="1048"/>
      <c r="D23" s="1049"/>
      <c r="E23" s="1050"/>
    </row>
    <row r="24" spans="3:5" x14ac:dyDescent="0.35">
      <c r="C24" s="1048"/>
      <c r="D24" s="1049"/>
      <c r="E24" s="1050"/>
    </row>
    <row r="25" spans="3:5" x14ac:dyDescent="0.35">
      <c r="C25" s="1048"/>
      <c r="D25" s="1049"/>
      <c r="E25" s="1050"/>
    </row>
    <row r="26" spans="3:5" x14ac:dyDescent="0.35">
      <c r="C26" s="1048"/>
      <c r="D26" s="1049"/>
      <c r="E26" s="1050"/>
    </row>
    <row r="27" spans="3:5" x14ac:dyDescent="0.35">
      <c r="C27" s="1048"/>
      <c r="D27" s="1049"/>
      <c r="E27" s="1050"/>
    </row>
    <row r="28" spans="3:5" x14ac:dyDescent="0.35">
      <c r="C28" s="1048"/>
      <c r="D28" s="1049"/>
      <c r="E28" s="1050"/>
    </row>
    <row r="29" spans="3:5" x14ac:dyDescent="0.35">
      <c r="C29" s="1048"/>
      <c r="D29" s="1049"/>
      <c r="E29" s="1050"/>
    </row>
    <row r="30" spans="3:5" x14ac:dyDescent="0.35">
      <c r="C30" s="1048"/>
      <c r="D30" s="1049"/>
      <c r="E30" s="1050"/>
    </row>
    <row r="31" spans="3:5" x14ac:dyDescent="0.35">
      <c r="C31" s="1048"/>
      <c r="D31" s="1049"/>
      <c r="E31" s="1050"/>
    </row>
    <row r="32" spans="3:5" x14ac:dyDescent="0.35">
      <c r="C32" s="1048"/>
      <c r="D32" s="1049"/>
      <c r="E32" s="1050"/>
    </row>
    <row r="33" spans="3:5" x14ac:dyDescent="0.35">
      <c r="C33" s="1048"/>
      <c r="D33" s="1049"/>
      <c r="E33" s="1050"/>
    </row>
    <row r="34" spans="3:5" x14ac:dyDescent="0.35">
      <c r="C34" s="1048"/>
      <c r="D34" s="1049"/>
      <c r="E34" s="1050"/>
    </row>
    <row r="35" spans="3:5" x14ac:dyDescent="0.35">
      <c r="C35" s="1048"/>
      <c r="D35" s="1049"/>
      <c r="E35" s="1050"/>
    </row>
    <row r="36" spans="3:5" x14ac:dyDescent="0.35">
      <c r="C36" s="1048"/>
      <c r="D36" s="1049"/>
      <c r="E36" s="1050"/>
    </row>
    <row r="37" spans="3:5" x14ac:dyDescent="0.35">
      <c r="C37" s="1048"/>
      <c r="D37" s="1049"/>
      <c r="E37" s="1050"/>
    </row>
    <row r="38" spans="3:5" x14ac:dyDescent="0.35">
      <c r="C38" s="1048"/>
      <c r="D38" s="1049"/>
      <c r="E38" s="1050"/>
    </row>
    <row r="39" spans="3:5" x14ac:dyDescent="0.35">
      <c r="C39" s="1048"/>
      <c r="D39" s="1049"/>
      <c r="E39" s="1050"/>
    </row>
    <row r="40" spans="3:5" x14ac:dyDescent="0.35">
      <c r="C40" s="1048"/>
      <c r="D40" s="1049"/>
      <c r="E40" s="1050"/>
    </row>
    <row r="41" spans="3:5" x14ac:dyDescent="0.35">
      <c r="C41" s="1048"/>
      <c r="D41" s="1049"/>
      <c r="E41" s="1050"/>
    </row>
    <row r="42" spans="3:5" x14ac:dyDescent="0.35">
      <c r="C42" s="1048"/>
      <c r="D42" s="1049"/>
      <c r="E42" s="1050"/>
    </row>
    <row r="43" spans="3:5" x14ac:dyDescent="0.35">
      <c r="C43" s="1048"/>
      <c r="D43" s="1049"/>
      <c r="E43" s="1050"/>
    </row>
    <row r="44" spans="3:5" x14ac:dyDescent="0.35">
      <c r="C44" s="1048"/>
      <c r="D44" s="1049"/>
      <c r="E44" s="1050"/>
    </row>
    <row r="45" spans="3:5" x14ac:dyDescent="0.35">
      <c r="C45" s="1048"/>
      <c r="D45" s="1049"/>
      <c r="E45" s="1050"/>
    </row>
    <row r="46" spans="3:5" x14ac:dyDescent="0.35">
      <c r="C46" s="1048"/>
      <c r="D46" s="1049"/>
      <c r="E46" s="1050"/>
    </row>
    <row r="47" spans="3:5" x14ac:dyDescent="0.35">
      <c r="C47" s="1048"/>
      <c r="D47" s="1049"/>
      <c r="E47" s="1050"/>
    </row>
    <row r="48" spans="3:5" x14ac:dyDescent="0.35">
      <c r="C48" s="1048"/>
      <c r="D48" s="1049"/>
      <c r="E48" s="1050"/>
    </row>
    <row r="49" spans="3:5" x14ac:dyDescent="0.35">
      <c r="C49" s="1048"/>
      <c r="D49" s="1049"/>
      <c r="E49" s="1050"/>
    </row>
    <row r="50" spans="3:5" x14ac:dyDescent="0.35">
      <c r="C50" s="1048"/>
      <c r="D50" s="1049"/>
      <c r="E50" s="1050"/>
    </row>
    <row r="51" spans="3:5" x14ac:dyDescent="0.35">
      <c r="C51" s="1048"/>
      <c r="D51" s="1049"/>
      <c r="E51" s="1050"/>
    </row>
    <row r="52" spans="3:5" x14ac:dyDescent="0.35">
      <c r="C52" s="1048"/>
      <c r="D52" s="1049"/>
      <c r="E52" s="1050"/>
    </row>
    <row r="53" spans="3:5" x14ac:dyDescent="0.35">
      <c r="C53" s="1048"/>
      <c r="D53" s="1049"/>
      <c r="E53" s="1050"/>
    </row>
    <row r="54" spans="3:5" x14ac:dyDescent="0.35">
      <c r="C54" s="1048"/>
      <c r="D54" s="1049"/>
      <c r="E54" s="1050"/>
    </row>
    <row r="55" spans="3:5" x14ac:dyDescent="0.35">
      <c r="C55" s="1048"/>
      <c r="D55" s="1049"/>
      <c r="E55" s="1050"/>
    </row>
    <row r="56" spans="3:5" x14ac:dyDescent="0.35">
      <c r="C56" s="1048"/>
      <c r="D56" s="1049"/>
      <c r="E56" s="1050"/>
    </row>
    <row r="57" spans="3:5" x14ac:dyDescent="0.35">
      <c r="C57" s="1048"/>
      <c r="D57" s="1049"/>
      <c r="E57" s="1050"/>
    </row>
    <row r="58" spans="3:5" ht="18" x14ac:dyDescent="0.4">
      <c r="C58" s="1048" t="str">
        <f>IF(AND(ISBLANK(D58),ISBLANK(E58)=FALSE),MAX(C$6:C57)+1,"")</f>
        <v/>
      </c>
      <c r="D58" s="1047" t="s">
        <v>757</v>
      </c>
    </row>
    <row r="59" spans="3:5" x14ac:dyDescent="0.35">
      <c r="C59" s="1048">
        <f>IF(AND(ISBLANK(D59),ISBLANK(E59)=FALSE),MAX(C$6:C58)+1,"")</f>
        <v>9</v>
      </c>
      <c r="D59" s="1049"/>
      <c r="E59" s="1050" t="s">
        <v>758</v>
      </c>
    </row>
    <row r="60" spans="3:5" ht="36" x14ac:dyDescent="0.35">
      <c r="C60" s="1048">
        <f>IF(AND(ISBLANK(D60),ISBLANK(E60)=FALSE),MAX(C$6:C59)+1,"")</f>
        <v>10</v>
      </c>
      <c r="D60" s="1049"/>
      <c r="E60" s="1055" t="s">
        <v>1398</v>
      </c>
    </row>
    <row r="61" spans="3:5" x14ac:dyDescent="0.35">
      <c r="C61" s="1048" t="str">
        <f>IF(AND(ISBLANK(D61),ISBLANK(E61)=FALSE),MAX(C$6:C60)+1,"")</f>
        <v/>
      </c>
      <c r="D61" s="1054"/>
    </row>
    <row r="62" spans="3:5" ht="18" x14ac:dyDescent="0.4">
      <c r="C62" s="1048" t="str">
        <f>IF(AND(ISBLANK(D62),ISBLANK(E62)=FALSE),MAX(C$6:C61)+1,"")</f>
        <v/>
      </c>
      <c r="D62" s="1047" t="s">
        <v>1399</v>
      </c>
    </row>
    <row r="63" spans="3:5" ht="52.5" x14ac:dyDescent="0.35">
      <c r="C63" s="1048">
        <f>IF(AND(ISBLANK(D63),ISBLANK(E63)=FALSE),MAX(C$6:C62)+1,"")</f>
        <v>11</v>
      </c>
      <c r="E63" s="1050" t="s">
        <v>1400</v>
      </c>
    </row>
    <row r="64" spans="3:5" x14ac:dyDescent="0.35">
      <c r="C64" s="1048">
        <f>IF(AND(ISBLANK(D64),ISBLANK(E64)=FALSE),MAX(C$6:C63)+1,"")</f>
        <v>12</v>
      </c>
      <c r="E64" s="1050" t="s">
        <v>1401</v>
      </c>
    </row>
    <row r="65" spans="3:5" x14ac:dyDescent="0.35">
      <c r="C65" s="1048"/>
      <c r="E65" s="1050"/>
    </row>
    <row r="66" spans="3:5" ht="5.25" customHeight="1" x14ac:dyDescent="0.35">
      <c r="C66" s="1048" t="str">
        <f>IF(AND(ISBLANK(D66),ISBLANK(E66)=FALSE),MAX(C$6:C61)+1,"")</f>
        <v/>
      </c>
      <c r="D66" s="1056"/>
      <c r="E66" s="1056"/>
    </row>
    <row r="67" spans="3:5" ht="18" x14ac:dyDescent="0.4">
      <c r="D67" s="1047" t="s">
        <v>807</v>
      </c>
      <c r="E67" s="1047"/>
    </row>
    <row r="68" spans="3:5" ht="18" x14ac:dyDescent="0.4">
      <c r="D68" s="1047"/>
      <c r="E68" s="1047"/>
    </row>
    <row r="69" spans="3:5" ht="18" x14ac:dyDescent="0.4">
      <c r="D69" s="1047"/>
      <c r="E69" s="1047" t="s">
        <v>1402</v>
      </c>
    </row>
    <row r="70" spans="3:5" x14ac:dyDescent="0.35">
      <c r="C70" s="1057" t="s">
        <v>1403</v>
      </c>
      <c r="D70" s="1058"/>
      <c r="E70" s="1052" t="s">
        <v>1404</v>
      </c>
    </row>
    <row r="71" spans="3:5" ht="18" x14ac:dyDescent="0.4">
      <c r="D71" s="1058"/>
      <c r="E71" s="1059" t="s">
        <v>1405</v>
      </c>
    </row>
    <row r="72" spans="3:5" ht="35" x14ac:dyDescent="0.35">
      <c r="C72" s="1057" t="s">
        <v>1403</v>
      </c>
      <c r="D72" s="1058"/>
      <c r="E72" s="1060" t="s">
        <v>1406</v>
      </c>
    </row>
    <row r="73" spans="3:5" ht="18" x14ac:dyDescent="0.4">
      <c r="D73" s="1058"/>
      <c r="E73" s="1059" t="s">
        <v>1407</v>
      </c>
    </row>
    <row r="74" spans="3:5" ht="35" x14ac:dyDescent="0.35">
      <c r="C74" s="1057" t="s">
        <v>1403</v>
      </c>
      <c r="D74" s="1058"/>
      <c r="E74" s="1060" t="s">
        <v>1408</v>
      </c>
    </row>
    <row r="75" spans="3:5" ht="18" x14ac:dyDescent="0.4">
      <c r="E75" s="1047"/>
    </row>
    <row r="76" spans="3:5" x14ac:dyDescent="0.35">
      <c r="D76" s="1058"/>
      <c r="E76" s="1052"/>
    </row>
    <row r="77" spans="3:5" x14ac:dyDescent="0.35">
      <c r="D77" s="1058"/>
      <c r="E77" s="1060"/>
    </row>
    <row r="78" spans="3:5" ht="18" x14ac:dyDescent="0.35">
      <c r="D78" s="1061"/>
      <c r="E78" s="1060"/>
    </row>
    <row r="79" spans="3:5" ht="18" x14ac:dyDescent="0.4">
      <c r="E79" s="1047"/>
    </row>
    <row r="80" spans="3:5" x14ac:dyDescent="0.35">
      <c r="D80" s="1062"/>
      <c r="E80" s="1063"/>
    </row>
    <row r="81" spans="3:5" ht="18" x14ac:dyDescent="0.4">
      <c r="D81" s="1047"/>
      <c r="E81" s="1047"/>
    </row>
    <row r="82" spans="3:5" ht="18" x14ac:dyDescent="0.4">
      <c r="E82" s="1047"/>
    </row>
    <row r="83" spans="3:5" x14ac:dyDescent="0.35">
      <c r="C83" s="1054"/>
      <c r="D83" s="1062"/>
      <c r="E83" s="1063"/>
    </row>
    <row r="84" spans="3:5" x14ac:dyDescent="0.35">
      <c r="D84" s="1057"/>
    </row>
    <row r="85" spans="3:5" x14ac:dyDescent="0.35">
      <c r="D85" s="1057"/>
    </row>
    <row r="86" spans="3:5" ht="18" x14ac:dyDescent="0.4">
      <c r="D86" s="1047"/>
      <c r="E86" s="1047"/>
    </row>
    <row r="87" spans="3:5" ht="18" x14ac:dyDescent="0.4">
      <c r="E87" s="1047"/>
    </row>
    <row r="88" spans="3:5" x14ac:dyDescent="0.35">
      <c r="D88" s="1057"/>
    </row>
    <row r="89" spans="3:5" ht="18" x14ac:dyDescent="0.4">
      <c r="D89" s="1047"/>
      <c r="E89" s="1047"/>
    </row>
    <row r="90" spans="3:5" ht="18" x14ac:dyDescent="0.4">
      <c r="E90" s="1047"/>
    </row>
    <row r="91" spans="3:5" x14ac:dyDescent="0.35">
      <c r="D91" s="1057"/>
    </row>
    <row r="92" spans="3:5" x14ac:dyDescent="0.35">
      <c r="D92" s="1057"/>
      <c r="E92" s="1064"/>
    </row>
    <row r="93" spans="3:5" x14ac:dyDescent="0.35">
      <c r="D93" s="1057"/>
    </row>
    <row r="94" spans="3:5" ht="18" x14ac:dyDescent="0.4">
      <c r="E94" s="1047"/>
    </row>
    <row r="95" spans="3:5" x14ac:dyDescent="0.35">
      <c r="D95" s="1057"/>
    </row>
    <row r="96" spans="3:5" ht="18" x14ac:dyDescent="0.4">
      <c r="D96" s="1047"/>
      <c r="E96" s="1047"/>
    </row>
    <row r="97" spans="3:5" ht="18" x14ac:dyDescent="0.4">
      <c r="E97" s="1047"/>
    </row>
    <row r="98" spans="3:5" x14ac:dyDescent="0.35">
      <c r="D98" s="1057"/>
    </row>
    <row r="99" spans="3:5" ht="18" x14ac:dyDescent="0.4">
      <c r="C99" s="1047"/>
      <c r="D99" s="1057"/>
    </row>
    <row r="100" spans="3:5" ht="18" x14ac:dyDescent="0.4">
      <c r="D100" s="1047"/>
      <c r="E100" s="1047"/>
    </row>
    <row r="101" spans="3:5" ht="18" x14ac:dyDescent="0.4">
      <c r="E101" s="1047"/>
    </row>
    <row r="102" spans="3:5" x14ac:dyDescent="0.35">
      <c r="D102" s="1057"/>
    </row>
    <row r="103" spans="3:5" x14ac:dyDescent="0.35">
      <c r="D103" s="1057"/>
    </row>
    <row r="104" spans="3:5" x14ac:dyDescent="0.35">
      <c r="D104" s="1057"/>
    </row>
    <row r="105" spans="3:5" x14ac:dyDescent="0.35">
      <c r="D105" s="1057"/>
    </row>
    <row r="106" spans="3:5" x14ac:dyDescent="0.35">
      <c r="D106" s="1057"/>
    </row>
    <row r="107" spans="3:5" x14ac:dyDescent="0.35">
      <c r="D107" s="1057"/>
    </row>
    <row r="108" spans="3:5" x14ac:dyDescent="0.35">
      <c r="D108" s="1057"/>
    </row>
    <row r="109" spans="3:5" ht="18" x14ac:dyDescent="0.4">
      <c r="E109" s="1047"/>
    </row>
    <row r="110" spans="3:5" x14ac:dyDescent="0.35">
      <c r="D110" s="1057"/>
    </row>
    <row r="111" spans="3:5" x14ac:dyDescent="0.35">
      <c r="D111" s="1057"/>
    </row>
    <row r="112" spans="3:5" x14ac:dyDescent="0.35">
      <c r="D112" s="1057"/>
    </row>
    <row r="115" spans="3:5" x14ac:dyDescent="0.35">
      <c r="D115" s="1057"/>
    </row>
    <row r="117" spans="3:5" x14ac:dyDescent="0.35">
      <c r="C117" s="1048" t="str">
        <f>IF(AND(ISBLANK(D117),ISBLANK(E117)=FALSE),MAX(C$6:C116)+1,"")</f>
        <v/>
      </c>
      <c r="D117" s="1056"/>
      <c r="E117" s="1056"/>
    </row>
  </sheetData>
  <sheetProtection selectLockedCells="1" autoFilter="0"/>
  <pageMargins left="0.23622047244094491" right="0.23622047244094491" top="0.74803149606299213" bottom="0.74803149606299213" header="0.31496062992125984" footer="0.31496062992125984"/>
  <pageSetup paperSize="9" scale="65" orientation="portrait" horizontalDpi="300" verticalDpi="300" r:id="rId1"/>
  <headerFooter>
    <oddHeader>&amp;L&amp;"Inter,Italic"&amp;10ABCB Whole-of-Home Calculator - Help sheet&amp;R&amp;"Inter,Italic"&amp;10printed &amp;D</oddHeader>
    <oddFooter>&amp;L&amp;"Inter,Italic"&amp;10&amp;F&amp;R&amp;"Inter,Italic"&amp;10Page &amp;P of &amp;N</oddFooter>
  </headerFooter>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theme="4"/>
    <pageSetUpPr fitToPage="1"/>
  </sheetPr>
  <dimension ref="A1:BJ219"/>
  <sheetViews>
    <sheetView topLeftCell="B1" zoomScale="70" zoomScaleNormal="70" workbookViewId="0">
      <selection activeCell="K1" sqref="K1"/>
    </sheetView>
  </sheetViews>
  <sheetFormatPr defaultColWidth="7.58203125" defaultRowHeight="14" x14ac:dyDescent="0.3"/>
  <cols>
    <col min="1" max="1" width="0" style="22" hidden="1" customWidth="1"/>
    <col min="2" max="2" width="7.58203125" style="20" customWidth="1"/>
    <col min="3" max="3" width="3.58203125" style="20" customWidth="1"/>
    <col min="4" max="4" width="13.5" style="20" customWidth="1"/>
    <col min="5" max="5" width="13.08203125" style="20" customWidth="1"/>
    <col min="6" max="6" width="11.58203125" style="20" customWidth="1"/>
    <col min="7" max="7" width="12.58203125" style="20" customWidth="1"/>
    <col min="8" max="8" width="14.33203125" style="20" customWidth="1"/>
    <col min="9" max="9" width="12.33203125" style="20" customWidth="1"/>
    <col min="10" max="10" width="20.5" style="20" customWidth="1"/>
    <col min="11" max="11" width="15.83203125" style="20" customWidth="1"/>
    <col min="12" max="12" width="3.58203125" style="20" customWidth="1"/>
    <col min="13" max="13" width="7.58203125" style="20" customWidth="1"/>
    <col min="14" max="14" width="10.08203125" style="22" hidden="1" customWidth="1"/>
    <col min="15" max="15" width="14.08203125" style="22" hidden="1" customWidth="1"/>
    <col min="16" max="16" width="17" style="22" hidden="1" customWidth="1"/>
    <col min="17" max="17" width="14" style="22" hidden="1" customWidth="1"/>
    <col min="18" max="18" width="7.33203125" style="22" hidden="1" customWidth="1"/>
    <col min="19" max="19" width="40.08203125" style="22" hidden="1" customWidth="1"/>
    <col min="20" max="20" width="12.33203125" style="22" hidden="1" customWidth="1"/>
    <col min="21" max="21" width="22.58203125" style="22" hidden="1" customWidth="1"/>
    <col min="22" max="22" width="14.33203125" style="22" hidden="1" customWidth="1"/>
    <col min="23" max="23" width="7.58203125" style="22" hidden="1" customWidth="1"/>
    <col min="24" max="24" width="8.08203125" style="22" hidden="1" customWidth="1"/>
    <col min="25" max="25" width="25.58203125" style="22" hidden="1" customWidth="1"/>
    <col min="26" max="26" width="23.5" style="22" hidden="1" customWidth="1"/>
    <col min="27" max="28" width="7.58203125" style="22" hidden="1" customWidth="1"/>
    <col min="29" max="29" width="24" style="22" hidden="1" customWidth="1"/>
    <col min="30" max="30" width="25.58203125" style="22" hidden="1" customWidth="1"/>
    <col min="31" max="31" width="2.33203125" style="22" hidden="1" customWidth="1"/>
    <col min="32" max="32" width="33" style="22" hidden="1" customWidth="1"/>
    <col min="33" max="36" width="7.58203125" style="22" hidden="1" customWidth="1"/>
    <col min="37" max="62" width="7.33203125" style="22" hidden="1" customWidth="1"/>
    <col min="63" max="16384" width="7.58203125" style="20"/>
  </cols>
  <sheetData>
    <row r="1" spans="2:59" ht="129.25" customHeight="1" x14ac:dyDescent="0.35">
      <c r="C1" s="21"/>
      <c r="D1" s="21"/>
      <c r="E1" s="21"/>
      <c r="F1" s="21"/>
      <c r="G1" s="21"/>
      <c r="H1" s="21"/>
      <c r="I1" s="21"/>
      <c r="J1" s="21"/>
      <c r="K1" s="21"/>
      <c r="L1" s="21"/>
      <c r="O1" s="23"/>
      <c r="Q1" s="24" t="s">
        <v>1403</v>
      </c>
    </row>
    <row r="2" spans="2:59" ht="30.75" customHeight="1" x14ac:dyDescent="0.3">
      <c r="C2" s="21"/>
      <c r="D2" s="21"/>
      <c r="E2" s="21"/>
      <c r="F2" s="21"/>
      <c r="G2" s="21"/>
      <c r="H2" s="21"/>
      <c r="I2" s="21"/>
      <c r="J2" s="21"/>
      <c r="K2" s="21"/>
      <c r="L2" s="25"/>
      <c r="AL2" s="22" t="s">
        <v>1409</v>
      </c>
    </row>
    <row r="3" spans="2:59" ht="14.5" thickBot="1" x14ac:dyDescent="0.35">
      <c r="C3" s="836"/>
      <c r="D3" s="836"/>
      <c r="E3" s="836"/>
      <c r="F3" s="836"/>
      <c r="G3" s="836"/>
      <c r="H3" s="836"/>
      <c r="I3" s="836"/>
      <c r="J3" s="836"/>
      <c r="K3" s="836"/>
      <c r="L3" s="836"/>
      <c r="S3" s="22" t="s">
        <v>1410</v>
      </c>
    </row>
    <row r="4" spans="2:59" ht="23" x14ac:dyDescent="0.5">
      <c r="C4" s="1592" t="s">
        <v>1411</v>
      </c>
      <c r="D4" s="1593"/>
      <c r="E4" s="1593"/>
      <c r="F4" s="1593"/>
      <c r="G4" s="1593"/>
      <c r="H4" s="1594"/>
      <c r="I4" s="1595" t="s">
        <v>90</v>
      </c>
      <c r="J4" s="1593"/>
      <c r="K4" s="1593"/>
      <c r="L4" s="1596"/>
      <c r="N4" s="26"/>
      <c r="O4" s="27" t="s">
        <v>1412</v>
      </c>
      <c r="P4" s="26"/>
      <c r="Q4" s="26"/>
      <c r="S4" s="22" t="e">
        <f ca="1">W11*F9*S15+S18+S21</f>
        <v>#N/A</v>
      </c>
      <c r="T4" s="22" t="e">
        <f ca="1">S4-K26</f>
        <v>#N/A</v>
      </c>
    </row>
    <row r="5" spans="2:59" ht="22.75" customHeight="1" x14ac:dyDescent="0.3">
      <c r="B5" s="28"/>
      <c r="C5" s="838"/>
      <c r="D5" s="836"/>
      <c r="E5" s="836"/>
      <c r="F5" s="836"/>
      <c r="G5" s="836"/>
      <c r="H5" s="841"/>
      <c r="I5" s="836"/>
      <c r="J5" s="836"/>
      <c r="K5" s="836"/>
      <c r="L5" s="837"/>
      <c r="M5" s="29"/>
      <c r="N5" s="30"/>
      <c r="O5" s="27" t="s">
        <v>90</v>
      </c>
      <c r="P5" s="30"/>
      <c r="Q5" s="30"/>
      <c r="S5" s="31" t="e">
        <f ca="1">(W11*T15)+S18+S21-K26</f>
        <v>#N/A</v>
      </c>
      <c r="AO5" s="22" t="s">
        <v>200</v>
      </c>
      <c r="AP5" s="22">
        <v>7</v>
      </c>
      <c r="AS5" s="22" t="s">
        <v>200</v>
      </c>
      <c r="AT5" s="22" t="str">
        <f>""</f>
        <v/>
      </c>
      <c r="AV5" s="22" t="s">
        <v>200</v>
      </c>
      <c r="AW5" s="22" t="str">
        <f>""</f>
        <v/>
      </c>
      <c r="AZ5" s="22" t="s">
        <v>200</v>
      </c>
      <c r="BA5" s="22" t="str">
        <f>""</f>
        <v/>
      </c>
      <c r="BC5" s="22" t="s">
        <v>200</v>
      </c>
      <c r="BD5" s="22" t="str">
        <f>""</f>
        <v/>
      </c>
      <c r="BF5" s="22" t="s">
        <v>200</v>
      </c>
      <c r="BG5" s="22" t="str">
        <f>""</f>
        <v/>
      </c>
    </row>
    <row r="6" spans="2:59" ht="55.5" customHeight="1" x14ac:dyDescent="0.35">
      <c r="B6" s="28"/>
      <c r="C6" s="840"/>
      <c r="D6" s="1597" t="s">
        <v>1413</v>
      </c>
      <c r="E6" s="1597"/>
      <c r="F6" s="1598">
        <f>Home!H17</f>
        <v>0</v>
      </c>
      <c r="G6" s="1598"/>
      <c r="H6" s="842"/>
      <c r="I6" s="839"/>
      <c r="J6" s="839"/>
      <c r="K6" s="836"/>
      <c r="L6" s="837"/>
      <c r="M6" s="29"/>
      <c r="S6" s="22" t="s">
        <v>1414</v>
      </c>
      <c r="Z6" s="22">
        <v>1</v>
      </c>
      <c r="AA6" s="22" t="s">
        <v>200</v>
      </c>
      <c r="AC6" s="22" t="s">
        <v>1415</v>
      </c>
      <c r="AD6" s="22" t="s">
        <v>1416</v>
      </c>
      <c r="AI6" s="22" t="str">
        <f>IF(OR(F7="ACT",F7="NSW",F7="SA",F7="TAS",F7="VIC",F7=""),"",1)</f>
        <v/>
      </c>
      <c r="AL6" s="22" t="s">
        <v>731</v>
      </c>
      <c r="AM6" s="22" t="e">
        <f>VLOOKUP(F7,AO5:AP12,2,FALSE)</f>
        <v>#N/A</v>
      </c>
      <c r="AO6" s="22" t="s">
        <v>214</v>
      </c>
      <c r="AP6" s="22">
        <v>2</v>
      </c>
      <c r="AS6" s="22" t="s">
        <v>214</v>
      </c>
      <c r="AT6" s="22">
        <v>4</v>
      </c>
      <c r="AV6" s="22" t="s">
        <v>214</v>
      </c>
      <c r="AW6" s="22">
        <v>5</v>
      </c>
      <c r="AZ6" s="22" t="s">
        <v>214</v>
      </c>
      <c r="BA6" s="22">
        <v>6</v>
      </c>
      <c r="BC6" s="22" t="s">
        <v>214</v>
      </c>
      <c r="BD6" s="22">
        <v>7</v>
      </c>
      <c r="BF6" s="22" t="s">
        <v>214</v>
      </c>
      <c r="BG6" s="22">
        <v>8</v>
      </c>
    </row>
    <row r="7" spans="2:59" ht="18.75" customHeight="1" x14ac:dyDescent="0.35">
      <c r="B7" s="28"/>
      <c r="C7" s="840"/>
      <c r="D7" s="1597" t="s">
        <v>9</v>
      </c>
      <c r="E7" s="1597"/>
      <c r="F7" s="1599"/>
      <c r="G7" s="1599"/>
      <c r="H7" s="842"/>
      <c r="I7" s="845" t="s">
        <v>91</v>
      </c>
      <c r="J7" s="1600" t="str">
        <f>IFERROR(ROUND(S11*T15,1),"")</f>
        <v/>
      </c>
      <c r="K7" s="836"/>
      <c r="L7" s="837"/>
      <c r="M7" s="29"/>
      <c r="N7" s="22" t="s">
        <v>91</v>
      </c>
      <c r="O7" s="22" t="e">
        <f>ROUND('QA Check'!A20,1)</f>
        <v>#VALUE!</v>
      </c>
      <c r="P7" s="22" t="e">
        <f>IF(O7=J7, "OK", "NOT OK")</f>
        <v>#VALUE!</v>
      </c>
      <c r="S7" s="22" t="str">
        <f>CONCATENATE("'",F8,"-",F7,"'")</f>
        <v>'5-'</v>
      </c>
      <c r="Z7" s="32"/>
      <c r="AA7" s="22" t="s">
        <v>214</v>
      </c>
      <c r="AC7" s="22" t="s">
        <v>1417</v>
      </c>
      <c r="AD7" s="22" t="s">
        <v>1418</v>
      </c>
      <c r="AI7" s="22" t="str">
        <f>IF(OR(F$7="ACT",F$7="SA",F$7="TAS",F$7="VIC",F$7="",F$7="NT",F$7="WA"),"",2)</f>
        <v/>
      </c>
      <c r="AM7" s="22" t="e">
        <f>VLOOKUP(F7,AS5:AT12,2,FALSE)</f>
        <v>#N/A</v>
      </c>
      <c r="AO7" s="22" t="s">
        <v>223</v>
      </c>
      <c r="AP7" s="22">
        <v>1</v>
      </c>
      <c r="AS7" s="22" t="s">
        <v>223</v>
      </c>
      <c r="AT7" s="22">
        <v>3</v>
      </c>
      <c r="AV7" s="22" t="s">
        <v>223</v>
      </c>
      <c r="AW7" s="22" t="str">
        <f>""</f>
        <v/>
      </c>
      <c r="AZ7" s="22" t="s">
        <v>223</v>
      </c>
      <c r="BA7" s="22" t="str">
        <f>""</f>
        <v/>
      </c>
      <c r="BC7" s="22" t="s">
        <v>223</v>
      </c>
      <c r="BD7" s="22" t="str">
        <f>""</f>
        <v/>
      </c>
      <c r="BF7" s="22" t="s">
        <v>223</v>
      </c>
      <c r="BG7" s="22" t="str">
        <f>""</f>
        <v/>
      </c>
    </row>
    <row r="8" spans="2:59" ht="18.75" customHeight="1" x14ac:dyDescent="0.35">
      <c r="B8" s="28"/>
      <c r="C8" s="840"/>
      <c r="D8" s="1597" t="s">
        <v>1419</v>
      </c>
      <c r="E8" s="1597"/>
      <c r="F8" s="1601">
        <f>Selection_ClimateZone</f>
        <v>5</v>
      </c>
      <c r="G8" s="1601"/>
      <c r="H8" s="843" t="s">
        <v>1420</v>
      </c>
      <c r="I8" s="845"/>
      <c r="J8" s="1600"/>
      <c r="K8" s="836"/>
      <c r="L8" s="837"/>
      <c r="M8" s="29"/>
      <c r="AA8" s="22" t="s">
        <v>223</v>
      </c>
      <c r="AC8" s="22" t="s">
        <v>1421</v>
      </c>
      <c r="AD8" s="22" t="s">
        <v>1422</v>
      </c>
      <c r="AI8" s="22" t="str">
        <f>IF(OR(F$7="ACT",F$7="NSW",F$7="SA",F$7="TAS",F$7="VIC",F$7=""),"",3)</f>
        <v/>
      </c>
      <c r="AM8" s="22" t="e">
        <f>VLOOKUP(F7,AV5:AW12,2,FALSE)</f>
        <v>#N/A</v>
      </c>
      <c r="AO8" s="22" t="s">
        <v>230</v>
      </c>
      <c r="AP8" s="22">
        <v>1</v>
      </c>
      <c r="AS8" s="22" t="s">
        <v>230</v>
      </c>
      <c r="AT8" s="22">
        <v>2</v>
      </c>
      <c r="AV8" s="22" t="s">
        <v>230</v>
      </c>
      <c r="AW8" s="22">
        <v>3</v>
      </c>
      <c r="AZ8" s="22" t="s">
        <v>230</v>
      </c>
      <c r="BA8" s="22">
        <v>5</v>
      </c>
      <c r="BC8" s="22" t="s">
        <v>230</v>
      </c>
      <c r="BD8" s="22" t="str">
        <f>""</f>
        <v/>
      </c>
      <c r="BF8" s="22" t="s">
        <v>230</v>
      </c>
      <c r="BG8" s="22" t="str">
        <f>""</f>
        <v/>
      </c>
    </row>
    <row r="9" spans="2:59" ht="18.75" customHeight="1" x14ac:dyDescent="0.35">
      <c r="B9" s="28"/>
      <c r="C9" s="840"/>
      <c r="D9" s="1597" t="s">
        <v>1423</v>
      </c>
      <c r="E9" s="1597"/>
      <c r="F9" s="1599"/>
      <c r="G9" s="1599"/>
      <c r="H9" s="1097" t="s">
        <v>1420</v>
      </c>
      <c r="I9" s="846" t="s">
        <v>92</v>
      </c>
      <c r="J9" s="1602" t="e">
        <f ca="1">IF(W11&gt;10,"Not permitted",(IFERROR(ROUND(S4-K26,1),"")))</f>
        <v>#N/A</v>
      </c>
      <c r="K9" s="1604" t="e">
        <f ca="1">IF(J9&lt;J7,"ü",IF(J9&gt;J7,"û",""))</f>
        <v>#N/A</v>
      </c>
      <c r="L9" s="837"/>
      <c r="M9" s="29"/>
      <c r="N9" s="22" t="s">
        <v>92</v>
      </c>
      <c r="O9" s="22" t="e">
        <f ca="1">ROUND('QA Check'!A21,1)</f>
        <v>#N/A</v>
      </c>
      <c r="P9" s="22" t="e">
        <f ca="1">IF(O9=J9, "OK", "NOT OK")</f>
        <v>#N/A</v>
      </c>
      <c r="W9" s="22" t="s">
        <v>1424</v>
      </c>
      <c r="Y9" s="33" t="s">
        <v>1425</v>
      </c>
      <c r="AA9" s="22" t="s">
        <v>230</v>
      </c>
      <c r="AC9" s="22" t="s">
        <v>1426</v>
      </c>
      <c r="AD9" s="22" t="s">
        <v>1427</v>
      </c>
      <c r="AI9" s="22" t="str">
        <f>IF(OR(F$7="ACT",F$7="TAS",F$7="",F$7="NT",F$7="QLD"),"",4)</f>
        <v/>
      </c>
      <c r="AM9" s="22" t="e">
        <f>VLOOKUP(F7,AZ5:BA12,2,FALSE)</f>
        <v>#N/A</v>
      </c>
      <c r="AO9" s="22" t="s">
        <v>234</v>
      </c>
      <c r="AP9" s="22">
        <v>4</v>
      </c>
      <c r="AS9" s="22" t="s">
        <v>234</v>
      </c>
      <c r="AT9" s="22">
        <v>5</v>
      </c>
      <c r="AV9" s="22" t="s">
        <v>234</v>
      </c>
      <c r="AW9" s="22">
        <v>6</v>
      </c>
      <c r="AZ9" s="22" t="s">
        <v>234</v>
      </c>
      <c r="BA9" s="22" t="str">
        <f>""</f>
        <v/>
      </c>
      <c r="BC9" s="22" t="s">
        <v>234</v>
      </c>
      <c r="BD9" s="22" t="str">
        <f>""</f>
        <v/>
      </c>
      <c r="BF9" s="22" t="s">
        <v>234</v>
      </c>
      <c r="BG9" s="22" t="str">
        <f>""</f>
        <v/>
      </c>
    </row>
    <row r="10" spans="2:59" ht="18.75" customHeight="1" x14ac:dyDescent="0.35">
      <c r="B10" s="28"/>
      <c r="C10" s="840"/>
      <c r="D10" s="1597" t="s">
        <v>1428</v>
      </c>
      <c r="E10" s="1606"/>
      <c r="F10" s="1607"/>
      <c r="G10" s="1608"/>
      <c r="H10" s="842"/>
      <c r="I10" s="846"/>
      <c r="J10" s="1603"/>
      <c r="K10" s="1605"/>
      <c r="L10" s="837"/>
      <c r="M10" s="29"/>
      <c r="S10" s="22" t="s">
        <v>1429</v>
      </c>
      <c r="W10" s="22" t="s">
        <v>1430</v>
      </c>
      <c r="AA10" s="22" t="s">
        <v>234</v>
      </c>
      <c r="AC10" s="22" t="s">
        <v>1418</v>
      </c>
      <c r="AD10" s="22" t="s">
        <v>1431</v>
      </c>
      <c r="AI10" s="22" t="str">
        <f>IF(OR(F$7="ACT",F$7="TAS",F$7="VIC",F$7="",F$7="NT"),"",5)</f>
        <v/>
      </c>
      <c r="AM10" s="22" t="e">
        <f>VLOOKUP(F7,BC5:BD12,2,FALSE)</f>
        <v>#N/A</v>
      </c>
      <c r="AO10" s="22" t="s">
        <v>239</v>
      </c>
      <c r="AP10" s="22">
        <v>7</v>
      </c>
      <c r="AS10" s="22" t="s">
        <v>239</v>
      </c>
      <c r="AT10" s="22">
        <v>8</v>
      </c>
      <c r="AV10" s="22" t="s">
        <v>239</v>
      </c>
      <c r="AW10" s="22" t="str">
        <f>""</f>
        <v/>
      </c>
      <c r="AZ10" s="22" t="s">
        <v>239</v>
      </c>
      <c r="BA10" s="22" t="str">
        <f>""</f>
        <v/>
      </c>
      <c r="BC10" s="22" t="s">
        <v>239</v>
      </c>
      <c r="BD10" s="22" t="str">
        <f>""</f>
        <v/>
      </c>
      <c r="BF10" s="22" t="s">
        <v>239</v>
      </c>
      <c r="BG10" s="22" t="str">
        <f>""</f>
        <v/>
      </c>
    </row>
    <row r="11" spans="2:59" ht="15" customHeight="1" x14ac:dyDescent="0.35">
      <c r="B11" s="28"/>
      <c r="C11" s="840"/>
      <c r="D11" s="839"/>
      <c r="E11" s="839"/>
      <c r="F11" s="839"/>
      <c r="G11" s="839"/>
      <c r="H11" s="844"/>
      <c r="I11" s="839"/>
      <c r="J11" s="839"/>
      <c r="K11" s="836"/>
      <c r="L11" s="837"/>
      <c r="M11" s="29"/>
      <c r="S11" s="34" t="str">
        <f>IF(F10=1,VLOOKUP(S7,R81:U107,4,FALSE),"")</f>
        <v/>
      </c>
      <c r="W11" s="34" t="e">
        <f ca="1">ROUND(VLOOKUP(AD30,INDIRECT(X60&amp;"!C"&amp;Y60&amp;":K"&amp;Z60),AG29,FALSE),2)</f>
        <v>#N/A</v>
      </c>
      <c r="AA11" s="22" t="s">
        <v>239</v>
      </c>
      <c r="AC11" s="22" t="s">
        <v>1422</v>
      </c>
      <c r="AD11" s="22" t="s">
        <v>1432</v>
      </c>
      <c r="AI11" s="22" t="str">
        <f>IF(OR(F$7="ACT",F$7="TAS",F$7="",F$7="NT"),"",6)</f>
        <v/>
      </c>
      <c r="AM11" s="22" t="e">
        <f>VLOOKUP(F7,BF5:BG12,2,FALSE)</f>
        <v>#N/A</v>
      </c>
      <c r="AO11" s="22" t="s">
        <v>241</v>
      </c>
      <c r="AP11" s="22">
        <v>4</v>
      </c>
      <c r="AS11" s="22" t="s">
        <v>241</v>
      </c>
      <c r="AT11" s="22">
        <v>6</v>
      </c>
      <c r="AV11" s="22" t="s">
        <v>241</v>
      </c>
      <c r="AW11" s="22">
        <v>7</v>
      </c>
      <c r="AZ11" s="22" t="s">
        <v>241</v>
      </c>
      <c r="BA11" s="22">
        <v>8</v>
      </c>
      <c r="BC11" s="22" t="s">
        <v>241</v>
      </c>
      <c r="BD11" s="22" t="str">
        <f>""</f>
        <v/>
      </c>
      <c r="BF11" s="22" t="s">
        <v>241</v>
      </c>
      <c r="BG11" s="22" t="str">
        <f>""</f>
        <v/>
      </c>
    </row>
    <row r="12" spans="2:59" ht="22.75" customHeight="1" x14ac:dyDescent="0.3">
      <c r="C12" s="1618" t="s">
        <v>1433</v>
      </c>
      <c r="D12" s="1619"/>
      <c r="E12" s="1619"/>
      <c r="F12" s="1619"/>
      <c r="G12" s="1619"/>
      <c r="H12" s="1619"/>
      <c r="I12" s="1619"/>
      <c r="J12" s="1619"/>
      <c r="K12" s="1619"/>
      <c r="L12" s="1620"/>
      <c r="AA12" s="22" t="s">
        <v>241</v>
      </c>
      <c r="AC12" s="22" t="s">
        <v>1434</v>
      </c>
      <c r="AD12" s="22" t="s">
        <v>1435</v>
      </c>
      <c r="AI12" s="22" t="str">
        <f>IF(OR(F$7="NSW",F$7="SA",F$7="",F$7="NT",F$7="WA",F$7="QLD"),"",7)</f>
        <v/>
      </c>
      <c r="AO12" s="22" t="s">
        <v>243</v>
      </c>
      <c r="AP12" s="22">
        <v>1</v>
      </c>
      <c r="AS12" s="22" t="s">
        <v>243</v>
      </c>
      <c r="AT12" s="22">
        <v>3</v>
      </c>
      <c r="AV12" s="22" t="s">
        <v>243</v>
      </c>
      <c r="AW12" s="22">
        <v>4</v>
      </c>
      <c r="AZ12" s="22" t="s">
        <v>243</v>
      </c>
      <c r="BA12" s="22">
        <v>5</v>
      </c>
      <c r="BC12" s="22" t="s">
        <v>243</v>
      </c>
      <c r="BD12" s="22">
        <v>6</v>
      </c>
      <c r="BF12" s="22" t="s">
        <v>243</v>
      </c>
      <c r="BG12" s="22" t="str">
        <f>""</f>
        <v/>
      </c>
    </row>
    <row r="13" spans="2:59" ht="22.75" customHeight="1" x14ac:dyDescent="0.3">
      <c r="C13" s="1621" t="s">
        <v>1436</v>
      </c>
      <c r="D13" s="1622"/>
      <c r="E13" s="1622"/>
      <c r="F13" s="1622"/>
      <c r="G13" s="1622"/>
      <c r="H13" s="1622"/>
      <c r="I13" s="1622" t="s">
        <v>93</v>
      </c>
      <c r="J13" s="1622"/>
      <c r="K13" s="1622"/>
      <c r="L13" s="1623"/>
      <c r="AA13" s="22" t="s">
        <v>243</v>
      </c>
      <c r="AC13" s="22" t="s">
        <v>1437</v>
      </c>
      <c r="AD13" s="22" t="s">
        <v>1438</v>
      </c>
      <c r="AI13" s="22" t="str">
        <f>IF(OR(F$7="ACT",F$7="SA",F$7="",F$7="NT",F$7="WA",F$7="QLD"),"",8)</f>
        <v/>
      </c>
    </row>
    <row r="14" spans="2:59" ht="18.75" customHeight="1" thickBot="1" x14ac:dyDescent="0.4">
      <c r="B14" s="28"/>
      <c r="C14" s="840"/>
      <c r="D14" s="836"/>
      <c r="E14" s="836"/>
      <c r="F14" s="836"/>
      <c r="G14" s="836"/>
      <c r="H14" s="836"/>
      <c r="I14" s="1209"/>
      <c r="J14" s="839"/>
      <c r="K14" s="839"/>
      <c r="L14" s="849"/>
      <c r="M14" s="29"/>
      <c r="S14" s="22" t="s">
        <v>1439</v>
      </c>
      <c r="T14" s="22" t="s">
        <v>1440</v>
      </c>
      <c r="AC14" s="22" t="s">
        <v>1441</v>
      </c>
      <c r="AD14" s="22" t="s">
        <v>1442</v>
      </c>
      <c r="AF14" s="33" t="s">
        <v>1443</v>
      </c>
      <c r="AM14" s="22">
        <f>COUNT(AM6:AM12)</f>
        <v>0</v>
      </c>
    </row>
    <row r="15" spans="2:59" ht="18.75" customHeight="1" thickBot="1" x14ac:dyDescent="0.4">
      <c r="B15" s="28"/>
      <c r="C15" s="836"/>
      <c r="D15" s="839"/>
      <c r="E15" s="839"/>
      <c r="F15" s="847" t="s">
        <v>1444</v>
      </c>
      <c r="G15" s="1624"/>
      <c r="H15" s="1625"/>
      <c r="I15" s="1210"/>
      <c r="J15" s="836"/>
      <c r="K15" s="836"/>
      <c r="L15" s="836"/>
      <c r="M15" s="29"/>
      <c r="S15" s="35">
        <f>IF(F9&lt;50,0.0123,IF(F9&gt;=500,0.0075,VLOOKUP(FLOOR(F9,10),S28:U72,3,FALSE)))</f>
        <v>1.23E-2</v>
      </c>
      <c r="T15" s="35">
        <f>S15*F9</f>
        <v>0</v>
      </c>
      <c r="AC15" s="22" t="s">
        <v>1427</v>
      </c>
      <c r="AD15" s="22" t="s">
        <v>1445</v>
      </c>
      <c r="AM15" s="22">
        <f>5+AM14</f>
        <v>5</v>
      </c>
    </row>
    <row r="16" spans="2:59" ht="18.75" customHeight="1" x14ac:dyDescent="0.3">
      <c r="B16" s="28"/>
      <c r="C16" s="836"/>
      <c r="D16" s="836"/>
      <c r="E16" s="836"/>
      <c r="F16" s="836"/>
      <c r="G16" s="836"/>
      <c r="H16" s="836"/>
      <c r="I16" s="1210"/>
      <c r="J16" s="836"/>
      <c r="K16" s="836"/>
      <c r="L16" s="836"/>
      <c r="M16" s="29"/>
      <c r="O16" s="36" t="s">
        <v>1446</v>
      </c>
      <c r="P16" s="37"/>
      <c r="AD16" s="22" t="s">
        <v>1447</v>
      </c>
    </row>
    <row r="17" spans="1:62" ht="29.25" customHeight="1" thickBot="1" x14ac:dyDescent="0.35">
      <c r="B17" s="28"/>
      <c r="C17" s="836"/>
      <c r="D17" s="836"/>
      <c r="E17" s="1626" t="s">
        <v>40</v>
      </c>
      <c r="F17" s="1626"/>
      <c r="G17" s="836" t="str">
        <f>IF(E18=AC8,"Star Rating",IF(E18=AC9,"Star Rating",IF(E18=AC10,N74,IF(E18=AC11,N74,""))))</f>
        <v/>
      </c>
      <c r="H17" s="836"/>
      <c r="I17" s="1210"/>
      <c r="J17" s="836"/>
      <c r="K17" s="836"/>
      <c r="L17" s="836"/>
      <c r="M17" s="29"/>
      <c r="O17" s="38" t="str">
        <f>Z29</f>
        <v/>
      </c>
      <c r="P17" s="39"/>
      <c r="S17" s="22" t="s">
        <v>1448</v>
      </c>
      <c r="U17" s="22" t="s">
        <v>1449</v>
      </c>
      <c r="V17" s="22" t="s">
        <v>1450</v>
      </c>
      <c r="X17" s="22" t="s">
        <v>1451</v>
      </c>
      <c r="AD17" s="22" t="s">
        <v>1452</v>
      </c>
    </row>
    <row r="18" spans="1:62" ht="18.75" customHeight="1" thickBot="1" x14ac:dyDescent="0.4">
      <c r="B18" s="28"/>
      <c r="C18" s="840"/>
      <c r="D18" s="1609" t="s">
        <v>1453</v>
      </c>
      <c r="E18" s="1610"/>
      <c r="F18" s="1611"/>
      <c r="G18" s="1614"/>
      <c r="H18" s="850" t="str">
        <f>IF(Y29="Error", "&lt;Re-select!","")</f>
        <v/>
      </c>
      <c r="I18" s="1209"/>
      <c r="J18" s="847" t="s">
        <v>1454</v>
      </c>
      <c r="K18" s="1433"/>
      <c r="L18" s="849"/>
      <c r="M18" s="29"/>
      <c r="O18" s="38"/>
      <c r="P18" s="39"/>
      <c r="S18" s="35">
        <f>IF(K19="",0,K18/1000*X18)</f>
        <v>0</v>
      </c>
      <c r="U18" s="40" t="e">
        <f>HLOOKUP(F7,T111:AA112,2,FALSE)</f>
        <v>#N/A</v>
      </c>
      <c r="V18" s="40">
        <f>K19</f>
        <v>0</v>
      </c>
      <c r="X18" s="40" t="e">
        <f>VLOOKUP(V18,S117:AA135,U18,FALSE)</f>
        <v>#N/A</v>
      </c>
    </row>
    <row r="19" spans="1:62" ht="29.25" customHeight="1" thickBot="1" x14ac:dyDescent="0.4">
      <c r="B19" s="28"/>
      <c r="C19" s="840"/>
      <c r="D19" s="1609"/>
      <c r="E19" s="1612"/>
      <c r="F19" s="1613"/>
      <c r="G19" s="1615"/>
      <c r="H19" s="1097" t="s">
        <v>1420</v>
      </c>
      <c r="I19" s="1616" t="s">
        <v>1455</v>
      </c>
      <c r="J19" s="1617"/>
      <c r="K19" s="1599"/>
      <c r="L19" s="849"/>
      <c r="M19" s="29"/>
      <c r="O19" s="915" t="e">
        <f ca="1">Z30</f>
        <v>#N/A</v>
      </c>
      <c r="P19" s="916"/>
    </row>
    <row r="20" spans="1:62" ht="24.75" customHeight="1" thickBot="1" x14ac:dyDescent="0.4">
      <c r="B20" s="28"/>
      <c r="C20" s="840"/>
      <c r="D20" s="852"/>
      <c r="E20" s="1626" t="s">
        <v>40</v>
      </c>
      <c r="F20" s="1626"/>
      <c r="G20" s="836" t="str">
        <f>IF(E21=AD6,"",IF(E21=AD7,N75,IF(E21=AD8,N75,"")))</f>
        <v/>
      </c>
      <c r="H20" s="836"/>
      <c r="I20" s="1616"/>
      <c r="J20" s="1617"/>
      <c r="K20" s="1599"/>
      <c r="L20" s="849"/>
      <c r="M20" s="29"/>
      <c r="S20" s="22" t="s">
        <v>1456</v>
      </c>
    </row>
    <row r="21" spans="1:62" ht="22.5" customHeight="1" thickBot="1" x14ac:dyDescent="0.4">
      <c r="B21" s="28"/>
      <c r="C21" s="840"/>
      <c r="D21" s="1633" t="s">
        <v>1457</v>
      </c>
      <c r="E21" s="1610"/>
      <c r="F21" s="1611"/>
      <c r="G21" s="1614"/>
      <c r="H21" s="851" t="e">
        <f ca="1">IF(Y30="Error", "&lt;Re-select!","")</f>
        <v>#N/A</v>
      </c>
      <c r="I21" s="839"/>
      <c r="J21" s="839"/>
      <c r="K21" s="839"/>
      <c r="L21" s="849"/>
      <c r="M21" s="29"/>
      <c r="N21" s="30"/>
      <c r="O21" s="30"/>
      <c r="S21" s="35" t="e">
        <f>K22*T21/100</f>
        <v>#N/A</v>
      </c>
      <c r="T21" s="22" t="e">
        <f>HLOOKUP(F7,T141:AA142,2,FALSE)</f>
        <v>#N/A</v>
      </c>
    </row>
    <row r="22" spans="1:62" ht="21.75" customHeight="1" x14ac:dyDescent="0.35">
      <c r="B22" s="28"/>
      <c r="C22" s="840"/>
      <c r="D22" s="1633"/>
      <c r="E22" s="1612"/>
      <c r="F22" s="1613"/>
      <c r="G22" s="1615"/>
      <c r="H22" s="1097" t="s">
        <v>1420</v>
      </c>
      <c r="I22" s="839"/>
      <c r="J22" s="848" t="s">
        <v>1458</v>
      </c>
      <c r="K22" s="1433"/>
      <c r="L22" s="849"/>
      <c r="M22" s="29"/>
    </row>
    <row r="23" spans="1:62" ht="15" customHeight="1" x14ac:dyDescent="0.35">
      <c r="C23" s="840"/>
      <c r="D23" s="839"/>
      <c r="E23" s="839"/>
      <c r="F23" s="839"/>
      <c r="G23" s="839"/>
      <c r="H23" s="842"/>
      <c r="I23" s="839"/>
      <c r="J23" s="839"/>
      <c r="K23" s="839"/>
      <c r="L23" s="849"/>
      <c r="M23" s="29"/>
      <c r="N23" s="41"/>
      <c r="P23" s="30"/>
      <c r="Q23" s="30"/>
      <c r="Z23" s="33" t="s">
        <v>1459</v>
      </c>
      <c r="AA23" s="33"/>
      <c r="AB23" s="33"/>
      <c r="AC23" s="33"/>
    </row>
    <row r="24" spans="1:62" ht="17.5" customHeight="1" x14ac:dyDescent="0.3">
      <c r="C24" s="1634" t="s">
        <v>94</v>
      </c>
      <c r="D24" s="1635"/>
      <c r="E24" s="1635"/>
      <c r="F24" s="1635"/>
      <c r="G24" s="1635"/>
      <c r="H24" s="1636"/>
      <c r="I24" s="1637" t="s">
        <v>96</v>
      </c>
      <c r="J24" s="1635"/>
      <c r="K24" s="1635"/>
      <c r="L24" s="1638"/>
      <c r="M24" s="29"/>
      <c r="N24" s="41"/>
      <c r="O24" s="42"/>
    </row>
    <row r="25" spans="1:62" ht="15" customHeight="1" thickBot="1" x14ac:dyDescent="0.4">
      <c r="C25" s="840"/>
      <c r="D25" s="839"/>
      <c r="E25" s="839"/>
      <c r="F25" s="839"/>
      <c r="G25" s="839"/>
      <c r="H25" s="842"/>
      <c r="I25" s="1209"/>
      <c r="J25" s="839"/>
      <c r="K25" s="839"/>
      <c r="L25" s="849"/>
      <c r="M25" s="29"/>
      <c r="N25" s="41"/>
      <c r="O25" s="42"/>
      <c r="P25" s="43"/>
    </row>
    <row r="26" spans="1:62" ht="15" customHeight="1" thickTop="1" thickBot="1" x14ac:dyDescent="0.4">
      <c r="C26" s="840"/>
      <c r="D26" s="836"/>
      <c r="E26" s="853"/>
      <c r="F26" s="1639"/>
      <c r="G26" s="1640"/>
      <c r="H26" s="842"/>
      <c r="I26" s="836"/>
      <c r="J26" s="853"/>
      <c r="K26" s="1614"/>
      <c r="L26" s="849"/>
      <c r="N26" s="44"/>
      <c r="O26" s="42"/>
      <c r="P26" s="43"/>
      <c r="T26" s="45" t="s">
        <v>1460</v>
      </c>
      <c r="U26" s="46" t="s">
        <v>1461</v>
      </c>
      <c r="Y26" s="22" t="b">
        <f>OR(E18=Y50,E18=Y51,E18=Y52,E18=Y53)</f>
        <v>0</v>
      </c>
    </row>
    <row r="27" spans="1:62" ht="16.5" customHeight="1" thickBot="1" x14ac:dyDescent="0.4">
      <c r="C27" s="840"/>
      <c r="D27" s="1609" t="s">
        <v>95</v>
      </c>
      <c r="E27" s="1633"/>
      <c r="F27" s="1641"/>
      <c r="G27" s="1642"/>
      <c r="H27" s="842"/>
      <c r="I27" s="1646" t="s">
        <v>1462</v>
      </c>
      <c r="J27" s="1633"/>
      <c r="K27" s="1645"/>
      <c r="L27" s="849"/>
      <c r="T27" s="47" t="s">
        <v>1463</v>
      </c>
      <c r="U27" s="829">
        <v>1.23E-2</v>
      </c>
      <c r="Y27" s="22" t="b">
        <f>OR(E21=AD33,E21=AD42)</f>
        <v>0</v>
      </c>
      <c r="AL27" s="48"/>
      <c r="AM27" s="48"/>
      <c r="AN27" s="48"/>
      <c r="AO27" s="48"/>
      <c r="AP27" s="48"/>
      <c r="AQ27" s="48"/>
    </row>
    <row r="28" spans="1:62" s="49" customFormat="1" ht="15" customHeight="1" thickBot="1" x14ac:dyDescent="0.4">
      <c r="A28" s="44"/>
      <c r="C28" s="840"/>
      <c r="D28" s="854"/>
      <c r="E28" s="853"/>
      <c r="F28" s="1643"/>
      <c r="G28" s="1644"/>
      <c r="H28" s="842"/>
      <c r="I28" s="1211"/>
      <c r="J28" s="853"/>
      <c r="K28" s="1615"/>
      <c r="L28" s="849"/>
      <c r="M28" s="20"/>
      <c r="N28" s="44"/>
      <c r="O28" s="44"/>
      <c r="P28" s="44"/>
      <c r="Q28" s="44"/>
      <c r="R28" s="44"/>
      <c r="S28" s="44">
        <v>50</v>
      </c>
      <c r="T28" s="47" t="s">
        <v>1464</v>
      </c>
      <c r="U28" s="829">
        <v>1.1900000000000001E-2</v>
      </c>
      <c r="V28" s="44"/>
      <c r="W28" s="44"/>
      <c r="X28" s="44"/>
      <c r="Y28" s="44"/>
      <c r="Z28" s="44"/>
      <c r="AA28" s="44"/>
      <c r="AB28" s="44"/>
      <c r="AC28" s="44"/>
      <c r="AD28" s="44"/>
      <c r="AE28" s="44"/>
      <c r="AF28" s="44"/>
      <c r="AG28" s="44"/>
      <c r="AH28" s="44"/>
      <c r="AI28" s="44"/>
      <c r="AJ28" s="44"/>
      <c r="AK28" s="44"/>
      <c r="AL28" s="44"/>
      <c r="AM28" s="44"/>
      <c r="AN28" s="44"/>
      <c r="AO28" s="44"/>
      <c r="AP28" s="44"/>
      <c r="AQ28" s="44"/>
      <c r="AR28" s="44"/>
      <c r="AS28" s="44"/>
      <c r="AT28" s="44"/>
      <c r="AU28" s="44"/>
      <c r="AV28" s="44"/>
      <c r="AW28" s="44"/>
      <c r="AX28" s="44"/>
      <c r="AY28" s="44"/>
      <c r="AZ28" s="44"/>
      <c r="BA28" s="44"/>
      <c r="BB28" s="44"/>
      <c r="BC28" s="44"/>
      <c r="BD28" s="44"/>
      <c r="BE28" s="44"/>
      <c r="BF28" s="44"/>
      <c r="BG28" s="44"/>
      <c r="BH28" s="44"/>
      <c r="BI28" s="44"/>
      <c r="BJ28" s="44"/>
    </row>
    <row r="29" spans="1:62" s="49" customFormat="1" ht="15" customHeight="1" thickBot="1" x14ac:dyDescent="0.4">
      <c r="A29" s="44"/>
      <c r="C29" s="855"/>
      <c r="D29" s="1434"/>
      <c r="E29" s="1434"/>
      <c r="F29" s="1434"/>
      <c r="G29" s="1434"/>
      <c r="H29" s="844"/>
      <c r="I29" s="856"/>
      <c r="J29" s="1434"/>
      <c r="K29" s="1434"/>
      <c r="L29" s="857"/>
      <c r="M29" s="20"/>
      <c r="N29" s="44"/>
      <c r="O29" s="44"/>
      <c r="P29" s="44"/>
      <c r="Q29" s="44"/>
      <c r="R29" s="44"/>
      <c r="S29" s="44">
        <v>60</v>
      </c>
      <c r="T29" s="47" t="s">
        <v>1465</v>
      </c>
      <c r="U29" s="829">
        <v>1.1599999999999999E-2</v>
      </c>
      <c r="V29" s="44"/>
      <c r="W29" s="44"/>
      <c r="X29" s="44"/>
      <c r="Y29" s="50" t="str">
        <f>IF(E18="Wood Heater","",IF(E18="Other or not specified","",IF(E18="Panel Electric Resistance","",IF(E18="Slab Electric Resistance","",IF(OR(E18="Ducted Gas",E18="Unducted Gas",E18="Non-ducted gas"),IF(G18=P33,"&lt;3",IF(G18=P34,"&lt;4.5",IF(G18=P35,"&lt;6",IF(G18=P36,"&gt;6","Error")))),IF(G18=0,"",IF(G18=P67,"&lt;2.25",IF(G18=P68,"&lt;3",IF(G18=P69,"&lt;3.75",IF(G18=P70,"&gt;3.75","Error"))))))))))</f>
        <v/>
      </c>
      <c r="Z29" s="50" t="str">
        <f>IF(F8=1,Y33,((CONCATENATE(E18,Y29))))</f>
        <v/>
      </c>
      <c r="AA29" s="44"/>
      <c r="AB29" s="44"/>
      <c r="AC29" s="44"/>
      <c r="AD29" s="44" t="e">
        <f>VLOOKUP(Z29,Y33:Z56,2)</f>
        <v>#N/A</v>
      </c>
      <c r="AE29" s="44"/>
      <c r="AF29" s="44"/>
      <c r="AG29" s="50" t="e">
        <f>VLOOKUP(F26,AD45:AE52,2,FALSE)</f>
        <v>#N/A</v>
      </c>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c r="BG29" s="44"/>
      <c r="BH29" s="44"/>
      <c r="BI29" s="44"/>
      <c r="BJ29" s="44"/>
    </row>
    <row r="30" spans="1:62" s="49" customFormat="1" ht="15" customHeight="1" thickBot="1" x14ac:dyDescent="0.4">
      <c r="A30" s="44"/>
      <c r="C30" s="1647" t="s">
        <v>1466</v>
      </c>
      <c r="D30" s="1648"/>
      <c r="E30" s="1648"/>
      <c r="F30" s="1648"/>
      <c r="G30" s="1648"/>
      <c r="H30" s="1648"/>
      <c r="I30" s="1648"/>
      <c r="J30" s="1648"/>
      <c r="K30" s="1648"/>
      <c r="L30" s="1649"/>
      <c r="M30" s="20"/>
      <c r="N30" s="44"/>
      <c r="O30" s="44"/>
      <c r="P30" s="44"/>
      <c r="Q30" s="44"/>
      <c r="R30" s="44"/>
      <c r="S30" s="44">
        <v>70</v>
      </c>
      <c r="T30" s="47" t="s">
        <v>1467</v>
      </c>
      <c r="U30" s="829">
        <v>1.1299999999999999E-2</v>
      </c>
      <c r="V30" s="44"/>
      <c r="W30" s="44"/>
      <c r="X30" s="44"/>
      <c r="Y30" s="50" t="e">
        <f ca="1">IF(E21="Evaporative","",IF(E21="Other or not specified","",IF(G21=P51,"&lt;2.25",IF(G21=P52,"&lt;3",IF(G21=P53,"&lt;3.75",IF(G21=P54,"&gt;3.75","Error"))))))</f>
        <v>#N/A</v>
      </c>
      <c r="Z30" s="50" t="e">
        <f ca="1">CONCATENATE(E21,Y30)</f>
        <v>#N/A</v>
      </c>
      <c r="AA30" s="44"/>
      <c r="AB30" s="44"/>
      <c r="AC30" s="44"/>
      <c r="AD30" s="44" t="e">
        <f ca="1">VLOOKUP(Z30,AD33:AF42,3,FALSE)</f>
        <v>#N/A</v>
      </c>
      <c r="AE30" s="44"/>
      <c r="AF30" s="44"/>
      <c r="AG30" s="44"/>
      <c r="AH30" s="44"/>
      <c r="AI30" s="44"/>
      <c r="AJ30" s="44"/>
      <c r="AK30" s="44"/>
      <c r="AL30" s="44"/>
      <c r="AM30" s="44"/>
      <c r="AN30" s="44"/>
      <c r="AO30" s="44"/>
      <c r="AP30" s="44"/>
      <c r="AQ30" s="44"/>
      <c r="AR30" s="44"/>
      <c r="AS30" s="44"/>
      <c r="AT30" s="44"/>
      <c r="AU30" s="44"/>
      <c r="AV30" s="44"/>
      <c r="AW30" s="44"/>
      <c r="AX30" s="44"/>
      <c r="AY30" s="44"/>
      <c r="AZ30" s="44"/>
      <c r="BA30" s="44"/>
      <c r="BB30" s="44"/>
      <c r="BC30" s="44"/>
      <c r="BD30" s="44"/>
      <c r="BE30" s="44"/>
      <c r="BF30" s="44"/>
      <c r="BG30" s="44"/>
      <c r="BH30" s="44"/>
      <c r="BI30" s="44"/>
      <c r="BJ30" s="44"/>
    </row>
    <row r="31" spans="1:62" ht="15" customHeight="1" thickBot="1" x14ac:dyDescent="0.35">
      <c r="C31" s="1627" t="s">
        <v>1468</v>
      </c>
      <c r="D31" s="1628"/>
      <c r="E31" s="1628"/>
      <c r="F31" s="1628"/>
      <c r="G31" s="1628"/>
      <c r="H31" s="1628"/>
      <c r="I31" s="1628"/>
      <c r="J31" s="1628"/>
      <c r="K31" s="1628"/>
      <c r="L31" s="1629"/>
      <c r="M31" s="49"/>
      <c r="S31" s="22">
        <v>80</v>
      </c>
      <c r="T31" s="51" t="s">
        <v>1469</v>
      </c>
      <c r="U31" s="917">
        <v>1.11E-2</v>
      </c>
      <c r="V31" s="31" t="s">
        <v>1470</v>
      </c>
    </row>
    <row r="32" spans="1:62" ht="36" customHeight="1" thickBot="1" x14ac:dyDescent="0.35">
      <c r="C32" s="1627" t="s">
        <v>1471</v>
      </c>
      <c r="D32" s="1628"/>
      <c r="E32" s="1628"/>
      <c r="F32" s="1628"/>
      <c r="G32" s="1628"/>
      <c r="H32" s="1628"/>
      <c r="I32" s="1628"/>
      <c r="J32" s="1628"/>
      <c r="K32" s="1628"/>
      <c r="L32" s="1629"/>
      <c r="M32" s="49"/>
      <c r="P32" s="1435" t="s">
        <v>1472</v>
      </c>
      <c r="Q32" s="1435" t="s">
        <v>1473</v>
      </c>
      <c r="S32" s="22">
        <v>90</v>
      </c>
      <c r="T32" s="47" t="s">
        <v>1474</v>
      </c>
      <c r="U32" s="829">
        <v>1.0800000000000001E-2</v>
      </c>
    </row>
    <row r="33" spans="3:43" ht="14.5" thickBot="1" x14ac:dyDescent="0.35">
      <c r="C33" s="1630"/>
      <c r="D33" s="1631"/>
      <c r="E33" s="1631"/>
      <c r="F33" s="1631"/>
      <c r="G33" s="1631"/>
      <c r="H33" s="1631"/>
      <c r="I33" s="1631"/>
      <c r="J33" s="1631"/>
      <c r="K33" s="1631"/>
      <c r="L33" s="1632"/>
      <c r="M33" s="49"/>
      <c r="P33" s="1436" t="s">
        <v>1475</v>
      </c>
      <c r="Q33" s="1436" t="s">
        <v>1476</v>
      </c>
      <c r="S33" s="22">
        <v>100</v>
      </c>
      <c r="T33" s="47" t="s">
        <v>1477</v>
      </c>
      <c r="U33" s="829">
        <v>1.06E-2</v>
      </c>
      <c r="Y33" s="22" t="s">
        <v>1478</v>
      </c>
      <c r="Z33" s="22">
        <v>6</v>
      </c>
      <c r="AD33" s="52" t="s">
        <v>1416</v>
      </c>
      <c r="AE33" s="22">
        <v>0</v>
      </c>
      <c r="AF33" s="52" t="s">
        <v>1416</v>
      </c>
    </row>
    <row r="34" spans="3:43" ht="25.5" customHeight="1" thickBot="1" x14ac:dyDescent="0.35">
      <c r="C34" s="830"/>
      <c r="D34" s="830"/>
      <c r="E34" s="830"/>
      <c r="F34" s="830"/>
      <c r="G34" s="830"/>
      <c r="H34" s="830"/>
      <c r="I34" s="830"/>
      <c r="J34" s="830"/>
      <c r="K34" s="830"/>
      <c r="L34" s="830"/>
      <c r="P34" s="1436" t="s">
        <v>1479</v>
      </c>
      <c r="Q34" s="1436" t="s">
        <v>1480</v>
      </c>
      <c r="S34" s="22">
        <v>110</v>
      </c>
      <c r="T34" s="47" t="s">
        <v>1481</v>
      </c>
      <c r="U34" s="829">
        <v>1.0500000000000001E-2</v>
      </c>
      <c r="Y34" s="22" t="s">
        <v>1478</v>
      </c>
      <c r="Z34" s="22">
        <v>6</v>
      </c>
      <c r="AD34" s="53" t="s">
        <v>1482</v>
      </c>
      <c r="AE34" s="22">
        <v>1</v>
      </c>
      <c r="AF34" s="53" t="s">
        <v>1483</v>
      </c>
    </row>
    <row r="35" spans="3:43" ht="106.5" customHeight="1" thickBot="1" x14ac:dyDescent="0.35">
      <c r="C35" s="831"/>
      <c r="D35" s="831"/>
      <c r="E35" s="831"/>
      <c r="F35" s="831"/>
      <c r="G35" s="831"/>
      <c r="H35" s="831"/>
      <c r="I35" s="831"/>
      <c r="J35" s="831"/>
      <c r="K35" s="831"/>
      <c r="L35" s="831"/>
      <c r="P35" s="1436" t="s">
        <v>1484</v>
      </c>
      <c r="Q35" s="1436" t="s">
        <v>1485</v>
      </c>
      <c r="S35" s="22">
        <v>120</v>
      </c>
      <c r="T35" s="47" t="s">
        <v>1486</v>
      </c>
      <c r="U35" s="829">
        <v>1.03E-2</v>
      </c>
      <c r="Y35" s="22" t="s">
        <v>1487</v>
      </c>
      <c r="Z35" s="22">
        <v>16</v>
      </c>
      <c r="AD35" s="53" t="s">
        <v>1488</v>
      </c>
      <c r="AE35" s="22">
        <v>2</v>
      </c>
      <c r="AF35" s="53" t="s">
        <v>1489</v>
      </c>
    </row>
    <row r="36" spans="3:43" ht="49.75" customHeight="1" thickBot="1" x14ac:dyDescent="0.35">
      <c r="C36" s="1591" t="s">
        <v>1490</v>
      </c>
      <c r="D36" s="1591"/>
      <c r="E36" s="831"/>
      <c r="F36" s="831"/>
      <c r="G36" s="831"/>
      <c r="H36" s="831"/>
      <c r="I36" s="831"/>
      <c r="J36" s="831"/>
      <c r="K36" s="831"/>
      <c r="L36" s="831"/>
      <c r="P36" s="1436" t="s">
        <v>1491</v>
      </c>
      <c r="Q36" s="1436" t="s">
        <v>1492</v>
      </c>
      <c r="S36" s="22">
        <v>130</v>
      </c>
      <c r="T36" s="47" t="s">
        <v>1493</v>
      </c>
      <c r="U36" s="829">
        <v>1.01E-2</v>
      </c>
      <c r="Y36" s="22" t="s">
        <v>1494</v>
      </c>
      <c r="Z36" s="22">
        <v>26</v>
      </c>
      <c r="AD36" s="53" t="s">
        <v>1495</v>
      </c>
      <c r="AE36" s="22">
        <v>3</v>
      </c>
      <c r="AF36" s="53" t="s">
        <v>1496</v>
      </c>
    </row>
    <row r="37" spans="3:43" ht="51.75" customHeight="1" thickBot="1" x14ac:dyDescent="0.35">
      <c r="I37" s="54"/>
      <c r="J37" s="54"/>
      <c r="S37" s="22">
        <v>140</v>
      </c>
      <c r="T37" s="47" t="s">
        <v>1497</v>
      </c>
      <c r="U37" s="829">
        <v>0.01</v>
      </c>
      <c r="Y37" s="22" t="s">
        <v>1498</v>
      </c>
      <c r="Z37" s="22">
        <v>36</v>
      </c>
      <c r="AD37" s="53" t="s">
        <v>1499</v>
      </c>
      <c r="AE37" s="22">
        <v>4</v>
      </c>
      <c r="AF37" s="53" t="s">
        <v>1500</v>
      </c>
    </row>
    <row r="38" spans="3:43" ht="15" customHeight="1" thickBot="1" x14ac:dyDescent="0.35">
      <c r="G38" s="55"/>
      <c r="S38" s="22">
        <v>150</v>
      </c>
      <c r="T38" s="56" t="s">
        <v>1501</v>
      </c>
      <c r="U38" s="57">
        <v>9.9000000000000008E-3</v>
      </c>
      <c r="Y38" s="22" t="s">
        <v>1502</v>
      </c>
      <c r="Z38" s="22">
        <v>46</v>
      </c>
      <c r="AD38" s="53" t="s">
        <v>1503</v>
      </c>
      <c r="AE38" s="22">
        <v>5</v>
      </c>
      <c r="AF38" s="53" t="s">
        <v>1504</v>
      </c>
      <c r="AP38" s="58"/>
      <c r="AQ38" s="58"/>
    </row>
    <row r="39" spans="3:43" ht="15.65" customHeight="1" thickTop="1" thickBot="1" x14ac:dyDescent="0.35">
      <c r="S39" s="22">
        <v>160</v>
      </c>
      <c r="T39" s="918" t="s">
        <v>1505</v>
      </c>
      <c r="U39" s="829">
        <v>9.7000000000000003E-3</v>
      </c>
      <c r="Y39" s="22" t="s">
        <v>1506</v>
      </c>
      <c r="Z39" s="22">
        <v>56</v>
      </c>
      <c r="AD39" s="53" t="s">
        <v>1507</v>
      </c>
      <c r="AE39" s="22">
        <v>6</v>
      </c>
      <c r="AF39" s="53" t="s">
        <v>1508</v>
      </c>
    </row>
    <row r="40" spans="3:43" ht="15" customHeight="1" thickBot="1" x14ac:dyDescent="0.35">
      <c r="P40" s="22" t="s">
        <v>1509</v>
      </c>
      <c r="S40" s="22">
        <v>170</v>
      </c>
      <c r="T40" s="918" t="s">
        <v>1510</v>
      </c>
      <c r="U40" s="829">
        <v>9.5999999999999992E-3</v>
      </c>
      <c r="Y40" s="22" t="s">
        <v>1511</v>
      </c>
      <c r="Z40" s="22">
        <v>66</v>
      </c>
      <c r="AD40" s="53" t="s">
        <v>1512</v>
      </c>
      <c r="AE40" s="22">
        <v>7</v>
      </c>
      <c r="AF40" s="53" t="s">
        <v>1513</v>
      </c>
    </row>
    <row r="41" spans="3:43" ht="14.5" thickBot="1" x14ac:dyDescent="0.35">
      <c r="O41" s="31"/>
      <c r="P41" s="22" t="str">
        <f>IF(OR($E$18="Ducted heat pump",$E$18="Non-ducted heat pump"),$P67,IF(OR($E$18="Ducted gas",$E$18="Non-ducted gas"),$P33,"NA"))</f>
        <v>NA</v>
      </c>
      <c r="S41" s="22">
        <v>180</v>
      </c>
      <c r="T41" s="918" t="s">
        <v>1514</v>
      </c>
      <c r="U41" s="829">
        <v>9.4999999999999998E-3</v>
      </c>
      <c r="Y41" s="22" t="s">
        <v>1515</v>
      </c>
      <c r="Z41" s="22">
        <v>76</v>
      </c>
      <c r="AD41" s="53" t="s">
        <v>1516</v>
      </c>
      <c r="AE41" s="22">
        <v>8</v>
      </c>
      <c r="AF41" s="53" t="s">
        <v>1517</v>
      </c>
    </row>
    <row r="42" spans="3:43" ht="14.5" thickBot="1" x14ac:dyDescent="0.35">
      <c r="P42" s="22" t="str">
        <f>IF(OR($E$18="Ducted heat pump",$E$18="Non-ducted heat pump"),$P68,IF(OR($E$18="Ducted gas",$E$18="Non-ducted gas"),$P34,"NA"))</f>
        <v>NA</v>
      </c>
      <c r="S42" s="22">
        <v>190</v>
      </c>
      <c r="T42" s="918" t="s">
        <v>1518</v>
      </c>
      <c r="U42" s="829">
        <v>9.4000000000000004E-3</v>
      </c>
      <c r="Y42" s="22" t="s">
        <v>1482</v>
      </c>
      <c r="Z42" s="22">
        <v>92</v>
      </c>
      <c r="AD42" s="59" t="s">
        <v>1427</v>
      </c>
      <c r="AE42" s="22">
        <v>9</v>
      </c>
      <c r="AF42" s="59" t="s">
        <v>1519</v>
      </c>
    </row>
    <row r="43" spans="3:43" ht="14.5" thickBot="1" x14ac:dyDescent="0.35">
      <c r="P43" s="22" t="str">
        <f>IF(OR($E$18="Ducted heat pump",$E$18="Non-ducted heat pump"),$P69,IF(OR($E$18="Ducted gas",$E$18="Non-ducted gas"),$P35,"NA"))</f>
        <v>NA</v>
      </c>
      <c r="S43" s="22">
        <v>200</v>
      </c>
      <c r="T43" s="918" t="s">
        <v>1520</v>
      </c>
      <c r="U43" s="829">
        <v>9.2999999999999992E-3</v>
      </c>
      <c r="Y43" s="22" t="s">
        <v>1488</v>
      </c>
      <c r="Z43" s="22">
        <v>102</v>
      </c>
    </row>
    <row r="44" spans="3:43" ht="15" customHeight="1" thickBot="1" x14ac:dyDescent="0.35">
      <c r="P44" s="22" t="str">
        <f>IF(OR($E$18="Ducted heat pump",$E$18="Non-ducted heat pump"),$P70,IF(OR($E$18="Ducted gas",$E$18="Non-ducted gas"),$P36,"NA"))</f>
        <v>NA</v>
      </c>
      <c r="S44" s="22">
        <v>210</v>
      </c>
      <c r="T44" s="918" t="s">
        <v>1521</v>
      </c>
      <c r="U44" s="829">
        <v>9.1999999999999998E-3</v>
      </c>
      <c r="Y44" s="22" t="s">
        <v>1495</v>
      </c>
      <c r="Z44" s="22">
        <v>112</v>
      </c>
    </row>
    <row r="45" spans="3:43" ht="14.5" thickBot="1" x14ac:dyDescent="0.35">
      <c r="S45" s="22">
        <v>220</v>
      </c>
      <c r="T45" s="918" t="s">
        <v>1522</v>
      </c>
      <c r="U45" s="919">
        <v>9.1000000000000004E-3</v>
      </c>
      <c r="Y45" s="22" t="s">
        <v>1499</v>
      </c>
      <c r="Z45" s="22">
        <v>122</v>
      </c>
      <c r="AD45" s="22" t="s">
        <v>1523</v>
      </c>
      <c r="AE45" s="22">
        <v>2</v>
      </c>
    </row>
    <row r="46" spans="3:43" ht="14.5" thickBot="1" x14ac:dyDescent="0.35">
      <c r="P46" s="22">
        <f>COUNTIF(P41:P44,"*")</f>
        <v>4</v>
      </c>
      <c r="S46" s="22">
        <v>230</v>
      </c>
      <c r="T46" s="918" t="s">
        <v>1524</v>
      </c>
      <c r="U46" s="919">
        <v>8.9999999999999993E-3</v>
      </c>
      <c r="Y46" s="22" t="s">
        <v>1503</v>
      </c>
      <c r="Z46" s="22">
        <v>132</v>
      </c>
      <c r="AD46" s="22" t="s">
        <v>1525</v>
      </c>
      <c r="AE46" s="22">
        <v>3</v>
      </c>
    </row>
    <row r="47" spans="3:43" ht="14.5" thickBot="1" x14ac:dyDescent="0.35">
      <c r="P47" s="22">
        <f>P46+40</f>
        <v>44</v>
      </c>
      <c r="S47" s="22">
        <v>240</v>
      </c>
      <c r="T47" s="918" t="s">
        <v>1526</v>
      </c>
      <c r="U47" s="919">
        <v>8.9999999999999993E-3</v>
      </c>
      <c r="Y47" s="22" t="s">
        <v>1507</v>
      </c>
      <c r="Z47" s="22">
        <v>142</v>
      </c>
      <c r="AD47" s="22" t="s">
        <v>1527</v>
      </c>
      <c r="AE47" s="22">
        <v>4</v>
      </c>
    </row>
    <row r="48" spans="3:43" ht="14.5" thickBot="1" x14ac:dyDescent="0.35">
      <c r="S48" s="22">
        <v>250</v>
      </c>
      <c r="T48" s="918" t="s">
        <v>1528</v>
      </c>
      <c r="U48" s="919">
        <v>8.8999999999999999E-3</v>
      </c>
      <c r="Y48" s="22" t="s">
        <v>1512</v>
      </c>
      <c r="Z48" s="22">
        <v>152</v>
      </c>
      <c r="AD48" s="22" t="s">
        <v>1529</v>
      </c>
      <c r="AE48" s="22">
        <v>5</v>
      </c>
    </row>
    <row r="49" spans="15:32" ht="14.5" thickBot="1" x14ac:dyDescent="0.35">
      <c r="S49" s="22">
        <v>260</v>
      </c>
      <c r="T49" s="918" t="s">
        <v>1530</v>
      </c>
      <c r="U49" s="919">
        <v>8.8000000000000005E-3</v>
      </c>
      <c r="Y49" s="22" t="s">
        <v>1516</v>
      </c>
      <c r="Z49" s="22">
        <v>162</v>
      </c>
      <c r="AD49" s="22" t="s">
        <v>1531</v>
      </c>
      <c r="AE49" s="22">
        <v>6</v>
      </c>
      <c r="AF49" s="33" t="s">
        <v>1443</v>
      </c>
    </row>
    <row r="50" spans="15:32" ht="14.5" thickBot="1" x14ac:dyDescent="0.35">
      <c r="P50" s="22" t="s">
        <v>1532</v>
      </c>
      <c r="S50" s="22">
        <v>270</v>
      </c>
      <c r="T50" s="60" t="s">
        <v>1533</v>
      </c>
      <c r="U50" s="61">
        <v>8.6999999999999994E-3</v>
      </c>
      <c r="Y50" s="22" t="s">
        <v>1534</v>
      </c>
      <c r="Z50" s="22">
        <v>178</v>
      </c>
      <c r="AD50" s="22" t="s">
        <v>1535</v>
      </c>
      <c r="AE50" s="22">
        <v>7</v>
      </c>
    </row>
    <row r="51" spans="15:32" ht="15.65" customHeight="1" thickTop="1" thickBot="1" x14ac:dyDescent="0.35">
      <c r="P51" s="22" t="e">
        <f ca="1">P67</f>
        <v>#N/A</v>
      </c>
      <c r="S51" s="22">
        <v>280</v>
      </c>
      <c r="T51" s="918" t="s">
        <v>1536</v>
      </c>
      <c r="U51" s="919">
        <v>8.6999999999999994E-3</v>
      </c>
      <c r="Y51" s="22" t="s">
        <v>1537</v>
      </c>
      <c r="Z51" s="22">
        <v>198</v>
      </c>
      <c r="AD51" s="22" t="s">
        <v>1538</v>
      </c>
      <c r="AE51" s="22">
        <v>8</v>
      </c>
    </row>
    <row r="52" spans="15:32" ht="15" customHeight="1" thickBot="1" x14ac:dyDescent="0.35">
      <c r="P52" s="22" t="e">
        <f t="shared" ref="P52:P54" ca="1" si="0">P68</f>
        <v>#N/A</v>
      </c>
      <c r="S52" s="22">
        <v>290</v>
      </c>
      <c r="T52" s="918" t="s">
        <v>1539</v>
      </c>
      <c r="U52" s="919">
        <v>8.6E-3</v>
      </c>
      <c r="Y52" s="22" t="s">
        <v>1540</v>
      </c>
      <c r="Z52" s="22">
        <v>188</v>
      </c>
      <c r="AD52" s="22" t="s">
        <v>1541</v>
      </c>
      <c r="AE52" s="22">
        <v>9</v>
      </c>
    </row>
    <row r="53" spans="15:32" ht="15" customHeight="1" thickBot="1" x14ac:dyDescent="0.35">
      <c r="P53" s="22" t="e">
        <f t="shared" ca="1" si="0"/>
        <v>#N/A</v>
      </c>
      <c r="S53" s="22">
        <v>300</v>
      </c>
      <c r="T53" s="918" t="s">
        <v>1542</v>
      </c>
      <c r="U53" s="919">
        <v>8.5000000000000006E-3</v>
      </c>
      <c r="Y53" s="22" t="s">
        <v>1427</v>
      </c>
      <c r="Z53" s="22">
        <v>208</v>
      </c>
    </row>
    <row r="54" spans="15:32" ht="15" customHeight="1" thickBot="1" x14ac:dyDescent="0.35">
      <c r="P54" s="22" t="e">
        <f t="shared" ca="1" si="0"/>
        <v>#N/A</v>
      </c>
      <c r="S54" s="22">
        <v>310</v>
      </c>
      <c r="T54" s="918" t="s">
        <v>1543</v>
      </c>
      <c r="U54" s="919">
        <v>8.5000000000000006E-3</v>
      </c>
    </row>
    <row r="55" spans="15:32" ht="14.5" thickBot="1" x14ac:dyDescent="0.35">
      <c r="S55" s="22">
        <v>320</v>
      </c>
      <c r="T55" s="918" t="s">
        <v>1544</v>
      </c>
      <c r="U55" s="919">
        <v>8.3999999999999995E-3</v>
      </c>
    </row>
    <row r="56" spans="15:32" ht="14.5" thickBot="1" x14ac:dyDescent="0.35">
      <c r="O56" s="62" t="s">
        <v>1545</v>
      </c>
      <c r="P56" s="920"/>
      <c r="Q56" s="920"/>
      <c r="R56" s="63"/>
      <c r="S56" s="22">
        <v>330</v>
      </c>
      <c r="T56" s="918" t="s">
        <v>1546</v>
      </c>
      <c r="U56" s="919">
        <v>8.3000000000000001E-3</v>
      </c>
    </row>
    <row r="57" spans="15:32" ht="14.5" thickBot="1" x14ac:dyDescent="0.35">
      <c r="O57" s="64" t="e">
        <f>HLOOKUP(G15,O58:R59,2,FALSE)</f>
        <v>#N/A</v>
      </c>
      <c r="P57" s="22" t="s">
        <v>1547</v>
      </c>
      <c r="R57" s="65"/>
      <c r="S57" s="22">
        <v>340</v>
      </c>
      <c r="T57" s="918" t="s">
        <v>1548</v>
      </c>
      <c r="U57" s="919">
        <v>8.3000000000000001E-3</v>
      </c>
    </row>
    <row r="58" spans="15:32" ht="14.5" thickBot="1" x14ac:dyDescent="0.35">
      <c r="O58" s="53" t="s">
        <v>1549</v>
      </c>
      <c r="P58" s="1436" t="s">
        <v>1550</v>
      </c>
      <c r="Q58" s="1436" t="s">
        <v>1551</v>
      </c>
      <c r="R58" s="66" t="s">
        <v>1552</v>
      </c>
      <c r="S58" s="22">
        <v>350</v>
      </c>
      <c r="T58" s="918" t="s">
        <v>1553</v>
      </c>
      <c r="U58" s="919">
        <v>8.2000000000000007E-3</v>
      </c>
    </row>
    <row r="59" spans="15:32" ht="14.5" thickBot="1" x14ac:dyDescent="0.35">
      <c r="O59" s="53">
        <v>0</v>
      </c>
      <c r="P59" s="1436">
        <v>1</v>
      </c>
      <c r="Q59" s="1436">
        <v>2</v>
      </c>
      <c r="R59" s="66">
        <v>3</v>
      </c>
      <c r="S59" s="22">
        <v>360</v>
      </c>
      <c r="T59" s="918" t="s">
        <v>1554</v>
      </c>
      <c r="U59" s="919">
        <v>8.2000000000000007E-3</v>
      </c>
    </row>
    <row r="60" spans="15:32" ht="14.5" thickBot="1" x14ac:dyDescent="0.35">
      <c r="O60" s="53" t="s">
        <v>1475</v>
      </c>
      <c r="P60" s="1436" t="s">
        <v>1476</v>
      </c>
      <c r="Q60" s="1436" t="s">
        <v>1555</v>
      </c>
      <c r="R60" s="66" t="s">
        <v>1555</v>
      </c>
      <c r="S60" s="22">
        <v>370</v>
      </c>
      <c r="T60" s="918" t="s">
        <v>1556</v>
      </c>
      <c r="U60" s="919">
        <v>8.0999999999999996E-3</v>
      </c>
      <c r="X60" s="34" t="str">
        <f>S7</f>
        <v>'5-'</v>
      </c>
      <c r="Y60" s="34" t="e">
        <f>VLOOKUP(Z29,Y33:Z53,2,FALSE)</f>
        <v>#N/A</v>
      </c>
      <c r="Z60" s="34" t="e">
        <f>Y60+9</f>
        <v>#N/A</v>
      </c>
    </row>
    <row r="61" spans="15:32" ht="15" customHeight="1" thickBot="1" x14ac:dyDescent="0.35">
      <c r="O61" s="53" t="s">
        <v>1479</v>
      </c>
      <c r="P61" s="1436" t="s">
        <v>1480</v>
      </c>
      <c r="Q61" s="1436" t="s">
        <v>1557</v>
      </c>
      <c r="R61" s="66" t="s">
        <v>1557</v>
      </c>
      <c r="S61" s="22">
        <v>380</v>
      </c>
      <c r="T61" s="918" t="s">
        <v>1558</v>
      </c>
      <c r="U61" s="919">
        <v>8.0999999999999996E-3</v>
      </c>
    </row>
    <row r="62" spans="15:32" ht="14.5" thickBot="1" x14ac:dyDescent="0.35">
      <c r="O62" s="53" t="s">
        <v>1559</v>
      </c>
      <c r="P62" s="1436" t="s">
        <v>1560</v>
      </c>
      <c r="Q62" s="1436" t="s">
        <v>1561</v>
      </c>
      <c r="R62" s="66" t="s">
        <v>1561</v>
      </c>
      <c r="S62" s="22">
        <v>390</v>
      </c>
      <c r="T62" s="60" t="s">
        <v>1562</v>
      </c>
      <c r="U62" s="61">
        <v>8.0000000000000002E-3</v>
      </c>
    </row>
    <row r="63" spans="15:32" ht="15" thickTop="1" thickBot="1" x14ac:dyDescent="0.35">
      <c r="O63" s="53" t="s">
        <v>1491</v>
      </c>
      <c r="P63" s="1436" t="s">
        <v>1492</v>
      </c>
      <c r="Q63" s="1436" t="s">
        <v>1563</v>
      </c>
      <c r="R63" s="66" t="s">
        <v>1563</v>
      </c>
      <c r="S63" s="22">
        <v>400</v>
      </c>
      <c r="T63" s="918" t="s">
        <v>1564</v>
      </c>
      <c r="U63" s="919">
        <v>8.0000000000000002E-3</v>
      </c>
    </row>
    <row r="64" spans="15:32" ht="14.5" thickBot="1" x14ac:dyDescent="0.35">
      <c r="O64" s="67"/>
      <c r="R64" s="65"/>
      <c r="S64" s="22">
        <v>410</v>
      </c>
      <c r="T64" s="918" t="s">
        <v>1565</v>
      </c>
      <c r="U64" s="919">
        <v>7.9000000000000008E-3</v>
      </c>
    </row>
    <row r="65" spans="14:28" ht="14.5" thickBot="1" x14ac:dyDescent="0.35">
      <c r="O65" s="67"/>
      <c r="P65" s="31"/>
      <c r="R65" s="65"/>
      <c r="S65" s="22">
        <v>420</v>
      </c>
      <c r="T65" s="918" t="s">
        <v>1566</v>
      </c>
      <c r="U65" s="919">
        <v>7.9000000000000008E-3</v>
      </c>
    </row>
    <row r="66" spans="14:28" ht="14.5" thickBot="1" x14ac:dyDescent="0.35">
      <c r="O66" s="67"/>
      <c r="P66" s="35" t="s">
        <v>1567</v>
      </c>
      <c r="Q66" s="35" t="s">
        <v>1568</v>
      </c>
      <c r="R66" s="65"/>
      <c r="S66" s="22">
        <v>430</v>
      </c>
      <c r="T66" s="918" t="s">
        <v>1569</v>
      </c>
      <c r="U66" s="919">
        <v>7.7999999999999996E-3</v>
      </c>
    </row>
    <row r="67" spans="14:28" ht="14.5" thickBot="1" x14ac:dyDescent="0.35">
      <c r="O67" s="67"/>
      <c r="P67" s="68" t="e">
        <f ca="1">OFFSET(O60,0,$O$57)</f>
        <v>#N/A</v>
      </c>
      <c r="Q67" s="69" t="str">
        <f>Q33</f>
        <v>&lt; 2.25</v>
      </c>
      <c r="R67" s="65"/>
      <c r="S67" s="22">
        <v>440</v>
      </c>
      <c r="T67" s="918" t="s">
        <v>1570</v>
      </c>
      <c r="U67" s="919">
        <v>7.7999999999999996E-3</v>
      </c>
      <c r="AB67" s="70"/>
    </row>
    <row r="68" spans="14:28" ht="15" customHeight="1" thickBot="1" x14ac:dyDescent="0.35">
      <c r="O68" s="67"/>
      <c r="P68" s="53" t="e">
        <f ca="1">OFFSET(O61,0,$O$57)</f>
        <v>#N/A</v>
      </c>
      <c r="Q68" s="66" t="str">
        <f>Q34</f>
        <v>2.25 to &lt; 3</v>
      </c>
      <c r="R68" s="65"/>
      <c r="S68" s="22">
        <v>450</v>
      </c>
      <c r="T68" s="918" t="s">
        <v>1571</v>
      </c>
      <c r="U68" s="919">
        <v>7.7000000000000002E-3</v>
      </c>
    </row>
    <row r="69" spans="14:28" ht="15" customHeight="1" thickBot="1" x14ac:dyDescent="0.35">
      <c r="O69" s="67"/>
      <c r="P69" s="53" t="e">
        <f ca="1">OFFSET(O62,0,$O$57)</f>
        <v>#N/A</v>
      </c>
      <c r="Q69" s="66" t="e">
        <f>#REF!</f>
        <v>#REF!</v>
      </c>
      <c r="R69" s="65"/>
      <c r="S69" s="22">
        <v>460</v>
      </c>
      <c r="T69" s="918" t="s">
        <v>1572</v>
      </c>
      <c r="U69" s="919">
        <v>7.7000000000000002E-3</v>
      </c>
    </row>
    <row r="70" spans="14:28" ht="15" customHeight="1" thickBot="1" x14ac:dyDescent="0.35">
      <c r="O70" s="67"/>
      <c r="P70" s="59" t="e">
        <f ca="1">OFFSET(O63,0,$O$57)</f>
        <v>#N/A</v>
      </c>
      <c r="Q70" s="71" t="e">
        <f>#REF!</f>
        <v>#REF!</v>
      </c>
      <c r="R70" s="65"/>
      <c r="S70" s="22">
        <v>470</v>
      </c>
      <c r="T70" s="918" t="s">
        <v>1573</v>
      </c>
      <c r="U70" s="919">
        <v>7.7000000000000002E-3</v>
      </c>
    </row>
    <row r="71" spans="14:28" ht="14.5" thickBot="1" x14ac:dyDescent="0.35">
      <c r="O71" s="921"/>
      <c r="P71" s="922"/>
      <c r="Q71" s="922"/>
      <c r="R71" s="923"/>
      <c r="S71" s="22">
        <v>480</v>
      </c>
      <c r="T71" s="918" t="s">
        <v>1574</v>
      </c>
      <c r="U71" s="919">
        <v>7.6E-3</v>
      </c>
    </row>
    <row r="72" spans="14:28" ht="14.5" thickBot="1" x14ac:dyDescent="0.35">
      <c r="S72" s="22">
        <v>490</v>
      </c>
      <c r="T72" s="918" t="s">
        <v>1575</v>
      </c>
      <c r="U72" s="919">
        <v>7.6E-3</v>
      </c>
    </row>
    <row r="73" spans="14:28" ht="14.5" thickBot="1" x14ac:dyDescent="0.35">
      <c r="N73" s="22" t="s">
        <v>1576</v>
      </c>
      <c r="O73" s="64" t="s">
        <v>1577</v>
      </c>
      <c r="P73" s="72"/>
      <c r="Q73" s="72"/>
      <c r="R73" s="73"/>
      <c r="S73" s="22">
        <v>500</v>
      </c>
      <c r="T73" s="918" t="s">
        <v>1578</v>
      </c>
      <c r="U73" s="919">
        <v>7.4999999999999997E-3</v>
      </c>
    </row>
    <row r="74" spans="14:28" ht="14.5" thickBot="1" x14ac:dyDescent="0.35">
      <c r="N74" s="64" t="e">
        <f ca="1">OFFSET(O74,0,$O$57)</f>
        <v>#N/A</v>
      </c>
      <c r="O74" s="68" t="s">
        <v>1579</v>
      </c>
      <c r="P74" s="74" t="s">
        <v>1580</v>
      </c>
      <c r="Q74" s="74" t="s">
        <v>1581</v>
      </c>
      <c r="R74" s="69" t="s">
        <v>1582</v>
      </c>
    </row>
    <row r="75" spans="14:28" ht="14.5" thickBot="1" x14ac:dyDescent="0.35">
      <c r="N75" s="64" t="e">
        <f ca="1">OFFSET(O75,0,$O$57)</f>
        <v>#N/A</v>
      </c>
      <c r="O75" s="59" t="s">
        <v>1579</v>
      </c>
      <c r="P75" s="75" t="s">
        <v>1580</v>
      </c>
      <c r="Q75" s="75" t="s">
        <v>1583</v>
      </c>
      <c r="R75" s="71" t="s">
        <v>1584</v>
      </c>
    </row>
    <row r="78" spans="14:28" x14ac:dyDescent="0.3">
      <c r="S78" s="22">
        <v>1</v>
      </c>
      <c r="Y78" s="22" t="s">
        <v>1585</v>
      </c>
    </row>
    <row r="79" spans="14:28" ht="14.5" thickBot="1" x14ac:dyDescent="0.35"/>
    <row r="80" spans="14:28" ht="15.5" thickBot="1" x14ac:dyDescent="0.35">
      <c r="S80" s="76" t="s">
        <v>445</v>
      </c>
      <c r="T80" s="77" t="s">
        <v>1586</v>
      </c>
      <c r="U80" s="77" t="s">
        <v>1587</v>
      </c>
      <c r="Y80" s="78" t="s">
        <v>445</v>
      </c>
      <c r="Z80" s="77" t="s">
        <v>1586</v>
      </c>
      <c r="AA80" s="77" t="s">
        <v>1588</v>
      </c>
    </row>
    <row r="81" spans="16:28" ht="14.5" thickBot="1" x14ac:dyDescent="0.35">
      <c r="P81" s="22">
        <v>2.77</v>
      </c>
      <c r="R81" s="22" t="str">
        <f>CONCATENATE("'",S81,"-",T81,"'")</f>
        <v>'1-QLD'</v>
      </c>
      <c r="S81" s="79">
        <v>1</v>
      </c>
      <c r="T81" s="924" t="s">
        <v>230</v>
      </c>
      <c r="U81" s="924">
        <v>2.77</v>
      </c>
      <c r="V81" s="22" t="s">
        <v>1589</v>
      </c>
      <c r="X81" s="22" t="str">
        <f>CONCATENATE("'",Y81,"-",Z81,"'")</f>
        <v>'1-QLD'</v>
      </c>
      <c r="Y81" s="80">
        <v>1</v>
      </c>
      <c r="Z81" s="924" t="s">
        <v>230</v>
      </c>
      <c r="AA81" s="924">
        <v>3.95</v>
      </c>
      <c r="AB81" s="22" t="s">
        <v>1589</v>
      </c>
    </row>
    <row r="82" spans="16:28" ht="14.5" thickBot="1" x14ac:dyDescent="0.35">
      <c r="P82" s="22">
        <v>3.25</v>
      </c>
      <c r="R82" s="22" t="str">
        <f t="shared" ref="R82:R107" si="1">CONCATENATE("'",S82,"-",T82,"'")</f>
        <v>'1-WA'</v>
      </c>
      <c r="S82" s="79">
        <v>1</v>
      </c>
      <c r="T82" s="924" t="s">
        <v>243</v>
      </c>
      <c r="U82" s="924">
        <v>3.25</v>
      </c>
      <c r="V82" s="22" t="s">
        <v>1589</v>
      </c>
      <c r="X82" s="22" t="str">
        <f t="shared" ref="X82:X107" si="2">CONCATENATE("'",Y82,"-",Z82,"'")</f>
        <v>'1-WA'</v>
      </c>
      <c r="Y82" s="80">
        <v>1</v>
      </c>
      <c r="Z82" s="924" t="s">
        <v>243</v>
      </c>
      <c r="AA82" s="924">
        <v>4.6399999999999997</v>
      </c>
      <c r="AB82" s="22" t="s">
        <v>1589</v>
      </c>
    </row>
    <row r="83" spans="16:28" ht="14.5" thickBot="1" x14ac:dyDescent="0.35">
      <c r="P83" s="22">
        <v>1.91</v>
      </c>
      <c r="R83" s="22" t="str">
        <f t="shared" si="1"/>
        <v>'1-NT'</v>
      </c>
      <c r="S83" s="79">
        <v>1</v>
      </c>
      <c r="T83" s="924" t="s">
        <v>223</v>
      </c>
      <c r="U83" s="924">
        <v>1.91</v>
      </c>
      <c r="V83" s="22" t="s">
        <v>1589</v>
      </c>
      <c r="X83" s="22" t="str">
        <f t="shared" si="2"/>
        <v>'1-NT'</v>
      </c>
      <c r="Y83" s="80">
        <v>1</v>
      </c>
      <c r="Z83" s="924" t="s">
        <v>223</v>
      </c>
      <c r="AA83" s="924">
        <v>2.73</v>
      </c>
      <c r="AB83" s="22" t="s">
        <v>1589</v>
      </c>
    </row>
    <row r="84" spans="16:28" ht="14.5" thickBot="1" x14ac:dyDescent="0.35">
      <c r="P84" s="22">
        <v>1.32</v>
      </c>
      <c r="R84" s="22" t="str">
        <f t="shared" si="1"/>
        <v>'2-NSW'</v>
      </c>
      <c r="S84" s="79">
        <v>2</v>
      </c>
      <c r="T84" s="924" t="s">
        <v>214</v>
      </c>
      <c r="U84" s="924">
        <v>1.32</v>
      </c>
      <c r="V84" s="22" t="s">
        <v>1589</v>
      </c>
      <c r="X84" s="22" t="str">
        <f t="shared" si="2"/>
        <v>'2-NSW'</v>
      </c>
      <c r="Y84" s="80">
        <v>2</v>
      </c>
      <c r="Z84" s="924" t="s">
        <v>214</v>
      </c>
      <c r="AA84" s="924">
        <v>1.88</v>
      </c>
      <c r="AB84" s="22" t="s">
        <v>1589</v>
      </c>
    </row>
    <row r="85" spans="16:28" ht="14.5" thickBot="1" x14ac:dyDescent="0.35">
      <c r="P85" s="22">
        <v>1.78</v>
      </c>
      <c r="R85" s="22" t="str">
        <f t="shared" si="1"/>
        <v>'2-QLD'</v>
      </c>
      <c r="S85" s="79">
        <v>2</v>
      </c>
      <c r="T85" s="924" t="s">
        <v>230</v>
      </c>
      <c r="U85" s="924">
        <v>1.78</v>
      </c>
      <c r="V85" s="22" t="s">
        <v>1589</v>
      </c>
      <c r="X85" s="22" t="str">
        <f t="shared" si="2"/>
        <v>'2-QLD'</v>
      </c>
      <c r="Y85" s="80">
        <v>2</v>
      </c>
      <c r="Z85" s="924" t="s">
        <v>230</v>
      </c>
      <c r="AA85" s="924">
        <v>2.54</v>
      </c>
      <c r="AB85" s="22" t="s">
        <v>1589</v>
      </c>
    </row>
    <row r="86" spans="16:28" ht="14.5" thickBot="1" x14ac:dyDescent="0.35">
      <c r="P86" s="22">
        <v>2.46</v>
      </c>
      <c r="R86" s="22" t="str">
        <f t="shared" si="1"/>
        <v>'3-QLD'</v>
      </c>
      <c r="S86" s="79">
        <v>3</v>
      </c>
      <c r="T86" s="924" t="s">
        <v>230</v>
      </c>
      <c r="U86" s="924">
        <v>2.46</v>
      </c>
      <c r="V86" s="22" t="s">
        <v>1589</v>
      </c>
      <c r="X86" s="22" t="str">
        <f t="shared" si="2"/>
        <v>'3-QLD'</v>
      </c>
      <c r="Y86" s="80">
        <v>3</v>
      </c>
      <c r="Z86" s="924" t="s">
        <v>230</v>
      </c>
      <c r="AA86" s="924">
        <v>3.52</v>
      </c>
      <c r="AB86" s="22" t="s">
        <v>1589</v>
      </c>
    </row>
    <row r="87" spans="16:28" ht="14.5" thickBot="1" x14ac:dyDescent="0.35">
      <c r="P87" s="22">
        <v>2.87</v>
      </c>
      <c r="R87" s="22" t="str">
        <f t="shared" si="1"/>
        <v>'3-WA'</v>
      </c>
      <c r="S87" s="79">
        <v>3</v>
      </c>
      <c r="T87" s="924" t="s">
        <v>243</v>
      </c>
      <c r="U87" s="924">
        <v>2.87</v>
      </c>
      <c r="V87" s="22" t="s">
        <v>1589</v>
      </c>
      <c r="X87" s="22" t="str">
        <f t="shared" si="2"/>
        <v>'3-WA'</v>
      </c>
      <c r="Y87" s="80">
        <v>3</v>
      </c>
      <c r="Z87" s="924" t="s">
        <v>243</v>
      </c>
      <c r="AA87" s="924">
        <v>4.0999999999999996</v>
      </c>
      <c r="AB87" s="22" t="s">
        <v>1589</v>
      </c>
    </row>
    <row r="88" spans="16:28" ht="14.5" thickBot="1" x14ac:dyDescent="0.35">
      <c r="P88" s="22">
        <v>1.23</v>
      </c>
      <c r="R88" s="22" t="str">
        <f t="shared" si="1"/>
        <v>'3-NT'</v>
      </c>
      <c r="S88" s="79">
        <v>3</v>
      </c>
      <c r="T88" s="924" t="s">
        <v>223</v>
      </c>
      <c r="U88" s="924">
        <v>1.23</v>
      </c>
      <c r="V88" s="22" t="s">
        <v>1589</v>
      </c>
      <c r="X88" s="22" t="str">
        <f t="shared" si="2"/>
        <v>'3-NT'</v>
      </c>
      <c r="Y88" s="80">
        <v>3</v>
      </c>
      <c r="Z88" s="924" t="s">
        <v>223</v>
      </c>
      <c r="AA88" s="924">
        <v>1.76</v>
      </c>
      <c r="AB88" s="22" t="s">
        <v>1589</v>
      </c>
    </row>
    <row r="89" spans="16:28" ht="14.5" thickBot="1" x14ac:dyDescent="0.35">
      <c r="P89" s="22">
        <v>1.8</v>
      </c>
      <c r="R89" s="22" t="str">
        <f t="shared" si="1"/>
        <v>'4-NSW'</v>
      </c>
      <c r="S89" s="79">
        <v>4</v>
      </c>
      <c r="T89" s="924" t="s">
        <v>214</v>
      </c>
      <c r="U89" s="924">
        <v>1.8</v>
      </c>
      <c r="V89" s="22" t="s">
        <v>1589</v>
      </c>
      <c r="X89" s="22" t="str">
        <f t="shared" si="2"/>
        <v>'4-NSW'</v>
      </c>
      <c r="Y89" s="80">
        <v>4</v>
      </c>
      <c r="Z89" s="924" t="s">
        <v>214</v>
      </c>
      <c r="AA89" s="924">
        <v>2.57</v>
      </c>
      <c r="AB89" s="22" t="s">
        <v>1589</v>
      </c>
    </row>
    <row r="90" spans="16:28" ht="14.5" thickBot="1" x14ac:dyDescent="0.35">
      <c r="P90" s="22">
        <v>1.25</v>
      </c>
      <c r="R90" s="22" t="str">
        <f t="shared" si="1"/>
        <v>'4-VIC'</v>
      </c>
      <c r="S90" s="79">
        <v>4</v>
      </c>
      <c r="T90" s="924" t="s">
        <v>241</v>
      </c>
      <c r="U90" s="924">
        <v>1.25</v>
      </c>
      <c r="V90" s="22" t="s">
        <v>1589</v>
      </c>
      <c r="X90" s="22" t="str">
        <f t="shared" si="2"/>
        <v>'4-VIC'</v>
      </c>
      <c r="Y90" s="80">
        <v>4</v>
      </c>
      <c r="Z90" s="924" t="s">
        <v>241</v>
      </c>
      <c r="AA90" s="924">
        <v>1.79</v>
      </c>
      <c r="AB90" s="22" t="s">
        <v>1589</v>
      </c>
    </row>
    <row r="91" spans="16:28" ht="14.5" thickBot="1" x14ac:dyDescent="0.35">
      <c r="P91" s="22">
        <v>1.86</v>
      </c>
      <c r="R91" s="22" t="str">
        <f t="shared" si="1"/>
        <v>'4-SA'</v>
      </c>
      <c r="S91" s="79">
        <v>4</v>
      </c>
      <c r="T91" s="924" t="s">
        <v>234</v>
      </c>
      <c r="U91" s="924">
        <v>1.86</v>
      </c>
      <c r="V91" s="22" t="s">
        <v>1589</v>
      </c>
      <c r="X91" s="22" t="str">
        <f t="shared" si="2"/>
        <v>'4-SA'</v>
      </c>
      <c r="Y91" s="80">
        <v>4</v>
      </c>
      <c r="Z91" s="924" t="s">
        <v>234</v>
      </c>
      <c r="AA91" s="924">
        <v>2.65</v>
      </c>
      <c r="AB91" s="22" t="s">
        <v>1589</v>
      </c>
    </row>
    <row r="92" spans="16:28" ht="14.5" thickBot="1" x14ac:dyDescent="0.35">
      <c r="P92" s="22">
        <v>2.34</v>
      </c>
      <c r="R92" s="22" t="str">
        <f t="shared" si="1"/>
        <v>'4-WA'</v>
      </c>
      <c r="S92" s="79">
        <v>4</v>
      </c>
      <c r="T92" s="924" t="s">
        <v>243</v>
      </c>
      <c r="U92" s="924">
        <v>2.34</v>
      </c>
      <c r="V92" s="22" t="s">
        <v>1589</v>
      </c>
      <c r="X92" s="22" t="str">
        <f t="shared" si="2"/>
        <v>'4-WA'</v>
      </c>
      <c r="Y92" s="80">
        <v>4</v>
      </c>
      <c r="Z92" s="924" t="s">
        <v>243</v>
      </c>
      <c r="AA92" s="924">
        <v>3.34</v>
      </c>
      <c r="AB92" s="22" t="s">
        <v>1589</v>
      </c>
    </row>
    <row r="93" spans="16:28" ht="14.5" thickBot="1" x14ac:dyDescent="0.35">
      <c r="P93" s="22">
        <v>1.75</v>
      </c>
      <c r="R93" s="22" t="str">
        <f t="shared" si="1"/>
        <v>'5-NSW'</v>
      </c>
      <c r="S93" s="79">
        <v>5</v>
      </c>
      <c r="T93" s="924" t="s">
        <v>214</v>
      </c>
      <c r="U93" s="924">
        <v>1.75</v>
      </c>
      <c r="V93" s="22" t="s">
        <v>1589</v>
      </c>
      <c r="X93" s="22" t="str">
        <f t="shared" si="2"/>
        <v>'5-NSW'</v>
      </c>
      <c r="Y93" s="80">
        <v>5</v>
      </c>
      <c r="Z93" s="924" t="s">
        <v>214</v>
      </c>
      <c r="AA93" s="924">
        <v>2.5</v>
      </c>
      <c r="AB93" s="22" t="s">
        <v>1589</v>
      </c>
    </row>
    <row r="94" spans="16:28" ht="14.5" thickBot="1" x14ac:dyDescent="0.35">
      <c r="P94" s="22">
        <v>2.2799999999999998</v>
      </c>
      <c r="R94" s="22" t="str">
        <f t="shared" si="1"/>
        <v>'5-QLD'</v>
      </c>
      <c r="S94" s="79">
        <v>5</v>
      </c>
      <c r="T94" s="924" t="s">
        <v>230</v>
      </c>
      <c r="U94" s="924">
        <v>2.2799999999999998</v>
      </c>
      <c r="V94" s="22" t="s">
        <v>1589</v>
      </c>
      <c r="X94" s="22" t="str">
        <f>CONCATENATE("'",Y94,"-",Z94,"'")</f>
        <v>'5-QLD'</v>
      </c>
      <c r="Y94" s="80">
        <v>5</v>
      </c>
      <c r="Z94" s="924" t="s">
        <v>230</v>
      </c>
      <c r="AA94" s="924">
        <v>3.26</v>
      </c>
      <c r="AB94" s="22" t="s">
        <v>1589</v>
      </c>
    </row>
    <row r="95" spans="16:28" ht="14.5" thickBot="1" x14ac:dyDescent="0.35">
      <c r="P95" s="22">
        <v>1.79</v>
      </c>
      <c r="R95" s="22" t="str">
        <f t="shared" si="1"/>
        <v>'5-SA'</v>
      </c>
      <c r="S95" s="79">
        <v>5</v>
      </c>
      <c r="T95" s="924" t="s">
        <v>234</v>
      </c>
      <c r="U95" s="924">
        <v>1.79</v>
      </c>
      <c r="V95" s="22" t="s">
        <v>1589</v>
      </c>
      <c r="X95" s="22" t="str">
        <f>CONCATENATE("'",Y95,"-",Z95,"'")</f>
        <v>'5-SA'</v>
      </c>
      <c r="Y95" s="80">
        <v>5</v>
      </c>
      <c r="Z95" s="924" t="s">
        <v>234</v>
      </c>
      <c r="AA95" s="924">
        <v>2.56</v>
      </c>
      <c r="AB95" s="22" t="s">
        <v>1589</v>
      </c>
    </row>
    <row r="96" spans="16:28" ht="14.5" thickBot="1" x14ac:dyDescent="0.35">
      <c r="P96" s="22">
        <v>2.35</v>
      </c>
      <c r="R96" s="22" t="str">
        <f t="shared" si="1"/>
        <v>'5-WA'</v>
      </c>
      <c r="S96" s="79">
        <v>5</v>
      </c>
      <c r="T96" s="924" t="s">
        <v>243</v>
      </c>
      <c r="U96" s="924">
        <v>2.35</v>
      </c>
      <c r="V96" s="22" t="s">
        <v>1589</v>
      </c>
      <c r="X96" s="22" t="str">
        <f t="shared" si="2"/>
        <v>'5-WA'</v>
      </c>
      <c r="Y96" s="80">
        <v>5</v>
      </c>
      <c r="Z96" s="924" t="s">
        <v>243</v>
      </c>
      <c r="AA96" s="924">
        <v>3.36</v>
      </c>
      <c r="AB96" s="22" t="s">
        <v>1589</v>
      </c>
    </row>
    <row r="97" spans="16:28" ht="14.5" thickBot="1" x14ac:dyDescent="0.35">
      <c r="P97" s="22">
        <v>2.4</v>
      </c>
      <c r="R97" s="22" t="str">
        <f t="shared" si="1"/>
        <v>'6-NSW'</v>
      </c>
      <c r="S97" s="79">
        <v>6</v>
      </c>
      <c r="T97" s="924" t="s">
        <v>214</v>
      </c>
      <c r="U97" s="924">
        <v>2.4</v>
      </c>
      <c r="V97" s="22" t="s">
        <v>1589</v>
      </c>
      <c r="X97" s="22" t="str">
        <f t="shared" si="2"/>
        <v>'6-NSW'</v>
      </c>
      <c r="Y97" s="80">
        <v>6</v>
      </c>
      <c r="Z97" s="924" t="s">
        <v>214</v>
      </c>
      <c r="AA97" s="924">
        <v>3.43</v>
      </c>
      <c r="AB97" s="22" t="s">
        <v>1589</v>
      </c>
    </row>
    <row r="98" spans="16:28" ht="14.5" thickBot="1" x14ac:dyDescent="0.35">
      <c r="P98" s="22">
        <v>1.63</v>
      </c>
      <c r="R98" s="22" t="str">
        <f t="shared" si="1"/>
        <v>'6-VIC'</v>
      </c>
      <c r="S98" s="79">
        <v>6</v>
      </c>
      <c r="T98" s="924" t="s">
        <v>241</v>
      </c>
      <c r="U98" s="924">
        <v>1.63</v>
      </c>
      <c r="V98" s="22" t="s">
        <v>1589</v>
      </c>
      <c r="X98" s="22" t="str">
        <f t="shared" si="2"/>
        <v>'6-VIC'</v>
      </c>
      <c r="Y98" s="80">
        <v>6</v>
      </c>
      <c r="Z98" s="924" t="s">
        <v>241</v>
      </c>
      <c r="AA98" s="924">
        <v>2.3199999999999998</v>
      </c>
      <c r="AB98" s="22" t="s">
        <v>1589</v>
      </c>
    </row>
    <row r="99" spans="16:28" ht="14.5" thickBot="1" x14ac:dyDescent="0.35">
      <c r="P99" s="22">
        <v>2.5099999999999998</v>
      </c>
      <c r="R99" s="22" t="str">
        <f t="shared" si="1"/>
        <v>'6-SA'</v>
      </c>
      <c r="S99" s="79">
        <v>6</v>
      </c>
      <c r="T99" s="924" t="s">
        <v>234</v>
      </c>
      <c r="U99" s="924">
        <v>2.5099999999999998</v>
      </c>
      <c r="V99" s="22" t="s">
        <v>1589</v>
      </c>
      <c r="X99" s="22" t="str">
        <f t="shared" si="2"/>
        <v>'6-SA'</v>
      </c>
      <c r="Y99" s="80">
        <v>6</v>
      </c>
      <c r="Z99" s="924" t="s">
        <v>234</v>
      </c>
      <c r="AA99" s="924">
        <v>3.58</v>
      </c>
      <c r="AB99" s="22" t="s">
        <v>1589</v>
      </c>
    </row>
    <row r="100" spans="16:28" ht="14.5" thickBot="1" x14ac:dyDescent="0.35">
      <c r="P100" s="22">
        <v>3.2</v>
      </c>
      <c r="R100" s="22" t="str">
        <f t="shared" si="1"/>
        <v>'6-WA'</v>
      </c>
      <c r="S100" s="79">
        <v>6</v>
      </c>
      <c r="T100" s="924" t="s">
        <v>243</v>
      </c>
      <c r="U100" s="924">
        <v>3.2</v>
      </c>
      <c r="V100" s="22" t="s">
        <v>1589</v>
      </c>
      <c r="X100" s="22" t="str">
        <f t="shared" si="2"/>
        <v>'6-WA'</v>
      </c>
      <c r="Y100" s="80">
        <v>6</v>
      </c>
      <c r="Z100" s="924" t="s">
        <v>243</v>
      </c>
      <c r="AA100" s="924">
        <v>4.58</v>
      </c>
      <c r="AB100" s="22" t="s">
        <v>1589</v>
      </c>
    </row>
    <row r="101" spans="16:28" ht="14.5" thickBot="1" x14ac:dyDescent="0.35">
      <c r="P101" s="22">
        <v>2.33</v>
      </c>
      <c r="R101" s="22" t="str">
        <f t="shared" si="1"/>
        <v>'7-NSW'</v>
      </c>
      <c r="S101" s="79">
        <v>7</v>
      </c>
      <c r="T101" s="924" t="s">
        <v>214</v>
      </c>
      <c r="U101" s="924">
        <v>2.33</v>
      </c>
      <c r="V101" s="22" t="s">
        <v>1589</v>
      </c>
      <c r="X101" s="22" t="str">
        <f t="shared" si="2"/>
        <v>'7-NSW'</v>
      </c>
      <c r="Y101" s="80">
        <v>7</v>
      </c>
      <c r="Z101" s="924" t="s">
        <v>214</v>
      </c>
      <c r="AA101" s="924">
        <v>3.32</v>
      </c>
      <c r="AB101" s="22" t="s">
        <v>1589</v>
      </c>
    </row>
    <row r="102" spans="16:28" ht="14.5" thickBot="1" x14ac:dyDescent="0.35">
      <c r="P102" s="22">
        <v>1.62</v>
      </c>
      <c r="R102" s="22" t="str">
        <f t="shared" si="1"/>
        <v>'7-VIC'</v>
      </c>
      <c r="S102" s="79">
        <v>7</v>
      </c>
      <c r="T102" s="924" t="s">
        <v>241</v>
      </c>
      <c r="U102" s="924">
        <v>1.62</v>
      </c>
      <c r="V102" s="22" t="s">
        <v>1589</v>
      </c>
      <c r="X102" s="22" t="str">
        <f t="shared" si="2"/>
        <v>'7-VIC'</v>
      </c>
      <c r="Y102" s="80">
        <v>7</v>
      </c>
      <c r="Z102" s="924" t="s">
        <v>241</v>
      </c>
      <c r="AA102" s="924">
        <v>2.3199999999999998</v>
      </c>
      <c r="AB102" s="22" t="s">
        <v>1589</v>
      </c>
    </row>
    <row r="103" spans="16:28" ht="14.5" thickBot="1" x14ac:dyDescent="0.35">
      <c r="P103" s="22">
        <v>3.08</v>
      </c>
      <c r="R103" s="22" t="str">
        <f t="shared" si="1"/>
        <v>'7-TAS'</v>
      </c>
      <c r="S103" s="79">
        <v>7</v>
      </c>
      <c r="T103" s="924" t="s">
        <v>239</v>
      </c>
      <c r="U103" s="924">
        <v>3.08</v>
      </c>
      <c r="V103" s="22" t="s">
        <v>1589</v>
      </c>
      <c r="X103" s="22" t="str">
        <f t="shared" si="2"/>
        <v>'7-TAS'</v>
      </c>
      <c r="Y103" s="80">
        <v>7</v>
      </c>
      <c r="Z103" s="924" t="s">
        <v>239</v>
      </c>
      <c r="AA103" s="924">
        <v>4.41</v>
      </c>
      <c r="AB103" s="22" t="s">
        <v>1589</v>
      </c>
    </row>
    <row r="104" spans="16:28" ht="14.5" thickBot="1" x14ac:dyDescent="0.35">
      <c r="P104" s="22">
        <v>2.56</v>
      </c>
      <c r="R104" s="22" t="str">
        <f t="shared" si="1"/>
        <v>'7-ACT'</v>
      </c>
      <c r="S104" s="79">
        <v>7</v>
      </c>
      <c r="T104" s="924" t="s">
        <v>200</v>
      </c>
      <c r="U104" s="924">
        <v>2.56</v>
      </c>
      <c r="V104" s="22" t="s">
        <v>1589</v>
      </c>
      <c r="X104" s="22" t="str">
        <f t="shared" si="2"/>
        <v>'7-ACT'</v>
      </c>
      <c r="Y104" s="80">
        <v>7</v>
      </c>
      <c r="Z104" s="924" t="s">
        <v>200</v>
      </c>
      <c r="AA104" s="924">
        <v>3.66</v>
      </c>
      <c r="AB104" s="22" t="s">
        <v>1589</v>
      </c>
    </row>
    <row r="105" spans="16:28" ht="14.5" thickBot="1" x14ac:dyDescent="0.35">
      <c r="P105" s="22">
        <v>3.99</v>
      </c>
      <c r="R105" s="22" t="str">
        <f t="shared" si="1"/>
        <v>'8-NSW'</v>
      </c>
      <c r="S105" s="79">
        <v>8</v>
      </c>
      <c r="T105" s="924" t="s">
        <v>214</v>
      </c>
      <c r="U105" s="924">
        <v>3.99</v>
      </c>
      <c r="V105" s="22" t="s">
        <v>1589</v>
      </c>
      <c r="X105" s="22" t="str">
        <f t="shared" si="2"/>
        <v>'8-NSW'</v>
      </c>
      <c r="Y105" s="80">
        <v>8</v>
      </c>
      <c r="Z105" s="924" t="s">
        <v>214</v>
      </c>
      <c r="AA105" s="924">
        <v>5.7</v>
      </c>
      <c r="AB105" s="22" t="s">
        <v>1589</v>
      </c>
    </row>
    <row r="106" spans="16:28" ht="14.5" thickBot="1" x14ac:dyDescent="0.35">
      <c r="P106" s="22">
        <v>2.82</v>
      </c>
      <c r="R106" s="22" t="str">
        <f t="shared" si="1"/>
        <v>'8-VIC'</v>
      </c>
      <c r="S106" s="79">
        <v>8</v>
      </c>
      <c r="T106" s="924" t="s">
        <v>241</v>
      </c>
      <c r="U106" s="924">
        <v>2.82</v>
      </c>
      <c r="V106" s="22" t="s">
        <v>1589</v>
      </c>
      <c r="X106" s="22" t="str">
        <f t="shared" si="2"/>
        <v>'8-VIC'</v>
      </c>
      <c r="Y106" s="80">
        <v>8</v>
      </c>
      <c r="Z106" s="924" t="s">
        <v>241</v>
      </c>
      <c r="AA106" s="924">
        <v>4.0199999999999996</v>
      </c>
      <c r="AB106" s="22" t="s">
        <v>1589</v>
      </c>
    </row>
    <row r="107" spans="16:28" ht="14.5" thickBot="1" x14ac:dyDescent="0.35">
      <c r="P107" s="22">
        <v>3.92</v>
      </c>
      <c r="R107" s="22" t="str">
        <f t="shared" si="1"/>
        <v>'8-TAS'</v>
      </c>
      <c r="S107" s="79">
        <v>8</v>
      </c>
      <c r="T107" s="924" t="s">
        <v>239</v>
      </c>
      <c r="U107" s="924">
        <v>3.92</v>
      </c>
      <c r="V107" s="22" t="s">
        <v>1589</v>
      </c>
      <c r="X107" s="22" t="str">
        <f t="shared" si="2"/>
        <v>'8-TAS'</v>
      </c>
      <c r="Y107" s="80">
        <v>8</v>
      </c>
      <c r="Z107" s="924" t="s">
        <v>239</v>
      </c>
      <c r="AA107" s="924">
        <v>5.6</v>
      </c>
      <c r="AB107" s="22" t="s">
        <v>1589</v>
      </c>
    </row>
    <row r="110" spans="16:28" ht="14.5" thickBot="1" x14ac:dyDescent="0.35"/>
    <row r="111" spans="16:28" ht="14.5" thickBot="1" x14ac:dyDescent="0.35">
      <c r="T111" s="81" t="s">
        <v>214</v>
      </c>
      <c r="U111" s="81" t="s">
        <v>241</v>
      </c>
      <c r="V111" s="81" t="s">
        <v>230</v>
      </c>
      <c r="W111" s="81" t="s">
        <v>234</v>
      </c>
      <c r="X111" s="81" t="s">
        <v>243</v>
      </c>
      <c r="Y111" s="82" t="s">
        <v>239</v>
      </c>
      <c r="Z111" s="82" t="s">
        <v>223</v>
      </c>
      <c r="AA111" s="81" t="s">
        <v>200</v>
      </c>
    </row>
    <row r="112" spans="16:28" x14ac:dyDescent="0.3">
      <c r="T112" s="22">
        <v>2</v>
      </c>
      <c r="U112" s="22">
        <v>3</v>
      </c>
      <c r="V112" s="22">
        <v>4</v>
      </c>
      <c r="W112" s="22">
        <v>5</v>
      </c>
      <c r="X112" s="22">
        <v>6</v>
      </c>
      <c r="Y112" s="22">
        <v>7</v>
      </c>
      <c r="Z112" s="22">
        <v>8</v>
      </c>
      <c r="AA112" s="22">
        <v>9</v>
      </c>
    </row>
    <row r="114" spans="19:27" ht="14.5" thickBot="1" x14ac:dyDescent="0.35"/>
    <row r="115" spans="19:27" ht="14.5" thickBot="1" x14ac:dyDescent="0.35">
      <c r="S115" s="83" t="s">
        <v>1590</v>
      </c>
    </row>
    <row r="116" spans="19:27" ht="14.5" thickBot="1" x14ac:dyDescent="0.35">
      <c r="S116" s="83"/>
      <c r="T116" s="81" t="s">
        <v>214</v>
      </c>
      <c r="U116" s="81" t="s">
        <v>241</v>
      </c>
      <c r="V116" s="81" t="s">
        <v>230</v>
      </c>
      <c r="W116" s="81" t="s">
        <v>234</v>
      </c>
      <c r="X116" s="81" t="s">
        <v>243</v>
      </c>
      <c r="Y116" s="82" t="s">
        <v>239</v>
      </c>
      <c r="Z116" s="82" t="s">
        <v>223</v>
      </c>
      <c r="AA116" s="81" t="s">
        <v>200</v>
      </c>
    </row>
    <row r="117" spans="19:27" ht="14.5" thickBot="1" x14ac:dyDescent="0.35">
      <c r="S117" s="84">
        <v>1</v>
      </c>
      <c r="T117" s="925">
        <v>0.06</v>
      </c>
      <c r="U117" s="926">
        <v>4.9000000000000002E-2</v>
      </c>
      <c r="V117" s="927">
        <v>4.5987605668263286E-2</v>
      </c>
      <c r="W117" s="926">
        <v>6.7943718901488967E-2</v>
      </c>
      <c r="X117" s="926">
        <v>6.3E-2</v>
      </c>
      <c r="Y117" s="926">
        <v>6.0999999999999999E-2</v>
      </c>
      <c r="Z117" s="926">
        <v>2.8000000000000001E-2</v>
      </c>
      <c r="AA117" s="926">
        <v>5.6000000000000001E-2</v>
      </c>
    </row>
    <row r="118" spans="19:27" ht="14.5" thickBot="1" x14ac:dyDescent="0.35">
      <c r="S118" s="84">
        <v>1.5</v>
      </c>
      <c r="T118" s="926">
        <v>0.05</v>
      </c>
      <c r="U118" s="926">
        <v>4.1000000000000002E-2</v>
      </c>
      <c r="V118" s="927">
        <v>3.8822614280842743E-2</v>
      </c>
      <c r="W118" s="926">
        <v>5.7358443195872258E-2</v>
      </c>
      <c r="X118" s="926">
        <v>5.2999999999999999E-2</v>
      </c>
      <c r="Y118" s="926">
        <v>5.1999999999999998E-2</v>
      </c>
      <c r="Z118" s="926">
        <v>2.3E-2</v>
      </c>
      <c r="AA118" s="926">
        <v>4.8000000000000001E-2</v>
      </c>
    </row>
    <row r="119" spans="19:27" ht="14.5" thickBot="1" x14ac:dyDescent="0.35">
      <c r="S119" s="84">
        <v>2</v>
      </c>
      <c r="T119" s="926">
        <v>4.3999999999999997E-2</v>
      </c>
      <c r="U119" s="926">
        <v>3.5999999999999997E-2</v>
      </c>
      <c r="V119" s="927">
        <v>3.3738971989031946E-2</v>
      </c>
      <c r="W119" s="926">
        <v>4.9848070560668964E-2</v>
      </c>
      <c r="X119" s="926">
        <v>4.5999999999999999E-2</v>
      </c>
      <c r="Y119" s="926">
        <v>4.4999999999999998E-2</v>
      </c>
      <c r="Z119" s="926">
        <v>0.02</v>
      </c>
      <c r="AA119" s="926">
        <v>4.1000000000000002E-2</v>
      </c>
    </row>
    <row r="120" spans="19:27" ht="14.5" thickBot="1" x14ac:dyDescent="0.35">
      <c r="S120" s="84">
        <v>2.5</v>
      </c>
      <c r="T120" s="926">
        <v>3.9E-2</v>
      </c>
      <c r="U120" s="926">
        <v>3.2000000000000001E-2</v>
      </c>
      <c r="V120" s="927">
        <v>2.9795792683703817E-2</v>
      </c>
      <c r="W120" s="926">
        <v>4.4022572964557125E-2</v>
      </c>
      <c r="X120" s="926">
        <v>4.1000000000000002E-2</v>
      </c>
      <c r="Y120" s="926">
        <v>0.04</v>
      </c>
      <c r="Z120" s="926">
        <v>1.7999999999999999E-2</v>
      </c>
      <c r="AA120" s="926">
        <v>3.6999999999999998E-2</v>
      </c>
    </row>
    <row r="121" spans="19:27" ht="14.5" thickBot="1" x14ac:dyDescent="0.35">
      <c r="S121" s="84">
        <v>3</v>
      </c>
      <c r="T121" s="926">
        <v>3.5000000000000003E-2</v>
      </c>
      <c r="U121" s="926">
        <v>2.8000000000000001E-2</v>
      </c>
      <c r="V121" s="927">
        <v>2.6573980601611407E-2</v>
      </c>
      <c r="W121" s="926">
        <v>3.9262794855052255E-2</v>
      </c>
      <c r="X121" s="926">
        <v>3.5999999999999997E-2</v>
      </c>
      <c r="Y121" s="926">
        <v>3.5000000000000003E-2</v>
      </c>
      <c r="Z121" s="926">
        <v>1.6E-2</v>
      </c>
      <c r="AA121" s="926">
        <v>3.3000000000000002E-2</v>
      </c>
    </row>
    <row r="122" spans="19:27" ht="14.5" thickBot="1" x14ac:dyDescent="0.35">
      <c r="S122" s="84">
        <v>3.5</v>
      </c>
      <c r="T122" s="926">
        <v>3.1E-2</v>
      </c>
      <c r="U122" s="926">
        <v>2.5000000000000001E-2</v>
      </c>
      <c r="V122" s="927">
        <v>2.3849977299623987E-2</v>
      </c>
      <c r="W122" s="926">
        <v>3.5238459804884409E-2</v>
      </c>
      <c r="X122" s="926">
        <v>3.3000000000000002E-2</v>
      </c>
      <c r="Y122" s="926">
        <v>3.2000000000000001E-2</v>
      </c>
      <c r="Z122" s="926">
        <v>1.4E-2</v>
      </c>
      <c r="AA122" s="926">
        <v>2.9000000000000001E-2</v>
      </c>
    </row>
    <row r="123" spans="19:27" ht="14.5" thickBot="1" x14ac:dyDescent="0.35">
      <c r="S123" s="84">
        <v>4</v>
      </c>
      <c r="T123" s="926">
        <v>2.8000000000000001E-2</v>
      </c>
      <c r="U123" s="926">
        <v>2.3E-2</v>
      </c>
      <c r="V123" s="927">
        <v>2.1490338309800613E-2</v>
      </c>
      <c r="W123" s="926">
        <v>3.1752422219848961E-2</v>
      </c>
      <c r="X123" s="926">
        <v>2.9000000000000001E-2</v>
      </c>
      <c r="Y123" s="926">
        <v>2.9000000000000001E-2</v>
      </c>
      <c r="Z123" s="926">
        <v>1.2999999999999999E-2</v>
      </c>
      <c r="AA123" s="926">
        <v>2.5999999999999999E-2</v>
      </c>
    </row>
    <row r="124" spans="19:27" ht="14.5" thickBot="1" x14ac:dyDescent="0.35">
      <c r="S124" s="84">
        <v>4.5</v>
      </c>
      <c r="T124" s="926">
        <v>2.5000000000000001E-2</v>
      </c>
      <c r="U124" s="926">
        <v>2.1000000000000001E-2</v>
      </c>
      <c r="V124" s="927">
        <v>1.9408989214190868E-2</v>
      </c>
      <c r="W124" s="926">
        <v>2.8677519149435535E-2</v>
      </c>
      <c r="X124" s="926">
        <v>2.7E-2</v>
      </c>
      <c r="Y124" s="926">
        <v>2.5999999999999999E-2</v>
      </c>
      <c r="Z124" s="926">
        <v>1.2E-2</v>
      </c>
      <c r="AA124" s="926">
        <v>2.4E-2</v>
      </c>
    </row>
    <row r="125" spans="19:27" ht="14.5" thickBot="1" x14ac:dyDescent="0.35">
      <c r="S125" s="84">
        <v>5</v>
      </c>
      <c r="T125" s="926">
        <v>2.3E-2</v>
      </c>
      <c r="U125" s="926">
        <v>1.9E-2</v>
      </c>
      <c r="V125" s="927">
        <v>1.7547159004472485E-2</v>
      </c>
      <c r="W125" s="926">
        <v>2.5926924623737115E-2</v>
      </c>
      <c r="X125" s="926">
        <v>2.4E-2</v>
      </c>
      <c r="Y125" s="926">
        <v>2.3E-2</v>
      </c>
      <c r="Z125" s="926">
        <v>1.0999999999999999E-2</v>
      </c>
      <c r="AA125" s="926">
        <v>2.1999999999999999E-2</v>
      </c>
    </row>
    <row r="126" spans="19:27" ht="14.5" thickBot="1" x14ac:dyDescent="0.35">
      <c r="S126" s="84">
        <v>5.5</v>
      </c>
      <c r="T126" s="926">
        <v>2.1000000000000001E-2</v>
      </c>
      <c r="U126" s="926">
        <v>1.7000000000000001E-2</v>
      </c>
      <c r="V126" s="927">
        <v>1.586292871245604E-2</v>
      </c>
      <c r="W126" s="926">
        <v>2.34387092123347E-2</v>
      </c>
      <c r="X126" s="926">
        <v>2.1999999999999999E-2</v>
      </c>
      <c r="Y126" s="926">
        <v>2.1000000000000001E-2</v>
      </c>
      <c r="Z126" s="926">
        <v>0.01</v>
      </c>
      <c r="AA126" s="926">
        <v>0.02</v>
      </c>
    </row>
    <row r="127" spans="19:27" ht="14.5" thickBot="1" x14ac:dyDescent="0.35">
      <c r="S127" s="84">
        <v>6</v>
      </c>
      <c r="T127" s="926">
        <v>1.9E-2</v>
      </c>
      <c r="U127" s="926">
        <v>1.4999999999999999E-2</v>
      </c>
      <c r="V127" s="927">
        <v>1.4325346922380071E-2</v>
      </c>
      <c r="W127" s="926">
        <v>2.1167146514232252E-2</v>
      </c>
      <c r="X127" s="926">
        <v>0.02</v>
      </c>
      <c r="Y127" s="926">
        <v>1.9E-2</v>
      </c>
      <c r="Z127" s="926">
        <v>8.9999999999999993E-3</v>
      </c>
      <c r="AA127" s="926">
        <v>1.7999999999999999E-2</v>
      </c>
    </row>
    <row r="128" spans="19:27" ht="14.5" thickBot="1" x14ac:dyDescent="0.35">
      <c r="S128" s="84">
        <v>6.5</v>
      </c>
      <c r="T128" s="926">
        <v>1.7000000000000001E-2</v>
      </c>
      <c r="U128" s="926">
        <v>1.4E-2</v>
      </c>
      <c r="V128" s="927">
        <v>1.2910908787906324E-2</v>
      </c>
      <c r="W128" s="926">
        <v>1.9077511396424673E-2</v>
      </c>
      <c r="X128" s="926">
        <v>1.7999999999999999E-2</v>
      </c>
      <c r="Y128" s="926">
        <v>1.7000000000000001E-2</v>
      </c>
      <c r="Z128" s="926">
        <v>8.0000000000000002E-3</v>
      </c>
      <c r="AA128" s="926">
        <v>1.6E-2</v>
      </c>
    </row>
    <row r="129" spans="19:28" ht="14.5" thickBot="1" x14ac:dyDescent="0.35">
      <c r="S129" s="84">
        <v>7</v>
      </c>
      <c r="T129" s="926">
        <v>1.4999999999999999E-2</v>
      </c>
      <c r="U129" s="926">
        <v>1.2E-2</v>
      </c>
      <c r="V129" s="927">
        <v>1.1601343620392647E-2</v>
      </c>
      <c r="W129" s="926">
        <v>1.7142811464064413E-2</v>
      </c>
      <c r="X129" s="926">
        <v>1.6E-2</v>
      </c>
      <c r="Y129" s="926">
        <v>1.6E-2</v>
      </c>
      <c r="Z129" s="926">
        <v>7.0000000000000001E-3</v>
      </c>
      <c r="AA129" s="926">
        <v>1.4E-2</v>
      </c>
    </row>
    <row r="130" spans="19:28" ht="14.5" thickBot="1" x14ac:dyDescent="0.35">
      <c r="S130" s="84">
        <v>7.5</v>
      </c>
      <c r="T130" s="926">
        <v>1.2999999999999999E-2</v>
      </c>
      <c r="U130" s="926">
        <v>1.0999999999999999E-2</v>
      </c>
      <c r="V130" s="927">
        <v>1.0382167617051942E-2</v>
      </c>
      <c r="W130" s="926">
        <v>1.5341648918120404E-2</v>
      </c>
      <c r="X130" s="926">
        <v>1.4E-2</v>
      </c>
      <c r="Y130" s="926">
        <v>1.4E-2</v>
      </c>
      <c r="Z130" s="926">
        <v>6.0000000000000001E-3</v>
      </c>
      <c r="AA130" s="926">
        <v>1.2999999999999999E-2</v>
      </c>
    </row>
    <row r="131" spans="19:28" ht="14.5" thickBot="1" x14ac:dyDescent="0.35">
      <c r="S131" s="84">
        <v>8</v>
      </c>
      <c r="T131" s="926">
        <v>1.2E-2</v>
      </c>
      <c r="U131" s="926">
        <v>0.01</v>
      </c>
      <c r="V131" s="927">
        <v>9.2417046305692738E-3</v>
      </c>
      <c r="W131" s="926">
        <v>1.3656773879028958E-2</v>
      </c>
      <c r="X131" s="926">
        <v>1.2999999999999999E-2</v>
      </c>
      <c r="Y131" s="926">
        <v>1.2E-2</v>
      </c>
      <c r="Z131" s="926">
        <v>6.0000000000000001E-3</v>
      </c>
      <c r="AA131" s="926">
        <v>1.0999999999999999E-2</v>
      </c>
    </row>
    <row r="132" spans="19:28" ht="14.5" thickBot="1" x14ac:dyDescent="0.35">
      <c r="S132" s="84">
        <v>8.5</v>
      </c>
      <c r="T132" s="926">
        <v>1.0999999999999999E-2</v>
      </c>
      <c r="U132" s="926">
        <v>8.9999999999999993E-3</v>
      </c>
      <c r="V132" s="927">
        <v>8.1704043275490999E-3</v>
      </c>
      <c r="W132" s="926">
        <v>1.2074077060873841E-2</v>
      </c>
      <c r="X132" s="926">
        <v>1.0999999999999999E-2</v>
      </c>
      <c r="Y132" s="926">
        <v>1.0999999999999999E-2</v>
      </c>
      <c r="Z132" s="926">
        <v>5.0000000000000001E-3</v>
      </c>
      <c r="AA132" s="926">
        <v>0.01</v>
      </c>
    </row>
    <row r="133" spans="19:28" ht="14.5" thickBot="1" x14ac:dyDescent="0.35">
      <c r="S133" s="84">
        <v>9</v>
      </c>
      <c r="T133" s="926">
        <v>8.9999999999999993E-3</v>
      </c>
      <c r="U133" s="926">
        <v>8.0000000000000002E-3</v>
      </c>
      <c r="V133" s="927">
        <v>7.1603555349595274E-3</v>
      </c>
      <c r="W133" s="926">
        <v>1.0581870808615529E-2</v>
      </c>
      <c r="X133" s="926">
        <v>0.01</v>
      </c>
      <c r="Y133" s="926">
        <v>0.01</v>
      </c>
      <c r="Z133" s="926">
        <v>4.0000000000000001E-3</v>
      </c>
      <c r="AA133" s="926">
        <v>8.9999999999999993E-3</v>
      </c>
    </row>
    <row r="134" spans="19:28" ht="14.5" thickBot="1" x14ac:dyDescent="0.35">
      <c r="S134" s="84">
        <v>9.5</v>
      </c>
      <c r="T134" s="926">
        <v>8.0000000000000002E-3</v>
      </c>
      <c r="U134" s="926">
        <v>7.0000000000000001E-3</v>
      </c>
      <c r="V134" s="927">
        <v>6.2049313393960862E-3</v>
      </c>
      <c r="W134" s="926">
        <v>9.1703647817398988E-3</v>
      </c>
      <c r="X134" s="926">
        <v>8.9999999999999993E-3</v>
      </c>
      <c r="Y134" s="926">
        <v>8.0000000000000002E-3</v>
      </c>
      <c r="Z134" s="926">
        <v>4.0000000000000001E-3</v>
      </c>
      <c r="AA134" s="926">
        <v>8.0000000000000002E-3</v>
      </c>
    </row>
    <row r="135" spans="19:28" ht="14.5" thickBot="1" x14ac:dyDescent="0.35">
      <c r="S135" s="84">
        <v>10</v>
      </c>
      <c r="T135" s="926">
        <v>7.0000000000000001E-3</v>
      </c>
      <c r="U135" s="926">
        <v>6.0000000000000001E-3</v>
      </c>
      <c r="V135" s="927">
        <v>5.298525325241138E-3</v>
      </c>
      <c r="W135" s="926">
        <v>7.8312762829171011E-3</v>
      </c>
      <c r="X135" s="926">
        <v>7.0000000000000001E-3</v>
      </c>
      <c r="Y135" s="926">
        <v>7.0000000000000001E-3</v>
      </c>
      <c r="Z135" s="926">
        <v>3.0000000000000001E-3</v>
      </c>
      <c r="AA135" s="926">
        <v>7.0000000000000001E-3</v>
      </c>
    </row>
    <row r="140" spans="19:28" ht="14.5" thickBot="1" x14ac:dyDescent="0.35"/>
    <row r="141" spans="19:28" ht="14.5" thickBot="1" x14ac:dyDescent="0.35">
      <c r="S141" s="83" t="s">
        <v>1591</v>
      </c>
      <c r="T141" s="81" t="s">
        <v>214</v>
      </c>
      <c r="U141" s="81" t="s">
        <v>241</v>
      </c>
      <c r="V141" s="81" t="s">
        <v>230</v>
      </c>
      <c r="W141" s="81" t="s">
        <v>234</v>
      </c>
      <c r="X141" s="81" t="s">
        <v>243</v>
      </c>
      <c r="Y141" s="82" t="s">
        <v>239</v>
      </c>
      <c r="Z141" s="82" t="s">
        <v>223</v>
      </c>
      <c r="AA141" s="81" t="s">
        <v>200</v>
      </c>
    </row>
    <row r="142" spans="19:28" ht="14.5" thickBot="1" x14ac:dyDescent="0.35">
      <c r="S142" s="84" t="s">
        <v>1592</v>
      </c>
      <c r="T142" s="926">
        <v>7.0999999999999994E-2</v>
      </c>
      <c r="U142" s="926">
        <v>5.8000000000000003E-2</v>
      </c>
      <c r="V142" s="926">
        <v>5.5E-2</v>
      </c>
      <c r="W142" s="926">
        <v>8.1000000000000003E-2</v>
      </c>
      <c r="X142" s="926">
        <v>7.4999999999999997E-2</v>
      </c>
      <c r="Y142" s="926">
        <v>7.2999999999999995E-2</v>
      </c>
      <c r="Z142" s="926">
        <v>3.3000000000000002E-2</v>
      </c>
      <c r="AA142" s="926">
        <v>6.7000000000000004E-2</v>
      </c>
      <c r="AB142" s="22" t="s">
        <v>1589</v>
      </c>
    </row>
    <row r="144" spans="19:28" x14ac:dyDescent="0.3">
      <c r="T144" s="70"/>
      <c r="U144" s="70"/>
      <c r="V144" s="70"/>
      <c r="W144" s="70"/>
      <c r="X144" s="70"/>
      <c r="Y144" s="70"/>
      <c r="Z144" s="70"/>
      <c r="AA144" s="70"/>
    </row>
    <row r="190" spans="22:27" x14ac:dyDescent="0.3">
      <c r="V190" s="85"/>
      <c r="W190" s="85"/>
      <c r="X190" s="85"/>
      <c r="Y190" s="85"/>
      <c r="Z190" s="85"/>
      <c r="AA190" s="85"/>
    </row>
    <row r="191" spans="22:27" x14ac:dyDescent="0.3">
      <c r="V191" s="85"/>
      <c r="W191" s="85"/>
      <c r="X191" s="85"/>
      <c r="Y191" s="85"/>
      <c r="Z191" s="85"/>
      <c r="AA191" s="85"/>
    </row>
    <row r="192" spans="22:27" x14ac:dyDescent="0.3">
      <c r="V192" s="85"/>
      <c r="W192" s="85"/>
      <c r="X192" s="85"/>
      <c r="Y192" s="85"/>
      <c r="Z192" s="85"/>
      <c r="AA192" s="85"/>
    </row>
    <row r="193" spans="20:27" x14ac:dyDescent="0.3">
      <c r="V193" s="85"/>
      <c r="W193" s="85"/>
      <c r="X193" s="85"/>
      <c r="Y193" s="85"/>
      <c r="Z193" s="85"/>
      <c r="AA193" s="85"/>
    </row>
    <row r="194" spans="20:27" x14ac:dyDescent="0.3">
      <c r="V194" s="85"/>
      <c r="W194" s="85"/>
      <c r="X194" s="85"/>
      <c r="Y194" s="85"/>
      <c r="Z194" s="85"/>
      <c r="AA194" s="85"/>
    </row>
    <row r="195" spans="20:27" x14ac:dyDescent="0.3">
      <c r="V195" s="85"/>
      <c r="W195" s="85"/>
      <c r="X195" s="85"/>
      <c r="Y195" s="85"/>
      <c r="Z195" s="85"/>
      <c r="AA195" s="85"/>
    </row>
    <row r="196" spans="20:27" x14ac:dyDescent="0.3">
      <c r="V196" s="85"/>
      <c r="W196" s="85"/>
      <c r="X196" s="85"/>
      <c r="Y196" s="85"/>
      <c r="Z196" s="85"/>
      <c r="AA196" s="85"/>
    </row>
    <row r="197" spans="20:27" x14ac:dyDescent="0.3">
      <c r="V197" s="85"/>
      <c r="W197" s="85"/>
      <c r="X197" s="85"/>
      <c r="Y197" s="85"/>
      <c r="Z197" s="85"/>
      <c r="AA197" s="85"/>
    </row>
    <row r="198" spans="20:27" x14ac:dyDescent="0.3">
      <c r="V198" s="85"/>
      <c r="W198" s="85"/>
      <c r="X198" s="85"/>
      <c r="Y198" s="85"/>
      <c r="Z198" s="85"/>
      <c r="AA198" s="85"/>
    </row>
    <row r="199" spans="20:27" x14ac:dyDescent="0.3">
      <c r="V199" s="85"/>
      <c r="W199" s="85"/>
      <c r="X199" s="85"/>
      <c r="Y199" s="85"/>
      <c r="Z199" s="85"/>
      <c r="AA199" s="85"/>
    </row>
    <row r="200" spans="20:27" x14ac:dyDescent="0.3">
      <c r="V200" s="85"/>
      <c r="W200" s="85"/>
      <c r="X200" s="85"/>
      <c r="Y200" s="85"/>
      <c r="Z200" s="85"/>
      <c r="AA200" s="85"/>
    </row>
    <row r="201" spans="20:27" x14ac:dyDescent="0.3">
      <c r="T201" s="85"/>
      <c r="U201" s="85"/>
      <c r="V201" s="85"/>
      <c r="W201" s="85"/>
      <c r="X201" s="85"/>
      <c r="Y201" s="85"/>
      <c r="Z201" s="85"/>
      <c r="AA201" s="85"/>
    </row>
    <row r="202" spans="20:27" x14ac:dyDescent="0.3">
      <c r="T202" s="85"/>
      <c r="U202" s="85"/>
      <c r="V202" s="85"/>
      <c r="W202" s="85"/>
      <c r="X202" s="85"/>
      <c r="Y202" s="85"/>
      <c r="Z202" s="85"/>
      <c r="AA202" s="85"/>
    </row>
    <row r="203" spans="20:27" x14ac:dyDescent="0.3">
      <c r="T203" s="85"/>
      <c r="U203" s="85"/>
      <c r="V203" s="85"/>
      <c r="W203" s="85"/>
      <c r="X203" s="85"/>
      <c r="Y203" s="85"/>
      <c r="Z203" s="85"/>
      <c r="AA203" s="85"/>
    </row>
    <row r="204" spans="20:27" x14ac:dyDescent="0.3">
      <c r="T204" s="85"/>
      <c r="U204" s="85"/>
      <c r="V204" s="85"/>
      <c r="W204" s="85"/>
      <c r="X204" s="85"/>
      <c r="Y204" s="85"/>
      <c r="Z204" s="85"/>
      <c r="AA204" s="85"/>
    </row>
    <row r="205" spans="20:27" x14ac:dyDescent="0.3">
      <c r="T205" s="85"/>
      <c r="U205" s="85"/>
      <c r="V205" s="85"/>
      <c r="W205" s="85"/>
      <c r="X205" s="85"/>
      <c r="Y205" s="85"/>
      <c r="Z205" s="85"/>
      <c r="AA205" s="85"/>
    </row>
    <row r="206" spans="20:27" x14ac:dyDescent="0.3">
      <c r="T206" s="85"/>
      <c r="U206" s="85"/>
      <c r="V206" s="85"/>
      <c r="W206" s="85"/>
      <c r="X206" s="85"/>
      <c r="Y206" s="85"/>
      <c r="Z206" s="85"/>
      <c r="AA206" s="85"/>
    </row>
    <row r="207" spans="20:27" x14ac:dyDescent="0.3">
      <c r="T207" s="85"/>
      <c r="U207" s="85"/>
      <c r="V207" s="85"/>
      <c r="W207" s="85"/>
      <c r="X207" s="85"/>
      <c r="Y207" s="85"/>
      <c r="Z207" s="85"/>
      <c r="AA207" s="85"/>
    </row>
    <row r="208" spans="20:27" x14ac:dyDescent="0.3">
      <c r="T208" s="85"/>
      <c r="U208" s="85"/>
      <c r="V208" s="85"/>
      <c r="W208" s="85"/>
      <c r="X208" s="85"/>
      <c r="Y208" s="85"/>
      <c r="Z208" s="85"/>
      <c r="AA208" s="85"/>
    </row>
    <row r="209" spans="20:27" x14ac:dyDescent="0.3">
      <c r="T209" s="85"/>
      <c r="U209" s="85"/>
      <c r="V209" s="85"/>
      <c r="W209" s="85"/>
      <c r="X209" s="85"/>
      <c r="Y209" s="85"/>
      <c r="Z209" s="85"/>
      <c r="AA209" s="85"/>
    </row>
    <row r="210" spans="20:27" x14ac:dyDescent="0.3">
      <c r="T210" s="85"/>
      <c r="U210" s="85"/>
      <c r="V210" s="85"/>
      <c r="W210" s="85"/>
      <c r="X210" s="85"/>
      <c r="Y210" s="85"/>
      <c r="Z210" s="85"/>
      <c r="AA210" s="85"/>
    </row>
    <row r="211" spans="20:27" x14ac:dyDescent="0.3">
      <c r="T211" s="85"/>
      <c r="U211" s="85"/>
      <c r="V211" s="85"/>
      <c r="W211" s="85"/>
      <c r="X211" s="85"/>
      <c r="Y211" s="85"/>
      <c r="Z211" s="85"/>
      <c r="AA211" s="85"/>
    </row>
    <row r="212" spans="20:27" x14ac:dyDescent="0.3">
      <c r="T212" s="85"/>
      <c r="U212" s="85"/>
      <c r="V212" s="85"/>
      <c r="W212" s="85"/>
      <c r="X212" s="85"/>
      <c r="Y212" s="85"/>
      <c r="Z212" s="85"/>
      <c r="AA212" s="85"/>
    </row>
    <row r="213" spans="20:27" x14ac:dyDescent="0.3">
      <c r="T213" s="85"/>
      <c r="U213" s="85"/>
      <c r="V213" s="85"/>
      <c r="W213" s="85"/>
      <c r="X213" s="85"/>
      <c r="Y213" s="85"/>
      <c r="Z213" s="85"/>
      <c r="AA213" s="85"/>
    </row>
    <row r="214" spans="20:27" x14ac:dyDescent="0.3">
      <c r="T214" s="85"/>
      <c r="U214" s="85"/>
      <c r="V214" s="85"/>
      <c r="W214" s="85"/>
      <c r="X214" s="85"/>
      <c r="Y214" s="85"/>
      <c r="Z214" s="85"/>
      <c r="AA214" s="85"/>
    </row>
    <row r="215" spans="20:27" x14ac:dyDescent="0.3">
      <c r="T215" s="85"/>
      <c r="U215" s="85"/>
      <c r="V215" s="85"/>
      <c r="W215" s="85"/>
      <c r="X215" s="85"/>
      <c r="Y215" s="85"/>
      <c r="Z215" s="85"/>
      <c r="AA215" s="85"/>
    </row>
    <row r="216" spans="20:27" x14ac:dyDescent="0.3">
      <c r="T216" s="85"/>
      <c r="U216" s="85"/>
      <c r="V216" s="85"/>
      <c r="W216" s="85"/>
      <c r="X216" s="85"/>
      <c r="Y216" s="85"/>
      <c r="Z216" s="85"/>
      <c r="AA216" s="85"/>
    </row>
    <row r="217" spans="20:27" x14ac:dyDescent="0.3">
      <c r="T217" s="85"/>
      <c r="U217" s="85"/>
      <c r="V217" s="85"/>
      <c r="W217" s="85"/>
      <c r="X217" s="85"/>
      <c r="Y217" s="85"/>
      <c r="Z217" s="85"/>
      <c r="AA217" s="85"/>
    </row>
    <row r="218" spans="20:27" x14ac:dyDescent="0.3">
      <c r="T218" s="85"/>
      <c r="U218" s="85"/>
      <c r="V218" s="85"/>
      <c r="W218" s="85"/>
      <c r="X218" s="85"/>
      <c r="Y218" s="85"/>
      <c r="Z218" s="85"/>
      <c r="AA218" s="85"/>
    </row>
    <row r="219" spans="20:27" x14ac:dyDescent="0.3">
      <c r="T219" s="85"/>
      <c r="U219" s="85"/>
      <c r="V219" s="85"/>
      <c r="W219" s="85"/>
      <c r="X219" s="85"/>
      <c r="Y219" s="85"/>
      <c r="Z219" s="85"/>
      <c r="AA219" s="85"/>
    </row>
  </sheetData>
  <sheetProtection algorithmName="SHA-512" hashValue="Z3/jxy07KoB0SvaOg0drdHrFp7GvBSR/yCf68A958ZN32YiIUzwPE7HFooXe/RHrroFGdepsDQYnBsxUJXq8IQ==" saltValue="pcrY9bq54+zK11yNQGBUDw==" spinCount="100000" sheet="1" objects="1" scenarios="1" autoFilter="0"/>
  <dataConsolidate/>
  <mergeCells count="40">
    <mergeCell ref="C32:L32"/>
    <mergeCell ref="C33:L33"/>
    <mergeCell ref="C31:L31"/>
    <mergeCell ref="E20:F20"/>
    <mergeCell ref="D21:D22"/>
    <mergeCell ref="E21:F22"/>
    <mergeCell ref="G21:G22"/>
    <mergeCell ref="C24:H24"/>
    <mergeCell ref="I24:L24"/>
    <mergeCell ref="F26:G28"/>
    <mergeCell ref="K26:K28"/>
    <mergeCell ref="D27:E27"/>
    <mergeCell ref="I27:J27"/>
    <mergeCell ref="C30:L30"/>
    <mergeCell ref="C12:L12"/>
    <mergeCell ref="C13:H13"/>
    <mergeCell ref="I13:L13"/>
    <mergeCell ref="G15:H15"/>
    <mergeCell ref="E17:F17"/>
    <mergeCell ref="D18:D19"/>
    <mergeCell ref="E18:F19"/>
    <mergeCell ref="G18:G19"/>
    <mergeCell ref="I19:J20"/>
    <mergeCell ref="K19:K20"/>
    <mergeCell ref="C36:D36"/>
    <mergeCell ref="C4:H4"/>
    <mergeCell ref="I4:L4"/>
    <mergeCell ref="D6:E6"/>
    <mergeCell ref="F6:G6"/>
    <mergeCell ref="D7:E7"/>
    <mergeCell ref="F7:G7"/>
    <mergeCell ref="J7:J8"/>
    <mergeCell ref="D8:E8"/>
    <mergeCell ref="F8:G8"/>
    <mergeCell ref="D9:E9"/>
    <mergeCell ref="F9:G9"/>
    <mergeCell ref="J9:J10"/>
    <mergeCell ref="K9:K10"/>
    <mergeCell ref="D10:E10"/>
    <mergeCell ref="F10:G10"/>
  </mergeCells>
  <conditionalFormatting sqref="E17:G20">
    <cfRule type="expression" dxfId="769" priority="6">
      <formula>$F$8=1</formula>
    </cfRule>
  </conditionalFormatting>
  <conditionalFormatting sqref="G18">
    <cfRule type="expression" dxfId="768" priority="14">
      <formula>AND($Y$26=TRUE,$Y$27=FALSE)</formula>
    </cfRule>
    <cfRule type="expression" dxfId="767" priority="15">
      <formula>AND($Y26=TRUE,$Y$27=TRUE)</formula>
    </cfRule>
  </conditionalFormatting>
  <conditionalFormatting sqref="G21">
    <cfRule type="expression" dxfId="766" priority="4">
      <formula>AND($Y$27=TRUE,$Y$26=FALSE)</formula>
    </cfRule>
    <cfRule type="expression" dxfId="765" priority="5">
      <formula>AND(Y27=TRUE,$Y$26=TRUE)</formula>
    </cfRule>
  </conditionalFormatting>
  <conditionalFormatting sqref="J9:J10">
    <cfRule type="expression" dxfId="764" priority="11">
      <formula>$W$11&gt;10</formula>
    </cfRule>
    <cfRule type="expression" dxfId="763" priority="12">
      <formula>NOT(($J$9)&gt;($J$7))</formula>
    </cfRule>
    <cfRule type="expression" dxfId="762" priority="13">
      <formula>($J$9)&gt;($J$7)</formula>
    </cfRule>
  </conditionalFormatting>
  <conditionalFormatting sqref="K9:K10">
    <cfRule type="expression" dxfId="761" priority="2">
      <formula>$K$9="û"</formula>
    </cfRule>
    <cfRule type="expression" dxfId="760" priority="3">
      <formula>$K$9="ü"</formula>
    </cfRule>
  </conditionalFormatting>
  <conditionalFormatting sqref="P7">
    <cfRule type="cellIs" dxfId="759" priority="8" operator="equal">
      <formula>"NOT OK"</formula>
    </cfRule>
    <cfRule type="containsText" dxfId="758" priority="10" operator="containsText" text="OK">
      <formula>NOT(ISERROR(SEARCH("OK",P7)))</formula>
    </cfRule>
  </conditionalFormatting>
  <conditionalFormatting sqref="P9">
    <cfRule type="cellIs" dxfId="757" priority="7" operator="equal">
      <formula>"NOT OK"</formula>
    </cfRule>
    <cfRule type="cellIs" dxfId="756" priority="9" operator="equal">
      <formula>"OK"</formula>
    </cfRule>
  </conditionalFormatting>
  <dataValidations count="15">
    <dataValidation type="decimal" allowBlank="1" showInputMessage="1" showErrorMessage="1" error="Input a number only, no units. The number must be between 0 and 10" sqref="K26:K28" xr:uid="{00000000-0002-0000-1300-000000000000}">
      <formula1>0</formula1>
      <formula2>100</formula2>
    </dataValidation>
    <dataValidation type="decimal" allowBlank="1" showInputMessage="1" showErrorMessage="1" error="Input a number only, no units. The number must be between 0 and 100,000" sqref="K22" xr:uid="{00000000-0002-0000-1300-000001000000}">
      <formula1>0</formula1>
      <formula2>100000</formula2>
    </dataValidation>
    <dataValidation type="decimal" allowBlank="1" showInputMessage="1" showErrorMessage="1" error="Input a number only, no units. The number must be between 0 and 1,000,000" sqref="K18" xr:uid="{00000000-0002-0000-1300-000002000000}">
      <formula1>0</formula1>
      <formula2>1000000</formula2>
    </dataValidation>
    <dataValidation type="list" allowBlank="1" showInputMessage="1" showErrorMessage="1" sqref="K19:K20" xr:uid="{00000000-0002-0000-1300-000003000000}">
      <formula1>$S$116:$S$135</formula1>
    </dataValidation>
    <dataValidation type="list" allowBlank="1" showInputMessage="1" showErrorMessage="1" promptTitle="Note:" prompt="The Main Water Heater is the domestic hot water unit in a dwelling that is connected to at least one shower and the largest number of hot water outlets" sqref="F26:G28" xr:uid="{00000000-0002-0000-1300-000004000000}">
      <formula1>$AD$10:$AD$17</formula1>
    </dataValidation>
    <dataValidation type="list" allowBlank="1" showInputMessage="1" showErrorMessage="1" promptTitle="Note:" prompt="For Heat Pumps with Seasonal Star ratings (2019) you must use the rating applicable to your particular GEMS climate zone (hot , average or cold) - for more detail see: https://www.energyrating.gov.au/products/space-heating-and-cooling_x000a__x000a_" sqref="G18" xr:uid="{00000000-0002-0000-1300-000005000000}">
      <formula1>INDIRECT("$P$41:$P$"&amp;$P$47)</formula1>
    </dataValidation>
    <dataValidation type="list" allowBlank="1" showInputMessage="1" showErrorMessage="1" sqref="G15:H15" xr:uid="{00000000-0002-0000-1300-000006000000}">
      <formula1>$O$58:$R$58</formula1>
    </dataValidation>
    <dataValidation type="list" allowBlank="1" showInputMessage="1" showErrorMessage="1" prompt="Select the type of cooler to be used._x000a_See help for a definition of a main space conditioning - cooler" sqref="E21" xr:uid="{00000000-0002-0000-1300-000007000000}">
      <formula1>$AD$6:$AD$9</formula1>
    </dataValidation>
    <dataValidation type="decimal" allowBlank="1" showInputMessage="1" showErrorMessage="1" prompt="The total floor area is measured within the inside face of the external walls of the Class 1 building and includes any conditioned, attached Class 10a building_x000a_The input value must be between 10 and 500" sqref="F9:G9" xr:uid="{00000000-0002-0000-1300-000008000000}">
      <formula1>10</formula1>
      <formula2>500</formula2>
    </dataValidation>
    <dataValidation type="list" allowBlank="1" showInputMessage="1" showErrorMessage="1" prompt="For Heat Pumps with Seasonal Star ratings (2019) you must use the rating applicable to your particular GEMS climate zone (hot , average or cold) - for more detail see: https://www.energyrating.gov.au/products/space-heating-and-cooling_x000a_" sqref="G21" xr:uid="{00000000-0002-0000-1300-000009000000}">
      <formula1>$P$51:$P$54</formula1>
    </dataValidation>
    <dataValidation type="list" allowBlank="1" showInputMessage="1" showErrorMessage="1" promptTitle="Space heating input" prompt="Select the type of heating to be used._x000a_See help for a definition of a main space conditioning - heater_x000a_Note: hydronic heaintg should be treated as ducted gas &lt;3 stars" sqref="E18" xr:uid="{00000000-0002-0000-1300-00000A000000}">
      <formula1>$AC$8:$AC$15</formula1>
    </dataValidation>
    <dataValidation type="custom" allowBlank="1" showInputMessage="1" showErrorMessage="1" sqref="V1:X1" xr:uid="{00000000-0002-0000-1300-00000B000000}">
      <formula1>F8=1</formula1>
    </dataValidation>
    <dataValidation allowBlank="1" showInputMessage="1" showErrorMessage="1" promptTitle="Help" prompt="To find which NCC climate zone your project is located within, go to: https://www.abcb.gov.au/resources/climate-zone-map" sqref="F8:G8" xr:uid="{00000000-0002-0000-1300-00000C000000}"/>
    <dataValidation type="list" allowBlank="1" showInputMessage="1" showErrorMessage="1" sqref="F7" xr:uid="{00000000-0002-0000-1300-00000D000000}">
      <formula1>$AA$6:$AA$13</formula1>
    </dataValidation>
    <dataValidation type="whole" operator="equal" allowBlank="1" showInputMessage="1" showErrorMessage="1" prompt="For information about building classifications refer to:_x000a_https://www.abcb.gov.au/resource/understanding-ncc/building-classifications" sqref="F10:G10" xr:uid="{00000000-0002-0000-1300-00000E000000}">
      <formula1>$Z$6</formula1>
    </dataValidation>
  </dataValidations>
  <hyperlinks>
    <hyperlink ref="H8" r:id="rId1" xr:uid="{00000000-0004-0000-1300-000001000000}"/>
    <hyperlink ref="H19" location="Screenshots!B35" display="&lt; Help" xr:uid="{00000000-0004-0000-1300-000002000000}"/>
    <hyperlink ref="H9" location="'13.6 Help'!E20" display="&lt; Help" xr:uid="{88BDBB8E-6D3D-448D-B381-626434DD079E}"/>
    <hyperlink ref="H19" location="'13.6 Help'!D40" display="&lt; Help" xr:uid="{E67B1605-E064-4E2A-85AF-6FE22B5C6714}"/>
    <hyperlink ref="H22" location="'13.6 Help'!D40" display="&lt; Help" xr:uid="{2F9787B4-FCEC-4637-A4AC-6533C9EBA331}"/>
  </hyperlinks>
  <pageMargins left="0.23622047244094491" right="0.23622047244094491" top="0.74803149606299213" bottom="0.74803149606299213" header="0.31496062992125984" footer="0.31496062992125984"/>
  <pageSetup paperSize="9" scale="67" orientation="portrait" r:id="rId2"/>
  <headerFooter>
    <oddHeader>&amp;L&amp;"Inter,Italic"&amp;10Report from &amp;F&amp;R&amp;"Inter,Italic"&amp;10printed &amp;D</oddHeader>
    <oddFooter>&amp;R&amp;"Inter,Italic"&amp;10page &amp;P of &amp;N</oddFooter>
  </headerFooter>
  <drawing r:id="rId3"/>
  <legacy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D6B75-40CD-402B-A7B2-97BA1792DC38}">
  <sheetPr codeName="Sheet53"/>
  <dimension ref="A1:AJ127"/>
  <sheetViews>
    <sheetView showGridLines="0" zoomScale="85" zoomScaleNormal="85" workbookViewId="0">
      <selection activeCell="N39" sqref="N39"/>
    </sheetView>
  </sheetViews>
  <sheetFormatPr defaultColWidth="0" defaultRowHeight="14" x14ac:dyDescent="0.3"/>
  <cols>
    <col min="1" max="1" width="1.58203125" customWidth="1"/>
    <col min="2" max="18" width="8.75" customWidth="1"/>
    <col min="19" max="36" width="0" hidden="1" customWidth="1"/>
    <col min="37" max="16384" width="8.75" hidden="1"/>
  </cols>
  <sheetData>
    <row r="1" spans="1:36" ht="167.15" customHeight="1" x14ac:dyDescent="0.3">
      <c r="A1" s="1042"/>
      <c r="B1" s="1042"/>
      <c r="C1" s="1042"/>
      <c r="D1" s="1042"/>
      <c r="E1" s="1042"/>
      <c r="F1" s="1042"/>
      <c r="G1" s="1042"/>
      <c r="H1" s="1042"/>
      <c r="I1" s="1042"/>
      <c r="J1" s="1042"/>
      <c r="K1" s="1042"/>
      <c r="L1" s="1042"/>
      <c r="M1" s="1042"/>
      <c r="N1" s="1042"/>
      <c r="O1" s="1042"/>
      <c r="P1" s="1042"/>
      <c r="Q1" s="1042"/>
      <c r="R1" s="1042"/>
      <c r="S1" s="168"/>
      <c r="T1" s="168"/>
      <c r="U1" s="168"/>
      <c r="V1" s="168"/>
      <c r="W1" s="168"/>
      <c r="X1" s="168"/>
      <c r="Y1" s="168"/>
      <c r="Z1" s="168"/>
      <c r="AA1" s="168"/>
      <c r="AB1" s="168"/>
      <c r="AC1" s="168"/>
      <c r="AD1" s="168"/>
      <c r="AE1" s="168"/>
      <c r="AF1" s="168"/>
      <c r="AG1" s="168"/>
      <c r="AH1" s="168"/>
      <c r="AI1" s="168"/>
      <c r="AJ1" s="168"/>
    </row>
    <row r="2" spans="1:36" x14ac:dyDescent="0.3">
      <c r="A2" s="168"/>
      <c r="B2" s="168"/>
      <c r="C2" s="168"/>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row>
    <row r="3" spans="1:36" x14ac:dyDescent="0.3">
      <c r="A3" s="168"/>
      <c r="B3" s="168"/>
      <c r="C3" s="168"/>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68"/>
    </row>
    <row r="4" spans="1:36" x14ac:dyDescent="0.3">
      <c r="A4" s="168"/>
      <c r="B4" s="168"/>
      <c r="C4" s="168"/>
      <c r="D4" s="168"/>
      <c r="E4" s="168"/>
      <c r="F4" s="168"/>
      <c r="G4" s="168"/>
      <c r="H4" s="168"/>
      <c r="I4" s="168"/>
      <c r="J4" s="168"/>
      <c r="K4" s="168"/>
      <c r="L4" s="168"/>
      <c r="M4" s="168"/>
      <c r="N4" s="168"/>
      <c r="O4" s="168"/>
      <c r="P4" s="168"/>
      <c r="Q4" s="168"/>
      <c r="R4" s="168"/>
      <c r="S4" s="168"/>
      <c r="T4" s="168"/>
      <c r="U4" s="168"/>
      <c r="V4" s="168"/>
      <c r="W4" s="168"/>
      <c r="X4" s="168"/>
      <c r="Y4" s="168"/>
      <c r="Z4" s="168"/>
      <c r="AA4" s="168"/>
      <c r="AB4" s="168"/>
      <c r="AC4" s="168"/>
      <c r="AD4" s="168"/>
      <c r="AE4" s="168"/>
      <c r="AF4" s="168"/>
      <c r="AG4" s="168"/>
      <c r="AH4" s="168"/>
      <c r="AI4" s="168"/>
      <c r="AJ4" s="168"/>
    </row>
    <row r="5" spans="1:36" x14ac:dyDescent="0.3">
      <c r="A5" s="168"/>
      <c r="B5" s="168"/>
      <c r="C5" s="168"/>
      <c r="D5" s="168"/>
      <c r="E5" s="168"/>
      <c r="F5" s="168"/>
      <c r="G5" s="168"/>
      <c r="H5" s="168"/>
      <c r="I5" s="168"/>
      <c r="J5" s="168"/>
      <c r="K5" s="168"/>
      <c r="L5" s="168"/>
      <c r="M5" s="168"/>
      <c r="N5" s="168"/>
      <c r="O5" s="168"/>
      <c r="P5" s="168"/>
      <c r="Q5" s="168"/>
      <c r="R5" s="168"/>
      <c r="S5" s="168"/>
      <c r="T5" s="168"/>
      <c r="U5" s="168"/>
      <c r="V5" s="168"/>
      <c r="W5" s="168"/>
      <c r="X5" s="168"/>
      <c r="Y5" s="168"/>
      <c r="Z5" s="168"/>
      <c r="AA5" s="168"/>
      <c r="AB5" s="168"/>
      <c r="AC5" s="168"/>
      <c r="AD5" s="168"/>
      <c r="AE5" s="168"/>
      <c r="AF5" s="168"/>
      <c r="AG5" s="168"/>
      <c r="AH5" s="168"/>
      <c r="AI5" s="168"/>
      <c r="AJ5" s="168"/>
    </row>
    <row r="6" spans="1:36" x14ac:dyDescent="0.3">
      <c r="A6" s="168"/>
      <c r="B6" s="168"/>
      <c r="C6" s="168"/>
      <c r="D6" s="168"/>
      <c r="E6" s="168"/>
      <c r="F6" s="168"/>
      <c r="G6" s="168"/>
      <c r="H6" s="168"/>
      <c r="I6" s="168"/>
      <c r="J6" s="168"/>
      <c r="K6" s="168"/>
      <c r="L6" s="168"/>
      <c r="M6" s="168"/>
      <c r="N6" s="168"/>
      <c r="O6" s="168"/>
      <c r="P6" s="168"/>
      <c r="Q6" s="168"/>
      <c r="R6" s="168"/>
      <c r="S6" s="168"/>
      <c r="T6" s="168"/>
      <c r="U6" s="168"/>
      <c r="V6" s="168"/>
      <c r="W6" s="168"/>
      <c r="X6" s="168"/>
      <c r="Y6" s="168"/>
      <c r="Z6" s="168"/>
      <c r="AA6" s="168"/>
      <c r="AB6" s="168"/>
      <c r="AC6" s="168"/>
      <c r="AD6" s="168"/>
      <c r="AE6" s="168"/>
      <c r="AF6" s="168"/>
      <c r="AG6" s="168"/>
      <c r="AH6" s="168"/>
      <c r="AI6" s="168"/>
      <c r="AJ6" s="168"/>
    </row>
    <row r="7" spans="1:36" x14ac:dyDescent="0.3">
      <c r="A7" s="168"/>
      <c r="B7" s="168"/>
      <c r="C7" s="168"/>
      <c r="D7" s="168"/>
      <c r="E7" s="168"/>
      <c r="F7" s="168"/>
      <c r="G7" s="168"/>
      <c r="H7" s="168"/>
      <c r="I7" s="168"/>
      <c r="J7" s="168"/>
      <c r="K7" s="168"/>
      <c r="L7" s="168"/>
      <c r="M7" s="168"/>
      <c r="N7" s="168"/>
      <c r="O7" s="168"/>
      <c r="P7" s="168"/>
      <c r="Q7" s="168"/>
      <c r="R7" s="168"/>
      <c r="S7" s="168"/>
      <c r="T7" s="168"/>
      <c r="U7" s="168"/>
      <c r="V7" s="168"/>
      <c r="W7" s="168"/>
      <c r="X7" s="168"/>
      <c r="Y7" s="168"/>
      <c r="Z7" s="168"/>
      <c r="AA7" s="168"/>
      <c r="AB7" s="168"/>
      <c r="AC7" s="168"/>
      <c r="AD7" s="168"/>
      <c r="AE7" s="168"/>
      <c r="AF7" s="168"/>
      <c r="AG7" s="168"/>
      <c r="AH7" s="168"/>
      <c r="AI7" s="168"/>
      <c r="AJ7" s="168"/>
    </row>
    <row r="8" spans="1:36" x14ac:dyDescent="0.3">
      <c r="A8" s="168"/>
      <c r="B8" s="168"/>
      <c r="C8" s="168"/>
      <c r="D8" s="168"/>
      <c r="E8" s="168"/>
      <c r="F8" s="168"/>
      <c r="G8" s="168"/>
      <c r="H8" s="168"/>
      <c r="I8" s="168"/>
      <c r="J8" s="168"/>
      <c r="K8" s="168"/>
      <c r="L8" s="168"/>
      <c r="M8" s="168"/>
      <c r="N8" s="168"/>
      <c r="O8" s="168"/>
      <c r="P8" s="168"/>
      <c r="Q8" s="168"/>
      <c r="R8" s="168"/>
      <c r="S8" s="168"/>
      <c r="T8" s="168"/>
      <c r="U8" s="168"/>
      <c r="V8" s="168"/>
      <c r="W8" s="168"/>
      <c r="X8" s="168"/>
      <c r="Y8" s="168"/>
      <c r="Z8" s="168"/>
      <c r="AA8" s="168"/>
      <c r="AB8" s="168"/>
      <c r="AC8" s="168"/>
      <c r="AD8" s="168"/>
      <c r="AE8" s="168"/>
      <c r="AF8" s="168"/>
      <c r="AG8" s="168"/>
      <c r="AH8" s="168"/>
      <c r="AI8" s="168"/>
      <c r="AJ8" s="168"/>
    </row>
    <row r="9" spans="1:36" x14ac:dyDescent="0.3">
      <c r="A9" s="168"/>
      <c r="B9" s="168"/>
      <c r="C9" s="168"/>
      <c r="D9" s="168"/>
      <c r="E9" s="168"/>
      <c r="F9" s="168"/>
      <c r="G9" s="168"/>
      <c r="H9" s="168"/>
      <c r="I9" s="168"/>
      <c r="J9" s="168"/>
      <c r="K9" s="168"/>
      <c r="L9" s="168"/>
      <c r="M9" s="168"/>
      <c r="N9" s="168"/>
      <c r="O9" s="168"/>
      <c r="P9" s="168"/>
      <c r="Q9" s="168"/>
      <c r="R9" s="168"/>
      <c r="S9" s="168"/>
      <c r="T9" s="168"/>
      <c r="U9" s="168"/>
      <c r="V9" s="168"/>
      <c r="W9" s="168"/>
      <c r="X9" s="168"/>
      <c r="Y9" s="168"/>
      <c r="Z9" s="168"/>
      <c r="AA9" s="168"/>
      <c r="AB9" s="168"/>
      <c r="AC9" s="168"/>
      <c r="AD9" s="168"/>
      <c r="AE9" s="168"/>
      <c r="AF9" s="168"/>
      <c r="AG9" s="168"/>
      <c r="AH9" s="168"/>
      <c r="AI9" s="168"/>
      <c r="AJ9" s="168"/>
    </row>
    <row r="10" spans="1:36" x14ac:dyDescent="0.3">
      <c r="A10" s="168"/>
      <c r="B10" s="168"/>
      <c r="C10" s="168"/>
      <c r="D10" s="168"/>
      <c r="E10" s="168"/>
      <c r="F10" s="168"/>
      <c r="G10" s="168"/>
      <c r="H10" s="168"/>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c r="AF10" s="168"/>
      <c r="AG10" s="168"/>
      <c r="AH10" s="168"/>
      <c r="AI10" s="168"/>
      <c r="AJ10" s="168"/>
    </row>
    <row r="11" spans="1:36" x14ac:dyDescent="0.3">
      <c r="A11" s="168"/>
      <c r="B11" s="168"/>
      <c r="C11" s="168"/>
      <c r="D11" s="168"/>
      <c r="E11" s="168"/>
      <c r="F11" s="168"/>
      <c r="G11" s="168"/>
      <c r="H11" s="168"/>
      <c r="I11" s="168"/>
      <c r="J11" s="168"/>
      <c r="K11" s="168"/>
      <c r="L11" s="168"/>
      <c r="M11" s="168"/>
      <c r="N11" s="168"/>
      <c r="O11" s="168"/>
      <c r="P11" s="168"/>
      <c r="Q11" s="168"/>
      <c r="R11" s="168"/>
      <c r="S11" s="168"/>
      <c r="T11" s="168"/>
      <c r="U11" s="168"/>
      <c r="V11" s="168"/>
      <c r="W11" s="168"/>
      <c r="X11" s="168"/>
      <c r="Y11" s="168"/>
      <c r="Z11" s="168"/>
      <c r="AA11" s="168"/>
      <c r="AB11" s="168"/>
      <c r="AC11" s="168"/>
      <c r="AD11" s="168"/>
      <c r="AE11" s="168"/>
      <c r="AF11" s="168"/>
      <c r="AG11" s="168"/>
      <c r="AH11" s="168"/>
      <c r="AI11" s="168"/>
      <c r="AJ11" s="168"/>
    </row>
    <row r="12" spans="1:36" x14ac:dyDescent="0.3">
      <c r="A12" s="168"/>
      <c r="B12" s="168"/>
      <c r="C12" s="168"/>
      <c r="D12" s="168"/>
      <c r="E12" s="168"/>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8"/>
      <c r="AG12" s="168"/>
      <c r="AH12" s="168"/>
      <c r="AI12" s="168"/>
      <c r="AJ12" s="168"/>
    </row>
    <row r="13" spans="1:36" x14ac:dyDescent="0.3">
      <c r="A13" s="168"/>
      <c r="B13" s="168"/>
      <c r="C13" s="168"/>
      <c r="D13" s="168"/>
      <c r="E13" s="168"/>
      <c r="F13" s="168"/>
      <c r="G13" s="168"/>
      <c r="H13" s="168"/>
      <c r="I13" s="168"/>
      <c r="J13" s="168"/>
      <c r="K13" s="168"/>
      <c r="L13" s="168"/>
      <c r="M13" s="168"/>
      <c r="N13" s="168"/>
      <c r="O13" s="168"/>
      <c r="P13" s="168"/>
      <c r="Q13" s="168"/>
      <c r="R13" s="168"/>
      <c r="S13" s="168"/>
      <c r="T13" s="168"/>
      <c r="U13" s="168"/>
      <c r="V13" s="168"/>
      <c r="W13" s="168"/>
      <c r="X13" s="168"/>
      <c r="Y13" s="168"/>
      <c r="Z13" s="168"/>
      <c r="AA13" s="168"/>
      <c r="AB13" s="168"/>
      <c r="AC13" s="168"/>
      <c r="AD13" s="168"/>
      <c r="AE13" s="168"/>
      <c r="AF13" s="168"/>
      <c r="AG13" s="168"/>
      <c r="AH13" s="168"/>
      <c r="AI13" s="168"/>
      <c r="AJ13" s="168"/>
    </row>
    <row r="14" spans="1:36" x14ac:dyDescent="0.3">
      <c r="A14" s="168"/>
      <c r="B14" s="168"/>
      <c r="C14" s="168"/>
      <c r="D14" s="168"/>
      <c r="E14" s="168"/>
      <c r="F14" s="168"/>
      <c r="G14" s="168"/>
      <c r="H14" s="168"/>
      <c r="I14" s="168"/>
      <c r="J14" s="168"/>
      <c r="K14" s="168"/>
      <c r="L14" s="168"/>
      <c r="M14" s="168"/>
      <c r="N14" s="168"/>
      <c r="O14" s="168"/>
      <c r="P14" s="168"/>
      <c r="Q14" s="168"/>
      <c r="R14" s="168"/>
      <c r="S14" s="168"/>
      <c r="T14" s="168"/>
      <c r="U14" s="168"/>
      <c r="V14" s="168"/>
      <c r="W14" s="168"/>
      <c r="X14" s="168"/>
      <c r="Y14" s="168"/>
      <c r="Z14" s="168"/>
      <c r="AA14" s="168"/>
      <c r="AB14" s="168"/>
      <c r="AC14" s="168"/>
      <c r="AD14" s="168"/>
      <c r="AE14" s="168"/>
      <c r="AF14" s="168"/>
      <c r="AG14" s="168"/>
      <c r="AH14" s="168"/>
      <c r="AI14" s="168"/>
      <c r="AJ14" s="168"/>
    </row>
    <row r="15" spans="1:36" x14ac:dyDescent="0.3">
      <c r="A15" s="168"/>
      <c r="B15" s="168"/>
      <c r="C15" s="168"/>
      <c r="D15" s="168"/>
      <c r="E15" s="168"/>
      <c r="F15" s="168"/>
      <c r="G15" s="168"/>
      <c r="H15" s="168"/>
      <c r="I15" s="168"/>
      <c r="J15" s="168"/>
      <c r="K15" s="168"/>
      <c r="L15" s="168"/>
      <c r="M15" s="168"/>
      <c r="N15" s="168"/>
      <c r="O15" s="168"/>
      <c r="P15" s="168"/>
      <c r="Q15" s="168"/>
      <c r="R15" s="168"/>
      <c r="S15" s="168"/>
      <c r="T15" s="168"/>
      <c r="U15" s="168"/>
      <c r="V15" s="168"/>
      <c r="W15" s="168"/>
      <c r="X15" s="168"/>
      <c r="Y15" s="168"/>
      <c r="Z15" s="168"/>
      <c r="AA15" s="168"/>
      <c r="AB15" s="168"/>
      <c r="AC15" s="168"/>
      <c r="AD15" s="168"/>
      <c r="AE15" s="168"/>
      <c r="AF15" s="168"/>
      <c r="AG15" s="168"/>
      <c r="AH15" s="168"/>
      <c r="AI15" s="168"/>
      <c r="AJ15" s="168"/>
    </row>
    <row r="16" spans="1:36" x14ac:dyDescent="0.3">
      <c r="A16" s="168"/>
      <c r="B16" s="168"/>
      <c r="C16" s="168"/>
      <c r="D16" s="168"/>
      <c r="E16" s="168"/>
      <c r="F16" s="168"/>
      <c r="G16" s="168"/>
      <c r="H16" s="168"/>
      <c r="I16" s="168"/>
      <c r="J16" s="168"/>
      <c r="K16" s="168"/>
      <c r="L16" s="168"/>
      <c r="M16" s="168"/>
      <c r="N16" s="168"/>
      <c r="O16" s="168"/>
      <c r="P16" s="168"/>
      <c r="Q16" s="168"/>
      <c r="R16" s="168"/>
      <c r="S16" s="168"/>
      <c r="T16" s="168"/>
      <c r="U16" s="168"/>
      <c r="V16" s="168"/>
      <c r="W16" s="168"/>
      <c r="X16" s="168"/>
      <c r="Y16" s="168"/>
      <c r="Z16" s="168"/>
      <c r="AA16" s="168"/>
      <c r="AB16" s="168"/>
      <c r="AC16" s="168"/>
      <c r="AD16" s="168"/>
      <c r="AE16" s="168"/>
      <c r="AF16" s="168"/>
      <c r="AG16" s="168"/>
      <c r="AH16" s="168"/>
      <c r="AI16" s="168"/>
      <c r="AJ16" s="168"/>
    </row>
    <row r="17" spans="1:36" x14ac:dyDescent="0.3">
      <c r="A17" s="168"/>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row>
    <row r="18" spans="1:36" x14ac:dyDescent="0.3">
      <c r="A18" s="168"/>
      <c r="B18" s="168"/>
      <c r="C18" s="168"/>
      <c r="D18" s="168"/>
      <c r="E18" s="168"/>
      <c r="F18" s="168"/>
      <c r="G18" s="168"/>
      <c r="H18" s="168"/>
      <c r="I18" s="168"/>
      <c r="J18" s="168"/>
      <c r="K18" s="168"/>
      <c r="L18" s="168"/>
      <c r="M18" s="168"/>
      <c r="N18" s="168"/>
      <c r="O18" s="168"/>
      <c r="P18" s="168"/>
      <c r="Q18" s="168"/>
      <c r="R18" s="168"/>
      <c r="S18" s="168"/>
      <c r="T18" s="168"/>
      <c r="U18" s="168"/>
      <c r="V18" s="168"/>
      <c r="W18" s="168"/>
      <c r="X18" s="168"/>
      <c r="Y18" s="168"/>
      <c r="Z18" s="168"/>
      <c r="AA18" s="168"/>
      <c r="AB18" s="168"/>
      <c r="AC18" s="168"/>
      <c r="AD18" s="168"/>
      <c r="AE18" s="168"/>
      <c r="AF18" s="168"/>
      <c r="AG18" s="168"/>
      <c r="AH18" s="168"/>
      <c r="AI18" s="168"/>
      <c r="AJ18" s="168"/>
    </row>
    <row r="19" spans="1:36" x14ac:dyDescent="0.3">
      <c r="A19" s="168"/>
      <c r="B19" s="168"/>
      <c r="C19" s="168"/>
      <c r="D19" s="168"/>
      <c r="E19" s="168"/>
      <c r="F19" s="168"/>
      <c r="G19" s="168"/>
      <c r="H19" s="168"/>
      <c r="I19" s="168"/>
      <c r="J19" s="168"/>
      <c r="K19" s="168"/>
      <c r="L19" s="168"/>
      <c r="M19" s="168"/>
      <c r="N19" s="168"/>
      <c r="O19" s="168"/>
      <c r="P19" s="168"/>
      <c r="Q19" s="168"/>
      <c r="R19" s="168"/>
      <c r="S19" s="168"/>
      <c r="T19" s="168"/>
      <c r="U19" s="168"/>
      <c r="V19" s="168"/>
      <c r="W19" s="168"/>
      <c r="X19" s="168"/>
      <c r="Y19" s="168"/>
      <c r="Z19" s="168"/>
      <c r="AA19" s="168"/>
      <c r="AB19" s="168"/>
      <c r="AC19" s="168"/>
      <c r="AD19" s="168"/>
      <c r="AE19" s="168"/>
      <c r="AF19" s="168"/>
      <c r="AG19" s="168"/>
      <c r="AH19" s="168"/>
      <c r="AI19" s="168"/>
      <c r="AJ19" s="168"/>
    </row>
    <row r="20" spans="1:36" x14ac:dyDescent="0.3">
      <c r="A20" s="168"/>
      <c r="B20" s="168"/>
      <c r="C20" s="168"/>
      <c r="D20" s="168"/>
      <c r="E20" s="168"/>
      <c r="F20" s="168"/>
      <c r="G20" s="168"/>
      <c r="H20" s="168"/>
      <c r="I20" s="168"/>
      <c r="J20" s="168"/>
      <c r="K20" s="168"/>
      <c r="L20" s="168"/>
      <c r="M20" s="168"/>
      <c r="N20" s="168"/>
      <c r="O20" s="168"/>
      <c r="P20" s="168"/>
      <c r="Q20" s="168"/>
      <c r="R20" s="168"/>
      <c r="S20" s="168"/>
      <c r="T20" s="168"/>
      <c r="U20" s="168"/>
      <c r="V20" s="168"/>
      <c r="W20" s="168"/>
      <c r="X20" s="168"/>
      <c r="Y20" s="168"/>
      <c r="Z20" s="168"/>
      <c r="AA20" s="168"/>
      <c r="AB20" s="168"/>
      <c r="AC20" s="168"/>
      <c r="AD20" s="168"/>
      <c r="AE20" s="168"/>
      <c r="AF20" s="168"/>
      <c r="AG20" s="168"/>
      <c r="AH20" s="168"/>
      <c r="AI20" s="168"/>
      <c r="AJ20" s="168"/>
    </row>
    <row r="21" spans="1:36" x14ac:dyDescent="0.3">
      <c r="A21" s="168"/>
      <c r="B21" s="168"/>
      <c r="C21" s="168"/>
      <c r="D21" s="168"/>
      <c r="E21" s="168"/>
      <c r="F21" s="168"/>
      <c r="G21" s="168"/>
      <c r="H21" s="168"/>
      <c r="I21" s="168"/>
      <c r="J21" s="168"/>
      <c r="K21" s="168"/>
      <c r="L21" s="168"/>
      <c r="M21" s="168"/>
      <c r="N21" s="168"/>
      <c r="O21" s="168"/>
      <c r="P21" s="168"/>
      <c r="Q21" s="168"/>
      <c r="R21" s="168"/>
      <c r="S21" s="168"/>
      <c r="T21" s="168"/>
      <c r="U21" s="168"/>
      <c r="V21" s="168"/>
      <c r="W21" s="168"/>
      <c r="X21" s="168"/>
      <c r="Y21" s="168"/>
      <c r="Z21" s="168"/>
      <c r="AA21" s="168"/>
      <c r="AB21" s="168"/>
      <c r="AC21" s="168"/>
      <c r="AD21" s="168"/>
      <c r="AE21" s="168"/>
      <c r="AF21" s="168"/>
      <c r="AG21" s="168"/>
      <c r="AH21" s="168"/>
      <c r="AI21" s="168"/>
      <c r="AJ21" s="168"/>
    </row>
    <row r="22" spans="1:36" x14ac:dyDescent="0.3">
      <c r="A22" s="168"/>
      <c r="B22" s="168"/>
      <c r="C22" s="168"/>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row>
    <row r="23" spans="1:36" x14ac:dyDescent="0.3">
      <c r="A23" s="168"/>
      <c r="B23" s="168"/>
      <c r="C23" s="168"/>
      <c r="D23" s="168"/>
      <c r="E23" s="168"/>
      <c r="F23" s="168"/>
      <c r="G23" s="168"/>
      <c r="H23" s="168"/>
      <c r="I23" s="168"/>
      <c r="J23" s="168"/>
      <c r="K23" s="168"/>
      <c r="L23" s="168"/>
      <c r="M23" s="168"/>
      <c r="N23" s="168"/>
      <c r="O23" s="168"/>
      <c r="P23" s="168"/>
      <c r="Q23" s="168"/>
      <c r="R23" s="168"/>
      <c r="S23" s="168"/>
      <c r="T23" s="168"/>
      <c r="U23" s="168"/>
      <c r="V23" s="168"/>
      <c r="W23" s="168"/>
      <c r="X23" s="168"/>
      <c r="Y23" s="168"/>
      <c r="Z23" s="168"/>
      <c r="AA23" s="168"/>
      <c r="AB23" s="168"/>
      <c r="AC23" s="168"/>
      <c r="AD23" s="168"/>
      <c r="AE23" s="168"/>
      <c r="AF23" s="168"/>
      <c r="AG23" s="168"/>
      <c r="AH23" s="168"/>
      <c r="AI23" s="168"/>
      <c r="AJ23" s="168"/>
    </row>
    <row r="24" spans="1:36" x14ac:dyDescent="0.3">
      <c r="A24" s="168"/>
      <c r="B24" s="168"/>
      <c r="C24" s="168"/>
      <c r="D24" s="168"/>
      <c r="E24" s="168"/>
      <c r="F24" s="168"/>
      <c r="G24" s="168"/>
      <c r="H24" s="168"/>
      <c r="I24" s="168"/>
      <c r="J24" s="168"/>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row>
    <row r="25" spans="1:36" x14ac:dyDescent="0.3">
      <c r="A25" s="168"/>
      <c r="B25" s="168"/>
      <c r="C25" s="168"/>
      <c r="D25" s="168"/>
      <c r="E25" s="168"/>
      <c r="F25" s="168"/>
      <c r="G25" s="168"/>
      <c r="H25" s="168"/>
      <c r="I25" s="168"/>
      <c r="J25" s="168"/>
      <c r="K25" s="168"/>
      <c r="L25" s="168"/>
      <c r="M25" s="168"/>
      <c r="N25" s="168"/>
      <c r="O25" s="168"/>
      <c r="P25" s="168"/>
      <c r="Q25" s="168"/>
      <c r="R25" s="168"/>
      <c r="S25" s="168"/>
      <c r="T25" s="168"/>
      <c r="U25" s="168"/>
      <c r="V25" s="168"/>
      <c r="W25" s="168"/>
      <c r="X25" s="168"/>
      <c r="Y25" s="168"/>
      <c r="Z25" s="168"/>
      <c r="AA25" s="168"/>
      <c r="AB25" s="168"/>
      <c r="AC25" s="168"/>
      <c r="AD25" s="168"/>
      <c r="AE25" s="168"/>
      <c r="AF25" s="168"/>
      <c r="AG25" s="168"/>
      <c r="AH25" s="168"/>
      <c r="AI25" s="168"/>
      <c r="AJ25" s="168"/>
    </row>
    <row r="26" spans="1:36" x14ac:dyDescent="0.3">
      <c r="A26" s="168"/>
      <c r="B26" s="168"/>
      <c r="C26" s="168"/>
      <c r="D26" s="168"/>
      <c r="E26" s="168"/>
      <c r="F26" s="168"/>
      <c r="G26" s="168"/>
      <c r="H26" s="168"/>
      <c r="I26" s="168"/>
      <c r="J26" s="168"/>
      <c r="K26" s="168"/>
      <c r="L26" s="168"/>
      <c r="M26" s="168"/>
      <c r="N26" s="168"/>
      <c r="O26" s="168"/>
      <c r="P26" s="168"/>
      <c r="Q26" s="168"/>
      <c r="R26" s="168"/>
      <c r="S26" s="168"/>
      <c r="T26" s="168"/>
      <c r="U26" s="168"/>
      <c r="V26" s="168"/>
      <c r="W26" s="168"/>
      <c r="X26" s="168"/>
      <c r="Y26" s="168"/>
      <c r="Z26" s="168"/>
      <c r="AA26" s="168"/>
      <c r="AB26" s="168"/>
      <c r="AC26" s="168"/>
      <c r="AD26" s="168"/>
      <c r="AE26" s="168"/>
      <c r="AF26" s="168"/>
      <c r="AG26" s="168"/>
      <c r="AH26" s="168"/>
      <c r="AI26" s="168"/>
      <c r="AJ26" s="168"/>
    </row>
    <row r="27" spans="1:36" x14ac:dyDescent="0.3">
      <c r="A27" s="168"/>
      <c r="B27" s="168"/>
      <c r="C27" s="168"/>
      <c r="D27" s="168"/>
      <c r="E27" s="168"/>
      <c r="F27" s="168"/>
      <c r="G27" s="168"/>
      <c r="H27" s="168"/>
      <c r="I27" s="168"/>
      <c r="J27" s="168"/>
      <c r="K27" s="168"/>
      <c r="L27" s="168"/>
      <c r="M27" s="168"/>
      <c r="N27" s="168"/>
      <c r="O27" s="168"/>
      <c r="P27" s="168"/>
      <c r="Q27" s="168"/>
      <c r="R27" s="168"/>
      <c r="S27" s="168"/>
      <c r="T27" s="168"/>
      <c r="U27" s="168"/>
      <c r="V27" s="168"/>
      <c r="W27" s="168"/>
      <c r="X27" s="168"/>
      <c r="Y27" s="168"/>
      <c r="Z27" s="168"/>
      <c r="AA27" s="168"/>
      <c r="AB27" s="168"/>
      <c r="AC27" s="168"/>
      <c r="AD27" s="168"/>
      <c r="AE27" s="168"/>
      <c r="AF27" s="168"/>
      <c r="AG27" s="168"/>
      <c r="AH27" s="168"/>
      <c r="AI27" s="168"/>
      <c r="AJ27" s="168"/>
    </row>
    <row r="28" spans="1:36" x14ac:dyDescent="0.3">
      <c r="A28" s="168"/>
      <c r="B28" s="168"/>
      <c r="C28" s="168"/>
      <c r="D28" s="168"/>
      <c r="E28" s="168"/>
      <c r="F28" s="168"/>
      <c r="G28" s="168"/>
      <c r="H28" s="168"/>
      <c r="I28" s="168"/>
      <c r="J28" s="168"/>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row>
    <row r="29" spans="1:36" x14ac:dyDescent="0.3">
      <c r="A29" s="168"/>
      <c r="B29" s="168"/>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row>
    <row r="30" spans="1:36" x14ac:dyDescent="0.3">
      <c r="A30" s="168"/>
      <c r="B30" s="168"/>
      <c r="C30" s="168"/>
      <c r="D30" s="168"/>
      <c r="E30" s="168"/>
      <c r="F30" s="168"/>
      <c r="G30" s="168"/>
      <c r="H30" s="168"/>
      <c r="I30" s="168"/>
      <c r="J30" s="168"/>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row>
    <row r="31" spans="1:36" x14ac:dyDescent="0.3">
      <c r="A31" s="168"/>
      <c r="B31" s="168"/>
      <c r="C31" s="168"/>
      <c r="D31" s="168"/>
      <c r="E31" s="168"/>
      <c r="F31" s="168"/>
      <c r="G31" s="168"/>
      <c r="H31" s="168"/>
      <c r="I31" s="168"/>
      <c r="J31" s="168"/>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row>
    <row r="32" spans="1:36" x14ac:dyDescent="0.3">
      <c r="A32" s="168"/>
      <c r="B32" s="168"/>
      <c r="C32" s="168"/>
      <c r="D32" s="168"/>
      <c r="E32" s="168"/>
      <c r="F32" s="168"/>
      <c r="G32" s="168"/>
      <c r="H32" s="168"/>
      <c r="I32" s="168"/>
      <c r="J32" s="168"/>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row>
    <row r="33" spans="1:36" x14ac:dyDescent="0.3">
      <c r="A33" s="168"/>
      <c r="B33" s="168"/>
      <c r="C33" s="168"/>
      <c r="D33" s="168"/>
      <c r="E33" s="168"/>
      <c r="F33" s="168"/>
      <c r="G33" s="168"/>
      <c r="H33" s="168"/>
      <c r="I33" s="168"/>
      <c r="J33" s="168"/>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row>
    <row r="34" spans="1:36" x14ac:dyDescent="0.3">
      <c r="A34" s="168"/>
      <c r="B34" s="168"/>
      <c r="C34" s="168"/>
      <c r="D34" s="168"/>
      <c r="E34" s="168"/>
      <c r="F34" s="168"/>
      <c r="G34" s="168"/>
      <c r="H34" s="168"/>
      <c r="I34" s="168"/>
      <c r="J34" s="168"/>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row>
    <row r="35" spans="1:36" x14ac:dyDescent="0.3">
      <c r="A35" s="168"/>
      <c r="B35" s="168"/>
      <c r="C35" s="168"/>
      <c r="D35" s="168"/>
      <c r="E35" s="168"/>
      <c r="F35" s="168"/>
      <c r="G35" s="168"/>
      <c r="H35" s="168"/>
      <c r="I35" s="168"/>
      <c r="J35" s="168"/>
      <c r="K35" s="168"/>
      <c r="L35" s="168"/>
      <c r="M35" s="168"/>
      <c r="N35" s="168"/>
      <c r="O35" s="168"/>
      <c r="P35" s="168"/>
      <c r="Q35" s="168"/>
      <c r="R35" s="168"/>
      <c r="S35" s="168"/>
      <c r="T35" s="168"/>
      <c r="U35" s="168"/>
      <c r="V35" s="168"/>
      <c r="W35" s="168"/>
      <c r="X35" s="168"/>
      <c r="Y35" s="168"/>
      <c r="Z35" s="168"/>
      <c r="AA35" s="168"/>
      <c r="AB35" s="168"/>
      <c r="AC35" s="168"/>
      <c r="AD35" s="168"/>
      <c r="AE35" s="168"/>
      <c r="AF35" s="168"/>
      <c r="AG35" s="168"/>
      <c r="AH35" s="168"/>
      <c r="AI35" s="168"/>
      <c r="AJ35" s="168"/>
    </row>
    <row r="36" spans="1:36" x14ac:dyDescent="0.3">
      <c r="A36" s="168"/>
      <c r="B36" s="168"/>
      <c r="C36" s="168"/>
      <c r="D36" s="168"/>
      <c r="E36" s="168"/>
      <c r="F36" s="168"/>
      <c r="G36" s="168"/>
      <c r="H36" s="168"/>
      <c r="I36" s="168"/>
      <c r="J36" s="168"/>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row>
    <row r="37" spans="1:36" x14ac:dyDescent="0.3">
      <c r="A37" s="168"/>
      <c r="B37" s="168"/>
      <c r="C37" s="168"/>
      <c r="D37" s="168"/>
      <c r="E37" s="168"/>
      <c r="F37" s="168"/>
      <c r="G37" s="168"/>
      <c r="H37" s="168"/>
      <c r="I37" s="168"/>
      <c r="J37" s="168"/>
      <c r="K37" s="168"/>
      <c r="L37" s="168"/>
      <c r="M37" s="168"/>
      <c r="N37" s="168"/>
      <c r="O37" s="168"/>
      <c r="P37" s="168"/>
      <c r="Q37" s="168"/>
      <c r="R37" s="168"/>
      <c r="S37" s="168"/>
      <c r="T37" s="168"/>
      <c r="U37" s="168"/>
      <c r="V37" s="168"/>
      <c r="W37" s="168"/>
      <c r="X37" s="168"/>
      <c r="Y37" s="168"/>
      <c r="Z37" s="168"/>
      <c r="AA37" s="168"/>
      <c r="AB37" s="168"/>
      <c r="AC37" s="168"/>
      <c r="AD37" s="168"/>
      <c r="AE37" s="168"/>
      <c r="AF37" s="168"/>
      <c r="AG37" s="168"/>
      <c r="AH37" s="168"/>
      <c r="AI37" s="168"/>
      <c r="AJ37" s="168"/>
    </row>
    <row r="38" spans="1:36" x14ac:dyDescent="0.3">
      <c r="A38" s="168"/>
      <c r="B38" s="168"/>
      <c r="C38" s="168"/>
      <c r="D38" s="168"/>
      <c r="E38" s="168"/>
      <c r="F38" s="168"/>
      <c r="G38" s="168"/>
      <c r="H38" s="168"/>
      <c r="I38" s="168"/>
      <c r="J38" s="168"/>
      <c r="K38" s="168"/>
      <c r="L38" s="168"/>
      <c r="M38" s="168"/>
      <c r="N38" s="168"/>
      <c r="O38" s="168"/>
      <c r="P38" s="168"/>
      <c r="Q38" s="168"/>
      <c r="R38" s="168"/>
      <c r="S38" s="168"/>
      <c r="T38" s="168"/>
      <c r="U38" s="168"/>
      <c r="V38" s="168"/>
      <c r="W38" s="168"/>
      <c r="X38" s="168"/>
      <c r="Y38" s="168"/>
      <c r="Z38" s="168"/>
      <c r="AA38" s="168"/>
      <c r="AB38" s="168"/>
      <c r="AC38" s="168"/>
      <c r="AD38" s="168"/>
      <c r="AE38" s="168"/>
      <c r="AF38" s="168"/>
      <c r="AG38" s="168"/>
      <c r="AH38" s="168"/>
      <c r="AI38" s="168"/>
      <c r="AJ38" s="168"/>
    </row>
    <row r="39" spans="1:36" x14ac:dyDescent="0.3">
      <c r="A39" s="168"/>
      <c r="B39" s="168"/>
      <c r="C39" s="168"/>
      <c r="D39" s="168"/>
      <c r="E39" s="168"/>
      <c r="F39" s="168"/>
      <c r="G39" s="168"/>
      <c r="H39" s="168"/>
      <c r="I39" s="168"/>
      <c r="J39" s="168"/>
      <c r="K39" s="168"/>
      <c r="L39" s="168"/>
      <c r="M39" s="168"/>
      <c r="N39" s="168"/>
      <c r="O39" s="168"/>
      <c r="P39" s="168"/>
      <c r="Q39" s="168"/>
      <c r="R39" s="168"/>
      <c r="S39" s="168"/>
      <c r="T39" s="168"/>
      <c r="U39" s="168"/>
      <c r="V39" s="168"/>
      <c r="W39" s="168"/>
      <c r="X39" s="168"/>
      <c r="Y39" s="168"/>
      <c r="Z39" s="168"/>
      <c r="AA39" s="168"/>
      <c r="AB39" s="168"/>
      <c r="AC39" s="168"/>
      <c r="AD39" s="168"/>
      <c r="AE39" s="168"/>
      <c r="AF39" s="168"/>
      <c r="AG39" s="168"/>
      <c r="AH39" s="168"/>
      <c r="AI39" s="168"/>
      <c r="AJ39" s="168"/>
    </row>
    <row r="40" spans="1:36" x14ac:dyDescent="0.3">
      <c r="A40" s="168"/>
      <c r="B40" s="168"/>
      <c r="C40" s="168"/>
      <c r="D40" s="168"/>
      <c r="E40" s="168"/>
      <c r="F40" s="168"/>
      <c r="G40" s="168"/>
      <c r="H40" s="168"/>
      <c r="I40" s="168"/>
      <c r="J40" s="168"/>
      <c r="K40" s="168"/>
      <c r="L40" s="168"/>
      <c r="M40" s="168"/>
      <c r="N40" s="168"/>
      <c r="O40" s="168"/>
      <c r="P40" s="168"/>
      <c r="Q40" s="168"/>
      <c r="R40" s="168"/>
      <c r="S40" s="168"/>
      <c r="T40" s="168"/>
      <c r="U40" s="168"/>
      <c r="V40" s="168"/>
      <c r="W40" s="168"/>
      <c r="X40" s="168"/>
      <c r="Y40" s="168"/>
      <c r="Z40" s="168"/>
      <c r="AA40" s="168"/>
      <c r="AB40" s="168"/>
      <c r="AC40" s="168"/>
      <c r="AD40" s="168"/>
      <c r="AE40" s="168"/>
      <c r="AF40" s="168"/>
      <c r="AG40" s="168"/>
      <c r="AH40" s="168"/>
      <c r="AI40" s="168"/>
      <c r="AJ40" s="168"/>
    </row>
    <row r="41" spans="1:36" x14ac:dyDescent="0.3">
      <c r="A41" s="168"/>
      <c r="B41" s="168"/>
      <c r="C41" s="168"/>
      <c r="D41" s="168"/>
      <c r="E41" s="168"/>
      <c r="F41" s="168"/>
      <c r="G41" s="168"/>
      <c r="H41" s="168"/>
      <c r="I41" s="168"/>
      <c r="J41" s="168"/>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c r="AJ41" s="168"/>
    </row>
    <row r="42" spans="1:36" x14ac:dyDescent="0.3">
      <c r="A42" s="168"/>
      <c r="B42" s="168"/>
      <c r="C42" s="168"/>
      <c r="D42" s="168"/>
      <c r="E42" s="168"/>
      <c r="F42" s="168"/>
      <c r="G42" s="168"/>
      <c r="H42" s="168"/>
      <c r="I42" s="168"/>
      <c r="J42" s="168"/>
      <c r="K42" s="168"/>
      <c r="L42" s="168"/>
      <c r="M42" s="168"/>
      <c r="N42" s="168"/>
      <c r="O42" s="168"/>
      <c r="P42" s="168"/>
      <c r="Q42" s="168"/>
      <c r="R42" s="168"/>
      <c r="S42" s="168"/>
      <c r="T42" s="168"/>
      <c r="U42" s="168"/>
      <c r="V42" s="168"/>
      <c r="W42" s="168"/>
      <c r="X42" s="168"/>
      <c r="Y42" s="168"/>
      <c r="Z42" s="168"/>
      <c r="AA42" s="168"/>
      <c r="AB42" s="168"/>
      <c r="AC42" s="168"/>
      <c r="AD42" s="168"/>
      <c r="AE42" s="168"/>
      <c r="AF42" s="168"/>
      <c r="AG42" s="168"/>
      <c r="AH42" s="168"/>
      <c r="AI42" s="168"/>
      <c r="AJ42" s="168"/>
    </row>
    <row r="43" spans="1:36" x14ac:dyDescent="0.3">
      <c r="A43" s="168"/>
      <c r="B43" s="168"/>
      <c r="C43" s="168"/>
      <c r="D43" s="168"/>
      <c r="E43" s="168"/>
      <c r="F43" s="168"/>
      <c r="G43" s="168"/>
      <c r="H43" s="168"/>
      <c r="I43" s="168"/>
      <c r="J43" s="168"/>
      <c r="K43" s="168"/>
      <c r="L43" s="168"/>
      <c r="M43" s="168"/>
      <c r="N43" s="168"/>
      <c r="O43" s="168"/>
      <c r="P43" s="168"/>
      <c r="Q43" s="168"/>
      <c r="R43" s="168"/>
      <c r="S43" s="168"/>
      <c r="T43" s="168"/>
      <c r="U43" s="168"/>
      <c r="V43" s="168"/>
      <c r="W43" s="168"/>
      <c r="X43" s="168"/>
      <c r="Y43" s="168"/>
      <c r="Z43" s="168"/>
      <c r="AA43" s="168"/>
      <c r="AB43" s="168"/>
      <c r="AC43" s="168"/>
      <c r="AD43" s="168"/>
      <c r="AE43" s="168"/>
      <c r="AF43" s="168"/>
      <c r="AG43" s="168"/>
      <c r="AH43" s="168"/>
      <c r="AI43" s="168"/>
      <c r="AJ43" s="168"/>
    </row>
    <row r="44" spans="1:36" x14ac:dyDescent="0.3">
      <c r="A44" s="168"/>
      <c r="B44" s="168"/>
      <c r="C44" s="168"/>
      <c r="D44" s="168"/>
      <c r="E44" s="168"/>
      <c r="F44" s="168"/>
      <c r="G44" s="168"/>
      <c r="H44" s="168"/>
      <c r="I44" s="168"/>
      <c r="J44" s="168"/>
      <c r="K44" s="168"/>
      <c r="L44" s="168"/>
      <c r="M44" s="168"/>
      <c r="N44" s="168"/>
      <c r="O44" s="168"/>
      <c r="P44" s="168"/>
      <c r="Q44" s="168"/>
      <c r="R44" s="168"/>
      <c r="S44" s="168"/>
      <c r="T44" s="168"/>
      <c r="U44" s="168"/>
      <c r="V44" s="168"/>
      <c r="W44" s="168"/>
      <c r="X44" s="168"/>
      <c r="Y44" s="168"/>
      <c r="Z44" s="168"/>
      <c r="AA44" s="168"/>
      <c r="AB44" s="168"/>
      <c r="AC44" s="168"/>
      <c r="AD44" s="168"/>
      <c r="AE44" s="168"/>
      <c r="AF44" s="168"/>
      <c r="AG44" s="168"/>
      <c r="AH44" s="168"/>
      <c r="AI44" s="168"/>
      <c r="AJ44" s="168"/>
    </row>
    <row r="45" spans="1:36" x14ac:dyDescent="0.3">
      <c r="A45" s="168"/>
      <c r="B45" s="168"/>
      <c r="C45" s="168"/>
      <c r="D45" s="168"/>
      <c r="E45" s="168"/>
      <c r="F45" s="168"/>
      <c r="G45" s="168"/>
      <c r="H45" s="168"/>
      <c r="I45" s="168"/>
      <c r="J45" s="168"/>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c r="AI45" s="168"/>
      <c r="AJ45" s="168"/>
    </row>
    <row r="46" spans="1:36" x14ac:dyDescent="0.3">
      <c r="A46" s="168"/>
      <c r="B46" s="168"/>
      <c r="C46" s="168"/>
      <c r="D46" s="168"/>
      <c r="E46" s="168"/>
      <c r="F46" s="168"/>
      <c r="G46" s="168"/>
      <c r="H46" s="168"/>
      <c r="I46" s="168"/>
      <c r="J46" s="168"/>
      <c r="K46" s="168"/>
      <c r="L46" s="168"/>
      <c r="M46" s="168"/>
      <c r="N46" s="168"/>
      <c r="O46" s="168"/>
      <c r="P46" s="168"/>
      <c r="Q46" s="168"/>
      <c r="R46" s="168"/>
      <c r="S46" s="168"/>
      <c r="T46" s="168"/>
      <c r="U46" s="168"/>
      <c r="V46" s="168"/>
      <c r="W46" s="168"/>
      <c r="X46" s="168"/>
      <c r="Y46" s="168"/>
      <c r="Z46" s="168"/>
      <c r="AA46" s="168"/>
      <c r="AB46" s="168"/>
      <c r="AC46" s="168"/>
      <c r="AD46" s="168"/>
      <c r="AE46" s="168"/>
      <c r="AF46" s="168"/>
      <c r="AG46" s="168"/>
      <c r="AH46" s="168"/>
      <c r="AI46" s="168"/>
      <c r="AJ46" s="168"/>
    </row>
    <row r="47" spans="1:36" x14ac:dyDescent="0.3">
      <c r="A47" s="168"/>
      <c r="B47" s="168"/>
      <c r="C47" s="168"/>
      <c r="D47" s="168"/>
      <c r="E47" s="168"/>
      <c r="F47" s="168"/>
      <c r="G47" s="168"/>
      <c r="H47" s="168"/>
      <c r="I47" s="168"/>
      <c r="J47" s="168"/>
      <c r="K47" s="168"/>
      <c r="L47" s="168"/>
      <c r="M47" s="168"/>
      <c r="N47" s="168"/>
      <c r="O47" s="168"/>
      <c r="P47" s="168"/>
      <c r="Q47" s="168"/>
      <c r="R47" s="168"/>
      <c r="S47" s="168"/>
      <c r="T47" s="168"/>
      <c r="U47" s="168"/>
      <c r="V47" s="168"/>
      <c r="W47" s="168"/>
      <c r="X47" s="168"/>
      <c r="Y47" s="168"/>
      <c r="Z47" s="168"/>
      <c r="AA47" s="168"/>
      <c r="AB47" s="168"/>
      <c r="AC47" s="168"/>
      <c r="AD47" s="168"/>
      <c r="AE47" s="168"/>
      <c r="AF47" s="168"/>
      <c r="AG47" s="168"/>
      <c r="AH47" s="168"/>
      <c r="AI47" s="168"/>
      <c r="AJ47" s="168"/>
    </row>
    <row r="48" spans="1:36" x14ac:dyDescent="0.3">
      <c r="A48" s="168"/>
      <c r="B48" s="168"/>
      <c r="C48" s="168"/>
      <c r="D48" s="168"/>
      <c r="E48" s="168"/>
      <c r="F48" s="168"/>
      <c r="G48" s="168"/>
      <c r="H48" s="168"/>
      <c r="I48" s="168"/>
      <c r="J48" s="168"/>
      <c r="K48" s="168"/>
      <c r="L48" s="168"/>
      <c r="M48" s="168"/>
      <c r="N48" s="168"/>
      <c r="O48" s="168"/>
      <c r="P48" s="168"/>
      <c r="Q48" s="168"/>
      <c r="R48" s="168"/>
      <c r="S48" s="168"/>
      <c r="T48" s="168"/>
      <c r="U48" s="168"/>
      <c r="V48" s="168"/>
      <c r="W48" s="168"/>
      <c r="X48" s="168"/>
      <c r="Y48" s="168"/>
      <c r="Z48" s="168"/>
      <c r="AA48" s="168"/>
      <c r="AB48" s="168"/>
      <c r="AC48" s="168"/>
      <c r="AD48" s="168"/>
      <c r="AE48" s="168"/>
      <c r="AF48" s="168"/>
      <c r="AG48" s="168"/>
      <c r="AH48" s="168"/>
      <c r="AI48" s="168"/>
      <c r="AJ48" s="168"/>
    </row>
    <row r="49" spans="1:36" x14ac:dyDescent="0.3">
      <c r="A49" s="168"/>
      <c r="B49" s="168"/>
      <c r="C49" s="168"/>
      <c r="D49" s="168"/>
      <c r="E49" s="168"/>
      <c r="F49" s="168"/>
      <c r="G49" s="168"/>
      <c r="H49" s="168"/>
      <c r="I49" s="168"/>
      <c r="J49" s="168"/>
      <c r="K49" s="168"/>
      <c r="L49" s="168"/>
      <c r="M49" s="168"/>
      <c r="N49" s="168"/>
      <c r="O49" s="168"/>
      <c r="P49" s="168"/>
      <c r="Q49" s="168"/>
      <c r="R49" s="168"/>
      <c r="S49" s="168"/>
      <c r="T49" s="168"/>
      <c r="U49" s="168"/>
      <c r="V49" s="168"/>
      <c r="W49" s="168"/>
      <c r="X49" s="168"/>
      <c r="Y49" s="168"/>
      <c r="Z49" s="168"/>
      <c r="AA49" s="168"/>
      <c r="AB49" s="168"/>
      <c r="AC49" s="168"/>
      <c r="AD49" s="168"/>
      <c r="AE49" s="168"/>
      <c r="AF49" s="168"/>
      <c r="AG49" s="168"/>
      <c r="AH49" s="168"/>
      <c r="AI49" s="168"/>
      <c r="AJ49" s="168"/>
    </row>
    <row r="50" spans="1:36" x14ac:dyDescent="0.3">
      <c r="A50" s="168"/>
      <c r="B50" s="168"/>
      <c r="C50" s="168"/>
      <c r="D50" s="168"/>
      <c r="E50" s="168"/>
      <c r="F50" s="168"/>
      <c r="G50" s="168"/>
      <c r="H50" s="168"/>
      <c r="I50" s="168"/>
      <c r="J50" s="168"/>
      <c r="K50" s="168"/>
      <c r="L50" s="168"/>
      <c r="M50" s="168"/>
      <c r="N50" s="168"/>
      <c r="O50" s="168"/>
      <c r="P50" s="168"/>
      <c r="Q50" s="168"/>
      <c r="R50" s="168"/>
      <c r="S50" s="168"/>
      <c r="T50" s="168"/>
      <c r="U50" s="168"/>
      <c r="V50" s="168"/>
      <c r="W50" s="168"/>
      <c r="X50" s="168"/>
      <c r="Y50" s="168"/>
      <c r="Z50" s="168"/>
      <c r="AA50" s="168"/>
      <c r="AB50" s="168"/>
      <c r="AC50" s="168"/>
      <c r="AD50" s="168"/>
      <c r="AE50" s="168"/>
      <c r="AF50" s="168"/>
      <c r="AG50" s="168"/>
      <c r="AH50" s="168"/>
      <c r="AI50" s="168"/>
      <c r="AJ50" s="168"/>
    </row>
    <row r="51" spans="1:36" x14ac:dyDescent="0.3">
      <c r="A51" s="168"/>
      <c r="B51" s="168"/>
      <c r="C51" s="168"/>
      <c r="D51" s="168"/>
      <c r="E51" s="168"/>
      <c r="F51" s="168"/>
      <c r="G51" s="168"/>
      <c r="H51" s="168"/>
      <c r="I51" s="168"/>
      <c r="J51" s="168"/>
      <c r="K51" s="168"/>
      <c r="L51" s="168"/>
      <c r="M51" s="168"/>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row>
    <row r="52" spans="1:36" x14ac:dyDescent="0.3">
      <c r="A52" s="168"/>
      <c r="B52" s="168"/>
      <c r="C52" s="168"/>
      <c r="D52" s="168"/>
      <c r="E52" s="168"/>
      <c r="F52" s="168"/>
      <c r="G52" s="168"/>
      <c r="H52" s="168"/>
      <c r="I52" s="168"/>
      <c r="J52" s="168"/>
      <c r="K52" s="168"/>
      <c r="L52" s="168"/>
      <c r="M52" s="168"/>
      <c r="N52" s="168"/>
      <c r="O52" s="168"/>
      <c r="P52" s="168"/>
      <c r="Q52" s="168"/>
      <c r="R52" s="168"/>
      <c r="S52" s="168"/>
      <c r="T52" s="168"/>
      <c r="U52" s="168"/>
      <c r="V52" s="168"/>
      <c r="W52" s="168"/>
      <c r="X52" s="168"/>
      <c r="Y52" s="168"/>
      <c r="Z52" s="168"/>
      <c r="AA52" s="168"/>
      <c r="AB52" s="168"/>
      <c r="AC52" s="168"/>
      <c r="AD52" s="168"/>
      <c r="AE52" s="168"/>
      <c r="AF52" s="168"/>
      <c r="AG52" s="168"/>
      <c r="AH52" s="168"/>
      <c r="AI52" s="168"/>
      <c r="AJ52" s="168"/>
    </row>
    <row r="53" spans="1:36" x14ac:dyDescent="0.3">
      <c r="A53" s="168"/>
      <c r="B53" s="168"/>
      <c r="C53" s="168"/>
      <c r="D53" s="168"/>
      <c r="E53" s="168"/>
      <c r="F53" s="168"/>
      <c r="G53" s="168"/>
      <c r="H53" s="168"/>
      <c r="I53" s="168"/>
      <c r="J53" s="168"/>
      <c r="K53" s="168"/>
      <c r="L53" s="168"/>
      <c r="M53" s="168"/>
      <c r="N53" s="168"/>
      <c r="O53" s="168"/>
      <c r="P53" s="168"/>
      <c r="Q53" s="168"/>
      <c r="R53" s="168"/>
      <c r="S53" s="168"/>
      <c r="T53" s="168"/>
      <c r="U53" s="168"/>
      <c r="V53" s="168"/>
      <c r="W53" s="168"/>
      <c r="X53" s="168"/>
      <c r="Y53" s="168"/>
      <c r="Z53" s="168"/>
      <c r="AA53" s="168"/>
      <c r="AB53" s="168"/>
      <c r="AC53" s="168"/>
      <c r="AD53" s="168"/>
      <c r="AE53" s="168"/>
      <c r="AF53" s="168"/>
      <c r="AG53" s="168"/>
      <c r="AH53" s="168"/>
      <c r="AI53" s="168"/>
      <c r="AJ53" s="168"/>
    </row>
    <row r="54" spans="1:36" x14ac:dyDescent="0.3">
      <c r="A54" s="168"/>
      <c r="B54" s="168"/>
      <c r="C54" s="168"/>
      <c r="D54" s="168"/>
      <c r="E54" s="168"/>
      <c r="F54" s="168"/>
      <c r="G54" s="168"/>
      <c r="H54" s="168"/>
      <c r="I54" s="168"/>
      <c r="J54" s="168"/>
      <c r="K54" s="168"/>
      <c r="L54" s="168"/>
      <c r="M54" s="168"/>
      <c r="N54" s="168"/>
      <c r="O54" s="168"/>
      <c r="P54" s="168"/>
      <c r="Q54" s="168"/>
      <c r="R54" s="168"/>
      <c r="S54" s="168"/>
      <c r="T54" s="168"/>
      <c r="U54" s="168"/>
      <c r="V54" s="168"/>
      <c r="W54" s="168"/>
      <c r="X54" s="168"/>
      <c r="Y54" s="168"/>
      <c r="Z54" s="168"/>
      <c r="AA54" s="168"/>
      <c r="AB54" s="168"/>
      <c r="AC54" s="168"/>
      <c r="AD54" s="168"/>
      <c r="AE54" s="168"/>
      <c r="AF54" s="168"/>
      <c r="AG54" s="168"/>
      <c r="AH54" s="168"/>
      <c r="AI54" s="168"/>
      <c r="AJ54" s="168"/>
    </row>
    <row r="55" spans="1:36" x14ac:dyDescent="0.3">
      <c r="A55" s="168"/>
      <c r="B55" s="168"/>
      <c r="C55" s="168"/>
      <c r="D55" s="168"/>
      <c r="E55" s="168"/>
      <c r="F55" s="168"/>
      <c r="G55" s="168"/>
      <c r="H55" s="168"/>
      <c r="I55" s="168"/>
      <c r="J55" s="168"/>
      <c r="K55" s="168"/>
      <c r="L55" s="168"/>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row>
    <row r="56" spans="1:36" x14ac:dyDescent="0.3">
      <c r="A56" s="168"/>
      <c r="B56" s="168"/>
      <c r="C56" s="168"/>
      <c r="D56" s="168"/>
      <c r="E56" s="168"/>
      <c r="F56" s="168"/>
      <c r="G56" s="168"/>
      <c r="H56" s="168"/>
      <c r="I56" s="168"/>
      <c r="J56" s="168"/>
      <c r="K56" s="168"/>
      <c r="L56" s="168"/>
      <c r="M56" s="168"/>
      <c r="N56" s="168"/>
      <c r="O56" s="168"/>
      <c r="P56" s="168"/>
      <c r="Q56" s="168"/>
      <c r="R56" s="168"/>
      <c r="S56" s="168"/>
      <c r="T56" s="168"/>
      <c r="U56" s="168"/>
      <c r="V56" s="168"/>
      <c r="W56" s="168"/>
      <c r="X56" s="168"/>
      <c r="Y56" s="168"/>
      <c r="Z56" s="168"/>
      <c r="AA56" s="168"/>
      <c r="AB56" s="168"/>
      <c r="AC56" s="168"/>
      <c r="AD56" s="168"/>
      <c r="AE56" s="168"/>
      <c r="AF56" s="168"/>
      <c r="AG56" s="168"/>
      <c r="AH56" s="168"/>
      <c r="AI56" s="168"/>
      <c r="AJ56" s="168"/>
    </row>
    <row r="57" spans="1:36" x14ac:dyDescent="0.3">
      <c r="A57" s="168"/>
      <c r="B57" s="168"/>
      <c r="C57" s="168"/>
      <c r="D57" s="168"/>
      <c r="E57" s="168"/>
      <c r="F57" s="168"/>
      <c r="G57" s="168"/>
      <c r="H57" s="168"/>
      <c r="I57" s="168"/>
      <c r="J57" s="168"/>
      <c r="K57" s="168"/>
      <c r="L57" s="168"/>
      <c r="M57" s="168"/>
      <c r="N57" s="168"/>
      <c r="O57" s="168"/>
      <c r="P57" s="168"/>
      <c r="Q57" s="168"/>
      <c r="R57" s="168"/>
      <c r="S57" s="168"/>
      <c r="T57" s="168"/>
      <c r="U57" s="168"/>
      <c r="V57" s="168"/>
      <c r="W57" s="168"/>
      <c r="X57" s="168"/>
      <c r="Y57" s="168"/>
      <c r="Z57" s="168"/>
      <c r="AA57" s="168"/>
      <c r="AB57" s="168"/>
      <c r="AC57" s="168"/>
      <c r="AD57" s="168"/>
      <c r="AE57" s="168"/>
      <c r="AF57" s="168"/>
      <c r="AG57" s="168"/>
      <c r="AH57" s="168"/>
      <c r="AI57" s="168"/>
      <c r="AJ57" s="168"/>
    </row>
    <row r="58" spans="1:36" x14ac:dyDescent="0.3">
      <c r="A58" s="168"/>
      <c r="B58" s="168"/>
      <c r="C58" s="168"/>
      <c r="D58" s="168"/>
      <c r="E58" s="168"/>
      <c r="F58" s="168"/>
      <c r="G58" s="168"/>
      <c r="H58" s="168"/>
      <c r="I58" s="168"/>
      <c r="J58" s="168"/>
      <c r="K58" s="168"/>
      <c r="L58" s="168"/>
      <c r="M58" s="168"/>
      <c r="N58" s="168"/>
      <c r="O58" s="168"/>
      <c r="P58" s="168"/>
      <c r="Q58" s="168"/>
      <c r="R58" s="168"/>
      <c r="S58" s="168"/>
      <c r="T58" s="168"/>
      <c r="U58" s="168"/>
      <c r="V58" s="168"/>
      <c r="W58" s="168"/>
      <c r="X58" s="168"/>
      <c r="Y58" s="168"/>
      <c r="Z58" s="168"/>
      <c r="AA58" s="168"/>
      <c r="AB58" s="168"/>
      <c r="AC58" s="168"/>
      <c r="AD58" s="168"/>
      <c r="AE58" s="168"/>
      <c r="AF58" s="168"/>
      <c r="AG58" s="168"/>
      <c r="AH58" s="168"/>
      <c r="AI58" s="168"/>
      <c r="AJ58" s="168"/>
    </row>
    <row r="59" spans="1:36" x14ac:dyDescent="0.3">
      <c r="A59" s="168"/>
      <c r="B59" s="168"/>
      <c r="C59" s="168"/>
      <c r="D59" s="168"/>
      <c r="E59" s="168"/>
      <c r="F59" s="168"/>
      <c r="G59" s="168"/>
      <c r="H59" s="168"/>
      <c r="I59" s="168"/>
      <c r="J59" s="168"/>
      <c r="K59" s="168"/>
      <c r="L59" s="168"/>
      <c r="M59" s="168"/>
      <c r="N59" s="168"/>
      <c r="O59" s="168"/>
      <c r="P59" s="168"/>
      <c r="Q59" s="168"/>
      <c r="R59" s="168"/>
      <c r="S59" s="168"/>
      <c r="T59" s="168"/>
      <c r="U59" s="168"/>
      <c r="V59" s="168"/>
      <c r="W59" s="168"/>
      <c r="X59" s="168"/>
      <c r="Y59" s="168"/>
      <c r="Z59" s="168"/>
      <c r="AA59" s="168"/>
      <c r="AB59" s="168"/>
      <c r="AC59" s="168"/>
      <c r="AD59" s="168"/>
      <c r="AE59" s="168"/>
      <c r="AF59" s="168"/>
      <c r="AG59" s="168"/>
      <c r="AH59" s="168"/>
      <c r="AI59" s="168"/>
      <c r="AJ59" s="168"/>
    </row>
    <row r="60" spans="1:36" x14ac:dyDescent="0.3">
      <c r="A60" s="168"/>
      <c r="B60" s="168"/>
      <c r="C60" s="168"/>
      <c r="D60" s="168"/>
      <c r="E60" s="168"/>
      <c r="F60" s="168"/>
      <c r="G60" s="168"/>
      <c r="H60" s="168"/>
      <c r="I60" s="168"/>
      <c r="J60" s="168"/>
      <c r="K60" s="168"/>
      <c r="L60" s="168"/>
      <c r="M60" s="168"/>
      <c r="N60" s="168"/>
      <c r="O60" s="168"/>
      <c r="P60" s="168"/>
      <c r="Q60" s="168"/>
      <c r="R60" s="168"/>
      <c r="S60" s="168"/>
      <c r="T60" s="168"/>
      <c r="U60" s="168"/>
      <c r="V60" s="168"/>
      <c r="W60" s="168"/>
      <c r="X60" s="168"/>
      <c r="Y60" s="168"/>
      <c r="Z60" s="168"/>
      <c r="AA60" s="168"/>
      <c r="AB60" s="168"/>
      <c r="AC60" s="168"/>
      <c r="AD60" s="168"/>
      <c r="AE60" s="168"/>
      <c r="AF60" s="168"/>
      <c r="AG60" s="168"/>
      <c r="AH60" s="168"/>
      <c r="AI60" s="168"/>
      <c r="AJ60" s="168"/>
    </row>
    <row r="61" spans="1:36" x14ac:dyDescent="0.3">
      <c r="A61" s="168"/>
      <c r="B61" s="168"/>
      <c r="C61" s="168"/>
      <c r="D61" s="168"/>
      <c r="E61" s="168"/>
      <c r="F61" s="168"/>
      <c r="G61" s="168"/>
      <c r="H61" s="168"/>
      <c r="I61" s="168"/>
      <c r="J61" s="168"/>
      <c r="K61" s="168"/>
      <c r="L61" s="168"/>
      <c r="M61" s="168"/>
      <c r="N61" s="168"/>
      <c r="O61" s="168"/>
      <c r="P61" s="168"/>
      <c r="Q61" s="168"/>
      <c r="R61" s="168"/>
      <c r="S61" s="168"/>
      <c r="T61" s="168"/>
      <c r="U61" s="168"/>
      <c r="V61" s="168"/>
      <c r="W61" s="168"/>
      <c r="X61" s="168"/>
      <c r="Y61" s="168"/>
      <c r="Z61" s="168"/>
      <c r="AA61" s="168"/>
      <c r="AB61" s="168"/>
      <c r="AC61" s="168"/>
      <c r="AD61" s="168"/>
      <c r="AE61" s="168"/>
      <c r="AF61" s="168"/>
      <c r="AG61" s="168"/>
      <c r="AH61" s="168"/>
      <c r="AI61" s="168"/>
      <c r="AJ61" s="168"/>
    </row>
    <row r="62" spans="1:36" x14ac:dyDescent="0.3">
      <c r="A62" s="168"/>
      <c r="B62" s="168"/>
      <c r="C62" s="168"/>
      <c r="D62" s="168"/>
      <c r="E62" s="168"/>
      <c r="F62" s="168"/>
      <c r="G62" s="168"/>
      <c r="H62" s="168"/>
      <c r="I62" s="168"/>
      <c r="J62" s="168"/>
      <c r="K62" s="168"/>
      <c r="L62" s="168"/>
      <c r="M62" s="168"/>
      <c r="N62" s="168"/>
      <c r="O62" s="168"/>
      <c r="P62" s="168"/>
      <c r="Q62" s="168"/>
      <c r="R62" s="168"/>
      <c r="S62" s="168"/>
      <c r="T62" s="168"/>
      <c r="U62" s="168"/>
      <c r="V62" s="168"/>
      <c r="W62" s="168"/>
      <c r="X62" s="168"/>
      <c r="Y62" s="168"/>
      <c r="Z62" s="168"/>
      <c r="AA62" s="168"/>
      <c r="AB62" s="168"/>
      <c r="AC62" s="168"/>
      <c r="AD62" s="168"/>
      <c r="AE62" s="168"/>
      <c r="AF62" s="168"/>
      <c r="AG62" s="168"/>
      <c r="AH62" s="168"/>
      <c r="AI62" s="168"/>
      <c r="AJ62" s="168"/>
    </row>
    <row r="63" spans="1:36" x14ac:dyDescent="0.3">
      <c r="A63" s="168"/>
      <c r="B63" s="168"/>
      <c r="C63" s="168"/>
      <c r="D63" s="168"/>
      <c r="E63" s="168"/>
      <c r="F63" s="168"/>
      <c r="G63" s="168"/>
      <c r="H63" s="168"/>
      <c r="I63" s="168"/>
      <c r="J63" s="168"/>
      <c r="K63" s="168"/>
      <c r="L63" s="168"/>
      <c r="M63" s="168"/>
      <c r="N63" s="168"/>
      <c r="O63" s="168"/>
      <c r="P63" s="168"/>
      <c r="Q63" s="168"/>
      <c r="R63" s="168"/>
      <c r="S63" s="168"/>
      <c r="T63" s="168"/>
      <c r="U63" s="168"/>
      <c r="V63" s="168"/>
      <c r="W63" s="168"/>
      <c r="X63" s="168"/>
      <c r="Y63" s="168"/>
      <c r="Z63" s="168"/>
      <c r="AA63" s="168"/>
      <c r="AB63" s="168"/>
      <c r="AC63" s="168"/>
      <c r="AD63" s="168"/>
      <c r="AE63" s="168"/>
      <c r="AF63" s="168"/>
      <c r="AG63" s="168"/>
      <c r="AH63" s="168"/>
      <c r="AI63" s="168"/>
      <c r="AJ63" s="168"/>
    </row>
    <row r="64" spans="1:36" x14ac:dyDescent="0.3">
      <c r="A64" s="168"/>
      <c r="B64" s="168"/>
      <c r="C64" s="168"/>
      <c r="D64" s="168"/>
      <c r="E64" s="168"/>
      <c r="F64" s="168"/>
      <c r="G64" s="168"/>
      <c r="H64" s="168"/>
      <c r="I64" s="168"/>
      <c r="J64" s="168"/>
      <c r="K64" s="168"/>
      <c r="L64" s="168"/>
      <c r="M64" s="168"/>
      <c r="N64" s="168"/>
      <c r="O64" s="168"/>
      <c r="P64" s="168"/>
      <c r="Q64" s="168"/>
      <c r="R64" s="168"/>
      <c r="S64" s="168"/>
      <c r="T64" s="168"/>
      <c r="U64" s="168"/>
      <c r="V64" s="168"/>
      <c r="W64" s="168"/>
      <c r="X64" s="168"/>
      <c r="Y64" s="168"/>
      <c r="Z64" s="168"/>
      <c r="AA64" s="168"/>
      <c r="AB64" s="168"/>
      <c r="AC64" s="168"/>
      <c r="AD64" s="168"/>
      <c r="AE64" s="168"/>
      <c r="AF64" s="168"/>
      <c r="AG64" s="168"/>
      <c r="AH64" s="168"/>
      <c r="AI64" s="168"/>
      <c r="AJ64" s="168"/>
    </row>
    <row r="65" spans="1:36" x14ac:dyDescent="0.3">
      <c r="A65" s="168"/>
      <c r="B65" s="168"/>
      <c r="C65" s="168"/>
      <c r="D65" s="168"/>
      <c r="E65" s="168"/>
      <c r="F65" s="168"/>
      <c r="G65" s="168"/>
      <c r="H65" s="168"/>
      <c r="I65" s="168"/>
      <c r="J65" s="168"/>
      <c r="K65" s="168"/>
      <c r="L65" s="168"/>
      <c r="M65" s="168"/>
      <c r="N65" s="168"/>
      <c r="O65" s="168"/>
      <c r="P65" s="168"/>
      <c r="Q65" s="168"/>
      <c r="R65" s="168"/>
      <c r="S65" s="168"/>
      <c r="T65" s="168"/>
      <c r="U65" s="168"/>
      <c r="V65" s="168"/>
      <c r="W65" s="168"/>
      <c r="X65" s="168"/>
      <c r="Y65" s="168"/>
      <c r="Z65" s="168"/>
      <c r="AA65" s="168"/>
      <c r="AB65" s="168"/>
      <c r="AC65" s="168"/>
      <c r="AD65" s="168"/>
      <c r="AE65" s="168"/>
      <c r="AF65" s="168"/>
      <c r="AG65" s="168"/>
      <c r="AH65" s="168"/>
      <c r="AI65" s="168"/>
      <c r="AJ65" s="168"/>
    </row>
    <row r="66" spans="1:36" x14ac:dyDescent="0.3">
      <c r="A66" s="168"/>
      <c r="B66" s="168"/>
      <c r="C66" s="168"/>
      <c r="D66" s="168"/>
      <c r="E66" s="168"/>
      <c r="F66" s="168"/>
      <c r="G66" s="168"/>
      <c r="H66" s="168"/>
      <c r="I66" s="168"/>
      <c r="J66" s="168"/>
      <c r="K66" s="168"/>
      <c r="L66" s="168"/>
      <c r="M66" s="168"/>
      <c r="N66" s="168"/>
      <c r="O66" s="168"/>
      <c r="P66" s="168"/>
      <c r="Q66" s="168"/>
      <c r="R66" s="168"/>
      <c r="S66" s="168"/>
      <c r="T66" s="168"/>
      <c r="U66" s="168"/>
      <c r="V66" s="168"/>
      <c r="W66" s="168"/>
      <c r="X66" s="168"/>
      <c r="Y66" s="168"/>
      <c r="Z66" s="168"/>
      <c r="AA66" s="168"/>
      <c r="AB66" s="168"/>
      <c r="AC66" s="168"/>
      <c r="AD66" s="168"/>
      <c r="AE66" s="168"/>
      <c r="AF66" s="168"/>
      <c r="AG66" s="168"/>
      <c r="AH66" s="168"/>
      <c r="AI66" s="168"/>
      <c r="AJ66" s="168"/>
    </row>
    <row r="67" spans="1:36" x14ac:dyDescent="0.3">
      <c r="A67" s="168"/>
      <c r="B67" s="168"/>
      <c r="C67" s="168"/>
      <c r="D67" s="168"/>
      <c r="E67" s="168"/>
      <c r="F67" s="168"/>
      <c r="G67" s="168"/>
      <c r="H67" s="168"/>
      <c r="I67" s="168"/>
      <c r="J67" s="168"/>
      <c r="K67" s="168"/>
      <c r="L67" s="168"/>
      <c r="M67" s="168"/>
      <c r="N67" s="168"/>
      <c r="O67" s="168"/>
      <c r="P67" s="168"/>
      <c r="Q67" s="168"/>
      <c r="R67" s="168"/>
      <c r="S67" s="168"/>
      <c r="T67" s="168"/>
      <c r="U67" s="168"/>
      <c r="V67" s="168"/>
      <c r="W67" s="168"/>
      <c r="X67" s="168"/>
      <c r="Y67" s="168"/>
      <c r="Z67" s="168"/>
      <c r="AA67" s="168"/>
      <c r="AB67" s="168"/>
      <c r="AC67" s="168"/>
      <c r="AD67" s="168"/>
      <c r="AE67" s="168"/>
      <c r="AF67" s="168"/>
      <c r="AG67" s="168"/>
      <c r="AH67" s="168"/>
      <c r="AI67" s="168"/>
      <c r="AJ67" s="168"/>
    </row>
    <row r="68" spans="1:36" x14ac:dyDescent="0.3">
      <c r="A68" s="168"/>
      <c r="B68" s="168"/>
      <c r="C68" s="168"/>
      <c r="D68" s="168"/>
      <c r="E68" s="168"/>
      <c r="F68" s="168"/>
      <c r="G68" s="168"/>
      <c r="H68" s="168"/>
      <c r="I68" s="168"/>
      <c r="J68" s="168"/>
      <c r="K68" s="168"/>
      <c r="L68" s="168"/>
      <c r="M68" s="168"/>
      <c r="N68" s="168"/>
      <c r="O68" s="168"/>
      <c r="P68" s="168"/>
      <c r="Q68" s="168"/>
      <c r="R68" s="168"/>
      <c r="S68" s="168"/>
      <c r="T68" s="168"/>
      <c r="U68" s="168"/>
      <c r="V68" s="168"/>
      <c r="W68" s="168"/>
      <c r="X68" s="168"/>
      <c r="Y68" s="168"/>
      <c r="Z68" s="168"/>
      <c r="AA68" s="168"/>
      <c r="AB68" s="168"/>
      <c r="AC68" s="168"/>
      <c r="AD68" s="168"/>
      <c r="AE68" s="168"/>
      <c r="AF68" s="168"/>
      <c r="AG68" s="168"/>
      <c r="AH68" s="168"/>
      <c r="AI68" s="168"/>
      <c r="AJ68" s="168"/>
    </row>
    <row r="69" spans="1:36" x14ac:dyDescent="0.3">
      <c r="A69" s="168"/>
      <c r="B69" s="168"/>
      <c r="C69" s="168"/>
      <c r="D69" s="168"/>
      <c r="E69" s="168"/>
      <c r="F69" s="168"/>
      <c r="G69" s="168"/>
      <c r="H69" s="168"/>
      <c r="I69" s="168"/>
      <c r="J69" s="168"/>
      <c r="K69" s="168"/>
      <c r="L69" s="168"/>
      <c r="M69" s="168"/>
      <c r="N69" s="168"/>
      <c r="O69" s="168"/>
      <c r="P69" s="168"/>
      <c r="Q69" s="168"/>
      <c r="R69" s="168"/>
      <c r="S69" s="168"/>
      <c r="T69" s="168"/>
      <c r="U69" s="168"/>
      <c r="V69" s="168"/>
      <c r="W69" s="168"/>
      <c r="X69" s="168"/>
      <c r="Y69" s="168"/>
      <c r="Z69" s="168"/>
      <c r="AA69" s="168"/>
      <c r="AB69" s="168"/>
      <c r="AC69" s="168"/>
      <c r="AD69" s="168"/>
      <c r="AE69" s="168"/>
      <c r="AF69" s="168"/>
      <c r="AG69" s="168"/>
      <c r="AH69" s="168"/>
      <c r="AI69" s="168"/>
      <c r="AJ69" s="168"/>
    </row>
    <row r="70" spans="1:36" x14ac:dyDescent="0.3">
      <c r="A70" s="168"/>
      <c r="B70" s="168"/>
      <c r="C70" s="168"/>
      <c r="D70" s="168"/>
      <c r="E70" s="168"/>
      <c r="F70" s="168"/>
      <c r="G70" s="168"/>
      <c r="H70" s="168"/>
      <c r="I70" s="168"/>
      <c r="J70" s="168"/>
      <c r="K70" s="168"/>
      <c r="L70" s="168"/>
      <c r="M70" s="168"/>
      <c r="N70" s="168"/>
      <c r="O70" s="168"/>
      <c r="P70" s="168"/>
      <c r="Q70" s="168"/>
      <c r="R70" s="168"/>
      <c r="S70" s="168"/>
      <c r="T70" s="168"/>
      <c r="U70" s="168"/>
      <c r="V70" s="168"/>
      <c r="W70" s="168"/>
      <c r="X70" s="168"/>
      <c r="Y70" s="168"/>
      <c r="Z70" s="168"/>
      <c r="AA70" s="168"/>
      <c r="AB70" s="168"/>
      <c r="AC70" s="168"/>
      <c r="AD70" s="168"/>
      <c r="AE70" s="168"/>
      <c r="AF70" s="168"/>
      <c r="AG70" s="168"/>
      <c r="AH70" s="168"/>
      <c r="AI70" s="168"/>
      <c r="AJ70" s="168"/>
    </row>
    <row r="71" spans="1:36" x14ac:dyDescent="0.3">
      <c r="A71" s="168"/>
      <c r="B71" s="168"/>
      <c r="C71" s="168"/>
      <c r="D71" s="168"/>
      <c r="E71" s="168"/>
      <c r="F71" s="168"/>
      <c r="G71" s="168"/>
      <c r="H71" s="168"/>
      <c r="I71" s="168"/>
      <c r="J71" s="168"/>
      <c r="K71" s="168"/>
      <c r="L71" s="168"/>
      <c r="M71" s="168"/>
      <c r="N71" s="168"/>
      <c r="O71" s="168"/>
      <c r="P71" s="168"/>
      <c r="Q71" s="168"/>
      <c r="R71" s="168"/>
      <c r="S71" s="168"/>
      <c r="T71" s="168"/>
      <c r="U71" s="168"/>
      <c r="V71" s="168"/>
      <c r="W71" s="168"/>
      <c r="X71" s="168"/>
      <c r="Y71" s="168"/>
      <c r="Z71" s="168"/>
      <c r="AA71" s="168"/>
      <c r="AB71" s="168"/>
      <c r="AC71" s="168"/>
      <c r="AD71" s="168"/>
      <c r="AE71" s="168"/>
      <c r="AF71" s="168"/>
      <c r="AG71" s="168"/>
      <c r="AH71" s="168"/>
      <c r="AI71" s="168"/>
      <c r="AJ71" s="168"/>
    </row>
    <row r="72" spans="1:36" x14ac:dyDescent="0.3">
      <c r="A72" s="168"/>
      <c r="B72" s="168"/>
      <c r="C72" s="168"/>
      <c r="D72" s="168"/>
      <c r="E72" s="168"/>
      <c r="F72" s="168"/>
      <c r="G72" s="168"/>
      <c r="H72" s="168"/>
      <c r="I72" s="168"/>
      <c r="J72" s="168"/>
      <c r="K72" s="168"/>
      <c r="L72" s="168"/>
      <c r="M72" s="168"/>
      <c r="N72" s="168"/>
      <c r="O72" s="168"/>
      <c r="P72" s="168"/>
      <c r="Q72" s="168"/>
      <c r="R72" s="168"/>
      <c r="S72" s="168"/>
      <c r="T72" s="168"/>
      <c r="U72" s="168"/>
      <c r="V72" s="168"/>
      <c r="W72" s="168"/>
      <c r="X72" s="168"/>
      <c r="Y72" s="168"/>
      <c r="Z72" s="168"/>
      <c r="AA72" s="168"/>
      <c r="AB72" s="168"/>
      <c r="AC72" s="168"/>
      <c r="AD72" s="168"/>
      <c r="AE72" s="168"/>
      <c r="AF72" s="168"/>
      <c r="AG72" s="168"/>
      <c r="AH72" s="168"/>
      <c r="AI72" s="168"/>
      <c r="AJ72" s="168"/>
    </row>
    <row r="73" spans="1:36" x14ac:dyDescent="0.3">
      <c r="A73" s="168"/>
      <c r="B73" s="168"/>
      <c r="C73" s="168"/>
      <c r="D73" s="168"/>
      <c r="E73" s="168"/>
      <c r="F73" s="168"/>
      <c r="G73" s="168"/>
      <c r="H73" s="168"/>
      <c r="I73" s="168"/>
      <c r="J73" s="168"/>
      <c r="K73" s="168"/>
      <c r="L73" s="168"/>
      <c r="M73" s="168"/>
      <c r="N73" s="168"/>
      <c r="O73" s="168"/>
      <c r="P73" s="168"/>
      <c r="Q73" s="168"/>
      <c r="R73" s="168"/>
      <c r="S73" s="168"/>
      <c r="T73" s="168"/>
      <c r="U73" s="168"/>
      <c r="V73" s="168"/>
      <c r="W73" s="168"/>
      <c r="X73" s="168"/>
      <c r="Y73" s="168"/>
      <c r="Z73" s="168"/>
      <c r="AA73" s="168"/>
      <c r="AB73" s="168"/>
      <c r="AC73" s="168"/>
      <c r="AD73" s="168"/>
      <c r="AE73" s="168"/>
      <c r="AF73" s="168"/>
      <c r="AG73" s="168"/>
      <c r="AH73" s="168"/>
      <c r="AI73" s="168"/>
      <c r="AJ73" s="168"/>
    </row>
    <row r="74" spans="1:36" x14ac:dyDescent="0.3">
      <c r="A74" s="168"/>
      <c r="B74" s="168"/>
      <c r="C74" s="168"/>
      <c r="D74" s="168"/>
      <c r="E74" s="168"/>
      <c r="F74" s="168"/>
      <c r="G74" s="168"/>
      <c r="H74" s="168"/>
      <c r="I74" s="168"/>
      <c r="J74" s="168"/>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row>
    <row r="75" spans="1:36" x14ac:dyDescent="0.3">
      <c r="A75" s="168"/>
      <c r="B75" s="168"/>
      <c r="C75" s="168"/>
      <c r="D75" s="168"/>
      <c r="E75" s="168"/>
      <c r="F75" s="168"/>
      <c r="G75" s="168"/>
      <c r="H75" s="168"/>
      <c r="I75" s="168"/>
      <c r="J75" s="168"/>
      <c r="K75" s="168"/>
      <c r="L75" s="168"/>
      <c r="M75" s="168"/>
      <c r="N75" s="168"/>
      <c r="O75" s="168"/>
      <c r="P75" s="168"/>
      <c r="Q75" s="168"/>
      <c r="R75" s="168"/>
      <c r="S75" s="168"/>
      <c r="T75" s="168"/>
      <c r="U75" s="168"/>
      <c r="V75" s="168"/>
      <c r="W75" s="168"/>
      <c r="X75" s="168"/>
      <c r="Y75" s="168"/>
      <c r="Z75" s="168"/>
      <c r="AA75" s="168"/>
      <c r="AB75" s="168"/>
      <c r="AC75" s="168"/>
      <c r="AD75" s="168"/>
      <c r="AE75" s="168"/>
      <c r="AF75" s="168"/>
      <c r="AG75" s="168"/>
      <c r="AH75" s="168"/>
      <c r="AI75" s="168"/>
      <c r="AJ75" s="168"/>
    </row>
    <row r="76" spans="1:36" x14ac:dyDescent="0.3">
      <c r="A76" s="168"/>
      <c r="B76" s="168"/>
      <c r="C76" s="168"/>
      <c r="D76" s="168"/>
      <c r="E76" s="168"/>
      <c r="F76" s="168"/>
      <c r="G76" s="168"/>
      <c r="H76" s="168"/>
      <c r="I76" s="168"/>
      <c r="J76" s="168"/>
      <c r="K76" s="168"/>
      <c r="L76" s="168"/>
      <c r="M76" s="168"/>
      <c r="N76" s="168"/>
      <c r="O76" s="168"/>
      <c r="P76" s="168"/>
      <c r="Q76" s="168"/>
      <c r="R76" s="168"/>
      <c r="S76" s="168"/>
      <c r="T76" s="168"/>
      <c r="U76" s="168"/>
      <c r="V76" s="168"/>
      <c r="W76" s="168"/>
      <c r="X76" s="168"/>
      <c r="Y76" s="168"/>
      <c r="Z76" s="168"/>
      <c r="AA76" s="168"/>
      <c r="AB76" s="168"/>
      <c r="AC76" s="168"/>
      <c r="AD76" s="168"/>
      <c r="AE76" s="168"/>
      <c r="AF76" s="168"/>
      <c r="AG76" s="168"/>
      <c r="AH76" s="168"/>
      <c r="AI76" s="168"/>
      <c r="AJ76" s="168"/>
    </row>
    <row r="77" spans="1:36" x14ac:dyDescent="0.3">
      <c r="A77" s="168"/>
      <c r="B77" s="168"/>
      <c r="C77" s="168"/>
      <c r="D77" s="168"/>
      <c r="E77" s="168"/>
      <c r="F77" s="168"/>
      <c r="G77" s="168"/>
      <c r="H77" s="168"/>
      <c r="I77" s="168"/>
      <c r="J77" s="168"/>
      <c r="K77" s="168"/>
      <c r="L77" s="168"/>
      <c r="M77" s="168"/>
      <c r="N77" s="168"/>
      <c r="O77" s="168"/>
      <c r="P77" s="168"/>
      <c r="Q77" s="168"/>
      <c r="R77" s="168"/>
      <c r="S77" s="168"/>
      <c r="T77" s="168"/>
      <c r="U77" s="168"/>
      <c r="V77" s="168"/>
      <c r="W77" s="168"/>
      <c r="X77" s="168"/>
      <c r="Y77" s="168"/>
      <c r="Z77" s="168"/>
      <c r="AA77" s="168"/>
      <c r="AB77" s="168"/>
      <c r="AC77" s="168"/>
      <c r="AD77" s="168"/>
      <c r="AE77" s="168"/>
      <c r="AF77" s="168"/>
      <c r="AG77" s="168"/>
      <c r="AH77" s="168"/>
      <c r="AI77" s="168"/>
      <c r="AJ77" s="168"/>
    </row>
    <row r="78" spans="1:36" x14ac:dyDescent="0.3">
      <c r="A78" s="168"/>
      <c r="B78" s="168"/>
      <c r="C78" s="168"/>
      <c r="D78" s="168"/>
      <c r="E78" s="168"/>
      <c r="F78" s="168"/>
      <c r="G78" s="168"/>
      <c r="H78" s="168"/>
      <c r="I78" s="168"/>
      <c r="J78" s="168"/>
      <c r="K78" s="168"/>
      <c r="L78" s="168"/>
      <c r="M78" s="168"/>
      <c r="N78" s="168"/>
      <c r="O78" s="168"/>
      <c r="P78" s="168"/>
      <c r="Q78" s="168"/>
      <c r="R78" s="168"/>
      <c r="S78" s="168"/>
      <c r="T78" s="168"/>
      <c r="U78" s="168"/>
      <c r="V78" s="168"/>
      <c r="W78" s="168"/>
      <c r="X78" s="168"/>
      <c r="Y78" s="168"/>
      <c r="Z78" s="168"/>
      <c r="AA78" s="168"/>
      <c r="AB78" s="168"/>
      <c r="AC78" s="168"/>
      <c r="AD78" s="168"/>
      <c r="AE78" s="168"/>
      <c r="AF78" s="168"/>
      <c r="AG78" s="168"/>
      <c r="AH78" s="168"/>
      <c r="AI78" s="168"/>
      <c r="AJ78" s="168"/>
    </row>
    <row r="79" spans="1:36" x14ac:dyDescent="0.3">
      <c r="A79" s="168"/>
      <c r="B79" s="168"/>
      <c r="C79" s="168"/>
      <c r="D79" s="168"/>
      <c r="E79" s="168"/>
      <c r="F79" s="168"/>
      <c r="G79" s="168"/>
      <c r="H79" s="168"/>
      <c r="I79" s="168"/>
      <c r="J79" s="168"/>
      <c r="K79" s="168"/>
      <c r="L79" s="168"/>
      <c r="M79" s="168"/>
      <c r="N79" s="168"/>
      <c r="O79" s="168"/>
      <c r="P79" s="168"/>
      <c r="Q79" s="168"/>
      <c r="R79" s="168"/>
      <c r="S79" s="168"/>
      <c r="T79" s="168"/>
      <c r="U79" s="168"/>
      <c r="V79" s="168"/>
      <c r="W79" s="168"/>
      <c r="X79" s="168"/>
      <c r="Y79" s="168"/>
      <c r="Z79" s="168"/>
      <c r="AA79" s="168"/>
      <c r="AB79" s="168"/>
      <c r="AC79" s="168"/>
      <c r="AD79" s="168"/>
      <c r="AE79" s="168"/>
      <c r="AF79" s="168"/>
      <c r="AG79" s="168"/>
      <c r="AH79" s="168"/>
      <c r="AI79" s="168"/>
      <c r="AJ79" s="168"/>
    </row>
    <row r="80" spans="1:36" x14ac:dyDescent="0.3">
      <c r="A80" s="168"/>
      <c r="B80" s="168"/>
      <c r="C80" s="168"/>
      <c r="D80" s="168"/>
      <c r="E80" s="168"/>
      <c r="F80" s="168"/>
      <c r="G80" s="168"/>
      <c r="H80" s="168"/>
      <c r="I80" s="168"/>
      <c r="J80" s="168"/>
      <c r="K80" s="168"/>
      <c r="L80" s="168"/>
      <c r="M80" s="168"/>
      <c r="N80" s="168"/>
      <c r="O80" s="168"/>
      <c r="P80" s="168"/>
      <c r="Q80" s="168"/>
      <c r="R80" s="168"/>
      <c r="S80" s="168"/>
      <c r="T80" s="168"/>
      <c r="U80" s="168"/>
      <c r="V80" s="168"/>
      <c r="W80" s="168"/>
      <c r="X80" s="168"/>
      <c r="Y80" s="168"/>
      <c r="Z80" s="168"/>
      <c r="AA80" s="168"/>
      <c r="AB80" s="168"/>
      <c r="AC80" s="168"/>
      <c r="AD80" s="168"/>
      <c r="AE80" s="168"/>
      <c r="AF80" s="168"/>
      <c r="AG80" s="168"/>
      <c r="AH80" s="168"/>
      <c r="AI80" s="168"/>
      <c r="AJ80" s="168"/>
    </row>
    <row r="81" spans="1:36" x14ac:dyDescent="0.3">
      <c r="A81" s="168"/>
      <c r="B81" s="168"/>
      <c r="C81" s="168"/>
      <c r="D81" s="168"/>
      <c r="E81" s="168"/>
      <c r="F81" s="168"/>
      <c r="G81" s="168"/>
      <c r="H81" s="168"/>
      <c r="I81" s="168"/>
      <c r="J81" s="168"/>
      <c r="K81" s="168"/>
      <c r="L81" s="168"/>
      <c r="M81" s="168"/>
      <c r="N81" s="168"/>
      <c r="O81" s="168"/>
      <c r="P81" s="168"/>
      <c r="Q81" s="168"/>
      <c r="R81" s="168"/>
      <c r="S81" s="168"/>
      <c r="T81" s="168"/>
      <c r="U81" s="168"/>
      <c r="V81" s="168"/>
      <c r="W81" s="168"/>
      <c r="X81" s="168"/>
      <c r="Y81" s="168"/>
      <c r="Z81" s="168"/>
      <c r="AA81" s="168"/>
      <c r="AB81" s="168"/>
      <c r="AC81" s="168"/>
      <c r="AD81" s="168"/>
      <c r="AE81" s="168"/>
      <c r="AF81" s="168"/>
      <c r="AG81" s="168"/>
      <c r="AH81" s="168"/>
      <c r="AI81" s="168"/>
      <c r="AJ81" s="168"/>
    </row>
    <row r="82" spans="1:36" x14ac:dyDescent="0.3">
      <c r="A82" s="168"/>
      <c r="B82" s="168"/>
      <c r="C82" s="168"/>
      <c r="D82" s="168"/>
      <c r="E82" s="168"/>
      <c r="F82" s="168"/>
      <c r="G82" s="168"/>
      <c r="H82" s="168"/>
      <c r="I82" s="168"/>
      <c r="J82" s="168"/>
      <c r="K82" s="168"/>
      <c r="L82" s="168"/>
      <c r="M82" s="168"/>
      <c r="N82" s="168"/>
      <c r="O82" s="168"/>
      <c r="P82" s="168"/>
      <c r="Q82" s="168"/>
      <c r="R82" s="168"/>
      <c r="S82" s="168"/>
      <c r="T82" s="168"/>
      <c r="U82" s="168"/>
      <c r="V82" s="168"/>
      <c r="W82" s="168"/>
      <c r="X82" s="168"/>
      <c r="Y82" s="168"/>
      <c r="Z82" s="168"/>
      <c r="AA82" s="168"/>
      <c r="AB82" s="168"/>
      <c r="AC82" s="168"/>
      <c r="AD82" s="168"/>
      <c r="AE82" s="168"/>
      <c r="AF82" s="168"/>
      <c r="AG82" s="168"/>
      <c r="AH82" s="168"/>
      <c r="AI82" s="168"/>
      <c r="AJ82" s="168"/>
    </row>
    <row r="83" spans="1:36" x14ac:dyDescent="0.3">
      <c r="A83" s="168"/>
      <c r="B83" s="168"/>
      <c r="C83" s="168"/>
      <c r="D83" s="168"/>
      <c r="E83" s="168"/>
      <c r="F83" s="168"/>
      <c r="G83" s="168"/>
      <c r="H83" s="168"/>
      <c r="I83" s="168"/>
      <c r="J83" s="168"/>
      <c r="K83" s="168"/>
      <c r="L83" s="168"/>
      <c r="M83" s="168"/>
      <c r="N83" s="168"/>
      <c r="O83" s="168"/>
      <c r="P83" s="168"/>
      <c r="Q83" s="168"/>
      <c r="R83" s="168"/>
      <c r="S83" s="168"/>
      <c r="T83" s="168"/>
      <c r="U83" s="168"/>
      <c r="V83" s="168"/>
      <c r="W83" s="168"/>
      <c r="X83" s="168"/>
      <c r="Y83" s="168"/>
      <c r="Z83" s="168"/>
      <c r="AA83" s="168"/>
      <c r="AB83" s="168"/>
      <c r="AC83" s="168"/>
      <c r="AD83" s="168"/>
      <c r="AE83" s="168"/>
      <c r="AF83" s="168"/>
      <c r="AG83" s="168"/>
      <c r="AH83" s="168"/>
      <c r="AI83" s="168"/>
      <c r="AJ83" s="168"/>
    </row>
    <row r="84" spans="1:36" x14ac:dyDescent="0.3">
      <c r="A84" s="168"/>
      <c r="B84" s="168"/>
      <c r="C84" s="168"/>
      <c r="D84" s="168"/>
      <c r="E84" s="168"/>
      <c r="F84" s="168"/>
      <c r="G84" s="168"/>
      <c r="H84" s="168"/>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8"/>
      <c r="AG84" s="168"/>
      <c r="AH84" s="168"/>
      <c r="AI84" s="168"/>
      <c r="AJ84" s="168"/>
    </row>
    <row r="85" spans="1:36" x14ac:dyDescent="0.3">
      <c r="A85" s="168"/>
      <c r="B85" s="168"/>
      <c r="C85" s="168"/>
      <c r="D85" s="168"/>
      <c r="E85" s="168"/>
      <c r="F85" s="168"/>
      <c r="G85" s="168"/>
      <c r="H85" s="168"/>
      <c r="I85" s="168"/>
      <c r="J85" s="168"/>
      <c r="K85" s="168"/>
      <c r="L85" s="168"/>
      <c r="M85" s="168"/>
      <c r="N85" s="168"/>
      <c r="O85" s="168"/>
      <c r="P85" s="168"/>
      <c r="Q85" s="168"/>
      <c r="R85" s="168"/>
      <c r="S85" s="168"/>
      <c r="T85" s="168"/>
      <c r="U85" s="168"/>
      <c r="V85" s="168"/>
      <c r="W85" s="168"/>
      <c r="X85" s="168"/>
      <c r="Y85" s="168"/>
      <c r="Z85" s="168"/>
      <c r="AA85" s="168"/>
      <c r="AB85" s="168"/>
      <c r="AC85" s="168"/>
      <c r="AD85" s="168"/>
      <c r="AE85" s="168"/>
      <c r="AF85" s="168"/>
      <c r="AG85" s="168"/>
      <c r="AH85" s="168"/>
      <c r="AI85" s="168"/>
      <c r="AJ85" s="168"/>
    </row>
    <row r="86" spans="1:36" x14ac:dyDescent="0.3">
      <c r="A86" s="168"/>
      <c r="B86" s="168"/>
      <c r="C86" s="168"/>
      <c r="D86" s="168"/>
      <c r="E86" s="168"/>
      <c r="F86" s="168"/>
      <c r="G86" s="168"/>
      <c r="H86" s="168"/>
      <c r="I86" s="168"/>
      <c r="J86" s="168"/>
      <c r="K86" s="168"/>
      <c r="L86" s="168"/>
      <c r="M86" s="168"/>
      <c r="N86" s="168"/>
      <c r="O86" s="168"/>
      <c r="P86" s="168"/>
      <c r="Q86" s="168"/>
      <c r="R86" s="168"/>
      <c r="S86" s="168"/>
      <c r="T86" s="168"/>
      <c r="U86" s="168"/>
      <c r="V86" s="168"/>
      <c r="W86" s="168"/>
      <c r="X86" s="168"/>
      <c r="Y86" s="168"/>
      <c r="Z86" s="168"/>
      <c r="AA86" s="168"/>
      <c r="AB86" s="168"/>
      <c r="AC86" s="168"/>
      <c r="AD86" s="168"/>
      <c r="AE86" s="168"/>
      <c r="AF86" s="168"/>
      <c r="AG86" s="168"/>
      <c r="AH86" s="168"/>
      <c r="AI86" s="168"/>
      <c r="AJ86" s="168"/>
    </row>
    <row r="87" spans="1:36" x14ac:dyDescent="0.3">
      <c r="A87" s="168"/>
      <c r="B87" s="168"/>
      <c r="C87" s="168"/>
      <c r="D87" s="168"/>
      <c r="E87" s="168"/>
      <c r="F87" s="168"/>
      <c r="G87" s="168"/>
      <c r="H87" s="168"/>
      <c r="I87" s="168"/>
      <c r="J87" s="168"/>
      <c r="K87" s="168"/>
      <c r="L87" s="168"/>
      <c r="M87" s="168"/>
      <c r="N87" s="168"/>
      <c r="O87" s="168"/>
      <c r="P87" s="168"/>
      <c r="Q87" s="168"/>
      <c r="R87" s="168"/>
      <c r="S87" s="168"/>
      <c r="T87" s="168"/>
      <c r="U87" s="168"/>
      <c r="V87" s="168"/>
      <c r="W87" s="168"/>
      <c r="X87" s="168"/>
      <c r="Y87" s="168"/>
      <c r="Z87" s="168"/>
      <c r="AA87" s="168"/>
      <c r="AB87" s="168"/>
      <c r="AC87" s="168"/>
      <c r="AD87" s="168"/>
      <c r="AE87" s="168"/>
      <c r="AF87" s="168"/>
      <c r="AG87" s="168"/>
      <c r="AH87" s="168"/>
      <c r="AI87" s="168"/>
      <c r="AJ87" s="168"/>
    </row>
    <row r="88" spans="1:36" x14ac:dyDescent="0.3">
      <c r="A88" s="168"/>
      <c r="B88" s="168"/>
      <c r="C88" s="168"/>
      <c r="D88" s="168"/>
      <c r="E88" s="168"/>
      <c r="F88" s="168"/>
      <c r="G88" s="168"/>
      <c r="H88" s="168"/>
      <c r="I88" s="168"/>
      <c r="J88" s="168"/>
      <c r="K88" s="168"/>
      <c r="L88" s="168"/>
      <c r="M88" s="168"/>
      <c r="N88" s="168"/>
      <c r="O88" s="168"/>
      <c r="P88" s="168"/>
      <c r="Q88" s="168"/>
      <c r="R88" s="168"/>
      <c r="S88" s="168"/>
      <c r="T88" s="168"/>
      <c r="U88" s="168"/>
      <c r="V88" s="168"/>
      <c r="W88" s="168"/>
      <c r="X88" s="168"/>
      <c r="Y88" s="168"/>
      <c r="Z88" s="168"/>
      <c r="AA88" s="168"/>
      <c r="AB88" s="168"/>
      <c r="AC88" s="168"/>
      <c r="AD88" s="168"/>
      <c r="AE88" s="168"/>
      <c r="AF88" s="168"/>
      <c r="AG88" s="168"/>
      <c r="AH88" s="168"/>
      <c r="AI88" s="168"/>
      <c r="AJ88" s="168"/>
    </row>
    <row r="89" spans="1:36" x14ac:dyDescent="0.3">
      <c r="A89" s="168"/>
      <c r="B89" s="168"/>
      <c r="C89" s="168"/>
      <c r="D89" s="168"/>
      <c r="E89" s="168"/>
      <c r="F89" s="168"/>
      <c r="G89" s="168"/>
      <c r="H89" s="168"/>
      <c r="I89" s="168"/>
      <c r="J89" s="168"/>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row>
    <row r="90" spans="1:36" x14ac:dyDescent="0.3">
      <c r="A90" s="168"/>
      <c r="B90" s="168"/>
      <c r="C90" s="168"/>
      <c r="D90" s="168"/>
      <c r="E90" s="168"/>
      <c r="F90" s="168"/>
      <c r="G90" s="168"/>
      <c r="H90" s="168"/>
      <c r="I90" s="168"/>
      <c r="J90" s="168"/>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row>
    <row r="91" spans="1:36" x14ac:dyDescent="0.3">
      <c r="A91" s="168"/>
      <c r="B91" s="168"/>
      <c r="C91" s="168"/>
      <c r="D91" s="168"/>
      <c r="E91" s="168"/>
      <c r="F91" s="168"/>
      <c r="G91" s="168"/>
      <c r="H91" s="168"/>
      <c r="I91" s="168"/>
      <c r="J91" s="168"/>
      <c r="K91" s="168"/>
      <c r="L91" s="168"/>
      <c r="M91" s="168"/>
      <c r="N91" s="168"/>
      <c r="O91" s="168"/>
      <c r="P91" s="168"/>
      <c r="Q91" s="168"/>
      <c r="R91" s="168"/>
      <c r="S91" s="168"/>
      <c r="T91" s="168"/>
      <c r="U91" s="168"/>
      <c r="V91" s="168"/>
      <c r="W91" s="168"/>
      <c r="X91" s="168"/>
      <c r="Y91" s="168"/>
      <c r="Z91" s="168"/>
      <c r="AA91" s="168"/>
      <c r="AB91" s="168"/>
      <c r="AC91" s="168"/>
      <c r="AD91" s="168"/>
      <c r="AE91" s="168"/>
      <c r="AF91" s="168"/>
      <c r="AG91" s="168"/>
      <c r="AH91" s="168"/>
      <c r="AI91" s="168"/>
      <c r="AJ91" s="168"/>
    </row>
    <row r="92" spans="1:36" x14ac:dyDescent="0.3">
      <c r="A92" s="168"/>
      <c r="B92" s="168"/>
      <c r="C92" s="168"/>
      <c r="D92" s="168"/>
      <c r="E92" s="168"/>
      <c r="F92" s="168"/>
      <c r="G92" s="168"/>
      <c r="H92" s="168"/>
      <c r="I92" s="168"/>
      <c r="J92" s="168"/>
      <c r="K92" s="168"/>
      <c r="L92" s="168"/>
      <c r="M92" s="168"/>
      <c r="N92" s="168"/>
      <c r="O92" s="168"/>
      <c r="P92" s="168"/>
      <c r="Q92" s="168"/>
      <c r="R92" s="168"/>
      <c r="S92" s="168"/>
      <c r="T92" s="168"/>
      <c r="U92" s="168"/>
      <c r="V92" s="168"/>
      <c r="W92" s="168"/>
      <c r="X92" s="168"/>
      <c r="Y92" s="168"/>
      <c r="Z92" s="168"/>
      <c r="AA92" s="168"/>
      <c r="AB92" s="168"/>
      <c r="AC92" s="168"/>
      <c r="AD92" s="168"/>
      <c r="AE92" s="168"/>
      <c r="AF92" s="168"/>
      <c r="AG92" s="168"/>
      <c r="AH92" s="168"/>
      <c r="AI92" s="168"/>
      <c r="AJ92" s="168"/>
    </row>
    <row r="93" spans="1:36" x14ac:dyDescent="0.3">
      <c r="A93" s="168"/>
      <c r="B93" s="168"/>
      <c r="C93" s="168"/>
      <c r="D93" s="168"/>
      <c r="E93" s="168"/>
      <c r="F93" s="168"/>
      <c r="G93" s="168"/>
      <c r="H93" s="168"/>
      <c r="I93" s="168"/>
      <c r="J93" s="168"/>
      <c r="K93" s="168"/>
      <c r="L93" s="168"/>
      <c r="M93" s="168"/>
      <c r="N93" s="168"/>
      <c r="O93" s="168"/>
      <c r="P93" s="168"/>
      <c r="Q93" s="168"/>
      <c r="R93" s="168"/>
      <c r="S93" s="168"/>
      <c r="T93" s="168"/>
      <c r="U93" s="168"/>
      <c r="V93" s="168"/>
      <c r="W93" s="168"/>
      <c r="X93" s="168"/>
      <c r="Y93" s="168"/>
      <c r="Z93" s="168"/>
      <c r="AA93" s="168"/>
      <c r="AB93" s="168"/>
      <c r="AC93" s="168"/>
      <c r="AD93" s="168"/>
      <c r="AE93" s="168"/>
      <c r="AF93" s="168"/>
      <c r="AG93" s="168"/>
      <c r="AH93" s="168"/>
      <c r="AI93" s="168"/>
      <c r="AJ93" s="168"/>
    </row>
    <row r="94" spans="1:36" x14ac:dyDescent="0.3">
      <c r="A94" s="168"/>
      <c r="B94" s="168"/>
      <c r="C94" s="168"/>
      <c r="D94" s="168"/>
      <c r="E94" s="168"/>
      <c r="F94" s="168"/>
      <c r="G94" s="168"/>
      <c r="H94" s="168"/>
      <c r="I94" s="168"/>
      <c r="J94" s="168"/>
      <c r="K94" s="168"/>
      <c r="L94" s="168"/>
      <c r="M94" s="168"/>
      <c r="N94" s="168"/>
      <c r="O94" s="168"/>
      <c r="P94" s="168"/>
      <c r="Q94" s="168"/>
      <c r="R94" s="168"/>
      <c r="S94" s="168"/>
      <c r="T94" s="168"/>
      <c r="U94" s="168"/>
      <c r="V94" s="168"/>
      <c r="W94" s="168"/>
      <c r="X94" s="168"/>
      <c r="Y94" s="168"/>
      <c r="Z94" s="168"/>
      <c r="AA94" s="168"/>
      <c r="AB94" s="168"/>
      <c r="AC94" s="168"/>
      <c r="AD94" s="168"/>
      <c r="AE94" s="168"/>
      <c r="AF94" s="168"/>
      <c r="AG94" s="168"/>
      <c r="AH94" s="168"/>
      <c r="AI94" s="168"/>
      <c r="AJ94" s="168"/>
    </row>
    <row r="95" spans="1:36" x14ac:dyDescent="0.3">
      <c r="A95" s="168"/>
      <c r="B95" s="168"/>
      <c r="C95" s="168"/>
      <c r="D95" s="168"/>
      <c r="E95" s="168"/>
      <c r="F95" s="168"/>
      <c r="G95" s="168"/>
      <c r="H95" s="168"/>
      <c r="I95" s="168"/>
      <c r="J95" s="168"/>
      <c r="K95" s="168"/>
      <c r="L95" s="168"/>
      <c r="M95" s="168"/>
      <c r="N95" s="168"/>
      <c r="O95" s="168"/>
      <c r="P95" s="168"/>
      <c r="Q95" s="168"/>
      <c r="R95" s="168"/>
      <c r="S95" s="168"/>
      <c r="T95" s="168"/>
      <c r="U95" s="168"/>
      <c r="V95" s="168"/>
      <c r="W95" s="168"/>
      <c r="X95" s="168"/>
      <c r="Y95" s="168"/>
      <c r="Z95" s="168"/>
      <c r="AA95" s="168"/>
      <c r="AB95" s="168"/>
      <c r="AC95" s="168"/>
      <c r="AD95" s="168"/>
      <c r="AE95" s="168"/>
      <c r="AF95" s="168"/>
      <c r="AG95" s="168"/>
      <c r="AH95" s="168"/>
      <c r="AI95" s="168"/>
      <c r="AJ95" s="168"/>
    </row>
    <row r="96" spans="1:36" x14ac:dyDescent="0.3">
      <c r="A96" s="168"/>
      <c r="B96" s="168"/>
      <c r="C96" s="168"/>
      <c r="D96" s="168"/>
      <c r="E96" s="168"/>
      <c r="F96" s="168"/>
      <c r="G96" s="168"/>
      <c r="H96" s="168"/>
      <c r="I96" s="168"/>
      <c r="J96" s="168"/>
      <c r="K96" s="168"/>
      <c r="L96" s="168"/>
      <c r="M96" s="168"/>
      <c r="N96" s="168"/>
      <c r="O96" s="168"/>
      <c r="P96" s="168"/>
      <c r="Q96" s="168"/>
      <c r="R96" s="168"/>
      <c r="S96" s="168"/>
      <c r="T96" s="168"/>
      <c r="U96" s="168"/>
      <c r="V96" s="168"/>
      <c r="W96" s="168"/>
      <c r="X96" s="168"/>
      <c r="Y96" s="168"/>
      <c r="Z96" s="168"/>
      <c r="AA96" s="168"/>
      <c r="AB96" s="168"/>
      <c r="AC96" s="168"/>
      <c r="AD96" s="168"/>
      <c r="AE96" s="168"/>
      <c r="AF96" s="168"/>
      <c r="AG96" s="168"/>
      <c r="AH96" s="168"/>
      <c r="AI96" s="168"/>
      <c r="AJ96" s="168"/>
    </row>
    <row r="97" spans="1:36" x14ac:dyDescent="0.3">
      <c r="A97" s="168"/>
      <c r="B97" s="168"/>
      <c r="C97" s="168"/>
      <c r="D97" s="168"/>
      <c r="E97" s="168"/>
      <c r="F97" s="168"/>
      <c r="G97" s="168"/>
      <c r="H97" s="168"/>
      <c r="I97" s="168"/>
      <c r="J97" s="168"/>
      <c r="K97" s="168"/>
      <c r="L97" s="168"/>
      <c r="M97" s="168"/>
      <c r="N97" s="168"/>
      <c r="O97" s="168"/>
      <c r="P97" s="168"/>
      <c r="Q97" s="168"/>
      <c r="R97" s="168"/>
      <c r="S97" s="168"/>
      <c r="T97" s="168"/>
      <c r="U97" s="168"/>
      <c r="V97" s="168"/>
      <c r="W97" s="168"/>
      <c r="X97" s="168"/>
      <c r="Y97" s="168"/>
      <c r="Z97" s="168"/>
      <c r="AA97" s="168"/>
      <c r="AB97" s="168"/>
      <c r="AC97" s="168"/>
      <c r="AD97" s="168"/>
      <c r="AE97" s="168"/>
      <c r="AF97" s="168"/>
      <c r="AG97" s="168"/>
      <c r="AH97" s="168"/>
      <c r="AI97" s="168"/>
      <c r="AJ97" s="168"/>
    </row>
    <row r="98" spans="1:36" x14ac:dyDescent="0.3">
      <c r="A98" s="168"/>
      <c r="B98" s="168"/>
      <c r="C98" s="168"/>
      <c r="D98" s="168"/>
      <c r="E98" s="168"/>
      <c r="F98" s="168"/>
      <c r="G98" s="168"/>
      <c r="H98" s="168"/>
      <c r="I98" s="168"/>
      <c r="J98" s="168"/>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row>
    <row r="99" spans="1:36" x14ac:dyDescent="0.3">
      <c r="A99" s="168"/>
      <c r="B99" s="168"/>
      <c r="C99" s="168"/>
      <c r="D99" s="168"/>
      <c r="E99" s="168"/>
      <c r="F99" s="168"/>
      <c r="G99" s="168"/>
      <c r="H99" s="168"/>
      <c r="I99" s="168"/>
      <c r="J99" s="168"/>
      <c r="K99" s="168"/>
      <c r="L99" s="168"/>
      <c r="M99" s="168"/>
      <c r="N99" s="168"/>
      <c r="O99" s="168"/>
      <c r="P99" s="168"/>
      <c r="Q99" s="168"/>
      <c r="R99" s="168"/>
      <c r="S99" s="168"/>
      <c r="T99" s="168"/>
      <c r="U99" s="168"/>
      <c r="V99" s="168"/>
      <c r="W99" s="168"/>
      <c r="X99" s="168"/>
      <c r="Y99" s="168"/>
      <c r="Z99" s="168"/>
      <c r="AA99" s="168"/>
      <c r="AB99" s="168"/>
      <c r="AC99" s="168"/>
      <c r="AD99" s="168"/>
      <c r="AE99" s="168"/>
      <c r="AF99" s="168"/>
      <c r="AG99" s="168"/>
      <c r="AH99" s="168"/>
      <c r="AI99" s="168"/>
      <c r="AJ99" s="168"/>
    </row>
    <row r="100" spans="1:36" x14ac:dyDescent="0.3">
      <c r="A100" s="168"/>
      <c r="B100" s="168"/>
      <c r="C100" s="168"/>
      <c r="D100" s="168"/>
      <c r="E100" s="168"/>
      <c r="F100" s="168"/>
      <c r="G100" s="168"/>
      <c r="H100" s="168"/>
      <c r="I100" s="168"/>
      <c r="J100" s="168"/>
      <c r="K100" s="168"/>
      <c r="L100" s="168"/>
      <c r="M100" s="168"/>
      <c r="N100" s="168"/>
      <c r="O100" s="168"/>
      <c r="P100" s="168"/>
      <c r="Q100" s="168"/>
      <c r="R100" s="168"/>
      <c r="S100" s="168"/>
      <c r="T100" s="168"/>
      <c r="U100" s="168"/>
      <c r="V100" s="168"/>
      <c r="W100" s="168"/>
      <c r="X100" s="168"/>
      <c r="Y100" s="168"/>
      <c r="Z100" s="168"/>
      <c r="AA100" s="168"/>
      <c r="AB100" s="168"/>
      <c r="AC100" s="168"/>
      <c r="AD100" s="168"/>
      <c r="AE100" s="168"/>
      <c r="AF100" s="168"/>
      <c r="AG100" s="168"/>
      <c r="AH100" s="168"/>
      <c r="AI100" s="168"/>
      <c r="AJ100" s="168"/>
    </row>
    <row r="101" spans="1:36" x14ac:dyDescent="0.3">
      <c r="A101" s="168"/>
      <c r="B101" s="168"/>
      <c r="C101" s="168"/>
      <c r="D101" s="168"/>
      <c r="E101" s="168"/>
      <c r="F101" s="168"/>
      <c r="G101" s="168"/>
      <c r="H101" s="168"/>
      <c r="I101" s="168"/>
      <c r="J101" s="168"/>
      <c r="K101" s="168"/>
      <c r="L101" s="168"/>
      <c r="M101" s="168"/>
      <c r="N101" s="168"/>
      <c r="O101" s="168"/>
      <c r="P101" s="168"/>
      <c r="Q101" s="168"/>
      <c r="R101" s="168"/>
      <c r="S101" s="168"/>
      <c r="T101" s="168"/>
      <c r="U101" s="168"/>
      <c r="V101" s="168"/>
      <c r="W101" s="168"/>
      <c r="X101" s="168"/>
      <c r="Y101" s="168"/>
      <c r="Z101" s="168"/>
      <c r="AA101" s="168"/>
      <c r="AB101" s="168"/>
      <c r="AC101" s="168"/>
      <c r="AD101" s="168"/>
      <c r="AE101" s="168"/>
      <c r="AF101" s="168"/>
      <c r="AG101" s="168"/>
      <c r="AH101" s="168"/>
      <c r="AI101" s="168"/>
      <c r="AJ101" s="168"/>
    </row>
    <row r="102" spans="1:36" x14ac:dyDescent="0.3">
      <c r="A102" s="168"/>
      <c r="B102" s="168"/>
      <c r="C102" s="168"/>
      <c r="D102" s="168"/>
      <c r="E102" s="168"/>
      <c r="F102" s="168"/>
      <c r="G102" s="168"/>
      <c r="H102" s="168"/>
      <c r="I102" s="168"/>
      <c r="J102" s="168"/>
      <c r="K102" s="168"/>
      <c r="L102" s="168"/>
      <c r="M102" s="168"/>
      <c r="N102" s="168"/>
      <c r="O102" s="168"/>
      <c r="P102" s="168"/>
      <c r="Q102" s="168"/>
      <c r="R102" s="168"/>
      <c r="S102" s="168"/>
      <c r="T102" s="168"/>
      <c r="U102" s="168"/>
      <c r="V102" s="168"/>
      <c r="W102" s="168"/>
      <c r="X102" s="168"/>
      <c r="Y102" s="168"/>
      <c r="Z102" s="168"/>
      <c r="AA102" s="168"/>
      <c r="AB102" s="168"/>
      <c r="AC102" s="168"/>
      <c r="AD102" s="168"/>
      <c r="AE102" s="168"/>
      <c r="AF102" s="168"/>
      <c r="AG102" s="168"/>
      <c r="AH102" s="168"/>
      <c r="AI102" s="168"/>
      <c r="AJ102" s="168"/>
    </row>
    <row r="103" spans="1:36" x14ac:dyDescent="0.3">
      <c r="A103" s="168"/>
      <c r="B103" s="168"/>
      <c r="C103" s="168"/>
      <c r="D103" s="168"/>
      <c r="E103" s="168"/>
      <c r="F103" s="168"/>
      <c r="G103" s="168"/>
      <c r="H103" s="168"/>
      <c r="I103" s="168"/>
      <c r="J103" s="168"/>
      <c r="K103" s="168"/>
      <c r="L103" s="168"/>
      <c r="M103" s="168"/>
      <c r="N103" s="168"/>
      <c r="O103" s="168"/>
      <c r="P103" s="168"/>
      <c r="Q103" s="168"/>
      <c r="R103" s="168"/>
      <c r="S103" s="168"/>
      <c r="T103" s="168"/>
      <c r="U103" s="168"/>
      <c r="V103" s="168"/>
      <c r="W103" s="168"/>
      <c r="X103" s="168"/>
      <c r="Y103" s="168"/>
      <c r="Z103" s="168"/>
      <c r="AA103" s="168"/>
      <c r="AB103" s="168"/>
      <c r="AC103" s="168"/>
      <c r="AD103" s="168"/>
      <c r="AE103" s="168"/>
      <c r="AF103" s="168"/>
      <c r="AG103" s="168"/>
      <c r="AH103" s="168"/>
      <c r="AI103" s="168"/>
      <c r="AJ103" s="168"/>
    </row>
    <row r="104" spans="1:36" x14ac:dyDescent="0.3">
      <c r="A104" s="168"/>
      <c r="B104" s="168"/>
      <c r="C104" s="168"/>
      <c r="D104" s="168"/>
      <c r="E104" s="168"/>
      <c r="F104" s="168"/>
      <c r="G104" s="168"/>
      <c r="H104" s="168"/>
      <c r="I104" s="168"/>
      <c r="J104" s="168"/>
      <c r="K104" s="168"/>
      <c r="L104" s="168"/>
      <c r="M104" s="168"/>
      <c r="N104" s="168"/>
      <c r="O104" s="168"/>
      <c r="P104" s="168"/>
      <c r="Q104" s="168"/>
      <c r="R104" s="168"/>
      <c r="S104" s="168"/>
      <c r="T104" s="168"/>
      <c r="U104" s="168"/>
      <c r="V104" s="168"/>
      <c r="W104" s="168"/>
      <c r="X104" s="168"/>
      <c r="Y104" s="168"/>
      <c r="Z104" s="168"/>
      <c r="AA104" s="168"/>
      <c r="AB104" s="168"/>
      <c r="AC104" s="168"/>
      <c r="AD104" s="168"/>
      <c r="AE104" s="168"/>
      <c r="AF104" s="168"/>
      <c r="AG104" s="168"/>
      <c r="AH104" s="168"/>
      <c r="AI104" s="168"/>
      <c r="AJ104" s="168"/>
    </row>
    <row r="105" spans="1:36" x14ac:dyDescent="0.3">
      <c r="A105" s="168"/>
      <c r="B105" s="168"/>
      <c r="C105" s="168"/>
      <c r="D105" s="168"/>
      <c r="E105" s="168"/>
      <c r="F105" s="168"/>
      <c r="G105" s="168"/>
      <c r="H105" s="168"/>
      <c r="I105" s="168"/>
      <c r="J105" s="168"/>
      <c r="K105" s="168"/>
      <c r="L105" s="168"/>
      <c r="M105" s="168"/>
      <c r="N105" s="168"/>
      <c r="O105" s="168"/>
      <c r="P105" s="168"/>
      <c r="Q105" s="168"/>
      <c r="R105" s="168"/>
      <c r="S105" s="168"/>
      <c r="T105" s="168"/>
      <c r="U105" s="168"/>
      <c r="V105" s="168"/>
      <c r="W105" s="168"/>
      <c r="X105" s="168"/>
      <c r="Y105" s="168"/>
      <c r="Z105" s="168"/>
      <c r="AA105" s="168"/>
      <c r="AB105" s="168"/>
      <c r="AC105" s="168"/>
      <c r="AD105" s="168"/>
      <c r="AE105" s="168"/>
      <c r="AF105" s="168"/>
      <c r="AG105" s="168"/>
      <c r="AH105" s="168"/>
      <c r="AI105" s="168"/>
      <c r="AJ105" s="168"/>
    </row>
    <row r="106" spans="1:36" x14ac:dyDescent="0.3">
      <c r="A106" s="168"/>
      <c r="B106" s="168"/>
      <c r="C106" s="168"/>
      <c r="D106" s="168"/>
      <c r="E106" s="168"/>
      <c r="F106" s="168"/>
      <c r="G106" s="168"/>
      <c r="H106" s="168"/>
      <c r="I106" s="168"/>
      <c r="J106" s="168"/>
      <c r="K106" s="168"/>
      <c r="L106" s="168"/>
      <c r="M106" s="168"/>
      <c r="N106" s="168"/>
      <c r="O106" s="168"/>
      <c r="P106" s="168"/>
      <c r="Q106" s="168"/>
      <c r="R106" s="168"/>
      <c r="S106" s="168"/>
      <c r="T106" s="168"/>
      <c r="U106" s="168"/>
      <c r="V106" s="168"/>
      <c r="W106" s="168"/>
      <c r="X106" s="168"/>
      <c r="Y106" s="168"/>
      <c r="Z106" s="168"/>
      <c r="AA106" s="168"/>
      <c r="AB106" s="168"/>
      <c r="AC106" s="168"/>
      <c r="AD106" s="168"/>
      <c r="AE106" s="168"/>
      <c r="AF106" s="168"/>
      <c r="AG106" s="168"/>
      <c r="AH106" s="168"/>
      <c r="AI106" s="168"/>
      <c r="AJ106" s="168"/>
    </row>
    <row r="107" spans="1:36" x14ac:dyDescent="0.3">
      <c r="A107" s="168"/>
      <c r="B107" s="168"/>
      <c r="C107" s="168"/>
      <c r="D107" s="168"/>
      <c r="E107" s="168"/>
      <c r="F107" s="168"/>
      <c r="G107" s="168"/>
      <c r="H107" s="168"/>
      <c r="I107" s="168"/>
      <c r="J107" s="168"/>
      <c r="K107" s="168"/>
      <c r="L107" s="168"/>
      <c r="M107" s="168"/>
      <c r="N107" s="168"/>
      <c r="O107" s="168"/>
      <c r="P107" s="168"/>
      <c r="Q107" s="168"/>
      <c r="R107" s="168"/>
      <c r="S107" s="168"/>
      <c r="T107" s="168"/>
      <c r="U107" s="168"/>
      <c r="V107" s="168"/>
      <c r="W107" s="168"/>
      <c r="X107" s="168"/>
      <c r="Y107" s="168"/>
      <c r="Z107" s="168"/>
      <c r="AA107" s="168"/>
      <c r="AB107" s="168"/>
      <c r="AC107" s="168"/>
      <c r="AD107" s="168"/>
      <c r="AE107" s="168"/>
      <c r="AF107" s="168"/>
      <c r="AG107" s="168"/>
      <c r="AH107" s="168"/>
      <c r="AI107" s="168"/>
      <c r="AJ107" s="168"/>
    </row>
    <row r="108" spans="1:36" x14ac:dyDescent="0.3">
      <c r="A108" s="168"/>
      <c r="B108" s="168"/>
      <c r="C108" s="168"/>
      <c r="D108" s="168"/>
      <c r="E108" s="168"/>
      <c r="F108" s="168"/>
      <c r="G108" s="168"/>
      <c r="H108" s="168"/>
      <c r="I108" s="168"/>
      <c r="J108" s="168"/>
      <c r="K108" s="168"/>
      <c r="L108" s="168"/>
      <c r="M108" s="168"/>
      <c r="N108" s="168"/>
      <c r="O108" s="168"/>
      <c r="P108" s="168"/>
      <c r="Q108" s="168"/>
      <c r="R108" s="168"/>
      <c r="S108" s="168"/>
      <c r="T108" s="168"/>
      <c r="U108" s="168"/>
      <c r="V108" s="168"/>
      <c r="W108" s="168"/>
      <c r="X108" s="168"/>
      <c r="Y108" s="168"/>
      <c r="Z108" s="168"/>
      <c r="AA108" s="168"/>
      <c r="AB108" s="168"/>
      <c r="AC108" s="168"/>
      <c r="AD108" s="168"/>
      <c r="AE108" s="168"/>
      <c r="AF108" s="168"/>
      <c r="AG108" s="168"/>
      <c r="AH108" s="168"/>
      <c r="AI108" s="168"/>
      <c r="AJ108" s="168"/>
    </row>
    <row r="109" spans="1:36" x14ac:dyDescent="0.3">
      <c r="A109" s="168"/>
      <c r="B109" s="168"/>
      <c r="C109" s="168"/>
      <c r="D109" s="168"/>
      <c r="E109" s="168"/>
      <c r="F109" s="168"/>
      <c r="G109" s="168"/>
      <c r="H109" s="168"/>
      <c r="I109" s="168"/>
      <c r="J109" s="168"/>
      <c r="K109" s="168"/>
      <c r="L109" s="168"/>
      <c r="M109" s="168"/>
      <c r="N109" s="168"/>
      <c r="O109" s="168"/>
      <c r="P109" s="168"/>
      <c r="Q109" s="168"/>
      <c r="R109" s="168"/>
      <c r="S109" s="168"/>
      <c r="T109" s="168"/>
      <c r="U109" s="168"/>
      <c r="V109" s="168"/>
      <c r="W109" s="168"/>
      <c r="X109" s="168"/>
      <c r="Y109" s="168"/>
      <c r="Z109" s="168"/>
      <c r="AA109" s="168"/>
      <c r="AB109" s="168"/>
      <c r="AC109" s="168"/>
      <c r="AD109" s="168"/>
      <c r="AE109" s="168"/>
      <c r="AF109" s="168"/>
      <c r="AG109" s="168"/>
      <c r="AH109" s="168"/>
      <c r="AI109" s="168"/>
      <c r="AJ109" s="168"/>
    </row>
    <row r="110" spans="1:36" x14ac:dyDescent="0.3">
      <c r="A110" s="168"/>
      <c r="B110" s="168"/>
      <c r="C110" s="168"/>
      <c r="D110" s="168"/>
      <c r="E110" s="168"/>
      <c r="F110" s="168"/>
      <c r="G110" s="168"/>
      <c r="H110" s="168"/>
      <c r="I110" s="168"/>
      <c r="J110" s="168"/>
      <c r="K110" s="168"/>
      <c r="L110" s="168"/>
      <c r="M110" s="168"/>
      <c r="N110" s="168"/>
      <c r="O110" s="168"/>
      <c r="P110" s="168"/>
      <c r="Q110" s="168"/>
      <c r="R110" s="168"/>
      <c r="S110" s="168"/>
      <c r="T110" s="168"/>
      <c r="U110" s="168"/>
      <c r="V110" s="168"/>
      <c r="W110" s="168"/>
      <c r="X110" s="168"/>
      <c r="Y110" s="168"/>
      <c r="Z110" s="168"/>
      <c r="AA110" s="168"/>
      <c r="AB110" s="168"/>
      <c r="AC110" s="168"/>
      <c r="AD110" s="168"/>
      <c r="AE110" s="168"/>
      <c r="AF110" s="168"/>
      <c r="AG110" s="168"/>
      <c r="AH110" s="168"/>
      <c r="AI110" s="168"/>
      <c r="AJ110" s="168"/>
    </row>
    <row r="111" spans="1:36" x14ac:dyDescent="0.3">
      <c r="A111" s="168"/>
      <c r="B111" s="168"/>
      <c r="C111" s="168"/>
      <c r="D111" s="168"/>
      <c r="E111" s="168"/>
      <c r="F111" s="168"/>
      <c r="G111" s="168"/>
      <c r="H111" s="168"/>
      <c r="I111" s="168"/>
      <c r="J111" s="168"/>
      <c r="K111" s="168"/>
      <c r="L111" s="168"/>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c r="AJ111" s="168"/>
    </row>
    <row r="112" spans="1:36" x14ac:dyDescent="0.3">
      <c r="A112" s="168"/>
      <c r="B112" s="168"/>
      <c r="C112" s="168"/>
      <c r="D112" s="168"/>
      <c r="E112" s="168"/>
      <c r="F112" s="168"/>
      <c r="G112" s="168"/>
      <c r="H112" s="168"/>
      <c r="I112" s="168"/>
      <c r="J112" s="168"/>
      <c r="K112" s="168"/>
      <c r="L112" s="168"/>
      <c r="M112" s="168"/>
      <c r="N112" s="168"/>
      <c r="O112" s="168"/>
      <c r="P112" s="168"/>
      <c r="Q112" s="168"/>
      <c r="R112" s="168"/>
      <c r="S112" s="168"/>
      <c r="T112" s="168"/>
      <c r="U112" s="168"/>
      <c r="V112" s="168"/>
      <c r="W112" s="168"/>
      <c r="X112" s="168"/>
      <c r="Y112" s="168"/>
      <c r="Z112" s="168"/>
      <c r="AA112" s="168"/>
      <c r="AB112" s="168"/>
      <c r="AC112" s="168"/>
      <c r="AD112" s="168"/>
      <c r="AE112" s="168"/>
      <c r="AF112" s="168"/>
      <c r="AG112" s="168"/>
      <c r="AH112" s="168"/>
      <c r="AI112" s="168"/>
      <c r="AJ112" s="168"/>
    </row>
    <row r="113" spans="1:36" x14ac:dyDescent="0.3">
      <c r="A113" s="168"/>
      <c r="B113" s="168"/>
      <c r="C113" s="168"/>
      <c r="D113" s="168"/>
      <c r="E113" s="168"/>
      <c r="F113" s="168"/>
      <c r="G113" s="168"/>
      <c r="H113" s="168"/>
      <c r="I113" s="168"/>
      <c r="J113" s="168"/>
      <c r="K113" s="168"/>
      <c r="L113" s="168"/>
      <c r="M113" s="168"/>
      <c r="N113" s="168"/>
      <c r="O113" s="168"/>
      <c r="P113" s="168"/>
      <c r="Q113" s="168"/>
      <c r="R113" s="168"/>
      <c r="S113" s="168"/>
      <c r="T113" s="168"/>
      <c r="U113" s="168"/>
      <c r="V113" s="168"/>
      <c r="W113" s="168"/>
      <c r="X113" s="168"/>
      <c r="Y113" s="168"/>
      <c r="Z113" s="168"/>
      <c r="AA113" s="168"/>
      <c r="AB113" s="168"/>
      <c r="AC113" s="168"/>
      <c r="AD113" s="168"/>
      <c r="AE113" s="168"/>
      <c r="AF113" s="168"/>
      <c r="AG113" s="168"/>
      <c r="AH113" s="168"/>
      <c r="AI113" s="168"/>
      <c r="AJ113" s="168"/>
    </row>
    <row r="114" spans="1:36" x14ac:dyDescent="0.3">
      <c r="A114" s="168"/>
      <c r="B114" s="168"/>
      <c r="C114" s="168"/>
      <c r="D114" s="168"/>
      <c r="E114" s="168"/>
      <c r="F114" s="168"/>
      <c r="G114" s="168"/>
      <c r="H114" s="168"/>
      <c r="I114" s="168"/>
      <c r="J114" s="168"/>
      <c r="K114" s="168"/>
      <c r="L114" s="168"/>
      <c r="M114" s="168"/>
      <c r="N114" s="168"/>
      <c r="O114" s="168"/>
      <c r="P114" s="168"/>
      <c r="Q114" s="168"/>
      <c r="R114" s="168"/>
      <c r="S114" s="168"/>
      <c r="T114" s="168"/>
      <c r="U114" s="168"/>
      <c r="V114" s="168"/>
      <c r="W114" s="168"/>
      <c r="X114" s="168"/>
      <c r="Y114" s="168"/>
      <c r="Z114" s="168"/>
      <c r="AA114" s="168"/>
      <c r="AB114" s="168"/>
      <c r="AC114" s="168"/>
      <c r="AD114" s="168"/>
      <c r="AE114" s="168"/>
      <c r="AF114" s="168"/>
      <c r="AG114" s="168"/>
      <c r="AH114" s="168"/>
      <c r="AI114" s="168"/>
      <c r="AJ114" s="168"/>
    </row>
    <row r="115" spans="1:36" x14ac:dyDescent="0.3">
      <c r="A115" s="168"/>
      <c r="B115" s="168"/>
      <c r="C115" s="168"/>
      <c r="D115" s="168"/>
      <c r="E115" s="168"/>
      <c r="F115" s="168"/>
      <c r="G115" s="168"/>
      <c r="H115" s="168"/>
      <c r="I115" s="168"/>
      <c r="J115" s="168"/>
      <c r="K115" s="168"/>
      <c r="L115" s="168"/>
      <c r="M115" s="168"/>
      <c r="N115" s="168"/>
      <c r="O115" s="168"/>
      <c r="P115" s="168"/>
      <c r="Q115" s="168"/>
      <c r="R115" s="168"/>
      <c r="S115" s="168"/>
      <c r="T115" s="168"/>
      <c r="U115" s="168"/>
      <c r="V115" s="168"/>
      <c r="W115" s="168"/>
      <c r="X115" s="168"/>
      <c r="Y115" s="168"/>
      <c r="Z115" s="168"/>
      <c r="AA115" s="168"/>
      <c r="AB115" s="168"/>
      <c r="AC115" s="168"/>
      <c r="AD115" s="168"/>
      <c r="AE115" s="168"/>
      <c r="AF115" s="168"/>
      <c r="AG115" s="168"/>
      <c r="AH115" s="168"/>
      <c r="AI115" s="168"/>
      <c r="AJ115" s="168"/>
    </row>
    <row r="116" spans="1:36" x14ac:dyDescent="0.3">
      <c r="A116" s="168"/>
      <c r="B116" s="168"/>
      <c r="C116" s="168"/>
      <c r="D116" s="168"/>
      <c r="E116" s="168"/>
      <c r="F116" s="168"/>
      <c r="G116" s="168"/>
      <c r="H116" s="168"/>
      <c r="I116" s="168"/>
      <c r="J116" s="168"/>
      <c r="K116" s="168"/>
      <c r="L116" s="168"/>
      <c r="M116" s="168"/>
      <c r="N116" s="168"/>
      <c r="O116" s="168"/>
      <c r="P116" s="168"/>
      <c r="Q116" s="168"/>
      <c r="R116" s="168"/>
      <c r="S116" s="168"/>
      <c r="T116" s="168"/>
      <c r="U116" s="168"/>
      <c r="V116" s="168"/>
      <c r="W116" s="168"/>
      <c r="X116" s="168"/>
      <c r="Y116" s="168"/>
      <c r="Z116" s="168"/>
      <c r="AA116" s="168"/>
      <c r="AB116" s="168"/>
      <c r="AC116" s="168"/>
      <c r="AD116" s="168"/>
      <c r="AE116" s="168"/>
      <c r="AF116" s="168"/>
      <c r="AG116" s="168"/>
      <c r="AH116" s="168"/>
      <c r="AI116" s="168"/>
      <c r="AJ116" s="168"/>
    </row>
    <row r="117" spans="1:36" x14ac:dyDescent="0.3">
      <c r="A117" s="168"/>
      <c r="B117" s="168"/>
      <c r="C117" s="168"/>
      <c r="D117" s="168"/>
      <c r="E117" s="168"/>
      <c r="F117" s="168"/>
      <c r="G117" s="168"/>
      <c r="H117" s="168"/>
      <c r="I117" s="168"/>
      <c r="J117" s="168"/>
      <c r="K117" s="168"/>
      <c r="L117" s="168"/>
      <c r="M117" s="168"/>
      <c r="N117" s="168"/>
      <c r="O117" s="168"/>
      <c r="P117" s="168"/>
      <c r="Q117" s="168"/>
      <c r="R117" s="168"/>
      <c r="S117" s="168"/>
      <c r="T117" s="168"/>
      <c r="U117" s="168"/>
      <c r="V117" s="168"/>
      <c r="W117" s="168"/>
      <c r="X117" s="168"/>
      <c r="Y117" s="168"/>
      <c r="Z117" s="168"/>
      <c r="AA117" s="168"/>
      <c r="AB117" s="168"/>
      <c r="AC117" s="168"/>
      <c r="AD117" s="168"/>
      <c r="AE117" s="168"/>
      <c r="AF117" s="168"/>
      <c r="AG117" s="168"/>
      <c r="AH117" s="168"/>
      <c r="AI117" s="168"/>
      <c r="AJ117" s="168"/>
    </row>
    <row r="118" spans="1:36" x14ac:dyDescent="0.3">
      <c r="A118" s="168"/>
      <c r="B118" s="168"/>
      <c r="C118" s="168"/>
      <c r="D118" s="168"/>
      <c r="E118" s="168"/>
      <c r="F118" s="168"/>
      <c r="G118" s="168"/>
      <c r="H118" s="168"/>
      <c r="I118" s="168"/>
      <c r="J118" s="168"/>
      <c r="K118" s="168"/>
      <c r="L118" s="168"/>
      <c r="M118" s="168"/>
      <c r="N118" s="168"/>
      <c r="O118" s="168"/>
      <c r="P118" s="168"/>
      <c r="Q118" s="168"/>
      <c r="R118" s="168"/>
      <c r="S118" s="168"/>
      <c r="T118" s="168"/>
      <c r="U118" s="168"/>
      <c r="V118" s="168"/>
      <c r="W118" s="168"/>
      <c r="X118" s="168"/>
      <c r="Y118" s="168"/>
      <c r="Z118" s="168"/>
      <c r="AA118" s="168"/>
      <c r="AB118" s="168"/>
      <c r="AC118" s="168"/>
      <c r="AD118" s="168"/>
      <c r="AE118" s="168"/>
      <c r="AF118" s="168"/>
      <c r="AG118" s="168"/>
      <c r="AH118" s="168"/>
      <c r="AI118" s="168"/>
      <c r="AJ118" s="168"/>
    </row>
    <row r="119" spans="1:36" x14ac:dyDescent="0.3">
      <c r="A119" s="168"/>
      <c r="B119" s="168"/>
      <c r="C119" s="168"/>
      <c r="D119" s="168"/>
      <c r="E119" s="168"/>
      <c r="F119" s="168"/>
      <c r="G119" s="168"/>
      <c r="H119" s="168"/>
      <c r="I119" s="168"/>
      <c r="J119" s="168"/>
      <c r="K119" s="168"/>
      <c r="L119" s="168"/>
      <c r="M119" s="168"/>
      <c r="N119" s="168"/>
      <c r="O119" s="168"/>
      <c r="P119" s="168"/>
      <c r="Q119" s="168"/>
      <c r="R119" s="168"/>
      <c r="S119" s="168"/>
      <c r="T119" s="168"/>
      <c r="U119" s="168"/>
      <c r="V119" s="168"/>
      <c r="W119" s="168"/>
      <c r="X119" s="168"/>
      <c r="Y119" s="168"/>
      <c r="Z119" s="168"/>
      <c r="AA119" s="168"/>
      <c r="AB119" s="168"/>
      <c r="AC119" s="168"/>
      <c r="AD119" s="168"/>
      <c r="AE119" s="168"/>
      <c r="AF119" s="168"/>
      <c r="AG119" s="168"/>
      <c r="AH119" s="168"/>
      <c r="AI119" s="168"/>
      <c r="AJ119" s="168"/>
    </row>
    <row r="120" spans="1:36" x14ac:dyDescent="0.3">
      <c r="A120" s="168"/>
      <c r="B120" s="168"/>
      <c r="C120" s="168"/>
      <c r="D120" s="168"/>
      <c r="E120" s="168"/>
      <c r="F120" s="168"/>
      <c r="G120" s="168"/>
      <c r="H120" s="168"/>
      <c r="I120" s="168"/>
      <c r="J120" s="168"/>
      <c r="K120" s="168"/>
      <c r="L120" s="168"/>
      <c r="M120" s="168"/>
      <c r="N120" s="168"/>
      <c r="O120" s="168"/>
      <c r="P120" s="168"/>
      <c r="Q120" s="168"/>
      <c r="R120" s="168"/>
      <c r="S120" s="168"/>
      <c r="T120" s="168"/>
      <c r="U120" s="168"/>
      <c r="V120" s="168"/>
      <c r="W120" s="168"/>
      <c r="X120" s="168"/>
      <c r="Y120" s="168"/>
      <c r="Z120" s="168"/>
      <c r="AA120" s="168"/>
      <c r="AB120" s="168"/>
      <c r="AC120" s="168"/>
      <c r="AD120" s="168"/>
      <c r="AE120" s="168"/>
      <c r="AF120" s="168"/>
      <c r="AG120" s="168"/>
      <c r="AH120" s="168"/>
      <c r="AI120" s="168"/>
      <c r="AJ120" s="168"/>
    </row>
    <row r="121" spans="1:36" x14ac:dyDescent="0.3">
      <c r="A121" s="168"/>
      <c r="B121" s="168"/>
      <c r="C121" s="168"/>
      <c r="D121" s="168"/>
      <c r="E121" s="168"/>
      <c r="F121" s="168"/>
      <c r="G121" s="168"/>
      <c r="H121" s="168"/>
      <c r="I121" s="168"/>
      <c r="J121" s="168"/>
      <c r="K121" s="168"/>
      <c r="L121" s="168"/>
      <c r="M121" s="168"/>
      <c r="N121" s="168"/>
      <c r="O121" s="168"/>
      <c r="P121" s="168"/>
      <c r="Q121" s="168"/>
      <c r="R121" s="168"/>
      <c r="S121" s="168"/>
      <c r="T121" s="168"/>
      <c r="U121" s="168"/>
      <c r="V121" s="168"/>
      <c r="W121" s="168"/>
      <c r="X121" s="168"/>
      <c r="Y121" s="168"/>
      <c r="Z121" s="168"/>
      <c r="AA121" s="168"/>
      <c r="AB121" s="168"/>
      <c r="AC121" s="168"/>
      <c r="AD121" s="168"/>
      <c r="AE121" s="168"/>
      <c r="AF121" s="168"/>
      <c r="AG121" s="168"/>
      <c r="AH121" s="168"/>
      <c r="AI121" s="168"/>
      <c r="AJ121" s="168"/>
    </row>
    <row r="122" spans="1:36" x14ac:dyDescent="0.3">
      <c r="A122" s="168"/>
      <c r="B122" s="168"/>
      <c r="C122" s="168"/>
      <c r="D122" s="168"/>
      <c r="E122" s="168"/>
      <c r="F122" s="168"/>
      <c r="G122" s="168"/>
      <c r="H122" s="168"/>
      <c r="I122" s="168"/>
      <c r="J122" s="168"/>
      <c r="K122" s="168"/>
      <c r="L122" s="168"/>
      <c r="M122" s="168"/>
      <c r="N122" s="168"/>
      <c r="O122" s="168"/>
      <c r="P122" s="168"/>
      <c r="Q122" s="168"/>
      <c r="R122" s="168"/>
      <c r="S122" s="168"/>
      <c r="T122" s="168"/>
      <c r="U122" s="168"/>
      <c r="V122" s="168"/>
      <c r="W122" s="168"/>
      <c r="X122" s="168"/>
      <c r="Y122" s="168"/>
      <c r="Z122" s="168"/>
      <c r="AA122" s="168"/>
      <c r="AB122" s="168"/>
      <c r="AC122" s="168"/>
      <c r="AD122" s="168"/>
      <c r="AE122" s="168"/>
      <c r="AF122" s="168"/>
      <c r="AG122" s="168"/>
      <c r="AH122" s="168"/>
      <c r="AI122" s="168"/>
      <c r="AJ122" s="168"/>
    </row>
    <row r="123" spans="1:36" x14ac:dyDescent="0.3">
      <c r="A123" s="168"/>
      <c r="B123" s="168"/>
      <c r="C123" s="168"/>
      <c r="D123" s="168"/>
      <c r="E123" s="168"/>
      <c r="F123" s="168"/>
      <c r="G123" s="168"/>
      <c r="H123" s="168"/>
      <c r="I123" s="168"/>
      <c r="J123" s="168"/>
      <c r="K123" s="168"/>
      <c r="L123" s="168"/>
      <c r="M123" s="168"/>
      <c r="N123" s="168"/>
      <c r="O123" s="168"/>
      <c r="P123" s="168"/>
      <c r="Q123" s="168"/>
      <c r="R123" s="168"/>
      <c r="S123" s="168"/>
      <c r="T123" s="168"/>
      <c r="U123" s="168"/>
      <c r="V123" s="168"/>
      <c r="W123" s="168"/>
      <c r="X123" s="168"/>
      <c r="Y123" s="168"/>
      <c r="Z123" s="168"/>
      <c r="AA123" s="168"/>
      <c r="AB123" s="168"/>
      <c r="AC123" s="168"/>
      <c r="AD123" s="168"/>
      <c r="AE123" s="168"/>
      <c r="AF123" s="168"/>
      <c r="AG123" s="168"/>
      <c r="AH123" s="168"/>
      <c r="AI123" s="168"/>
      <c r="AJ123" s="168"/>
    </row>
    <row r="124" spans="1:36" x14ac:dyDescent="0.3">
      <c r="A124" s="168"/>
      <c r="B124" s="168"/>
      <c r="C124" s="168"/>
      <c r="D124" s="168"/>
      <c r="E124" s="168"/>
      <c r="F124" s="168"/>
      <c r="G124" s="168"/>
      <c r="H124" s="168"/>
      <c r="I124" s="168"/>
      <c r="J124" s="168"/>
      <c r="K124" s="168"/>
      <c r="L124" s="168"/>
      <c r="M124" s="168"/>
      <c r="N124" s="168"/>
      <c r="O124" s="168"/>
      <c r="P124" s="168"/>
      <c r="Q124" s="168"/>
      <c r="R124" s="168"/>
      <c r="S124" s="168"/>
      <c r="T124" s="168"/>
      <c r="U124" s="168"/>
      <c r="V124" s="168"/>
      <c r="W124" s="168"/>
      <c r="X124" s="168"/>
      <c r="Y124" s="168"/>
      <c r="Z124" s="168"/>
      <c r="AA124" s="168"/>
      <c r="AB124" s="168"/>
      <c r="AC124" s="168"/>
      <c r="AD124" s="168"/>
      <c r="AE124" s="168"/>
      <c r="AF124" s="168"/>
      <c r="AG124" s="168"/>
      <c r="AH124" s="168"/>
      <c r="AI124" s="168"/>
      <c r="AJ124" s="168"/>
    </row>
    <row r="125" spans="1:36" x14ac:dyDescent="0.3">
      <c r="A125" s="168"/>
      <c r="B125" s="168"/>
      <c r="C125" s="168"/>
      <c r="D125" s="168"/>
      <c r="E125" s="168"/>
      <c r="F125" s="168"/>
      <c r="G125" s="168"/>
      <c r="H125" s="168"/>
      <c r="I125" s="168"/>
      <c r="J125" s="168"/>
      <c r="K125" s="168"/>
      <c r="L125" s="168"/>
      <c r="M125" s="168"/>
      <c r="N125" s="168"/>
      <c r="O125" s="168"/>
      <c r="P125" s="168"/>
      <c r="Q125" s="168"/>
      <c r="R125" s="168"/>
      <c r="S125" s="168"/>
      <c r="T125" s="168"/>
      <c r="U125" s="168"/>
      <c r="V125" s="168"/>
      <c r="W125" s="168"/>
      <c r="X125" s="168"/>
      <c r="Y125" s="168"/>
      <c r="Z125" s="168"/>
      <c r="AA125" s="168"/>
      <c r="AB125" s="168"/>
      <c r="AC125" s="168"/>
      <c r="AD125" s="168"/>
      <c r="AE125" s="168"/>
      <c r="AF125" s="168"/>
      <c r="AG125" s="168"/>
      <c r="AH125" s="168"/>
      <c r="AI125" s="168"/>
      <c r="AJ125" s="168"/>
    </row>
    <row r="126" spans="1:36" x14ac:dyDescent="0.3">
      <c r="A126" s="168"/>
      <c r="B126" s="168"/>
      <c r="C126" s="168"/>
      <c r="D126" s="168"/>
      <c r="E126" s="168"/>
      <c r="F126" s="168"/>
      <c r="G126" s="168"/>
      <c r="H126" s="168"/>
      <c r="I126" s="168"/>
      <c r="J126" s="168"/>
      <c r="K126" s="168"/>
      <c r="L126" s="168"/>
      <c r="M126" s="168"/>
      <c r="N126" s="168"/>
      <c r="O126" s="168"/>
      <c r="P126" s="168"/>
      <c r="Q126" s="168"/>
      <c r="R126" s="168"/>
      <c r="S126" s="168"/>
      <c r="T126" s="168"/>
      <c r="U126" s="168"/>
      <c r="V126" s="168"/>
      <c r="W126" s="168"/>
      <c r="X126" s="168"/>
      <c r="Y126" s="168"/>
      <c r="Z126" s="168"/>
      <c r="AA126" s="168"/>
      <c r="AB126" s="168"/>
      <c r="AC126" s="168"/>
      <c r="AD126" s="168"/>
      <c r="AE126" s="168"/>
      <c r="AF126" s="168"/>
      <c r="AG126" s="168"/>
      <c r="AH126" s="168"/>
      <c r="AI126" s="168"/>
      <c r="AJ126" s="168"/>
    </row>
    <row r="127" spans="1:36" x14ac:dyDescent="0.3">
      <c r="A127" s="168"/>
      <c r="B127" s="168"/>
      <c r="C127" s="168"/>
      <c r="D127" s="168"/>
      <c r="E127" s="168"/>
      <c r="F127" s="168"/>
      <c r="G127" s="168"/>
      <c r="H127" s="168"/>
      <c r="I127" s="168"/>
      <c r="J127" s="168"/>
      <c r="K127" s="168"/>
      <c r="L127" s="168"/>
      <c r="M127" s="168"/>
      <c r="N127" s="168"/>
      <c r="O127" s="168"/>
      <c r="P127" s="168"/>
      <c r="Q127" s="168"/>
      <c r="R127" s="168"/>
      <c r="S127" s="168"/>
      <c r="T127" s="168"/>
      <c r="U127" s="168"/>
      <c r="V127" s="168"/>
      <c r="W127" s="168"/>
      <c r="X127" s="168"/>
      <c r="Y127" s="168"/>
      <c r="Z127" s="168"/>
      <c r="AA127" s="168"/>
      <c r="AB127" s="168"/>
      <c r="AC127" s="168"/>
      <c r="AD127" s="168"/>
      <c r="AE127" s="168"/>
      <c r="AF127" s="168"/>
      <c r="AG127" s="168"/>
      <c r="AH127" s="168"/>
      <c r="AI127" s="168"/>
      <c r="AJ127" s="168"/>
    </row>
  </sheetData>
  <sheetProtection autoFilter="0"/>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1">
    <tabColor theme="4"/>
    <pageSetUpPr fitToPage="1"/>
  </sheetPr>
  <dimension ref="A1:Z98"/>
  <sheetViews>
    <sheetView showGridLines="0" topLeftCell="D1" zoomScale="70" zoomScaleNormal="70" workbookViewId="0"/>
  </sheetViews>
  <sheetFormatPr defaultColWidth="0" defaultRowHeight="14" x14ac:dyDescent="0.3"/>
  <cols>
    <col min="1" max="3" width="8.58203125" hidden="1" customWidth="1"/>
    <col min="4" max="4" width="8.58203125" customWidth="1"/>
    <col min="5" max="5" width="5.83203125" customWidth="1"/>
    <col min="6" max="6" width="18.5" customWidth="1"/>
    <col min="7" max="7" width="16.08203125" customWidth="1"/>
    <col min="8" max="12" width="8.58203125" customWidth="1"/>
    <col min="13" max="13" width="20.58203125" customWidth="1"/>
    <col min="14" max="15" width="8.58203125" customWidth="1"/>
    <col min="16" max="26" width="8.58203125" hidden="1" customWidth="1"/>
    <col min="27" max="16384" width="8.58203125" hidden="1"/>
  </cols>
  <sheetData>
    <row r="1" spans="1:26" x14ac:dyDescent="0.3">
      <c r="A1" s="1110"/>
      <c r="B1" s="1110"/>
      <c r="C1" s="1110"/>
      <c r="D1" s="1"/>
      <c r="E1" s="1"/>
      <c r="F1" s="1"/>
      <c r="G1" s="1"/>
      <c r="H1" s="1"/>
      <c r="I1" s="1"/>
      <c r="J1" s="1"/>
      <c r="K1" s="1"/>
      <c r="L1" s="1"/>
      <c r="M1" s="1"/>
      <c r="N1" s="1"/>
      <c r="O1" s="1"/>
      <c r="P1" s="1"/>
      <c r="Q1" s="1"/>
      <c r="R1" s="1"/>
      <c r="S1" s="1"/>
      <c r="T1" s="1"/>
      <c r="U1" s="1"/>
      <c r="V1" s="1"/>
      <c r="W1" s="1"/>
      <c r="X1" s="1"/>
      <c r="Y1" s="1"/>
      <c r="Z1" s="1"/>
    </row>
    <row r="2" spans="1:26" x14ac:dyDescent="0.3">
      <c r="A2" s="1110"/>
      <c r="B2" s="1110"/>
      <c r="C2" s="1110"/>
      <c r="D2" s="1"/>
      <c r="E2" s="1"/>
      <c r="F2" s="1"/>
      <c r="G2" s="1"/>
      <c r="H2" s="1"/>
      <c r="I2" s="1"/>
      <c r="J2" s="1"/>
      <c r="K2" s="1"/>
      <c r="L2" s="1"/>
      <c r="M2" s="1"/>
      <c r="N2" s="1"/>
      <c r="O2" s="1"/>
      <c r="P2" s="1"/>
      <c r="Q2" s="1"/>
      <c r="R2" s="1"/>
      <c r="S2" s="1"/>
      <c r="T2" s="1"/>
      <c r="U2" s="1"/>
      <c r="V2" s="1"/>
      <c r="W2" s="1"/>
      <c r="X2" s="1"/>
      <c r="Y2" s="1"/>
      <c r="Z2" s="1"/>
    </row>
    <row r="3" spans="1:26" x14ac:dyDescent="0.3">
      <c r="A3" s="1110"/>
      <c r="B3" s="1110"/>
      <c r="C3" s="1110"/>
      <c r="D3" s="1"/>
      <c r="E3" s="1"/>
      <c r="F3" s="1"/>
      <c r="G3" s="1"/>
      <c r="H3" s="1"/>
      <c r="I3" s="1"/>
      <c r="J3" s="1"/>
      <c r="K3" s="1"/>
      <c r="L3" s="1"/>
      <c r="M3" s="1"/>
      <c r="N3" s="1"/>
      <c r="O3" s="1"/>
      <c r="P3" s="1"/>
      <c r="Q3" s="1"/>
      <c r="R3" s="1"/>
      <c r="S3" s="1"/>
      <c r="T3" s="1"/>
      <c r="U3" s="1"/>
      <c r="V3" s="1"/>
      <c r="W3" s="1"/>
      <c r="X3" s="1"/>
      <c r="Y3" s="1"/>
      <c r="Z3" s="1"/>
    </row>
    <row r="4" spans="1:26" x14ac:dyDescent="0.3">
      <c r="A4" s="1110"/>
      <c r="B4" s="1110"/>
      <c r="C4" s="1110"/>
      <c r="D4" s="1"/>
      <c r="E4" s="1"/>
      <c r="F4" s="1"/>
      <c r="G4" s="1"/>
      <c r="H4" s="1"/>
      <c r="I4" s="1"/>
      <c r="J4" s="1"/>
      <c r="K4" s="1"/>
      <c r="L4" s="1"/>
      <c r="M4" s="1"/>
      <c r="N4" s="1"/>
      <c r="O4" s="1"/>
      <c r="P4" s="1"/>
      <c r="Q4" s="1"/>
      <c r="R4" s="1"/>
      <c r="S4" s="1"/>
      <c r="T4" s="1"/>
      <c r="U4" s="1"/>
      <c r="V4" s="1"/>
      <c r="W4" s="1"/>
      <c r="X4" s="1"/>
      <c r="Y4" s="1"/>
      <c r="Z4" s="1"/>
    </row>
    <row r="5" spans="1:26" x14ac:dyDescent="0.3">
      <c r="A5" s="1110"/>
      <c r="B5" s="1110"/>
      <c r="C5" s="1110"/>
      <c r="D5" s="1"/>
      <c r="E5" s="1"/>
      <c r="F5" s="1"/>
      <c r="G5" s="1"/>
      <c r="H5" s="1"/>
      <c r="I5" s="1"/>
      <c r="J5" s="1"/>
      <c r="K5" s="1"/>
      <c r="L5" s="1"/>
      <c r="M5" s="1"/>
      <c r="N5" s="1"/>
      <c r="O5" s="1"/>
      <c r="P5" s="1"/>
      <c r="Q5" s="1"/>
      <c r="R5" s="1"/>
      <c r="S5" s="1"/>
      <c r="T5" s="1"/>
      <c r="U5" s="1"/>
      <c r="V5" s="1"/>
      <c r="W5" s="1"/>
      <c r="X5" s="1"/>
      <c r="Y5" s="1"/>
      <c r="Z5" s="1"/>
    </row>
    <row r="6" spans="1:26" x14ac:dyDescent="0.3">
      <c r="A6" s="1110"/>
      <c r="B6" s="1110"/>
      <c r="C6" s="1110"/>
      <c r="D6" s="1"/>
      <c r="E6" s="1"/>
      <c r="F6" s="1"/>
      <c r="G6" s="1"/>
      <c r="H6" s="1"/>
      <c r="I6" s="1"/>
      <c r="J6" s="1"/>
      <c r="K6" s="1"/>
      <c r="L6" s="1"/>
      <c r="M6" s="1"/>
      <c r="N6" s="1"/>
      <c r="O6" s="1"/>
      <c r="P6" s="1"/>
      <c r="Q6" s="1"/>
      <c r="R6" s="1"/>
      <c r="S6" s="1"/>
      <c r="T6" s="1"/>
      <c r="U6" s="1"/>
      <c r="V6" s="1"/>
      <c r="W6" s="1"/>
      <c r="X6" s="1"/>
      <c r="Y6" s="1"/>
      <c r="Z6" s="1"/>
    </row>
    <row r="7" spans="1:26" s="22" customFormat="1" x14ac:dyDescent="0.3">
      <c r="A7" s="1109"/>
      <c r="B7" s="1109"/>
      <c r="C7" s="1109"/>
    </row>
    <row r="8" spans="1:26" s="22" customFormat="1" ht="18" x14ac:dyDescent="0.4">
      <c r="A8" s="1109"/>
      <c r="B8" s="1109"/>
      <c r="C8" s="1109"/>
      <c r="E8" s="729" t="s">
        <v>1593</v>
      </c>
    </row>
    <row r="9" spans="1:26" s="22" customFormat="1" x14ac:dyDescent="0.3">
      <c r="A9" s="1109"/>
      <c r="B9" s="1109"/>
      <c r="C9" s="1109"/>
    </row>
    <row r="10" spans="1:26" s="22" customFormat="1" ht="15.5" x14ac:dyDescent="0.35">
      <c r="A10" s="1109"/>
      <c r="B10" s="1109"/>
      <c r="C10" s="1109"/>
      <c r="F10" s="784" t="s">
        <v>1594</v>
      </c>
    </row>
    <row r="11" spans="1:26" s="22" customFormat="1" ht="15.5" x14ac:dyDescent="0.35">
      <c r="A11" s="1109"/>
      <c r="B11" s="1109"/>
      <c r="C11" s="1109"/>
      <c r="F11" s="784"/>
    </row>
    <row r="12" spans="1:26" s="22" customFormat="1" ht="15.5" x14ac:dyDescent="0.35">
      <c r="A12" s="1109"/>
      <c r="B12" s="1109"/>
      <c r="C12" s="1109"/>
      <c r="F12" s="828" t="s">
        <v>1595</v>
      </c>
    </row>
    <row r="13" spans="1:26" s="22" customFormat="1" x14ac:dyDescent="0.3">
      <c r="A13" s="1109"/>
      <c r="B13" s="1109"/>
      <c r="C13" s="1109"/>
    </row>
    <row r="14" spans="1:26" s="22" customFormat="1" x14ac:dyDescent="0.3">
      <c r="A14" s="1109"/>
      <c r="B14" s="1109"/>
      <c r="C14" s="1109"/>
    </row>
    <row r="15" spans="1:26" s="22" customFormat="1" ht="18" x14ac:dyDescent="0.4">
      <c r="A15" s="1109"/>
      <c r="B15" s="1111" t="b">
        <v>1</v>
      </c>
      <c r="C15" s="1109"/>
      <c r="E15" s="729" t="s">
        <v>98</v>
      </c>
    </row>
    <row r="16" spans="1:26" s="22" customFormat="1" x14ac:dyDescent="0.3">
      <c r="A16" s="1109"/>
      <c r="B16" s="1109"/>
      <c r="C16" s="1109"/>
    </row>
    <row r="17" spans="1:20" s="22" customFormat="1" ht="123.65" customHeight="1" x14ac:dyDescent="0.3">
      <c r="A17" s="1109"/>
      <c r="B17" s="1109"/>
      <c r="C17" s="1109"/>
      <c r="F17" s="1589" t="s">
        <v>1596</v>
      </c>
      <c r="G17" s="1589"/>
      <c r="H17" s="1589"/>
      <c r="I17" s="1589"/>
      <c r="J17" s="1589"/>
      <c r="K17" s="1589"/>
      <c r="L17" s="1589"/>
      <c r="M17" s="1589"/>
      <c r="N17" s="1589"/>
      <c r="O17" s="1589"/>
      <c r="P17" s="1589"/>
      <c r="Q17" s="1589"/>
      <c r="R17" s="1589"/>
    </row>
    <row r="18" spans="1:20" s="22" customFormat="1" hidden="1" x14ac:dyDescent="0.3">
      <c r="A18" s="1109"/>
      <c r="B18" s="1109"/>
      <c r="C18" s="1109"/>
    </row>
    <row r="19" spans="1:20" s="22" customFormat="1" ht="18" hidden="1" x14ac:dyDescent="0.4">
      <c r="A19" s="1109"/>
      <c r="B19" s="1109" t="b">
        <v>1</v>
      </c>
      <c r="C19" s="1109"/>
      <c r="E19" s="833" t="s">
        <v>1597</v>
      </c>
    </row>
    <row r="20" spans="1:20" s="22" customFormat="1" hidden="1" x14ac:dyDescent="0.3">
      <c r="A20" s="1109"/>
      <c r="B20" s="1109"/>
      <c r="C20" s="1109"/>
    </row>
    <row r="21" spans="1:20" s="22" customFormat="1" ht="66.75" hidden="1" customHeight="1" x14ac:dyDescent="0.3">
      <c r="A21" s="1109"/>
      <c r="B21" s="1109"/>
      <c r="C21" s="1109"/>
      <c r="F21" s="1589" t="s">
        <v>1598</v>
      </c>
      <c r="G21" s="1589"/>
      <c r="H21" s="1589"/>
      <c r="I21" s="1589"/>
      <c r="J21" s="1589"/>
      <c r="K21" s="1589"/>
      <c r="L21" s="1589"/>
      <c r="M21" s="1589"/>
      <c r="N21" s="1589"/>
      <c r="O21" s="1589"/>
      <c r="P21" s="1589"/>
      <c r="Q21" s="1589"/>
      <c r="R21" s="1589"/>
      <c r="S21" s="727"/>
      <c r="T21" s="727"/>
    </row>
    <row r="22" spans="1:20" s="22" customFormat="1" ht="16.5" hidden="1" customHeight="1" x14ac:dyDescent="0.3">
      <c r="A22" s="1109"/>
      <c r="B22" s="1109"/>
      <c r="C22" s="1109"/>
      <c r="F22" s="740"/>
      <c r="G22" s="740"/>
      <c r="H22" s="740"/>
      <c r="I22" s="740"/>
      <c r="J22" s="740"/>
      <c r="K22" s="740"/>
      <c r="L22" s="740"/>
      <c r="M22" s="740"/>
      <c r="N22" s="740"/>
      <c r="O22" s="740"/>
      <c r="P22" s="740"/>
      <c r="Q22" s="740"/>
      <c r="R22" s="740"/>
      <c r="S22" s="727"/>
      <c r="T22" s="727"/>
    </row>
    <row r="23" spans="1:20" s="22" customFormat="1" ht="18" hidden="1" x14ac:dyDescent="0.4">
      <c r="A23" s="1109"/>
      <c r="B23" s="1109"/>
      <c r="C23" s="1109"/>
      <c r="E23" s="833" t="s">
        <v>1599</v>
      </c>
    </row>
    <row r="24" spans="1:20" s="22" customFormat="1" ht="16.5" hidden="1" customHeight="1" x14ac:dyDescent="0.4">
      <c r="A24" s="1109"/>
      <c r="B24" s="1109"/>
      <c r="C24" s="1109"/>
      <c r="E24" s="729"/>
    </row>
    <row r="25" spans="1:20" s="22" customFormat="1" ht="18" hidden="1" x14ac:dyDescent="0.4">
      <c r="A25" s="1109"/>
      <c r="B25" s="1109"/>
      <c r="C25" s="1109"/>
      <c r="E25" s="729"/>
      <c r="F25" s="784" t="s">
        <v>1600</v>
      </c>
      <c r="G25" s="784"/>
      <c r="H25" s="784"/>
      <c r="I25" s="784"/>
      <c r="J25" s="784"/>
      <c r="K25" s="784"/>
      <c r="L25" s="784"/>
      <c r="M25" s="784"/>
      <c r="N25" s="784"/>
      <c r="O25" s="784"/>
      <c r="P25" s="784"/>
    </row>
    <row r="26" spans="1:20" s="22" customFormat="1" ht="18" hidden="1" x14ac:dyDescent="0.4">
      <c r="A26" s="1109"/>
      <c r="B26" s="1109"/>
      <c r="C26" s="1109"/>
      <c r="E26" s="729"/>
      <c r="F26" s="784"/>
      <c r="G26" s="784"/>
      <c r="H26" s="784"/>
      <c r="I26" s="784"/>
      <c r="J26" s="784"/>
      <c r="K26" s="784"/>
      <c r="L26" s="784"/>
      <c r="M26" s="784"/>
      <c r="N26" s="784"/>
      <c r="O26" s="784"/>
      <c r="P26" s="784"/>
    </row>
    <row r="27" spans="1:20" s="22" customFormat="1" ht="18" hidden="1" x14ac:dyDescent="0.4">
      <c r="A27" s="1109"/>
      <c r="B27" s="1109"/>
      <c r="C27" s="1109"/>
      <c r="E27" s="729"/>
      <c r="F27" s="821" t="s">
        <v>1601</v>
      </c>
      <c r="G27" s="784"/>
      <c r="H27" s="784"/>
      <c r="I27" s="784"/>
      <c r="J27" s="784"/>
      <c r="K27" s="784"/>
      <c r="L27" s="784"/>
      <c r="M27" s="784"/>
      <c r="N27" s="1437" t="s">
        <v>190</v>
      </c>
      <c r="O27" s="784"/>
      <c r="P27" s="784"/>
    </row>
    <row r="28" spans="1:20" s="22" customFormat="1" ht="18" hidden="1" x14ac:dyDescent="0.4">
      <c r="A28" s="1109"/>
      <c r="B28" s="1109"/>
      <c r="C28" s="1109"/>
      <c r="E28" s="729"/>
      <c r="F28" s="821"/>
      <c r="G28" s="784"/>
      <c r="H28" s="784"/>
      <c r="I28" s="784"/>
      <c r="J28" s="784"/>
      <c r="K28" s="784"/>
      <c r="L28" s="784"/>
      <c r="M28" s="784"/>
      <c r="N28" s="784"/>
      <c r="O28" s="784"/>
      <c r="P28" s="784"/>
    </row>
    <row r="29" spans="1:20" s="22" customFormat="1" ht="18" hidden="1" x14ac:dyDescent="0.4">
      <c r="A29" s="1109"/>
      <c r="B29" s="1109"/>
      <c r="C29" s="1109"/>
      <c r="E29" s="729"/>
      <c r="F29" s="821" t="s">
        <v>1602</v>
      </c>
      <c r="G29" s="784"/>
      <c r="H29" s="784"/>
      <c r="I29" s="784"/>
      <c r="J29" s="784"/>
      <c r="K29" s="784"/>
      <c r="L29" s="784"/>
      <c r="M29" s="784"/>
      <c r="N29" s="784"/>
      <c r="O29" s="784"/>
      <c r="P29" s="784"/>
    </row>
    <row r="30" spans="1:20" s="22" customFormat="1" ht="18" hidden="1" x14ac:dyDescent="0.4">
      <c r="A30" s="1109"/>
      <c r="B30" s="1109"/>
      <c r="C30" s="1109"/>
      <c r="E30" s="729"/>
      <c r="F30" s="723"/>
    </row>
    <row r="31" spans="1:20" s="22" customFormat="1" ht="54" hidden="1" x14ac:dyDescent="0.4">
      <c r="A31" s="1109"/>
      <c r="B31" s="1109"/>
      <c r="C31" s="1109"/>
      <c r="E31" s="729"/>
      <c r="F31" s="1650" t="s">
        <v>1603</v>
      </c>
      <c r="G31" s="1651"/>
      <c r="H31" s="1651"/>
      <c r="I31" s="1651"/>
      <c r="J31" s="1651"/>
      <c r="K31" s="1651"/>
      <c r="L31" s="1652"/>
      <c r="M31" s="822" t="s">
        <v>1604</v>
      </c>
    </row>
    <row r="32" spans="1:20" s="22" customFormat="1" ht="18" hidden="1" x14ac:dyDescent="0.4">
      <c r="A32" s="1109"/>
      <c r="B32" s="1109"/>
      <c r="C32" s="1109"/>
      <c r="E32" s="729"/>
      <c r="F32" s="1653" t="s">
        <v>1605</v>
      </c>
      <c r="G32" s="1653"/>
      <c r="H32" s="1653"/>
      <c r="I32" s="1653"/>
      <c r="J32" s="1653"/>
      <c r="K32" s="1653"/>
      <c r="L32" s="1653"/>
      <c r="M32" s="1419">
        <f>IF(N27="Yes",0.4,"N/A")</f>
        <v>0.4</v>
      </c>
    </row>
    <row r="33" spans="1:20" s="22" customFormat="1" ht="18" hidden="1" x14ac:dyDescent="0.4">
      <c r="A33" s="1109"/>
      <c r="B33" s="1109"/>
      <c r="C33" s="1109"/>
      <c r="E33" s="729"/>
      <c r="F33" s="1653" t="s">
        <v>1606</v>
      </c>
      <c r="G33" s="1653"/>
      <c r="H33" s="1653"/>
      <c r="I33" s="1653"/>
      <c r="J33" s="1653"/>
      <c r="K33" s="1653"/>
      <c r="L33" s="1653"/>
      <c r="M33" s="1438">
        <f>INDEX(Piping_R_Value[[ Piping referred to in 3]],MATCH(Selection_ClimateZone,Piping_R_Value[Climate Zones],0))</f>
        <v>0.6</v>
      </c>
    </row>
    <row r="34" spans="1:20" s="22" customFormat="1" ht="18" hidden="1" x14ac:dyDescent="0.4">
      <c r="A34" s="1109"/>
      <c r="B34" s="1109"/>
      <c r="C34" s="1109"/>
      <c r="E34" s="729"/>
      <c r="F34" s="1653" t="s">
        <v>1607</v>
      </c>
      <c r="G34" s="1653"/>
      <c r="H34" s="1653"/>
      <c r="I34" s="1653"/>
      <c r="J34" s="1653"/>
      <c r="K34" s="1653"/>
      <c r="L34" s="1653"/>
      <c r="M34" s="1438">
        <f>INDEX(Piping_R_Value[[ Piping referred to in 4]],MATCH(Selection_ClimateZone,Piping_R_Value[Climate Zones],0))</f>
        <v>0.6</v>
      </c>
    </row>
    <row r="35" spans="1:20" s="22" customFormat="1" ht="18" hidden="1" x14ac:dyDescent="0.4">
      <c r="A35" s="1109"/>
      <c r="B35" s="1109"/>
      <c r="C35" s="1109"/>
      <c r="E35" s="729"/>
      <c r="F35" s="723"/>
    </row>
    <row r="36" spans="1:20" s="22" customFormat="1" ht="18" hidden="1" x14ac:dyDescent="0.4">
      <c r="A36" s="1109"/>
      <c r="B36" s="1109"/>
      <c r="C36" s="1109"/>
      <c r="E36" s="833" t="s">
        <v>1608</v>
      </c>
      <c r="G36" s="31"/>
      <c r="H36" s="31"/>
      <c r="I36" s="31"/>
      <c r="J36" s="31"/>
    </row>
    <row r="37" spans="1:20" s="22" customFormat="1" ht="12" hidden="1" customHeight="1" x14ac:dyDescent="0.4">
      <c r="A37" s="1109"/>
      <c r="B37" s="1109"/>
      <c r="C37" s="1109"/>
      <c r="E37" s="729"/>
      <c r="F37" s="744"/>
      <c r="G37" s="744"/>
      <c r="H37" s="744"/>
      <c r="I37" s="744"/>
      <c r="J37" s="744"/>
      <c r="K37" s="744"/>
      <c r="L37" s="744"/>
      <c r="M37" s="744"/>
    </row>
    <row r="38" spans="1:20" s="22" customFormat="1" ht="48.75" hidden="1" customHeight="1" x14ac:dyDescent="0.4">
      <c r="A38" s="1109"/>
      <c r="B38" s="1109"/>
      <c r="C38" s="1109"/>
      <c r="E38" s="729"/>
      <c r="F38" s="1655" t="s">
        <v>1609</v>
      </c>
      <c r="G38" s="1655"/>
      <c r="H38" s="1655"/>
      <c r="I38" s="1655"/>
      <c r="J38" s="1655"/>
      <c r="K38" s="1655"/>
      <c r="L38" s="1655"/>
      <c r="M38" s="1655"/>
      <c r="N38" s="1439" t="s">
        <v>190</v>
      </c>
      <c r="O38" s="784"/>
    </row>
    <row r="39" spans="1:20" s="22" customFormat="1" ht="16.5" hidden="1" customHeight="1" x14ac:dyDescent="0.4">
      <c r="A39" s="1109"/>
      <c r="B39" s="1109"/>
      <c r="C39" s="1109"/>
      <c r="E39" s="729"/>
    </row>
    <row r="40" spans="1:20" s="22" customFormat="1" ht="143.25" hidden="1" customHeight="1" x14ac:dyDescent="0.3">
      <c r="A40" s="1109"/>
      <c r="B40" s="1116" t="b">
        <v>1</v>
      </c>
      <c r="C40" s="1109"/>
      <c r="F40" s="1589" t="s">
        <v>1610</v>
      </c>
      <c r="G40" s="1589"/>
      <c r="H40" s="1589"/>
      <c r="I40" s="1589"/>
      <c r="J40" s="1589"/>
      <c r="K40" s="1589"/>
      <c r="L40" s="1589"/>
      <c r="M40" s="1589"/>
      <c r="N40" s="1589"/>
      <c r="O40" s="1589"/>
      <c r="P40" s="1589"/>
      <c r="Q40" s="1589"/>
      <c r="R40" s="1589"/>
      <c r="S40" s="1654"/>
      <c r="T40" s="1654"/>
    </row>
    <row r="41" spans="1:20" s="22" customFormat="1" ht="54" hidden="1" x14ac:dyDescent="0.4">
      <c r="A41" s="1109"/>
      <c r="B41" s="1109"/>
      <c r="C41" s="1109"/>
      <c r="E41" s="729"/>
      <c r="F41" s="1650" t="s">
        <v>1611</v>
      </c>
      <c r="G41" s="1651"/>
      <c r="H41" s="1651"/>
      <c r="I41" s="1651"/>
      <c r="J41" s="1651"/>
      <c r="K41" s="1651"/>
      <c r="L41" s="1652"/>
      <c r="M41" s="822" t="s">
        <v>1604</v>
      </c>
    </row>
    <row r="42" spans="1:20" s="22" customFormat="1" ht="16.5" hidden="1" customHeight="1" x14ac:dyDescent="0.4">
      <c r="A42" s="1109"/>
      <c r="B42" s="1109"/>
      <c r="C42" s="1109"/>
      <c r="E42" s="729"/>
      <c r="F42" s="1653" t="s">
        <v>1612</v>
      </c>
      <c r="G42" s="1653"/>
      <c r="H42" s="1653"/>
      <c r="I42" s="1653"/>
      <c r="J42" s="1653"/>
      <c r="K42" s="1653"/>
      <c r="L42" s="1653"/>
      <c r="M42" s="1438">
        <f>INDEX(Piping_R_Value[heating-only system or cooling-only system],MATCH(Selection_ClimateZone,Piping_R_Value[Climate Zones],0))</f>
        <v>1</v>
      </c>
    </row>
    <row r="43" spans="1:20" s="22" customFormat="1" ht="16.5" hidden="1" customHeight="1" x14ac:dyDescent="0.4">
      <c r="A43" s="1109"/>
      <c r="B43" s="1109"/>
      <c r="C43" s="1109"/>
      <c r="E43" s="729"/>
      <c r="F43" s="1653" t="s">
        <v>175</v>
      </c>
      <c r="G43" s="1653"/>
      <c r="H43" s="1653"/>
      <c r="I43" s="1653"/>
      <c r="J43" s="1653"/>
      <c r="K43" s="1653"/>
      <c r="L43" s="1653"/>
      <c r="M43" s="1438">
        <f>IF(AND(N38="Yes",OR(Selection_ClimateZone&lt;&gt;2,Selection_ClimateZone&lt;&gt;5,Selection_ClimateZone&lt;&gt;8)),INDEX(Piping_R_Value[Combined heating and refrigerated cooling system],MATCH(Selection_ClimateZone,Piping_R_Value[Climate Zones],0))-0.5,INDEX(Piping_R_Value[Combined heating and refrigerated cooling system],MATCH(Selection_ClimateZone,Piping_R_Value[Climate Zones],0)))</f>
        <v>0.5</v>
      </c>
    </row>
    <row r="44" spans="1:20" s="22" customFormat="1" ht="16.5" hidden="1" customHeight="1" x14ac:dyDescent="0.4">
      <c r="A44" s="1109"/>
      <c r="B44" s="1109"/>
      <c r="C44" s="1109"/>
      <c r="E44" s="729"/>
    </row>
    <row r="45" spans="1:20" s="22" customFormat="1" ht="123.75" hidden="1" customHeight="1" x14ac:dyDescent="0.3">
      <c r="A45" s="1109"/>
      <c r="B45" s="1116" t="b">
        <v>1</v>
      </c>
      <c r="C45" s="1109"/>
      <c r="F45" s="1589" t="s">
        <v>1613</v>
      </c>
      <c r="G45" s="1589"/>
      <c r="H45" s="1589"/>
      <c r="I45" s="1589"/>
      <c r="J45" s="1589"/>
      <c r="K45" s="1589"/>
      <c r="L45" s="1589"/>
      <c r="M45" s="1589"/>
      <c r="N45" s="1589"/>
      <c r="O45" s="1589"/>
      <c r="P45" s="1589"/>
      <c r="Q45" s="1589"/>
      <c r="R45" s="1589"/>
    </row>
    <row r="46" spans="1:20" s="22" customFormat="1" ht="16.5" hidden="1" customHeight="1" x14ac:dyDescent="0.4">
      <c r="A46" s="1109"/>
      <c r="B46" s="1109"/>
      <c r="C46" s="1109"/>
      <c r="E46" s="729"/>
    </row>
    <row r="47" spans="1:20" s="22" customFormat="1" ht="18" hidden="1" x14ac:dyDescent="0.4">
      <c r="A47" s="1109"/>
      <c r="B47" s="1109" t="b">
        <v>1</v>
      </c>
      <c r="C47" s="1109"/>
      <c r="E47" s="833" t="s">
        <v>1614</v>
      </c>
    </row>
    <row r="48" spans="1:20" s="22" customFormat="1" ht="18" hidden="1" x14ac:dyDescent="0.4">
      <c r="A48" s="1109"/>
      <c r="B48" s="1109"/>
      <c r="C48" s="1109"/>
      <c r="E48" s="729"/>
    </row>
    <row r="49" spans="1:20" s="22" customFormat="1" ht="76.5" hidden="1" customHeight="1" x14ac:dyDescent="0.3">
      <c r="A49" s="1109"/>
      <c r="B49" s="1109"/>
      <c r="C49" s="1109"/>
      <c r="F49" s="1589" t="s">
        <v>1615</v>
      </c>
      <c r="G49" s="1589"/>
      <c r="H49" s="1589"/>
      <c r="I49" s="1589"/>
      <c r="J49" s="1589"/>
      <c r="K49" s="1589"/>
      <c r="L49" s="1589"/>
      <c r="M49" s="1589"/>
      <c r="N49" s="1589"/>
      <c r="O49" s="1589"/>
      <c r="P49" s="1589"/>
      <c r="Q49" s="1589"/>
      <c r="R49" s="1589"/>
      <c r="S49" s="1589"/>
      <c r="T49" s="1589"/>
    </row>
    <row r="50" spans="1:20" s="22" customFormat="1" hidden="1" x14ac:dyDescent="0.3">
      <c r="A50" s="1109"/>
      <c r="B50" s="1109"/>
      <c r="C50" s="1109"/>
    </row>
    <row r="51" spans="1:20" s="22" customFormat="1" ht="18" hidden="1" x14ac:dyDescent="0.4">
      <c r="A51" s="1109"/>
      <c r="B51" s="1109" t="b">
        <v>1</v>
      </c>
      <c r="C51" s="1109"/>
      <c r="E51" s="833" t="s">
        <v>1616</v>
      </c>
    </row>
    <row r="52" spans="1:20" s="22" customFormat="1" hidden="1" x14ac:dyDescent="0.3">
      <c r="A52" s="1109"/>
      <c r="B52" s="1109"/>
      <c r="C52" s="1109"/>
    </row>
    <row r="53" spans="1:20" s="22" customFormat="1" ht="34.5" hidden="1" customHeight="1" x14ac:dyDescent="0.3">
      <c r="A53" s="1109"/>
      <c r="B53" s="1109"/>
      <c r="C53" s="1109"/>
      <c r="F53" s="1589" t="s">
        <v>1617</v>
      </c>
      <c r="G53" s="1589"/>
      <c r="H53" s="1589"/>
      <c r="I53" s="1589"/>
      <c r="J53" s="1589"/>
      <c r="K53" s="1589"/>
      <c r="L53" s="1589"/>
      <c r="M53" s="1589"/>
      <c r="N53" s="1589"/>
      <c r="O53" s="1589"/>
      <c r="P53" s="1589"/>
      <c r="Q53" s="1589"/>
    </row>
    <row r="54" spans="1:20" s="22" customFormat="1" ht="18" x14ac:dyDescent="0.4">
      <c r="A54" s="1109"/>
      <c r="B54" s="1109"/>
      <c r="C54" s="1109"/>
      <c r="E54" s="729" t="s">
        <v>99</v>
      </c>
    </row>
    <row r="55" spans="1:20" s="22" customFormat="1" x14ac:dyDescent="0.3">
      <c r="A55" s="1109"/>
      <c r="B55" s="1109"/>
      <c r="C55" s="1109"/>
    </row>
    <row r="56" spans="1:20" s="22" customFormat="1" ht="15.5" x14ac:dyDescent="0.35">
      <c r="A56" s="1109"/>
      <c r="B56" s="1109"/>
      <c r="C56" s="1109"/>
      <c r="F56" s="784" t="str">
        <f>IF(Development_Type=2, "The provisions of Part 13.7.6 DO NOT APPLY to "&amp;INDEX(Table8[Development Type],MATCH(D_List!$AA$14,Table8[Index],0)),
"The provisions of Part 13.6 apply to "&amp;INDEX(Table8[Development Type],MATCH(D_List!$AA$14,Table8[Index],0)))&amp;"."</f>
        <v>The provisions of Part 13.6 apply to a Class 1 building.</v>
      </c>
      <c r="G56" s="784"/>
      <c r="H56" s="784"/>
      <c r="I56" s="784"/>
    </row>
    <row r="57" spans="1:20" s="22" customFormat="1" ht="15.5" x14ac:dyDescent="0.35">
      <c r="A57" s="1109"/>
      <c r="B57" s="1109"/>
      <c r="C57" s="1109"/>
      <c r="F57" s="784"/>
      <c r="G57" s="784"/>
      <c r="H57" s="784"/>
      <c r="I57" s="784"/>
    </row>
    <row r="58" spans="1:20" s="22" customFormat="1" ht="15.5" x14ac:dyDescent="0.35">
      <c r="A58" s="1109"/>
      <c r="B58" s="1109"/>
      <c r="C58" s="1109"/>
      <c r="F58" s="784"/>
      <c r="G58" s="806" t="str">
        <f>IF(D_List!$B$39="NOT APPLICABLE","","Go To 13.7.6 Artificial Lighting")</f>
        <v>Go To 13.7.6 Artificial Lighting</v>
      </c>
      <c r="H58" s="784"/>
      <c r="I58" s="784"/>
    </row>
    <row r="59" spans="1:20" s="22" customFormat="1" ht="15.5" x14ac:dyDescent="0.35">
      <c r="A59" s="1109"/>
      <c r="B59" s="1109"/>
      <c r="C59" s="1109"/>
      <c r="F59" s="784"/>
      <c r="G59" s="784"/>
      <c r="H59" s="784"/>
      <c r="I59" s="784"/>
    </row>
    <row r="60" spans="1:20" s="22" customFormat="1" ht="18" x14ac:dyDescent="0.4">
      <c r="A60" s="1109"/>
      <c r="B60" s="1109"/>
      <c r="C60" s="1109"/>
      <c r="E60" s="729"/>
    </row>
    <row r="61" spans="1:20" s="22" customFormat="1" ht="18" x14ac:dyDescent="0.4">
      <c r="A61" s="1109"/>
      <c r="B61" s="1111" t="b">
        <v>1</v>
      </c>
      <c r="C61" s="1109"/>
      <c r="E61" s="729" t="s">
        <v>100</v>
      </c>
    </row>
    <row r="62" spans="1:20" s="22" customFormat="1" ht="18" x14ac:dyDescent="0.4">
      <c r="A62" s="1109"/>
      <c r="B62" s="1109"/>
      <c r="C62" s="1109"/>
      <c r="E62" s="729"/>
    </row>
    <row r="63" spans="1:20" s="22" customFormat="1" ht="63" customHeight="1" x14ac:dyDescent="0.4">
      <c r="A63" s="1109"/>
      <c r="B63" s="1109"/>
      <c r="C63" s="1109"/>
      <c r="E63" s="729"/>
      <c r="F63" s="1589" t="s">
        <v>1618</v>
      </c>
      <c r="G63" s="1589"/>
      <c r="H63" s="1589"/>
      <c r="I63" s="1589"/>
      <c r="J63" s="1589"/>
      <c r="K63" s="1589"/>
      <c r="L63" s="1589"/>
      <c r="M63" s="1589"/>
      <c r="N63" s="1589"/>
      <c r="O63" s="1589"/>
      <c r="P63" s="1589"/>
      <c r="Q63" s="1589"/>
      <c r="R63" s="1589"/>
    </row>
    <row r="64" spans="1:20" s="22" customFormat="1" ht="18" x14ac:dyDescent="0.4">
      <c r="A64" s="1109"/>
      <c r="B64" s="1109"/>
      <c r="C64" s="1109"/>
      <c r="E64" s="729"/>
    </row>
    <row r="65" spans="2:20" s="22" customFormat="1" hidden="1" x14ac:dyDescent="0.3"/>
    <row r="66" spans="2:20" s="22" customFormat="1" ht="18" hidden="1" x14ac:dyDescent="0.4">
      <c r="B66" s="22" t="b">
        <v>1</v>
      </c>
      <c r="E66" s="833" t="s">
        <v>1619</v>
      </c>
    </row>
    <row r="67" spans="2:20" s="22" customFormat="1" hidden="1" x14ac:dyDescent="0.3"/>
    <row r="68" spans="2:20" s="22" customFormat="1" ht="15.5" hidden="1" x14ac:dyDescent="0.35">
      <c r="F68" s="784" t="s">
        <v>1620</v>
      </c>
      <c r="G68" s="784"/>
      <c r="H68" s="784"/>
      <c r="I68" s="784"/>
      <c r="J68" s="784"/>
      <c r="K68" s="784"/>
      <c r="L68" s="784"/>
      <c r="M68" s="784"/>
      <c r="N68" s="784"/>
      <c r="O68" s="784"/>
      <c r="P68" s="784"/>
      <c r="Q68" s="784"/>
      <c r="R68" s="784"/>
      <c r="S68" s="784"/>
      <c r="T68" s="784"/>
    </row>
    <row r="69" spans="2:20" s="22" customFormat="1" ht="15.5" hidden="1" x14ac:dyDescent="0.35">
      <c r="F69" s="784"/>
      <c r="G69" s="784"/>
      <c r="H69" s="784"/>
      <c r="I69" s="784"/>
      <c r="J69" s="784"/>
      <c r="K69" s="784"/>
      <c r="L69" s="784"/>
      <c r="M69" s="784"/>
      <c r="N69" s="784"/>
      <c r="O69" s="784"/>
      <c r="P69" s="784"/>
      <c r="Q69" s="784"/>
      <c r="R69" s="784"/>
      <c r="S69" s="784"/>
      <c r="T69" s="784"/>
    </row>
    <row r="70" spans="2:20" s="22" customFormat="1" ht="99" hidden="1" customHeight="1" x14ac:dyDescent="0.35">
      <c r="F70" s="1589" t="s">
        <v>1621</v>
      </c>
      <c r="G70" s="1589"/>
      <c r="H70" s="1589"/>
      <c r="I70" s="1589"/>
      <c r="J70" s="1589"/>
      <c r="K70" s="1589"/>
      <c r="L70" s="1589"/>
      <c r="M70" s="1589"/>
      <c r="N70" s="1589"/>
      <c r="O70" s="1589"/>
      <c r="P70" s="1589"/>
      <c r="Q70" s="1589"/>
      <c r="R70" s="1589"/>
      <c r="S70" s="784"/>
      <c r="T70" s="784"/>
    </row>
    <row r="71" spans="2:20" s="22" customFormat="1" ht="15.5" hidden="1" x14ac:dyDescent="0.35">
      <c r="F71" s="784"/>
      <c r="G71" s="784"/>
      <c r="H71" s="784"/>
      <c r="I71" s="784"/>
      <c r="J71" s="784"/>
      <c r="K71" s="784"/>
      <c r="L71" s="784"/>
      <c r="M71" s="784"/>
      <c r="N71" s="784"/>
      <c r="O71" s="784"/>
      <c r="P71" s="784"/>
      <c r="Q71" s="784"/>
      <c r="R71" s="784"/>
      <c r="S71" s="784"/>
      <c r="T71" s="784"/>
    </row>
    <row r="72" spans="2:20" s="22" customFormat="1" ht="18" hidden="1" x14ac:dyDescent="0.4">
      <c r="B72" s="22" t="b">
        <v>1</v>
      </c>
      <c r="E72" s="835" t="s">
        <v>1622</v>
      </c>
      <c r="F72" s="834"/>
      <c r="G72" s="823"/>
      <c r="H72" s="784"/>
      <c r="I72" s="784"/>
      <c r="J72" s="784"/>
      <c r="K72" s="784"/>
      <c r="L72" s="784"/>
      <c r="M72" s="784"/>
      <c r="N72" s="784"/>
      <c r="O72" s="784"/>
      <c r="P72" s="784"/>
      <c r="Q72" s="784"/>
      <c r="R72" s="784"/>
      <c r="S72" s="784"/>
      <c r="T72" s="784"/>
    </row>
    <row r="73" spans="2:20" s="22" customFormat="1" ht="15.5" hidden="1" x14ac:dyDescent="0.35">
      <c r="F73" s="784"/>
      <c r="G73" s="784"/>
      <c r="H73" s="784"/>
      <c r="I73" s="784"/>
      <c r="J73" s="784"/>
      <c r="K73" s="784"/>
      <c r="L73" s="784"/>
      <c r="M73" s="784"/>
      <c r="N73" s="784"/>
      <c r="O73" s="784"/>
      <c r="P73" s="784"/>
      <c r="Q73" s="784"/>
      <c r="R73" s="784"/>
      <c r="S73" s="784"/>
      <c r="T73" s="784"/>
    </row>
    <row r="74" spans="2:20" s="22" customFormat="1" ht="34.5" hidden="1" customHeight="1" x14ac:dyDescent="0.3">
      <c r="F74" s="1589" t="s">
        <v>1623</v>
      </c>
      <c r="G74" s="1589"/>
      <c r="H74" s="1589"/>
      <c r="I74" s="1589"/>
      <c r="J74" s="1589"/>
      <c r="K74" s="1589"/>
      <c r="L74" s="1589"/>
      <c r="M74" s="1589"/>
      <c r="N74" s="1589"/>
      <c r="O74" s="1589"/>
      <c r="P74" s="1589"/>
      <c r="Q74" s="1589"/>
      <c r="R74" s="1589"/>
      <c r="S74" s="1589"/>
      <c r="T74" s="1589"/>
    </row>
    <row r="75" spans="2:20" s="22" customFormat="1" ht="15.5" hidden="1" x14ac:dyDescent="0.35">
      <c r="F75" s="784"/>
      <c r="G75" s="784"/>
      <c r="H75" s="784"/>
      <c r="I75" s="784"/>
      <c r="J75" s="784"/>
      <c r="K75" s="784"/>
      <c r="L75" s="784"/>
      <c r="M75" s="784"/>
      <c r="N75" s="784"/>
      <c r="O75" s="784"/>
      <c r="P75" s="784"/>
      <c r="Q75" s="784"/>
      <c r="R75" s="784"/>
      <c r="S75" s="784"/>
      <c r="T75" s="784"/>
    </row>
    <row r="76" spans="2:20" s="22" customFormat="1" ht="15.5" hidden="1" x14ac:dyDescent="0.35">
      <c r="F76" s="784"/>
      <c r="G76" s="784"/>
      <c r="H76" s="784"/>
      <c r="I76" s="784"/>
      <c r="J76" s="784"/>
      <c r="K76" s="784"/>
      <c r="L76" s="784"/>
      <c r="M76" s="784"/>
      <c r="N76" s="784"/>
      <c r="O76" s="784"/>
      <c r="P76" s="784"/>
      <c r="Q76" s="784"/>
      <c r="R76" s="784"/>
      <c r="S76" s="784"/>
      <c r="T76" s="784"/>
    </row>
    <row r="77" spans="2:20" s="22" customFormat="1" ht="18" hidden="1" x14ac:dyDescent="0.4">
      <c r="B77" s="22" t="b">
        <v>1</v>
      </c>
      <c r="E77" s="833" t="s">
        <v>1624</v>
      </c>
      <c r="F77" s="784"/>
      <c r="G77" s="784"/>
      <c r="H77" s="784"/>
      <c r="I77" s="784"/>
      <c r="J77" s="784"/>
      <c r="K77" s="784"/>
      <c r="L77" s="784"/>
      <c r="M77" s="784"/>
      <c r="N77" s="784"/>
      <c r="O77" s="784"/>
      <c r="P77" s="784"/>
      <c r="Q77" s="784"/>
      <c r="R77" s="784"/>
      <c r="S77" s="784"/>
      <c r="T77" s="784"/>
    </row>
    <row r="78" spans="2:20" s="22" customFormat="1" ht="15.5" hidden="1" x14ac:dyDescent="0.35">
      <c r="F78" s="784"/>
      <c r="G78" s="784"/>
      <c r="H78" s="784"/>
      <c r="I78" s="784"/>
      <c r="J78" s="784"/>
      <c r="K78" s="784"/>
      <c r="L78" s="784"/>
      <c r="M78" s="784"/>
      <c r="N78" s="784"/>
      <c r="O78" s="784"/>
      <c r="P78" s="784"/>
      <c r="Q78" s="784"/>
      <c r="R78" s="784"/>
      <c r="S78" s="784"/>
      <c r="T78" s="784"/>
    </row>
    <row r="79" spans="2:20" s="22" customFormat="1" ht="32.25" hidden="1" customHeight="1" x14ac:dyDescent="0.35">
      <c r="F79" s="1589" t="s">
        <v>1625</v>
      </c>
      <c r="G79" s="1589"/>
      <c r="H79" s="1589"/>
      <c r="I79" s="1589"/>
      <c r="J79" s="1589"/>
      <c r="K79" s="1589"/>
      <c r="L79" s="1589"/>
      <c r="M79" s="1589"/>
      <c r="N79" s="1589"/>
      <c r="O79" s="1589"/>
      <c r="P79" s="1589"/>
      <c r="Q79" s="1589"/>
      <c r="R79" s="1589"/>
      <c r="S79" s="784"/>
      <c r="T79" s="784"/>
    </row>
    <row r="80" spans="2:20" s="22" customFormat="1" ht="15.5" hidden="1" x14ac:dyDescent="0.35">
      <c r="F80" s="784"/>
      <c r="G80" s="784"/>
      <c r="H80" s="784"/>
      <c r="I80" s="784"/>
      <c r="J80" s="784"/>
      <c r="K80" s="784"/>
      <c r="L80" s="784"/>
      <c r="M80" s="784"/>
      <c r="N80" s="784"/>
      <c r="O80" s="784"/>
      <c r="P80" s="784"/>
      <c r="Q80" s="784"/>
      <c r="R80" s="784"/>
      <c r="S80" s="784"/>
      <c r="T80" s="784"/>
    </row>
    <row r="81" spans="2:20" s="22" customFormat="1" ht="18" hidden="1" x14ac:dyDescent="0.4">
      <c r="B81" s="22" t="b">
        <v>1</v>
      </c>
      <c r="E81" s="835" t="s">
        <v>1622</v>
      </c>
      <c r="F81" s="784"/>
      <c r="G81" s="784"/>
      <c r="H81" s="784"/>
      <c r="I81" s="784"/>
      <c r="J81" s="784"/>
      <c r="K81" s="784"/>
      <c r="L81" s="784"/>
      <c r="M81" s="784"/>
      <c r="N81" s="784"/>
      <c r="O81" s="784"/>
      <c r="P81" s="784"/>
      <c r="Q81" s="784"/>
      <c r="R81" s="784"/>
      <c r="S81" s="784"/>
      <c r="T81" s="784"/>
    </row>
    <row r="82" spans="2:20" s="22" customFormat="1" ht="15.5" hidden="1" x14ac:dyDescent="0.35">
      <c r="F82" s="784"/>
      <c r="G82" s="784"/>
      <c r="H82" s="784"/>
      <c r="I82" s="784"/>
      <c r="J82" s="784"/>
      <c r="K82" s="784"/>
      <c r="L82" s="784"/>
      <c r="M82" s="784"/>
      <c r="N82" s="784"/>
      <c r="O82" s="784"/>
      <c r="P82" s="784"/>
      <c r="Q82" s="784"/>
      <c r="R82" s="784"/>
      <c r="S82" s="784"/>
      <c r="T82" s="784"/>
    </row>
    <row r="83" spans="2:20" s="22" customFormat="1" ht="39" hidden="1" customHeight="1" x14ac:dyDescent="0.35">
      <c r="F83" s="1589" t="s">
        <v>1626</v>
      </c>
      <c r="G83" s="1589"/>
      <c r="H83" s="1589"/>
      <c r="I83" s="1589"/>
      <c r="J83" s="1589"/>
      <c r="K83" s="1589"/>
      <c r="L83" s="1589"/>
      <c r="M83" s="1589"/>
      <c r="N83" s="1589"/>
      <c r="O83" s="1589"/>
      <c r="P83" s="1589"/>
      <c r="Q83" s="1589"/>
      <c r="R83" s="1589"/>
      <c r="S83" s="784"/>
      <c r="T83" s="784"/>
    </row>
    <row r="84" spans="2:20" s="22" customFormat="1" x14ac:dyDescent="0.3"/>
    <row r="85" spans="2:20" s="22" customFormat="1" x14ac:dyDescent="0.3"/>
    <row r="86" spans="2:20" s="22" customFormat="1" x14ac:dyDescent="0.3"/>
    <row r="87" spans="2:20" s="22" customFormat="1" ht="18" x14ac:dyDescent="0.4">
      <c r="E87" s="729"/>
    </row>
    <row r="88" spans="2:20" s="22" customFormat="1" x14ac:dyDescent="0.3"/>
    <row r="89" spans="2:20" s="22" customFormat="1" x14ac:dyDescent="0.3"/>
    <row r="90" spans="2:20" s="22" customFormat="1" x14ac:dyDescent="0.3"/>
    <row r="91" spans="2:20" s="22" customFormat="1" x14ac:dyDescent="0.3"/>
    <row r="92" spans="2:20" s="22" customFormat="1" x14ac:dyDescent="0.3"/>
    <row r="93" spans="2:20" s="22" customFormat="1" x14ac:dyDescent="0.3"/>
    <row r="98" spans="5:5" ht="18" x14ac:dyDescent="0.4">
      <c r="E98" s="3"/>
    </row>
  </sheetData>
  <sheetProtection algorithmName="SHA-512" hashValue="Am10Lo2qTGrHJ+OIM9jyAbXPIJ5JjKNXo5TB2rUptruLUH6/xaqvAWS11XROSR92LZom9yQmqgS6bScMvKoyVw==" saltValue="LKL5IVhVVjYeytHHcfLGow==" spinCount="100000" sheet="1" objects="1" scenarios="1" autoFilter="0"/>
  <mergeCells count="20">
    <mergeCell ref="F45:R45"/>
    <mergeCell ref="F38:M38"/>
    <mergeCell ref="F17:R17"/>
    <mergeCell ref="F63:R63"/>
    <mergeCell ref="F79:R79"/>
    <mergeCell ref="F83:R83"/>
    <mergeCell ref="F53:Q53"/>
    <mergeCell ref="F21:R21"/>
    <mergeCell ref="F70:R70"/>
    <mergeCell ref="F49:T49"/>
    <mergeCell ref="F74:T74"/>
    <mergeCell ref="F31:L31"/>
    <mergeCell ref="F32:L32"/>
    <mergeCell ref="F33:L33"/>
    <mergeCell ref="F34:L34"/>
    <mergeCell ref="F40:R40"/>
    <mergeCell ref="S40:T40"/>
    <mergeCell ref="F41:L41"/>
    <mergeCell ref="F42:L42"/>
    <mergeCell ref="F43:L43"/>
  </mergeCells>
  <dataValidations disablePrompts="1" count="1">
    <dataValidation type="list" allowBlank="1" showInputMessage="1" showErrorMessage="1" sqref="N27:N33 N38" xr:uid="{00000000-0002-0000-1400-000000000000}">
      <formula1>"Yes,No"</formula1>
    </dataValidation>
  </dataValidations>
  <hyperlinks>
    <hyperlink ref="F12" r:id="rId1" display="Refer to National Construction Code Part 13.7" xr:uid="{00000000-0004-0000-1400-000000000000}"/>
    <hyperlink ref="F32:L32" r:id="rId2" display="Internal piping" xr:uid="{00000000-0004-0000-1400-000001000000}"/>
    <hyperlink ref="F33:L33" r:id="rId3" display="Internal piping" xr:uid="{00000000-0004-0000-1400-000002000000}"/>
    <hyperlink ref="F34:L34" r:id="rId4" display="Internal piping" xr:uid="{00000000-0004-0000-1400-000003000000}"/>
    <hyperlink ref="F42:L42" r:id="rId5" display="Internal piping" xr:uid="{00000000-0004-0000-1400-000004000000}"/>
    <hyperlink ref="F43:L43" r:id="rId6" display="Internal piping" xr:uid="{00000000-0004-0000-1400-000005000000}"/>
  </hyperlinks>
  <pageMargins left="0.7" right="0.7" top="0.75" bottom="0.75" header="0.3" footer="0.3"/>
  <pageSetup paperSize="9" scale="61" fitToHeight="0" orientation="portrait" r:id="rId7"/>
  <drawing r:id="rId8"/>
  <legacyDrawing r:id="rId9"/>
  <mc:AlternateContent xmlns:mc="http://schemas.openxmlformats.org/markup-compatibility/2006">
    <mc:Choice Requires="x14">
      <controls>
        <mc:AlternateContent xmlns:mc="http://schemas.openxmlformats.org/markup-compatibility/2006">
          <mc:Choice Requires="x14">
            <control shapeId="30737" r:id="rId10" name="Check Box 17">
              <controlPr defaultSize="0" autoFill="0" autoLine="0" autoPict="0">
                <anchor moveWithCells="1">
                  <from>
                    <xdr:col>4</xdr:col>
                    <xdr:colOff>133350</xdr:colOff>
                    <xdr:row>15</xdr:row>
                    <xdr:rowOff>146050</xdr:rowOff>
                  </from>
                  <to>
                    <xdr:col>4</xdr:col>
                    <xdr:colOff>342900</xdr:colOff>
                    <xdr:row>16</xdr:row>
                    <xdr:rowOff>171450</xdr:rowOff>
                  </to>
                </anchor>
              </controlPr>
            </control>
          </mc:Choice>
        </mc:AlternateContent>
        <mc:AlternateContent xmlns:mc="http://schemas.openxmlformats.org/markup-compatibility/2006">
          <mc:Choice Requires="x14">
            <control shapeId="30738" r:id="rId11" name="Check Box 18">
              <controlPr defaultSize="0" autoFill="0" autoLine="0" autoPict="0">
                <anchor moveWithCells="1">
                  <from>
                    <xdr:col>4</xdr:col>
                    <xdr:colOff>133350</xdr:colOff>
                    <xdr:row>62</xdr:row>
                    <xdr:rowOff>31750</xdr:rowOff>
                  </from>
                  <to>
                    <xdr:col>4</xdr:col>
                    <xdr:colOff>342900</xdr:colOff>
                    <xdr:row>62</xdr:row>
                    <xdr:rowOff>247650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C93BB-AEA4-4FE9-9E88-560E97DECA00}">
  <sheetPr codeName="Sheet54">
    <pageSetUpPr autoPageBreaks="0" fitToPage="1"/>
  </sheetPr>
  <dimension ref="A1:E204"/>
  <sheetViews>
    <sheetView showGridLines="0" topLeftCell="A125" zoomScale="70" zoomScaleNormal="70" workbookViewId="0">
      <selection activeCell="D158" sqref="D158"/>
    </sheetView>
  </sheetViews>
  <sheetFormatPr defaultColWidth="0" defaultRowHeight="12.5" x14ac:dyDescent="0.25"/>
  <cols>
    <col min="1" max="1" width="1.58203125" style="324" customWidth="1"/>
    <col min="2" max="2" width="5.58203125" style="324" customWidth="1"/>
    <col min="3" max="3" width="2.25" style="324" customWidth="1"/>
    <col min="4" max="4" width="148.33203125" style="324" customWidth="1"/>
    <col min="5" max="5" width="8.08203125" style="324" customWidth="1"/>
    <col min="6" max="16384" width="8.08203125" style="324" hidden="1"/>
  </cols>
  <sheetData>
    <row r="1" spans="1:5" ht="167.15" customHeight="1" x14ac:dyDescent="0.25">
      <c r="A1" s="1042"/>
      <c r="B1" s="1042"/>
      <c r="C1" s="1042"/>
      <c r="D1" s="1042"/>
      <c r="E1" s="1042"/>
    </row>
    <row r="2" spans="1:5" s="168" customFormat="1" ht="21.65" customHeight="1" x14ac:dyDescent="0.25"/>
    <row r="3" spans="1:5" ht="18" x14ac:dyDescent="0.4">
      <c r="A3" s="1015"/>
      <c r="B3" s="1018" t="s">
        <v>1627</v>
      </c>
      <c r="C3" s="1018"/>
      <c r="D3" s="1017"/>
    </row>
    <row r="4" spans="1:5" ht="17.5" x14ac:dyDescent="0.35">
      <c r="B4" s="1016"/>
      <c r="C4" s="1017"/>
      <c r="D4" s="1017"/>
    </row>
    <row r="5" spans="1:5" ht="18" x14ac:dyDescent="0.4">
      <c r="B5" s="1016"/>
      <c r="D5" s="1081" t="s">
        <v>1628</v>
      </c>
    </row>
    <row r="6" spans="1:5" ht="52.5" x14ac:dyDescent="0.25">
      <c r="B6" s="1019">
        <v>1</v>
      </c>
      <c r="C6" s="1020"/>
      <c r="D6" s="1082" t="s">
        <v>1629</v>
      </c>
    </row>
    <row r="7" spans="1:5" ht="35" x14ac:dyDescent="0.25">
      <c r="B7" s="1019">
        <v>2</v>
      </c>
      <c r="C7" s="1019"/>
      <c r="D7" s="1082" t="s">
        <v>1630</v>
      </c>
    </row>
    <row r="8" spans="1:5" ht="17.5" x14ac:dyDescent="0.35">
      <c r="B8" s="1019" t="str">
        <f>IF(AND(ISBLANK(C8),ISBLANK(D8)=FALSE),MAX(B7:B$7)+1,"")</f>
        <v/>
      </c>
      <c r="C8" s="1019"/>
      <c r="D8" s="1083"/>
    </row>
    <row r="9" spans="1:5" ht="18" x14ac:dyDescent="0.4">
      <c r="B9" s="1019" t="str">
        <f>IF(AND(ISBLANK(D9),ISBLANK(#REF!)=FALSE),MAX(B$7:B8)+1,"")</f>
        <v/>
      </c>
      <c r="D9" s="1081" t="s">
        <v>741</v>
      </c>
    </row>
    <row r="10" spans="1:5" ht="35" x14ac:dyDescent="0.25">
      <c r="B10" s="1019">
        <f>IF(AND(ISBLANK(C10),ISBLANK(D10)=FALSE),MAX(B$7:B9)+1,"")</f>
        <v>3</v>
      </c>
      <c r="C10" s="1020"/>
      <c r="D10" s="1082" t="s">
        <v>1631</v>
      </c>
    </row>
    <row r="11" spans="1:5" ht="43.5" customHeight="1" x14ac:dyDescent="0.25">
      <c r="B11" s="1019">
        <f>IF(AND(ISBLANK(C11),ISBLANK(D11)=FALSE),MAX(B$7:B10)+1,"")</f>
        <v>4</v>
      </c>
      <c r="C11" s="1020"/>
      <c r="D11" s="1082" t="s">
        <v>1632</v>
      </c>
    </row>
    <row r="12" spans="1:5" ht="17.5" x14ac:dyDescent="0.25">
      <c r="B12" s="1019">
        <f>IF(AND(ISBLANK(C12),ISBLANK(D12)=FALSE),MAX(B$7:B11)+1,"")</f>
        <v>5</v>
      </c>
      <c r="C12" s="1020"/>
      <c r="D12" s="1082" t="s">
        <v>1633</v>
      </c>
    </row>
    <row r="13" spans="1:5" ht="17.5" x14ac:dyDescent="0.25">
      <c r="B13" s="1019" t="str">
        <f>IF(AND(ISBLANK(C13),ISBLANK(D13)=FALSE),MAX(B$7:B12)+1,"")</f>
        <v/>
      </c>
      <c r="C13" s="1020"/>
      <c r="D13" s="1082"/>
    </row>
    <row r="14" spans="1:5" ht="18" x14ac:dyDescent="0.25">
      <c r="B14" s="1019"/>
      <c r="D14" s="1022" t="s">
        <v>1634</v>
      </c>
    </row>
    <row r="15" spans="1:5" ht="18" x14ac:dyDescent="0.25">
      <c r="B15" s="1019">
        <f>IF(AND(ISBLANK(C15),ISBLANK(D15)=FALSE),MAX(B$7:B14)+1,"")</f>
        <v>6</v>
      </c>
      <c r="C15" s="1022"/>
      <c r="D15" s="1021" t="s">
        <v>1635</v>
      </c>
    </row>
    <row r="16" spans="1:5" ht="18" x14ac:dyDescent="0.25">
      <c r="B16" s="1019"/>
      <c r="C16" s="1022"/>
      <c r="D16" s="1023" t="s">
        <v>1636</v>
      </c>
    </row>
    <row r="17" spans="2:4" ht="18" x14ac:dyDescent="0.25">
      <c r="B17" s="1019"/>
      <c r="C17" s="1022"/>
      <c r="D17" s="1024" t="s">
        <v>1637</v>
      </c>
    </row>
    <row r="18" spans="2:4" ht="18" x14ac:dyDescent="0.25">
      <c r="B18" s="1019" t="str">
        <f>IF(AND(ISBLANK(C18),ISBLANK(D18)=FALSE),MAX(B$7:B17)+1,"")</f>
        <v/>
      </c>
      <c r="C18" s="1022"/>
      <c r="D18" s="1021"/>
    </row>
    <row r="19" spans="2:4" ht="18" x14ac:dyDescent="0.25">
      <c r="B19" s="1019"/>
      <c r="D19" s="1022" t="s">
        <v>1638</v>
      </c>
    </row>
    <row r="20" spans="2:4" ht="35" x14ac:dyDescent="0.25">
      <c r="B20" s="1019">
        <f>IF(AND(ISBLANK(C20),ISBLANK(D20)=FALSE),MAX(B$7:B19)+1,"")</f>
        <v>7</v>
      </c>
      <c r="C20" s="1022"/>
      <c r="D20" s="1021" t="s">
        <v>1639</v>
      </c>
    </row>
    <row r="21" spans="2:4" ht="51.75" customHeight="1" x14ac:dyDescent="0.25">
      <c r="B21" s="1019">
        <f>IF(AND(ISBLANK(C21),ISBLANK(D21)=FALSE),MAX(B$7:B20)+1,"")</f>
        <v>8</v>
      </c>
      <c r="C21" s="1022"/>
      <c r="D21" s="1025" t="s">
        <v>1640</v>
      </c>
    </row>
    <row r="22" spans="2:4" ht="84" customHeight="1" x14ac:dyDescent="0.25">
      <c r="B22" s="1019">
        <f>IF(AND(ISBLANK(C22),ISBLANK(D22)=FALSE),MAX(B$7:B21)+1,"")</f>
        <v>9</v>
      </c>
      <c r="C22" s="1022"/>
      <c r="D22" s="1025" t="s">
        <v>1641</v>
      </c>
    </row>
    <row r="23" spans="2:4" ht="53" x14ac:dyDescent="0.25">
      <c r="B23" s="1019">
        <f>IF(AND(ISBLANK(C23),ISBLANK(D23)=FALSE),MAX(B$7:B22)+1,"")</f>
        <v>10</v>
      </c>
      <c r="C23" s="1022"/>
      <c r="D23" s="1025" t="s">
        <v>1642</v>
      </c>
    </row>
    <row r="24" spans="2:4" ht="91.5" customHeight="1" x14ac:dyDescent="0.25">
      <c r="B24" s="1019">
        <f>IF(AND(ISBLANK(C24),ISBLANK(D24)=FALSE),MAX(B$7:B23)+1,"")</f>
        <v>11</v>
      </c>
      <c r="C24" s="1022"/>
      <c r="D24" s="1025" t="s">
        <v>1643</v>
      </c>
    </row>
    <row r="25" spans="2:4" ht="70.5" x14ac:dyDescent="0.25">
      <c r="B25" s="1019">
        <f>IF(AND(ISBLANK(C25),ISBLANK(D25)=FALSE),MAX(B$7:B24)+1,"")</f>
        <v>12</v>
      </c>
      <c r="C25" s="1022"/>
      <c r="D25" s="1021" t="s">
        <v>1644</v>
      </c>
    </row>
    <row r="26" spans="2:4" ht="18" x14ac:dyDescent="0.25">
      <c r="B26" s="1019"/>
      <c r="C26" s="1022"/>
      <c r="D26" s="1021"/>
    </row>
    <row r="27" spans="2:4" ht="17.5" x14ac:dyDescent="0.35">
      <c r="B27" s="1019" t="str">
        <f>IF(AND(ISBLANK(C27),ISBLANK(D27)=FALSE),MAX(B$7:B19)+1,"")</f>
        <v/>
      </c>
      <c r="C27" s="1016"/>
      <c r="D27" s="1017"/>
    </row>
    <row r="28" spans="2:4" ht="24.75" customHeight="1" x14ac:dyDescent="0.4">
      <c r="B28" s="1019"/>
      <c r="D28" s="1018" t="s">
        <v>1645</v>
      </c>
    </row>
    <row r="29" spans="2:4" ht="52.5" x14ac:dyDescent="0.25">
      <c r="B29" s="1019">
        <f>IF(AND(ISBLANK(C29),ISBLANK(D29)=FALSE),MAX(B$7:B28)+1,"")</f>
        <v>13</v>
      </c>
      <c r="C29" s="1020"/>
      <c r="D29" s="1021" t="s">
        <v>1646</v>
      </c>
    </row>
    <row r="30" spans="2:4" ht="70" x14ac:dyDescent="0.25">
      <c r="B30" s="1019">
        <f>IF(AND(ISBLANK(C30),ISBLANK(D30)=FALSE),MAX(B$7:B29)+1,"")</f>
        <v>14</v>
      </c>
      <c r="C30" s="1016"/>
      <c r="D30" s="1021" t="s">
        <v>1647</v>
      </c>
    </row>
    <row r="31" spans="2:4" ht="17.5" x14ac:dyDescent="0.25">
      <c r="B31" s="1019"/>
      <c r="C31" s="1016"/>
      <c r="D31" s="1021"/>
    </row>
    <row r="32" spans="2:4" ht="18" x14ac:dyDescent="0.25">
      <c r="B32" s="1019"/>
      <c r="C32" s="1016"/>
      <c r="D32" s="1025" t="s">
        <v>101</v>
      </c>
    </row>
    <row r="33" spans="2:4" ht="17.5" x14ac:dyDescent="0.25">
      <c r="B33" s="1019"/>
      <c r="C33" s="1016"/>
      <c r="D33" s="1021"/>
    </row>
    <row r="34" spans="2:4" ht="17.5" x14ac:dyDescent="0.25">
      <c r="B34" s="1019"/>
      <c r="C34" s="1016"/>
      <c r="D34" s="1021"/>
    </row>
    <row r="35" spans="2:4" ht="17.5" x14ac:dyDescent="0.25">
      <c r="B35" s="1019"/>
      <c r="C35" s="1016"/>
      <c r="D35" s="1021"/>
    </row>
    <row r="36" spans="2:4" ht="17.5" x14ac:dyDescent="0.25">
      <c r="B36" s="1019"/>
      <c r="C36" s="1016"/>
      <c r="D36" s="1021"/>
    </row>
    <row r="37" spans="2:4" ht="17.5" x14ac:dyDescent="0.25">
      <c r="B37" s="1019"/>
      <c r="C37" s="1016"/>
      <c r="D37" s="1021"/>
    </row>
    <row r="38" spans="2:4" ht="17.5" x14ac:dyDescent="0.25">
      <c r="B38" s="1019"/>
      <c r="C38" s="1016"/>
      <c r="D38" s="1021"/>
    </row>
    <row r="39" spans="2:4" ht="17.5" x14ac:dyDescent="0.25">
      <c r="B39" s="1019"/>
      <c r="C39" s="1016"/>
      <c r="D39" s="1021"/>
    </row>
    <row r="40" spans="2:4" ht="17.5" x14ac:dyDescent="0.25">
      <c r="B40" s="1019"/>
      <c r="C40" s="1016"/>
      <c r="D40" s="1021"/>
    </row>
    <row r="41" spans="2:4" ht="17.5" x14ac:dyDescent="0.25">
      <c r="B41" s="1019"/>
      <c r="C41" s="1016"/>
      <c r="D41" s="1021"/>
    </row>
    <row r="42" spans="2:4" ht="17.5" x14ac:dyDescent="0.25">
      <c r="B42" s="1019"/>
      <c r="C42" s="1016"/>
      <c r="D42" s="1021"/>
    </row>
    <row r="43" spans="2:4" ht="17.5" x14ac:dyDescent="0.25">
      <c r="B43" s="1019"/>
      <c r="C43" s="1016"/>
      <c r="D43" s="1021"/>
    </row>
    <row r="44" spans="2:4" ht="17.5" x14ac:dyDescent="0.25">
      <c r="B44" s="1019"/>
      <c r="C44" s="1016"/>
      <c r="D44" s="1021"/>
    </row>
    <row r="45" spans="2:4" ht="17.5" x14ac:dyDescent="0.25">
      <c r="B45" s="1019"/>
      <c r="C45" s="1016"/>
      <c r="D45" s="1021"/>
    </row>
    <row r="46" spans="2:4" ht="17.5" x14ac:dyDescent="0.25">
      <c r="B46" s="1019"/>
      <c r="C46" s="1016"/>
      <c r="D46" s="1021"/>
    </row>
    <row r="47" spans="2:4" ht="17.5" x14ac:dyDescent="0.25">
      <c r="B47" s="1019"/>
      <c r="C47" s="1016"/>
      <c r="D47" s="1021"/>
    </row>
    <row r="48" spans="2:4" ht="17.5" x14ac:dyDescent="0.25">
      <c r="B48" s="1019"/>
      <c r="C48" s="1016"/>
      <c r="D48" s="1021"/>
    </row>
    <row r="49" spans="2:4" ht="17.5" x14ac:dyDescent="0.25">
      <c r="B49" s="1019"/>
      <c r="C49" s="1016"/>
      <c r="D49" s="1021"/>
    </row>
    <row r="50" spans="2:4" ht="17.5" x14ac:dyDescent="0.25">
      <c r="B50" s="1019"/>
      <c r="C50" s="1016"/>
      <c r="D50" s="1021"/>
    </row>
    <row r="51" spans="2:4" ht="17.5" x14ac:dyDescent="0.25">
      <c r="B51" s="1019"/>
      <c r="C51" s="1016"/>
      <c r="D51" s="1021"/>
    </row>
    <row r="52" spans="2:4" ht="17.5" x14ac:dyDescent="0.25">
      <c r="B52" s="1019"/>
      <c r="C52" s="1016"/>
      <c r="D52" s="1021"/>
    </row>
    <row r="53" spans="2:4" ht="17.5" x14ac:dyDescent="0.25">
      <c r="B53" s="1019"/>
      <c r="C53" s="1016"/>
      <c r="D53" s="1021"/>
    </row>
    <row r="54" spans="2:4" ht="17.5" x14ac:dyDescent="0.25">
      <c r="B54" s="1019"/>
      <c r="C54" s="1016"/>
      <c r="D54" s="1021"/>
    </row>
    <row r="55" spans="2:4" ht="17.5" x14ac:dyDescent="0.25">
      <c r="B55" s="1019"/>
      <c r="C55" s="1016"/>
      <c r="D55" s="1021"/>
    </row>
    <row r="56" spans="2:4" ht="17.5" x14ac:dyDescent="0.25">
      <c r="B56" s="1019"/>
      <c r="C56" s="1016"/>
      <c r="D56" s="1021"/>
    </row>
    <row r="57" spans="2:4" ht="17.5" x14ac:dyDescent="0.25">
      <c r="B57" s="1019"/>
      <c r="C57" s="1016"/>
      <c r="D57" s="1021"/>
    </row>
    <row r="58" spans="2:4" ht="17.5" x14ac:dyDescent="0.25">
      <c r="B58" s="1019" t="str">
        <f>IF(AND(ISBLANK(C58),ISBLANK(D58)=FALSE),MAX(B$7:B57)+1,"")</f>
        <v/>
      </c>
      <c r="C58" s="1016"/>
      <c r="D58" s="1021"/>
    </row>
    <row r="59" spans="2:4" ht="18" x14ac:dyDescent="0.4">
      <c r="B59" s="1019"/>
      <c r="D59" s="1018" t="s">
        <v>1648</v>
      </c>
    </row>
    <row r="60" spans="2:4" ht="70" x14ac:dyDescent="0.25">
      <c r="B60" s="1019">
        <f>IF(AND(ISBLANK(C60),ISBLANK(D60)=FALSE),MAX(B$7:B59)+1,"")</f>
        <v>15</v>
      </c>
      <c r="C60" s="1020"/>
      <c r="D60" s="1021" t="s">
        <v>1649</v>
      </c>
    </row>
    <row r="61" spans="2:4" ht="17.5" x14ac:dyDescent="0.25">
      <c r="B61" s="1019"/>
      <c r="C61" s="1016"/>
      <c r="D61" s="1026" t="s">
        <v>1650</v>
      </c>
    </row>
    <row r="62" spans="2:4" ht="17.5" x14ac:dyDescent="0.25">
      <c r="B62" s="1019"/>
      <c r="C62" s="1016"/>
      <c r="D62" s="1021"/>
    </row>
    <row r="63" spans="2:4" ht="18" x14ac:dyDescent="0.25">
      <c r="B63" s="1019"/>
      <c r="C63" s="1016"/>
      <c r="D63" s="1025" t="s">
        <v>1651</v>
      </c>
    </row>
    <row r="64" spans="2:4" ht="17.5" x14ac:dyDescent="0.25">
      <c r="B64" s="1019"/>
      <c r="C64" s="1016"/>
      <c r="D64" s="1021"/>
    </row>
    <row r="65" spans="2:4" ht="17.5" x14ac:dyDescent="0.25">
      <c r="B65" s="1019"/>
      <c r="C65" s="1016"/>
      <c r="D65" s="1026"/>
    </row>
    <row r="66" spans="2:4" ht="17.5" x14ac:dyDescent="0.25">
      <c r="B66" s="1019"/>
      <c r="C66" s="1016"/>
      <c r="D66" s="1026"/>
    </row>
    <row r="67" spans="2:4" ht="17.5" x14ac:dyDescent="0.25">
      <c r="B67" s="1019"/>
      <c r="C67" s="1016"/>
      <c r="D67" s="1026"/>
    </row>
    <row r="68" spans="2:4" ht="17.5" x14ac:dyDescent="0.25">
      <c r="B68" s="1019"/>
      <c r="C68" s="1016"/>
      <c r="D68" s="1026"/>
    </row>
    <row r="69" spans="2:4" ht="17.5" x14ac:dyDescent="0.25">
      <c r="B69" s="1019"/>
      <c r="C69" s="1016"/>
      <c r="D69" s="1026"/>
    </row>
    <row r="70" spans="2:4" ht="17.5" x14ac:dyDescent="0.25">
      <c r="B70" s="1019"/>
      <c r="C70" s="1016"/>
      <c r="D70" s="1026"/>
    </row>
    <row r="71" spans="2:4" ht="17.5" x14ac:dyDescent="0.25">
      <c r="B71" s="1019"/>
      <c r="C71" s="1016"/>
      <c r="D71" s="1026"/>
    </row>
    <row r="72" spans="2:4" ht="17.5" x14ac:dyDescent="0.25">
      <c r="B72" s="1019"/>
      <c r="C72" s="1016"/>
      <c r="D72" s="1026"/>
    </row>
    <row r="73" spans="2:4" ht="17.5" x14ac:dyDescent="0.25">
      <c r="B73" s="1019"/>
      <c r="C73" s="1016"/>
      <c r="D73" s="1026"/>
    </row>
    <row r="74" spans="2:4" ht="17.5" x14ac:dyDescent="0.25">
      <c r="B74" s="1019"/>
      <c r="C74" s="1016"/>
      <c r="D74" s="1026"/>
    </row>
    <row r="75" spans="2:4" ht="17.5" x14ac:dyDescent="0.25">
      <c r="B75" s="1019"/>
      <c r="C75" s="1016"/>
      <c r="D75" s="1026"/>
    </row>
    <row r="76" spans="2:4" ht="17.5" x14ac:dyDescent="0.25">
      <c r="B76" s="1019"/>
      <c r="C76" s="1016"/>
      <c r="D76" s="1026"/>
    </row>
    <row r="77" spans="2:4" ht="17.5" x14ac:dyDescent="0.25">
      <c r="B77" s="1019"/>
      <c r="C77" s="1016"/>
      <c r="D77" s="1026"/>
    </row>
    <row r="78" spans="2:4" ht="17.5" x14ac:dyDescent="0.25">
      <c r="B78" s="1019"/>
      <c r="C78" s="1016"/>
      <c r="D78" s="1026"/>
    </row>
    <row r="79" spans="2:4" ht="17.5" x14ac:dyDescent="0.25">
      <c r="B79" s="1019"/>
      <c r="C79" s="1016"/>
      <c r="D79" s="1026"/>
    </row>
    <row r="80" spans="2:4" ht="17.5" x14ac:dyDescent="0.25">
      <c r="B80" s="1019"/>
      <c r="C80" s="1016"/>
      <c r="D80" s="1026"/>
    </row>
    <row r="81" spans="2:4" ht="17.5" x14ac:dyDescent="0.25">
      <c r="B81" s="1019"/>
      <c r="C81" s="1016"/>
      <c r="D81" s="1026"/>
    </row>
    <row r="82" spans="2:4" ht="17.5" x14ac:dyDescent="0.25">
      <c r="B82" s="1019"/>
      <c r="C82" s="1016"/>
      <c r="D82" s="1026"/>
    </row>
    <row r="83" spans="2:4" ht="17.5" x14ac:dyDescent="0.25">
      <c r="B83" s="1019"/>
      <c r="C83" s="1016"/>
      <c r="D83" s="1026"/>
    </row>
    <row r="84" spans="2:4" ht="17.5" x14ac:dyDescent="0.25">
      <c r="B84" s="1019"/>
      <c r="C84" s="1016"/>
      <c r="D84" s="1026"/>
    </row>
    <row r="85" spans="2:4" ht="17.5" x14ac:dyDescent="0.25">
      <c r="B85" s="1019"/>
      <c r="C85" s="1016"/>
      <c r="D85" s="1026"/>
    </row>
    <row r="86" spans="2:4" ht="17.5" x14ac:dyDescent="0.25">
      <c r="B86" s="1019"/>
      <c r="C86" s="1016"/>
      <c r="D86" s="1026"/>
    </row>
    <row r="87" spans="2:4" ht="17.5" x14ac:dyDescent="0.25">
      <c r="B87" s="1019"/>
      <c r="C87" s="1016"/>
      <c r="D87" s="1026"/>
    </row>
    <row r="88" spans="2:4" ht="17.5" x14ac:dyDescent="0.25">
      <c r="B88" s="1019" t="str">
        <f>IF(AND(ISBLANK(C88),ISBLANK(D88)=FALSE),MAX(B$7:B61)+1,"")</f>
        <v/>
      </c>
      <c r="C88" s="1016"/>
      <c r="D88" s="1021"/>
    </row>
    <row r="89" spans="2:4" ht="17.5" x14ac:dyDescent="0.25">
      <c r="B89" s="1019" t="str">
        <f>IF(AND(ISBLANK(C89),ISBLANK(D89)=FALSE),MAX(B$7:B88)+1,"")</f>
        <v/>
      </c>
      <c r="C89" s="1016"/>
      <c r="D89" s="1021"/>
    </row>
    <row r="90" spans="2:4" ht="18" x14ac:dyDescent="0.4">
      <c r="B90" s="1019"/>
      <c r="D90" s="1018" t="s">
        <v>1652</v>
      </c>
    </row>
    <row r="91" spans="2:4" ht="17.5" x14ac:dyDescent="0.25">
      <c r="B91" s="1019">
        <f>IF(AND(ISBLANK(C91),ISBLANK(D91)=FALSE),MAX(B$7:B90)+1,"")</f>
        <v>16</v>
      </c>
      <c r="C91" s="1020"/>
      <c r="D91" s="1021" t="s">
        <v>1653</v>
      </c>
    </row>
    <row r="92" spans="2:4" ht="17.5" x14ac:dyDescent="0.25">
      <c r="B92" s="1019">
        <f>IF(AND(ISBLANK(C92),ISBLANK(D92)=FALSE),MAX(B$7:B91)+1,"")</f>
        <v>17</v>
      </c>
      <c r="C92" s="1020"/>
      <c r="D92" s="1021" t="s">
        <v>1654</v>
      </c>
    </row>
    <row r="93" spans="2:4" ht="35" x14ac:dyDescent="0.25">
      <c r="B93" s="1019">
        <f>IF(AND(ISBLANK(C93),ISBLANK(D93)=FALSE),MAX(B$7:B92)+1,"")</f>
        <v>18</v>
      </c>
      <c r="C93" s="1020"/>
      <c r="D93" s="1021" t="s">
        <v>1655</v>
      </c>
    </row>
    <row r="94" spans="2:4" ht="51" customHeight="1" x14ac:dyDescent="0.25">
      <c r="B94" s="1019">
        <f>IF(AND(ISBLANK(C94),ISBLANK(D94)=FALSE),MAX(B$7:B93)+1,"")</f>
        <v>19</v>
      </c>
      <c r="C94" s="1020"/>
      <c r="D94" s="1021" t="s">
        <v>1656</v>
      </c>
    </row>
    <row r="95" spans="2:4" ht="18" customHeight="1" x14ac:dyDescent="0.25">
      <c r="B95" s="1019"/>
      <c r="C95" s="1020"/>
      <c r="D95" s="1021"/>
    </row>
    <row r="96" spans="2:4" ht="18" customHeight="1" x14ac:dyDescent="0.25">
      <c r="B96" s="1019"/>
      <c r="C96" s="1020"/>
      <c r="D96" s="1025" t="s">
        <v>764</v>
      </c>
    </row>
    <row r="97" spans="2:4" ht="18" customHeight="1" x14ac:dyDescent="0.25">
      <c r="B97" s="1019"/>
      <c r="C97" s="1020"/>
      <c r="D97" s="1021"/>
    </row>
    <row r="98" spans="2:4" ht="17.5" x14ac:dyDescent="0.25">
      <c r="B98" s="1019"/>
      <c r="C98" s="1020"/>
      <c r="D98" s="1021"/>
    </row>
    <row r="99" spans="2:4" ht="17.5" x14ac:dyDescent="0.25">
      <c r="B99" s="1019"/>
      <c r="C99" s="1020"/>
      <c r="D99" s="1021"/>
    </row>
    <row r="100" spans="2:4" ht="17.5" x14ac:dyDescent="0.25">
      <c r="B100" s="1019"/>
      <c r="C100" s="1020"/>
      <c r="D100" s="1021"/>
    </row>
    <row r="101" spans="2:4" ht="17.5" x14ac:dyDescent="0.25">
      <c r="B101" s="1019"/>
      <c r="C101" s="1020"/>
      <c r="D101" s="1021"/>
    </row>
    <row r="102" spans="2:4" ht="17.5" x14ac:dyDescent="0.25">
      <c r="B102" s="1019"/>
      <c r="C102" s="1020"/>
      <c r="D102" s="1021"/>
    </row>
    <row r="103" spans="2:4" ht="17.5" x14ac:dyDescent="0.25">
      <c r="B103" s="1019"/>
      <c r="C103" s="1020"/>
      <c r="D103" s="1021"/>
    </row>
    <row r="104" spans="2:4" ht="17.5" x14ac:dyDescent="0.25">
      <c r="B104" s="1019"/>
      <c r="C104" s="1020"/>
      <c r="D104" s="1021"/>
    </row>
    <row r="105" spans="2:4" ht="17.5" x14ac:dyDescent="0.25">
      <c r="B105" s="1019"/>
      <c r="C105" s="1020"/>
      <c r="D105" s="1021"/>
    </row>
    <row r="106" spans="2:4" ht="17.5" x14ac:dyDescent="0.25">
      <c r="B106" s="1019"/>
      <c r="C106" s="1020"/>
      <c r="D106" s="1021"/>
    </row>
    <row r="107" spans="2:4" ht="17.5" x14ac:dyDescent="0.25">
      <c r="B107" s="1019"/>
      <c r="C107" s="1020"/>
      <c r="D107" s="1021"/>
    </row>
    <row r="108" spans="2:4" ht="17.5" x14ac:dyDescent="0.25">
      <c r="B108" s="1019"/>
      <c r="C108" s="1020"/>
      <c r="D108" s="1021"/>
    </row>
    <row r="109" spans="2:4" ht="17.5" x14ac:dyDescent="0.25">
      <c r="B109" s="1019"/>
      <c r="C109" s="1020"/>
      <c r="D109" s="1021"/>
    </row>
    <row r="110" spans="2:4" ht="17.5" x14ac:dyDescent="0.25">
      <c r="B110" s="1019"/>
      <c r="C110" s="1020"/>
      <c r="D110" s="1021"/>
    </row>
    <row r="111" spans="2:4" ht="17.5" x14ac:dyDescent="0.25">
      <c r="B111" s="1019"/>
      <c r="C111" s="1020"/>
      <c r="D111" s="1021"/>
    </row>
    <row r="112" spans="2:4" ht="17.5" x14ac:dyDescent="0.25">
      <c r="B112" s="1019"/>
      <c r="C112" s="1020"/>
      <c r="D112" s="1021"/>
    </row>
    <row r="113" spans="2:4" ht="17.5" x14ac:dyDescent="0.25">
      <c r="B113" s="1019"/>
      <c r="C113" s="1020"/>
      <c r="D113" s="1021"/>
    </row>
    <row r="114" spans="2:4" ht="17.5" x14ac:dyDescent="0.25">
      <c r="B114" s="1019"/>
      <c r="C114" s="1020"/>
      <c r="D114" s="1021"/>
    </row>
    <row r="115" spans="2:4" ht="17.5" x14ac:dyDescent="0.25">
      <c r="B115" s="1019"/>
      <c r="C115" s="1020"/>
      <c r="D115" s="1021"/>
    </row>
    <row r="116" spans="2:4" ht="17.5" x14ac:dyDescent="0.25">
      <c r="B116" s="1019"/>
      <c r="C116" s="1020"/>
      <c r="D116" s="1021"/>
    </row>
    <row r="117" spans="2:4" ht="17.5" x14ac:dyDescent="0.25">
      <c r="B117" s="1019"/>
      <c r="C117" s="1020"/>
      <c r="D117" s="1021"/>
    </row>
    <row r="118" spans="2:4" ht="17.5" x14ac:dyDescent="0.25">
      <c r="B118" s="1019"/>
      <c r="C118" s="1020"/>
      <c r="D118" s="1021"/>
    </row>
    <row r="119" spans="2:4" ht="17.5" x14ac:dyDescent="0.25">
      <c r="B119" s="1019"/>
      <c r="C119" s="1020"/>
      <c r="D119" s="1021"/>
    </row>
    <row r="120" spans="2:4" ht="17.5" x14ac:dyDescent="0.25">
      <c r="B120" s="1019"/>
      <c r="C120" s="1020"/>
      <c r="D120" s="1021"/>
    </row>
    <row r="121" spans="2:4" ht="17.5" x14ac:dyDescent="0.25">
      <c r="B121" s="1019"/>
      <c r="C121" s="1020"/>
      <c r="D121" s="1021"/>
    </row>
    <row r="122" spans="2:4" ht="17.5" x14ac:dyDescent="0.25">
      <c r="B122" s="1019"/>
      <c r="C122" s="1020"/>
      <c r="D122" s="1021"/>
    </row>
    <row r="123" spans="2:4" ht="18" x14ac:dyDescent="0.4">
      <c r="B123" s="1019"/>
      <c r="D123" s="1018" t="s">
        <v>1657</v>
      </c>
    </row>
    <row r="124" spans="2:4" ht="35" x14ac:dyDescent="0.25">
      <c r="B124" s="1019">
        <f>IF(AND(ISBLANK(C124),ISBLANK(D124)=FALSE),MAX(B$7:B94)+1,"")</f>
        <v>20</v>
      </c>
      <c r="C124" s="1020"/>
      <c r="D124" s="1021" t="s">
        <v>1658</v>
      </c>
    </row>
    <row r="125" spans="2:4" ht="52.5" x14ac:dyDescent="0.25">
      <c r="B125" s="1019">
        <f>IF(AND(ISBLANK(C125),ISBLANK(D125)=FALSE),MAX(B$7:B124)+1,"")</f>
        <v>21</v>
      </c>
      <c r="C125" s="1020"/>
      <c r="D125" s="1021" t="s">
        <v>1659</v>
      </c>
    </row>
    <row r="126" spans="2:4" ht="35" x14ac:dyDescent="0.25">
      <c r="B126" s="1019">
        <f>IF(AND(ISBLANK(C126),ISBLANK(D126)=FALSE),MAX(B$7:B125)+1,"")</f>
        <v>22</v>
      </c>
      <c r="C126" s="1020"/>
      <c r="D126" s="1021" t="s">
        <v>1660</v>
      </c>
    </row>
    <row r="127" spans="2:4" ht="18" x14ac:dyDescent="0.25">
      <c r="B127" s="1019"/>
      <c r="C127" s="1020"/>
      <c r="D127" s="1025" t="s">
        <v>1661</v>
      </c>
    </row>
    <row r="128" spans="2:4" ht="17.5" x14ac:dyDescent="0.25">
      <c r="B128" s="1019"/>
      <c r="C128" s="1020"/>
      <c r="D128" s="1021"/>
    </row>
    <row r="129" spans="2:4" ht="17.5" x14ac:dyDescent="0.25">
      <c r="B129" s="1019"/>
      <c r="C129" s="1020"/>
      <c r="D129" s="1021"/>
    </row>
    <row r="130" spans="2:4" ht="17.5" x14ac:dyDescent="0.25">
      <c r="B130" s="1019"/>
      <c r="C130" s="1020"/>
      <c r="D130" s="1021"/>
    </row>
    <row r="131" spans="2:4" ht="17.5" x14ac:dyDescent="0.25">
      <c r="B131" s="1019"/>
      <c r="C131" s="1020"/>
      <c r="D131" s="1021"/>
    </row>
    <row r="132" spans="2:4" ht="17.5" x14ac:dyDescent="0.25">
      <c r="B132" s="1019"/>
      <c r="C132" s="1020"/>
      <c r="D132" s="1021"/>
    </row>
    <row r="133" spans="2:4" ht="17.5" x14ac:dyDescent="0.25">
      <c r="B133" s="1019"/>
      <c r="C133" s="1020"/>
      <c r="D133" s="1021"/>
    </row>
    <row r="134" spans="2:4" ht="17.5" x14ac:dyDescent="0.25">
      <c r="B134" s="1019"/>
      <c r="C134" s="1020"/>
      <c r="D134" s="1021"/>
    </row>
    <row r="135" spans="2:4" ht="17.5" x14ac:dyDescent="0.25">
      <c r="B135" s="1019"/>
      <c r="C135" s="1020"/>
      <c r="D135" s="1021"/>
    </row>
    <row r="136" spans="2:4" ht="17.5" x14ac:dyDescent="0.25">
      <c r="B136" s="1019"/>
      <c r="C136" s="1020"/>
      <c r="D136" s="1021"/>
    </row>
    <row r="137" spans="2:4" ht="17.5" x14ac:dyDescent="0.25">
      <c r="B137" s="1019"/>
      <c r="C137" s="1020"/>
      <c r="D137" s="1021"/>
    </row>
    <row r="138" spans="2:4" ht="17.5" x14ac:dyDescent="0.25">
      <c r="B138" s="1019"/>
      <c r="C138" s="1020"/>
      <c r="D138" s="1021"/>
    </row>
    <row r="139" spans="2:4" ht="17.5" x14ac:dyDescent="0.25">
      <c r="B139" s="1019"/>
      <c r="C139" s="1020"/>
      <c r="D139" s="1021"/>
    </row>
    <row r="140" spans="2:4" ht="17.5" x14ac:dyDescent="0.25">
      <c r="B140" s="1019"/>
      <c r="C140" s="1020"/>
      <c r="D140" s="1021"/>
    </row>
    <row r="141" spans="2:4" ht="17.5" x14ac:dyDescent="0.25">
      <c r="B141" s="1019"/>
      <c r="C141" s="1020"/>
      <c r="D141" s="1021"/>
    </row>
    <row r="142" spans="2:4" ht="17.5" x14ac:dyDescent="0.25">
      <c r="B142" s="1019"/>
      <c r="C142" s="1020"/>
      <c r="D142" s="1021"/>
    </row>
    <row r="143" spans="2:4" ht="17.5" x14ac:dyDescent="0.25">
      <c r="B143" s="1019"/>
      <c r="C143" s="1020"/>
      <c r="D143" s="1021"/>
    </row>
    <row r="144" spans="2:4" ht="17.5" x14ac:dyDescent="0.25">
      <c r="B144" s="1019"/>
      <c r="C144" s="1020"/>
      <c r="D144" s="1021"/>
    </row>
    <row r="145" spans="2:4" ht="17.5" x14ac:dyDescent="0.25">
      <c r="B145" s="1019"/>
      <c r="C145" s="1020"/>
      <c r="D145" s="1021"/>
    </row>
    <row r="146" spans="2:4" ht="17.5" x14ac:dyDescent="0.25">
      <c r="B146" s="1019"/>
      <c r="C146" s="1020"/>
      <c r="D146" s="1021"/>
    </row>
    <row r="147" spans="2:4" ht="17.5" x14ac:dyDescent="0.25">
      <c r="B147" s="1019"/>
      <c r="C147" s="1020"/>
      <c r="D147" s="1021"/>
    </row>
    <row r="148" spans="2:4" ht="17.5" x14ac:dyDescent="0.25">
      <c r="B148" s="1019"/>
      <c r="C148" s="1020"/>
      <c r="D148" s="1021"/>
    </row>
    <row r="149" spans="2:4" ht="17.5" x14ac:dyDescent="0.25">
      <c r="B149" s="1019"/>
      <c r="C149" s="1020"/>
      <c r="D149" s="1021"/>
    </row>
    <row r="150" spans="2:4" ht="17.5" x14ac:dyDescent="0.25">
      <c r="B150" s="1019"/>
      <c r="C150" s="1020"/>
      <c r="D150" s="1021"/>
    </row>
    <row r="151" spans="2:4" ht="17.5" x14ac:dyDescent="0.25">
      <c r="B151" s="1019"/>
      <c r="C151" s="1020"/>
      <c r="D151" s="1021"/>
    </row>
    <row r="152" spans="2:4" ht="17.5" x14ac:dyDescent="0.25">
      <c r="B152" s="1019"/>
      <c r="C152" s="1020"/>
      <c r="D152" s="1021"/>
    </row>
    <row r="153" spans="2:4" ht="17.5" x14ac:dyDescent="0.25">
      <c r="B153" s="1019"/>
      <c r="C153" s="1020"/>
      <c r="D153" s="1021"/>
    </row>
    <row r="154" spans="2:4" ht="17.5" x14ac:dyDescent="0.25">
      <c r="B154" s="1019"/>
      <c r="C154" s="1020"/>
      <c r="D154" s="1021"/>
    </row>
    <row r="155" spans="2:4" ht="18" x14ac:dyDescent="0.4">
      <c r="B155" s="1019"/>
      <c r="D155" s="1018" t="s">
        <v>1662</v>
      </c>
    </row>
    <row r="156" spans="2:4" ht="19.5" customHeight="1" x14ac:dyDescent="0.25">
      <c r="B156" s="1019">
        <f>IF(AND(ISBLANK(C156),ISBLANK(D156)=FALSE),MAX(B$7:B155)+1,"")</f>
        <v>23</v>
      </c>
      <c r="C156" s="1020"/>
      <c r="D156" s="1021" t="s">
        <v>1663</v>
      </c>
    </row>
    <row r="157" spans="2:4" ht="35" x14ac:dyDescent="0.25">
      <c r="B157" s="1019">
        <f>IF(AND(ISBLANK(C157),ISBLANK(D157)=FALSE),MAX(B$7:B156)+1,"")</f>
        <v>24</v>
      </c>
      <c r="C157" s="1020"/>
      <c r="D157" s="1021" t="s">
        <v>1664</v>
      </c>
    </row>
    <row r="158" spans="2:4" ht="17.5" x14ac:dyDescent="0.25">
      <c r="B158" s="1019">
        <f>IF(AND(ISBLANK(C158),ISBLANK(D158)=FALSE),MAX(B$7:B157)+1,"")</f>
        <v>25</v>
      </c>
      <c r="C158" s="1020"/>
      <c r="D158" s="1021" t="s">
        <v>1665</v>
      </c>
    </row>
    <row r="159" spans="2:4" ht="17.5" x14ac:dyDescent="0.35">
      <c r="B159" s="1016"/>
      <c r="C159" s="1017"/>
      <c r="D159" s="1017"/>
    </row>
    <row r="160" spans="2:4" ht="17.5" x14ac:dyDescent="0.35">
      <c r="B160" s="1016"/>
      <c r="C160" s="1440"/>
      <c r="D160" s="1440"/>
    </row>
    <row r="161" spans="2:4" ht="30" customHeight="1" x14ac:dyDescent="0.4">
      <c r="B161" s="1016"/>
      <c r="C161" s="1018" t="s">
        <v>807</v>
      </c>
      <c r="D161" s="1018"/>
    </row>
    <row r="162" spans="2:4" ht="30" customHeight="1" x14ac:dyDescent="0.4">
      <c r="B162" s="1016"/>
      <c r="C162" s="1018"/>
      <c r="D162" s="1018"/>
    </row>
    <row r="163" spans="2:4" ht="18" x14ac:dyDescent="0.4">
      <c r="B163" s="1016"/>
      <c r="C163" s="1027" t="s">
        <v>1666</v>
      </c>
      <c r="D163" s="1018"/>
    </row>
    <row r="164" spans="2:4" ht="17.5" x14ac:dyDescent="0.35">
      <c r="B164" s="1016"/>
      <c r="C164" s="1028" t="s">
        <v>809</v>
      </c>
      <c r="D164" s="1017" t="s">
        <v>1667</v>
      </c>
    </row>
    <row r="165" spans="2:4" ht="18" x14ac:dyDescent="0.4">
      <c r="B165" s="1016"/>
      <c r="C165" s="1029"/>
      <c r="D165" s="1018"/>
    </row>
    <row r="166" spans="2:4" ht="18" x14ac:dyDescent="0.4">
      <c r="B166" s="1017"/>
      <c r="C166" s="1030" t="s">
        <v>1668</v>
      </c>
      <c r="D166" s="1018"/>
    </row>
    <row r="167" spans="2:4" ht="17.5" x14ac:dyDescent="0.35">
      <c r="B167" s="1017"/>
      <c r="C167" s="1028" t="s">
        <v>809</v>
      </c>
      <c r="D167" s="1017" t="s">
        <v>1669</v>
      </c>
    </row>
    <row r="168" spans="2:4" ht="35" x14ac:dyDescent="0.35">
      <c r="B168" s="1017"/>
      <c r="C168" s="1028" t="s">
        <v>809</v>
      </c>
      <c r="D168" s="1031" t="s">
        <v>1670</v>
      </c>
    </row>
    <row r="169" spans="2:4" ht="17.5" x14ac:dyDescent="0.35">
      <c r="B169" s="1017"/>
      <c r="C169" s="1028" t="s">
        <v>809</v>
      </c>
      <c r="D169" s="1032" t="s">
        <v>1671</v>
      </c>
    </row>
    <row r="170" spans="2:4" ht="17.5" x14ac:dyDescent="0.35">
      <c r="B170" s="1017"/>
      <c r="C170" s="1028" t="s">
        <v>809</v>
      </c>
      <c r="D170" s="1032" t="s">
        <v>1667</v>
      </c>
    </row>
    <row r="171" spans="2:4" ht="17.5" x14ac:dyDescent="0.35">
      <c r="B171" s="1017"/>
      <c r="C171" s="1028" t="s">
        <v>809</v>
      </c>
      <c r="D171" s="1017" t="s">
        <v>1672</v>
      </c>
    </row>
    <row r="172" spans="2:4" ht="17.5" x14ac:dyDescent="0.35">
      <c r="B172" s="1017"/>
      <c r="C172" s="1028" t="s">
        <v>809</v>
      </c>
      <c r="D172" s="1017" t="s">
        <v>1673</v>
      </c>
    </row>
    <row r="173" spans="2:4" ht="17.5" x14ac:dyDescent="0.35">
      <c r="B173" s="1017"/>
      <c r="C173" s="1016"/>
      <c r="D173" s="1017"/>
    </row>
    <row r="174" spans="2:4" ht="18" x14ac:dyDescent="0.4">
      <c r="B174" s="1017"/>
      <c r="C174" s="1033" t="s">
        <v>1674</v>
      </c>
      <c r="D174" s="1018"/>
    </row>
    <row r="175" spans="2:4" ht="17.5" x14ac:dyDescent="0.35">
      <c r="B175" s="1017"/>
      <c r="C175" s="1034" t="s">
        <v>809</v>
      </c>
      <c r="D175" s="1035" t="s">
        <v>1675</v>
      </c>
    </row>
    <row r="176" spans="2:4" ht="17.5" x14ac:dyDescent="0.35">
      <c r="B176" s="1017"/>
      <c r="C176" s="1034" t="s">
        <v>809</v>
      </c>
      <c r="D176" s="1035" t="s">
        <v>1676</v>
      </c>
    </row>
    <row r="177" spans="2:4" ht="17.5" x14ac:dyDescent="0.35">
      <c r="B177" s="1017"/>
      <c r="C177" s="1034" t="s">
        <v>809</v>
      </c>
      <c r="D177" s="1035" t="s">
        <v>1677</v>
      </c>
    </row>
    <row r="178" spans="2:4" ht="17.5" x14ac:dyDescent="0.35">
      <c r="B178" s="1017"/>
      <c r="C178" s="1034" t="s">
        <v>809</v>
      </c>
      <c r="D178" s="1036" t="s">
        <v>1678</v>
      </c>
    </row>
    <row r="179" spans="2:4" ht="18" x14ac:dyDescent="0.4">
      <c r="B179" s="1017"/>
      <c r="C179" s="1029"/>
      <c r="D179" s="1018"/>
    </row>
    <row r="180" spans="2:4" ht="17.5" x14ac:dyDescent="0.35">
      <c r="B180" s="1017"/>
      <c r="C180" s="1033" t="s">
        <v>1679</v>
      </c>
      <c r="D180" s="1037"/>
    </row>
    <row r="181" spans="2:4" ht="35" x14ac:dyDescent="0.35">
      <c r="B181" s="1017"/>
      <c r="C181" s="1034" t="s">
        <v>809</v>
      </c>
      <c r="D181" s="1035" t="s">
        <v>1680</v>
      </c>
    </row>
    <row r="182" spans="2:4" ht="17.5" x14ac:dyDescent="0.35">
      <c r="B182" s="1017"/>
      <c r="C182" s="1034" t="s">
        <v>809</v>
      </c>
      <c r="D182" s="1035" t="s">
        <v>1681</v>
      </c>
    </row>
    <row r="183" spans="2:4" ht="17.5" x14ac:dyDescent="0.35">
      <c r="B183" s="1017"/>
      <c r="C183" s="1034" t="s">
        <v>809</v>
      </c>
      <c r="D183" s="1036" t="s">
        <v>1682</v>
      </c>
    </row>
    <row r="184" spans="2:4" ht="17.5" x14ac:dyDescent="0.35">
      <c r="B184" s="1017"/>
      <c r="C184" s="1034" t="s">
        <v>809</v>
      </c>
      <c r="D184" s="1035" t="s">
        <v>1683</v>
      </c>
    </row>
    <row r="185" spans="2:4" ht="17.5" x14ac:dyDescent="0.35">
      <c r="B185" s="1017"/>
      <c r="C185" s="1034" t="s">
        <v>809</v>
      </c>
      <c r="D185" s="1036" t="s">
        <v>1684</v>
      </c>
    </row>
    <row r="186" spans="2:4" ht="17.5" x14ac:dyDescent="0.35">
      <c r="B186" s="1017"/>
      <c r="C186" s="1034" t="s">
        <v>809</v>
      </c>
      <c r="D186" s="1036" t="s">
        <v>1685</v>
      </c>
    </row>
    <row r="187" spans="2:4" ht="17.5" x14ac:dyDescent="0.35">
      <c r="B187" s="1017"/>
      <c r="C187" s="1034" t="s">
        <v>809</v>
      </c>
      <c r="D187" s="1036" t="s">
        <v>1678</v>
      </c>
    </row>
    <row r="188" spans="2:4" ht="18" x14ac:dyDescent="0.4">
      <c r="B188" s="1017"/>
      <c r="C188" s="1029"/>
      <c r="D188" s="1018"/>
    </row>
    <row r="189" spans="2:4" ht="18" x14ac:dyDescent="0.4">
      <c r="B189" s="1017"/>
      <c r="C189" s="1038" t="s">
        <v>1686</v>
      </c>
      <c r="D189" s="1018"/>
    </row>
    <row r="190" spans="2:4" ht="17.5" x14ac:dyDescent="0.35">
      <c r="B190" s="1017"/>
      <c r="C190" s="1039" t="s">
        <v>809</v>
      </c>
      <c r="D190" s="1032" t="s">
        <v>1687</v>
      </c>
    </row>
    <row r="191" spans="2:4" ht="17.5" x14ac:dyDescent="0.35">
      <c r="B191" s="1017"/>
      <c r="C191" s="1039" t="s">
        <v>809</v>
      </c>
      <c r="D191" s="1032" t="s">
        <v>1688</v>
      </c>
    </row>
    <row r="192" spans="2:4" ht="17.5" x14ac:dyDescent="0.35">
      <c r="B192" s="1017"/>
      <c r="C192" s="1039" t="s">
        <v>809</v>
      </c>
      <c r="D192" s="1032" t="s">
        <v>1689</v>
      </c>
    </row>
    <row r="193" spans="2:4" ht="18" x14ac:dyDescent="0.4">
      <c r="B193" s="1017"/>
      <c r="C193" s="1029"/>
      <c r="D193" s="1018"/>
    </row>
    <row r="194" spans="2:4" ht="18" x14ac:dyDescent="0.4">
      <c r="B194" s="1017"/>
      <c r="C194" s="1038" t="s">
        <v>1690</v>
      </c>
      <c r="D194" s="1018"/>
    </row>
    <row r="195" spans="2:4" ht="17.5" x14ac:dyDescent="0.35">
      <c r="B195" s="1017"/>
      <c r="C195" s="1039" t="s">
        <v>809</v>
      </c>
      <c r="D195" s="1017" t="s">
        <v>1691</v>
      </c>
    </row>
    <row r="196" spans="2:4" ht="17.5" x14ac:dyDescent="0.35">
      <c r="B196" s="1017"/>
      <c r="C196" s="1039" t="s">
        <v>809</v>
      </c>
      <c r="D196" s="1032" t="s">
        <v>1692</v>
      </c>
    </row>
    <row r="197" spans="2:4" ht="17.5" x14ac:dyDescent="0.35">
      <c r="B197" s="1017"/>
      <c r="C197" s="1039" t="s">
        <v>809</v>
      </c>
      <c r="D197" s="1032" t="s">
        <v>1693</v>
      </c>
    </row>
    <row r="198" spans="2:4" ht="18" x14ac:dyDescent="0.4">
      <c r="B198" s="1017"/>
      <c r="C198" s="1039"/>
      <c r="D198" s="1018"/>
    </row>
    <row r="199" spans="2:4" ht="17.5" x14ac:dyDescent="0.35">
      <c r="B199" s="1017"/>
      <c r="C199" s="1016" t="s">
        <v>848</v>
      </c>
      <c r="D199" s="1017"/>
    </row>
    <row r="200" spans="2:4" ht="14.25" customHeight="1" x14ac:dyDescent="0.35">
      <c r="B200" s="1017"/>
      <c r="C200" s="1039" t="s">
        <v>809</v>
      </c>
      <c r="D200" s="1017" t="s">
        <v>849</v>
      </c>
    </row>
    <row r="201" spans="2:4" ht="17.5" hidden="1" x14ac:dyDescent="0.35">
      <c r="B201" s="1017"/>
      <c r="C201" s="1016"/>
      <c r="D201" s="1017"/>
    </row>
    <row r="202" spans="2:4" ht="17.5" x14ac:dyDescent="0.35">
      <c r="B202" s="1017"/>
      <c r="C202" s="1017"/>
      <c r="D202" s="1017"/>
    </row>
    <row r="203" spans="2:4" s="1040" customFormat="1" ht="69.75" customHeight="1" x14ac:dyDescent="0.4">
      <c r="B203" s="1017"/>
      <c r="C203" s="1441" t="s">
        <v>1694</v>
      </c>
      <c r="D203" s="1442"/>
    </row>
    <row r="204" spans="2:4" ht="56.25" customHeight="1" x14ac:dyDescent="0.25">
      <c r="B204" s="1041"/>
      <c r="C204" s="1656" t="s">
        <v>1695</v>
      </c>
      <c r="D204" s="1656"/>
    </row>
  </sheetData>
  <sheetProtection selectLockedCells="1" autoFilter="0" selectUnlockedCells="1"/>
  <mergeCells count="1">
    <mergeCell ref="C204:D204"/>
  </mergeCells>
  <pageMargins left="0.25" right="0.25" top="0.75" bottom="0.75" header="0.3" footer="0.3"/>
  <pageSetup paperSize="9" scale="58" fitToHeight="0" orientation="portrait" r:id="rId1"/>
  <headerFooter alignWithMargins="0">
    <oddFooter>&amp;L&amp;"Arial,Italic"ABCB Lighting Calculator v2.20 • Help screen printout&amp;R&amp;"Arial,Italic"page &amp;P of &amp;N</oddFooter>
  </headerFooter>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6" filterMode="1">
    <tabColor theme="4"/>
    <pageSetUpPr fitToPage="1"/>
  </sheetPr>
  <dimension ref="A1:DN233"/>
  <sheetViews>
    <sheetView showGridLines="0" topLeftCell="B1" zoomScale="70" zoomScaleNormal="70" workbookViewId="0">
      <selection activeCell="E31" sqref="E31"/>
    </sheetView>
  </sheetViews>
  <sheetFormatPr defaultColWidth="7.58203125" defaultRowHeight="12.5" x14ac:dyDescent="0.25"/>
  <cols>
    <col min="1" max="1" width="6.08203125" style="168" hidden="1" customWidth="1"/>
    <col min="2" max="2" width="2.33203125" style="168" customWidth="1"/>
    <col min="3" max="3" width="3.83203125" style="569" customWidth="1"/>
    <col min="4" max="4" width="22.33203125" style="168" customWidth="1"/>
    <col min="5" max="5" width="19.58203125" style="168" customWidth="1"/>
    <col min="6" max="6" width="16.33203125" style="168" customWidth="1"/>
    <col min="7" max="7" width="26" style="168" customWidth="1"/>
    <col min="8" max="9" width="10.83203125" style="168" customWidth="1"/>
    <col min="10" max="10" width="21.58203125" style="508" customWidth="1"/>
    <col min="11" max="12" width="11.5" style="508" customWidth="1"/>
    <col min="13" max="13" width="19" style="508" customWidth="1"/>
    <col min="14" max="14" width="14.08203125" style="168" customWidth="1"/>
    <col min="15" max="15" width="12.58203125" style="168" customWidth="1"/>
    <col min="16" max="16" width="20.08203125" style="168" customWidth="1" collapsed="1"/>
    <col min="17" max="17" width="12.08203125" style="168" customWidth="1"/>
    <col min="18" max="18" width="10.08203125" style="168" hidden="1" customWidth="1"/>
    <col min="19" max="19" width="10.58203125" style="168" hidden="1" customWidth="1"/>
    <col min="20" max="23" width="9.58203125" style="168" hidden="1" customWidth="1"/>
    <col min="24" max="25" width="9.58203125" style="570" hidden="1" customWidth="1"/>
    <col min="26" max="41" width="9.58203125" style="168" hidden="1" customWidth="1"/>
    <col min="42" max="42" width="8" style="168" hidden="1" customWidth="1" collapsed="1"/>
    <col min="43" max="43" width="12.58203125" style="168" hidden="1" customWidth="1"/>
    <col min="44" max="45" width="9.58203125" style="168" hidden="1" customWidth="1"/>
    <col min="46" max="46" width="8.58203125" style="168" hidden="1" customWidth="1"/>
    <col min="47" max="47" width="9.83203125" style="168" hidden="1" customWidth="1"/>
    <col min="48" max="48" width="57.08203125" style="168" hidden="1" customWidth="1"/>
    <col min="49" max="49" width="9.58203125" style="168" hidden="1" customWidth="1"/>
    <col min="50" max="50" width="54.83203125" style="168" hidden="1" customWidth="1"/>
    <col min="51" max="51" width="7.33203125" style="168" hidden="1" customWidth="1"/>
    <col min="52" max="53" width="9.08203125" style="168" hidden="1" customWidth="1"/>
    <col min="54" max="54" width="31.58203125" style="508" hidden="1" customWidth="1"/>
    <col min="55" max="56" width="31.58203125" style="168" hidden="1" customWidth="1"/>
    <col min="57" max="57" width="36.58203125" style="168" hidden="1" customWidth="1"/>
    <col min="58" max="60" width="12" style="168" hidden="1" customWidth="1"/>
    <col min="61" max="61" width="10.58203125" style="168" hidden="1" customWidth="1"/>
    <col min="62" max="62" width="12.83203125" style="168" hidden="1" customWidth="1"/>
    <col min="63" max="67" width="10.58203125" style="168" hidden="1" customWidth="1"/>
    <col min="68" max="68" width="10.5" style="571" hidden="1" customWidth="1"/>
    <col min="69" max="69" width="10.5" style="168" hidden="1" customWidth="1"/>
    <col min="70" max="70" width="13.08203125" style="168" hidden="1" customWidth="1"/>
    <col min="71" max="71" width="2.33203125" style="168" hidden="1" customWidth="1"/>
    <col min="72" max="72" width="9.33203125" style="168" hidden="1" customWidth="1"/>
    <col min="73" max="73" width="2.33203125" style="168" hidden="1" customWidth="1"/>
    <col min="74" max="75" width="5.5" style="168" hidden="1" customWidth="1"/>
    <col min="76" max="76" width="8" style="168" hidden="1" customWidth="1"/>
    <col min="77" max="77" width="3.83203125" style="168" customWidth="1"/>
    <col min="78" max="78" width="26" style="168" customWidth="1"/>
    <col min="79" max="79" width="23.08203125" style="168" customWidth="1"/>
    <col min="80" max="80" width="24.08203125" style="168" customWidth="1"/>
    <col min="81" max="81" width="19.33203125" style="168" customWidth="1"/>
    <col min="82" max="82" width="25" style="168" customWidth="1"/>
    <col min="83" max="83" width="5.33203125" style="168" customWidth="1"/>
    <col min="84" max="84" width="14.33203125" style="168" customWidth="1"/>
    <col min="85" max="85" width="46.08203125" style="168" customWidth="1"/>
    <col min="86" max="86" width="16" style="168" customWidth="1"/>
    <col min="87" max="88" width="10" style="168" customWidth="1"/>
    <col min="89" max="89" width="16.08203125" style="168" customWidth="1"/>
    <col min="90" max="90" width="2.08203125" style="168" customWidth="1"/>
    <col min="91" max="91" width="2" style="168" customWidth="1"/>
    <col min="92" max="97" width="7.58203125" style="168" customWidth="1"/>
    <col min="98" max="108" width="7.58203125" style="168" hidden="1" customWidth="1"/>
    <col min="109" max="109" width="8.83203125" style="168" hidden="1" customWidth="1"/>
    <col min="110" max="118" width="7.58203125" style="168" hidden="1" customWidth="1"/>
    <col min="119" max="119" width="8.5" style="168" customWidth="1"/>
    <col min="120" max="16384" width="7.58203125" style="168"/>
  </cols>
  <sheetData>
    <row r="1" spans="1:114" ht="14" x14ac:dyDescent="0.3">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row>
    <row r="2" spans="1:114" ht="14" x14ac:dyDescent="0.3">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row>
    <row r="3" spans="1:114" ht="14" x14ac:dyDescent="0.3">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row>
    <row r="4" spans="1:114" ht="14" x14ac:dyDescent="0.3">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row>
    <row r="5" spans="1:114" ht="14" x14ac:dyDescent="0.3">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row>
    <row r="6" spans="1:114" ht="14" x14ac:dyDescent="0.3">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row>
    <row r="7" spans="1:114" ht="40" customHeight="1" x14ac:dyDescent="0.35">
      <c r="A7" s="175"/>
      <c r="B7" s="858"/>
      <c r="C7" s="859"/>
      <c r="D7" s="858"/>
      <c r="E7" s="858"/>
      <c r="F7" s="858"/>
      <c r="G7" s="858"/>
      <c r="H7" s="858"/>
      <c r="I7" s="858"/>
      <c r="J7" s="860"/>
      <c r="K7" s="860"/>
      <c r="L7" s="860"/>
      <c r="M7" s="860"/>
      <c r="N7" s="860"/>
      <c r="O7" s="1657"/>
      <c r="P7" s="1658"/>
      <c r="Q7" s="858"/>
      <c r="R7" s="573" t="s">
        <v>1696</v>
      </c>
      <c r="U7" s="570"/>
      <c r="X7" s="168"/>
      <c r="Y7" s="168"/>
      <c r="AV7" s="508"/>
      <c r="BB7" s="168"/>
      <c r="BJ7" s="571"/>
      <c r="BP7" s="168"/>
      <c r="BU7" s="572"/>
      <c r="BV7" s="175"/>
      <c r="BW7" s="140"/>
      <c r="BX7" s="140"/>
      <c r="BY7" s="861"/>
      <c r="BZ7" s="861"/>
      <c r="CA7" s="861"/>
      <c r="CB7" s="861"/>
      <c r="CC7" s="861"/>
      <c r="CD7" s="861"/>
      <c r="CE7" s="858"/>
      <c r="CF7" s="140"/>
      <c r="CG7" s="140"/>
      <c r="CH7" s="140"/>
      <c r="CI7" s="140"/>
      <c r="CJ7" s="140"/>
      <c r="CK7" s="140"/>
      <c r="CL7" s="140"/>
      <c r="CM7" s="140"/>
      <c r="CN7" s="140"/>
      <c r="CO7" s="140"/>
      <c r="CP7" s="140"/>
      <c r="CQ7" s="140"/>
      <c r="CR7" s="140"/>
      <c r="CS7" s="140"/>
    </row>
    <row r="8" spans="1:114" ht="12.75" hidden="1" customHeight="1" x14ac:dyDescent="0.25">
      <c r="A8" s="175"/>
      <c r="P8" s="140"/>
      <c r="Q8" s="140"/>
      <c r="U8" s="570"/>
      <c r="X8" s="168"/>
      <c r="Y8" s="168"/>
      <c r="AV8" s="508"/>
      <c r="BB8" s="168"/>
      <c r="BJ8" s="571"/>
      <c r="BP8" s="168"/>
      <c r="BU8" s="572"/>
      <c r="BV8" s="175"/>
      <c r="BW8" s="175"/>
      <c r="BX8" s="175"/>
      <c r="BY8" s="175"/>
      <c r="BZ8" s="175"/>
      <c r="CA8" s="175"/>
      <c r="CB8" s="175"/>
      <c r="CC8" s="175"/>
      <c r="CD8" s="175"/>
      <c r="CE8" s="175"/>
      <c r="CF8" s="175"/>
      <c r="CG8" s="175"/>
      <c r="CH8" s="175"/>
      <c r="CI8" s="175"/>
      <c r="CJ8" s="175"/>
      <c r="CK8" s="175"/>
      <c r="CL8" s="175"/>
      <c r="CM8" s="175"/>
      <c r="CN8" s="175"/>
      <c r="CO8" s="175"/>
      <c r="CP8" s="175"/>
      <c r="CQ8" s="175"/>
      <c r="CR8" s="175"/>
      <c r="CS8" s="175"/>
    </row>
    <row r="9" spans="1:114" ht="12.75" hidden="1" customHeight="1" x14ac:dyDescent="0.25">
      <c r="A9" s="175"/>
      <c r="U9" s="570"/>
      <c r="X9" s="168"/>
      <c r="Y9" s="168"/>
      <c r="AV9" s="508"/>
      <c r="BB9" s="168"/>
      <c r="BJ9" s="571"/>
      <c r="BP9" s="168"/>
      <c r="BU9" s="572"/>
      <c r="BV9" s="175"/>
      <c r="BW9" s="175"/>
      <c r="BX9" s="175"/>
      <c r="BY9" s="175"/>
      <c r="BZ9" s="175"/>
      <c r="CA9" s="175"/>
      <c r="CB9" s="175"/>
      <c r="CC9" s="175"/>
      <c r="CD9" s="175"/>
      <c r="CE9" s="175"/>
      <c r="CF9" s="175"/>
      <c r="CG9" s="175"/>
      <c r="CH9" s="175"/>
      <c r="CI9" s="175"/>
      <c r="CJ9" s="175"/>
      <c r="CK9" s="175"/>
      <c r="CL9" s="175"/>
      <c r="CM9" s="175"/>
      <c r="CN9" s="175"/>
      <c r="CO9" s="175"/>
      <c r="CP9" s="175"/>
      <c r="CQ9" s="175"/>
      <c r="CR9" s="175"/>
      <c r="CS9" s="175"/>
    </row>
    <row r="10" spans="1:114" ht="12.75" hidden="1" customHeight="1" x14ac:dyDescent="0.25">
      <c r="A10" s="175"/>
      <c r="U10" s="570"/>
      <c r="X10" s="168"/>
      <c r="Y10" s="168"/>
      <c r="AV10" s="508"/>
      <c r="BB10" s="168"/>
      <c r="BJ10" s="571"/>
      <c r="BP10" s="168"/>
      <c r="BU10" s="572"/>
      <c r="BV10" s="175"/>
      <c r="BW10" s="175"/>
      <c r="BX10" s="175"/>
      <c r="BY10" s="175"/>
      <c r="BZ10" s="175"/>
      <c r="CA10" s="175"/>
      <c r="CB10" s="175"/>
      <c r="CC10" s="175"/>
      <c r="CD10" s="175"/>
      <c r="CE10" s="175"/>
      <c r="CF10" s="175"/>
      <c r="CG10" s="175"/>
      <c r="CH10" s="175"/>
      <c r="CI10" s="175"/>
      <c r="CJ10" s="175"/>
      <c r="CK10" s="175"/>
      <c r="CL10" s="175"/>
      <c r="CM10" s="175"/>
      <c r="CN10" s="175"/>
      <c r="CO10" s="175"/>
      <c r="CP10" s="175"/>
      <c r="CQ10" s="175"/>
      <c r="CR10" s="175"/>
      <c r="CS10" s="175"/>
    </row>
    <row r="11" spans="1:114" x14ac:dyDescent="0.25">
      <c r="U11" s="570"/>
      <c r="X11" s="168"/>
      <c r="Y11" s="168"/>
      <c r="AV11" s="508"/>
      <c r="BB11" s="168"/>
      <c r="BJ11" s="571"/>
      <c r="BP11" s="168"/>
    </row>
    <row r="12" spans="1:114" ht="18" x14ac:dyDescent="0.4">
      <c r="A12" s="175"/>
      <c r="B12" s="150"/>
      <c r="C12" s="180"/>
      <c r="D12" s="1659" t="str">
        <f>IF(NOT(J100),"Building name/description","")</f>
        <v>Building name/description</v>
      </c>
      <c r="E12" s="1660"/>
      <c r="F12" s="1660"/>
      <c r="G12" s="1660"/>
      <c r="H12" s="1660"/>
      <c r="I12" s="1660"/>
      <c r="J12" s="1660"/>
      <c r="K12" s="928"/>
      <c r="L12" s="1661" t="str">
        <f>IF(NOT(J102),"Classification","")</f>
        <v>Classification</v>
      </c>
      <c r="M12" s="1662"/>
      <c r="N12" s="1663" t="str">
        <f>IF(ClassificationTwo=Class10,"This calculator is not applicable to Classes 10b or 10c.","")</f>
        <v/>
      </c>
      <c r="O12" s="1664"/>
      <c r="P12" s="1664"/>
      <c r="Q12" s="150"/>
      <c r="S12" s="168" t="b">
        <f>OR(ISNUMBER(R30))</f>
        <v>0</v>
      </c>
      <c r="U12" s="570"/>
      <c r="X12" s="168"/>
      <c r="Y12" s="168"/>
      <c r="AV12" s="508"/>
      <c r="BB12" s="168"/>
      <c r="BJ12" s="571"/>
      <c r="BP12" s="168"/>
      <c r="BU12" s="572"/>
      <c r="BV12" s="175"/>
      <c r="BW12" s="140"/>
      <c r="BX12" s="140"/>
      <c r="BY12" s="150"/>
      <c r="BZ12" s="150"/>
      <c r="CA12" s="150"/>
      <c r="CB12" s="150"/>
      <c r="CC12" s="150"/>
      <c r="CD12" s="150"/>
      <c r="CE12" s="140"/>
      <c r="CF12" s="140"/>
      <c r="CG12" s="140"/>
      <c r="CH12" s="140"/>
      <c r="CI12" s="140"/>
      <c r="CJ12" s="140"/>
      <c r="CK12" s="140"/>
      <c r="CL12" s="140"/>
      <c r="CM12" s="140"/>
      <c r="CN12" s="140"/>
      <c r="CO12" s="140"/>
      <c r="CP12" s="140"/>
      <c r="CQ12" s="140"/>
      <c r="CR12" s="140"/>
      <c r="CS12" s="140"/>
      <c r="DJ12" s="576" t="s">
        <v>1697</v>
      </c>
    </row>
    <row r="13" spans="1:114" ht="17.5" x14ac:dyDescent="0.35">
      <c r="A13" s="175"/>
      <c r="B13" s="150"/>
      <c r="C13" s="180"/>
      <c r="D13" s="1665">
        <f>Home!H17</f>
        <v>0</v>
      </c>
      <c r="E13" s="1666"/>
      <c r="F13" s="1666"/>
      <c r="G13" s="1666"/>
      <c r="H13" s="1666"/>
      <c r="I13" s="1666"/>
      <c r="J13" s="1666"/>
      <c r="K13" s="929"/>
      <c r="L13" s="1665" t="str">
        <f>INDEX(D_List!$Z$9:$Z$11,MATCH(D_List!AA14,D_List!$AA$9:$AA$11,0))</f>
        <v>Class 1</v>
      </c>
      <c r="M13" s="1667"/>
      <c r="N13" s="1663"/>
      <c r="O13" s="1664"/>
      <c r="P13" s="1664"/>
      <c r="Q13" s="150"/>
      <c r="U13" s="570"/>
      <c r="X13" s="168"/>
      <c r="Y13" s="168"/>
      <c r="AV13" s="508"/>
      <c r="BB13" s="168"/>
      <c r="BJ13" s="571"/>
      <c r="BP13" s="168"/>
      <c r="BU13" s="572"/>
      <c r="BV13" s="175"/>
      <c r="BW13" s="140"/>
      <c r="BX13" s="140"/>
      <c r="BY13" s="150"/>
      <c r="BZ13" s="150"/>
      <c r="CA13" s="150"/>
      <c r="CB13" s="150"/>
      <c r="CC13" s="150"/>
      <c r="CD13" s="150"/>
      <c r="CE13" s="140"/>
      <c r="CF13" s="140"/>
      <c r="CG13" s="140"/>
      <c r="CH13" s="140"/>
      <c r="CI13" s="140"/>
      <c r="CJ13" s="140"/>
      <c r="CK13" s="140"/>
      <c r="CL13" s="140"/>
      <c r="CM13" s="140"/>
      <c r="CN13" s="140"/>
      <c r="CO13" s="140"/>
      <c r="CP13" s="140"/>
      <c r="CQ13" s="140"/>
      <c r="CR13" s="140"/>
      <c r="CS13" s="140"/>
      <c r="DJ13" s="577" t="b">
        <f>COUNTA(DescriptionTwo,ClassificationTwo)=2</f>
        <v>1</v>
      </c>
    </row>
    <row r="14" spans="1:114" ht="6" customHeight="1" x14ac:dyDescent="0.35">
      <c r="A14" s="175"/>
      <c r="B14" s="150"/>
      <c r="C14" s="180"/>
      <c r="D14" s="150"/>
      <c r="E14" s="150"/>
      <c r="F14" s="150"/>
      <c r="G14" s="150"/>
      <c r="H14" s="150"/>
      <c r="I14" s="150"/>
      <c r="J14" s="578"/>
      <c r="K14" s="578"/>
      <c r="L14" s="578"/>
      <c r="M14" s="578"/>
      <c r="N14" s="150"/>
      <c r="O14" s="150"/>
      <c r="P14" s="150"/>
      <c r="Q14" s="150"/>
      <c r="S14" s="168" t="s">
        <v>34</v>
      </c>
      <c r="U14" s="570"/>
      <c r="X14" s="168"/>
      <c r="Y14" s="168"/>
      <c r="AV14" s="508"/>
      <c r="BB14" s="168"/>
      <c r="BJ14" s="571"/>
      <c r="BP14" s="168"/>
      <c r="BU14" s="572"/>
      <c r="BV14" s="175"/>
      <c r="BW14" s="140"/>
      <c r="BX14" s="140"/>
      <c r="BY14" s="150"/>
      <c r="BZ14" s="150"/>
      <c r="CA14" s="150"/>
      <c r="CB14" s="150"/>
      <c r="CC14" s="150"/>
      <c r="CD14" s="150"/>
      <c r="CE14" s="140"/>
      <c r="CF14" s="140"/>
      <c r="CG14" s="140"/>
      <c r="CH14" s="140"/>
      <c r="CI14" s="140"/>
      <c r="CJ14" s="140"/>
      <c r="CK14" s="140"/>
      <c r="CL14" s="140"/>
      <c r="CM14" s="140"/>
      <c r="CN14" s="140"/>
      <c r="CO14" s="140"/>
      <c r="CP14" s="140"/>
      <c r="CQ14" s="140"/>
      <c r="CR14" s="140"/>
      <c r="CS14" s="140"/>
    </row>
    <row r="15" spans="1:114" ht="12.75" hidden="1" customHeight="1" x14ac:dyDescent="0.25">
      <c r="A15" s="175"/>
      <c r="U15" s="570"/>
      <c r="X15" s="168"/>
      <c r="Y15" s="168"/>
      <c r="AV15" s="508"/>
      <c r="BB15" s="168"/>
      <c r="BJ15" s="571"/>
      <c r="BP15" s="168"/>
      <c r="BU15" s="572"/>
      <c r="BV15" s="175"/>
      <c r="BW15" s="175"/>
      <c r="CF15" s="572"/>
      <c r="CG15" s="175"/>
      <c r="CH15" s="175"/>
      <c r="CI15" s="175"/>
      <c r="CJ15" s="175"/>
      <c r="CK15" s="175"/>
      <c r="CL15" s="175"/>
      <c r="CM15" s="175"/>
      <c r="CN15" s="175"/>
      <c r="CO15" s="175"/>
      <c r="CP15" s="175"/>
      <c r="CQ15" s="175"/>
      <c r="CR15" s="175"/>
      <c r="CS15" s="175"/>
    </row>
    <row r="16" spans="1:114" ht="12.75" hidden="1" customHeight="1" x14ac:dyDescent="0.25">
      <c r="A16" s="175"/>
      <c r="U16" s="570"/>
      <c r="X16" s="168"/>
      <c r="Y16" s="168"/>
      <c r="AV16" s="508"/>
      <c r="BB16" s="168"/>
      <c r="BJ16" s="571"/>
      <c r="BP16" s="168"/>
      <c r="BU16" s="572"/>
      <c r="BV16" s="175"/>
      <c r="BW16" s="175"/>
      <c r="CF16" s="572"/>
      <c r="CG16" s="175"/>
      <c r="CH16" s="175"/>
      <c r="CI16" s="175"/>
      <c r="CJ16" s="175"/>
      <c r="CK16" s="175"/>
      <c r="CL16" s="175"/>
      <c r="CM16" s="175"/>
      <c r="CN16" s="175"/>
      <c r="CO16" s="175"/>
      <c r="CP16" s="175"/>
      <c r="CQ16" s="175"/>
      <c r="CR16" s="175"/>
      <c r="CS16" s="175"/>
    </row>
    <row r="17" spans="1:115" ht="12.75" hidden="1" customHeight="1" x14ac:dyDescent="0.25">
      <c r="A17" s="175"/>
      <c r="U17" s="570"/>
      <c r="X17" s="168"/>
      <c r="Y17" s="168"/>
      <c r="AV17" s="508"/>
      <c r="BB17" s="168"/>
      <c r="BJ17" s="571"/>
      <c r="BP17" s="168"/>
      <c r="BU17" s="572"/>
      <c r="BV17" s="175"/>
      <c r="BW17" s="175"/>
      <c r="CF17" s="572"/>
      <c r="CG17" s="175"/>
      <c r="CH17" s="175"/>
      <c r="CI17" s="175"/>
      <c r="CJ17" s="175"/>
      <c r="CK17" s="175"/>
      <c r="CL17" s="175"/>
      <c r="CM17" s="175"/>
      <c r="CN17" s="175"/>
      <c r="CO17" s="175"/>
      <c r="CP17" s="175"/>
      <c r="CQ17" s="175"/>
      <c r="CR17" s="175"/>
      <c r="CS17" s="175"/>
    </row>
    <row r="18" spans="1:115" ht="12.75" hidden="1" customHeight="1" x14ac:dyDescent="0.25">
      <c r="A18" s="175"/>
      <c r="U18" s="570"/>
      <c r="X18" s="168"/>
      <c r="Y18" s="168"/>
      <c r="AV18" s="508"/>
      <c r="BB18" s="168"/>
      <c r="BJ18" s="571"/>
      <c r="BN18" s="1443" t="s">
        <v>1698</v>
      </c>
      <c r="BO18" s="1444"/>
      <c r="BP18" s="1445">
        <f>G20</f>
        <v>10</v>
      </c>
      <c r="BU18" s="572"/>
      <c r="BV18" s="175"/>
      <c r="BW18" s="175"/>
      <c r="CF18" s="572"/>
      <c r="CG18" s="175"/>
      <c r="CH18" s="175"/>
      <c r="CI18" s="175"/>
      <c r="CJ18" s="175"/>
      <c r="CK18" s="175"/>
      <c r="CL18" s="175"/>
      <c r="CM18" s="175"/>
      <c r="CN18" s="175"/>
      <c r="CO18" s="175"/>
      <c r="CP18" s="175"/>
      <c r="CQ18" s="175"/>
      <c r="CR18" s="175"/>
      <c r="CS18" s="175"/>
    </row>
    <row r="19" spans="1:115" ht="12.75" hidden="1" customHeight="1" x14ac:dyDescent="0.25">
      <c r="A19" s="175"/>
      <c r="U19" s="570"/>
      <c r="X19" s="168"/>
      <c r="Y19" s="168"/>
      <c r="AV19" s="508"/>
      <c r="BB19" s="168"/>
      <c r="BJ19" s="571"/>
      <c r="BN19" s="930" t="s">
        <v>132</v>
      </c>
      <c r="BO19" s="1446"/>
      <c r="BP19" s="932">
        <f>SUBTOTAL(2,BP30:BP69)</f>
        <v>10</v>
      </c>
      <c r="BU19" s="572"/>
      <c r="BV19" s="175"/>
      <c r="BW19" s="175"/>
      <c r="CF19" s="572"/>
      <c r="CG19" s="175"/>
      <c r="CH19" s="175"/>
      <c r="CI19" s="175"/>
      <c r="CJ19" s="175"/>
      <c r="CK19" s="175"/>
      <c r="CL19" s="175"/>
      <c r="CM19" s="175"/>
      <c r="CN19" s="175"/>
      <c r="CO19" s="175"/>
      <c r="CP19" s="175"/>
      <c r="CQ19" s="175"/>
      <c r="CR19" s="175"/>
      <c r="CS19" s="175"/>
    </row>
    <row r="20" spans="1:115" ht="27" customHeight="1" x14ac:dyDescent="0.35">
      <c r="A20" s="175"/>
      <c r="B20" s="150"/>
      <c r="C20" s="180"/>
      <c r="D20" s="1668" t="s">
        <v>1699</v>
      </c>
      <c r="E20" s="1669"/>
      <c r="F20" s="1670"/>
      <c r="G20" s="1447">
        <v>10</v>
      </c>
      <c r="H20" s="1671" t="str">
        <f>IF(RowsPreferredTwo=RowsShownTwo,"
(as currently displayed)",IF(RowsPreferredTwo&lt;RowsFilledTwo,"The number entered will hide rows containing data. Try again.",IF(RowsPreferredTwo&lt;&gt;RowsShownTwo,"Click arrow beside 'ID' and select only '"&amp;RowsPreferredTwo&amp;"' from drop down list","")))</f>
        <v xml:space="preserve">
(as currently displayed)</v>
      </c>
      <c r="I20" s="1671"/>
      <c r="J20" s="1671"/>
      <c r="K20" s="1671"/>
      <c r="L20" s="1671"/>
      <c r="M20" s="1671"/>
      <c r="N20" s="150"/>
      <c r="O20" s="150"/>
      <c r="P20" s="150"/>
      <c r="Q20" s="150"/>
      <c r="U20" s="570"/>
      <c r="X20" s="168"/>
      <c r="Y20" s="168"/>
      <c r="AV20" s="508"/>
      <c r="BB20" s="168"/>
      <c r="BJ20" s="571"/>
      <c r="BP20" s="168"/>
      <c r="BU20" s="572"/>
      <c r="BV20" s="175"/>
      <c r="BW20" s="140"/>
      <c r="BX20" s="140"/>
      <c r="BY20" s="579"/>
      <c r="BZ20" s="579"/>
      <c r="CA20" s="579"/>
      <c r="CB20" s="579"/>
      <c r="CC20" s="579"/>
      <c r="CD20" s="579"/>
      <c r="CE20" s="140"/>
      <c r="CF20" s="140"/>
      <c r="CG20" s="140"/>
      <c r="CH20" s="140"/>
      <c r="CI20" s="140"/>
      <c r="CJ20" s="140"/>
      <c r="CK20" s="140"/>
      <c r="CL20" s="140"/>
      <c r="CM20" s="140"/>
      <c r="CN20" s="140"/>
      <c r="CO20" s="140"/>
      <c r="CP20" s="140"/>
      <c r="CQ20" s="140"/>
      <c r="CR20" s="140"/>
      <c r="CS20" s="140"/>
    </row>
    <row r="21" spans="1:115" ht="23.25" customHeight="1" x14ac:dyDescent="0.35">
      <c r="A21" s="175"/>
      <c r="B21" s="150"/>
      <c r="C21" s="180"/>
      <c r="D21" s="150"/>
      <c r="E21" s="150"/>
      <c r="F21" s="150"/>
      <c r="G21" s="150"/>
      <c r="H21" s="150"/>
      <c r="I21" s="150"/>
      <c r="J21" s="578"/>
      <c r="K21" s="578"/>
      <c r="L21" s="578"/>
      <c r="M21" s="578"/>
      <c r="N21" s="150"/>
      <c r="O21" s="150"/>
      <c r="P21" s="150"/>
      <c r="Q21" s="150"/>
      <c r="U21" s="570"/>
      <c r="X21" s="168"/>
      <c r="Y21" s="168"/>
      <c r="AV21" s="508"/>
      <c r="BB21" s="168"/>
      <c r="BJ21" s="571"/>
      <c r="BP21" s="168"/>
      <c r="BU21" s="572"/>
      <c r="BV21" s="175"/>
      <c r="BW21" s="140"/>
      <c r="BX21" s="140"/>
      <c r="BY21" s="150"/>
      <c r="BZ21" s="150"/>
      <c r="CA21" s="150"/>
      <c r="CB21" s="150"/>
      <c r="CC21" s="150"/>
      <c r="CD21" s="150"/>
      <c r="CE21" s="140"/>
      <c r="CF21" s="140"/>
      <c r="CG21" s="140"/>
      <c r="CH21" s="140"/>
      <c r="CI21" s="140"/>
      <c r="CJ21" s="140"/>
      <c r="CK21" s="140"/>
      <c r="CL21" s="140"/>
      <c r="CM21" s="140"/>
      <c r="CN21" s="140"/>
      <c r="CO21" s="140"/>
      <c r="CP21" s="140"/>
      <c r="CQ21" s="140"/>
      <c r="CR21" s="140"/>
      <c r="CS21" s="140"/>
    </row>
    <row r="22" spans="1:115" ht="4" customHeight="1" x14ac:dyDescent="0.35">
      <c r="A22" s="175"/>
      <c r="B22" s="150"/>
      <c r="C22" s="180"/>
      <c r="D22" s="150"/>
      <c r="E22" s="150"/>
      <c r="F22" s="150"/>
      <c r="G22" s="150"/>
      <c r="H22" s="150"/>
      <c r="I22" s="150"/>
      <c r="J22" s="578"/>
      <c r="K22" s="578"/>
      <c r="L22" s="578"/>
      <c r="M22" s="578"/>
      <c r="N22" s="578"/>
      <c r="O22" s="578"/>
      <c r="P22" s="578"/>
      <c r="Q22" s="150"/>
      <c r="U22" s="570"/>
      <c r="X22" s="168"/>
      <c r="Y22" s="168"/>
      <c r="AV22" s="508"/>
      <c r="BB22" s="168"/>
      <c r="BJ22" s="571"/>
      <c r="BP22" s="168"/>
      <c r="BU22" s="572"/>
      <c r="BV22" s="175"/>
      <c r="BW22" s="140"/>
      <c r="BX22" s="140"/>
      <c r="BY22" s="150"/>
      <c r="BZ22" s="150"/>
      <c r="CA22" s="150"/>
      <c r="CB22" s="150"/>
      <c r="CC22" s="150"/>
      <c r="CD22" s="150"/>
      <c r="CE22" s="140"/>
      <c r="CF22" s="140"/>
      <c r="CG22" s="140"/>
      <c r="CH22" s="140"/>
      <c r="CI22" s="140"/>
      <c r="CJ22" s="140"/>
      <c r="CK22" s="140"/>
      <c r="CL22" s="140"/>
      <c r="CM22" s="140"/>
      <c r="CN22" s="140"/>
      <c r="CO22" s="140"/>
      <c r="CP22" s="140"/>
      <c r="CQ22" s="140"/>
      <c r="CR22" s="140"/>
      <c r="CS22" s="140"/>
    </row>
    <row r="23" spans="1:115" ht="13" customHeight="1" x14ac:dyDescent="0.35">
      <c r="A23" s="175"/>
      <c r="B23" s="150"/>
      <c r="C23" s="180"/>
      <c r="D23" s="150"/>
      <c r="E23" s="150"/>
      <c r="F23" s="150"/>
      <c r="G23" s="150"/>
      <c r="H23" s="150"/>
      <c r="I23" s="150"/>
      <c r="J23" s="578"/>
      <c r="K23" s="578"/>
      <c r="L23" s="578"/>
      <c r="M23" s="578"/>
      <c r="N23" s="1672"/>
      <c r="O23" s="1672"/>
      <c r="P23" s="1672"/>
      <c r="Q23" s="150"/>
      <c r="U23" s="570"/>
      <c r="X23" s="168"/>
      <c r="Y23" s="168"/>
      <c r="AV23" s="508"/>
      <c r="BB23" s="168"/>
      <c r="BJ23" s="571"/>
      <c r="BL23" s="1448" t="s">
        <v>1700</v>
      </c>
      <c r="BP23" s="168"/>
      <c r="BU23" s="572"/>
      <c r="BV23" s="175"/>
      <c r="BW23" s="140"/>
      <c r="BX23" s="140"/>
      <c r="BY23" s="150"/>
      <c r="BZ23" s="150"/>
      <c r="CA23" s="150"/>
      <c r="CB23" s="150"/>
      <c r="CC23" s="150"/>
      <c r="CD23" s="150"/>
      <c r="CE23" s="140"/>
      <c r="CF23" s="140"/>
      <c r="CG23" s="140"/>
      <c r="CH23" s="140"/>
      <c r="CI23" s="140"/>
      <c r="CJ23" s="140"/>
      <c r="CK23" s="140"/>
      <c r="CL23" s="140"/>
      <c r="CM23" s="140"/>
      <c r="CN23" s="140"/>
      <c r="CO23" s="140"/>
      <c r="CP23" s="140"/>
      <c r="CQ23" s="140"/>
      <c r="CR23" s="140"/>
      <c r="CS23" s="140"/>
    </row>
    <row r="24" spans="1:115" ht="13" customHeight="1" x14ac:dyDescent="0.35">
      <c r="A24" s="175"/>
      <c r="B24" s="150"/>
      <c r="C24" s="180"/>
      <c r="D24" s="150"/>
      <c r="E24" s="150"/>
      <c r="F24" s="150"/>
      <c r="G24" s="150"/>
      <c r="H24" s="150"/>
      <c r="I24" s="150"/>
      <c r="J24" s="578"/>
      <c r="K24" s="578"/>
      <c r="L24" s="578"/>
      <c r="M24" s="578"/>
      <c r="N24" s="1672"/>
      <c r="O24" s="1672"/>
      <c r="P24" s="1672"/>
      <c r="Q24" s="150"/>
      <c r="U24" s="570"/>
      <c r="X24" s="168"/>
      <c r="Y24" s="168"/>
      <c r="AN24" s="580">
        <f>COUNTIF(AN30:AN69,TRUE)</f>
        <v>0</v>
      </c>
      <c r="AO24" s="581" t="s">
        <v>1701</v>
      </c>
      <c r="AV24" s="508"/>
      <c r="BB24" s="168"/>
      <c r="BJ24" s="571"/>
      <c r="BL24" s="582">
        <v>2</v>
      </c>
      <c r="BP24" s="168"/>
      <c r="BU24" s="572"/>
      <c r="BV24" s="175"/>
      <c r="BW24" s="140"/>
      <c r="BX24" s="140"/>
      <c r="BY24" s="150"/>
      <c r="BZ24" s="150"/>
      <c r="CA24" s="150"/>
      <c r="CB24" s="150"/>
      <c r="CC24" s="150"/>
      <c r="CD24" s="150"/>
      <c r="CE24" s="140"/>
      <c r="CF24" s="140"/>
      <c r="CG24" s="140"/>
      <c r="CH24" s="140"/>
      <c r="CI24" s="140"/>
      <c r="CJ24" s="140"/>
      <c r="CK24" s="140"/>
      <c r="CL24" s="140"/>
      <c r="CM24" s="140"/>
      <c r="CN24" s="140"/>
      <c r="CO24" s="140"/>
      <c r="CP24" s="140"/>
      <c r="CQ24" s="140"/>
      <c r="CR24" s="140"/>
      <c r="CS24" s="140"/>
    </row>
    <row r="25" spans="1:115" ht="6" customHeight="1" x14ac:dyDescent="0.25">
      <c r="A25" s="175"/>
      <c r="B25" s="140"/>
      <c r="C25" s="574"/>
      <c r="D25" s="140"/>
      <c r="E25" s="140"/>
      <c r="F25" s="140"/>
      <c r="G25" s="140"/>
      <c r="H25" s="140"/>
      <c r="I25" s="140"/>
      <c r="J25" s="575"/>
      <c r="K25" s="575"/>
      <c r="L25" s="575"/>
      <c r="M25" s="575"/>
      <c r="N25" s="140"/>
      <c r="O25" s="140"/>
      <c r="P25" s="140"/>
      <c r="Q25" s="140"/>
      <c r="U25" s="570"/>
      <c r="X25" s="168"/>
      <c r="Y25" s="168"/>
      <c r="AV25" s="508"/>
      <c r="BB25" s="168"/>
      <c r="BJ25" s="571"/>
      <c r="BP25" s="168"/>
      <c r="BU25" s="572"/>
      <c r="BV25" s="175"/>
      <c r="BW25" s="140"/>
      <c r="BX25" s="140"/>
      <c r="BY25" s="140"/>
      <c r="BZ25" s="140"/>
      <c r="CA25" s="140"/>
      <c r="CB25" s="140"/>
      <c r="CC25" s="140"/>
      <c r="CD25" s="140"/>
      <c r="CE25" s="140"/>
      <c r="CF25" s="140"/>
      <c r="CG25" s="140"/>
      <c r="CH25" s="140"/>
      <c r="CI25" s="140"/>
      <c r="CJ25" s="140"/>
      <c r="CK25" s="140"/>
      <c r="CL25" s="140"/>
      <c r="CM25" s="140"/>
      <c r="CN25" s="140"/>
      <c r="CO25" s="140"/>
      <c r="CP25" s="140"/>
      <c r="CQ25" s="140"/>
      <c r="CR25" s="140"/>
      <c r="CS25" s="140"/>
    </row>
    <row r="26" spans="1:115" ht="39" customHeight="1" x14ac:dyDescent="0.35">
      <c r="A26" s="175"/>
      <c r="B26" s="1449"/>
      <c r="C26" s="1450"/>
      <c r="D26" s="1673" t="s">
        <v>1702</v>
      </c>
      <c r="E26" s="1675" t="s">
        <v>1703</v>
      </c>
      <c r="F26" s="1675" t="s">
        <v>1704</v>
      </c>
      <c r="G26" s="1675" t="s">
        <v>1705</v>
      </c>
      <c r="H26" s="1675" t="s">
        <v>1706</v>
      </c>
      <c r="I26" s="1678"/>
      <c r="J26" s="1680" t="s">
        <v>1707</v>
      </c>
      <c r="K26" s="1675"/>
      <c r="L26" s="1675"/>
      <c r="M26" s="1675"/>
      <c r="N26" s="1681" t="str">
        <f>IFERROR(IF($J$112="Green","SATISFIES PART 3.12.5.5",IF($J$113="Red","PART 3.12.5.5 NOT SATISFIED","CALCULATED OUTCOMES")),"CALCULATED OUTCOMES")</f>
        <v>CALCULATED OUTCOMES</v>
      </c>
      <c r="O26" s="1681"/>
      <c r="P26" s="1682"/>
      <c r="Q26" s="150"/>
      <c r="R26" s="1691" t="s">
        <v>1708</v>
      </c>
      <c r="S26" s="1683" t="s">
        <v>1709</v>
      </c>
      <c r="T26" s="1683" t="s">
        <v>1710</v>
      </c>
      <c r="U26" s="1695" t="s">
        <v>1711</v>
      </c>
      <c r="V26" s="1697" t="s">
        <v>1712</v>
      </c>
      <c r="W26" s="1698"/>
      <c r="X26" s="1699"/>
      <c r="Y26" s="1699"/>
      <c r="Z26" s="1700"/>
      <c r="AA26" s="1704" t="s">
        <v>1713</v>
      </c>
      <c r="AB26" s="1705"/>
      <c r="AC26" s="1699"/>
      <c r="AD26" s="1699"/>
      <c r="AE26" s="1700"/>
      <c r="AF26" s="1697" t="s">
        <v>1714</v>
      </c>
      <c r="AG26" s="1698"/>
      <c r="AH26" s="1698"/>
      <c r="AI26" s="1698"/>
      <c r="AJ26" s="1756"/>
      <c r="AK26" s="1683" t="s">
        <v>1715</v>
      </c>
      <c r="AL26" s="1686" t="s">
        <v>1716</v>
      </c>
      <c r="AM26" s="1686" t="s">
        <v>1717</v>
      </c>
      <c r="AN26" s="1686" t="s">
        <v>1718</v>
      </c>
      <c r="AO26" s="1686" t="s">
        <v>1719</v>
      </c>
      <c r="AP26" s="1686" t="s">
        <v>1720</v>
      </c>
      <c r="AQ26" s="1686" t="s">
        <v>1721</v>
      </c>
      <c r="AR26" s="1704" t="s">
        <v>1722</v>
      </c>
      <c r="AS26" s="1744"/>
      <c r="AT26" s="1749" t="s">
        <v>1723</v>
      </c>
      <c r="AU26" s="1750"/>
      <c r="AV26" s="1730" t="s">
        <v>1724</v>
      </c>
      <c r="AW26" s="1730" t="s">
        <v>1725</v>
      </c>
      <c r="AX26" s="1730" t="s">
        <v>1726</v>
      </c>
      <c r="AY26" s="1730" t="s">
        <v>1727</v>
      </c>
      <c r="AZ26" s="1730" t="s">
        <v>1728</v>
      </c>
      <c r="BA26" s="1717" t="s">
        <v>1729</v>
      </c>
      <c r="BB26" s="1735"/>
      <c r="BC26" s="1735"/>
      <c r="BD26" s="1735"/>
      <c r="BE26" s="1735"/>
      <c r="BF26" s="1735"/>
      <c r="BG26" s="1735"/>
      <c r="BH26" s="1735"/>
      <c r="BI26" s="1718"/>
      <c r="BJ26" s="1736" t="s">
        <v>1730</v>
      </c>
      <c r="BK26" s="1683" t="s">
        <v>1731</v>
      </c>
      <c r="BL26" s="1722" t="s">
        <v>1732</v>
      </c>
      <c r="BN26" s="1683" t="s">
        <v>1733</v>
      </c>
      <c r="BP26" s="168"/>
      <c r="BU26" s="572"/>
      <c r="BV26" s="175"/>
      <c r="BW26" s="140"/>
      <c r="BX26" s="933"/>
      <c r="BY26" s="1725" t="s">
        <v>1734</v>
      </c>
      <c r="BZ26" s="1660" t="s">
        <v>1702</v>
      </c>
      <c r="CA26" s="1729" t="s">
        <v>1706</v>
      </c>
      <c r="CB26" s="1675" t="s">
        <v>1735</v>
      </c>
      <c r="CC26" s="1675" t="s">
        <v>1736</v>
      </c>
      <c r="CD26" s="1707" t="s">
        <v>1737</v>
      </c>
      <c r="CE26" s="140"/>
      <c r="CF26" s="140"/>
      <c r="CG26" s="140"/>
      <c r="CH26" s="140"/>
      <c r="CI26" s="140"/>
      <c r="CJ26" s="140"/>
      <c r="CK26" s="140"/>
      <c r="CL26" s="140"/>
      <c r="CM26" s="140"/>
      <c r="CN26" s="140"/>
      <c r="CO26" s="140"/>
      <c r="CP26" s="140"/>
      <c r="CQ26" s="140"/>
      <c r="CR26" s="140"/>
      <c r="CS26" s="140"/>
      <c r="CU26" s="390" t="s">
        <v>1738</v>
      </c>
      <c r="CW26" s="583" t="s">
        <v>1739</v>
      </c>
    </row>
    <row r="27" spans="1:115" ht="45.75" customHeight="1" x14ac:dyDescent="0.35">
      <c r="A27" s="175"/>
      <c r="B27" s="1212"/>
      <c r="C27" s="584"/>
      <c r="D27" s="1674"/>
      <c r="E27" s="1676"/>
      <c r="F27" s="1677"/>
      <c r="G27" s="1677"/>
      <c r="H27" s="1677"/>
      <c r="I27" s="1674"/>
      <c r="J27" s="1710" t="s">
        <v>1707</v>
      </c>
      <c r="K27" s="1712" t="s">
        <v>1740</v>
      </c>
      <c r="L27" s="1712" t="str">
        <f>"Dimming % of Full Power"</f>
        <v>Dimming % of Full Power</v>
      </c>
      <c r="M27" s="1712" t="str">
        <f>"Design Lumen Depreciation Factor"</f>
        <v>Design Lumen Depreciation Factor</v>
      </c>
      <c r="N27" s="1714" t="s">
        <v>1741</v>
      </c>
      <c r="O27" s="1714"/>
      <c r="P27" s="1715" t="s">
        <v>1742</v>
      </c>
      <c r="Q27" s="150"/>
      <c r="R27" s="1691"/>
      <c r="S27" s="1693"/>
      <c r="T27" s="1693"/>
      <c r="U27" s="1696"/>
      <c r="V27" s="1701"/>
      <c r="W27" s="1702"/>
      <c r="X27" s="1702"/>
      <c r="Y27" s="1702"/>
      <c r="Z27" s="1703"/>
      <c r="AA27" s="1701"/>
      <c r="AB27" s="1702"/>
      <c r="AC27" s="1702"/>
      <c r="AD27" s="1702"/>
      <c r="AE27" s="1703"/>
      <c r="AF27" s="1757"/>
      <c r="AG27" s="1758"/>
      <c r="AH27" s="1758"/>
      <c r="AI27" s="1758"/>
      <c r="AJ27" s="1759"/>
      <c r="AK27" s="1684"/>
      <c r="AL27" s="1687"/>
      <c r="AM27" s="1689"/>
      <c r="AN27" s="1689"/>
      <c r="AO27" s="1689"/>
      <c r="AP27" s="1689"/>
      <c r="AQ27" s="1689"/>
      <c r="AR27" s="1747"/>
      <c r="AS27" s="1748"/>
      <c r="AT27" s="1751"/>
      <c r="AU27" s="1752"/>
      <c r="AV27" s="1684"/>
      <c r="AW27" s="1684"/>
      <c r="AX27" s="1684"/>
      <c r="AY27" s="1731"/>
      <c r="AZ27" s="1733"/>
      <c r="BA27" s="1717" t="s">
        <v>91</v>
      </c>
      <c r="BB27" s="1718"/>
      <c r="BC27" s="1719" t="s">
        <v>1743</v>
      </c>
      <c r="BD27" s="1720"/>
      <c r="BE27" s="1720"/>
      <c r="BF27" s="1721"/>
      <c r="BG27" s="1719" t="s">
        <v>1744</v>
      </c>
      <c r="BH27" s="1720"/>
      <c r="BI27" s="1739"/>
      <c r="BJ27" s="1737"/>
      <c r="BK27" s="1693"/>
      <c r="BL27" s="1723"/>
      <c r="BN27" s="1693"/>
      <c r="BP27" s="168">
        <f>SUBTOTAL(2,BP30:BP69)</f>
        <v>10</v>
      </c>
      <c r="BU27" s="572"/>
      <c r="BV27" s="175"/>
      <c r="BW27" s="140"/>
      <c r="BX27" s="140"/>
      <c r="BY27" s="1726"/>
      <c r="BZ27" s="1660"/>
      <c r="CA27" s="1729"/>
      <c r="CB27" s="1677"/>
      <c r="CC27" s="1677"/>
      <c r="CD27" s="1708"/>
      <c r="CE27" s="140"/>
      <c r="CF27" s="140"/>
      <c r="CG27" s="140"/>
      <c r="CH27" s="140"/>
      <c r="CI27" s="140"/>
      <c r="CJ27" s="140"/>
      <c r="CK27" s="140"/>
      <c r="CL27" s="140"/>
      <c r="CM27" s="140"/>
      <c r="CN27" s="140"/>
      <c r="CO27" s="140"/>
      <c r="CP27" s="140"/>
      <c r="CQ27" s="140"/>
      <c r="CR27" s="140"/>
      <c r="CS27" s="140"/>
      <c r="CU27" s="585" t="s">
        <v>1745</v>
      </c>
      <c r="CV27" s="585"/>
      <c r="CW27" s="585"/>
      <c r="CX27" s="585"/>
      <c r="CY27" s="585"/>
      <c r="CZ27" s="585" t="s">
        <v>1746</v>
      </c>
      <c r="DA27" s="585"/>
      <c r="DB27" s="585"/>
      <c r="DC27" s="585"/>
      <c r="DD27" s="585"/>
      <c r="DE27" s="585"/>
      <c r="DF27" s="585"/>
      <c r="DG27" s="585"/>
      <c r="DH27" s="585"/>
      <c r="DI27" s="585"/>
      <c r="DJ27" s="586">
        <f>SUM(DJ30:DJ69)</f>
        <v>0</v>
      </c>
      <c r="DK27" s="583" t="s">
        <v>1747</v>
      </c>
    </row>
    <row r="28" spans="1:115" ht="25.5" customHeight="1" x14ac:dyDescent="0.35">
      <c r="A28" s="175"/>
      <c r="B28" s="1213"/>
      <c r="C28" s="584"/>
      <c r="D28" s="1674"/>
      <c r="E28" s="1676"/>
      <c r="F28" s="1677"/>
      <c r="G28" s="1677"/>
      <c r="H28" s="1677"/>
      <c r="I28" s="1674"/>
      <c r="J28" s="1710"/>
      <c r="K28" s="1712"/>
      <c r="L28" s="1712"/>
      <c r="M28" s="1712"/>
      <c r="N28" s="1714" t="s">
        <v>1748</v>
      </c>
      <c r="O28" s="1714" t="s">
        <v>1749</v>
      </c>
      <c r="P28" s="1715"/>
      <c r="Q28" s="150"/>
      <c r="R28" s="1691"/>
      <c r="S28" s="1693"/>
      <c r="T28" s="1693"/>
      <c r="U28" s="1696"/>
      <c r="V28" s="934" t="s">
        <v>1750</v>
      </c>
      <c r="W28" s="934" t="s">
        <v>1751</v>
      </c>
      <c r="X28" s="1704" t="s">
        <v>91</v>
      </c>
      <c r="Y28" s="1744"/>
      <c r="Z28" s="934" t="s">
        <v>1752</v>
      </c>
      <c r="AA28" s="934" t="s">
        <v>1750</v>
      </c>
      <c r="AB28" s="934" t="s">
        <v>1751</v>
      </c>
      <c r="AC28" s="1704" t="s">
        <v>91</v>
      </c>
      <c r="AD28" s="1744"/>
      <c r="AE28" s="934" t="s">
        <v>1752</v>
      </c>
      <c r="AF28" s="934" t="s">
        <v>1750</v>
      </c>
      <c r="AG28" s="934" t="s">
        <v>1751</v>
      </c>
      <c r="AH28" s="1704" t="s">
        <v>91</v>
      </c>
      <c r="AI28" s="1744"/>
      <c r="AJ28" s="934" t="s">
        <v>1752</v>
      </c>
      <c r="AK28" s="1684"/>
      <c r="AL28" s="1687"/>
      <c r="AM28" s="1689"/>
      <c r="AN28" s="1689"/>
      <c r="AO28" s="1689"/>
      <c r="AP28" s="1689"/>
      <c r="AQ28" s="1689"/>
      <c r="AR28" s="1745" t="s">
        <v>1753</v>
      </c>
      <c r="AS28" s="1722" t="s">
        <v>1754</v>
      </c>
      <c r="AT28" s="1730" t="s">
        <v>91</v>
      </c>
      <c r="AU28" s="1754" t="s">
        <v>1755</v>
      </c>
      <c r="AV28" s="1684"/>
      <c r="AW28" s="1684"/>
      <c r="AX28" s="1684"/>
      <c r="AY28" s="1731"/>
      <c r="AZ28" s="1733"/>
      <c r="BA28" s="1740" t="s">
        <v>1756</v>
      </c>
      <c r="BB28" s="1740" t="s">
        <v>1757</v>
      </c>
      <c r="BC28" s="1693" t="s">
        <v>1756</v>
      </c>
      <c r="BD28" s="1693" t="s">
        <v>1757</v>
      </c>
      <c r="BE28" s="1693" t="s">
        <v>1758</v>
      </c>
      <c r="BF28" s="1683" t="s">
        <v>1759</v>
      </c>
      <c r="BG28" s="1693" t="s">
        <v>1756</v>
      </c>
      <c r="BH28" s="1693" t="s">
        <v>1757</v>
      </c>
      <c r="BI28" s="1693" t="s">
        <v>1760</v>
      </c>
      <c r="BJ28" s="1737"/>
      <c r="BK28" s="1693"/>
      <c r="BL28" s="1723"/>
      <c r="BN28" s="1693"/>
      <c r="BP28" s="587" t="s">
        <v>1761</v>
      </c>
      <c r="BU28" s="572"/>
      <c r="BV28" s="175"/>
      <c r="BW28" s="140"/>
      <c r="BX28" s="140"/>
      <c r="BY28" s="1726"/>
      <c r="BZ28" s="1660"/>
      <c r="CA28" s="1729"/>
      <c r="CB28" s="1677"/>
      <c r="CC28" s="1677"/>
      <c r="CD28" s="1708"/>
      <c r="CE28" s="140"/>
      <c r="CF28" s="140"/>
      <c r="CG28" s="140"/>
      <c r="CH28" s="140"/>
      <c r="CI28" s="140"/>
      <c r="CJ28" s="140"/>
      <c r="CK28" s="140"/>
      <c r="CL28" s="140"/>
      <c r="CM28" s="140"/>
      <c r="CN28" s="140"/>
      <c r="CO28" s="140"/>
      <c r="CP28" s="140"/>
      <c r="CQ28" s="140"/>
      <c r="CR28" s="140"/>
      <c r="CS28" s="140"/>
      <c r="CU28" s="1452" t="s">
        <v>1702</v>
      </c>
      <c r="CV28" s="1452" t="s">
        <v>1762</v>
      </c>
      <c r="CW28" s="1452" t="s">
        <v>1750</v>
      </c>
      <c r="CX28" s="1452" t="s">
        <v>1751</v>
      </c>
      <c r="CY28" s="935" t="s">
        <v>1706</v>
      </c>
      <c r="CZ28" s="1452" t="s">
        <v>1763</v>
      </c>
      <c r="DA28" s="1452" t="s">
        <v>1764</v>
      </c>
      <c r="DB28" s="1452" t="s">
        <v>1765</v>
      </c>
      <c r="DC28" s="1452" t="s">
        <v>1766</v>
      </c>
      <c r="DD28" s="1452" t="s">
        <v>1767</v>
      </c>
      <c r="DE28" s="1452" t="s">
        <v>1768</v>
      </c>
      <c r="DF28" s="1452" t="s">
        <v>1769</v>
      </c>
      <c r="DG28" s="1452" t="s">
        <v>1770</v>
      </c>
      <c r="DH28" s="1452" t="s">
        <v>1771</v>
      </c>
      <c r="DI28" s="935" t="s">
        <v>1772</v>
      </c>
      <c r="DJ28" s="1453" t="s">
        <v>1773</v>
      </c>
      <c r="DK28" s="936" t="s">
        <v>1774</v>
      </c>
    </row>
    <row r="29" spans="1:115" ht="19.5" customHeight="1" x14ac:dyDescent="0.35">
      <c r="A29" s="175"/>
      <c r="B29" s="937"/>
      <c r="C29" s="1454" t="s">
        <v>1734</v>
      </c>
      <c r="D29" s="1455"/>
      <c r="E29" s="1455"/>
      <c r="F29" s="1456"/>
      <c r="G29" s="1457"/>
      <c r="H29" s="1679"/>
      <c r="I29" s="1679"/>
      <c r="J29" s="1711"/>
      <c r="K29" s="1713"/>
      <c r="L29" s="1713"/>
      <c r="M29" s="1713"/>
      <c r="N29" s="1743"/>
      <c r="O29" s="1743"/>
      <c r="P29" s="1716"/>
      <c r="Q29" s="150"/>
      <c r="R29" s="1692"/>
      <c r="S29" s="1690"/>
      <c r="T29" s="1694"/>
      <c r="U29" s="1685"/>
      <c r="V29" s="938"/>
      <c r="W29" s="938"/>
      <c r="X29" s="1451" t="s">
        <v>1775</v>
      </c>
      <c r="Y29" s="1451" t="s">
        <v>1776</v>
      </c>
      <c r="Z29" s="938"/>
      <c r="AA29" s="938"/>
      <c r="AB29" s="938"/>
      <c r="AC29" s="1451" t="s">
        <v>1775</v>
      </c>
      <c r="AD29" s="1451" t="s">
        <v>1776</v>
      </c>
      <c r="AE29" s="938"/>
      <c r="AF29" s="938"/>
      <c r="AG29" s="938"/>
      <c r="AH29" s="1451" t="s">
        <v>1775</v>
      </c>
      <c r="AI29" s="1451" t="s">
        <v>1776</v>
      </c>
      <c r="AJ29" s="938"/>
      <c r="AK29" s="1685"/>
      <c r="AL29" s="1688"/>
      <c r="AM29" s="1690"/>
      <c r="AN29" s="1690"/>
      <c r="AO29" s="1690"/>
      <c r="AP29" s="1690"/>
      <c r="AQ29" s="1690"/>
      <c r="AR29" s="1746"/>
      <c r="AS29" s="1753"/>
      <c r="AT29" s="1685"/>
      <c r="AU29" s="1755"/>
      <c r="AV29" s="1685"/>
      <c r="AW29" s="1685"/>
      <c r="AX29" s="1685"/>
      <c r="AY29" s="1732"/>
      <c r="AZ29" s="1734"/>
      <c r="BA29" s="1741"/>
      <c r="BB29" s="1741"/>
      <c r="BC29" s="1742"/>
      <c r="BD29" s="1742"/>
      <c r="BE29" s="1742"/>
      <c r="BF29" s="1685"/>
      <c r="BG29" s="1742"/>
      <c r="BH29" s="1742"/>
      <c r="BI29" s="1742"/>
      <c r="BJ29" s="1738"/>
      <c r="BK29" s="1694"/>
      <c r="BL29" s="1724"/>
      <c r="BN29" s="1694"/>
      <c r="BP29" s="588" t="s">
        <v>450</v>
      </c>
      <c r="BQ29" s="588" t="s">
        <v>119</v>
      </c>
      <c r="BU29" s="572"/>
      <c r="BV29" s="175"/>
      <c r="BW29" s="140"/>
      <c r="BX29" s="140"/>
      <c r="BY29" s="1727"/>
      <c r="BZ29" s="1728"/>
      <c r="CA29" s="1728"/>
      <c r="CB29" s="1706"/>
      <c r="CC29" s="1706"/>
      <c r="CD29" s="1709"/>
      <c r="CE29" s="140"/>
      <c r="CF29" s="140"/>
      <c r="CG29" s="140"/>
      <c r="CH29" s="140"/>
      <c r="CI29" s="140"/>
      <c r="CJ29" s="140"/>
      <c r="CK29" s="140"/>
      <c r="CL29" s="140"/>
      <c r="CM29" s="140"/>
      <c r="CN29" s="140"/>
      <c r="CO29" s="140"/>
      <c r="CP29" s="140"/>
      <c r="CQ29" s="140"/>
      <c r="CR29" s="140"/>
      <c r="CS29" s="140"/>
      <c r="CY29" s="1445"/>
      <c r="DF29" s="1444"/>
      <c r="DI29" s="698"/>
      <c r="DJ29" s="1458"/>
      <c r="DK29" s="1458"/>
    </row>
    <row r="30" spans="1:115" ht="18" x14ac:dyDescent="0.4">
      <c r="A30" s="589"/>
      <c r="B30" s="1459">
        <f t="shared" ref="B30:B69" si="0">BQ30</f>
        <v>10</v>
      </c>
      <c r="C30" s="1214">
        <v>1</v>
      </c>
      <c r="D30" s="1215"/>
      <c r="E30" s="1216"/>
      <c r="F30" s="1217"/>
      <c r="G30" s="1218"/>
      <c r="H30" s="1760"/>
      <c r="I30" s="1760"/>
      <c r="J30" s="1460"/>
      <c r="K30" s="1219"/>
      <c r="L30" s="1219"/>
      <c r="M30" s="1220"/>
      <c r="N30" s="1221" t="str">
        <f t="shared" ref="N30:O69" si="1">AT30</f>
        <v/>
      </c>
      <c r="O30" s="1221" t="str">
        <f>AU30</f>
        <v/>
      </c>
      <c r="P30" s="1461" t="str">
        <f t="shared" ref="P30:P69" si="2">BL30</f>
        <v/>
      </c>
      <c r="Q30" s="150"/>
      <c r="R30" s="1462" t="str">
        <f t="shared" ref="R30:R69" si="3">IF(ISNUMBER(M30),M30,IF(ISNUMBER(L30),L30/0.95,IF(ISTEXT(J30),VLOOKUP(J30,IF(OR(ClassificationTwo=Class1,ClassificationTwo=Class10),AfactorsTwo,Afactors),2,TRUE),"")))</f>
        <v/>
      </c>
      <c r="S30" s="1463" t="b">
        <f t="shared" ref="S30:S69" si="4">ISNUMBER(R30)</f>
        <v>0</v>
      </c>
      <c r="T30" s="1464" t="str">
        <f>IF(OR(ISNUMBER(R30)),SMALL(R30:R30,1),"")</f>
        <v/>
      </c>
      <c r="U30" s="1464" t="str">
        <f t="shared" ref="U30:U69" si="5">IF(S30,CB30/R30,CB30)</f>
        <v/>
      </c>
      <c r="V30" s="1465">
        <f t="shared" ref="V30:V69" si="6">IF(OR($H30=$H$88,$H30=$H$89,$H30=$H$90),$F30,0)</f>
        <v>0</v>
      </c>
      <c r="W30" s="1466">
        <f>IF(V30&gt;0,$G30,0)</f>
        <v>0</v>
      </c>
      <c r="X30" s="1466">
        <f>IF(V30&gt;0,$N30,0)</f>
        <v>0</v>
      </c>
      <c r="Y30" s="1466">
        <f t="shared" ref="Y30:Y69" si="7">V30*X30</f>
        <v>0</v>
      </c>
      <c r="Z30" s="1467">
        <f>IF(V30&gt;0,$O30,0)</f>
        <v>0</v>
      </c>
      <c r="AA30" s="1465">
        <f t="shared" ref="AA30:AA69" si="8">IF($H30=$H$91,$F30,0)</f>
        <v>0</v>
      </c>
      <c r="AB30" s="1466">
        <f>IF(AA30&gt;0,$G30,0)</f>
        <v>0</v>
      </c>
      <c r="AC30" s="1466">
        <f>IF(AA30&gt;0,$N30,0)</f>
        <v>0</v>
      </c>
      <c r="AD30" s="1466">
        <f>AA30*AC30</f>
        <v>0</v>
      </c>
      <c r="AE30" s="1467">
        <f>IF(AA30&gt;0,$O30,0)</f>
        <v>0</v>
      </c>
      <c r="AF30" s="1465">
        <f t="shared" ref="AF30:AF69" si="9">IF($H30=$H$92,$F30,0)</f>
        <v>0</v>
      </c>
      <c r="AG30" s="1466">
        <f>IF(AF30&gt;0,$G30,0)</f>
        <v>0</v>
      </c>
      <c r="AH30" s="1466">
        <f>IF(AF30&gt;0,$N30,0)</f>
        <v>0</v>
      </c>
      <c r="AI30" s="1466">
        <f>AF30*AH30</f>
        <v>0</v>
      </c>
      <c r="AJ30" s="1467">
        <f>IF(AF30&gt;0,$O30,0)</f>
        <v>0</v>
      </c>
      <c r="AK30" s="1468" t="b">
        <f t="shared" ref="AK30:AK69" si="10">OR(NOT(COUNTBLANK(D30:H30)&gt;0),COUNTBLANK(D30:H30)=5)</f>
        <v>1</v>
      </c>
      <c r="AL30" s="1469" t="b">
        <f t="shared" ref="AL30:AL69" si="11">IF(OR(ISBLANK(ClassificationTwo)),FALSE,IF(OR(COUNTBLANK(J30:M30)=4,AND(VLOOKUP(J30,AfactorsTwo,3,FALSE),COUNTBLANK(K30:M30)=3),AND(J30=V2ProgDim,ISNUMBER(K30)),AND(J30=V2ManualDim,ISNUMBER(K30)),AND(J30=V2FixedDim,ISNUMBER(K30),ISNUMBER(L30)),AND(J30=V2LumenDepFactor,ISNUMBER(M30))),TRUE,FALSE))</f>
        <v>1</v>
      </c>
      <c r="AM30" s="1469" t="str">
        <f t="shared" ref="AM30:AM69" si="12">IF(ISTEXT(E30),VLOOKUP(E30,TypeofSpaceres,3,FALSE),"")</f>
        <v/>
      </c>
      <c r="AN30" s="1469" t="b">
        <f t="shared" ref="AN30:AN69" si="13">NOT(COUNTBLANK(D30:H30)=5)</f>
        <v>0</v>
      </c>
      <c r="AO30" s="1470" t="b">
        <f>IF(OR(COUNTBLANK(D30:I30)=6,AND(COUNTBLANK(D30:G30)=4,H30=0)),OR(AN31:AN$69),NOT(AN30))</f>
        <v>0</v>
      </c>
      <c r="AP30" s="1469" t="b">
        <f t="shared" ref="AP30:AP69" si="14">OR(COUNTBLANK(D30:I30)=6,AND(COUNTBLANK(D30:G30)=4,H30=0))</f>
        <v>1</v>
      </c>
      <c r="AQ30" s="1469" t="b">
        <f>AND(AK30,AL30)</f>
        <v>1</v>
      </c>
      <c r="AR30" s="1471">
        <f t="shared" ref="AR30:AR69" si="15">G30</f>
        <v>0</v>
      </c>
      <c r="AS30" s="1471" t="str">
        <f t="shared" ref="AS30:AS69" si="16">N30</f>
        <v/>
      </c>
      <c r="AT30" s="1472" t="str">
        <f>IF(AQ30,IF(ISNUMBER(U30),ROUND(U30,1),U30),"")</f>
        <v/>
      </c>
      <c r="AU30" s="1473" t="str">
        <f t="shared" ref="AU30:AU69" si="17">IF(AND(AQ30,AN30,Allinputsokres),ROUND(G30/F30,1),"")</f>
        <v/>
      </c>
      <c r="AV30" s="1474" t="str">
        <f t="shared" ref="AV30:AV69" si="18">IF(CU30&lt;&gt;"OK",CU30,IF(CV30&lt;&gt;"OK",CV30,IF(CW30&lt;&gt;"OK",CW30,IF(CX30&lt;&gt;"OK",CX30,IF(CY30&lt;&gt;"OK",CY30,AX30)))))</f>
        <v/>
      </c>
      <c r="AW30" s="1475"/>
      <c r="AX30" s="1474" t="str">
        <f>IF(DI30&lt;&gt;"OK",DI30,IF(DE30&lt;&gt;"OK",DE30,IF(DB30&lt;&gt;"OK",DB30,IF(DC30&lt;&gt;"OK",DC30,IF(DD30&lt;&gt;"OK",DD30,IF(DA30&lt;&gt;"OK",DA30,IF(DF30&lt;&gt;"OK",DF30,IF(DG30&lt;&gt;"OK",DG30,IF(DH30&lt;&gt;"OK",DH30,IF(CZ30&lt;&gt;"OK",CZ30,""))))))))))</f>
        <v/>
      </c>
      <c r="AY30" s="1761" t="str">
        <f>IF(BN73&lt;&gt;"OK","Classification and highlighted Location entries are not compatible","")</f>
        <v/>
      </c>
      <c r="AZ30" s="1761" t="b">
        <f>FALSE</f>
        <v>0</v>
      </c>
      <c r="BA30" s="1476" t="b">
        <f t="shared" ref="BA30:BA69" si="19">AND(AQ30,AN30,NOT(AP30),InputIssuesTwo=0,AU30&lt;=AT30,BK30&lt;=1)</f>
        <v>0</v>
      </c>
      <c r="BB30" s="1477" t="b">
        <f t="shared" ref="BB30:BB69" si="20">AND(AQ30,AN30,NOT(AP30),InputIssuesTwo=0,AU30&gt;AT30,BK30&gt;1)</f>
        <v>0</v>
      </c>
      <c r="BC30" s="1478" t="b">
        <f t="shared" ref="BC30:BC69" si="21">AND(AQ30,InputIssuesTwo=0,TopInputsOKTwo,AND(AN30,AU30&lt;=AT30,BK30&lt;=1))</f>
        <v>0</v>
      </c>
      <c r="BD30" s="1476" t="b">
        <f t="shared" ref="BD30:BD69" si="22">AND(AQ30,InputIssuesTwo=0,TopInputsOKTwo,AU30&gt;AT30,BK30&gt;1)</f>
        <v>0</v>
      </c>
      <c r="BE30" s="1476" t="b">
        <f t="shared" ref="BE30:BE69" si="23">AND(AQ30,InputIssuesTwo=0,TopInputsOKTwo,AU30&lt;=AT30,BK30&gt;1)</f>
        <v>1</v>
      </c>
      <c r="BF30" s="1477" t="b">
        <f t="shared" ref="BF30:BF69" si="24">AND(InputIssuesTwo=0,TopInputsOKTwo,AU30&gt;AT30,BK30&lt;=1)</f>
        <v>0</v>
      </c>
      <c r="BG30" s="1478" t="b">
        <f t="shared" ref="BG30:BG69" si="25">AND(AN30,AQ30,InputIssuesTwo=0,TopInputsOKTwo,OR(IF(H30=$H$88,PassClass1,IF(H30=$H$89,PassClass1,IF(H30=$H$90,PassClass1,IF(H30=$H$91,PassBalcony,IF(H30=$H$92,PassClass10,"FALSE")))))))</f>
        <v>0</v>
      </c>
      <c r="BH30" s="1476" t="b">
        <f t="shared" ref="BH30:BH69" si="26">AND(AK30,AL30,NOT(AP30),AQ30,InputIssuesTwo=0,TopInputsOKTwo,IF(H30=$H$88,FailClass1,IF(H30=$H$89,FailClass1,IF(H30=$H$90,FailClass1,IF(H30=$H$91,FailBalcony,IF(H30=$H$92,FailClass10,"FALSE"))))))</f>
        <v>0</v>
      </c>
      <c r="BI30" s="1477" t="b">
        <f>DJ30&gt;0</f>
        <v>0</v>
      </c>
      <c r="BJ30" s="1479" t="b">
        <f t="shared" ref="BJ30:BJ69" si="27">IF(AND(AQ30,AN30),IF(H30=$H$88,O30/TotalAllowClass1,IF(H30=$H$89,O30/TotalAllowClass1,IF(H30=$H$90,O30/TotalAllowClass1,IF(H30=$H$91,O30/TotalAllowBalc,IF(H30=$H$92,O30/TotalAllowClass10,""))))))</f>
        <v>0</v>
      </c>
      <c r="BK30" s="1480" t="b">
        <f t="shared" ref="BK30:BK69" si="28">IF(AND(AQ30,AN30),IF(H30=$H$88,Percent1,IF(H30=$H$89,Percent1,IF(H30=$H$90,Percent1,IF(H30=$H$91,PercentBalcony,IF(H30=$H$92,Percent10,""))))))</f>
        <v>0</v>
      </c>
      <c r="BL30" s="1481" t="str">
        <f t="shared" ref="BL30:BL69" si="29">IF(AND(AQ30,AN30),TEXT(BJ30,"0%")&amp;" of "&amp;TEXT(IF(AND(BK30&gt;0.99,BK30&lt;1),ROUNDDOWN(BK30,BL$24)*100,IF(AND(BK30&gt;1,BK30&lt;1.01),ROUNDUP(BK30,BL$24),ROUND(BK30,2))*100),"General")&amp;"%","")</f>
        <v/>
      </c>
      <c r="BN30" s="590" t="str">
        <f t="shared" ref="BN30:BN69" si="30">IF(COUNTA(D30:M30)=0,"no data",MATCH(H30,ValidLocationsTwo,0))</f>
        <v>no data</v>
      </c>
      <c r="BP30" s="1482">
        <v>1</v>
      </c>
      <c r="BQ30" s="1482">
        <f t="shared" ref="BQ30:BQ69" si="31">IF(RowsPreferredTwo&gt;=BP30,RowsPreferredTwo,"-")</f>
        <v>10</v>
      </c>
      <c r="BU30" s="572"/>
      <c r="BV30" s="175"/>
      <c r="BW30" s="140"/>
      <c r="BX30" s="140"/>
      <c r="BY30" s="1483">
        <f t="shared" ref="BY30:BZ69" si="32">C30</f>
        <v>1</v>
      </c>
      <c r="BZ30" s="1222">
        <f t="shared" si="32"/>
        <v>0</v>
      </c>
      <c r="CA30" s="1222">
        <f t="shared" ref="CA30:CA69" si="33">H30</f>
        <v>0</v>
      </c>
      <c r="CB30" s="1223" t="str">
        <f t="shared" ref="CB30:CB69" si="34">IF(ISBLANK(H30),"",VLOOKUP(H30,LocationLimitsTwo,2,FALSE))</f>
        <v/>
      </c>
      <c r="CC30" s="1224" t="str">
        <f>R30</f>
        <v/>
      </c>
      <c r="CD30" s="1484" t="str">
        <f t="shared" ref="CD30:CD69" si="35">IF(AQ30,AT30,"")</f>
        <v/>
      </c>
      <c r="CE30" s="150"/>
      <c r="CF30" s="150"/>
      <c r="CG30" s="140"/>
      <c r="CH30" s="140"/>
      <c r="CI30" s="140"/>
      <c r="CJ30" s="140"/>
      <c r="CK30" s="140"/>
      <c r="CL30" s="140"/>
      <c r="CM30" s="140"/>
      <c r="CN30" s="140"/>
      <c r="CO30" s="140"/>
      <c r="CP30" s="140"/>
      <c r="CQ30" s="140"/>
      <c r="CR30" s="140"/>
      <c r="CS30" s="140"/>
      <c r="CU30" s="590" t="str">
        <f t="shared" ref="CU30:CU69" si="36">IF(AND(COUNTA(DescriptionTwo,ClassificationTwo)=2,COUNTA(D30:M30)&gt;0,ISBLANK(D30)),"Enter Description","OK")</f>
        <v>OK</v>
      </c>
      <c r="CV30" s="590" t="str">
        <f t="shared" ref="CV30:CV69" si="37">IF(AND(COUNTA(DescriptionTwo,ClassificationTwo)=2,COUNTA(D30:M30)&gt;0,ISBLANK(E30)),"Enter Type of space","OK")</f>
        <v>OK</v>
      </c>
      <c r="CW30" s="590" t="str">
        <f t="shared" ref="CW30:CW69" si="38">IF(AND(COUNTA(DescriptionTwo,ClassificationTwo)=2,COUNTA(D30:M30)&gt;0,ISBLANK(F30)),"Enter Floor area of the space","OK")</f>
        <v>OK</v>
      </c>
      <c r="CX30" s="590" t="str">
        <f t="shared" ref="CX30:CX69" si="39">IF(AND(COUNTA(DescriptionTwo,ClassificationTwo)=2,COUNTA(D30:M30)&gt;0,ISBLANK(G30)),"Enter Design Power Load","OK")</f>
        <v>OK</v>
      </c>
      <c r="CY30" s="939" t="str">
        <f t="shared" ref="CY30:CY69" si="40">IF(AND(COUNTA(DescriptionTwo,ClassificationTwo)=2,COUNTA(D30:M30)&gt;0,ISBLANK(H30)),"Enter Location","OK")</f>
        <v>OK</v>
      </c>
      <c r="CZ30" s="590" t="str">
        <f t="shared" ref="CZ30:CZ69" si="41">IF(AND(COUNTA(DescriptionTwo,ClassificationTwo)=2,COUNTA(D30:M30)&gt;0,OR(J30=ProgDim,J30=V2FixedDim,J30=V2ManualDim,J30=V2ProgDim),ISBLANK(K30)),"Enter % of floor area controlled","OK")</f>
        <v>OK</v>
      </c>
      <c r="DA30" s="590" t="str">
        <f t="shared" ref="DA30:DA69" si="42">IF(AND(COUNTA(DescriptionTwo,ClassificationTwo)=2,COUNTA(D30:M30)&gt;0,J30=V2FixedDim,K30&gt;0,ISBLANK(L30)),"Enter dimmed % of full power","OK")</f>
        <v>OK</v>
      </c>
      <c r="DB30" s="590" t="str">
        <f t="shared" ref="DB30:DB69" si="43">IF(AND(COUNTA(K30)&gt;0,NOT(OR(J30=ProgDim,J30=V2FixedDim,J30=V2ManualDim,J30=V2ProgDim))),"Adjustment Factor is missing or inappropriate","OK")</f>
        <v>OK</v>
      </c>
      <c r="DC30" s="590" t="str">
        <f>IF(AND(ISNUMBER(#REF!),J30&lt;&gt;FixedDim),"Select fixed dimming with an illuminance factor","OK")</f>
        <v>OK</v>
      </c>
      <c r="DD30" s="590" t="str">
        <f>IF(AND(NOT(ISNUMBER(#REF!)),J30=FixedDim),"Enter an illuminance factor","OK")</f>
        <v>OK</v>
      </c>
      <c r="DE30" s="590" t="str">
        <f>IF(ISNUMBER(FIND("NA",$J30)),"Adjustment Factor not applicable","OK")</f>
        <v>OK</v>
      </c>
      <c r="DF30" s="590" t="str">
        <f t="shared" ref="DF30:DF69" si="44">IF(AND(NOT(ISNUMBER(M30)),J30=V2LumenDepFactor),"Enter Design Lumen Depreciation Factor","OK")</f>
        <v>OK</v>
      </c>
      <c r="DG30" s="590" t="str">
        <f t="shared" ref="DG30:DG69" si="45">IF(AND(ISNUMBER(M30),NOT(J30=V2LumenDepFactor)),"Design Lumen Depreciation Factor entered without an appropriate Adjustment Factor","OK")</f>
        <v>OK</v>
      </c>
      <c r="DH30" s="590" t="str">
        <f t="shared" ref="DH30:DH69" si="46">IF(AND(ISNUMBER(L30),NOT(J30=V2FixedDim)),"% of full power is only required for Volume Two fixed dimming","OK")</f>
        <v>OK</v>
      </c>
      <c r="DI30" s="939" t="str">
        <f t="shared" ref="DI30:DI69" si="47">IF(OR(ISTEXT(VLOOKUP(J30,IF(OR(ClassificationTwo=Class1,ClassificationTwo=Class10),AfactorsTwo,Afactors),1,FALSE)),ISBLANK(J30)),"OK","Invalid adjustment factor")</f>
        <v>OK</v>
      </c>
      <c r="DJ30" s="591">
        <f t="shared" ref="DJ30:DJ69" si="48">COUNTIF(CU30:DI30,"&lt;&gt;OK")+IF(ISNA(BN30),1,0)</f>
        <v>0</v>
      </c>
      <c r="DK30" s="940" t="str">
        <f t="shared" ref="DK30:DK69" si="49">IF(AO30,"ROW SKIPPED (OK if intentional)","OK")</f>
        <v>OK</v>
      </c>
    </row>
    <row r="31" spans="1:115" ht="18" customHeight="1" x14ac:dyDescent="0.4">
      <c r="A31" s="589"/>
      <c r="B31" s="1485">
        <f t="shared" si="0"/>
        <v>10</v>
      </c>
      <c r="C31" s="1214">
        <v>2</v>
      </c>
      <c r="D31" s="1215"/>
      <c r="E31" s="1216"/>
      <c r="F31" s="1217"/>
      <c r="G31" s="1218"/>
      <c r="H31" s="1760"/>
      <c r="I31" s="1760"/>
      <c r="J31" s="1460"/>
      <c r="K31" s="1219"/>
      <c r="L31" s="1219"/>
      <c r="M31" s="1220"/>
      <c r="N31" s="1221" t="str">
        <f t="shared" si="1"/>
        <v/>
      </c>
      <c r="O31" s="1221" t="str">
        <f t="shared" si="1"/>
        <v/>
      </c>
      <c r="P31" s="1461" t="str">
        <f t="shared" si="2"/>
        <v/>
      </c>
      <c r="Q31" s="150"/>
      <c r="R31" s="1462" t="str">
        <f t="shared" si="3"/>
        <v/>
      </c>
      <c r="S31" s="1463" t="b">
        <f t="shared" si="4"/>
        <v>0</v>
      </c>
      <c r="T31" s="1464" t="str">
        <f t="shared" ref="T31:T69" si="50">IF(OR(ISNUMBER(R31)),SMALL(R31:R31,1),"")</f>
        <v/>
      </c>
      <c r="U31" s="1464" t="str">
        <f t="shared" si="5"/>
        <v/>
      </c>
      <c r="V31" s="1465">
        <f t="shared" si="6"/>
        <v>0</v>
      </c>
      <c r="W31" s="1466">
        <f t="shared" ref="W31:W69" si="51">IF(V31&gt;0,$G31,0)</f>
        <v>0</v>
      </c>
      <c r="X31" s="1466">
        <f t="shared" ref="X31:X69" si="52">IF(V31&gt;0,$N31,0)</f>
        <v>0</v>
      </c>
      <c r="Y31" s="1466">
        <f>V31*X31</f>
        <v>0</v>
      </c>
      <c r="Z31" s="1467">
        <f t="shared" ref="Z31:Z69" si="53">IF(V31&gt;0,$O31,0)</f>
        <v>0</v>
      </c>
      <c r="AA31" s="1465">
        <f t="shared" si="8"/>
        <v>0</v>
      </c>
      <c r="AB31" s="1466">
        <f t="shared" ref="AB31:AB69" si="54">IF(AA31&gt;0,$G31,0)</f>
        <v>0</v>
      </c>
      <c r="AC31" s="1466">
        <f t="shared" ref="AC31:AC69" si="55">IF(AA31&gt;0,$N31,0)</f>
        <v>0</v>
      </c>
      <c r="AD31" s="1466">
        <f t="shared" ref="AD31:AD69" si="56">AA31*AC31</f>
        <v>0</v>
      </c>
      <c r="AE31" s="1467">
        <f t="shared" ref="AE31:AE69" si="57">IF(AA31&gt;0,$O31,0)</f>
        <v>0</v>
      </c>
      <c r="AF31" s="1465">
        <f t="shared" si="9"/>
        <v>0</v>
      </c>
      <c r="AG31" s="1466">
        <f t="shared" ref="AG31:AG69" si="58">IF(AF31&gt;0,$G31,0)</f>
        <v>0</v>
      </c>
      <c r="AH31" s="1466">
        <f t="shared" ref="AH31:AH69" si="59">IF(AF31&gt;0,$N31,0)</f>
        <v>0</v>
      </c>
      <c r="AI31" s="1466">
        <f t="shared" ref="AI31:AI69" si="60">AF31*AH31</f>
        <v>0</v>
      </c>
      <c r="AJ31" s="1467">
        <f t="shared" ref="AJ31:AJ69" si="61">IF(AF31&gt;0,$O31,0)</f>
        <v>0</v>
      </c>
      <c r="AK31" s="1468" t="b">
        <f t="shared" si="10"/>
        <v>1</v>
      </c>
      <c r="AL31" s="1469" t="b">
        <f t="shared" si="11"/>
        <v>1</v>
      </c>
      <c r="AM31" s="1469" t="str">
        <f t="shared" si="12"/>
        <v/>
      </c>
      <c r="AN31" s="1469" t="b">
        <f t="shared" si="13"/>
        <v>0</v>
      </c>
      <c r="AO31" s="1470" t="b">
        <f>IF(OR(COUNTBLANK(D31:I31)=6,AND(COUNTBLANK(D31:G31)=4,H31=0)),OR(AN32:AN$69),NOT(AN31))</f>
        <v>0</v>
      </c>
      <c r="AP31" s="1469" t="b">
        <f t="shared" si="14"/>
        <v>1</v>
      </c>
      <c r="AQ31" s="1469" t="b">
        <f t="shared" ref="AQ31:AQ69" si="62">AND(AK31,AL31)</f>
        <v>1</v>
      </c>
      <c r="AR31" s="1471">
        <f t="shared" si="15"/>
        <v>0</v>
      </c>
      <c r="AS31" s="1471" t="str">
        <f t="shared" si="16"/>
        <v/>
      </c>
      <c r="AT31" s="1472" t="str">
        <f t="shared" ref="AT31:AT69" si="63">IF(AQ31,IF(ISNUMBER(U31),ROUND(U31,1),U31),"")</f>
        <v/>
      </c>
      <c r="AU31" s="1473" t="str">
        <f t="shared" si="17"/>
        <v/>
      </c>
      <c r="AV31" s="1474" t="str">
        <f t="shared" si="18"/>
        <v/>
      </c>
      <c r="AW31" s="1475"/>
      <c r="AX31" s="1474" t="str">
        <f t="shared" ref="AX31:AX69" si="64">IF(DI31&lt;&gt;"OK",DI31,IF(DE31&lt;&gt;"OK",DE31,IF(DB31&lt;&gt;"OK",DB31,IF(DC31&lt;&gt;"OK",DC31,IF(DD31&lt;&gt;"OK",DD31,IF(DA31&lt;&gt;"OK",DA31,IF(DF31&lt;&gt;"OK",DF31,IF(DG31&lt;&gt;"OK",DG31,IF(DH31&lt;&gt;"OK",DH31,IF(CZ31&lt;&gt;"OK",CZ31,""))))))))))</f>
        <v/>
      </c>
      <c r="AY31" s="1762"/>
      <c r="AZ31" s="1762"/>
      <c r="BA31" s="1476" t="b">
        <f t="shared" si="19"/>
        <v>0</v>
      </c>
      <c r="BB31" s="1477" t="b">
        <f t="shared" si="20"/>
        <v>0</v>
      </c>
      <c r="BC31" s="1478" t="b">
        <f t="shared" si="21"/>
        <v>0</v>
      </c>
      <c r="BD31" s="1476" t="b">
        <f t="shared" si="22"/>
        <v>0</v>
      </c>
      <c r="BE31" s="1476" t="b">
        <f t="shared" si="23"/>
        <v>1</v>
      </c>
      <c r="BF31" s="1477" t="b">
        <f t="shared" si="24"/>
        <v>0</v>
      </c>
      <c r="BG31" s="1478" t="b">
        <f t="shared" si="25"/>
        <v>0</v>
      </c>
      <c r="BH31" s="1476" t="b">
        <f t="shared" si="26"/>
        <v>0</v>
      </c>
      <c r="BI31" s="1477" t="b">
        <f t="shared" ref="BI31:BI69" si="65">DJ31&gt;0</f>
        <v>0</v>
      </c>
      <c r="BJ31" s="1479" t="b">
        <f t="shared" si="27"/>
        <v>0</v>
      </c>
      <c r="BK31" s="1480" t="b">
        <f t="shared" si="28"/>
        <v>0</v>
      </c>
      <c r="BL31" s="1481" t="str">
        <f t="shared" si="29"/>
        <v/>
      </c>
      <c r="BN31" s="590" t="str">
        <f t="shared" si="30"/>
        <v>no data</v>
      </c>
      <c r="BP31" s="592">
        <v>2</v>
      </c>
      <c r="BQ31" s="592">
        <f t="shared" si="31"/>
        <v>10</v>
      </c>
      <c r="BU31" s="572"/>
      <c r="BV31" s="175"/>
      <c r="BW31" s="140"/>
      <c r="BX31" s="140"/>
      <c r="BY31" s="1483">
        <f t="shared" si="32"/>
        <v>2</v>
      </c>
      <c r="BZ31" s="1222">
        <f t="shared" si="32"/>
        <v>0</v>
      </c>
      <c r="CA31" s="1222">
        <f t="shared" si="33"/>
        <v>0</v>
      </c>
      <c r="CB31" s="1223" t="str">
        <f t="shared" si="34"/>
        <v/>
      </c>
      <c r="CC31" s="1224" t="str">
        <f>IF(AQ31,IF(ISNUMBER(#REF!),MAX('Adjustment factors'!$S$16,0.2+0.8*#REF!),IF(ISTEXT(J31),VLOOKUP(J31,Afactors,2,FALSE),"")),"")</f>
        <v/>
      </c>
      <c r="CD31" s="1484" t="str">
        <f t="shared" si="35"/>
        <v/>
      </c>
      <c r="CE31" s="150"/>
      <c r="CF31" s="150"/>
      <c r="CG31" s="140"/>
      <c r="CH31" s="140"/>
      <c r="CI31" s="140"/>
      <c r="CJ31" s="140"/>
      <c r="CK31" s="140"/>
      <c r="CL31" s="140"/>
      <c r="CM31" s="140"/>
      <c r="CN31" s="140"/>
      <c r="CO31" s="140"/>
      <c r="CP31" s="140"/>
      <c r="CQ31" s="140"/>
      <c r="CR31" s="140"/>
      <c r="CS31" s="140"/>
      <c r="CU31" s="590" t="str">
        <f t="shared" si="36"/>
        <v>OK</v>
      </c>
      <c r="CV31" s="590" t="str">
        <f t="shared" si="37"/>
        <v>OK</v>
      </c>
      <c r="CW31" s="590" t="str">
        <f t="shared" si="38"/>
        <v>OK</v>
      </c>
      <c r="CX31" s="590" t="str">
        <f t="shared" si="39"/>
        <v>OK</v>
      </c>
      <c r="CY31" s="939" t="str">
        <f t="shared" si="40"/>
        <v>OK</v>
      </c>
      <c r="CZ31" s="590" t="str">
        <f t="shared" si="41"/>
        <v>OK</v>
      </c>
      <c r="DA31" s="590" t="str">
        <f t="shared" si="42"/>
        <v>OK</v>
      </c>
      <c r="DB31" s="590" t="str">
        <f t="shared" si="43"/>
        <v>OK</v>
      </c>
      <c r="DC31" s="590" t="str">
        <f>IF(AND(ISNUMBER(#REF!),J31&lt;&gt;FixedDim),"Select fixed dimming with an illuminance factor","OK")</f>
        <v>OK</v>
      </c>
      <c r="DD31" s="590" t="str">
        <f>IF(AND(NOT(ISNUMBER(#REF!)),J31=FixedDim),"Enter an illuminance factor","OK")</f>
        <v>OK</v>
      </c>
      <c r="DE31" s="590" t="str">
        <f t="shared" ref="DE31:DE69" si="66">IF(ISNUMBER(FIND("NA",$J31)),"Adjustment Factor not applicable","OK")</f>
        <v>OK</v>
      </c>
      <c r="DF31" s="590" t="str">
        <f t="shared" si="44"/>
        <v>OK</v>
      </c>
      <c r="DG31" s="590" t="str">
        <f t="shared" si="45"/>
        <v>OK</v>
      </c>
      <c r="DH31" s="590" t="str">
        <f t="shared" si="46"/>
        <v>OK</v>
      </c>
      <c r="DI31" s="939" t="str">
        <f t="shared" si="47"/>
        <v>OK</v>
      </c>
      <c r="DJ31" s="591">
        <f t="shared" si="48"/>
        <v>0</v>
      </c>
      <c r="DK31" s="940" t="str">
        <f t="shared" si="49"/>
        <v>OK</v>
      </c>
    </row>
    <row r="32" spans="1:115" ht="18" customHeight="1" x14ac:dyDescent="0.4">
      <c r="A32" s="589"/>
      <c r="B32" s="1485">
        <f t="shared" si="0"/>
        <v>10</v>
      </c>
      <c r="C32" s="1214">
        <v>3</v>
      </c>
      <c r="D32" s="1215"/>
      <c r="E32" s="1216"/>
      <c r="F32" s="1217"/>
      <c r="G32" s="1218"/>
      <c r="H32" s="1760"/>
      <c r="I32" s="1760"/>
      <c r="J32" s="1460"/>
      <c r="K32" s="1219"/>
      <c r="L32" s="1219"/>
      <c r="M32" s="1220"/>
      <c r="N32" s="1221" t="str">
        <f t="shared" si="1"/>
        <v/>
      </c>
      <c r="O32" s="1221" t="str">
        <f t="shared" si="1"/>
        <v/>
      </c>
      <c r="P32" s="1461" t="str">
        <f t="shared" si="2"/>
        <v/>
      </c>
      <c r="Q32" s="150"/>
      <c r="R32" s="1462" t="str">
        <f t="shared" si="3"/>
        <v/>
      </c>
      <c r="S32" s="1463" t="b">
        <f t="shared" si="4"/>
        <v>0</v>
      </c>
      <c r="T32" s="1464" t="str">
        <f t="shared" si="50"/>
        <v/>
      </c>
      <c r="U32" s="1464" t="str">
        <f t="shared" si="5"/>
        <v/>
      </c>
      <c r="V32" s="1465">
        <f t="shared" si="6"/>
        <v>0</v>
      </c>
      <c r="W32" s="1466">
        <f t="shared" si="51"/>
        <v>0</v>
      </c>
      <c r="X32" s="1466">
        <f t="shared" si="52"/>
        <v>0</v>
      </c>
      <c r="Y32" s="1466">
        <f t="shared" si="7"/>
        <v>0</v>
      </c>
      <c r="Z32" s="1467">
        <f t="shared" si="53"/>
        <v>0</v>
      </c>
      <c r="AA32" s="1465">
        <f t="shared" si="8"/>
        <v>0</v>
      </c>
      <c r="AB32" s="1466">
        <f t="shared" si="54"/>
        <v>0</v>
      </c>
      <c r="AC32" s="1466">
        <f t="shared" si="55"/>
        <v>0</v>
      </c>
      <c r="AD32" s="1466">
        <f t="shared" si="56"/>
        <v>0</v>
      </c>
      <c r="AE32" s="1467">
        <f t="shared" si="57"/>
        <v>0</v>
      </c>
      <c r="AF32" s="1465">
        <f t="shared" si="9"/>
        <v>0</v>
      </c>
      <c r="AG32" s="1466">
        <f t="shared" si="58"/>
        <v>0</v>
      </c>
      <c r="AH32" s="1466">
        <f t="shared" si="59"/>
        <v>0</v>
      </c>
      <c r="AI32" s="1466">
        <f t="shared" si="60"/>
        <v>0</v>
      </c>
      <c r="AJ32" s="1467">
        <f t="shared" si="61"/>
        <v>0</v>
      </c>
      <c r="AK32" s="1468" t="b">
        <f t="shared" si="10"/>
        <v>1</v>
      </c>
      <c r="AL32" s="1469" t="b">
        <f t="shared" si="11"/>
        <v>1</v>
      </c>
      <c r="AM32" s="1469" t="str">
        <f t="shared" si="12"/>
        <v/>
      </c>
      <c r="AN32" s="1469" t="b">
        <f t="shared" si="13"/>
        <v>0</v>
      </c>
      <c r="AO32" s="1470" t="b">
        <f>IF(OR(COUNTBLANK(D32:I32)=6,AND(COUNTBLANK(D32:G32)=4,H32=0)),OR(AN33:AN$69),NOT(AN32))</f>
        <v>0</v>
      </c>
      <c r="AP32" s="1469" t="b">
        <f t="shared" si="14"/>
        <v>1</v>
      </c>
      <c r="AQ32" s="1469" t="b">
        <f t="shared" si="62"/>
        <v>1</v>
      </c>
      <c r="AR32" s="1471">
        <f t="shared" si="15"/>
        <v>0</v>
      </c>
      <c r="AS32" s="1471" t="str">
        <f t="shared" si="16"/>
        <v/>
      </c>
      <c r="AT32" s="1472" t="str">
        <f t="shared" si="63"/>
        <v/>
      </c>
      <c r="AU32" s="1473" t="str">
        <f t="shared" si="17"/>
        <v/>
      </c>
      <c r="AV32" s="1474" t="str">
        <f t="shared" si="18"/>
        <v/>
      </c>
      <c r="AW32" s="1475"/>
      <c r="AX32" s="1474" t="str">
        <f t="shared" si="64"/>
        <v/>
      </c>
      <c r="AY32" s="1762"/>
      <c r="AZ32" s="1762"/>
      <c r="BA32" s="1476" t="b">
        <f t="shared" si="19"/>
        <v>0</v>
      </c>
      <c r="BB32" s="1477" t="b">
        <f t="shared" si="20"/>
        <v>0</v>
      </c>
      <c r="BC32" s="1478" t="b">
        <f t="shared" si="21"/>
        <v>0</v>
      </c>
      <c r="BD32" s="1476" t="b">
        <f t="shared" si="22"/>
        <v>0</v>
      </c>
      <c r="BE32" s="1476" t="b">
        <f t="shared" si="23"/>
        <v>1</v>
      </c>
      <c r="BF32" s="1477" t="b">
        <f t="shared" si="24"/>
        <v>0</v>
      </c>
      <c r="BG32" s="1478" t="b">
        <f t="shared" si="25"/>
        <v>0</v>
      </c>
      <c r="BH32" s="1476" t="b">
        <f t="shared" si="26"/>
        <v>0</v>
      </c>
      <c r="BI32" s="1477" t="b">
        <f t="shared" si="65"/>
        <v>0</v>
      </c>
      <c r="BJ32" s="1479" t="b">
        <f t="shared" si="27"/>
        <v>0</v>
      </c>
      <c r="BK32" s="1480" t="b">
        <f t="shared" si="28"/>
        <v>0</v>
      </c>
      <c r="BL32" s="1481" t="str">
        <f t="shared" si="29"/>
        <v/>
      </c>
      <c r="BN32" s="590" t="str">
        <f t="shared" si="30"/>
        <v>no data</v>
      </c>
      <c r="BP32" s="592">
        <v>3</v>
      </c>
      <c r="BQ32" s="592">
        <f t="shared" si="31"/>
        <v>10</v>
      </c>
      <c r="BU32" s="572"/>
      <c r="BV32" s="175"/>
      <c r="BW32" s="140"/>
      <c r="BX32" s="140"/>
      <c r="BY32" s="1483">
        <f t="shared" si="32"/>
        <v>3</v>
      </c>
      <c r="BZ32" s="1222">
        <f t="shared" si="32"/>
        <v>0</v>
      </c>
      <c r="CA32" s="1222">
        <f t="shared" si="33"/>
        <v>0</v>
      </c>
      <c r="CB32" s="1223" t="str">
        <f t="shared" si="34"/>
        <v/>
      </c>
      <c r="CC32" s="1224" t="str">
        <f>IF(AQ32,IF(ISNUMBER(#REF!),MAX('Adjustment factors'!$S$16,0.2+0.8*#REF!),IF(ISTEXT(J32),VLOOKUP(J32,Afactors,2,FALSE),"")),"")</f>
        <v/>
      </c>
      <c r="CD32" s="1484" t="str">
        <f t="shared" si="35"/>
        <v/>
      </c>
      <c r="CE32" s="150"/>
      <c r="CF32" s="150"/>
      <c r="CG32" s="140"/>
      <c r="CH32" s="140"/>
      <c r="CI32" s="140"/>
      <c r="CJ32" s="140"/>
      <c r="CK32" s="140"/>
      <c r="CL32" s="140"/>
      <c r="CM32" s="140"/>
      <c r="CN32" s="140"/>
      <c r="CO32" s="140"/>
      <c r="CP32" s="140"/>
      <c r="CQ32" s="140"/>
      <c r="CR32" s="140"/>
      <c r="CS32" s="140"/>
      <c r="CU32" s="590" t="str">
        <f t="shared" si="36"/>
        <v>OK</v>
      </c>
      <c r="CV32" s="590" t="str">
        <f t="shared" si="37"/>
        <v>OK</v>
      </c>
      <c r="CW32" s="590" t="str">
        <f t="shared" si="38"/>
        <v>OK</v>
      </c>
      <c r="CX32" s="590" t="str">
        <f t="shared" si="39"/>
        <v>OK</v>
      </c>
      <c r="CY32" s="939" t="str">
        <f t="shared" si="40"/>
        <v>OK</v>
      </c>
      <c r="CZ32" s="590" t="str">
        <f t="shared" si="41"/>
        <v>OK</v>
      </c>
      <c r="DA32" s="590" t="str">
        <f t="shared" si="42"/>
        <v>OK</v>
      </c>
      <c r="DB32" s="590" t="str">
        <f t="shared" si="43"/>
        <v>OK</v>
      </c>
      <c r="DC32" s="590" t="str">
        <f>IF(AND(ISNUMBER(#REF!),J32&lt;&gt;FixedDim),"Select fixed dimming with an illuminance factor","OK")</f>
        <v>OK</v>
      </c>
      <c r="DD32" s="590" t="str">
        <f>IF(AND(NOT(ISNUMBER(#REF!)),J32=FixedDim),"Enter an illuminance factor","OK")</f>
        <v>OK</v>
      </c>
      <c r="DE32" s="590" t="str">
        <f t="shared" si="66"/>
        <v>OK</v>
      </c>
      <c r="DF32" s="590" t="str">
        <f t="shared" si="44"/>
        <v>OK</v>
      </c>
      <c r="DG32" s="590" t="str">
        <f t="shared" si="45"/>
        <v>OK</v>
      </c>
      <c r="DH32" s="590" t="str">
        <f t="shared" si="46"/>
        <v>OK</v>
      </c>
      <c r="DI32" s="939" t="str">
        <f t="shared" si="47"/>
        <v>OK</v>
      </c>
      <c r="DJ32" s="591">
        <f t="shared" si="48"/>
        <v>0</v>
      </c>
      <c r="DK32" s="940" t="str">
        <f t="shared" si="49"/>
        <v>OK</v>
      </c>
    </row>
    <row r="33" spans="1:115" ht="18" customHeight="1" x14ac:dyDescent="0.4">
      <c r="A33" s="589"/>
      <c r="B33" s="1485">
        <f t="shared" si="0"/>
        <v>10</v>
      </c>
      <c r="C33" s="1214">
        <v>4</v>
      </c>
      <c r="D33" s="1215"/>
      <c r="E33" s="1216"/>
      <c r="F33" s="1217"/>
      <c r="G33" s="1218"/>
      <c r="H33" s="1760"/>
      <c r="I33" s="1760"/>
      <c r="J33" s="1460"/>
      <c r="K33" s="1219"/>
      <c r="L33" s="1219"/>
      <c r="M33" s="1220"/>
      <c r="N33" s="1221" t="str">
        <f t="shared" si="1"/>
        <v/>
      </c>
      <c r="O33" s="1221" t="str">
        <f t="shared" si="1"/>
        <v/>
      </c>
      <c r="P33" s="1461" t="str">
        <f t="shared" si="2"/>
        <v/>
      </c>
      <c r="Q33" s="150"/>
      <c r="R33" s="1462" t="str">
        <f t="shared" si="3"/>
        <v/>
      </c>
      <c r="S33" s="1463" t="b">
        <f t="shared" si="4"/>
        <v>0</v>
      </c>
      <c r="T33" s="1464" t="str">
        <f t="shared" si="50"/>
        <v/>
      </c>
      <c r="U33" s="1464" t="str">
        <f t="shared" si="5"/>
        <v/>
      </c>
      <c r="V33" s="1465">
        <f t="shared" si="6"/>
        <v>0</v>
      </c>
      <c r="W33" s="1466">
        <f t="shared" si="51"/>
        <v>0</v>
      </c>
      <c r="X33" s="1466">
        <f t="shared" si="52"/>
        <v>0</v>
      </c>
      <c r="Y33" s="1466">
        <f t="shared" si="7"/>
        <v>0</v>
      </c>
      <c r="Z33" s="1467">
        <f t="shared" si="53"/>
        <v>0</v>
      </c>
      <c r="AA33" s="1465">
        <f t="shared" si="8"/>
        <v>0</v>
      </c>
      <c r="AB33" s="1466">
        <f t="shared" si="54"/>
        <v>0</v>
      </c>
      <c r="AC33" s="1466">
        <f t="shared" si="55"/>
        <v>0</v>
      </c>
      <c r="AD33" s="1466">
        <f t="shared" si="56"/>
        <v>0</v>
      </c>
      <c r="AE33" s="1467">
        <f t="shared" si="57"/>
        <v>0</v>
      </c>
      <c r="AF33" s="1465">
        <f t="shared" si="9"/>
        <v>0</v>
      </c>
      <c r="AG33" s="1466">
        <f t="shared" si="58"/>
        <v>0</v>
      </c>
      <c r="AH33" s="1466">
        <f t="shared" si="59"/>
        <v>0</v>
      </c>
      <c r="AI33" s="1466">
        <f t="shared" si="60"/>
        <v>0</v>
      </c>
      <c r="AJ33" s="1467">
        <f t="shared" si="61"/>
        <v>0</v>
      </c>
      <c r="AK33" s="1468" t="b">
        <f t="shared" si="10"/>
        <v>1</v>
      </c>
      <c r="AL33" s="1469" t="b">
        <f t="shared" si="11"/>
        <v>1</v>
      </c>
      <c r="AM33" s="1469" t="str">
        <f t="shared" si="12"/>
        <v/>
      </c>
      <c r="AN33" s="1469" t="b">
        <f t="shared" si="13"/>
        <v>0</v>
      </c>
      <c r="AO33" s="1470" t="b">
        <f>IF(OR(COUNTBLANK(D33:I33)=6,AND(COUNTBLANK(D33:G33)=4,H33=0)),OR(AN34:AN$69),NOT(AN33))</f>
        <v>0</v>
      </c>
      <c r="AP33" s="1469" t="b">
        <f t="shared" si="14"/>
        <v>1</v>
      </c>
      <c r="AQ33" s="1469" t="b">
        <f t="shared" si="62"/>
        <v>1</v>
      </c>
      <c r="AR33" s="1471">
        <f t="shared" si="15"/>
        <v>0</v>
      </c>
      <c r="AS33" s="1471" t="str">
        <f t="shared" si="16"/>
        <v/>
      </c>
      <c r="AT33" s="1472" t="str">
        <f t="shared" si="63"/>
        <v/>
      </c>
      <c r="AU33" s="1473" t="str">
        <f t="shared" si="17"/>
        <v/>
      </c>
      <c r="AV33" s="1474" t="str">
        <f t="shared" si="18"/>
        <v/>
      </c>
      <c r="AW33" s="1475"/>
      <c r="AX33" s="1474" t="str">
        <f t="shared" si="64"/>
        <v/>
      </c>
      <c r="AY33" s="1762"/>
      <c r="AZ33" s="1762"/>
      <c r="BA33" s="1476" t="b">
        <f t="shared" si="19"/>
        <v>0</v>
      </c>
      <c r="BB33" s="1477" t="b">
        <f t="shared" si="20"/>
        <v>0</v>
      </c>
      <c r="BC33" s="1478" t="b">
        <f t="shared" si="21"/>
        <v>0</v>
      </c>
      <c r="BD33" s="1476" t="b">
        <f t="shared" si="22"/>
        <v>0</v>
      </c>
      <c r="BE33" s="1476" t="b">
        <f t="shared" si="23"/>
        <v>1</v>
      </c>
      <c r="BF33" s="1477" t="b">
        <f t="shared" si="24"/>
        <v>0</v>
      </c>
      <c r="BG33" s="1478" t="b">
        <f t="shared" si="25"/>
        <v>0</v>
      </c>
      <c r="BH33" s="1476" t="b">
        <f t="shared" si="26"/>
        <v>0</v>
      </c>
      <c r="BI33" s="1477" t="b">
        <f t="shared" si="65"/>
        <v>0</v>
      </c>
      <c r="BJ33" s="1479" t="b">
        <f t="shared" si="27"/>
        <v>0</v>
      </c>
      <c r="BK33" s="1480" t="b">
        <f t="shared" si="28"/>
        <v>0</v>
      </c>
      <c r="BL33" s="1481" t="str">
        <f t="shared" si="29"/>
        <v/>
      </c>
      <c r="BN33" s="590" t="str">
        <f t="shared" si="30"/>
        <v>no data</v>
      </c>
      <c r="BP33" s="592">
        <v>4</v>
      </c>
      <c r="BQ33" s="592">
        <f t="shared" si="31"/>
        <v>10</v>
      </c>
      <c r="BU33" s="572"/>
      <c r="BV33" s="175"/>
      <c r="BW33" s="140"/>
      <c r="BX33" s="140"/>
      <c r="BY33" s="1483">
        <f t="shared" si="32"/>
        <v>4</v>
      </c>
      <c r="BZ33" s="1222">
        <f t="shared" si="32"/>
        <v>0</v>
      </c>
      <c r="CA33" s="1222">
        <f t="shared" si="33"/>
        <v>0</v>
      </c>
      <c r="CB33" s="1223" t="str">
        <f t="shared" si="34"/>
        <v/>
      </c>
      <c r="CC33" s="1224" t="str">
        <f>IF(AQ33,IF(ISNUMBER(#REF!),MAX('Adjustment factors'!$S$16,0.2+0.8*#REF!),IF(ISTEXT(J33),VLOOKUP(J33,Afactors,2,FALSE),"")),"")</f>
        <v/>
      </c>
      <c r="CD33" s="1484" t="str">
        <f t="shared" si="35"/>
        <v/>
      </c>
      <c r="CE33" s="150"/>
      <c r="CF33" s="150"/>
      <c r="CG33" s="140"/>
      <c r="CH33" s="140"/>
      <c r="CI33" s="140"/>
      <c r="CJ33" s="140"/>
      <c r="CK33" s="140"/>
      <c r="CL33" s="140"/>
      <c r="CM33" s="140"/>
      <c r="CN33" s="140"/>
      <c r="CO33" s="140"/>
      <c r="CP33" s="140"/>
      <c r="CQ33" s="140"/>
      <c r="CR33" s="140"/>
      <c r="CS33" s="140"/>
      <c r="CU33" s="590" t="str">
        <f t="shared" si="36"/>
        <v>OK</v>
      </c>
      <c r="CV33" s="590" t="str">
        <f t="shared" si="37"/>
        <v>OK</v>
      </c>
      <c r="CW33" s="590" t="str">
        <f t="shared" si="38"/>
        <v>OK</v>
      </c>
      <c r="CX33" s="590" t="str">
        <f t="shared" si="39"/>
        <v>OK</v>
      </c>
      <c r="CY33" s="939" t="str">
        <f t="shared" si="40"/>
        <v>OK</v>
      </c>
      <c r="CZ33" s="590" t="str">
        <f t="shared" si="41"/>
        <v>OK</v>
      </c>
      <c r="DA33" s="590" t="str">
        <f t="shared" si="42"/>
        <v>OK</v>
      </c>
      <c r="DB33" s="590" t="str">
        <f t="shared" si="43"/>
        <v>OK</v>
      </c>
      <c r="DC33" s="590" t="str">
        <f>IF(AND(ISNUMBER(#REF!),J33&lt;&gt;FixedDim),"Select fixed dimming with an illuminance factor","OK")</f>
        <v>OK</v>
      </c>
      <c r="DD33" s="590" t="str">
        <f>IF(AND(NOT(ISNUMBER(#REF!)),J33=FixedDim),"Enter an illuminance factor","OK")</f>
        <v>OK</v>
      </c>
      <c r="DE33" s="590" t="str">
        <f t="shared" si="66"/>
        <v>OK</v>
      </c>
      <c r="DF33" s="590" t="str">
        <f t="shared" si="44"/>
        <v>OK</v>
      </c>
      <c r="DG33" s="590" t="str">
        <f t="shared" si="45"/>
        <v>OK</v>
      </c>
      <c r="DH33" s="590" t="str">
        <f t="shared" si="46"/>
        <v>OK</v>
      </c>
      <c r="DI33" s="939" t="str">
        <f t="shared" si="47"/>
        <v>OK</v>
      </c>
      <c r="DJ33" s="591">
        <f t="shared" si="48"/>
        <v>0</v>
      </c>
      <c r="DK33" s="940" t="str">
        <f t="shared" si="49"/>
        <v>OK</v>
      </c>
    </row>
    <row r="34" spans="1:115" ht="18" customHeight="1" x14ac:dyDescent="0.4">
      <c r="A34" s="589"/>
      <c r="B34" s="1485">
        <f t="shared" si="0"/>
        <v>10</v>
      </c>
      <c r="C34" s="1214">
        <v>5</v>
      </c>
      <c r="D34" s="1215"/>
      <c r="E34" s="1216"/>
      <c r="F34" s="1217"/>
      <c r="G34" s="1218"/>
      <c r="H34" s="1760"/>
      <c r="I34" s="1760"/>
      <c r="J34" s="1460"/>
      <c r="K34" s="1219"/>
      <c r="L34" s="1219"/>
      <c r="M34" s="1220"/>
      <c r="N34" s="1221" t="str">
        <f t="shared" si="1"/>
        <v/>
      </c>
      <c r="O34" s="1221" t="str">
        <f t="shared" si="1"/>
        <v/>
      </c>
      <c r="P34" s="1461" t="str">
        <f t="shared" si="2"/>
        <v/>
      </c>
      <c r="Q34" s="150"/>
      <c r="R34" s="1462" t="str">
        <f t="shared" si="3"/>
        <v/>
      </c>
      <c r="S34" s="1463" t="b">
        <f t="shared" si="4"/>
        <v>0</v>
      </c>
      <c r="T34" s="1464" t="str">
        <f t="shared" si="50"/>
        <v/>
      </c>
      <c r="U34" s="1464" t="str">
        <f t="shared" si="5"/>
        <v/>
      </c>
      <c r="V34" s="1465">
        <f t="shared" si="6"/>
        <v>0</v>
      </c>
      <c r="W34" s="1466">
        <f t="shared" si="51"/>
        <v>0</v>
      </c>
      <c r="X34" s="1466">
        <f t="shared" si="52"/>
        <v>0</v>
      </c>
      <c r="Y34" s="1466">
        <f t="shared" si="7"/>
        <v>0</v>
      </c>
      <c r="Z34" s="1467">
        <f t="shared" si="53"/>
        <v>0</v>
      </c>
      <c r="AA34" s="1465">
        <f t="shared" si="8"/>
        <v>0</v>
      </c>
      <c r="AB34" s="1466">
        <f t="shared" si="54"/>
        <v>0</v>
      </c>
      <c r="AC34" s="1466">
        <f t="shared" si="55"/>
        <v>0</v>
      </c>
      <c r="AD34" s="1466">
        <f t="shared" si="56"/>
        <v>0</v>
      </c>
      <c r="AE34" s="1467">
        <f t="shared" si="57"/>
        <v>0</v>
      </c>
      <c r="AF34" s="1465">
        <f t="shared" si="9"/>
        <v>0</v>
      </c>
      <c r="AG34" s="1466">
        <f t="shared" si="58"/>
        <v>0</v>
      </c>
      <c r="AH34" s="1466">
        <f t="shared" si="59"/>
        <v>0</v>
      </c>
      <c r="AI34" s="1466">
        <f t="shared" si="60"/>
        <v>0</v>
      </c>
      <c r="AJ34" s="1467">
        <f t="shared" si="61"/>
        <v>0</v>
      </c>
      <c r="AK34" s="1468" t="b">
        <f t="shared" si="10"/>
        <v>1</v>
      </c>
      <c r="AL34" s="1469" t="b">
        <f t="shared" si="11"/>
        <v>1</v>
      </c>
      <c r="AM34" s="1469" t="str">
        <f t="shared" si="12"/>
        <v/>
      </c>
      <c r="AN34" s="1469" t="b">
        <f t="shared" si="13"/>
        <v>0</v>
      </c>
      <c r="AO34" s="1470" t="b">
        <f>IF(OR(COUNTBLANK(D34:I34)=6,AND(COUNTBLANK(D34:G34)=4,H34=0)),OR(AN35:AN$69),NOT(AN34))</f>
        <v>0</v>
      </c>
      <c r="AP34" s="1469" t="b">
        <f t="shared" si="14"/>
        <v>1</v>
      </c>
      <c r="AQ34" s="1469" t="b">
        <f t="shared" si="62"/>
        <v>1</v>
      </c>
      <c r="AR34" s="1471">
        <f t="shared" si="15"/>
        <v>0</v>
      </c>
      <c r="AS34" s="1471" t="str">
        <f t="shared" si="16"/>
        <v/>
      </c>
      <c r="AT34" s="1472" t="str">
        <f t="shared" si="63"/>
        <v/>
      </c>
      <c r="AU34" s="1473" t="str">
        <f t="shared" si="17"/>
        <v/>
      </c>
      <c r="AV34" s="1474" t="str">
        <f t="shared" si="18"/>
        <v/>
      </c>
      <c r="AW34" s="1475"/>
      <c r="AX34" s="1474" t="str">
        <f t="shared" si="64"/>
        <v/>
      </c>
      <c r="AY34" s="1762"/>
      <c r="AZ34" s="1762"/>
      <c r="BA34" s="1476" t="b">
        <f t="shared" si="19"/>
        <v>0</v>
      </c>
      <c r="BB34" s="1477" t="b">
        <f t="shared" si="20"/>
        <v>0</v>
      </c>
      <c r="BC34" s="1478" t="b">
        <f t="shared" si="21"/>
        <v>0</v>
      </c>
      <c r="BD34" s="1476" t="b">
        <f t="shared" si="22"/>
        <v>0</v>
      </c>
      <c r="BE34" s="1476" t="b">
        <f t="shared" si="23"/>
        <v>1</v>
      </c>
      <c r="BF34" s="1477" t="b">
        <f t="shared" si="24"/>
        <v>0</v>
      </c>
      <c r="BG34" s="1478" t="b">
        <f t="shared" si="25"/>
        <v>0</v>
      </c>
      <c r="BH34" s="1476" t="b">
        <f t="shared" si="26"/>
        <v>0</v>
      </c>
      <c r="BI34" s="1477" t="b">
        <f t="shared" si="65"/>
        <v>0</v>
      </c>
      <c r="BJ34" s="1479" t="b">
        <f t="shared" si="27"/>
        <v>0</v>
      </c>
      <c r="BK34" s="1480" t="b">
        <f t="shared" si="28"/>
        <v>0</v>
      </c>
      <c r="BL34" s="1481" t="str">
        <f t="shared" si="29"/>
        <v/>
      </c>
      <c r="BN34" s="590" t="str">
        <f t="shared" si="30"/>
        <v>no data</v>
      </c>
      <c r="BP34" s="592">
        <v>5</v>
      </c>
      <c r="BQ34" s="592">
        <f t="shared" si="31"/>
        <v>10</v>
      </c>
      <c r="BU34" s="572"/>
      <c r="BV34" s="175"/>
      <c r="BW34" s="140"/>
      <c r="BX34" s="140"/>
      <c r="BY34" s="1483">
        <f t="shared" si="32"/>
        <v>5</v>
      </c>
      <c r="BZ34" s="1222">
        <f t="shared" si="32"/>
        <v>0</v>
      </c>
      <c r="CA34" s="1222">
        <f t="shared" si="33"/>
        <v>0</v>
      </c>
      <c r="CB34" s="1223" t="str">
        <f t="shared" si="34"/>
        <v/>
      </c>
      <c r="CC34" s="1224" t="str">
        <f>IF(AQ34,IF(ISNUMBER(#REF!),MAX('Adjustment factors'!$S$16,0.2+0.8*#REF!),IF(ISTEXT(J34),VLOOKUP(J34,Afactors,2,FALSE),"")),"")</f>
        <v/>
      </c>
      <c r="CD34" s="1484" t="str">
        <f t="shared" si="35"/>
        <v/>
      </c>
      <c r="CE34" s="150"/>
      <c r="CF34" s="150"/>
      <c r="CG34" s="140"/>
      <c r="CH34" s="140"/>
      <c r="CI34" s="140"/>
      <c r="CJ34" s="140"/>
      <c r="CK34" s="140"/>
      <c r="CL34" s="140"/>
      <c r="CM34" s="140"/>
      <c r="CN34" s="140"/>
      <c r="CO34" s="140"/>
      <c r="CP34" s="140"/>
      <c r="CQ34" s="140"/>
      <c r="CR34" s="140"/>
      <c r="CS34" s="140"/>
      <c r="CU34" s="590" t="str">
        <f t="shared" si="36"/>
        <v>OK</v>
      </c>
      <c r="CV34" s="590" t="str">
        <f t="shared" si="37"/>
        <v>OK</v>
      </c>
      <c r="CW34" s="590" t="str">
        <f t="shared" si="38"/>
        <v>OK</v>
      </c>
      <c r="CX34" s="590" t="str">
        <f t="shared" si="39"/>
        <v>OK</v>
      </c>
      <c r="CY34" s="939" t="str">
        <f t="shared" si="40"/>
        <v>OK</v>
      </c>
      <c r="CZ34" s="590" t="str">
        <f t="shared" si="41"/>
        <v>OK</v>
      </c>
      <c r="DA34" s="590" t="str">
        <f t="shared" si="42"/>
        <v>OK</v>
      </c>
      <c r="DB34" s="590" t="str">
        <f t="shared" si="43"/>
        <v>OK</v>
      </c>
      <c r="DC34" s="590" t="str">
        <f>IF(AND(ISNUMBER(#REF!),J34&lt;&gt;FixedDim),"Select fixed dimming with an illuminance factor","OK")</f>
        <v>OK</v>
      </c>
      <c r="DD34" s="590" t="str">
        <f>IF(AND(NOT(ISNUMBER(#REF!)),J34=FixedDim),"Enter an illuminance factor","OK")</f>
        <v>OK</v>
      </c>
      <c r="DE34" s="590" t="str">
        <f t="shared" si="66"/>
        <v>OK</v>
      </c>
      <c r="DF34" s="590" t="str">
        <f t="shared" si="44"/>
        <v>OK</v>
      </c>
      <c r="DG34" s="590" t="str">
        <f t="shared" si="45"/>
        <v>OK</v>
      </c>
      <c r="DH34" s="590" t="str">
        <f t="shared" si="46"/>
        <v>OK</v>
      </c>
      <c r="DI34" s="939" t="str">
        <f t="shared" si="47"/>
        <v>OK</v>
      </c>
      <c r="DJ34" s="591">
        <f t="shared" si="48"/>
        <v>0</v>
      </c>
      <c r="DK34" s="940" t="str">
        <f t="shared" si="49"/>
        <v>OK</v>
      </c>
    </row>
    <row r="35" spans="1:115" ht="36" customHeight="1" x14ac:dyDescent="0.4">
      <c r="A35" s="589"/>
      <c r="B35" s="1485">
        <f t="shared" si="0"/>
        <v>10</v>
      </c>
      <c r="C35" s="1214">
        <v>6</v>
      </c>
      <c r="D35" s="1215"/>
      <c r="E35" s="1216"/>
      <c r="F35" s="1217"/>
      <c r="G35" s="1218"/>
      <c r="H35" s="1760"/>
      <c r="I35" s="1760"/>
      <c r="J35" s="1460"/>
      <c r="K35" s="1219"/>
      <c r="L35" s="1219"/>
      <c r="M35" s="1220"/>
      <c r="N35" s="1221" t="str">
        <f t="shared" si="1"/>
        <v/>
      </c>
      <c r="O35" s="1221" t="str">
        <f t="shared" si="1"/>
        <v/>
      </c>
      <c r="P35" s="1461" t="str">
        <f t="shared" si="2"/>
        <v/>
      </c>
      <c r="Q35" s="150"/>
      <c r="R35" s="1462" t="str">
        <f t="shared" si="3"/>
        <v/>
      </c>
      <c r="S35" s="1463" t="b">
        <f t="shared" si="4"/>
        <v>0</v>
      </c>
      <c r="T35" s="1464" t="str">
        <f t="shared" si="50"/>
        <v/>
      </c>
      <c r="U35" s="1464" t="str">
        <f t="shared" si="5"/>
        <v/>
      </c>
      <c r="V35" s="1465">
        <f t="shared" si="6"/>
        <v>0</v>
      </c>
      <c r="W35" s="1466">
        <f t="shared" si="51"/>
        <v>0</v>
      </c>
      <c r="X35" s="1466">
        <f t="shared" si="52"/>
        <v>0</v>
      </c>
      <c r="Y35" s="1466">
        <f t="shared" si="7"/>
        <v>0</v>
      </c>
      <c r="Z35" s="1467">
        <f t="shared" si="53"/>
        <v>0</v>
      </c>
      <c r="AA35" s="1465">
        <f t="shared" si="8"/>
        <v>0</v>
      </c>
      <c r="AB35" s="1466">
        <f t="shared" si="54"/>
        <v>0</v>
      </c>
      <c r="AC35" s="1466">
        <f t="shared" si="55"/>
        <v>0</v>
      </c>
      <c r="AD35" s="1466">
        <f t="shared" si="56"/>
        <v>0</v>
      </c>
      <c r="AE35" s="1467">
        <f t="shared" si="57"/>
        <v>0</v>
      </c>
      <c r="AF35" s="1465">
        <f t="shared" si="9"/>
        <v>0</v>
      </c>
      <c r="AG35" s="1466">
        <f t="shared" si="58"/>
        <v>0</v>
      </c>
      <c r="AH35" s="1466">
        <f t="shared" si="59"/>
        <v>0</v>
      </c>
      <c r="AI35" s="1466">
        <f t="shared" si="60"/>
        <v>0</v>
      </c>
      <c r="AJ35" s="1467">
        <f t="shared" si="61"/>
        <v>0</v>
      </c>
      <c r="AK35" s="1468" t="b">
        <f t="shared" si="10"/>
        <v>1</v>
      </c>
      <c r="AL35" s="1469" t="b">
        <f t="shared" si="11"/>
        <v>1</v>
      </c>
      <c r="AM35" s="1469" t="str">
        <f t="shared" si="12"/>
        <v/>
      </c>
      <c r="AN35" s="1469" t="b">
        <f t="shared" si="13"/>
        <v>0</v>
      </c>
      <c r="AO35" s="1470" t="b">
        <f>IF(OR(COUNTBLANK(D35:I35)=6,AND(COUNTBLANK(D35:G35)=4,H35=0)),OR(AN36:AN$69),NOT(AN35))</f>
        <v>0</v>
      </c>
      <c r="AP35" s="1469" t="b">
        <f t="shared" si="14"/>
        <v>1</v>
      </c>
      <c r="AQ35" s="1469" t="b">
        <f t="shared" si="62"/>
        <v>1</v>
      </c>
      <c r="AR35" s="1471">
        <f t="shared" si="15"/>
        <v>0</v>
      </c>
      <c r="AS35" s="1471" t="str">
        <f t="shared" si="16"/>
        <v/>
      </c>
      <c r="AT35" s="1472" t="str">
        <f t="shared" si="63"/>
        <v/>
      </c>
      <c r="AU35" s="1473" t="str">
        <f t="shared" si="17"/>
        <v/>
      </c>
      <c r="AV35" s="1474" t="str">
        <f t="shared" si="18"/>
        <v/>
      </c>
      <c r="AW35" s="1475"/>
      <c r="AX35" s="1474" t="str">
        <f t="shared" si="64"/>
        <v/>
      </c>
      <c r="AY35" s="1762"/>
      <c r="AZ35" s="1762"/>
      <c r="BA35" s="1476" t="b">
        <f t="shared" si="19"/>
        <v>0</v>
      </c>
      <c r="BB35" s="1477" t="b">
        <f t="shared" si="20"/>
        <v>0</v>
      </c>
      <c r="BC35" s="1478" t="b">
        <f t="shared" si="21"/>
        <v>0</v>
      </c>
      <c r="BD35" s="1476" t="b">
        <f t="shared" si="22"/>
        <v>0</v>
      </c>
      <c r="BE35" s="1476" t="b">
        <f t="shared" si="23"/>
        <v>1</v>
      </c>
      <c r="BF35" s="1477" t="b">
        <f t="shared" si="24"/>
        <v>0</v>
      </c>
      <c r="BG35" s="1478" t="b">
        <f t="shared" si="25"/>
        <v>0</v>
      </c>
      <c r="BH35" s="1476" t="b">
        <f t="shared" si="26"/>
        <v>0</v>
      </c>
      <c r="BI35" s="1477" t="b">
        <f t="shared" si="65"/>
        <v>0</v>
      </c>
      <c r="BJ35" s="1479" t="b">
        <f t="shared" si="27"/>
        <v>0</v>
      </c>
      <c r="BK35" s="1480" t="b">
        <f t="shared" si="28"/>
        <v>0</v>
      </c>
      <c r="BL35" s="1481" t="str">
        <f t="shared" si="29"/>
        <v/>
      </c>
      <c r="BN35" s="590" t="str">
        <f t="shared" si="30"/>
        <v>no data</v>
      </c>
      <c r="BP35" s="592">
        <v>6</v>
      </c>
      <c r="BQ35" s="592">
        <f t="shared" si="31"/>
        <v>10</v>
      </c>
      <c r="BU35" s="572"/>
      <c r="BV35" s="175"/>
      <c r="BW35" s="140"/>
      <c r="BX35" s="140"/>
      <c r="BY35" s="1483">
        <f t="shared" si="32"/>
        <v>6</v>
      </c>
      <c r="BZ35" s="1222">
        <f t="shared" si="32"/>
        <v>0</v>
      </c>
      <c r="CA35" s="1222">
        <f t="shared" si="33"/>
        <v>0</v>
      </c>
      <c r="CB35" s="1223" t="str">
        <f t="shared" si="34"/>
        <v/>
      </c>
      <c r="CC35" s="1224" t="str">
        <f>IF(AQ35,IF(ISNUMBER(#REF!),MAX('Adjustment factors'!$S$16,0.2+0.8*#REF!),IF(ISTEXT(J35),VLOOKUP(J35,Afactors,2,FALSE),"")),"")</f>
        <v/>
      </c>
      <c r="CD35" s="1484" t="str">
        <f t="shared" si="35"/>
        <v/>
      </c>
      <c r="CE35" s="150"/>
      <c r="CF35" s="150"/>
      <c r="CG35" s="140"/>
      <c r="CH35" s="140"/>
      <c r="CI35" s="140"/>
      <c r="CJ35" s="140"/>
      <c r="CK35" s="140"/>
      <c r="CL35" s="140"/>
      <c r="CM35" s="140"/>
      <c r="CN35" s="140"/>
      <c r="CO35" s="140"/>
      <c r="CP35" s="140"/>
      <c r="CQ35" s="140"/>
      <c r="CR35" s="140"/>
      <c r="CS35" s="140"/>
      <c r="CU35" s="590" t="str">
        <f t="shared" si="36"/>
        <v>OK</v>
      </c>
      <c r="CV35" s="590" t="str">
        <f t="shared" si="37"/>
        <v>OK</v>
      </c>
      <c r="CW35" s="590" t="str">
        <f t="shared" si="38"/>
        <v>OK</v>
      </c>
      <c r="CX35" s="590" t="str">
        <f t="shared" si="39"/>
        <v>OK</v>
      </c>
      <c r="CY35" s="939" t="str">
        <f t="shared" si="40"/>
        <v>OK</v>
      </c>
      <c r="CZ35" s="590" t="str">
        <f t="shared" si="41"/>
        <v>OK</v>
      </c>
      <c r="DA35" s="590" t="str">
        <f t="shared" si="42"/>
        <v>OK</v>
      </c>
      <c r="DB35" s="590" t="str">
        <f t="shared" si="43"/>
        <v>OK</v>
      </c>
      <c r="DC35" s="590" t="str">
        <f>IF(AND(ISNUMBER(#REF!),J35&lt;&gt;FixedDim),"Select fixed dimming with an illuminance factor","OK")</f>
        <v>OK</v>
      </c>
      <c r="DD35" s="590" t="str">
        <f>IF(AND(NOT(ISNUMBER(#REF!)),J35=FixedDim),"Enter an illuminance factor","OK")</f>
        <v>OK</v>
      </c>
      <c r="DE35" s="590" t="str">
        <f t="shared" si="66"/>
        <v>OK</v>
      </c>
      <c r="DF35" s="590" t="str">
        <f t="shared" si="44"/>
        <v>OK</v>
      </c>
      <c r="DG35" s="590" t="str">
        <f t="shared" si="45"/>
        <v>OK</v>
      </c>
      <c r="DH35" s="590" t="str">
        <f t="shared" si="46"/>
        <v>OK</v>
      </c>
      <c r="DI35" s="939" t="str">
        <f t="shared" si="47"/>
        <v>OK</v>
      </c>
      <c r="DJ35" s="591">
        <f t="shared" si="48"/>
        <v>0</v>
      </c>
      <c r="DK35" s="940" t="str">
        <f t="shared" si="49"/>
        <v>OK</v>
      </c>
    </row>
    <row r="36" spans="1:115" ht="18" customHeight="1" x14ac:dyDescent="0.4">
      <c r="A36" s="589"/>
      <c r="B36" s="1485">
        <f t="shared" si="0"/>
        <v>10</v>
      </c>
      <c r="C36" s="1214">
        <v>7</v>
      </c>
      <c r="D36" s="1215"/>
      <c r="E36" s="1216"/>
      <c r="F36" s="1217"/>
      <c r="G36" s="1218"/>
      <c r="H36" s="1760"/>
      <c r="I36" s="1760"/>
      <c r="J36" s="1460"/>
      <c r="K36" s="1219"/>
      <c r="L36" s="1219"/>
      <c r="M36" s="1220"/>
      <c r="N36" s="1221" t="str">
        <f t="shared" si="1"/>
        <v/>
      </c>
      <c r="O36" s="1221" t="str">
        <f t="shared" si="1"/>
        <v/>
      </c>
      <c r="P36" s="1461" t="str">
        <f t="shared" si="2"/>
        <v/>
      </c>
      <c r="Q36" s="150"/>
      <c r="R36" s="1462" t="str">
        <f t="shared" si="3"/>
        <v/>
      </c>
      <c r="S36" s="1463" t="b">
        <f t="shared" si="4"/>
        <v>0</v>
      </c>
      <c r="T36" s="1464" t="str">
        <f t="shared" si="50"/>
        <v/>
      </c>
      <c r="U36" s="1464" t="str">
        <f t="shared" si="5"/>
        <v/>
      </c>
      <c r="V36" s="1465">
        <f t="shared" si="6"/>
        <v>0</v>
      </c>
      <c r="W36" s="1466">
        <f t="shared" si="51"/>
        <v>0</v>
      </c>
      <c r="X36" s="1466">
        <f t="shared" si="52"/>
        <v>0</v>
      </c>
      <c r="Y36" s="1466">
        <f t="shared" si="7"/>
        <v>0</v>
      </c>
      <c r="Z36" s="1467">
        <f t="shared" si="53"/>
        <v>0</v>
      </c>
      <c r="AA36" s="1465">
        <f t="shared" si="8"/>
        <v>0</v>
      </c>
      <c r="AB36" s="1466">
        <f t="shared" si="54"/>
        <v>0</v>
      </c>
      <c r="AC36" s="1466">
        <f t="shared" si="55"/>
        <v>0</v>
      </c>
      <c r="AD36" s="1466">
        <f t="shared" si="56"/>
        <v>0</v>
      </c>
      <c r="AE36" s="1467">
        <f t="shared" si="57"/>
        <v>0</v>
      </c>
      <c r="AF36" s="1465">
        <f t="shared" si="9"/>
        <v>0</v>
      </c>
      <c r="AG36" s="1466">
        <f t="shared" si="58"/>
        <v>0</v>
      </c>
      <c r="AH36" s="1466">
        <f t="shared" si="59"/>
        <v>0</v>
      </c>
      <c r="AI36" s="1466">
        <f t="shared" si="60"/>
        <v>0</v>
      </c>
      <c r="AJ36" s="1467">
        <f t="shared" si="61"/>
        <v>0</v>
      </c>
      <c r="AK36" s="1468" t="b">
        <f t="shared" si="10"/>
        <v>1</v>
      </c>
      <c r="AL36" s="1469" t="b">
        <f t="shared" si="11"/>
        <v>1</v>
      </c>
      <c r="AM36" s="1469" t="str">
        <f t="shared" si="12"/>
        <v/>
      </c>
      <c r="AN36" s="1469" t="b">
        <f t="shared" si="13"/>
        <v>0</v>
      </c>
      <c r="AO36" s="1470" t="b">
        <f>IF(OR(COUNTBLANK(D36:I36)=6,AND(COUNTBLANK(D36:G36)=4,H36=0)),OR(AN37:AN$69),NOT(AN36))</f>
        <v>0</v>
      </c>
      <c r="AP36" s="1469" t="b">
        <f t="shared" si="14"/>
        <v>1</v>
      </c>
      <c r="AQ36" s="1469" t="b">
        <f t="shared" si="62"/>
        <v>1</v>
      </c>
      <c r="AR36" s="1471">
        <f t="shared" si="15"/>
        <v>0</v>
      </c>
      <c r="AS36" s="1471" t="str">
        <f t="shared" si="16"/>
        <v/>
      </c>
      <c r="AT36" s="1472" t="str">
        <f t="shared" si="63"/>
        <v/>
      </c>
      <c r="AU36" s="1473" t="str">
        <f t="shared" si="17"/>
        <v/>
      </c>
      <c r="AV36" s="1474" t="str">
        <f t="shared" si="18"/>
        <v/>
      </c>
      <c r="AW36" s="1475"/>
      <c r="AX36" s="1474" t="str">
        <f t="shared" si="64"/>
        <v/>
      </c>
      <c r="AY36" s="1762"/>
      <c r="AZ36" s="1762"/>
      <c r="BA36" s="1476" t="b">
        <f t="shared" si="19"/>
        <v>0</v>
      </c>
      <c r="BB36" s="1477" t="b">
        <f t="shared" si="20"/>
        <v>0</v>
      </c>
      <c r="BC36" s="1478" t="b">
        <f t="shared" si="21"/>
        <v>0</v>
      </c>
      <c r="BD36" s="1476" t="b">
        <f t="shared" si="22"/>
        <v>0</v>
      </c>
      <c r="BE36" s="1476" t="b">
        <f t="shared" si="23"/>
        <v>1</v>
      </c>
      <c r="BF36" s="1477" t="b">
        <f t="shared" si="24"/>
        <v>0</v>
      </c>
      <c r="BG36" s="1478" t="b">
        <f t="shared" si="25"/>
        <v>0</v>
      </c>
      <c r="BH36" s="1476" t="b">
        <f t="shared" si="26"/>
        <v>0</v>
      </c>
      <c r="BI36" s="1477" t="b">
        <f t="shared" si="65"/>
        <v>0</v>
      </c>
      <c r="BJ36" s="1479" t="b">
        <f t="shared" si="27"/>
        <v>0</v>
      </c>
      <c r="BK36" s="1480" t="b">
        <f t="shared" si="28"/>
        <v>0</v>
      </c>
      <c r="BL36" s="1481" t="str">
        <f t="shared" si="29"/>
        <v/>
      </c>
      <c r="BN36" s="590" t="str">
        <f t="shared" si="30"/>
        <v>no data</v>
      </c>
      <c r="BP36" s="592">
        <v>7</v>
      </c>
      <c r="BQ36" s="592">
        <f t="shared" si="31"/>
        <v>10</v>
      </c>
      <c r="BU36" s="572"/>
      <c r="BV36" s="175"/>
      <c r="BW36" s="140"/>
      <c r="BX36" s="140"/>
      <c r="BY36" s="1483">
        <f t="shared" si="32"/>
        <v>7</v>
      </c>
      <c r="BZ36" s="1222">
        <f t="shared" si="32"/>
        <v>0</v>
      </c>
      <c r="CA36" s="1222">
        <f t="shared" si="33"/>
        <v>0</v>
      </c>
      <c r="CB36" s="1223" t="str">
        <f t="shared" si="34"/>
        <v/>
      </c>
      <c r="CC36" s="1224" t="str">
        <f>IF(AQ36,IF(ISNUMBER(#REF!),MAX('Adjustment factors'!$S$16,0.2+0.8*#REF!),IF(ISTEXT(J36),VLOOKUP(J36,Afactors,2,FALSE),"")),"")</f>
        <v/>
      </c>
      <c r="CD36" s="1484" t="str">
        <f t="shared" si="35"/>
        <v/>
      </c>
      <c r="CE36" s="150"/>
      <c r="CF36" s="150"/>
      <c r="CG36" s="140"/>
      <c r="CH36" s="140"/>
      <c r="CI36" s="140"/>
      <c r="CJ36" s="140"/>
      <c r="CK36" s="140"/>
      <c r="CL36" s="140"/>
      <c r="CM36" s="140"/>
      <c r="CN36" s="140"/>
      <c r="CO36" s="140"/>
      <c r="CP36" s="140"/>
      <c r="CQ36" s="140"/>
      <c r="CR36" s="140"/>
      <c r="CS36" s="140"/>
      <c r="CU36" s="590" t="str">
        <f t="shared" si="36"/>
        <v>OK</v>
      </c>
      <c r="CV36" s="590" t="str">
        <f t="shared" si="37"/>
        <v>OK</v>
      </c>
      <c r="CW36" s="590" t="str">
        <f t="shared" si="38"/>
        <v>OK</v>
      </c>
      <c r="CX36" s="590" t="str">
        <f t="shared" si="39"/>
        <v>OK</v>
      </c>
      <c r="CY36" s="939" t="str">
        <f t="shared" si="40"/>
        <v>OK</v>
      </c>
      <c r="CZ36" s="590" t="str">
        <f t="shared" si="41"/>
        <v>OK</v>
      </c>
      <c r="DA36" s="590" t="str">
        <f t="shared" si="42"/>
        <v>OK</v>
      </c>
      <c r="DB36" s="590" t="str">
        <f t="shared" si="43"/>
        <v>OK</v>
      </c>
      <c r="DC36" s="590" t="str">
        <f>IF(AND(ISNUMBER(#REF!),J36&lt;&gt;FixedDim),"Select fixed dimming with an illuminance factor","OK")</f>
        <v>OK</v>
      </c>
      <c r="DD36" s="590" t="str">
        <f>IF(AND(NOT(ISNUMBER(#REF!)),J36=FixedDim),"Enter an illuminance factor","OK")</f>
        <v>OK</v>
      </c>
      <c r="DE36" s="590" t="str">
        <f t="shared" si="66"/>
        <v>OK</v>
      </c>
      <c r="DF36" s="590" t="str">
        <f t="shared" si="44"/>
        <v>OK</v>
      </c>
      <c r="DG36" s="590" t="str">
        <f t="shared" si="45"/>
        <v>OK</v>
      </c>
      <c r="DH36" s="590" t="str">
        <f t="shared" si="46"/>
        <v>OK</v>
      </c>
      <c r="DI36" s="939" t="str">
        <f t="shared" si="47"/>
        <v>OK</v>
      </c>
      <c r="DJ36" s="591">
        <f t="shared" si="48"/>
        <v>0</v>
      </c>
      <c r="DK36" s="940" t="str">
        <f t="shared" si="49"/>
        <v>OK</v>
      </c>
    </row>
    <row r="37" spans="1:115" ht="18" x14ac:dyDescent="0.4">
      <c r="A37" s="589"/>
      <c r="B37" s="1485">
        <f t="shared" si="0"/>
        <v>10</v>
      </c>
      <c r="C37" s="1214">
        <v>8</v>
      </c>
      <c r="D37" s="1215"/>
      <c r="E37" s="1216"/>
      <c r="F37" s="1217"/>
      <c r="G37" s="1218"/>
      <c r="H37" s="1760"/>
      <c r="I37" s="1760"/>
      <c r="J37" s="1460"/>
      <c r="K37" s="1219"/>
      <c r="L37" s="1219"/>
      <c r="M37" s="1220"/>
      <c r="N37" s="1221" t="str">
        <f t="shared" si="1"/>
        <v/>
      </c>
      <c r="O37" s="1221" t="str">
        <f t="shared" si="1"/>
        <v/>
      </c>
      <c r="P37" s="1461" t="str">
        <f t="shared" si="2"/>
        <v/>
      </c>
      <c r="Q37" s="150"/>
      <c r="R37" s="1462" t="str">
        <f t="shared" si="3"/>
        <v/>
      </c>
      <c r="S37" s="1463" t="b">
        <f t="shared" si="4"/>
        <v>0</v>
      </c>
      <c r="T37" s="1464" t="str">
        <f t="shared" si="50"/>
        <v/>
      </c>
      <c r="U37" s="1464" t="str">
        <f t="shared" si="5"/>
        <v/>
      </c>
      <c r="V37" s="1465">
        <f t="shared" si="6"/>
        <v>0</v>
      </c>
      <c r="W37" s="1466">
        <f t="shared" si="51"/>
        <v>0</v>
      </c>
      <c r="X37" s="1466">
        <f t="shared" si="52"/>
        <v>0</v>
      </c>
      <c r="Y37" s="1466">
        <f t="shared" si="7"/>
        <v>0</v>
      </c>
      <c r="Z37" s="1467">
        <f t="shared" si="53"/>
        <v>0</v>
      </c>
      <c r="AA37" s="1465">
        <f t="shared" si="8"/>
        <v>0</v>
      </c>
      <c r="AB37" s="1466">
        <f t="shared" si="54"/>
        <v>0</v>
      </c>
      <c r="AC37" s="1466">
        <f t="shared" si="55"/>
        <v>0</v>
      </c>
      <c r="AD37" s="1466">
        <f t="shared" si="56"/>
        <v>0</v>
      </c>
      <c r="AE37" s="1467">
        <f t="shared" si="57"/>
        <v>0</v>
      </c>
      <c r="AF37" s="1465">
        <f t="shared" si="9"/>
        <v>0</v>
      </c>
      <c r="AG37" s="1466">
        <f t="shared" si="58"/>
        <v>0</v>
      </c>
      <c r="AH37" s="1466">
        <f t="shared" si="59"/>
        <v>0</v>
      </c>
      <c r="AI37" s="1466">
        <f t="shared" si="60"/>
        <v>0</v>
      </c>
      <c r="AJ37" s="1467">
        <f t="shared" si="61"/>
        <v>0</v>
      </c>
      <c r="AK37" s="1468" t="b">
        <f t="shared" si="10"/>
        <v>1</v>
      </c>
      <c r="AL37" s="1469" t="b">
        <f t="shared" si="11"/>
        <v>1</v>
      </c>
      <c r="AM37" s="1469" t="str">
        <f t="shared" si="12"/>
        <v/>
      </c>
      <c r="AN37" s="1469" t="b">
        <f t="shared" si="13"/>
        <v>0</v>
      </c>
      <c r="AO37" s="1470" t="b">
        <f>IF(OR(COUNTBLANK(D37:I37)=6,AND(COUNTBLANK(D37:G37)=4,H37=0)),OR(AN38:AN$69),NOT(AN37))</f>
        <v>0</v>
      </c>
      <c r="AP37" s="1469" t="b">
        <f t="shared" si="14"/>
        <v>1</v>
      </c>
      <c r="AQ37" s="1469" t="b">
        <f t="shared" si="62"/>
        <v>1</v>
      </c>
      <c r="AR37" s="1471">
        <f t="shared" si="15"/>
        <v>0</v>
      </c>
      <c r="AS37" s="1471" t="str">
        <f t="shared" si="16"/>
        <v/>
      </c>
      <c r="AT37" s="1472" t="str">
        <f t="shared" si="63"/>
        <v/>
      </c>
      <c r="AU37" s="1473" t="str">
        <f t="shared" si="17"/>
        <v/>
      </c>
      <c r="AV37" s="1474" t="str">
        <f t="shared" si="18"/>
        <v/>
      </c>
      <c r="AW37" s="1475"/>
      <c r="AX37" s="1474" t="str">
        <f t="shared" si="64"/>
        <v/>
      </c>
      <c r="AY37" s="1762"/>
      <c r="AZ37" s="1762"/>
      <c r="BA37" s="1476" t="b">
        <f t="shared" si="19"/>
        <v>0</v>
      </c>
      <c r="BB37" s="1477" t="b">
        <f t="shared" si="20"/>
        <v>0</v>
      </c>
      <c r="BC37" s="1478" t="b">
        <f t="shared" si="21"/>
        <v>0</v>
      </c>
      <c r="BD37" s="1476" t="b">
        <f t="shared" si="22"/>
        <v>0</v>
      </c>
      <c r="BE37" s="1476" t="b">
        <f t="shared" si="23"/>
        <v>1</v>
      </c>
      <c r="BF37" s="1477" t="b">
        <f t="shared" si="24"/>
        <v>0</v>
      </c>
      <c r="BG37" s="1478" t="b">
        <f t="shared" si="25"/>
        <v>0</v>
      </c>
      <c r="BH37" s="1476" t="b">
        <f t="shared" si="26"/>
        <v>0</v>
      </c>
      <c r="BI37" s="1477" t="b">
        <f t="shared" si="65"/>
        <v>0</v>
      </c>
      <c r="BJ37" s="1479" t="b">
        <f t="shared" si="27"/>
        <v>0</v>
      </c>
      <c r="BK37" s="1480" t="b">
        <f t="shared" si="28"/>
        <v>0</v>
      </c>
      <c r="BL37" s="1481" t="str">
        <f t="shared" si="29"/>
        <v/>
      </c>
      <c r="BN37" s="590" t="str">
        <f t="shared" si="30"/>
        <v>no data</v>
      </c>
      <c r="BP37" s="592">
        <v>8</v>
      </c>
      <c r="BQ37" s="592">
        <f t="shared" si="31"/>
        <v>10</v>
      </c>
      <c r="BU37" s="572"/>
      <c r="BV37" s="175"/>
      <c r="BW37" s="140"/>
      <c r="BX37" s="140"/>
      <c r="BY37" s="1483">
        <f t="shared" si="32"/>
        <v>8</v>
      </c>
      <c r="BZ37" s="1222">
        <f t="shared" si="32"/>
        <v>0</v>
      </c>
      <c r="CA37" s="1222">
        <f t="shared" si="33"/>
        <v>0</v>
      </c>
      <c r="CB37" s="1223" t="str">
        <f t="shared" si="34"/>
        <v/>
      </c>
      <c r="CC37" s="1224" t="str">
        <f>IF(AQ37,IF(ISNUMBER(#REF!),MAX('Adjustment factors'!$S$16,0.2+0.8*#REF!),IF(ISTEXT(J37),VLOOKUP(J37,Afactors,2,FALSE),"")),"")</f>
        <v/>
      </c>
      <c r="CD37" s="1484" t="str">
        <f t="shared" si="35"/>
        <v/>
      </c>
      <c r="CE37" s="150"/>
      <c r="CF37" s="150"/>
      <c r="CG37" s="140"/>
      <c r="CH37" s="140"/>
      <c r="CI37" s="140"/>
      <c r="CJ37" s="140"/>
      <c r="CK37" s="140"/>
      <c r="CL37" s="140"/>
      <c r="CM37" s="140"/>
      <c r="CN37" s="140"/>
      <c r="CO37" s="140"/>
      <c r="CP37" s="140"/>
      <c r="CQ37" s="140"/>
      <c r="CR37" s="140"/>
      <c r="CS37" s="140"/>
      <c r="CU37" s="590" t="str">
        <f t="shared" si="36"/>
        <v>OK</v>
      </c>
      <c r="CV37" s="590" t="str">
        <f t="shared" si="37"/>
        <v>OK</v>
      </c>
      <c r="CW37" s="590" t="str">
        <f t="shared" si="38"/>
        <v>OK</v>
      </c>
      <c r="CX37" s="590" t="str">
        <f t="shared" si="39"/>
        <v>OK</v>
      </c>
      <c r="CY37" s="939" t="str">
        <f t="shared" si="40"/>
        <v>OK</v>
      </c>
      <c r="CZ37" s="590" t="str">
        <f t="shared" si="41"/>
        <v>OK</v>
      </c>
      <c r="DA37" s="590" t="str">
        <f t="shared" si="42"/>
        <v>OK</v>
      </c>
      <c r="DB37" s="590" t="str">
        <f t="shared" si="43"/>
        <v>OK</v>
      </c>
      <c r="DC37" s="590" t="str">
        <f>IF(AND(ISNUMBER(#REF!),J37&lt;&gt;FixedDim),"Select fixed dimming with an illuminance factor","OK")</f>
        <v>OK</v>
      </c>
      <c r="DD37" s="590" t="str">
        <f>IF(AND(NOT(ISNUMBER(#REF!)),J37=FixedDim),"Enter an illuminance factor","OK")</f>
        <v>OK</v>
      </c>
      <c r="DE37" s="590" t="str">
        <f t="shared" si="66"/>
        <v>OK</v>
      </c>
      <c r="DF37" s="590" t="str">
        <f t="shared" si="44"/>
        <v>OK</v>
      </c>
      <c r="DG37" s="590" t="str">
        <f t="shared" si="45"/>
        <v>OK</v>
      </c>
      <c r="DH37" s="590" t="str">
        <f t="shared" si="46"/>
        <v>OK</v>
      </c>
      <c r="DI37" s="939" t="str">
        <f t="shared" si="47"/>
        <v>OK</v>
      </c>
      <c r="DJ37" s="591">
        <f t="shared" si="48"/>
        <v>0</v>
      </c>
      <c r="DK37" s="940" t="str">
        <f t="shared" si="49"/>
        <v>OK</v>
      </c>
    </row>
    <row r="38" spans="1:115" ht="18" customHeight="1" x14ac:dyDescent="0.4">
      <c r="A38" s="589"/>
      <c r="B38" s="1485">
        <f t="shared" si="0"/>
        <v>10</v>
      </c>
      <c r="C38" s="1214">
        <v>9</v>
      </c>
      <c r="D38" s="1215"/>
      <c r="E38" s="1216"/>
      <c r="F38" s="1217"/>
      <c r="G38" s="1218"/>
      <c r="H38" s="1760"/>
      <c r="I38" s="1760"/>
      <c r="J38" s="1460"/>
      <c r="K38" s="1219"/>
      <c r="L38" s="1219"/>
      <c r="M38" s="1220"/>
      <c r="N38" s="1221" t="str">
        <f t="shared" si="1"/>
        <v/>
      </c>
      <c r="O38" s="1221" t="str">
        <f t="shared" si="1"/>
        <v/>
      </c>
      <c r="P38" s="1461" t="str">
        <f t="shared" si="2"/>
        <v/>
      </c>
      <c r="Q38" s="150"/>
      <c r="R38" s="1462" t="str">
        <f t="shared" si="3"/>
        <v/>
      </c>
      <c r="S38" s="1463" t="b">
        <f t="shared" si="4"/>
        <v>0</v>
      </c>
      <c r="T38" s="1464" t="str">
        <f t="shared" si="50"/>
        <v/>
      </c>
      <c r="U38" s="1464" t="str">
        <f t="shared" si="5"/>
        <v/>
      </c>
      <c r="V38" s="1465">
        <f t="shared" si="6"/>
        <v>0</v>
      </c>
      <c r="W38" s="1466">
        <f t="shared" si="51"/>
        <v>0</v>
      </c>
      <c r="X38" s="1466">
        <f t="shared" si="52"/>
        <v>0</v>
      </c>
      <c r="Y38" s="1466">
        <f t="shared" si="7"/>
        <v>0</v>
      </c>
      <c r="Z38" s="1467">
        <f t="shared" si="53"/>
        <v>0</v>
      </c>
      <c r="AA38" s="1465">
        <f t="shared" si="8"/>
        <v>0</v>
      </c>
      <c r="AB38" s="1466">
        <f t="shared" si="54"/>
        <v>0</v>
      </c>
      <c r="AC38" s="1466">
        <f t="shared" si="55"/>
        <v>0</v>
      </c>
      <c r="AD38" s="1466">
        <f t="shared" si="56"/>
        <v>0</v>
      </c>
      <c r="AE38" s="1467">
        <f t="shared" si="57"/>
        <v>0</v>
      </c>
      <c r="AF38" s="1465">
        <f t="shared" si="9"/>
        <v>0</v>
      </c>
      <c r="AG38" s="1466">
        <f t="shared" si="58"/>
        <v>0</v>
      </c>
      <c r="AH38" s="1466">
        <f t="shared" si="59"/>
        <v>0</v>
      </c>
      <c r="AI38" s="1466">
        <f t="shared" si="60"/>
        <v>0</v>
      </c>
      <c r="AJ38" s="1467">
        <f t="shared" si="61"/>
        <v>0</v>
      </c>
      <c r="AK38" s="1468" t="b">
        <f t="shared" si="10"/>
        <v>1</v>
      </c>
      <c r="AL38" s="1469" t="b">
        <f t="shared" si="11"/>
        <v>1</v>
      </c>
      <c r="AM38" s="1469" t="str">
        <f t="shared" si="12"/>
        <v/>
      </c>
      <c r="AN38" s="1469" t="b">
        <f t="shared" si="13"/>
        <v>0</v>
      </c>
      <c r="AO38" s="1470" t="b">
        <f>IF(OR(COUNTBLANK(D38:I38)=6,AND(COUNTBLANK(D38:G38)=4,H38=0)),OR(AN39:AN$69),NOT(AN38))</f>
        <v>0</v>
      </c>
      <c r="AP38" s="1469" t="b">
        <f t="shared" si="14"/>
        <v>1</v>
      </c>
      <c r="AQ38" s="1469" t="b">
        <f t="shared" si="62"/>
        <v>1</v>
      </c>
      <c r="AR38" s="1471">
        <f t="shared" si="15"/>
        <v>0</v>
      </c>
      <c r="AS38" s="1471" t="str">
        <f t="shared" si="16"/>
        <v/>
      </c>
      <c r="AT38" s="1472" t="str">
        <f t="shared" si="63"/>
        <v/>
      </c>
      <c r="AU38" s="1473" t="str">
        <f t="shared" si="17"/>
        <v/>
      </c>
      <c r="AV38" s="1474" t="str">
        <f t="shared" si="18"/>
        <v/>
      </c>
      <c r="AW38" s="1475"/>
      <c r="AX38" s="1474" t="str">
        <f t="shared" si="64"/>
        <v/>
      </c>
      <c r="AY38" s="1762"/>
      <c r="AZ38" s="1762"/>
      <c r="BA38" s="1476" t="b">
        <f t="shared" si="19"/>
        <v>0</v>
      </c>
      <c r="BB38" s="1477" t="b">
        <f t="shared" si="20"/>
        <v>0</v>
      </c>
      <c r="BC38" s="1478" t="b">
        <f t="shared" si="21"/>
        <v>0</v>
      </c>
      <c r="BD38" s="1476" t="b">
        <f t="shared" si="22"/>
        <v>0</v>
      </c>
      <c r="BE38" s="1476" t="b">
        <f t="shared" si="23"/>
        <v>1</v>
      </c>
      <c r="BF38" s="1477" t="b">
        <f t="shared" si="24"/>
        <v>0</v>
      </c>
      <c r="BG38" s="1478" t="b">
        <f t="shared" si="25"/>
        <v>0</v>
      </c>
      <c r="BH38" s="1476" t="b">
        <f t="shared" si="26"/>
        <v>0</v>
      </c>
      <c r="BI38" s="1477" t="b">
        <f t="shared" si="65"/>
        <v>0</v>
      </c>
      <c r="BJ38" s="1479" t="b">
        <f t="shared" si="27"/>
        <v>0</v>
      </c>
      <c r="BK38" s="1480" t="b">
        <f t="shared" si="28"/>
        <v>0</v>
      </c>
      <c r="BL38" s="1481" t="str">
        <f t="shared" si="29"/>
        <v/>
      </c>
      <c r="BN38" s="590" t="str">
        <f t="shared" si="30"/>
        <v>no data</v>
      </c>
      <c r="BP38" s="592">
        <v>9</v>
      </c>
      <c r="BQ38" s="592">
        <f t="shared" si="31"/>
        <v>10</v>
      </c>
      <c r="BU38" s="572"/>
      <c r="BV38" s="175"/>
      <c r="BW38" s="140"/>
      <c r="BX38" s="140"/>
      <c r="BY38" s="1483">
        <f t="shared" si="32"/>
        <v>9</v>
      </c>
      <c r="BZ38" s="1222">
        <f t="shared" si="32"/>
        <v>0</v>
      </c>
      <c r="CA38" s="1222">
        <f t="shared" si="33"/>
        <v>0</v>
      </c>
      <c r="CB38" s="1223" t="str">
        <f t="shared" si="34"/>
        <v/>
      </c>
      <c r="CC38" s="1224" t="str">
        <f>IF(AQ38,IF(ISNUMBER(#REF!),MAX('Adjustment factors'!$S$16,0.2+0.8*#REF!),IF(ISTEXT(J38),VLOOKUP(J38,Afactors,2,FALSE),"")),"")</f>
        <v/>
      </c>
      <c r="CD38" s="1484" t="str">
        <f t="shared" si="35"/>
        <v/>
      </c>
      <c r="CE38" s="150"/>
      <c r="CF38" s="150"/>
      <c r="CG38" s="140"/>
      <c r="CH38" s="140"/>
      <c r="CI38" s="140"/>
      <c r="CJ38" s="140"/>
      <c r="CK38" s="140"/>
      <c r="CL38" s="140"/>
      <c r="CM38" s="140"/>
      <c r="CN38" s="140"/>
      <c r="CO38" s="140"/>
      <c r="CP38" s="140"/>
      <c r="CQ38" s="140"/>
      <c r="CR38" s="140"/>
      <c r="CS38" s="140"/>
      <c r="CU38" s="590" t="str">
        <f t="shared" si="36"/>
        <v>OK</v>
      </c>
      <c r="CV38" s="590" t="str">
        <f t="shared" si="37"/>
        <v>OK</v>
      </c>
      <c r="CW38" s="590" t="str">
        <f t="shared" si="38"/>
        <v>OK</v>
      </c>
      <c r="CX38" s="590" t="str">
        <f t="shared" si="39"/>
        <v>OK</v>
      </c>
      <c r="CY38" s="939" t="str">
        <f t="shared" si="40"/>
        <v>OK</v>
      </c>
      <c r="CZ38" s="590" t="str">
        <f t="shared" si="41"/>
        <v>OK</v>
      </c>
      <c r="DA38" s="590" t="str">
        <f t="shared" si="42"/>
        <v>OK</v>
      </c>
      <c r="DB38" s="590" t="str">
        <f t="shared" si="43"/>
        <v>OK</v>
      </c>
      <c r="DC38" s="590" t="str">
        <f>IF(AND(ISNUMBER(#REF!),J38&lt;&gt;FixedDim),"Select fixed dimming with an illuminance factor","OK")</f>
        <v>OK</v>
      </c>
      <c r="DD38" s="590" t="str">
        <f>IF(AND(NOT(ISNUMBER(#REF!)),J38=FixedDim),"Enter an illuminance factor","OK")</f>
        <v>OK</v>
      </c>
      <c r="DE38" s="590" t="str">
        <f t="shared" si="66"/>
        <v>OK</v>
      </c>
      <c r="DF38" s="590" t="str">
        <f t="shared" si="44"/>
        <v>OK</v>
      </c>
      <c r="DG38" s="590" t="str">
        <f t="shared" si="45"/>
        <v>OK</v>
      </c>
      <c r="DH38" s="590" t="str">
        <f t="shared" si="46"/>
        <v>OK</v>
      </c>
      <c r="DI38" s="939" t="str">
        <f t="shared" si="47"/>
        <v>OK</v>
      </c>
      <c r="DJ38" s="591">
        <f t="shared" si="48"/>
        <v>0</v>
      </c>
      <c r="DK38" s="940" t="str">
        <f t="shared" si="49"/>
        <v>OK</v>
      </c>
    </row>
    <row r="39" spans="1:115" ht="18" customHeight="1" x14ac:dyDescent="0.4">
      <c r="A39" s="589"/>
      <c r="B39" s="1485">
        <f t="shared" si="0"/>
        <v>10</v>
      </c>
      <c r="C39" s="1214">
        <v>10</v>
      </c>
      <c r="D39" s="1215"/>
      <c r="E39" s="1216"/>
      <c r="F39" s="1217"/>
      <c r="G39" s="1218"/>
      <c r="H39" s="1760"/>
      <c r="I39" s="1760"/>
      <c r="J39" s="1460"/>
      <c r="K39" s="1219"/>
      <c r="L39" s="1219"/>
      <c r="M39" s="1220"/>
      <c r="N39" s="1221" t="str">
        <f t="shared" si="1"/>
        <v/>
      </c>
      <c r="O39" s="1221" t="str">
        <f t="shared" si="1"/>
        <v/>
      </c>
      <c r="P39" s="1461" t="str">
        <f t="shared" si="2"/>
        <v/>
      </c>
      <c r="Q39" s="150"/>
      <c r="R39" s="1462" t="str">
        <f t="shared" si="3"/>
        <v/>
      </c>
      <c r="S39" s="1463" t="b">
        <f t="shared" si="4"/>
        <v>0</v>
      </c>
      <c r="T39" s="1464" t="str">
        <f t="shared" si="50"/>
        <v/>
      </c>
      <c r="U39" s="1464" t="str">
        <f t="shared" si="5"/>
        <v/>
      </c>
      <c r="V39" s="1465">
        <f t="shared" si="6"/>
        <v>0</v>
      </c>
      <c r="W39" s="1466">
        <f t="shared" si="51"/>
        <v>0</v>
      </c>
      <c r="X39" s="1466">
        <f t="shared" si="52"/>
        <v>0</v>
      </c>
      <c r="Y39" s="1466">
        <f t="shared" si="7"/>
        <v>0</v>
      </c>
      <c r="Z39" s="1467">
        <f t="shared" si="53"/>
        <v>0</v>
      </c>
      <c r="AA39" s="1465">
        <f t="shared" si="8"/>
        <v>0</v>
      </c>
      <c r="AB39" s="1466">
        <f t="shared" si="54"/>
        <v>0</v>
      </c>
      <c r="AC39" s="1466">
        <f t="shared" si="55"/>
        <v>0</v>
      </c>
      <c r="AD39" s="1466">
        <f t="shared" si="56"/>
        <v>0</v>
      </c>
      <c r="AE39" s="1467">
        <f t="shared" si="57"/>
        <v>0</v>
      </c>
      <c r="AF39" s="1465">
        <f t="shared" si="9"/>
        <v>0</v>
      </c>
      <c r="AG39" s="1466">
        <f t="shared" si="58"/>
        <v>0</v>
      </c>
      <c r="AH39" s="1466">
        <f t="shared" si="59"/>
        <v>0</v>
      </c>
      <c r="AI39" s="1466">
        <f t="shared" si="60"/>
        <v>0</v>
      </c>
      <c r="AJ39" s="1467">
        <f t="shared" si="61"/>
        <v>0</v>
      </c>
      <c r="AK39" s="1468" t="b">
        <f t="shared" si="10"/>
        <v>1</v>
      </c>
      <c r="AL39" s="1469" t="b">
        <f t="shared" si="11"/>
        <v>1</v>
      </c>
      <c r="AM39" s="1469" t="str">
        <f t="shared" si="12"/>
        <v/>
      </c>
      <c r="AN39" s="1469" t="b">
        <f t="shared" si="13"/>
        <v>0</v>
      </c>
      <c r="AO39" s="1470" t="b">
        <f>IF(OR(COUNTBLANK(D39:I39)=6,AND(COUNTBLANK(D39:G39)=4,H39=0)),OR(AN40:AN$69),NOT(AN39))</f>
        <v>0</v>
      </c>
      <c r="AP39" s="1469" t="b">
        <f t="shared" si="14"/>
        <v>1</v>
      </c>
      <c r="AQ39" s="1469" t="b">
        <f t="shared" si="62"/>
        <v>1</v>
      </c>
      <c r="AR39" s="1471">
        <f t="shared" si="15"/>
        <v>0</v>
      </c>
      <c r="AS39" s="1471" t="str">
        <f t="shared" si="16"/>
        <v/>
      </c>
      <c r="AT39" s="1472" t="str">
        <f t="shared" si="63"/>
        <v/>
      </c>
      <c r="AU39" s="1473" t="str">
        <f t="shared" si="17"/>
        <v/>
      </c>
      <c r="AV39" s="1474" t="str">
        <f t="shared" si="18"/>
        <v/>
      </c>
      <c r="AW39" s="1475"/>
      <c r="AX39" s="1474" t="str">
        <f t="shared" si="64"/>
        <v/>
      </c>
      <c r="AY39" s="1762"/>
      <c r="AZ39" s="1762"/>
      <c r="BA39" s="1476" t="b">
        <f t="shared" si="19"/>
        <v>0</v>
      </c>
      <c r="BB39" s="1477" t="b">
        <f t="shared" si="20"/>
        <v>0</v>
      </c>
      <c r="BC39" s="1478" t="b">
        <f t="shared" si="21"/>
        <v>0</v>
      </c>
      <c r="BD39" s="1476" t="b">
        <f t="shared" si="22"/>
        <v>0</v>
      </c>
      <c r="BE39" s="1476" t="b">
        <f t="shared" si="23"/>
        <v>1</v>
      </c>
      <c r="BF39" s="1477" t="b">
        <f t="shared" si="24"/>
        <v>0</v>
      </c>
      <c r="BG39" s="1478" t="b">
        <f t="shared" si="25"/>
        <v>0</v>
      </c>
      <c r="BH39" s="1476" t="b">
        <f t="shared" si="26"/>
        <v>0</v>
      </c>
      <c r="BI39" s="1477" t="b">
        <f t="shared" si="65"/>
        <v>0</v>
      </c>
      <c r="BJ39" s="1479" t="b">
        <f t="shared" si="27"/>
        <v>0</v>
      </c>
      <c r="BK39" s="1480" t="b">
        <f t="shared" si="28"/>
        <v>0</v>
      </c>
      <c r="BL39" s="1481" t="str">
        <f t="shared" si="29"/>
        <v/>
      </c>
      <c r="BN39" s="590" t="str">
        <f t="shared" si="30"/>
        <v>no data</v>
      </c>
      <c r="BP39" s="592">
        <v>10</v>
      </c>
      <c r="BQ39" s="592">
        <f t="shared" si="31"/>
        <v>10</v>
      </c>
      <c r="BU39" s="572"/>
      <c r="BV39" s="175"/>
      <c r="BW39" s="140"/>
      <c r="BX39" s="140"/>
      <c r="BY39" s="1483">
        <f t="shared" si="32"/>
        <v>10</v>
      </c>
      <c r="BZ39" s="1222">
        <f t="shared" si="32"/>
        <v>0</v>
      </c>
      <c r="CA39" s="1222">
        <f t="shared" si="33"/>
        <v>0</v>
      </c>
      <c r="CB39" s="1223" t="str">
        <f t="shared" si="34"/>
        <v/>
      </c>
      <c r="CC39" s="1224" t="str">
        <f>IF(AQ39,IF(ISNUMBER(#REF!),MAX('Adjustment factors'!$S$16,0.2+0.8*#REF!),IF(ISTEXT(J39),VLOOKUP(J39,Afactors,2,FALSE),"")),"")</f>
        <v/>
      </c>
      <c r="CD39" s="1484" t="str">
        <f t="shared" si="35"/>
        <v/>
      </c>
      <c r="CE39" s="150"/>
      <c r="CF39" s="150"/>
      <c r="CG39" s="140"/>
      <c r="CH39" s="140"/>
      <c r="CI39" s="140"/>
      <c r="CJ39" s="140"/>
      <c r="CK39" s="140"/>
      <c r="CL39" s="140"/>
      <c r="CM39" s="140"/>
      <c r="CN39" s="140"/>
      <c r="CO39" s="140"/>
      <c r="CP39" s="140"/>
      <c r="CQ39" s="140"/>
      <c r="CR39" s="140"/>
      <c r="CS39" s="140"/>
      <c r="CU39" s="590" t="str">
        <f t="shared" si="36"/>
        <v>OK</v>
      </c>
      <c r="CV39" s="590" t="str">
        <f t="shared" si="37"/>
        <v>OK</v>
      </c>
      <c r="CW39" s="590" t="str">
        <f t="shared" si="38"/>
        <v>OK</v>
      </c>
      <c r="CX39" s="590" t="str">
        <f t="shared" si="39"/>
        <v>OK</v>
      </c>
      <c r="CY39" s="939" t="str">
        <f t="shared" si="40"/>
        <v>OK</v>
      </c>
      <c r="CZ39" s="590" t="str">
        <f t="shared" si="41"/>
        <v>OK</v>
      </c>
      <c r="DA39" s="590" t="str">
        <f t="shared" si="42"/>
        <v>OK</v>
      </c>
      <c r="DB39" s="590" t="str">
        <f t="shared" si="43"/>
        <v>OK</v>
      </c>
      <c r="DC39" s="590" t="str">
        <f>IF(AND(ISNUMBER(#REF!),J39&lt;&gt;FixedDim),"Select fixed dimming with an illuminance factor","OK")</f>
        <v>OK</v>
      </c>
      <c r="DD39" s="590" t="str">
        <f>IF(AND(NOT(ISNUMBER(#REF!)),J39=FixedDim),"Enter an illuminance factor","OK")</f>
        <v>OK</v>
      </c>
      <c r="DE39" s="590" t="str">
        <f t="shared" si="66"/>
        <v>OK</v>
      </c>
      <c r="DF39" s="590" t="str">
        <f t="shared" si="44"/>
        <v>OK</v>
      </c>
      <c r="DG39" s="590" t="str">
        <f t="shared" si="45"/>
        <v>OK</v>
      </c>
      <c r="DH39" s="590" t="str">
        <f t="shared" si="46"/>
        <v>OK</v>
      </c>
      <c r="DI39" s="939" t="str">
        <f t="shared" si="47"/>
        <v>OK</v>
      </c>
      <c r="DJ39" s="591">
        <f t="shared" si="48"/>
        <v>0</v>
      </c>
      <c r="DK39" s="940" t="str">
        <f t="shared" si="49"/>
        <v>OK</v>
      </c>
    </row>
    <row r="40" spans="1:115" ht="18" hidden="1" x14ac:dyDescent="0.4">
      <c r="A40" s="589"/>
      <c r="B40" s="1485" t="str">
        <f t="shared" si="0"/>
        <v>-</v>
      </c>
      <c r="C40" s="1214">
        <v>11</v>
      </c>
      <c r="D40" s="1215"/>
      <c r="E40" s="1216"/>
      <c r="F40" s="1217"/>
      <c r="G40" s="1218"/>
      <c r="H40" s="1760"/>
      <c r="I40" s="1760"/>
      <c r="J40" s="1460"/>
      <c r="K40" s="1219"/>
      <c r="L40" s="1219"/>
      <c r="M40" s="1220"/>
      <c r="N40" s="1221" t="str">
        <f t="shared" si="1"/>
        <v/>
      </c>
      <c r="O40" s="1221" t="str">
        <f t="shared" si="1"/>
        <v/>
      </c>
      <c r="P40" s="1461" t="str">
        <f t="shared" si="2"/>
        <v/>
      </c>
      <c r="Q40" s="150"/>
      <c r="R40" s="1462" t="str">
        <f t="shared" si="3"/>
        <v/>
      </c>
      <c r="S40" s="1463" t="b">
        <f t="shared" si="4"/>
        <v>0</v>
      </c>
      <c r="T40" s="1464" t="str">
        <f t="shared" si="50"/>
        <v/>
      </c>
      <c r="U40" s="1464" t="str">
        <f t="shared" si="5"/>
        <v/>
      </c>
      <c r="V40" s="1465">
        <f t="shared" si="6"/>
        <v>0</v>
      </c>
      <c r="W40" s="1466">
        <f t="shared" si="51"/>
        <v>0</v>
      </c>
      <c r="X40" s="1466">
        <f t="shared" si="52"/>
        <v>0</v>
      </c>
      <c r="Y40" s="1466">
        <f t="shared" si="7"/>
        <v>0</v>
      </c>
      <c r="Z40" s="1467">
        <f t="shared" si="53"/>
        <v>0</v>
      </c>
      <c r="AA40" s="1465">
        <f t="shared" si="8"/>
        <v>0</v>
      </c>
      <c r="AB40" s="1466">
        <f t="shared" si="54"/>
        <v>0</v>
      </c>
      <c r="AC40" s="1466">
        <f t="shared" si="55"/>
        <v>0</v>
      </c>
      <c r="AD40" s="1466">
        <f t="shared" si="56"/>
        <v>0</v>
      </c>
      <c r="AE40" s="1467">
        <f t="shared" si="57"/>
        <v>0</v>
      </c>
      <c r="AF40" s="1465">
        <f t="shared" si="9"/>
        <v>0</v>
      </c>
      <c r="AG40" s="1466">
        <f t="shared" si="58"/>
        <v>0</v>
      </c>
      <c r="AH40" s="1466">
        <f t="shared" si="59"/>
        <v>0</v>
      </c>
      <c r="AI40" s="1466">
        <f t="shared" si="60"/>
        <v>0</v>
      </c>
      <c r="AJ40" s="1467">
        <f t="shared" si="61"/>
        <v>0</v>
      </c>
      <c r="AK40" s="1468" t="b">
        <f t="shared" si="10"/>
        <v>1</v>
      </c>
      <c r="AL40" s="1469" t="b">
        <f t="shared" si="11"/>
        <v>1</v>
      </c>
      <c r="AM40" s="1469" t="str">
        <f t="shared" si="12"/>
        <v/>
      </c>
      <c r="AN40" s="1469" t="b">
        <f t="shared" si="13"/>
        <v>0</v>
      </c>
      <c r="AO40" s="1470" t="b">
        <f>IF(OR(COUNTBLANK(D40:I40)=6,AND(COUNTBLANK(D40:G40)=4,H40=0)),OR(AN41:AN$69),NOT(AN40))</f>
        <v>0</v>
      </c>
      <c r="AP40" s="1469" t="b">
        <f t="shared" si="14"/>
        <v>1</v>
      </c>
      <c r="AQ40" s="1469" t="b">
        <f t="shared" si="62"/>
        <v>1</v>
      </c>
      <c r="AR40" s="1471">
        <f t="shared" si="15"/>
        <v>0</v>
      </c>
      <c r="AS40" s="1471" t="str">
        <f t="shared" si="16"/>
        <v/>
      </c>
      <c r="AT40" s="1472" t="str">
        <f t="shared" si="63"/>
        <v/>
      </c>
      <c r="AU40" s="1473" t="str">
        <f t="shared" si="17"/>
        <v/>
      </c>
      <c r="AV40" s="1474" t="str">
        <f t="shared" si="18"/>
        <v/>
      </c>
      <c r="AW40" s="1475"/>
      <c r="AX40" s="1474" t="str">
        <f t="shared" si="64"/>
        <v/>
      </c>
      <c r="AY40" s="1762"/>
      <c r="AZ40" s="1762"/>
      <c r="BA40" s="1476" t="b">
        <f t="shared" si="19"/>
        <v>0</v>
      </c>
      <c r="BB40" s="1477" t="b">
        <f t="shared" si="20"/>
        <v>0</v>
      </c>
      <c r="BC40" s="1478" t="b">
        <f t="shared" si="21"/>
        <v>0</v>
      </c>
      <c r="BD40" s="1476" t="b">
        <f t="shared" si="22"/>
        <v>0</v>
      </c>
      <c r="BE40" s="1476" t="b">
        <f t="shared" si="23"/>
        <v>1</v>
      </c>
      <c r="BF40" s="1477" t="b">
        <f t="shared" si="24"/>
        <v>0</v>
      </c>
      <c r="BG40" s="1478" t="b">
        <f t="shared" si="25"/>
        <v>0</v>
      </c>
      <c r="BH40" s="1476" t="b">
        <f t="shared" si="26"/>
        <v>0</v>
      </c>
      <c r="BI40" s="1477" t="b">
        <f t="shared" si="65"/>
        <v>0</v>
      </c>
      <c r="BJ40" s="1479" t="b">
        <f t="shared" si="27"/>
        <v>0</v>
      </c>
      <c r="BK40" s="1480" t="b">
        <f t="shared" si="28"/>
        <v>0</v>
      </c>
      <c r="BL40" s="1481" t="str">
        <f t="shared" si="29"/>
        <v/>
      </c>
      <c r="BN40" s="590" t="str">
        <f t="shared" si="30"/>
        <v>no data</v>
      </c>
      <c r="BP40" s="592">
        <v>11</v>
      </c>
      <c r="BQ40" s="592" t="str">
        <f t="shared" si="31"/>
        <v>-</v>
      </c>
      <c r="BU40" s="572"/>
      <c r="BV40" s="175"/>
      <c r="BW40" s="140"/>
      <c r="BX40" s="140"/>
      <c r="BY40" s="1483">
        <f t="shared" si="32"/>
        <v>11</v>
      </c>
      <c r="BZ40" s="1222">
        <f t="shared" si="32"/>
        <v>0</v>
      </c>
      <c r="CA40" s="1222">
        <f t="shared" si="33"/>
        <v>0</v>
      </c>
      <c r="CB40" s="1223" t="str">
        <f t="shared" si="34"/>
        <v/>
      </c>
      <c r="CC40" s="1224" t="str">
        <f>IF(AQ40,IF(ISNUMBER(#REF!),MAX('Adjustment factors'!$S$16,0.2+0.8*#REF!),IF(ISTEXT(J40),VLOOKUP(J40,Afactors,2,FALSE),"")),"")</f>
        <v/>
      </c>
      <c r="CD40" s="1484" t="str">
        <f t="shared" si="35"/>
        <v/>
      </c>
      <c r="CE40" s="140"/>
      <c r="CF40" s="140"/>
      <c r="CG40" s="140"/>
      <c r="CH40" s="140"/>
      <c r="CI40" s="140"/>
      <c r="CJ40" s="140"/>
      <c r="CK40" s="140"/>
      <c r="CL40" s="140"/>
      <c r="CM40" s="140"/>
      <c r="CN40" s="140"/>
      <c r="CO40" s="140"/>
      <c r="CP40" s="140"/>
      <c r="CQ40" s="140"/>
      <c r="CR40" s="140"/>
      <c r="CS40" s="140"/>
      <c r="CU40" s="590" t="str">
        <f t="shared" si="36"/>
        <v>OK</v>
      </c>
      <c r="CV40" s="590" t="str">
        <f t="shared" si="37"/>
        <v>OK</v>
      </c>
      <c r="CW40" s="590" t="str">
        <f t="shared" si="38"/>
        <v>OK</v>
      </c>
      <c r="CX40" s="590" t="str">
        <f t="shared" si="39"/>
        <v>OK</v>
      </c>
      <c r="CY40" s="939" t="str">
        <f t="shared" si="40"/>
        <v>OK</v>
      </c>
      <c r="CZ40" s="590" t="str">
        <f t="shared" si="41"/>
        <v>OK</v>
      </c>
      <c r="DA40" s="590" t="str">
        <f t="shared" si="42"/>
        <v>OK</v>
      </c>
      <c r="DB40" s="590" t="str">
        <f t="shared" si="43"/>
        <v>OK</v>
      </c>
      <c r="DC40" s="590" t="str">
        <f>IF(AND(ISNUMBER(#REF!),J40&lt;&gt;FixedDim),"Select fixed dimming with an illuminance factor","OK")</f>
        <v>OK</v>
      </c>
      <c r="DD40" s="590" t="str">
        <f>IF(AND(NOT(ISNUMBER(#REF!)),J40=FixedDim),"Enter an illuminance factor","OK")</f>
        <v>OK</v>
      </c>
      <c r="DE40" s="590" t="str">
        <f t="shared" si="66"/>
        <v>OK</v>
      </c>
      <c r="DF40" s="590" t="str">
        <f t="shared" si="44"/>
        <v>OK</v>
      </c>
      <c r="DG40" s="590" t="str">
        <f t="shared" si="45"/>
        <v>OK</v>
      </c>
      <c r="DH40" s="590" t="str">
        <f t="shared" si="46"/>
        <v>OK</v>
      </c>
      <c r="DI40" s="939" t="str">
        <f t="shared" si="47"/>
        <v>OK</v>
      </c>
      <c r="DJ40" s="591">
        <f t="shared" si="48"/>
        <v>0</v>
      </c>
      <c r="DK40" s="940" t="str">
        <f t="shared" si="49"/>
        <v>OK</v>
      </c>
    </row>
    <row r="41" spans="1:115" ht="18" hidden="1" x14ac:dyDescent="0.4">
      <c r="A41" s="589"/>
      <c r="B41" s="1485" t="str">
        <f t="shared" si="0"/>
        <v>-</v>
      </c>
      <c r="C41" s="1214">
        <v>12</v>
      </c>
      <c r="D41" s="1215"/>
      <c r="E41" s="1216"/>
      <c r="F41" s="1217"/>
      <c r="G41" s="1218"/>
      <c r="H41" s="1760"/>
      <c r="I41" s="1760"/>
      <c r="J41" s="1460"/>
      <c r="K41" s="1219"/>
      <c r="L41" s="1219"/>
      <c r="M41" s="1220"/>
      <c r="N41" s="1221" t="str">
        <f t="shared" si="1"/>
        <v/>
      </c>
      <c r="O41" s="1221" t="str">
        <f t="shared" si="1"/>
        <v/>
      </c>
      <c r="P41" s="1461" t="str">
        <f t="shared" si="2"/>
        <v/>
      </c>
      <c r="Q41" s="150"/>
      <c r="R41" s="1462" t="str">
        <f t="shared" si="3"/>
        <v/>
      </c>
      <c r="S41" s="1463" t="b">
        <f t="shared" si="4"/>
        <v>0</v>
      </c>
      <c r="T41" s="1464" t="str">
        <f t="shared" si="50"/>
        <v/>
      </c>
      <c r="U41" s="1464" t="str">
        <f t="shared" si="5"/>
        <v/>
      </c>
      <c r="V41" s="1465">
        <f t="shared" si="6"/>
        <v>0</v>
      </c>
      <c r="W41" s="1466">
        <f t="shared" si="51"/>
        <v>0</v>
      </c>
      <c r="X41" s="1466">
        <f t="shared" si="52"/>
        <v>0</v>
      </c>
      <c r="Y41" s="1466">
        <f t="shared" si="7"/>
        <v>0</v>
      </c>
      <c r="Z41" s="1467">
        <f t="shared" si="53"/>
        <v>0</v>
      </c>
      <c r="AA41" s="1465">
        <f t="shared" si="8"/>
        <v>0</v>
      </c>
      <c r="AB41" s="1466">
        <f t="shared" si="54"/>
        <v>0</v>
      </c>
      <c r="AC41" s="1466">
        <f t="shared" si="55"/>
        <v>0</v>
      </c>
      <c r="AD41" s="1466">
        <f t="shared" si="56"/>
        <v>0</v>
      </c>
      <c r="AE41" s="1467">
        <f t="shared" si="57"/>
        <v>0</v>
      </c>
      <c r="AF41" s="1465">
        <f t="shared" si="9"/>
        <v>0</v>
      </c>
      <c r="AG41" s="1466">
        <f t="shared" si="58"/>
        <v>0</v>
      </c>
      <c r="AH41" s="1466">
        <f t="shared" si="59"/>
        <v>0</v>
      </c>
      <c r="AI41" s="1466">
        <f t="shared" si="60"/>
        <v>0</v>
      </c>
      <c r="AJ41" s="1467">
        <f t="shared" si="61"/>
        <v>0</v>
      </c>
      <c r="AK41" s="1468" t="b">
        <f t="shared" si="10"/>
        <v>1</v>
      </c>
      <c r="AL41" s="1469" t="b">
        <f t="shared" si="11"/>
        <v>1</v>
      </c>
      <c r="AM41" s="1469" t="str">
        <f t="shared" si="12"/>
        <v/>
      </c>
      <c r="AN41" s="1469" t="b">
        <f t="shared" si="13"/>
        <v>0</v>
      </c>
      <c r="AO41" s="1470" t="b">
        <f>IF(OR(COUNTBLANK(D41:I41)=6,AND(COUNTBLANK(D41:G41)=4,H41=0)),OR(AN42:AN$69),NOT(AN41))</f>
        <v>0</v>
      </c>
      <c r="AP41" s="1469" t="b">
        <f t="shared" si="14"/>
        <v>1</v>
      </c>
      <c r="AQ41" s="1469" t="b">
        <f t="shared" si="62"/>
        <v>1</v>
      </c>
      <c r="AR41" s="1471">
        <f t="shared" si="15"/>
        <v>0</v>
      </c>
      <c r="AS41" s="1471" t="str">
        <f t="shared" si="16"/>
        <v/>
      </c>
      <c r="AT41" s="1472" t="str">
        <f t="shared" si="63"/>
        <v/>
      </c>
      <c r="AU41" s="1473" t="str">
        <f t="shared" si="17"/>
        <v/>
      </c>
      <c r="AV41" s="1474" t="str">
        <f t="shared" si="18"/>
        <v/>
      </c>
      <c r="AW41" s="1475"/>
      <c r="AX41" s="1474" t="str">
        <f t="shared" si="64"/>
        <v/>
      </c>
      <c r="AY41" s="1762"/>
      <c r="AZ41" s="1762"/>
      <c r="BA41" s="1476" t="b">
        <f t="shared" si="19"/>
        <v>0</v>
      </c>
      <c r="BB41" s="1477" t="b">
        <f t="shared" si="20"/>
        <v>0</v>
      </c>
      <c r="BC41" s="1478" t="b">
        <f t="shared" si="21"/>
        <v>0</v>
      </c>
      <c r="BD41" s="1476" t="b">
        <f t="shared" si="22"/>
        <v>0</v>
      </c>
      <c r="BE41" s="1476" t="b">
        <f t="shared" si="23"/>
        <v>1</v>
      </c>
      <c r="BF41" s="1477" t="b">
        <f t="shared" si="24"/>
        <v>0</v>
      </c>
      <c r="BG41" s="1478" t="b">
        <f t="shared" si="25"/>
        <v>0</v>
      </c>
      <c r="BH41" s="1476" t="b">
        <f t="shared" si="26"/>
        <v>0</v>
      </c>
      <c r="BI41" s="1477" t="b">
        <f t="shared" si="65"/>
        <v>0</v>
      </c>
      <c r="BJ41" s="1479" t="b">
        <f t="shared" si="27"/>
        <v>0</v>
      </c>
      <c r="BK41" s="1480" t="b">
        <f t="shared" si="28"/>
        <v>0</v>
      </c>
      <c r="BL41" s="1481" t="str">
        <f t="shared" si="29"/>
        <v/>
      </c>
      <c r="BN41" s="590" t="str">
        <f t="shared" si="30"/>
        <v>no data</v>
      </c>
      <c r="BP41" s="592">
        <v>12</v>
      </c>
      <c r="BQ41" s="592" t="str">
        <f t="shared" si="31"/>
        <v>-</v>
      </c>
      <c r="BU41" s="572"/>
      <c r="BV41" s="175"/>
      <c r="BW41" s="140"/>
      <c r="BX41" s="140"/>
      <c r="BY41" s="1483">
        <f t="shared" si="32"/>
        <v>12</v>
      </c>
      <c r="BZ41" s="1222">
        <f t="shared" si="32"/>
        <v>0</v>
      </c>
      <c r="CA41" s="1222">
        <f t="shared" si="33"/>
        <v>0</v>
      </c>
      <c r="CB41" s="1223" t="str">
        <f t="shared" si="34"/>
        <v/>
      </c>
      <c r="CC41" s="1224" t="str">
        <f>IF(AQ41,IF(ISNUMBER(#REF!),MAX('Adjustment factors'!$S$16,0.2+0.8*#REF!),IF(ISTEXT(J41),VLOOKUP(J41,Afactors,2,FALSE),"")),"")</f>
        <v/>
      </c>
      <c r="CD41" s="1484" t="str">
        <f t="shared" si="35"/>
        <v/>
      </c>
      <c r="CE41" s="140"/>
      <c r="CF41" s="140"/>
      <c r="CG41" s="140"/>
      <c r="CH41" s="140"/>
      <c r="CI41" s="140"/>
      <c r="CJ41" s="140"/>
      <c r="CK41" s="140"/>
      <c r="CL41" s="140"/>
      <c r="CM41" s="140"/>
      <c r="CN41" s="140"/>
      <c r="CO41" s="140"/>
      <c r="CP41" s="140"/>
      <c r="CQ41" s="140"/>
      <c r="CR41" s="140"/>
      <c r="CS41" s="140"/>
      <c r="CU41" s="590" t="str">
        <f t="shared" si="36"/>
        <v>OK</v>
      </c>
      <c r="CV41" s="590" t="str">
        <f t="shared" si="37"/>
        <v>OK</v>
      </c>
      <c r="CW41" s="590" t="str">
        <f t="shared" si="38"/>
        <v>OK</v>
      </c>
      <c r="CX41" s="590" t="str">
        <f t="shared" si="39"/>
        <v>OK</v>
      </c>
      <c r="CY41" s="939" t="str">
        <f t="shared" si="40"/>
        <v>OK</v>
      </c>
      <c r="CZ41" s="590" t="str">
        <f t="shared" si="41"/>
        <v>OK</v>
      </c>
      <c r="DA41" s="590" t="str">
        <f t="shared" si="42"/>
        <v>OK</v>
      </c>
      <c r="DB41" s="590" t="str">
        <f t="shared" si="43"/>
        <v>OK</v>
      </c>
      <c r="DC41" s="590" t="str">
        <f>IF(AND(ISNUMBER(#REF!),J41&lt;&gt;FixedDim),"Select fixed dimming with an illuminance factor","OK")</f>
        <v>OK</v>
      </c>
      <c r="DD41" s="590" t="str">
        <f>IF(AND(NOT(ISNUMBER(#REF!)),J41=FixedDim),"Enter an illuminance factor","OK")</f>
        <v>OK</v>
      </c>
      <c r="DE41" s="590" t="str">
        <f t="shared" si="66"/>
        <v>OK</v>
      </c>
      <c r="DF41" s="590" t="str">
        <f t="shared" si="44"/>
        <v>OK</v>
      </c>
      <c r="DG41" s="590" t="str">
        <f t="shared" si="45"/>
        <v>OK</v>
      </c>
      <c r="DH41" s="590" t="str">
        <f t="shared" si="46"/>
        <v>OK</v>
      </c>
      <c r="DI41" s="939" t="str">
        <f t="shared" si="47"/>
        <v>OK</v>
      </c>
      <c r="DJ41" s="591">
        <f t="shared" si="48"/>
        <v>0</v>
      </c>
      <c r="DK41" s="940" t="str">
        <f t="shared" si="49"/>
        <v>OK</v>
      </c>
    </row>
    <row r="42" spans="1:115" ht="18" hidden="1" x14ac:dyDescent="0.4">
      <c r="A42" s="589"/>
      <c r="B42" s="1485" t="str">
        <f t="shared" si="0"/>
        <v>-</v>
      </c>
      <c r="C42" s="1214">
        <v>13</v>
      </c>
      <c r="D42" s="1215"/>
      <c r="E42" s="1216"/>
      <c r="F42" s="1217"/>
      <c r="G42" s="1218"/>
      <c r="H42" s="1760"/>
      <c r="I42" s="1760"/>
      <c r="J42" s="1460"/>
      <c r="K42" s="1219"/>
      <c r="L42" s="1219"/>
      <c r="M42" s="1220"/>
      <c r="N42" s="1221" t="str">
        <f t="shared" si="1"/>
        <v/>
      </c>
      <c r="O42" s="1221" t="str">
        <f t="shared" si="1"/>
        <v/>
      </c>
      <c r="P42" s="1461" t="str">
        <f t="shared" si="2"/>
        <v/>
      </c>
      <c r="Q42" s="150"/>
      <c r="R42" s="1462" t="str">
        <f t="shared" si="3"/>
        <v/>
      </c>
      <c r="S42" s="1463" t="b">
        <f t="shared" si="4"/>
        <v>0</v>
      </c>
      <c r="T42" s="1464" t="str">
        <f t="shared" si="50"/>
        <v/>
      </c>
      <c r="U42" s="1464" t="str">
        <f t="shared" si="5"/>
        <v/>
      </c>
      <c r="V42" s="1465">
        <f t="shared" si="6"/>
        <v>0</v>
      </c>
      <c r="W42" s="1466">
        <f t="shared" si="51"/>
        <v>0</v>
      </c>
      <c r="X42" s="1466">
        <f t="shared" si="52"/>
        <v>0</v>
      </c>
      <c r="Y42" s="1466">
        <f t="shared" si="7"/>
        <v>0</v>
      </c>
      <c r="Z42" s="1467">
        <f t="shared" si="53"/>
        <v>0</v>
      </c>
      <c r="AA42" s="1465">
        <f t="shared" si="8"/>
        <v>0</v>
      </c>
      <c r="AB42" s="1466">
        <f t="shared" si="54"/>
        <v>0</v>
      </c>
      <c r="AC42" s="1466">
        <f t="shared" si="55"/>
        <v>0</v>
      </c>
      <c r="AD42" s="1466">
        <f t="shared" si="56"/>
        <v>0</v>
      </c>
      <c r="AE42" s="1467">
        <f t="shared" si="57"/>
        <v>0</v>
      </c>
      <c r="AF42" s="1465">
        <f t="shared" si="9"/>
        <v>0</v>
      </c>
      <c r="AG42" s="1466">
        <f t="shared" si="58"/>
        <v>0</v>
      </c>
      <c r="AH42" s="1466">
        <f t="shared" si="59"/>
        <v>0</v>
      </c>
      <c r="AI42" s="1466">
        <f t="shared" si="60"/>
        <v>0</v>
      </c>
      <c r="AJ42" s="1467">
        <f t="shared" si="61"/>
        <v>0</v>
      </c>
      <c r="AK42" s="1468" t="b">
        <f t="shared" si="10"/>
        <v>1</v>
      </c>
      <c r="AL42" s="1469" t="b">
        <f t="shared" si="11"/>
        <v>1</v>
      </c>
      <c r="AM42" s="1469" t="str">
        <f t="shared" si="12"/>
        <v/>
      </c>
      <c r="AN42" s="1469" t="b">
        <f t="shared" si="13"/>
        <v>0</v>
      </c>
      <c r="AO42" s="1470" t="b">
        <f>IF(OR(COUNTBLANK(D42:I42)=6,AND(COUNTBLANK(D42:G42)=4,H42=0)),OR(AN43:AN$69),NOT(AN42))</f>
        <v>0</v>
      </c>
      <c r="AP42" s="1469" t="b">
        <f t="shared" si="14"/>
        <v>1</v>
      </c>
      <c r="AQ42" s="1469" t="b">
        <f t="shared" si="62"/>
        <v>1</v>
      </c>
      <c r="AR42" s="1471">
        <f t="shared" si="15"/>
        <v>0</v>
      </c>
      <c r="AS42" s="1471" t="str">
        <f t="shared" si="16"/>
        <v/>
      </c>
      <c r="AT42" s="1472" t="str">
        <f t="shared" si="63"/>
        <v/>
      </c>
      <c r="AU42" s="1473" t="str">
        <f t="shared" si="17"/>
        <v/>
      </c>
      <c r="AV42" s="1474" t="str">
        <f t="shared" si="18"/>
        <v/>
      </c>
      <c r="AW42" s="1475"/>
      <c r="AX42" s="1474" t="str">
        <f t="shared" si="64"/>
        <v/>
      </c>
      <c r="AY42" s="1762"/>
      <c r="AZ42" s="1762"/>
      <c r="BA42" s="1476" t="b">
        <f t="shared" si="19"/>
        <v>0</v>
      </c>
      <c r="BB42" s="1477" t="b">
        <f t="shared" si="20"/>
        <v>0</v>
      </c>
      <c r="BC42" s="1478" t="b">
        <f t="shared" si="21"/>
        <v>0</v>
      </c>
      <c r="BD42" s="1476" t="b">
        <f t="shared" si="22"/>
        <v>0</v>
      </c>
      <c r="BE42" s="1476" t="b">
        <f t="shared" si="23"/>
        <v>1</v>
      </c>
      <c r="BF42" s="1477" t="b">
        <f t="shared" si="24"/>
        <v>0</v>
      </c>
      <c r="BG42" s="1478" t="b">
        <f t="shared" si="25"/>
        <v>0</v>
      </c>
      <c r="BH42" s="1476" t="b">
        <f t="shared" si="26"/>
        <v>0</v>
      </c>
      <c r="BI42" s="1477" t="b">
        <f t="shared" si="65"/>
        <v>0</v>
      </c>
      <c r="BJ42" s="1479" t="b">
        <f t="shared" si="27"/>
        <v>0</v>
      </c>
      <c r="BK42" s="1480" t="b">
        <f t="shared" si="28"/>
        <v>0</v>
      </c>
      <c r="BL42" s="1481" t="str">
        <f t="shared" si="29"/>
        <v/>
      </c>
      <c r="BN42" s="590" t="str">
        <f t="shared" si="30"/>
        <v>no data</v>
      </c>
      <c r="BP42" s="592">
        <v>13</v>
      </c>
      <c r="BQ42" s="592" t="str">
        <f t="shared" si="31"/>
        <v>-</v>
      </c>
      <c r="BU42" s="572"/>
      <c r="BV42" s="175"/>
      <c r="BW42" s="140"/>
      <c r="BX42" s="140"/>
      <c r="BY42" s="1483">
        <f t="shared" si="32"/>
        <v>13</v>
      </c>
      <c r="BZ42" s="1222">
        <f t="shared" si="32"/>
        <v>0</v>
      </c>
      <c r="CA42" s="1222">
        <f t="shared" si="33"/>
        <v>0</v>
      </c>
      <c r="CB42" s="1223" t="str">
        <f t="shared" si="34"/>
        <v/>
      </c>
      <c r="CC42" s="1224" t="str">
        <f>IF(AQ42,IF(ISNUMBER(#REF!),MAX('Adjustment factors'!$S$16,0.2+0.8*#REF!),IF(ISTEXT(J42),VLOOKUP(J42,Afactors,2,FALSE),"")),"")</f>
        <v/>
      </c>
      <c r="CD42" s="1484" t="str">
        <f t="shared" si="35"/>
        <v/>
      </c>
      <c r="CE42" s="140"/>
      <c r="CF42" s="140"/>
      <c r="CG42" s="140"/>
      <c r="CH42" s="140"/>
      <c r="CI42" s="140"/>
      <c r="CJ42" s="140"/>
      <c r="CK42" s="140"/>
      <c r="CL42" s="140"/>
      <c r="CM42" s="140"/>
      <c r="CN42" s="140"/>
      <c r="CO42" s="140"/>
      <c r="CP42" s="140"/>
      <c r="CQ42" s="140"/>
      <c r="CR42" s="140"/>
      <c r="CS42" s="140"/>
      <c r="CU42" s="590" t="str">
        <f t="shared" si="36"/>
        <v>OK</v>
      </c>
      <c r="CV42" s="590" t="str">
        <f t="shared" si="37"/>
        <v>OK</v>
      </c>
      <c r="CW42" s="590" t="str">
        <f t="shared" si="38"/>
        <v>OK</v>
      </c>
      <c r="CX42" s="590" t="str">
        <f t="shared" si="39"/>
        <v>OK</v>
      </c>
      <c r="CY42" s="939" t="str">
        <f t="shared" si="40"/>
        <v>OK</v>
      </c>
      <c r="CZ42" s="590" t="str">
        <f t="shared" si="41"/>
        <v>OK</v>
      </c>
      <c r="DA42" s="590" t="str">
        <f t="shared" si="42"/>
        <v>OK</v>
      </c>
      <c r="DB42" s="590" t="str">
        <f t="shared" si="43"/>
        <v>OK</v>
      </c>
      <c r="DC42" s="590" t="str">
        <f>IF(AND(ISNUMBER(#REF!),J42&lt;&gt;FixedDim),"Select fixed dimming with an illuminance factor","OK")</f>
        <v>OK</v>
      </c>
      <c r="DD42" s="590" t="str">
        <f>IF(AND(NOT(ISNUMBER(#REF!)),J42=FixedDim),"Enter an illuminance factor","OK")</f>
        <v>OK</v>
      </c>
      <c r="DE42" s="590" t="str">
        <f t="shared" si="66"/>
        <v>OK</v>
      </c>
      <c r="DF42" s="590" t="str">
        <f t="shared" si="44"/>
        <v>OK</v>
      </c>
      <c r="DG42" s="590" t="str">
        <f t="shared" si="45"/>
        <v>OK</v>
      </c>
      <c r="DH42" s="590" t="str">
        <f t="shared" si="46"/>
        <v>OK</v>
      </c>
      <c r="DI42" s="939" t="str">
        <f t="shared" si="47"/>
        <v>OK</v>
      </c>
      <c r="DJ42" s="591">
        <f t="shared" si="48"/>
        <v>0</v>
      </c>
      <c r="DK42" s="940" t="str">
        <f t="shared" si="49"/>
        <v>OK</v>
      </c>
    </row>
    <row r="43" spans="1:115" ht="18" hidden="1" x14ac:dyDescent="0.4">
      <c r="A43" s="589"/>
      <c r="B43" s="1485" t="str">
        <f t="shared" si="0"/>
        <v>-</v>
      </c>
      <c r="C43" s="1214">
        <v>14</v>
      </c>
      <c r="D43" s="1215"/>
      <c r="E43" s="1216"/>
      <c r="F43" s="1217"/>
      <c r="G43" s="1218"/>
      <c r="H43" s="1760"/>
      <c r="I43" s="1760"/>
      <c r="J43" s="1460"/>
      <c r="K43" s="1219"/>
      <c r="L43" s="1219"/>
      <c r="M43" s="1220"/>
      <c r="N43" s="1221" t="str">
        <f t="shared" si="1"/>
        <v/>
      </c>
      <c r="O43" s="1221" t="str">
        <f t="shared" si="1"/>
        <v/>
      </c>
      <c r="P43" s="1461" t="str">
        <f t="shared" si="2"/>
        <v/>
      </c>
      <c r="Q43" s="150"/>
      <c r="R43" s="1462" t="str">
        <f t="shared" si="3"/>
        <v/>
      </c>
      <c r="S43" s="1463" t="b">
        <f t="shared" si="4"/>
        <v>0</v>
      </c>
      <c r="T43" s="1464" t="str">
        <f t="shared" si="50"/>
        <v/>
      </c>
      <c r="U43" s="1464" t="str">
        <f t="shared" si="5"/>
        <v/>
      </c>
      <c r="V43" s="1465">
        <f t="shared" si="6"/>
        <v>0</v>
      </c>
      <c r="W43" s="1466">
        <f t="shared" si="51"/>
        <v>0</v>
      </c>
      <c r="X43" s="1466">
        <f t="shared" si="52"/>
        <v>0</v>
      </c>
      <c r="Y43" s="1466">
        <f t="shared" si="7"/>
        <v>0</v>
      </c>
      <c r="Z43" s="1467">
        <f t="shared" si="53"/>
        <v>0</v>
      </c>
      <c r="AA43" s="1465">
        <f t="shared" si="8"/>
        <v>0</v>
      </c>
      <c r="AB43" s="1466">
        <f t="shared" si="54"/>
        <v>0</v>
      </c>
      <c r="AC43" s="1466">
        <f t="shared" si="55"/>
        <v>0</v>
      </c>
      <c r="AD43" s="1466">
        <f t="shared" si="56"/>
        <v>0</v>
      </c>
      <c r="AE43" s="1467">
        <f t="shared" si="57"/>
        <v>0</v>
      </c>
      <c r="AF43" s="1465">
        <f t="shared" si="9"/>
        <v>0</v>
      </c>
      <c r="AG43" s="1466">
        <f t="shared" si="58"/>
        <v>0</v>
      </c>
      <c r="AH43" s="1466">
        <f t="shared" si="59"/>
        <v>0</v>
      </c>
      <c r="AI43" s="1466">
        <f t="shared" si="60"/>
        <v>0</v>
      </c>
      <c r="AJ43" s="1467">
        <f t="shared" si="61"/>
        <v>0</v>
      </c>
      <c r="AK43" s="1468" t="b">
        <f t="shared" si="10"/>
        <v>1</v>
      </c>
      <c r="AL43" s="1469" t="b">
        <f t="shared" si="11"/>
        <v>1</v>
      </c>
      <c r="AM43" s="1469" t="str">
        <f t="shared" si="12"/>
        <v/>
      </c>
      <c r="AN43" s="1469" t="b">
        <f t="shared" si="13"/>
        <v>0</v>
      </c>
      <c r="AO43" s="1470" t="b">
        <f>IF(OR(COUNTBLANK(D43:I43)=6,AND(COUNTBLANK(D43:G43)=4,H43=0)),OR(AN44:AN$69),NOT(AN43))</f>
        <v>0</v>
      </c>
      <c r="AP43" s="1469" t="b">
        <f t="shared" si="14"/>
        <v>1</v>
      </c>
      <c r="AQ43" s="1469" t="b">
        <f t="shared" si="62"/>
        <v>1</v>
      </c>
      <c r="AR43" s="1471">
        <f t="shared" si="15"/>
        <v>0</v>
      </c>
      <c r="AS43" s="1471" t="str">
        <f t="shared" si="16"/>
        <v/>
      </c>
      <c r="AT43" s="1472" t="str">
        <f t="shared" si="63"/>
        <v/>
      </c>
      <c r="AU43" s="1473" t="str">
        <f t="shared" si="17"/>
        <v/>
      </c>
      <c r="AV43" s="1474" t="str">
        <f t="shared" si="18"/>
        <v/>
      </c>
      <c r="AW43" s="1475"/>
      <c r="AX43" s="1474" t="str">
        <f t="shared" si="64"/>
        <v/>
      </c>
      <c r="AY43" s="1762"/>
      <c r="AZ43" s="1762"/>
      <c r="BA43" s="1476" t="b">
        <f t="shared" si="19"/>
        <v>0</v>
      </c>
      <c r="BB43" s="1477" t="b">
        <f t="shared" si="20"/>
        <v>0</v>
      </c>
      <c r="BC43" s="1478" t="b">
        <f t="shared" si="21"/>
        <v>0</v>
      </c>
      <c r="BD43" s="1476" t="b">
        <f t="shared" si="22"/>
        <v>0</v>
      </c>
      <c r="BE43" s="1476" t="b">
        <f t="shared" si="23"/>
        <v>1</v>
      </c>
      <c r="BF43" s="1477" t="b">
        <f t="shared" si="24"/>
        <v>0</v>
      </c>
      <c r="BG43" s="1478" t="b">
        <f t="shared" si="25"/>
        <v>0</v>
      </c>
      <c r="BH43" s="1476" t="b">
        <f t="shared" si="26"/>
        <v>0</v>
      </c>
      <c r="BI43" s="1477" t="b">
        <f t="shared" si="65"/>
        <v>0</v>
      </c>
      <c r="BJ43" s="1479" t="b">
        <f t="shared" si="27"/>
        <v>0</v>
      </c>
      <c r="BK43" s="1480" t="b">
        <f t="shared" si="28"/>
        <v>0</v>
      </c>
      <c r="BL43" s="1481" t="str">
        <f t="shared" si="29"/>
        <v/>
      </c>
      <c r="BN43" s="590" t="str">
        <f t="shared" si="30"/>
        <v>no data</v>
      </c>
      <c r="BP43" s="592">
        <v>14</v>
      </c>
      <c r="BQ43" s="592" t="str">
        <f t="shared" si="31"/>
        <v>-</v>
      </c>
      <c r="BU43" s="572"/>
      <c r="BV43" s="175"/>
      <c r="BW43" s="140"/>
      <c r="BX43" s="140"/>
      <c r="BY43" s="1483">
        <f t="shared" si="32"/>
        <v>14</v>
      </c>
      <c r="BZ43" s="1222">
        <f t="shared" si="32"/>
        <v>0</v>
      </c>
      <c r="CA43" s="1222">
        <f t="shared" si="33"/>
        <v>0</v>
      </c>
      <c r="CB43" s="1223" t="str">
        <f t="shared" si="34"/>
        <v/>
      </c>
      <c r="CC43" s="1224" t="str">
        <f>IF(AQ43,IF(ISNUMBER(#REF!),MAX('Adjustment factors'!$S$16,0.2+0.8*#REF!),IF(ISTEXT(J43),VLOOKUP(J43,Afactors,2,FALSE),"")),"")</f>
        <v/>
      </c>
      <c r="CD43" s="1484" t="str">
        <f t="shared" si="35"/>
        <v/>
      </c>
      <c r="CE43" s="140"/>
      <c r="CF43" s="140"/>
      <c r="CG43" s="140"/>
      <c r="CH43" s="140"/>
      <c r="CI43" s="140"/>
      <c r="CJ43" s="140"/>
      <c r="CK43" s="140"/>
      <c r="CL43" s="140"/>
      <c r="CM43" s="140"/>
      <c r="CN43" s="140"/>
      <c r="CO43" s="140"/>
      <c r="CP43" s="140"/>
      <c r="CQ43" s="140"/>
      <c r="CR43" s="140"/>
      <c r="CS43" s="140"/>
      <c r="CU43" s="590" t="str">
        <f t="shared" si="36"/>
        <v>OK</v>
      </c>
      <c r="CV43" s="590" t="str">
        <f t="shared" si="37"/>
        <v>OK</v>
      </c>
      <c r="CW43" s="590" t="str">
        <f t="shared" si="38"/>
        <v>OK</v>
      </c>
      <c r="CX43" s="590" t="str">
        <f t="shared" si="39"/>
        <v>OK</v>
      </c>
      <c r="CY43" s="939" t="str">
        <f t="shared" si="40"/>
        <v>OK</v>
      </c>
      <c r="CZ43" s="590" t="str">
        <f t="shared" si="41"/>
        <v>OK</v>
      </c>
      <c r="DA43" s="590" t="str">
        <f t="shared" si="42"/>
        <v>OK</v>
      </c>
      <c r="DB43" s="590" t="str">
        <f t="shared" si="43"/>
        <v>OK</v>
      </c>
      <c r="DC43" s="590" t="str">
        <f>IF(AND(ISNUMBER(#REF!),J43&lt;&gt;FixedDim),"Select fixed dimming with an illuminance factor","OK")</f>
        <v>OK</v>
      </c>
      <c r="DD43" s="590" t="str">
        <f>IF(AND(NOT(ISNUMBER(#REF!)),J43=FixedDim),"Enter an illuminance factor","OK")</f>
        <v>OK</v>
      </c>
      <c r="DE43" s="590" t="str">
        <f t="shared" si="66"/>
        <v>OK</v>
      </c>
      <c r="DF43" s="590" t="str">
        <f t="shared" si="44"/>
        <v>OK</v>
      </c>
      <c r="DG43" s="590" t="str">
        <f t="shared" si="45"/>
        <v>OK</v>
      </c>
      <c r="DH43" s="590" t="str">
        <f t="shared" si="46"/>
        <v>OK</v>
      </c>
      <c r="DI43" s="939" t="str">
        <f t="shared" si="47"/>
        <v>OK</v>
      </c>
      <c r="DJ43" s="591">
        <f t="shared" si="48"/>
        <v>0</v>
      </c>
      <c r="DK43" s="940" t="str">
        <f t="shared" si="49"/>
        <v>OK</v>
      </c>
    </row>
    <row r="44" spans="1:115" ht="18" hidden="1" x14ac:dyDescent="0.4">
      <c r="A44" s="589"/>
      <c r="B44" s="1485" t="str">
        <f t="shared" si="0"/>
        <v>-</v>
      </c>
      <c r="C44" s="1214">
        <v>15</v>
      </c>
      <c r="D44" s="1215"/>
      <c r="E44" s="1216"/>
      <c r="F44" s="1217"/>
      <c r="G44" s="1218"/>
      <c r="H44" s="1760"/>
      <c r="I44" s="1760"/>
      <c r="J44" s="1460"/>
      <c r="K44" s="1219"/>
      <c r="L44" s="1219"/>
      <c r="M44" s="1220"/>
      <c r="N44" s="1221" t="str">
        <f t="shared" si="1"/>
        <v/>
      </c>
      <c r="O44" s="1221" t="str">
        <f t="shared" si="1"/>
        <v/>
      </c>
      <c r="P44" s="1461" t="str">
        <f t="shared" si="2"/>
        <v/>
      </c>
      <c r="Q44" s="150"/>
      <c r="R44" s="1462" t="str">
        <f t="shared" si="3"/>
        <v/>
      </c>
      <c r="S44" s="1463" t="b">
        <f t="shared" si="4"/>
        <v>0</v>
      </c>
      <c r="T44" s="1464" t="str">
        <f t="shared" si="50"/>
        <v/>
      </c>
      <c r="U44" s="1464" t="str">
        <f t="shared" si="5"/>
        <v/>
      </c>
      <c r="V44" s="1465">
        <f t="shared" si="6"/>
        <v>0</v>
      </c>
      <c r="W44" s="1466">
        <f t="shared" si="51"/>
        <v>0</v>
      </c>
      <c r="X44" s="1466">
        <f t="shared" si="52"/>
        <v>0</v>
      </c>
      <c r="Y44" s="1466">
        <f t="shared" si="7"/>
        <v>0</v>
      </c>
      <c r="Z44" s="1467">
        <f t="shared" si="53"/>
        <v>0</v>
      </c>
      <c r="AA44" s="1465">
        <f t="shared" si="8"/>
        <v>0</v>
      </c>
      <c r="AB44" s="1466">
        <f t="shared" si="54"/>
        <v>0</v>
      </c>
      <c r="AC44" s="1466">
        <f t="shared" si="55"/>
        <v>0</v>
      </c>
      <c r="AD44" s="1466">
        <f t="shared" si="56"/>
        <v>0</v>
      </c>
      <c r="AE44" s="1467">
        <f t="shared" si="57"/>
        <v>0</v>
      </c>
      <c r="AF44" s="1465">
        <f t="shared" si="9"/>
        <v>0</v>
      </c>
      <c r="AG44" s="1466">
        <f t="shared" si="58"/>
        <v>0</v>
      </c>
      <c r="AH44" s="1466">
        <f t="shared" si="59"/>
        <v>0</v>
      </c>
      <c r="AI44" s="1466">
        <f t="shared" si="60"/>
        <v>0</v>
      </c>
      <c r="AJ44" s="1467">
        <f t="shared" si="61"/>
        <v>0</v>
      </c>
      <c r="AK44" s="1468" t="b">
        <f t="shared" si="10"/>
        <v>1</v>
      </c>
      <c r="AL44" s="1469" t="b">
        <f t="shared" si="11"/>
        <v>1</v>
      </c>
      <c r="AM44" s="1469" t="str">
        <f t="shared" si="12"/>
        <v/>
      </c>
      <c r="AN44" s="1469" t="b">
        <f t="shared" si="13"/>
        <v>0</v>
      </c>
      <c r="AO44" s="1470" t="b">
        <f>IF(OR(COUNTBLANK(D44:I44)=6,AND(COUNTBLANK(D44:G44)=4,H44=0)),OR(AN45:AN$69),NOT(AN44))</f>
        <v>0</v>
      </c>
      <c r="AP44" s="1469" t="b">
        <f t="shared" si="14"/>
        <v>1</v>
      </c>
      <c r="AQ44" s="1469" t="b">
        <f t="shared" si="62"/>
        <v>1</v>
      </c>
      <c r="AR44" s="1471">
        <f t="shared" si="15"/>
        <v>0</v>
      </c>
      <c r="AS44" s="1471" t="str">
        <f t="shared" si="16"/>
        <v/>
      </c>
      <c r="AT44" s="1472" t="str">
        <f t="shared" si="63"/>
        <v/>
      </c>
      <c r="AU44" s="1473" t="str">
        <f t="shared" si="17"/>
        <v/>
      </c>
      <c r="AV44" s="1474" t="str">
        <f t="shared" si="18"/>
        <v/>
      </c>
      <c r="AW44" s="1475"/>
      <c r="AX44" s="1474" t="str">
        <f t="shared" si="64"/>
        <v/>
      </c>
      <c r="AY44" s="1762"/>
      <c r="AZ44" s="1762"/>
      <c r="BA44" s="1476" t="b">
        <f t="shared" si="19"/>
        <v>0</v>
      </c>
      <c r="BB44" s="1477" t="b">
        <f t="shared" si="20"/>
        <v>0</v>
      </c>
      <c r="BC44" s="1478" t="b">
        <f t="shared" si="21"/>
        <v>0</v>
      </c>
      <c r="BD44" s="1476" t="b">
        <f t="shared" si="22"/>
        <v>0</v>
      </c>
      <c r="BE44" s="1476" t="b">
        <f t="shared" si="23"/>
        <v>1</v>
      </c>
      <c r="BF44" s="1477" t="b">
        <f t="shared" si="24"/>
        <v>0</v>
      </c>
      <c r="BG44" s="1478" t="b">
        <f t="shared" si="25"/>
        <v>0</v>
      </c>
      <c r="BH44" s="1476" t="b">
        <f t="shared" si="26"/>
        <v>0</v>
      </c>
      <c r="BI44" s="1477" t="b">
        <f t="shared" si="65"/>
        <v>0</v>
      </c>
      <c r="BJ44" s="1479" t="b">
        <f t="shared" si="27"/>
        <v>0</v>
      </c>
      <c r="BK44" s="1480" t="b">
        <f t="shared" si="28"/>
        <v>0</v>
      </c>
      <c r="BL44" s="1481" t="str">
        <f t="shared" si="29"/>
        <v/>
      </c>
      <c r="BN44" s="590" t="str">
        <f t="shared" si="30"/>
        <v>no data</v>
      </c>
      <c r="BP44" s="592">
        <v>15</v>
      </c>
      <c r="BQ44" s="592" t="str">
        <f t="shared" si="31"/>
        <v>-</v>
      </c>
      <c r="BU44" s="572"/>
      <c r="BV44" s="175"/>
      <c r="BW44" s="140"/>
      <c r="BX44" s="140"/>
      <c r="BY44" s="1483">
        <f t="shared" si="32"/>
        <v>15</v>
      </c>
      <c r="BZ44" s="1222">
        <f t="shared" si="32"/>
        <v>0</v>
      </c>
      <c r="CA44" s="1222">
        <f t="shared" si="33"/>
        <v>0</v>
      </c>
      <c r="CB44" s="1223" t="str">
        <f t="shared" si="34"/>
        <v/>
      </c>
      <c r="CC44" s="1224" t="str">
        <f>IF(AQ44,IF(ISNUMBER(#REF!),MAX('Adjustment factors'!$S$16,0.2+0.8*#REF!),IF(ISTEXT(J44),VLOOKUP(J44,Afactors,2,FALSE),"")),"")</f>
        <v/>
      </c>
      <c r="CD44" s="1484" t="str">
        <f t="shared" si="35"/>
        <v/>
      </c>
      <c r="CE44" s="140"/>
      <c r="CF44" s="140"/>
      <c r="CG44" s="140"/>
      <c r="CH44" s="140"/>
      <c r="CI44" s="140"/>
      <c r="CJ44" s="140"/>
      <c r="CK44" s="140"/>
      <c r="CL44" s="140"/>
      <c r="CM44" s="140"/>
      <c r="CN44" s="140"/>
      <c r="CO44" s="140"/>
      <c r="CP44" s="140"/>
      <c r="CQ44" s="140"/>
      <c r="CR44" s="140"/>
      <c r="CS44" s="140"/>
      <c r="CU44" s="590" t="str">
        <f t="shared" si="36"/>
        <v>OK</v>
      </c>
      <c r="CV44" s="590" t="str">
        <f t="shared" si="37"/>
        <v>OK</v>
      </c>
      <c r="CW44" s="590" t="str">
        <f t="shared" si="38"/>
        <v>OK</v>
      </c>
      <c r="CX44" s="590" t="str">
        <f t="shared" si="39"/>
        <v>OK</v>
      </c>
      <c r="CY44" s="939" t="str">
        <f t="shared" si="40"/>
        <v>OK</v>
      </c>
      <c r="CZ44" s="590" t="str">
        <f t="shared" si="41"/>
        <v>OK</v>
      </c>
      <c r="DA44" s="590" t="str">
        <f t="shared" si="42"/>
        <v>OK</v>
      </c>
      <c r="DB44" s="590" t="str">
        <f t="shared" si="43"/>
        <v>OK</v>
      </c>
      <c r="DC44" s="590" t="str">
        <f>IF(AND(ISNUMBER(#REF!),J44&lt;&gt;FixedDim),"Select fixed dimming with an illuminance factor","OK")</f>
        <v>OK</v>
      </c>
      <c r="DD44" s="590" t="str">
        <f>IF(AND(NOT(ISNUMBER(#REF!)),J44=FixedDim),"Enter an illuminance factor","OK")</f>
        <v>OK</v>
      </c>
      <c r="DE44" s="590" t="str">
        <f t="shared" si="66"/>
        <v>OK</v>
      </c>
      <c r="DF44" s="590" t="str">
        <f t="shared" si="44"/>
        <v>OK</v>
      </c>
      <c r="DG44" s="590" t="str">
        <f t="shared" si="45"/>
        <v>OK</v>
      </c>
      <c r="DH44" s="590" t="str">
        <f t="shared" si="46"/>
        <v>OK</v>
      </c>
      <c r="DI44" s="939" t="str">
        <f t="shared" si="47"/>
        <v>OK</v>
      </c>
      <c r="DJ44" s="591">
        <f t="shared" si="48"/>
        <v>0</v>
      </c>
      <c r="DK44" s="940" t="str">
        <f t="shared" si="49"/>
        <v>OK</v>
      </c>
    </row>
    <row r="45" spans="1:115" ht="18" hidden="1" x14ac:dyDescent="0.4">
      <c r="A45" s="589"/>
      <c r="B45" s="1485" t="str">
        <f t="shared" si="0"/>
        <v>-</v>
      </c>
      <c r="C45" s="1214">
        <v>16</v>
      </c>
      <c r="D45" s="1215"/>
      <c r="E45" s="1216"/>
      <c r="F45" s="1217"/>
      <c r="G45" s="1218"/>
      <c r="H45" s="1760"/>
      <c r="I45" s="1760"/>
      <c r="J45" s="1460"/>
      <c r="K45" s="1219"/>
      <c r="L45" s="1219"/>
      <c r="M45" s="1220"/>
      <c r="N45" s="1221" t="str">
        <f t="shared" si="1"/>
        <v/>
      </c>
      <c r="O45" s="1221" t="str">
        <f t="shared" si="1"/>
        <v/>
      </c>
      <c r="P45" s="1461" t="str">
        <f t="shared" si="2"/>
        <v/>
      </c>
      <c r="Q45" s="150"/>
      <c r="R45" s="1462" t="str">
        <f t="shared" si="3"/>
        <v/>
      </c>
      <c r="S45" s="1463" t="b">
        <f t="shared" si="4"/>
        <v>0</v>
      </c>
      <c r="T45" s="1464" t="str">
        <f t="shared" si="50"/>
        <v/>
      </c>
      <c r="U45" s="1464" t="str">
        <f t="shared" si="5"/>
        <v/>
      </c>
      <c r="V45" s="1465">
        <f t="shared" si="6"/>
        <v>0</v>
      </c>
      <c r="W45" s="1466">
        <f t="shared" si="51"/>
        <v>0</v>
      </c>
      <c r="X45" s="1466">
        <f t="shared" si="52"/>
        <v>0</v>
      </c>
      <c r="Y45" s="1466">
        <f t="shared" si="7"/>
        <v>0</v>
      </c>
      <c r="Z45" s="1467">
        <f t="shared" si="53"/>
        <v>0</v>
      </c>
      <c r="AA45" s="1465">
        <f t="shared" si="8"/>
        <v>0</v>
      </c>
      <c r="AB45" s="1466">
        <f t="shared" si="54"/>
        <v>0</v>
      </c>
      <c r="AC45" s="1466">
        <f t="shared" si="55"/>
        <v>0</v>
      </c>
      <c r="AD45" s="1466">
        <f t="shared" si="56"/>
        <v>0</v>
      </c>
      <c r="AE45" s="1467">
        <f t="shared" si="57"/>
        <v>0</v>
      </c>
      <c r="AF45" s="1465">
        <f t="shared" si="9"/>
        <v>0</v>
      </c>
      <c r="AG45" s="1466">
        <f t="shared" si="58"/>
        <v>0</v>
      </c>
      <c r="AH45" s="1466">
        <f t="shared" si="59"/>
        <v>0</v>
      </c>
      <c r="AI45" s="1466">
        <f t="shared" si="60"/>
        <v>0</v>
      </c>
      <c r="AJ45" s="1467">
        <f t="shared" si="61"/>
        <v>0</v>
      </c>
      <c r="AK45" s="1468" t="b">
        <f t="shared" si="10"/>
        <v>1</v>
      </c>
      <c r="AL45" s="1469" t="b">
        <f t="shared" si="11"/>
        <v>1</v>
      </c>
      <c r="AM45" s="1469" t="str">
        <f t="shared" si="12"/>
        <v/>
      </c>
      <c r="AN45" s="1469" t="b">
        <f t="shared" si="13"/>
        <v>0</v>
      </c>
      <c r="AO45" s="1470" t="b">
        <f>IF(OR(COUNTBLANK(D45:I45)=6,AND(COUNTBLANK(D45:G45)=4,H45=0)),OR(AN46:AN$69),NOT(AN45))</f>
        <v>0</v>
      </c>
      <c r="AP45" s="1469" t="b">
        <f t="shared" si="14"/>
        <v>1</v>
      </c>
      <c r="AQ45" s="1469" t="b">
        <f t="shared" si="62"/>
        <v>1</v>
      </c>
      <c r="AR45" s="1471">
        <f t="shared" si="15"/>
        <v>0</v>
      </c>
      <c r="AS45" s="1471" t="str">
        <f t="shared" si="16"/>
        <v/>
      </c>
      <c r="AT45" s="1472" t="str">
        <f t="shared" si="63"/>
        <v/>
      </c>
      <c r="AU45" s="1473" t="str">
        <f t="shared" si="17"/>
        <v/>
      </c>
      <c r="AV45" s="1474" t="str">
        <f t="shared" si="18"/>
        <v/>
      </c>
      <c r="AW45" s="1475"/>
      <c r="AX45" s="1474" t="str">
        <f t="shared" si="64"/>
        <v/>
      </c>
      <c r="AY45" s="1762"/>
      <c r="AZ45" s="1762"/>
      <c r="BA45" s="1476" t="b">
        <f t="shared" si="19"/>
        <v>0</v>
      </c>
      <c r="BB45" s="1477" t="b">
        <f t="shared" si="20"/>
        <v>0</v>
      </c>
      <c r="BC45" s="1478" t="b">
        <f t="shared" si="21"/>
        <v>0</v>
      </c>
      <c r="BD45" s="1476" t="b">
        <f t="shared" si="22"/>
        <v>0</v>
      </c>
      <c r="BE45" s="1476" t="b">
        <f t="shared" si="23"/>
        <v>1</v>
      </c>
      <c r="BF45" s="1477" t="b">
        <f t="shared" si="24"/>
        <v>0</v>
      </c>
      <c r="BG45" s="1478" t="b">
        <f t="shared" si="25"/>
        <v>0</v>
      </c>
      <c r="BH45" s="1476" t="b">
        <f t="shared" si="26"/>
        <v>0</v>
      </c>
      <c r="BI45" s="1477" t="b">
        <f t="shared" si="65"/>
        <v>0</v>
      </c>
      <c r="BJ45" s="1479" t="b">
        <f t="shared" si="27"/>
        <v>0</v>
      </c>
      <c r="BK45" s="1480" t="b">
        <f t="shared" si="28"/>
        <v>0</v>
      </c>
      <c r="BL45" s="1481" t="str">
        <f t="shared" si="29"/>
        <v/>
      </c>
      <c r="BN45" s="590" t="str">
        <f t="shared" si="30"/>
        <v>no data</v>
      </c>
      <c r="BP45" s="592">
        <v>16</v>
      </c>
      <c r="BQ45" s="592" t="str">
        <f t="shared" si="31"/>
        <v>-</v>
      </c>
      <c r="BU45" s="572"/>
      <c r="BV45" s="175"/>
      <c r="BW45" s="140"/>
      <c r="BX45" s="140"/>
      <c r="BY45" s="1483">
        <f t="shared" si="32"/>
        <v>16</v>
      </c>
      <c r="BZ45" s="1222">
        <f t="shared" si="32"/>
        <v>0</v>
      </c>
      <c r="CA45" s="1222">
        <f t="shared" si="33"/>
        <v>0</v>
      </c>
      <c r="CB45" s="1223" t="str">
        <f t="shared" si="34"/>
        <v/>
      </c>
      <c r="CC45" s="1224" t="str">
        <f>IF(AQ45,IF(ISNUMBER(#REF!),MAX('Adjustment factors'!$S$16,0.2+0.8*#REF!),IF(ISTEXT(J45),VLOOKUP(J45,Afactors,2,FALSE),"")),"")</f>
        <v/>
      </c>
      <c r="CD45" s="1484" t="str">
        <f t="shared" si="35"/>
        <v/>
      </c>
      <c r="CE45" s="140"/>
      <c r="CF45" s="140"/>
      <c r="CG45" s="140"/>
      <c r="CH45" s="140"/>
      <c r="CI45" s="140"/>
      <c r="CJ45" s="140"/>
      <c r="CK45" s="140"/>
      <c r="CL45" s="140"/>
      <c r="CM45" s="140"/>
      <c r="CN45" s="140"/>
      <c r="CO45" s="140"/>
      <c r="CP45" s="140"/>
      <c r="CQ45" s="140"/>
      <c r="CR45" s="140"/>
      <c r="CS45" s="140"/>
      <c r="CU45" s="590" t="str">
        <f t="shared" si="36"/>
        <v>OK</v>
      </c>
      <c r="CV45" s="590" t="str">
        <f t="shared" si="37"/>
        <v>OK</v>
      </c>
      <c r="CW45" s="590" t="str">
        <f t="shared" si="38"/>
        <v>OK</v>
      </c>
      <c r="CX45" s="590" t="str">
        <f t="shared" si="39"/>
        <v>OK</v>
      </c>
      <c r="CY45" s="939" t="str">
        <f t="shared" si="40"/>
        <v>OK</v>
      </c>
      <c r="CZ45" s="590" t="str">
        <f t="shared" si="41"/>
        <v>OK</v>
      </c>
      <c r="DA45" s="590" t="str">
        <f t="shared" si="42"/>
        <v>OK</v>
      </c>
      <c r="DB45" s="590" t="str">
        <f t="shared" si="43"/>
        <v>OK</v>
      </c>
      <c r="DC45" s="590" t="str">
        <f>IF(AND(ISNUMBER(#REF!),J45&lt;&gt;FixedDim),"Select fixed dimming with an illuminance factor","OK")</f>
        <v>OK</v>
      </c>
      <c r="DD45" s="590" t="str">
        <f>IF(AND(NOT(ISNUMBER(#REF!)),J45=FixedDim),"Enter an illuminance factor","OK")</f>
        <v>OK</v>
      </c>
      <c r="DE45" s="590" t="str">
        <f t="shared" si="66"/>
        <v>OK</v>
      </c>
      <c r="DF45" s="590" t="str">
        <f t="shared" si="44"/>
        <v>OK</v>
      </c>
      <c r="DG45" s="590" t="str">
        <f t="shared" si="45"/>
        <v>OK</v>
      </c>
      <c r="DH45" s="590" t="str">
        <f t="shared" si="46"/>
        <v>OK</v>
      </c>
      <c r="DI45" s="939" t="str">
        <f t="shared" si="47"/>
        <v>OK</v>
      </c>
      <c r="DJ45" s="591">
        <f t="shared" si="48"/>
        <v>0</v>
      </c>
      <c r="DK45" s="940" t="str">
        <f t="shared" si="49"/>
        <v>OK</v>
      </c>
    </row>
    <row r="46" spans="1:115" ht="18" hidden="1" x14ac:dyDescent="0.4">
      <c r="A46" s="589"/>
      <c r="B46" s="1485" t="str">
        <f t="shared" si="0"/>
        <v>-</v>
      </c>
      <c r="C46" s="1214">
        <v>17</v>
      </c>
      <c r="D46" s="1215"/>
      <c r="E46" s="1216"/>
      <c r="F46" s="1217"/>
      <c r="G46" s="1218"/>
      <c r="H46" s="1760"/>
      <c r="I46" s="1760"/>
      <c r="J46" s="1460"/>
      <c r="K46" s="1219"/>
      <c r="L46" s="1219"/>
      <c r="M46" s="1220"/>
      <c r="N46" s="1221" t="str">
        <f t="shared" si="1"/>
        <v/>
      </c>
      <c r="O46" s="1221" t="str">
        <f t="shared" si="1"/>
        <v/>
      </c>
      <c r="P46" s="1461" t="str">
        <f t="shared" si="2"/>
        <v/>
      </c>
      <c r="Q46" s="150"/>
      <c r="R46" s="1462" t="str">
        <f t="shared" si="3"/>
        <v/>
      </c>
      <c r="S46" s="1463" t="b">
        <f t="shared" si="4"/>
        <v>0</v>
      </c>
      <c r="T46" s="1464" t="str">
        <f t="shared" si="50"/>
        <v/>
      </c>
      <c r="U46" s="1464" t="str">
        <f t="shared" si="5"/>
        <v/>
      </c>
      <c r="V46" s="1465">
        <f t="shared" si="6"/>
        <v>0</v>
      </c>
      <c r="W46" s="1466">
        <f t="shared" si="51"/>
        <v>0</v>
      </c>
      <c r="X46" s="1466">
        <f t="shared" si="52"/>
        <v>0</v>
      </c>
      <c r="Y46" s="1466">
        <f t="shared" si="7"/>
        <v>0</v>
      </c>
      <c r="Z46" s="1467">
        <f t="shared" si="53"/>
        <v>0</v>
      </c>
      <c r="AA46" s="1465">
        <f t="shared" si="8"/>
        <v>0</v>
      </c>
      <c r="AB46" s="1466">
        <f t="shared" si="54"/>
        <v>0</v>
      </c>
      <c r="AC46" s="1466">
        <f t="shared" si="55"/>
        <v>0</v>
      </c>
      <c r="AD46" s="1466">
        <f t="shared" si="56"/>
        <v>0</v>
      </c>
      <c r="AE46" s="1467">
        <f t="shared" si="57"/>
        <v>0</v>
      </c>
      <c r="AF46" s="1465">
        <f t="shared" si="9"/>
        <v>0</v>
      </c>
      <c r="AG46" s="1466">
        <f t="shared" si="58"/>
        <v>0</v>
      </c>
      <c r="AH46" s="1466">
        <f t="shared" si="59"/>
        <v>0</v>
      </c>
      <c r="AI46" s="1466">
        <f t="shared" si="60"/>
        <v>0</v>
      </c>
      <c r="AJ46" s="1467">
        <f t="shared" si="61"/>
        <v>0</v>
      </c>
      <c r="AK46" s="1468" t="b">
        <f t="shared" si="10"/>
        <v>1</v>
      </c>
      <c r="AL46" s="1469" t="b">
        <f t="shared" si="11"/>
        <v>1</v>
      </c>
      <c r="AM46" s="1469" t="str">
        <f t="shared" si="12"/>
        <v/>
      </c>
      <c r="AN46" s="1469" t="b">
        <f t="shared" si="13"/>
        <v>0</v>
      </c>
      <c r="AO46" s="1470" t="b">
        <f>IF(OR(COUNTBLANK(D46:I46)=6,AND(COUNTBLANK(D46:G46)=4,H46=0)),OR(AN47:AN$69),NOT(AN46))</f>
        <v>0</v>
      </c>
      <c r="AP46" s="1469" t="b">
        <f t="shared" si="14"/>
        <v>1</v>
      </c>
      <c r="AQ46" s="1469" t="b">
        <f t="shared" si="62"/>
        <v>1</v>
      </c>
      <c r="AR46" s="1471">
        <f t="shared" si="15"/>
        <v>0</v>
      </c>
      <c r="AS46" s="1471" t="str">
        <f t="shared" si="16"/>
        <v/>
      </c>
      <c r="AT46" s="1472" t="str">
        <f t="shared" si="63"/>
        <v/>
      </c>
      <c r="AU46" s="1473" t="str">
        <f t="shared" si="17"/>
        <v/>
      </c>
      <c r="AV46" s="1474" t="str">
        <f t="shared" si="18"/>
        <v/>
      </c>
      <c r="AW46" s="1475"/>
      <c r="AX46" s="1474" t="str">
        <f t="shared" si="64"/>
        <v/>
      </c>
      <c r="AY46" s="1762"/>
      <c r="AZ46" s="1762"/>
      <c r="BA46" s="1476" t="b">
        <f t="shared" si="19"/>
        <v>0</v>
      </c>
      <c r="BB46" s="1477" t="b">
        <f t="shared" si="20"/>
        <v>0</v>
      </c>
      <c r="BC46" s="1478" t="b">
        <f t="shared" si="21"/>
        <v>0</v>
      </c>
      <c r="BD46" s="1476" t="b">
        <f t="shared" si="22"/>
        <v>0</v>
      </c>
      <c r="BE46" s="1476" t="b">
        <f t="shared" si="23"/>
        <v>1</v>
      </c>
      <c r="BF46" s="1477" t="b">
        <f t="shared" si="24"/>
        <v>0</v>
      </c>
      <c r="BG46" s="1478" t="b">
        <f t="shared" si="25"/>
        <v>0</v>
      </c>
      <c r="BH46" s="1476" t="b">
        <f t="shared" si="26"/>
        <v>0</v>
      </c>
      <c r="BI46" s="1477" t="b">
        <f t="shared" si="65"/>
        <v>0</v>
      </c>
      <c r="BJ46" s="1479" t="b">
        <f t="shared" si="27"/>
        <v>0</v>
      </c>
      <c r="BK46" s="1480" t="b">
        <f t="shared" si="28"/>
        <v>0</v>
      </c>
      <c r="BL46" s="1481" t="str">
        <f t="shared" si="29"/>
        <v/>
      </c>
      <c r="BN46" s="590" t="str">
        <f t="shared" si="30"/>
        <v>no data</v>
      </c>
      <c r="BP46" s="592">
        <v>17</v>
      </c>
      <c r="BQ46" s="592" t="str">
        <f t="shared" si="31"/>
        <v>-</v>
      </c>
      <c r="BU46" s="572"/>
      <c r="BV46" s="175"/>
      <c r="BW46" s="140"/>
      <c r="BX46" s="140"/>
      <c r="BY46" s="1483">
        <f t="shared" si="32"/>
        <v>17</v>
      </c>
      <c r="BZ46" s="1222">
        <f t="shared" si="32"/>
        <v>0</v>
      </c>
      <c r="CA46" s="1222">
        <f t="shared" si="33"/>
        <v>0</v>
      </c>
      <c r="CB46" s="1223" t="str">
        <f t="shared" si="34"/>
        <v/>
      </c>
      <c r="CC46" s="1224" t="str">
        <f>IF(AQ46,IF(ISNUMBER(#REF!),MAX('Adjustment factors'!$S$16,0.2+0.8*#REF!),IF(ISTEXT(J46),VLOOKUP(J46,Afactors,2,FALSE),"")),"")</f>
        <v/>
      </c>
      <c r="CD46" s="1484" t="str">
        <f t="shared" si="35"/>
        <v/>
      </c>
      <c r="CE46" s="140"/>
      <c r="CF46" s="140"/>
      <c r="CG46" s="140"/>
      <c r="CH46" s="140"/>
      <c r="CI46" s="140"/>
      <c r="CJ46" s="140"/>
      <c r="CK46" s="140"/>
      <c r="CL46" s="140"/>
      <c r="CM46" s="140"/>
      <c r="CN46" s="140"/>
      <c r="CO46" s="140"/>
      <c r="CP46" s="140"/>
      <c r="CQ46" s="140"/>
      <c r="CR46" s="140"/>
      <c r="CS46" s="140"/>
      <c r="CU46" s="590" t="str">
        <f t="shared" si="36"/>
        <v>OK</v>
      </c>
      <c r="CV46" s="590" t="str">
        <f t="shared" si="37"/>
        <v>OK</v>
      </c>
      <c r="CW46" s="590" t="str">
        <f t="shared" si="38"/>
        <v>OK</v>
      </c>
      <c r="CX46" s="590" t="str">
        <f t="shared" si="39"/>
        <v>OK</v>
      </c>
      <c r="CY46" s="939" t="str">
        <f t="shared" si="40"/>
        <v>OK</v>
      </c>
      <c r="CZ46" s="590" t="str">
        <f t="shared" si="41"/>
        <v>OK</v>
      </c>
      <c r="DA46" s="590" t="str">
        <f t="shared" si="42"/>
        <v>OK</v>
      </c>
      <c r="DB46" s="590" t="str">
        <f t="shared" si="43"/>
        <v>OK</v>
      </c>
      <c r="DC46" s="590" t="str">
        <f>IF(AND(ISNUMBER(#REF!),J46&lt;&gt;FixedDim),"Select fixed dimming with an illuminance factor","OK")</f>
        <v>OK</v>
      </c>
      <c r="DD46" s="590" t="str">
        <f>IF(AND(NOT(ISNUMBER(#REF!)),J46=FixedDim),"Enter an illuminance factor","OK")</f>
        <v>OK</v>
      </c>
      <c r="DE46" s="590" t="str">
        <f t="shared" si="66"/>
        <v>OK</v>
      </c>
      <c r="DF46" s="590" t="str">
        <f t="shared" si="44"/>
        <v>OK</v>
      </c>
      <c r="DG46" s="590" t="str">
        <f t="shared" si="45"/>
        <v>OK</v>
      </c>
      <c r="DH46" s="590" t="str">
        <f t="shared" si="46"/>
        <v>OK</v>
      </c>
      <c r="DI46" s="939" t="str">
        <f t="shared" si="47"/>
        <v>OK</v>
      </c>
      <c r="DJ46" s="591">
        <f t="shared" si="48"/>
        <v>0</v>
      </c>
      <c r="DK46" s="940" t="str">
        <f t="shared" si="49"/>
        <v>OK</v>
      </c>
    </row>
    <row r="47" spans="1:115" ht="18" hidden="1" x14ac:dyDescent="0.4">
      <c r="A47" s="589"/>
      <c r="B47" s="1485" t="str">
        <f t="shared" si="0"/>
        <v>-</v>
      </c>
      <c r="C47" s="1214">
        <v>18</v>
      </c>
      <c r="D47" s="1215"/>
      <c r="E47" s="1216"/>
      <c r="F47" s="1217"/>
      <c r="G47" s="1218"/>
      <c r="H47" s="1760"/>
      <c r="I47" s="1760"/>
      <c r="J47" s="1460"/>
      <c r="K47" s="1219"/>
      <c r="L47" s="1219"/>
      <c r="M47" s="1220"/>
      <c r="N47" s="1221" t="str">
        <f t="shared" si="1"/>
        <v/>
      </c>
      <c r="O47" s="1221" t="str">
        <f t="shared" si="1"/>
        <v/>
      </c>
      <c r="P47" s="1461" t="str">
        <f t="shared" si="2"/>
        <v/>
      </c>
      <c r="Q47" s="150"/>
      <c r="R47" s="1462" t="str">
        <f t="shared" si="3"/>
        <v/>
      </c>
      <c r="S47" s="1463" t="b">
        <f t="shared" si="4"/>
        <v>0</v>
      </c>
      <c r="T47" s="1464" t="str">
        <f t="shared" si="50"/>
        <v/>
      </c>
      <c r="U47" s="1464" t="str">
        <f t="shared" si="5"/>
        <v/>
      </c>
      <c r="V47" s="1465">
        <f t="shared" si="6"/>
        <v>0</v>
      </c>
      <c r="W47" s="1466">
        <f t="shared" si="51"/>
        <v>0</v>
      </c>
      <c r="X47" s="1466">
        <f t="shared" si="52"/>
        <v>0</v>
      </c>
      <c r="Y47" s="1466">
        <f t="shared" si="7"/>
        <v>0</v>
      </c>
      <c r="Z47" s="1467">
        <f t="shared" si="53"/>
        <v>0</v>
      </c>
      <c r="AA47" s="1465">
        <f t="shared" si="8"/>
        <v>0</v>
      </c>
      <c r="AB47" s="1466">
        <f t="shared" si="54"/>
        <v>0</v>
      </c>
      <c r="AC47" s="1466">
        <f t="shared" si="55"/>
        <v>0</v>
      </c>
      <c r="AD47" s="1466">
        <f t="shared" si="56"/>
        <v>0</v>
      </c>
      <c r="AE47" s="1467">
        <f t="shared" si="57"/>
        <v>0</v>
      </c>
      <c r="AF47" s="1465">
        <f t="shared" si="9"/>
        <v>0</v>
      </c>
      <c r="AG47" s="1466">
        <f t="shared" si="58"/>
        <v>0</v>
      </c>
      <c r="AH47" s="1466">
        <f t="shared" si="59"/>
        <v>0</v>
      </c>
      <c r="AI47" s="1466">
        <f t="shared" si="60"/>
        <v>0</v>
      </c>
      <c r="AJ47" s="1467">
        <f t="shared" si="61"/>
        <v>0</v>
      </c>
      <c r="AK47" s="1468" t="b">
        <f t="shared" si="10"/>
        <v>1</v>
      </c>
      <c r="AL47" s="1469" t="b">
        <f t="shared" si="11"/>
        <v>1</v>
      </c>
      <c r="AM47" s="1469" t="str">
        <f t="shared" si="12"/>
        <v/>
      </c>
      <c r="AN47" s="1469" t="b">
        <f t="shared" si="13"/>
        <v>0</v>
      </c>
      <c r="AO47" s="1470" t="b">
        <f>IF(OR(COUNTBLANK(D47:I47)=6,AND(COUNTBLANK(D47:G47)=4,H47=0)),OR(AN48:AN$69),NOT(AN47))</f>
        <v>0</v>
      </c>
      <c r="AP47" s="1469" t="b">
        <f t="shared" si="14"/>
        <v>1</v>
      </c>
      <c r="AQ47" s="1469" t="b">
        <f t="shared" si="62"/>
        <v>1</v>
      </c>
      <c r="AR47" s="1471">
        <f t="shared" si="15"/>
        <v>0</v>
      </c>
      <c r="AS47" s="1471" t="str">
        <f t="shared" si="16"/>
        <v/>
      </c>
      <c r="AT47" s="1472" t="str">
        <f t="shared" si="63"/>
        <v/>
      </c>
      <c r="AU47" s="1473" t="str">
        <f t="shared" si="17"/>
        <v/>
      </c>
      <c r="AV47" s="1474" t="str">
        <f t="shared" si="18"/>
        <v/>
      </c>
      <c r="AW47" s="1475"/>
      <c r="AX47" s="1474" t="str">
        <f t="shared" si="64"/>
        <v/>
      </c>
      <c r="AY47" s="1762"/>
      <c r="AZ47" s="1762"/>
      <c r="BA47" s="1476" t="b">
        <f t="shared" si="19"/>
        <v>0</v>
      </c>
      <c r="BB47" s="1477" t="b">
        <f t="shared" si="20"/>
        <v>0</v>
      </c>
      <c r="BC47" s="1478" t="b">
        <f t="shared" si="21"/>
        <v>0</v>
      </c>
      <c r="BD47" s="1476" t="b">
        <f t="shared" si="22"/>
        <v>0</v>
      </c>
      <c r="BE47" s="1476" t="b">
        <f t="shared" si="23"/>
        <v>1</v>
      </c>
      <c r="BF47" s="1477" t="b">
        <f t="shared" si="24"/>
        <v>0</v>
      </c>
      <c r="BG47" s="1478" t="b">
        <f t="shared" si="25"/>
        <v>0</v>
      </c>
      <c r="BH47" s="1476" t="b">
        <f t="shared" si="26"/>
        <v>0</v>
      </c>
      <c r="BI47" s="1477" t="b">
        <f t="shared" si="65"/>
        <v>0</v>
      </c>
      <c r="BJ47" s="1479" t="b">
        <f t="shared" si="27"/>
        <v>0</v>
      </c>
      <c r="BK47" s="1480" t="b">
        <f t="shared" si="28"/>
        <v>0</v>
      </c>
      <c r="BL47" s="1481" t="str">
        <f t="shared" si="29"/>
        <v/>
      </c>
      <c r="BN47" s="590" t="str">
        <f t="shared" si="30"/>
        <v>no data</v>
      </c>
      <c r="BP47" s="592">
        <v>18</v>
      </c>
      <c r="BQ47" s="592" t="str">
        <f t="shared" si="31"/>
        <v>-</v>
      </c>
      <c r="BU47" s="572"/>
      <c r="BV47" s="175"/>
      <c r="BW47" s="140"/>
      <c r="BX47" s="140"/>
      <c r="BY47" s="1483">
        <f t="shared" si="32"/>
        <v>18</v>
      </c>
      <c r="BZ47" s="1222">
        <f t="shared" si="32"/>
        <v>0</v>
      </c>
      <c r="CA47" s="1222">
        <f t="shared" si="33"/>
        <v>0</v>
      </c>
      <c r="CB47" s="1223" t="str">
        <f t="shared" si="34"/>
        <v/>
      </c>
      <c r="CC47" s="1224" t="str">
        <f>IF(AQ47,IF(ISNUMBER(#REF!),MAX('Adjustment factors'!$S$16,0.2+0.8*#REF!),IF(ISTEXT(J47),VLOOKUP(J47,Afactors,2,FALSE),"")),"")</f>
        <v/>
      </c>
      <c r="CD47" s="1484" t="str">
        <f t="shared" si="35"/>
        <v/>
      </c>
      <c r="CE47" s="140"/>
      <c r="CF47" s="140"/>
      <c r="CG47" s="140"/>
      <c r="CH47" s="140"/>
      <c r="CI47" s="140"/>
      <c r="CJ47" s="140"/>
      <c r="CK47" s="140"/>
      <c r="CL47" s="140"/>
      <c r="CM47" s="140"/>
      <c r="CN47" s="140"/>
      <c r="CO47" s="140"/>
      <c r="CP47" s="140"/>
      <c r="CQ47" s="140"/>
      <c r="CR47" s="140"/>
      <c r="CS47" s="140"/>
      <c r="CU47" s="590" t="str">
        <f t="shared" si="36"/>
        <v>OK</v>
      </c>
      <c r="CV47" s="590" t="str">
        <f t="shared" si="37"/>
        <v>OK</v>
      </c>
      <c r="CW47" s="590" t="str">
        <f t="shared" si="38"/>
        <v>OK</v>
      </c>
      <c r="CX47" s="590" t="str">
        <f t="shared" si="39"/>
        <v>OK</v>
      </c>
      <c r="CY47" s="939" t="str">
        <f t="shared" si="40"/>
        <v>OK</v>
      </c>
      <c r="CZ47" s="590" t="str">
        <f t="shared" si="41"/>
        <v>OK</v>
      </c>
      <c r="DA47" s="590" t="str">
        <f t="shared" si="42"/>
        <v>OK</v>
      </c>
      <c r="DB47" s="590" t="str">
        <f t="shared" si="43"/>
        <v>OK</v>
      </c>
      <c r="DC47" s="590" t="str">
        <f>IF(AND(ISNUMBER(#REF!),J47&lt;&gt;FixedDim),"Select fixed dimming with an illuminance factor","OK")</f>
        <v>OK</v>
      </c>
      <c r="DD47" s="590" t="str">
        <f>IF(AND(NOT(ISNUMBER(#REF!)),J47=FixedDim),"Enter an illuminance factor","OK")</f>
        <v>OK</v>
      </c>
      <c r="DE47" s="590" t="str">
        <f t="shared" si="66"/>
        <v>OK</v>
      </c>
      <c r="DF47" s="590" t="str">
        <f t="shared" si="44"/>
        <v>OK</v>
      </c>
      <c r="DG47" s="590" t="str">
        <f t="shared" si="45"/>
        <v>OK</v>
      </c>
      <c r="DH47" s="590" t="str">
        <f t="shared" si="46"/>
        <v>OK</v>
      </c>
      <c r="DI47" s="939" t="str">
        <f t="shared" si="47"/>
        <v>OK</v>
      </c>
      <c r="DJ47" s="591">
        <f t="shared" si="48"/>
        <v>0</v>
      </c>
      <c r="DK47" s="940" t="str">
        <f t="shared" si="49"/>
        <v>OK</v>
      </c>
    </row>
    <row r="48" spans="1:115" ht="18" hidden="1" x14ac:dyDescent="0.4">
      <c r="A48" s="589"/>
      <c r="B48" s="1485" t="str">
        <f t="shared" si="0"/>
        <v>-</v>
      </c>
      <c r="C48" s="1214">
        <v>19</v>
      </c>
      <c r="D48" s="1215"/>
      <c r="E48" s="1216"/>
      <c r="F48" s="1217"/>
      <c r="G48" s="1218"/>
      <c r="H48" s="1760"/>
      <c r="I48" s="1760"/>
      <c r="J48" s="1460"/>
      <c r="K48" s="1219"/>
      <c r="L48" s="1219"/>
      <c r="M48" s="1220"/>
      <c r="N48" s="1221" t="str">
        <f t="shared" si="1"/>
        <v/>
      </c>
      <c r="O48" s="1221" t="str">
        <f t="shared" si="1"/>
        <v/>
      </c>
      <c r="P48" s="1461" t="str">
        <f t="shared" si="2"/>
        <v/>
      </c>
      <c r="Q48" s="150"/>
      <c r="R48" s="1462" t="str">
        <f t="shared" si="3"/>
        <v/>
      </c>
      <c r="S48" s="1463" t="b">
        <f t="shared" si="4"/>
        <v>0</v>
      </c>
      <c r="T48" s="1464" t="str">
        <f t="shared" si="50"/>
        <v/>
      </c>
      <c r="U48" s="1464" t="str">
        <f t="shared" si="5"/>
        <v/>
      </c>
      <c r="V48" s="1465">
        <f t="shared" si="6"/>
        <v>0</v>
      </c>
      <c r="W48" s="1466">
        <f t="shared" si="51"/>
        <v>0</v>
      </c>
      <c r="X48" s="1466">
        <f t="shared" si="52"/>
        <v>0</v>
      </c>
      <c r="Y48" s="1466">
        <f t="shared" si="7"/>
        <v>0</v>
      </c>
      <c r="Z48" s="1467">
        <f t="shared" si="53"/>
        <v>0</v>
      </c>
      <c r="AA48" s="1465">
        <f t="shared" si="8"/>
        <v>0</v>
      </c>
      <c r="AB48" s="1466">
        <f t="shared" si="54"/>
        <v>0</v>
      </c>
      <c r="AC48" s="1466">
        <f t="shared" si="55"/>
        <v>0</v>
      </c>
      <c r="AD48" s="1466">
        <f t="shared" si="56"/>
        <v>0</v>
      </c>
      <c r="AE48" s="1467">
        <f t="shared" si="57"/>
        <v>0</v>
      </c>
      <c r="AF48" s="1465">
        <f t="shared" si="9"/>
        <v>0</v>
      </c>
      <c r="AG48" s="1466">
        <f t="shared" si="58"/>
        <v>0</v>
      </c>
      <c r="AH48" s="1466">
        <f t="shared" si="59"/>
        <v>0</v>
      </c>
      <c r="AI48" s="1466">
        <f t="shared" si="60"/>
        <v>0</v>
      </c>
      <c r="AJ48" s="1467">
        <f t="shared" si="61"/>
        <v>0</v>
      </c>
      <c r="AK48" s="1468" t="b">
        <f t="shared" si="10"/>
        <v>1</v>
      </c>
      <c r="AL48" s="1469" t="b">
        <f t="shared" si="11"/>
        <v>1</v>
      </c>
      <c r="AM48" s="1469" t="str">
        <f t="shared" si="12"/>
        <v/>
      </c>
      <c r="AN48" s="1469" t="b">
        <f t="shared" si="13"/>
        <v>0</v>
      </c>
      <c r="AO48" s="1470" t="b">
        <f>IF(OR(COUNTBLANK(D48:I48)=6,AND(COUNTBLANK(D48:G48)=4,H48=0)),OR(AN49:AN$69),NOT(AN48))</f>
        <v>0</v>
      </c>
      <c r="AP48" s="1469" t="b">
        <f t="shared" si="14"/>
        <v>1</v>
      </c>
      <c r="AQ48" s="1469" t="b">
        <f t="shared" si="62"/>
        <v>1</v>
      </c>
      <c r="AR48" s="1471">
        <f t="shared" si="15"/>
        <v>0</v>
      </c>
      <c r="AS48" s="1471" t="str">
        <f t="shared" si="16"/>
        <v/>
      </c>
      <c r="AT48" s="1472" t="str">
        <f t="shared" si="63"/>
        <v/>
      </c>
      <c r="AU48" s="1473" t="str">
        <f t="shared" si="17"/>
        <v/>
      </c>
      <c r="AV48" s="1474" t="str">
        <f t="shared" si="18"/>
        <v/>
      </c>
      <c r="AW48" s="1475"/>
      <c r="AX48" s="1474" t="str">
        <f t="shared" si="64"/>
        <v/>
      </c>
      <c r="AY48" s="1762"/>
      <c r="AZ48" s="1762"/>
      <c r="BA48" s="1476" t="b">
        <f t="shared" si="19"/>
        <v>0</v>
      </c>
      <c r="BB48" s="1477" t="b">
        <f t="shared" si="20"/>
        <v>0</v>
      </c>
      <c r="BC48" s="1478" t="b">
        <f t="shared" si="21"/>
        <v>0</v>
      </c>
      <c r="BD48" s="1476" t="b">
        <f t="shared" si="22"/>
        <v>0</v>
      </c>
      <c r="BE48" s="1476" t="b">
        <f t="shared" si="23"/>
        <v>1</v>
      </c>
      <c r="BF48" s="1477" t="b">
        <f t="shared" si="24"/>
        <v>0</v>
      </c>
      <c r="BG48" s="1478" t="b">
        <f t="shared" si="25"/>
        <v>0</v>
      </c>
      <c r="BH48" s="1476" t="b">
        <f t="shared" si="26"/>
        <v>0</v>
      </c>
      <c r="BI48" s="1477" t="b">
        <f t="shared" si="65"/>
        <v>0</v>
      </c>
      <c r="BJ48" s="1479" t="b">
        <f t="shared" si="27"/>
        <v>0</v>
      </c>
      <c r="BK48" s="1480" t="b">
        <f t="shared" si="28"/>
        <v>0</v>
      </c>
      <c r="BL48" s="1481" t="str">
        <f t="shared" si="29"/>
        <v/>
      </c>
      <c r="BN48" s="590" t="str">
        <f t="shared" si="30"/>
        <v>no data</v>
      </c>
      <c r="BP48" s="592">
        <v>19</v>
      </c>
      <c r="BQ48" s="592" t="str">
        <f t="shared" si="31"/>
        <v>-</v>
      </c>
      <c r="BU48" s="572"/>
      <c r="BV48" s="175"/>
      <c r="BW48" s="140"/>
      <c r="BX48" s="140"/>
      <c r="BY48" s="1483">
        <f t="shared" si="32"/>
        <v>19</v>
      </c>
      <c r="BZ48" s="1222">
        <f t="shared" si="32"/>
        <v>0</v>
      </c>
      <c r="CA48" s="1222">
        <f t="shared" si="33"/>
        <v>0</v>
      </c>
      <c r="CB48" s="1223" t="str">
        <f t="shared" si="34"/>
        <v/>
      </c>
      <c r="CC48" s="1224" t="str">
        <f>IF(AQ48,IF(ISNUMBER(#REF!),MAX('Adjustment factors'!$S$16,0.2+0.8*#REF!),IF(ISTEXT(J48),VLOOKUP(J48,Afactors,2,FALSE),"")),"")</f>
        <v/>
      </c>
      <c r="CD48" s="1484" t="str">
        <f t="shared" si="35"/>
        <v/>
      </c>
      <c r="CE48" s="140"/>
      <c r="CF48" s="140"/>
      <c r="CG48" s="140"/>
      <c r="CH48" s="140"/>
      <c r="CI48" s="140"/>
      <c r="CJ48" s="140"/>
      <c r="CK48" s="140"/>
      <c r="CL48" s="140"/>
      <c r="CM48" s="140"/>
      <c r="CN48" s="140"/>
      <c r="CO48" s="140"/>
      <c r="CP48" s="140"/>
      <c r="CQ48" s="140"/>
      <c r="CR48" s="140"/>
      <c r="CS48" s="140"/>
      <c r="CU48" s="590" t="str">
        <f t="shared" si="36"/>
        <v>OK</v>
      </c>
      <c r="CV48" s="590" t="str">
        <f t="shared" si="37"/>
        <v>OK</v>
      </c>
      <c r="CW48" s="590" t="str">
        <f t="shared" si="38"/>
        <v>OK</v>
      </c>
      <c r="CX48" s="590" t="str">
        <f t="shared" si="39"/>
        <v>OK</v>
      </c>
      <c r="CY48" s="939" t="str">
        <f t="shared" si="40"/>
        <v>OK</v>
      </c>
      <c r="CZ48" s="590" t="str">
        <f t="shared" si="41"/>
        <v>OK</v>
      </c>
      <c r="DA48" s="590" t="str">
        <f t="shared" si="42"/>
        <v>OK</v>
      </c>
      <c r="DB48" s="590" t="str">
        <f t="shared" si="43"/>
        <v>OK</v>
      </c>
      <c r="DC48" s="590" t="str">
        <f>IF(AND(ISNUMBER(#REF!),J48&lt;&gt;FixedDim),"Select fixed dimming with an illuminance factor","OK")</f>
        <v>OK</v>
      </c>
      <c r="DD48" s="590" t="str">
        <f>IF(AND(NOT(ISNUMBER(#REF!)),J48=FixedDim),"Enter an illuminance factor","OK")</f>
        <v>OK</v>
      </c>
      <c r="DE48" s="590" t="str">
        <f t="shared" si="66"/>
        <v>OK</v>
      </c>
      <c r="DF48" s="590" t="str">
        <f t="shared" si="44"/>
        <v>OK</v>
      </c>
      <c r="DG48" s="590" t="str">
        <f t="shared" si="45"/>
        <v>OK</v>
      </c>
      <c r="DH48" s="590" t="str">
        <f t="shared" si="46"/>
        <v>OK</v>
      </c>
      <c r="DI48" s="939" t="str">
        <f t="shared" si="47"/>
        <v>OK</v>
      </c>
      <c r="DJ48" s="591">
        <f t="shared" si="48"/>
        <v>0</v>
      </c>
      <c r="DK48" s="940" t="str">
        <f t="shared" si="49"/>
        <v>OK</v>
      </c>
    </row>
    <row r="49" spans="1:115" ht="18" hidden="1" x14ac:dyDescent="0.4">
      <c r="A49" s="589"/>
      <c r="B49" s="1485" t="str">
        <f t="shared" si="0"/>
        <v>-</v>
      </c>
      <c r="C49" s="1214">
        <v>20</v>
      </c>
      <c r="D49" s="1215"/>
      <c r="E49" s="1216"/>
      <c r="F49" s="1217"/>
      <c r="G49" s="1218"/>
      <c r="H49" s="1760"/>
      <c r="I49" s="1760"/>
      <c r="J49" s="1460"/>
      <c r="K49" s="1219"/>
      <c r="L49" s="1219"/>
      <c r="M49" s="1220"/>
      <c r="N49" s="1221" t="str">
        <f t="shared" si="1"/>
        <v/>
      </c>
      <c r="O49" s="1221" t="str">
        <f t="shared" si="1"/>
        <v/>
      </c>
      <c r="P49" s="1461" t="str">
        <f t="shared" si="2"/>
        <v/>
      </c>
      <c r="Q49" s="150"/>
      <c r="R49" s="1462" t="str">
        <f t="shared" si="3"/>
        <v/>
      </c>
      <c r="S49" s="1463" t="b">
        <f t="shared" si="4"/>
        <v>0</v>
      </c>
      <c r="T49" s="1464" t="str">
        <f t="shared" si="50"/>
        <v/>
      </c>
      <c r="U49" s="1464" t="str">
        <f t="shared" si="5"/>
        <v/>
      </c>
      <c r="V49" s="1465">
        <f t="shared" si="6"/>
        <v>0</v>
      </c>
      <c r="W49" s="1466">
        <f t="shared" si="51"/>
        <v>0</v>
      </c>
      <c r="X49" s="1466">
        <f t="shared" si="52"/>
        <v>0</v>
      </c>
      <c r="Y49" s="1466">
        <f t="shared" si="7"/>
        <v>0</v>
      </c>
      <c r="Z49" s="1467">
        <f t="shared" si="53"/>
        <v>0</v>
      </c>
      <c r="AA49" s="1465">
        <f t="shared" si="8"/>
        <v>0</v>
      </c>
      <c r="AB49" s="1466">
        <f t="shared" si="54"/>
        <v>0</v>
      </c>
      <c r="AC49" s="1466">
        <f t="shared" si="55"/>
        <v>0</v>
      </c>
      <c r="AD49" s="1466">
        <f t="shared" si="56"/>
        <v>0</v>
      </c>
      <c r="AE49" s="1467">
        <f t="shared" si="57"/>
        <v>0</v>
      </c>
      <c r="AF49" s="1465">
        <f t="shared" si="9"/>
        <v>0</v>
      </c>
      <c r="AG49" s="1466">
        <f t="shared" si="58"/>
        <v>0</v>
      </c>
      <c r="AH49" s="1466">
        <f t="shared" si="59"/>
        <v>0</v>
      </c>
      <c r="AI49" s="1466">
        <f t="shared" si="60"/>
        <v>0</v>
      </c>
      <c r="AJ49" s="1467">
        <f t="shared" si="61"/>
        <v>0</v>
      </c>
      <c r="AK49" s="1468" t="b">
        <f t="shared" si="10"/>
        <v>1</v>
      </c>
      <c r="AL49" s="1469" t="b">
        <f t="shared" si="11"/>
        <v>1</v>
      </c>
      <c r="AM49" s="1469" t="str">
        <f t="shared" si="12"/>
        <v/>
      </c>
      <c r="AN49" s="1469" t="b">
        <f t="shared" si="13"/>
        <v>0</v>
      </c>
      <c r="AO49" s="1470" t="b">
        <f>IF(OR(COUNTBLANK(D49:I49)=6,AND(COUNTBLANK(D49:G49)=4,H49=0)),OR(AN50:AN$69),NOT(AN49))</f>
        <v>0</v>
      </c>
      <c r="AP49" s="1469" t="b">
        <f t="shared" si="14"/>
        <v>1</v>
      </c>
      <c r="AQ49" s="1469" t="b">
        <f t="shared" si="62"/>
        <v>1</v>
      </c>
      <c r="AR49" s="1471">
        <f t="shared" si="15"/>
        <v>0</v>
      </c>
      <c r="AS49" s="1471" t="str">
        <f t="shared" si="16"/>
        <v/>
      </c>
      <c r="AT49" s="1472" t="str">
        <f t="shared" si="63"/>
        <v/>
      </c>
      <c r="AU49" s="1473" t="str">
        <f t="shared" si="17"/>
        <v/>
      </c>
      <c r="AV49" s="1474" t="str">
        <f t="shared" si="18"/>
        <v/>
      </c>
      <c r="AW49" s="1475"/>
      <c r="AX49" s="1474" t="str">
        <f t="shared" si="64"/>
        <v/>
      </c>
      <c r="AY49" s="1762"/>
      <c r="AZ49" s="1762"/>
      <c r="BA49" s="1476" t="b">
        <f t="shared" si="19"/>
        <v>0</v>
      </c>
      <c r="BB49" s="1477" t="b">
        <f t="shared" si="20"/>
        <v>0</v>
      </c>
      <c r="BC49" s="1478" t="b">
        <f t="shared" si="21"/>
        <v>0</v>
      </c>
      <c r="BD49" s="1476" t="b">
        <f t="shared" si="22"/>
        <v>0</v>
      </c>
      <c r="BE49" s="1476" t="b">
        <f t="shared" si="23"/>
        <v>1</v>
      </c>
      <c r="BF49" s="1477" t="b">
        <f t="shared" si="24"/>
        <v>0</v>
      </c>
      <c r="BG49" s="1478" t="b">
        <f t="shared" si="25"/>
        <v>0</v>
      </c>
      <c r="BH49" s="1476" t="b">
        <f t="shared" si="26"/>
        <v>0</v>
      </c>
      <c r="BI49" s="1477" t="b">
        <f t="shared" si="65"/>
        <v>0</v>
      </c>
      <c r="BJ49" s="1479" t="b">
        <f t="shared" si="27"/>
        <v>0</v>
      </c>
      <c r="BK49" s="1480" t="b">
        <f t="shared" si="28"/>
        <v>0</v>
      </c>
      <c r="BL49" s="1481" t="str">
        <f t="shared" si="29"/>
        <v/>
      </c>
      <c r="BN49" s="590" t="str">
        <f t="shared" si="30"/>
        <v>no data</v>
      </c>
      <c r="BP49" s="592">
        <v>20</v>
      </c>
      <c r="BQ49" s="592" t="str">
        <f t="shared" si="31"/>
        <v>-</v>
      </c>
      <c r="BU49" s="572"/>
      <c r="BV49" s="175"/>
      <c r="BW49" s="140"/>
      <c r="BX49" s="140"/>
      <c r="BY49" s="1483">
        <f t="shared" si="32"/>
        <v>20</v>
      </c>
      <c r="BZ49" s="1222">
        <f t="shared" si="32"/>
        <v>0</v>
      </c>
      <c r="CA49" s="1222">
        <f t="shared" si="33"/>
        <v>0</v>
      </c>
      <c r="CB49" s="1223" t="str">
        <f t="shared" si="34"/>
        <v/>
      </c>
      <c r="CC49" s="1224" t="str">
        <f>IF(AQ49,IF(ISNUMBER(#REF!),MAX('Adjustment factors'!$S$16,0.2+0.8*#REF!),IF(ISTEXT(J49),VLOOKUP(J49,Afactors,2,FALSE),"")),"")</f>
        <v/>
      </c>
      <c r="CD49" s="1484" t="str">
        <f t="shared" si="35"/>
        <v/>
      </c>
      <c r="CE49" s="140"/>
      <c r="CF49" s="140"/>
      <c r="CG49" s="140"/>
      <c r="CH49" s="140"/>
      <c r="CI49" s="140"/>
      <c r="CJ49" s="140"/>
      <c r="CK49" s="140"/>
      <c r="CL49" s="140"/>
      <c r="CM49" s="140"/>
      <c r="CN49" s="140"/>
      <c r="CO49" s="140"/>
      <c r="CP49" s="140"/>
      <c r="CQ49" s="140"/>
      <c r="CR49" s="140"/>
      <c r="CS49" s="140"/>
      <c r="CU49" s="590" t="str">
        <f t="shared" si="36"/>
        <v>OK</v>
      </c>
      <c r="CV49" s="590" t="str">
        <f t="shared" si="37"/>
        <v>OK</v>
      </c>
      <c r="CW49" s="590" t="str">
        <f t="shared" si="38"/>
        <v>OK</v>
      </c>
      <c r="CX49" s="590" t="str">
        <f t="shared" si="39"/>
        <v>OK</v>
      </c>
      <c r="CY49" s="939" t="str">
        <f t="shared" si="40"/>
        <v>OK</v>
      </c>
      <c r="CZ49" s="590" t="str">
        <f t="shared" si="41"/>
        <v>OK</v>
      </c>
      <c r="DA49" s="590" t="str">
        <f t="shared" si="42"/>
        <v>OK</v>
      </c>
      <c r="DB49" s="590" t="str">
        <f t="shared" si="43"/>
        <v>OK</v>
      </c>
      <c r="DC49" s="590" t="str">
        <f>IF(AND(ISNUMBER(#REF!),J49&lt;&gt;FixedDim),"Select fixed dimming with an illuminance factor","OK")</f>
        <v>OK</v>
      </c>
      <c r="DD49" s="590" t="str">
        <f>IF(AND(NOT(ISNUMBER(#REF!)),J49=FixedDim),"Enter an illuminance factor","OK")</f>
        <v>OK</v>
      </c>
      <c r="DE49" s="590" t="str">
        <f t="shared" si="66"/>
        <v>OK</v>
      </c>
      <c r="DF49" s="590" t="str">
        <f t="shared" si="44"/>
        <v>OK</v>
      </c>
      <c r="DG49" s="590" t="str">
        <f t="shared" si="45"/>
        <v>OK</v>
      </c>
      <c r="DH49" s="590" t="str">
        <f t="shared" si="46"/>
        <v>OK</v>
      </c>
      <c r="DI49" s="939" t="str">
        <f t="shared" si="47"/>
        <v>OK</v>
      </c>
      <c r="DJ49" s="591">
        <f t="shared" si="48"/>
        <v>0</v>
      </c>
      <c r="DK49" s="940" t="str">
        <f t="shared" si="49"/>
        <v>OK</v>
      </c>
    </row>
    <row r="50" spans="1:115" ht="18" hidden="1" x14ac:dyDescent="0.4">
      <c r="A50" s="589"/>
      <c r="B50" s="1485" t="str">
        <f t="shared" si="0"/>
        <v>-</v>
      </c>
      <c r="C50" s="1214">
        <v>21</v>
      </c>
      <c r="D50" s="1215"/>
      <c r="E50" s="1216"/>
      <c r="F50" s="1217"/>
      <c r="G50" s="1218"/>
      <c r="H50" s="1760"/>
      <c r="I50" s="1760"/>
      <c r="J50" s="1460"/>
      <c r="K50" s="1219"/>
      <c r="L50" s="1219"/>
      <c r="M50" s="1220"/>
      <c r="N50" s="1221" t="str">
        <f t="shared" si="1"/>
        <v/>
      </c>
      <c r="O50" s="1221" t="str">
        <f t="shared" si="1"/>
        <v/>
      </c>
      <c r="P50" s="1461" t="str">
        <f t="shared" si="2"/>
        <v/>
      </c>
      <c r="Q50" s="150"/>
      <c r="R50" s="1462" t="str">
        <f t="shared" si="3"/>
        <v/>
      </c>
      <c r="S50" s="1463" t="b">
        <f t="shared" si="4"/>
        <v>0</v>
      </c>
      <c r="T50" s="1464" t="str">
        <f t="shared" si="50"/>
        <v/>
      </c>
      <c r="U50" s="1464" t="str">
        <f t="shared" si="5"/>
        <v/>
      </c>
      <c r="V50" s="1465">
        <f t="shared" si="6"/>
        <v>0</v>
      </c>
      <c r="W50" s="1466">
        <f t="shared" si="51"/>
        <v>0</v>
      </c>
      <c r="X50" s="1466">
        <f t="shared" si="52"/>
        <v>0</v>
      </c>
      <c r="Y50" s="1466">
        <f t="shared" si="7"/>
        <v>0</v>
      </c>
      <c r="Z50" s="1467">
        <f t="shared" si="53"/>
        <v>0</v>
      </c>
      <c r="AA50" s="1465">
        <f t="shared" si="8"/>
        <v>0</v>
      </c>
      <c r="AB50" s="1466">
        <f t="shared" si="54"/>
        <v>0</v>
      </c>
      <c r="AC50" s="1466">
        <f t="shared" si="55"/>
        <v>0</v>
      </c>
      <c r="AD50" s="1466">
        <f t="shared" si="56"/>
        <v>0</v>
      </c>
      <c r="AE50" s="1467">
        <f t="shared" si="57"/>
        <v>0</v>
      </c>
      <c r="AF50" s="1465">
        <f t="shared" si="9"/>
        <v>0</v>
      </c>
      <c r="AG50" s="1466">
        <f t="shared" si="58"/>
        <v>0</v>
      </c>
      <c r="AH50" s="1466">
        <f t="shared" si="59"/>
        <v>0</v>
      </c>
      <c r="AI50" s="1466">
        <f t="shared" si="60"/>
        <v>0</v>
      </c>
      <c r="AJ50" s="1467">
        <f t="shared" si="61"/>
        <v>0</v>
      </c>
      <c r="AK50" s="1468" t="b">
        <f t="shared" si="10"/>
        <v>1</v>
      </c>
      <c r="AL50" s="1469" t="b">
        <f t="shared" si="11"/>
        <v>1</v>
      </c>
      <c r="AM50" s="1469" t="str">
        <f t="shared" si="12"/>
        <v/>
      </c>
      <c r="AN50" s="1469" t="b">
        <f t="shared" si="13"/>
        <v>0</v>
      </c>
      <c r="AO50" s="1470" t="b">
        <f>IF(OR(COUNTBLANK(D50:I50)=6,AND(COUNTBLANK(D50:G50)=4,H50=0)),OR(AN51:AN$69),NOT(AN50))</f>
        <v>0</v>
      </c>
      <c r="AP50" s="1469" t="b">
        <f t="shared" si="14"/>
        <v>1</v>
      </c>
      <c r="AQ50" s="1469" t="b">
        <f t="shared" si="62"/>
        <v>1</v>
      </c>
      <c r="AR50" s="1471">
        <f t="shared" si="15"/>
        <v>0</v>
      </c>
      <c r="AS50" s="1471" t="str">
        <f t="shared" si="16"/>
        <v/>
      </c>
      <c r="AT50" s="1472" t="str">
        <f t="shared" si="63"/>
        <v/>
      </c>
      <c r="AU50" s="1473" t="str">
        <f t="shared" si="17"/>
        <v/>
      </c>
      <c r="AV50" s="1474" t="str">
        <f t="shared" si="18"/>
        <v/>
      </c>
      <c r="AW50" s="1475"/>
      <c r="AX50" s="1474" t="str">
        <f t="shared" si="64"/>
        <v/>
      </c>
      <c r="AY50" s="1762"/>
      <c r="AZ50" s="1762"/>
      <c r="BA50" s="1476" t="b">
        <f t="shared" si="19"/>
        <v>0</v>
      </c>
      <c r="BB50" s="1477" t="b">
        <f t="shared" si="20"/>
        <v>0</v>
      </c>
      <c r="BC50" s="1478" t="b">
        <f t="shared" si="21"/>
        <v>0</v>
      </c>
      <c r="BD50" s="1476" t="b">
        <f t="shared" si="22"/>
        <v>0</v>
      </c>
      <c r="BE50" s="1476" t="b">
        <f t="shared" si="23"/>
        <v>1</v>
      </c>
      <c r="BF50" s="1477" t="b">
        <f t="shared" si="24"/>
        <v>0</v>
      </c>
      <c r="BG50" s="1478" t="b">
        <f t="shared" si="25"/>
        <v>0</v>
      </c>
      <c r="BH50" s="1476" t="b">
        <f t="shared" si="26"/>
        <v>0</v>
      </c>
      <c r="BI50" s="1477" t="b">
        <f t="shared" si="65"/>
        <v>0</v>
      </c>
      <c r="BJ50" s="1479" t="b">
        <f t="shared" si="27"/>
        <v>0</v>
      </c>
      <c r="BK50" s="1480" t="b">
        <f t="shared" si="28"/>
        <v>0</v>
      </c>
      <c r="BL50" s="1481" t="str">
        <f t="shared" si="29"/>
        <v/>
      </c>
      <c r="BN50" s="590" t="str">
        <f t="shared" si="30"/>
        <v>no data</v>
      </c>
      <c r="BP50" s="592">
        <v>21</v>
      </c>
      <c r="BQ50" s="592" t="str">
        <f t="shared" si="31"/>
        <v>-</v>
      </c>
      <c r="BU50" s="572"/>
      <c r="BV50" s="175"/>
      <c r="BW50" s="140"/>
      <c r="BX50" s="140"/>
      <c r="BY50" s="1483">
        <f t="shared" si="32"/>
        <v>21</v>
      </c>
      <c r="BZ50" s="1222">
        <f t="shared" si="32"/>
        <v>0</v>
      </c>
      <c r="CA50" s="1222">
        <f t="shared" si="33"/>
        <v>0</v>
      </c>
      <c r="CB50" s="1223" t="str">
        <f t="shared" si="34"/>
        <v/>
      </c>
      <c r="CC50" s="1224" t="str">
        <f>IF(AQ50,IF(ISNUMBER(#REF!),MAX('Adjustment factors'!$S$16,0.2+0.8*#REF!),IF(ISTEXT(J50),VLOOKUP(J50,Afactors,2,FALSE),"")),"")</f>
        <v/>
      </c>
      <c r="CD50" s="1484" t="str">
        <f t="shared" si="35"/>
        <v/>
      </c>
      <c r="CE50" s="140"/>
      <c r="CF50" s="140"/>
      <c r="CG50" s="140"/>
      <c r="CH50" s="140"/>
      <c r="CI50" s="140"/>
      <c r="CJ50" s="140"/>
      <c r="CK50" s="140"/>
      <c r="CL50" s="140"/>
      <c r="CM50" s="140"/>
      <c r="CN50" s="140"/>
      <c r="CO50" s="140"/>
      <c r="CP50" s="140"/>
      <c r="CQ50" s="140"/>
      <c r="CR50" s="140"/>
      <c r="CS50" s="140"/>
      <c r="CU50" s="590" t="str">
        <f t="shared" si="36"/>
        <v>OK</v>
      </c>
      <c r="CV50" s="590" t="str">
        <f t="shared" si="37"/>
        <v>OK</v>
      </c>
      <c r="CW50" s="590" t="str">
        <f t="shared" si="38"/>
        <v>OK</v>
      </c>
      <c r="CX50" s="590" t="str">
        <f t="shared" si="39"/>
        <v>OK</v>
      </c>
      <c r="CY50" s="939" t="str">
        <f t="shared" si="40"/>
        <v>OK</v>
      </c>
      <c r="CZ50" s="590" t="str">
        <f t="shared" si="41"/>
        <v>OK</v>
      </c>
      <c r="DA50" s="590" t="str">
        <f t="shared" si="42"/>
        <v>OK</v>
      </c>
      <c r="DB50" s="590" t="str">
        <f t="shared" si="43"/>
        <v>OK</v>
      </c>
      <c r="DC50" s="590" t="str">
        <f>IF(AND(ISNUMBER(#REF!),J50&lt;&gt;FixedDim),"Select fixed dimming with an illuminance factor","OK")</f>
        <v>OK</v>
      </c>
      <c r="DD50" s="590" t="str">
        <f>IF(AND(NOT(ISNUMBER(#REF!)),J50=FixedDim),"Enter an illuminance factor","OK")</f>
        <v>OK</v>
      </c>
      <c r="DE50" s="590" t="str">
        <f t="shared" si="66"/>
        <v>OK</v>
      </c>
      <c r="DF50" s="590" t="str">
        <f t="shared" si="44"/>
        <v>OK</v>
      </c>
      <c r="DG50" s="590" t="str">
        <f t="shared" si="45"/>
        <v>OK</v>
      </c>
      <c r="DH50" s="590" t="str">
        <f t="shared" si="46"/>
        <v>OK</v>
      </c>
      <c r="DI50" s="939" t="str">
        <f t="shared" si="47"/>
        <v>OK</v>
      </c>
      <c r="DJ50" s="591">
        <f t="shared" si="48"/>
        <v>0</v>
      </c>
      <c r="DK50" s="940" t="str">
        <f t="shared" si="49"/>
        <v>OK</v>
      </c>
    </row>
    <row r="51" spans="1:115" ht="18" hidden="1" x14ac:dyDescent="0.4">
      <c r="A51" s="589"/>
      <c r="B51" s="1485" t="str">
        <f t="shared" si="0"/>
        <v>-</v>
      </c>
      <c r="C51" s="1214">
        <v>22</v>
      </c>
      <c r="D51" s="1215"/>
      <c r="E51" s="1216"/>
      <c r="F51" s="1217"/>
      <c r="G51" s="1218"/>
      <c r="H51" s="1760"/>
      <c r="I51" s="1760"/>
      <c r="J51" s="1460"/>
      <c r="K51" s="1219"/>
      <c r="L51" s="1219"/>
      <c r="M51" s="1220"/>
      <c r="N51" s="1221" t="str">
        <f t="shared" si="1"/>
        <v/>
      </c>
      <c r="O51" s="1221" t="str">
        <f t="shared" si="1"/>
        <v/>
      </c>
      <c r="P51" s="1461" t="str">
        <f t="shared" si="2"/>
        <v/>
      </c>
      <c r="Q51" s="150"/>
      <c r="R51" s="1462" t="str">
        <f t="shared" si="3"/>
        <v/>
      </c>
      <c r="S51" s="1463" t="b">
        <f t="shared" si="4"/>
        <v>0</v>
      </c>
      <c r="T51" s="1464" t="str">
        <f t="shared" si="50"/>
        <v/>
      </c>
      <c r="U51" s="1464" t="str">
        <f t="shared" si="5"/>
        <v/>
      </c>
      <c r="V51" s="1465">
        <f t="shared" si="6"/>
        <v>0</v>
      </c>
      <c r="W51" s="1466">
        <f t="shared" si="51"/>
        <v>0</v>
      </c>
      <c r="X51" s="1466">
        <f t="shared" si="52"/>
        <v>0</v>
      </c>
      <c r="Y51" s="1466">
        <f t="shared" si="7"/>
        <v>0</v>
      </c>
      <c r="Z51" s="1467">
        <f t="shared" si="53"/>
        <v>0</v>
      </c>
      <c r="AA51" s="1465">
        <f t="shared" si="8"/>
        <v>0</v>
      </c>
      <c r="AB51" s="1466">
        <f t="shared" si="54"/>
        <v>0</v>
      </c>
      <c r="AC51" s="1466">
        <f t="shared" si="55"/>
        <v>0</v>
      </c>
      <c r="AD51" s="1466">
        <f t="shared" si="56"/>
        <v>0</v>
      </c>
      <c r="AE51" s="1467">
        <f t="shared" si="57"/>
        <v>0</v>
      </c>
      <c r="AF51" s="1465">
        <f t="shared" si="9"/>
        <v>0</v>
      </c>
      <c r="AG51" s="1466">
        <f t="shared" si="58"/>
        <v>0</v>
      </c>
      <c r="AH51" s="1466">
        <f t="shared" si="59"/>
        <v>0</v>
      </c>
      <c r="AI51" s="1466">
        <f t="shared" si="60"/>
        <v>0</v>
      </c>
      <c r="AJ51" s="1467">
        <f t="shared" si="61"/>
        <v>0</v>
      </c>
      <c r="AK51" s="1468" t="b">
        <f t="shared" si="10"/>
        <v>1</v>
      </c>
      <c r="AL51" s="1469" t="b">
        <f t="shared" si="11"/>
        <v>1</v>
      </c>
      <c r="AM51" s="1469" t="str">
        <f t="shared" si="12"/>
        <v/>
      </c>
      <c r="AN51" s="1469" t="b">
        <f t="shared" si="13"/>
        <v>0</v>
      </c>
      <c r="AO51" s="1470" t="b">
        <f>IF(OR(COUNTBLANK(D51:I51)=6,AND(COUNTBLANK(D51:G51)=4,H51=0)),OR(AN52:AN$69),NOT(AN51))</f>
        <v>0</v>
      </c>
      <c r="AP51" s="1469" t="b">
        <f t="shared" si="14"/>
        <v>1</v>
      </c>
      <c r="AQ51" s="1469" t="b">
        <f t="shared" si="62"/>
        <v>1</v>
      </c>
      <c r="AR51" s="1471">
        <f t="shared" si="15"/>
        <v>0</v>
      </c>
      <c r="AS51" s="1471" t="str">
        <f t="shared" si="16"/>
        <v/>
      </c>
      <c r="AT51" s="1472" t="str">
        <f t="shared" si="63"/>
        <v/>
      </c>
      <c r="AU51" s="1473" t="str">
        <f t="shared" si="17"/>
        <v/>
      </c>
      <c r="AV51" s="1474" t="str">
        <f t="shared" si="18"/>
        <v/>
      </c>
      <c r="AW51" s="1475"/>
      <c r="AX51" s="1474" t="str">
        <f t="shared" si="64"/>
        <v/>
      </c>
      <c r="AY51" s="1762"/>
      <c r="AZ51" s="1762"/>
      <c r="BA51" s="1476" t="b">
        <f t="shared" si="19"/>
        <v>0</v>
      </c>
      <c r="BB51" s="1477" t="b">
        <f t="shared" si="20"/>
        <v>0</v>
      </c>
      <c r="BC51" s="1478" t="b">
        <f t="shared" si="21"/>
        <v>0</v>
      </c>
      <c r="BD51" s="1476" t="b">
        <f t="shared" si="22"/>
        <v>0</v>
      </c>
      <c r="BE51" s="1476" t="b">
        <f t="shared" si="23"/>
        <v>1</v>
      </c>
      <c r="BF51" s="1477" t="b">
        <f t="shared" si="24"/>
        <v>0</v>
      </c>
      <c r="BG51" s="1478" t="b">
        <f t="shared" si="25"/>
        <v>0</v>
      </c>
      <c r="BH51" s="1476" t="b">
        <f t="shared" si="26"/>
        <v>0</v>
      </c>
      <c r="BI51" s="1477" t="b">
        <f t="shared" si="65"/>
        <v>0</v>
      </c>
      <c r="BJ51" s="1479" t="b">
        <f t="shared" si="27"/>
        <v>0</v>
      </c>
      <c r="BK51" s="1480" t="b">
        <f t="shared" si="28"/>
        <v>0</v>
      </c>
      <c r="BL51" s="1481" t="str">
        <f t="shared" si="29"/>
        <v/>
      </c>
      <c r="BN51" s="590" t="str">
        <f t="shared" si="30"/>
        <v>no data</v>
      </c>
      <c r="BP51" s="592">
        <v>22</v>
      </c>
      <c r="BQ51" s="592" t="str">
        <f t="shared" si="31"/>
        <v>-</v>
      </c>
      <c r="BU51" s="572"/>
      <c r="BV51" s="175"/>
      <c r="BW51" s="140"/>
      <c r="BX51" s="140"/>
      <c r="BY51" s="1483">
        <f t="shared" si="32"/>
        <v>22</v>
      </c>
      <c r="BZ51" s="1222">
        <f t="shared" si="32"/>
        <v>0</v>
      </c>
      <c r="CA51" s="1222">
        <f t="shared" si="33"/>
        <v>0</v>
      </c>
      <c r="CB51" s="1223" t="str">
        <f t="shared" si="34"/>
        <v/>
      </c>
      <c r="CC51" s="1224" t="str">
        <f>IF(AQ51,IF(ISNUMBER(#REF!),MAX('Adjustment factors'!$S$16,0.2+0.8*#REF!),IF(ISTEXT(J51),VLOOKUP(J51,Afactors,2,FALSE),"")),"")</f>
        <v/>
      </c>
      <c r="CD51" s="1484" t="str">
        <f t="shared" si="35"/>
        <v/>
      </c>
      <c r="CE51" s="140"/>
      <c r="CF51" s="140"/>
      <c r="CG51" s="140"/>
      <c r="CH51" s="140"/>
      <c r="CI51" s="140"/>
      <c r="CJ51" s="140"/>
      <c r="CK51" s="140"/>
      <c r="CL51" s="140"/>
      <c r="CM51" s="140"/>
      <c r="CN51" s="140"/>
      <c r="CO51" s="140"/>
      <c r="CP51" s="140"/>
      <c r="CQ51" s="140"/>
      <c r="CR51" s="140"/>
      <c r="CS51" s="140"/>
      <c r="CU51" s="590" t="str">
        <f t="shared" si="36"/>
        <v>OK</v>
      </c>
      <c r="CV51" s="590" t="str">
        <f t="shared" si="37"/>
        <v>OK</v>
      </c>
      <c r="CW51" s="590" t="str">
        <f t="shared" si="38"/>
        <v>OK</v>
      </c>
      <c r="CX51" s="590" t="str">
        <f t="shared" si="39"/>
        <v>OK</v>
      </c>
      <c r="CY51" s="939" t="str">
        <f t="shared" si="40"/>
        <v>OK</v>
      </c>
      <c r="CZ51" s="590" t="str">
        <f t="shared" si="41"/>
        <v>OK</v>
      </c>
      <c r="DA51" s="590" t="str">
        <f t="shared" si="42"/>
        <v>OK</v>
      </c>
      <c r="DB51" s="590" t="str">
        <f t="shared" si="43"/>
        <v>OK</v>
      </c>
      <c r="DC51" s="590" t="str">
        <f>IF(AND(ISNUMBER(#REF!),J51&lt;&gt;FixedDim),"Select fixed dimming with an illuminance factor","OK")</f>
        <v>OK</v>
      </c>
      <c r="DD51" s="590" t="str">
        <f>IF(AND(NOT(ISNUMBER(#REF!)),J51=FixedDim),"Enter an illuminance factor","OK")</f>
        <v>OK</v>
      </c>
      <c r="DE51" s="590" t="str">
        <f t="shared" si="66"/>
        <v>OK</v>
      </c>
      <c r="DF51" s="590" t="str">
        <f t="shared" si="44"/>
        <v>OK</v>
      </c>
      <c r="DG51" s="590" t="str">
        <f t="shared" si="45"/>
        <v>OK</v>
      </c>
      <c r="DH51" s="590" t="str">
        <f t="shared" si="46"/>
        <v>OK</v>
      </c>
      <c r="DI51" s="939" t="str">
        <f t="shared" si="47"/>
        <v>OK</v>
      </c>
      <c r="DJ51" s="591">
        <f t="shared" si="48"/>
        <v>0</v>
      </c>
      <c r="DK51" s="940" t="str">
        <f t="shared" si="49"/>
        <v>OK</v>
      </c>
    </row>
    <row r="52" spans="1:115" ht="18" hidden="1" x14ac:dyDescent="0.4">
      <c r="A52" s="589"/>
      <c r="B52" s="1485" t="str">
        <f t="shared" si="0"/>
        <v>-</v>
      </c>
      <c r="C52" s="1214">
        <v>23</v>
      </c>
      <c r="D52" s="1215"/>
      <c r="E52" s="1216"/>
      <c r="F52" s="1217"/>
      <c r="G52" s="1218"/>
      <c r="H52" s="1760"/>
      <c r="I52" s="1760"/>
      <c r="J52" s="1460"/>
      <c r="K52" s="1219"/>
      <c r="L52" s="1219"/>
      <c r="M52" s="1220"/>
      <c r="N52" s="1221" t="str">
        <f t="shared" si="1"/>
        <v/>
      </c>
      <c r="O52" s="1221" t="str">
        <f t="shared" si="1"/>
        <v/>
      </c>
      <c r="P52" s="1461" t="str">
        <f t="shared" si="2"/>
        <v/>
      </c>
      <c r="Q52" s="150"/>
      <c r="R52" s="1462" t="str">
        <f t="shared" si="3"/>
        <v/>
      </c>
      <c r="S52" s="1463" t="b">
        <f t="shared" si="4"/>
        <v>0</v>
      </c>
      <c r="T52" s="1464" t="str">
        <f t="shared" si="50"/>
        <v/>
      </c>
      <c r="U52" s="1464" t="str">
        <f t="shared" si="5"/>
        <v/>
      </c>
      <c r="V52" s="1465">
        <f t="shared" si="6"/>
        <v>0</v>
      </c>
      <c r="W52" s="1466">
        <f t="shared" si="51"/>
        <v>0</v>
      </c>
      <c r="X52" s="1466">
        <f t="shared" si="52"/>
        <v>0</v>
      </c>
      <c r="Y52" s="1466">
        <f t="shared" si="7"/>
        <v>0</v>
      </c>
      <c r="Z52" s="1467">
        <f t="shared" si="53"/>
        <v>0</v>
      </c>
      <c r="AA52" s="1465">
        <f t="shared" si="8"/>
        <v>0</v>
      </c>
      <c r="AB52" s="1466">
        <f t="shared" si="54"/>
        <v>0</v>
      </c>
      <c r="AC52" s="1466">
        <f t="shared" si="55"/>
        <v>0</v>
      </c>
      <c r="AD52" s="1466">
        <f t="shared" si="56"/>
        <v>0</v>
      </c>
      <c r="AE52" s="1467">
        <f t="shared" si="57"/>
        <v>0</v>
      </c>
      <c r="AF52" s="1465">
        <f t="shared" si="9"/>
        <v>0</v>
      </c>
      <c r="AG52" s="1466">
        <f t="shared" si="58"/>
        <v>0</v>
      </c>
      <c r="AH52" s="1466">
        <f t="shared" si="59"/>
        <v>0</v>
      </c>
      <c r="AI52" s="1466">
        <f t="shared" si="60"/>
        <v>0</v>
      </c>
      <c r="AJ52" s="1467">
        <f t="shared" si="61"/>
        <v>0</v>
      </c>
      <c r="AK52" s="1468" t="b">
        <f t="shared" si="10"/>
        <v>1</v>
      </c>
      <c r="AL52" s="1469" t="b">
        <f t="shared" si="11"/>
        <v>1</v>
      </c>
      <c r="AM52" s="1469" t="str">
        <f t="shared" si="12"/>
        <v/>
      </c>
      <c r="AN52" s="1469" t="b">
        <f t="shared" si="13"/>
        <v>0</v>
      </c>
      <c r="AO52" s="1470" t="b">
        <f>IF(OR(COUNTBLANK(D52:I52)=6,AND(COUNTBLANK(D52:G52)=4,H52=0)),OR(AN53:AN$69),NOT(AN52))</f>
        <v>0</v>
      </c>
      <c r="AP52" s="1469" t="b">
        <f t="shared" si="14"/>
        <v>1</v>
      </c>
      <c r="AQ52" s="1469" t="b">
        <f t="shared" si="62"/>
        <v>1</v>
      </c>
      <c r="AR52" s="1471">
        <f t="shared" si="15"/>
        <v>0</v>
      </c>
      <c r="AS52" s="1471" t="str">
        <f t="shared" si="16"/>
        <v/>
      </c>
      <c r="AT52" s="1472" t="str">
        <f t="shared" si="63"/>
        <v/>
      </c>
      <c r="AU52" s="1473" t="str">
        <f t="shared" si="17"/>
        <v/>
      </c>
      <c r="AV52" s="1474" t="str">
        <f t="shared" si="18"/>
        <v/>
      </c>
      <c r="AW52" s="1475"/>
      <c r="AX52" s="1474" t="str">
        <f t="shared" si="64"/>
        <v/>
      </c>
      <c r="AY52" s="1762"/>
      <c r="AZ52" s="1762"/>
      <c r="BA52" s="1476" t="b">
        <f t="shared" si="19"/>
        <v>0</v>
      </c>
      <c r="BB52" s="1477" t="b">
        <f t="shared" si="20"/>
        <v>0</v>
      </c>
      <c r="BC52" s="1478" t="b">
        <f t="shared" si="21"/>
        <v>0</v>
      </c>
      <c r="BD52" s="1476" t="b">
        <f t="shared" si="22"/>
        <v>0</v>
      </c>
      <c r="BE52" s="1476" t="b">
        <f t="shared" si="23"/>
        <v>1</v>
      </c>
      <c r="BF52" s="1477" t="b">
        <f t="shared" si="24"/>
        <v>0</v>
      </c>
      <c r="BG52" s="1478" t="b">
        <f t="shared" si="25"/>
        <v>0</v>
      </c>
      <c r="BH52" s="1476" t="b">
        <f t="shared" si="26"/>
        <v>0</v>
      </c>
      <c r="BI52" s="1477" t="b">
        <f t="shared" si="65"/>
        <v>0</v>
      </c>
      <c r="BJ52" s="1479" t="b">
        <f t="shared" si="27"/>
        <v>0</v>
      </c>
      <c r="BK52" s="1480" t="b">
        <f t="shared" si="28"/>
        <v>0</v>
      </c>
      <c r="BL52" s="1481" t="str">
        <f t="shared" si="29"/>
        <v/>
      </c>
      <c r="BN52" s="590" t="str">
        <f t="shared" si="30"/>
        <v>no data</v>
      </c>
      <c r="BP52" s="592">
        <v>23</v>
      </c>
      <c r="BQ52" s="592" t="str">
        <f t="shared" si="31"/>
        <v>-</v>
      </c>
      <c r="BU52" s="572"/>
      <c r="BV52" s="175"/>
      <c r="BW52" s="140"/>
      <c r="BX52" s="140"/>
      <c r="BY52" s="1483">
        <f t="shared" si="32"/>
        <v>23</v>
      </c>
      <c r="BZ52" s="1222">
        <f t="shared" si="32"/>
        <v>0</v>
      </c>
      <c r="CA52" s="1222">
        <f t="shared" si="33"/>
        <v>0</v>
      </c>
      <c r="CB52" s="1223" t="str">
        <f t="shared" si="34"/>
        <v/>
      </c>
      <c r="CC52" s="1224" t="str">
        <f>IF(AQ52,IF(ISNUMBER(#REF!),MAX('Adjustment factors'!$S$16,0.2+0.8*#REF!),IF(ISTEXT(J52),VLOOKUP(J52,Afactors,2,FALSE),"")),"")</f>
        <v/>
      </c>
      <c r="CD52" s="1484" t="str">
        <f t="shared" si="35"/>
        <v/>
      </c>
      <c r="CE52" s="140"/>
      <c r="CF52" s="140"/>
      <c r="CG52" s="140"/>
      <c r="CH52" s="140"/>
      <c r="CI52" s="140"/>
      <c r="CJ52" s="140"/>
      <c r="CK52" s="140"/>
      <c r="CL52" s="140"/>
      <c r="CM52" s="140"/>
      <c r="CN52" s="140"/>
      <c r="CO52" s="140"/>
      <c r="CP52" s="140"/>
      <c r="CQ52" s="140"/>
      <c r="CR52" s="140"/>
      <c r="CS52" s="140"/>
      <c r="CU52" s="590" t="str">
        <f t="shared" si="36"/>
        <v>OK</v>
      </c>
      <c r="CV52" s="590" t="str">
        <f t="shared" si="37"/>
        <v>OK</v>
      </c>
      <c r="CW52" s="590" t="str">
        <f t="shared" si="38"/>
        <v>OK</v>
      </c>
      <c r="CX52" s="590" t="str">
        <f t="shared" si="39"/>
        <v>OK</v>
      </c>
      <c r="CY52" s="939" t="str">
        <f t="shared" si="40"/>
        <v>OK</v>
      </c>
      <c r="CZ52" s="590" t="str">
        <f t="shared" si="41"/>
        <v>OK</v>
      </c>
      <c r="DA52" s="590" t="str">
        <f t="shared" si="42"/>
        <v>OK</v>
      </c>
      <c r="DB52" s="590" t="str">
        <f t="shared" si="43"/>
        <v>OK</v>
      </c>
      <c r="DC52" s="590" t="str">
        <f>IF(AND(ISNUMBER(#REF!),J52&lt;&gt;FixedDim),"Select fixed dimming with an illuminance factor","OK")</f>
        <v>OK</v>
      </c>
      <c r="DD52" s="590" t="str">
        <f>IF(AND(NOT(ISNUMBER(#REF!)),J52=FixedDim),"Enter an illuminance factor","OK")</f>
        <v>OK</v>
      </c>
      <c r="DE52" s="590" t="str">
        <f t="shared" si="66"/>
        <v>OK</v>
      </c>
      <c r="DF52" s="590" t="str">
        <f t="shared" si="44"/>
        <v>OK</v>
      </c>
      <c r="DG52" s="590" t="str">
        <f t="shared" si="45"/>
        <v>OK</v>
      </c>
      <c r="DH52" s="590" t="str">
        <f t="shared" si="46"/>
        <v>OK</v>
      </c>
      <c r="DI52" s="939" t="str">
        <f t="shared" si="47"/>
        <v>OK</v>
      </c>
      <c r="DJ52" s="591">
        <f t="shared" si="48"/>
        <v>0</v>
      </c>
      <c r="DK52" s="940" t="str">
        <f t="shared" si="49"/>
        <v>OK</v>
      </c>
    </row>
    <row r="53" spans="1:115" ht="18" hidden="1" x14ac:dyDescent="0.4">
      <c r="A53" s="589"/>
      <c r="B53" s="1485" t="str">
        <f t="shared" si="0"/>
        <v>-</v>
      </c>
      <c r="C53" s="1214">
        <v>24</v>
      </c>
      <c r="D53" s="1215"/>
      <c r="E53" s="1216"/>
      <c r="F53" s="1217"/>
      <c r="G53" s="1218"/>
      <c r="H53" s="1760"/>
      <c r="I53" s="1760"/>
      <c r="J53" s="1460"/>
      <c r="K53" s="1219"/>
      <c r="L53" s="1219"/>
      <c r="M53" s="1220"/>
      <c r="N53" s="1221" t="str">
        <f t="shared" si="1"/>
        <v/>
      </c>
      <c r="O53" s="1221" t="str">
        <f t="shared" si="1"/>
        <v/>
      </c>
      <c r="P53" s="1461" t="str">
        <f t="shared" si="2"/>
        <v/>
      </c>
      <c r="Q53" s="150"/>
      <c r="R53" s="1462" t="str">
        <f t="shared" si="3"/>
        <v/>
      </c>
      <c r="S53" s="1463" t="b">
        <f t="shared" si="4"/>
        <v>0</v>
      </c>
      <c r="T53" s="1464" t="str">
        <f t="shared" si="50"/>
        <v/>
      </c>
      <c r="U53" s="1464" t="str">
        <f t="shared" si="5"/>
        <v/>
      </c>
      <c r="V53" s="1465">
        <f t="shared" si="6"/>
        <v>0</v>
      </c>
      <c r="W53" s="1466">
        <f t="shared" si="51"/>
        <v>0</v>
      </c>
      <c r="X53" s="1466">
        <f t="shared" si="52"/>
        <v>0</v>
      </c>
      <c r="Y53" s="1466">
        <f t="shared" si="7"/>
        <v>0</v>
      </c>
      <c r="Z53" s="1467">
        <f t="shared" si="53"/>
        <v>0</v>
      </c>
      <c r="AA53" s="1465">
        <f t="shared" si="8"/>
        <v>0</v>
      </c>
      <c r="AB53" s="1466">
        <f t="shared" si="54"/>
        <v>0</v>
      </c>
      <c r="AC53" s="1466">
        <f t="shared" si="55"/>
        <v>0</v>
      </c>
      <c r="AD53" s="1466">
        <f t="shared" si="56"/>
        <v>0</v>
      </c>
      <c r="AE53" s="1467">
        <f t="shared" si="57"/>
        <v>0</v>
      </c>
      <c r="AF53" s="1465">
        <f t="shared" si="9"/>
        <v>0</v>
      </c>
      <c r="AG53" s="1466">
        <f t="shared" si="58"/>
        <v>0</v>
      </c>
      <c r="AH53" s="1466">
        <f t="shared" si="59"/>
        <v>0</v>
      </c>
      <c r="AI53" s="1466">
        <f t="shared" si="60"/>
        <v>0</v>
      </c>
      <c r="AJ53" s="1467">
        <f t="shared" si="61"/>
        <v>0</v>
      </c>
      <c r="AK53" s="1468" t="b">
        <f t="shared" si="10"/>
        <v>1</v>
      </c>
      <c r="AL53" s="1469" t="b">
        <f t="shared" si="11"/>
        <v>1</v>
      </c>
      <c r="AM53" s="1469" t="str">
        <f t="shared" si="12"/>
        <v/>
      </c>
      <c r="AN53" s="1469" t="b">
        <f t="shared" si="13"/>
        <v>0</v>
      </c>
      <c r="AO53" s="1470" t="b">
        <f>IF(OR(COUNTBLANK(D53:I53)=6,AND(COUNTBLANK(D53:G53)=4,H53=0)),OR(AN54:AN$69),NOT(AN53))</f>
        <v>0</v>
      </c>
      <c r="AP53" s="1469" t="b">
        <f t="shared" si="14"/>
        <v>1</v>
      </c>
      <c r="AQ53" s="1469" t="b">
        <f t="shared" si="62"/>
        <v>1</v>
      </c>
      <c r="AR53" s="1471">
        <f t="shared" si="15"/>
        <v>0</v>
      </c>
      <c r="AS53" s="1471" t="str">
        <f t="shared" si="16"/>
        <v/>
      </c>
      <c r="AT53" s="1472" t="str">
        <f t="shared" si="63"/>
        <v/>
      </c>
      <c r="AU53" s="1473" t="str">
        <f t="shared" si="17"/>
        <v/>
      </c>
      <c r="AV53" s="1474" t="str">
        <f t="shared" si="18"/>
        <v/>
      </c>
      <c r="AW53" s="1475"/>
      <c r="AX53" s="1474" t="str">
        <f t="shared" si="64"/>
        <v/>
      </c>
      <c r="AY53" s="1762"/>
      <c r="AZ53" s="1762"/>
      <c r="BA53" s="1476" t="b">
        <f t="shared" si="19"/>
        <v>0</v>
      </c>
      <c r="BB53" s="1477" t="b">
        <f t="shared" si="20"/>
        <v>0</v>
      </c>
      <c r="BC53" s="1478" t="b">
        <f t="shared" si="21"/>
        <v>0</v>
      </c>
      <c r="BD53" s="1476" t="b">
        <f t="shared" si="22"/>
        <v>0</v>
      </c>
      <c r="BE53" s="1476" t="b">
        <f t="shared" si="23"/>
        <v>1</v>
      </c>
      <c r="BF53" s="1477" t="b">
        <f t="shared" si="24"/>
        <v>0</v>
      </c>
      <c r="BG53" s="1478" t="b">
        <f t="shared" si="25"/>
        <v>0</v>
      </c>
      <c r="BH53" s="1476" t="b">
        <f t="shared" si="26"/>
        <v>0</v>
      </c>
      <c r="BI53" s="1477" t="b">
        <f t="shared" si="65"/>
        <v>0</v>
      </c>
      <c r="BJ53" s="1479" t="b">
        <f t="shared" si="27"/>
        <v>0</v>
      </c>
      <c r="BK53" s="1480" t="b">
        <f t="shared" si="28"/>
        <v>0</v>
      </c>
      <c r="BL53" s="1481" t="str">
        <f t="shared" si="29"/>
        <v/>
      </c>
      <c r="BN53" s="590" t="str">
        <f t="shared" si="30"/>
        <v>no data</v>
      </c>
      <c r="BP53" s="592">
        <v>24</v>
      </c>
      <c r="BQ53" s="592" t="str">
        <f t="shared" si="31"/>
        <v>-</v>
      </c>
      <c r="BU53" s="572"/>
      <c r="BV53" s="175"/>
      <c r="BW53" s="140"/>
      <c r="BX53" s="140"/>
      <c r="BY53" s="1483">
        <f t="shared" si="32"/>
        <v>24</v>
      </c>
      <c r="BZ53" s="1222">
        <f t="shared" si="32"/>
        <v>0</v>
      </c>
      <c r="CA53" s="1222">
        <f t="shared" si="33"/>
        <v>0</v>
      </c>
      <c r="CB53" s="1223" t="str">
        <f t="shared" si="34"/>
        <v/>
      </c>
      <c r="CC53" s="1224" t="str">
        <f>IF(AQ53,IF(ISNUMBER(#REF!),MAX('Adjustment factors'!$S$16,0.2+0.8*#REF!),IF(ISTEXT(J53),VLOOKUP(J53,Afactors,2,FALSE),"")),"")</f>
        <v/>
      </c>
      <c r="CD53" s="1484" t="str">
        <f t="shared" si="35"/>
        <v/>
      </c>
      <c r="CE53" s="140"/>
      <c r="CF53" s="140"/>
      <c r="CG53" s="140"/>
      <c r="CH53" s="140"/>
      <c r="CI53" s="140"/>
      <c r="CJ53" s="140"/>
      <c r="CK53" s="140"/>
      <c r="CL53" s="140"/>
      <c r="CM53" s="140"/>
      <c r="CN53" s="140"/>
      <c r="CO53" s="140"/>
      <c r="CP53" s="140"/>
      <c r="CQ53" s="140"/>
      <c r="CR53" s="140"/>
      <c r="CS53" s="140"/>
      <c r="CU53" s="590" t="str">
        <f t="shared" si="36"/>
        <v>OK</v>
      </c>
      <c r="CV53" s="590" t="str">
        <f t="shared" si="37"/>
        <v>OK</v>
      </c>
      <c r="CW53" s="590" t="str">
        <f t="shared" si="38"/>
        <v>OK</v>
      </c>
      <c r="CX53" s="590" t="str">
        <f t="shared" si="39"/>
        <v>OK</v>
      </c>
      <c r="CY53" s="939" t="str">
        <f t="shared" si="40"/>
        <v>OK</v>
      </c>
      <c r="CZ53" s="590" t="str">
        <f t="shared" si="41"/>
        <v>OK</v>
      </c>
      <c r="DA53" s="590" t="str">
        <f t="shared" si="42"/>
        <v>OK</v>
      </c>
      <c r="DB53" s="590" t="str">
        <f t="shared" si="43"/>
        <v>OK</v>
      </c>
      <c r="DC53" s="590" t="str">
        <f>IF(AND(ISNUMBER(#REF!),J53&lt;&gt;FixedDim),"Select fixed dimming with an illuminance factor","OK")</f>
        <v>OK</v>
      </c>
      <c r="DD53" s="590" t="str">
        <f>IF(AND(NOT(ISNUMBER(#REF!)),J53=FixedDim),"Enter an illuminance factor","OK")</f>
        <v>OK</v>
      </c>
      <c r="DE53" s="590" t="str">
        <f t="shared" si="66"/>
        <v>OK</v>
      </c>
      <c r="DF53" s="590" t="str">
        <f t="shared" si="44"/>
        <v>OK</v>
      </c>
      <c r="DG53" s="590" t="str">
        <f t="shared" si="45"/>
        <v>OK</v>
      </c>
      <c r="DH53" s="590" t="str">
        <f t="shared" si="46"/>
        <v>OK</v>
      </c>
      <c r="DI53" s="939" t="str">
        <f t="shared" si="47"/>
        <v>OK</v>
      </c>
      <c r="DJ53" s="591">
        <f t="shared" si="48"/>
        <v>0</v>
      </c>
      <c r="DK53" s="940" t="str">
        <f t="shared" si="49"/>
        <v>OK</v>
      </c>
    </row>
    <row r="54" spans="1:115" ht="18" hidden="1" x14ac:dyDescent="0.4">
      <c r="A54" s="589"/>
      <c r="B54" s="1485" t="str">
        <f t="shared" si="0"/>
        <v>-</v>
      </c>
      <c r="C54" s="1214">
        <v>25</v>
      </c>
      <c r="D54" s="1215"/>
      <c r="E54" s="1216"/>
      <c r="F54" s="1217"/>
      <c r="G54" s="1218"/>
      <c r="H54" s="1760"/>
      <c r="I54" s="1760"/>
      <c r="J54" s="1460"/>
      <c r="K54" s="1219"/>
      <c r="L54" s="1219"/>
      <c r="M54" s="1220"/>
      <c r="N54" s="1221" t="str">
        <f t="shared" si="1"/>
        <v/>
      </c>
      <c r="O54" s="1221" t="str">
        <f t="shared" si="1"/>
        <v/>
      </c>
      <c r="P54" s="1461" t="str">
        <f t="shared" si="2"/>
        <v/>
      </c>
      <c r="Q54" s="150"/>
      <c r="R54" s="1462" t="str">
        <f t="shared" si="3"/>
        <v/>
      </c>
      <c r="S54" s="1463" t="b">
        <f t="shared" si="4"/>
        <v>0</v>
      </c>
      <c r="T54" s="1464" t="str">
        <f t="shared" si="50"/>
        <v/>
      </c>
      <c r="U54" s="1464" t="str">
        <f t="shared" si="5"/>
        <v/>
      </c>
      <c r="V54" s="1465">
        <f t="shared" si="6"/>
        <v>0</v>
      </c>
      <c r="W54" s="1466">
        <f t="shared" si="51"/>
        <v>0</v>
      </c>
      <c r="X54" s="1466">
        <f t="shared" si="52"/>
        <v>0</v>
      </c>
      <c r="Y54" s="1466">
        <f t="shared" si="7"/>
        <v>0</v>
      </c>
      <c r="Z54" s="1467">
        <f t="shared" si="53"/>
        <v>0</v>
      </c>
      <c r="AA54" s="1465">
        <f t="shared" si="8"/>
        <v>0</v>
      </c>
      <c r="AB54" s="1466">
        <f t="shared" si="54"/>
        <v>0</v>
      </c>
      <c r="AC54" s="1466">
        <f t="shared" si="55"/>
        <v>0</v>
      </c>
      <c r="AD54" s="1466">
        <f t="shared" si="56"/>
        <v>0</v>
      </c>
      <c r="AE54" s="1467">
        <f t="shared" si="57"/>
        <v>0</v>
      </c>
      <c r="AF54" s="1465">
        <f t="shared" si="9"/>
        <v>0</v>
      </c>
      <c r="AG54" s="1466">
        <f t="shared" si="58"/>
        <v>0</v>
      </c>
      <c r="AH54" s="1466">
        <f t="shared" si="59"/>
        <v>0</v>
      </c>
      <c r="AI54" s="1466">
        <f t="shared" si="60"/>
        <v>0</v>
      </c>
      <c r="AJ54" s="1467">
        <f t="shared" si="61"/>
        <v>0</v>
      </c>
      <c r="AK54" s="1468" t="b">
        <f t="shared" si="10"/>
        <v>1</v>
      </c>
      <c r="AL54" s="1469" t="b">
        <f t="shared" si="11"/>
        <v>1</v>
      </c>
      <c r="AM54" s="1469" t="str">
        <f t="shared" si="12"/>
        <v/>
      </c>
      <c r="AN54" s="1469" t="b">
        <f t="shared" si="13"/>
        <v>0</v>
      </c>
      <c r="AO54" s="1470" t="b">
        <f>IF(OR(COUNTBLANK(D54:I54)=6,AND(COUNTBLANK(D54:G54)=4,H54=0)),OR(AN55:AN$69),NOT(AN54))</f>
        <v>0</v>
      </c>
      <c r="AP54" s="1469" t="b">
        <f t="shared" si="14"/>
        <v>1</v>
      </c>
      <c r="AQ54" s="1469" t="b">
        <f t="shared" si="62"/>
        <v>1</v>
      </c>
      <c r="AR54" s="1471">
        <f t="shared" si="15"/>
        <v>0</v>
      </c>
      <c r="AS54" s="1471" t="str">
        <f t="shared" si="16"/>
        <v/>
      </c>
      <c r="AT54" s="1472" t="str">
        <f t="shared" si="63"/>
        <v/>
      </c>
      <c r="AU54" s="1473" t="str">
        <f t="shared" si="17"/>
        <v/>
      </c>
      <c r="AV54" s="1474" t="str">
        <f t="shared" si="18"/>
        <v/>
      </c>
      <c r="AW54" s="1475"/>
      <c r="AX54" s="1474" t="str">
        <f t="shared" si="64"/>
        <v/>
      </c>
      <c r="AY54" s="1762"/>
      <c r="AZ54" s="1762"/>
      <c r="BA54" s="1476" t="b">
        <f t="shared" si="19"/>
        <v>0</v>
      </c>
      <c r="BB54" s="1477" t="b">
        <f t="shared" si="20"/>
        <v>0</v>
      </c>
      <c r="BC54" s="1478" t="b">
        <f t="shared" si="21"/>
        <v>0</v>
      </c>
      <c r="BD54" s="1476" t="b">
        <f t="shared" si="22"/>
        <v>0</v>
      </c>
      <c r="BE54" s="1476" t="b">
        <f t="shared" si="23"/>
        <v>1</v>
      </c>
      <c r="BF54" s="1477" t="b">
        <f t="shared" si="24"/>
        <v>0</v>
      </c>
      <c r="BG54" s="1478" t="b">
        <f t="shared" si="25"/>
        <v>0</v>
      </c>
      <c r="BH54" s="1476" t="b">
        <f t="shared" si="26"/>
        <v>0</v>
      </c>
      <c r="BI54" s="1477" t="b">
        <f t="shared" si="65"/>
        <v>0</v>
      </c>
      <c r="BJ54" s="1479" t="b">
        <f t="shared" si="27"/>
        <v>0</v>
      </c>
      <c r="BK54" s="1480" t="b">
        <f t="shared" si="28"/>
        <v>0</v>
      </c>
      <c r="BL54" s="1481" t="str">
        <f t="shared" si="29"/>
        <v/>
      </c>
      <c r="BN54" s="590" t="str">
        <f t="shared" si="30"/>
        <v>no data</v>
      </c>
      <c r="BP54" s="592">
        <v>25</v>
      </c>
      <c r="BQ54" s="592" t="str">
        <f t="shared" si="31"/>
        <v>-</v>
      </c>
      <c r="BU54" s="572"/>
      <c r="BV54" s="175"/>
      <c r="BW54" s="140"/>
      <c r="BX54" s="140"/>
      <c r="BY54" s="1483">
        <f t="shared" si="32"/>
        <v>25</v>
      </c>
      <c r="BZ54" s="1222">
        <f t="shared" si="32"/>
        <v>0</v>
      </c>
      <c r="CA54" s="1222">
        <f t="shared" si="33"/>
        <v>0</v>
      </c>
      <c r="CB54" s="1223" t="str">
        <f t="shared" si="34"/>
        <v/>
      </c>
      <c r="CC54" s="1224" t="str">
        <f>IF(AQ54,IF(ISNUMBER(#REF!),MAX('Adjustment factors'!$S$16,0.2+0.8*#REF!),IF(ISTEXT(J54),VLOOKUP(J54,Afactors,2,FALSE),"")),"")</f>
        <v/>
      </c>
      <c r="CD54" s="1484" t="str">
        <f t="shared" si="35"/>
        <v/>
      </c>
      <c r="CE54" s="140"/>
      <c r="CF54" s="140"/>
      <c r="CG54" s="140"/>
      <c r="CH54" s="140"/>
      <c r="CI54" s="140"/>
      <c r="CJ54" s="140"/>
      <c r="CK54" s="140"/>
      <c r="CL54" s="140"/>
      <c r="CM54" s="140"/>
      <c r="CN54" s="140"/>
      <c r="CO54" s="140"/>
      <c r="CP54" s="140"/>
      <c r="CQ54" s="140"/>
      <c r="CR54" s="140"/>
      <c r="CS54" s="140"/>
      <c r="CU54" s="590" t="str">
        <f t="shared" si="36"/>
        <v>OK</v>
      </c>
      <c r="CV54" s="590" t="str">
        <f t="shared" si="37"/>
        <v>OK</v>
      </c>
      <c r="CW54" s="590" t="str">
        <f t="shared" si="38"/>
        <v>OK</v>
      </c>
      <c r="CX54" s="590" t="str">
        <f t="shared" si="39"/>
        <v>OK</v>
      </c>
      <c r="CY54" s="939" t="str">
        <f t="shared" si="40"/>
        <v>OK</v>
      </c>
      <c r="CZ54" s="590" t="str">
        <f t="shared" si="41"/>
        <v>OK</v>
      </c>
      <c r="DA54" s="590" t="str">
        <f t="shared" si="42"/>
        <v>OK</v>
      </c>
      <c r="DB54" s="590" t="str">
        <f t="shared" si="43"/>
        <v>OK</v>
      </c>
      <c r="DC54" s="590" t="str">
        <f>IF(AND(ISNUMBER(#REF!),J54&lt;&gt;FixedDim),"Select fixed dimming with an illuminance factor","OK")</f>
        <v>OK</v>
      </c>
      <c r="DD54" s="590" t="str">
        <f>IF(AND(NOT(ISNUMBER(#REF!)),J54=FixedDim),"Enter an illuminance factor","OK")</f>
        <v>OK</v>
      </c>
      <c r="DE54" s="590" t="str">
        <f t="shared" si="66"/>
        <v>OK</v>
      </c>
      <c r="DF54" s="590" t="str">
        <f t="shared" si="44"/>
        <v>OK</v>
      </c>
      <c r="DG54" s="590" t="str">
        <f t="shared" si="45"/>
        <v>OK</v>
      </c>
      <c r="DH54" s="590" t="str">
        <f t="shared" si="46"/>
        <v>OK</v>
      </c>
      <c r="DI54" s="939" t="str">
        <f t="shared" si="47"/>
        <v>OK</v>
      </c>
      <c r="DJ54" s="591">
        <f t="shared" si="48"/>
        <v>0</v>
      </c>
      <c r="DK54" s="940" t="str">
        <f t="shared" si="49"/>
        <v>OK</v>
      </c>
    </row>
    <row r="55" spans="1:115" ht="18" hidden="1" x14ac:dyDescent="0.4">
      <c r="A55" s="589"/>
      <c r="B55" s="1485" t="str">
        <f t="shared" si="0"/>
        <v>-</v>
      </c>
      <c r="C55" s="1214">
        <v>26</v>
      </c>
      <c r="D55" s="1215"/>
      <c r="E55" s="1216"/>
      <c r="F55" s="1217"/>
      <c r="G55" s="1218"/>
      <c r="H55" s="1760"/>
      <c r="I55" s="1760"/>
      <c r="J55" s="1460"/>
      <c r="K55" s="1219"/>
      <c r="L55" s="1219"/>
      <c r="M55" s="1220"/>
      <c r="N55" s="1221" t="str">
        <f t="shared" si="1"/>
        <v/>
      </c>
      <c r="O55" s="1221" t="str">
        <f t="shared" si="1"/>
        <v/>
      </c>
      <c r="P55" s="1461" t="str">
        <f t="shared" si="2"/>
        <v/>
      </c>
      <c r="Q55" s="150"/>
      <c r="R55" s="1462" t="str">
        <f t="shared" si="3"/>
        <v/>
      </c>
      <c r="S55" s="1463" t="b">
        <f t="shared" si="4"/>
        <v>0</v>
      </c>
      <c r="T55" s="1464" t="str">
        <f t="shared" si="50"/>
        <v/>
      </c>
      <c r="U55" s="1464" t="str">
        <f t="shared" si="5"/>
        <v/>
      </c>
      <c r="V55" s="1465">
        <f t="shared" si="6"/>
        <v>0</v>
      </c>
      <c r="W55" s="1466">
        <f t="shared" si="51"/>
        <v>0</v>
      </c>
      <c r="X55" s="1466">
        <f t="shared" si="52"/>
        <v>0</v>
      </c>
      <c r="Y55" s="1466">
        <f t="shared" si="7"/>
        <v>0</v>
      </c>
      <c r="Z55" s="1467">
        <f t="shared" si="53"/>
        <v>0</v>
      </c>
      <c r="AA55" s="1465">
        <f t="shared" si="8"/>
        <v>0</v>
      </c>
      <c r="AB55" s="1466">
        <f t="shared" si="54"/>
        <v>0</v>
      </c>
      <c r="AC55" s="1466">
        <f t="shared" si="55"/>
        <v>0</v>
      </c>
      <c r="AD55" s="1466">
        <f t="shared" si="56"/>
        <v>0</v>
      </c>
      <c r="AE55" s="1467">
        <f t="shared" si="57"/>
        <v>0</v>
      </c>
      <c r="AF55" s="1465">
        <f t="shared" si="9"/>
        <v>0</v>
      </c>
      <c r="AG55" s="1466">
        <f t="shared" si="58"/>
        <v>0</v>
      </c>
      <c r="AH55" s="1466">
        <f t="shared" si="59"/>
        <v>0</v>
      </c>
      <c r="AI55" s="1466">
        <f t="shared" si="60"/>
        <v>0</v>
      </c>
      <c r="AJ55" s="1467">
        <f t="shared" si="61"/>
        <v>0</v>
      </c>
      <c r="AK55" s="1468" t="b">
        <f t="shared" si="10"/>
        <v>1</v>
      </c>
      <c r="AL55" s="1469" t="b">
        <f t="shared" si="11"/>
        <v>1</v>
      </c>
      <c r="AM55" s="1469" t="str">
        <f t="shared" si="12"/>
        <v/>
      </c>
      <c r="AN55" s="1469" t="b">
        <f t="shared" si="13"/>
        <v>0</v>
      </c>
      <c r="AO55" s="1470" t="b">
        <f>IF(OR(COUNTBLANK(D55:I55)=6,AND(COUNTBLANK(D55:G55)=4,H55=0)),OR(AN56:AN$69),NOT(AN55))</f>
        <v>0</v>
      </c>
      <c r="AP55" s="1469" t="b">
        <f t="shared" si="14"/>
        <v>1</v>
      </c>
      <c r="AQ55" s="1469" t="b">
        <f t="shared" si="62"/>
        <v>1</v>
      </c>
      <c r="AR55" s="1471">
        <f t="shared" si="15"/>
        <v>0</v>
      </c>
      <c r="AS55" s="1471" t="str">
        <f t="shared" si="16"/>
        <v/>
      </c>
      <c r="AT55" s="1472" t="str">
        <f t="shared" si="63"/>
        <v/>
      </c>
      <c r="AU55" s="1473" t="str">
        <f t="shared" si="17"/>
        <v/>
      </c>
      <c r="AV55" s="1474" t="str">
        <f t="shared" si="18"/>
        <v/>
      </c>
      <c r="AW55" s="1475"/>
      <c r="AX55" s="1474" t="str">
        <f t="shared" si="64"/>
        <v/>
      </c>
      <c r="AY55" s="1762"/>
      <c r="AZ55" s="1762"/>
      <c r="BA55" s="1476" t="b">
        <f t="shared" si="19"/>
        <v>0</v>
      </c>
      <c r="BB55" s="1477" t="b">
        <f t="shared" si="20"/>
        <v>0</v>
      </c>
      <c r="BC55" s="1478" t="b">
        <f t="shared" si="21"/>
        <v>0</v>
      </c>
      <c r="BD55" s="1476" t="b">
        <f t="shared" si="22"/>
        <v>0</v>
      </c>
      <c r="BE55" s="1476" t="b">
        <f t="shared" si="23"/>
        <v>1</v>
      </c>
      <c r="BF55" s="1477" t="b">
        <f t="shared" si="24"/>
        <v>0</v>
      </c>
      <c r="BG55" s="1478" t="b">
        <f t="shared" si="25"/>
        <v>0</v>
      </c>
      <c r="BH55" s="1476" t="b">
        <f t="shared" si="26"/>
        <v>0</v>
      </c>
      <c r="BI55" s="1477" t="b">
        <f t="shared" si="65"/>
        <v>0</v>
      </c>
      <c r="BJ55" s="1479" t="b">
        <f t="shared" si="27"/>
        <v>0</v>
      </c>
      <c r="BK55" s="1480" t="b">
        <f t="shared" si="28"/>
        <v>0</v>
      </c>
      <c r="BL55" s="1481" t="str">
        <f t="shared" si="29"/>
        <v/>
      </c>
      <c r="BN55" s="590" t="str">
        <f t="shared" si="30"/>
        <v>no data</v>
      </c>
      <c r="BP55" s="592">
        <v>26</v>
      </c>
      <c r="BQ55" s="592" t="str">
        <f t="shared" si="31"/>
        <v>-</v>
      </c>
      <c r="BU55" s="572"/>
      <c r="BV55" s="175"/>
      <c r="BW55" s="140"/>
      <c r="BX55" s="140"/>
      <c r="BY55" s="1483">
        <f t="shared" si="32"/>
        <v>26</v>
      </c>
      <c r="BZ55" s="1222">
        <f t="shared" si="32"/>
        <v>0</v>
      </c>
      <c r="CA55" s="1222">
        <f t="shared" si="33"/>
        <v>0</v>
      </c>
      <c r="CB55" s="1223" t="str">
        <f t="shared" si="34"/>
        <v/>
      </c>
      <c r="CC55" s="1224" t="str">
        <f>IF(AQ55,IF(ISNUMBER(#REF!),MAX('Adjustment factors'!$S$16,0.2+0.8*#REF!),IF(ISTEXT(J55),VLOOKUP(J55,Afactors,2,FALSE),"")),"")</f>
        <v/>
      </c>
      <c r="CD55" s="1484" t="str">
        <f t="shared" si="35"/>
        <v/>
      </c>
      <c r="CE55" s="140"/>
      <c r="CF55" s="140"/>
      <c r="CG55" s="140"/>
      <c r="CH55" s="140"/>
      <c r="CI55" s="140"/>
      <c r="CJ55" s="140"/>
      <c r="CK55" s="140"/>
      <c r="CL55" s="140"/>
      <c r="CM55" s="140"/>
      <c r="CN55" s="140"/>
      <c r="CO55" s="140"/>
      <c r="CP55" s="140"/>
      <c r="CQ55" s="140"/>
      <c r="CR55" s="140"/>
      <c r="CS55" s="140"/>
      <c r="CU55" s="590" t="str">
        <f t="shared" si="36"/>
        <v>OK</v>
      </c>
      <c r="CV55" s="590" t="str">
        <f t="shared" si="37"/>
        <v>OK</v>
      </c>
      <c r="CW55" s="590" t="str">
        <f t="shared" si="38"/>
        <v>OK</v>
      </c>
      <c r="CX55" s="590" t="str">
        <f t="shared" si="39"/>
        <v>OK</v>
      </c>
      <c r="CY55" s="939" t="str">
        <f t="shared" si="40"/>
        <v>OK</v>
      </c>
      <c r="CZ55" s="590" t="str">
        <f t="shared" si="41"/>
        <v>OK</v>
      </c>
      <c r="DA55" s="590" t="str">
        <f t="shared" si="42"/>
        <v>OK</v>
      </c>
      <c r="DB55" s="590" t="str">
        <f t="shared" si="43"/>
        <v>OK</v>
      </c>
      <c r="DC55" s="590" t="str">
        <f>IF(AND(ISNUMBER(#REF!),J55&lt;&gt;FixedDim),"Select fixed dimming with an illuminance factor","OK")</f>
        <v>OK</v>
      </c>
      <c r="DD55" s="590" t="str">
        <f>IF(AND(NOT(ISNUMBER(#REF!)),J55=FixedDim),"Enter an illuminance factor","OK")</f>
        <v>OK</v>
      </c>
      <c r="DE55" s="590" t="str">
        <f t="shared" si="66"/>
        <v>OK</v>
      </c>
      <c r="DF55" s="590" t="str">
        <f t="shared" si="44"/>
        <v>OK</v>
      </c>
      <c r="DG55" s="590" t="str">
        <f t="shared" si="45"/>
        <v>OK</v>
      </c>
      <c r="DH55" s="590" t="str">
        <f t="shared" si="46"/>
        <v>OK</v>
      </c>
      <c r="DI55" s="939" t="str">
        <f t="shared" si="47"/>
        <v>OK</v>
      </c>
      <c r="DJ55" s="591">
        <f t="shared" si="48"/>
        <v>0</v>
      </c>
      <c r="DK55" s="940" t="str">
        <f t="shared" si="49"/>
        <v>OK</v>
      </c>
    </row>
    <row r="56" spans="1:115" ht="18" hidden="1" x14ac:dyDescent="0.4">
      <c r="A56" s="589"/>
      <c r="B56" s="1485" t="str">
        <f t="shared" si="0"/>
        <v>-</v>
      </c>
      <c r="C56" s="1214">
        <v>27</v>
      </c>
      <c r="D56" s="1215"/>
      <c r="E56" s="1216"/>
      <c r="F56" s="1217"/>
      <c r="G56" s="1218"/>
      <c r="H56" s="1760"/>
      <c r="I56" s="1760"/>
      <c r="J56" s="1460"/>
      <c r="K56" s="1219"/>
      <c r="L56" s="1219"/>
      <c r="M56" s="1220"/>
      <c r="N56" s="1221" t="str">
        <f t="shared" si="1"/>
        <v/>
      </c>
      <c r="O56" s="1221" t="str">
        <f t="shared" si="1"/>
        <v/>
      </c>
      <c r="P56" s="1461" t="str">
        <f t="shared" si="2"/>
        <v/>
      </c>
      <c r="Q56" s="150"/>
      <c r="R56" s="1462" t="str">
        <f t="shared" si="3"/>
        <v/>
      </c>
      <c r="S56" s="1463" t="b">
        <f t="shared" si="4"/>
        <v>0</v>
      </c>
      <c r="T56" s="1464" t="str">
        <f t="shared" si="50"/>
        <v/>
      </c>
      <c r="U56" s="1464" t="str">
        <f t="shared" si="5"/>
        <v/>
      </c>
      <c r="V56" s="1465">
        <f t="shared" si="6"/>
        <v>0</v>
      </c>
      <c r="W56" s="1466">
        <f t="shared" si="51"/>
        <v>0</v>
      </c>
      <c r="X56" s="1466">
        <f t="shared" si="52"/>
        <v>0</v>
      </c>
      <c r="Y56" s="1466">
        <f t="shared" si="7"/>
        <v>0</v>
      </c>
      <c r="Z56" s="1467">
        <f t="shared" si="53"/>
        <v>0</v>
      </c>
      <c r="AA56" s="1465">
        <f t="shared" si="8"/>
        <v>0</v>
      </c>
      <c r="AB56" s="1466">
        <f t="shared" si="54"/>
        <v>0</v>
      </c>
      <c r="AC56" s="1466">
        <f t="shared" si="55"/>
        <v>0</v>
      </c>
      <c r="AD56" s="1466">
        <f t="shared" si="56"/>
        <v>0</v>
      </c>
      <c r="AE56" s="1467">
        <f t="shared" si="57"/>
        <v>0</v>
      </c>
      <c r="AF56" s="1465">
        <f t="shared" si="9"/>
        <v>0</v>
      </c>
      <c r="AG56" s="1466">
        <f t="shared" si="58"/>
        <v>0</v>
      </c>
      <c r="AH56" s="1466">
        <f t="shared" si="59"/>
        <v>0</v>
      </c>
      <c r="AI56" s="1466">
        <f t="shared" si="60"/>
        <v>0</v>
      </c>
      <c r="AJ56" s="1467">
        <f t="shared" si="61"/>
        <v>0</v>
      </c>
      <c r="AK56" s="1468" t="b">
        <f t="shared" si="10"/>
        <v>1</v>
      </c>
      <c r="AL56" s="1469" t="b">
        <f t="shared" si="11"/>
        <v>1</v>
      </c>
      <c r="AM56" s="1469" t="str">
        <f t="shared" si="12"/>
        <v/>
      </c>
      <c r="AN56" s="1469" t="b">
        <f t="shared" si="13"/>
        <v>0</v>
      </c>
      <c r="AO56" s="1470" t="b">
        <f>IF(OR(COUNTBLANK(D56:I56)=6,AND(COUNTBLANK(D56:G56)=4,H56=0)),OR(AN57:AN$69),NOT(AN56))</f>
        <v>0</v>
      </c>
      <c r="AP56" s="1469" t="b">
        <f t="shared" si="14"/>
        <v>1</v>
      </c>
      <c r="AQ56" s="1469" t="b">
        <f t="shared" si="62"/>
        <v>1</v>
      </c>
      <c r="AR56" s="1471">
        <f t="shared" si="15"/>
        <v>0</v>
      </c>
      <c r="AS56" s="1471" t="str">
        <f t="shared" si="16"/>
        <v/>
      </c>
      <c r="AT56" s="1472" t="str">
        <f t="shared" si="63"/>
        <v/>
      </c>
      <c r="AU56" s="1473" t="str">
        <f t="shared" si="17"/>
        <v/>
      </c>
      <c r="AV56" s="1474" t="str">
        <f t="shared" si="18"/>
        <v/>
      </c>
      <c r="AW56" s="1475"/>
      <c r="AX56" s="1474" t="str">
        <f t="shared" si="64"/>
        <v/>
      </c>
      <c r="AY56" s="1762"/>
      <c r="AZ56" s="1762"/>
      <c r="BA56" s="1476" t="b">
        <f t="shared" si="19"/>
        <v>0</v>
      </c>
      <c r="BB56" s="1477" t="b">
        <f t="shared" si="20"/>
        <v>0</v>
      </c>
      <c r="BC56" s="1478" t="b">
        <f t="shared" si="21"/>
        <v>0</v>
      </c>
      <c r="BD56" s="1476" t="b">
        <f t="shared" si="22"/>
        <v>0</v>
      </c>
      <c r="BE56" s="1476" t="b">
        <f t="shared" si="23"/>
        <v>1</v>
      </c>
      <c r="BF56" s="1477" t="b">
        <f t="shared" si="24"/>
        <v>0</v>
      </c>
      <c r="BG56" s="1478" t="b">
        <f t="shared" si="25"/>
        <v>0</v>
      </c>
      <c r="BH56" s="1476" t="b">
        <f t="shared" si="26"/>
        <v>0</v>
      </c>
      <c r="BI56" s="1477" t="b">
        <f t="shared" si="65"/>
        <v>0</v>
      </c>
      <c r="BJ56" s="1479" t="b">
        <f t="shared" si="27"/>
        <v>0</v>
      </c>
      <c r="BK56" s="1480" t="b">
        <f t="shared" si="28"/>
        <v>0</v>
      </c>
      <c r="BL56" s="1481" t="str">
        <f t="shared" si="29"/>
        <v/>
      </c>
      <c r="BN56" s="590" t="str">
        <f t="shared" si="30"/>
        <v>no data</v>
      </c>
      <c r="BP56" s="592">
        <v>27</v>
      </c>
      <c r="BQ56" s="592" t="str">
        <f t="shared" si="31"/>
        <v>-</v>
      </c>
      <c r="BU56" s="572"/>
      <c r="BV56" s="175"/>
      <c r="BW56" s="140"/>
      <c r="BX56" s="140"/>
      <c r="BY56" s="1483">
        <f t="shared" si="32"/>
        <v>27</v>
      </c>
      <c r="BZ56" s="1222">
        <f t="shared" si="32"/>
        <v>0</v>
      </c>
      <c r="CA56" s="1222">
        <f t="shared" si="33"/>
        <v>0</v>
      </c>
      <c r="CB56" s="1223" t="str">
        <f t="shared" si="34"/>
        <v/>
      </c>
      <c r="CC56" s="1224" t="str">
        <f>IF(AQ56,IF(ISNUMBER(#REF!),MAX('Adjustment factors'!$S$16,0.2+0.8*#REF!),IF(ISTEXT(J56),VLOOKUP(J56,Afactors,2,FALSE),"")),"")</f>
        <v/>
      </c>
      <c r="CD56" s="1484" t="str">
        <f t="shared" si="35"/>
        <v/>
      </c>
      <c r="CE56" s="140"/>
      <c r="CF56" s="140"/>
      <c r="CG56" s="140"/>
      <c r="CH56" s="140"/>
      <c r="CI56" s="140"/>
      <c r="CJ56" s="140"/>
      <c r="CK56" s="140"/>
      <c r="CL56" s="140"/>
      <c r="CM56" s="140"/>
      <c r="CN56" s="140"/>
      <c r="CO56" s="140"/>
      <c r="CP56" s="140"/>
      <c r="CQ56" s="140"/>
      <c r="CR56" s="140"/>
      <c r="CS56" s="140"/>
      <c r="CU56" s="590" t="str">
        <f t="shared" si="36"/>
        <v>OK</v>
      </c>
      <c r="CV56" s="590" t="str">
        <f t="shared" si="37"/>
        <v>OK</v>
      </c>
      <c r="CW56" s="590" t="str">
        <f t="shared" si="38"/>
        <v>OK</v>
      </c>
      <c r="CX56" s="590" t="str">
        <f t="shared" si="39"/>
        <v>OK</v>
      </c>
      <c r="CY56" s="939" t="str">
        <f t="shared" si="40"/>
        <v>OK</v>
      </c>
      <c r="CZ56" s="590" t="str">
        <f t="shared" si="41"/>
        <v>OK</v>
      </c>
      <c r="DA56" s="590" t="str">
        <f t="shared" si="42"/>
        <v>OK</v>
      </c>
      <c r="DB56" s="590" t="str">
        <f t="shared" si="43"/>
        <v>OK</v>
      </c>
      <c r="DC56" s="590" t="str">
        <f>IF(AND(ISNUMBER(#REF!),J56&lt;&gt;FixedDim),"Select fixed dimming with an illuminance factor","OK")</f>
        <v>OK</v>
      </c>
      <c r="DD56" s="590" t="str">
        <f>IF(AND(NOT(ISNUMBER(#REF!)),J56=FixedDim),"Enter an illuminance factor","OK")</f>
        <v>OK</v>
      </c>
      <c r="DE56" s="590" t="str">
        <f t="shared" si="66"/>
        <v>OK</v>
      </c>
      <c r="DF56" s="590" t="str">
        <f t="shared" si="44"/>
        <v>OK</v>
      </c>
      <c r="DG56" s="590" t="str">
        <f t="shared" si="45"/>
        <v>OK</v>
      </c>
      <c r="DH56" s="590" t="str">
        <f t="shared" si="46"/>
        <v>OK</v>
      </c>
      <c r="DI56" s="939" t="str">
        <f t="shared" si="47"/>
        <v>OK</v>
      </c>
      <c r="DJ56" s="591">
        <f t="shared" si="48"/>
        <v>0</v>
      </c>
      <c r="DK56" s="940" t="str">
        <f t="shared" si="49"/>
        <v>OK</v>
      </c>
    </row>
    <row r="57" spans="1:115" ht="18" hidden="1" x14ac:dyDescent="0.4">
      <c r="A57" s="589"/>
      <c r="B57" s="1485" t="str">
        <f t="shared" si="0"/>
        <v>-</v>
      </c>
      <c r="C57" s="1214">
        <v>28</v>
      </c>
      <c r="D57" s="1215"/>
      <c r="E57" s="1216"/>
      <c r="F57" s="1217"/>
      <c r="G57" s="1218"/>
      <c r="H57" s="1760"/>
      <c r="I57" s="1760"/>
      <c r="J57" s="1460"/>
      <c r="K57" s="1219"/>
      <c r="L57" s="1219"/>
      <c r="M57" s="1220"/>
      <c r="N57" s="1221" t="str">
        <f t="shared" si="1"/>
        <v/>
      </c>
      <c r="O57" s="1221" t="str">
        <f t="shared" si="1"/>
        <v/>
      </c>
      <c r="P57" s="1461" t="str">
        <f t="shared" si="2"/>
        <v/>
      </c>
      <c r="Q57" s="150"/>
      <c r="R57" s="1462" t="str">
        <f t="shared" si="3"/>
        <v/>
      </c>
      <c r="S57" s="1463" t="b">
        <f t="shared" si="4"/>
        <v>0</v>
      </c>
      <c r="T57" s="1464" t="str">
        <f t="shared" si="50"/>
        <v/>
      </c>
      <c r="U57" s="1464" t="str">
        <f t="shared" si="5"/>
        <v/>
      </c>
      <c r="V57" s="1465">
        <f t="shared" si="6"/>
        <v>0</v>
      </c>
      <c r="W57" s="1466">
        <f t="shared" si="51"/>
        <v>0</v>
      </c>
      <c r="X57" s="1466">
        <f t="shared" si="52"/>
        <v>0</v>
      </c>
      <c r="Y57" s="1466">
        <f t="shared" si="7"/>
        <v>0</v>
      </c>
      <c r="Z57" s="1467">
        <f t="shared" si="53"/>
        <v>0</v>
      </c>
      <c r="AA57" s="1465">
        <f t="shared" si="8"/>
        <v>0</v>
      </c>
      <c r="AB57" s="1466">
        <f t="shared" si="54"/>
        <v>0</v>
      </c>
      <c r="AC57" s="1466">
        <f t="shared" si="55"/>
        <v>0</v>
      </c>
      <c r="AD57" s="1466">
        <f t="shared" si="56"/>
        <v>0</v>
      </c>
      <c r="AE57" s="1467">
        <f t="shared" si="57"/>
        <v>0</v>
      </c>
      <c r="AF57" s="1465">
        <f t="shared" si="9"/>
        <v>0</v>
      </c>
      <c r="AG57" s="1466">
        <f t="shared" si="58"/>
        <v>0</v>
      </c>
      <c r="AH57" s="1466">
        <f t="shared" si="59"/>
        <v>0</v>
      </c>
      <c r="AI57" s="1466">
        <f t="shared" si="60"/>
        <v>0</v>
      </c>
      <c r="AJ57" s="1467">
        <f t="shared" si="61"/>
        <v>0</v>
      </c>
      <c r="AK57" s="1468" t="b">
        <f t="shared" si="10"/>
        <v>1</v>
      </c>
      <c r="AL57" s="1469" t="b">
        <f t="shared" si="11"/>
        <v>1</v>
      </c>
      <c r="AM57" s="1469" t="str">
        <f t="shared" si="12"/>
        <v/>
      </c>
      <c r="AN57" s="1469" t="b">
        <f t="shared" si="13"/>
        <v>0</v>
      </c>
      <c r="AO57" s="1470" t="b">
        <f>IF(OR(COUNTBLANK(D57:I57)=6,AND(COUNTBLANK(D57:G57)=4,H57=0)),OR(AN58:AN$69),NOT(AN57))</f>
        <v>0</v>
      </c>
      <c r="AP57" s="1469" t="b">
        <f t="shared" si="14"/>
        <v>1</v>
      </c>
      <c r="AQ57" s="1469" t="b">
        <f t="shared" si="62"/>
        <v>1</v>
      </c>
      <c r="AR57" s="1471">
        <f t="shared" si="15"/>
        <v>0</v>
      </c>
      <c r="AS57" s="1471" t="str">
        <f t="shared" si="16"/>
        <v/>
      </c>
      <c r="AT57" s="1472" t="str">
        <f t="shared" si="63"/>
        <v/>
      </c>
      <c r="AU57" s="1473" t="str">
        <f t="shared" si="17"/>
        <v/>
      </c>
      <c r="AV57" s="1474" t="str">
        <f t="shared" si="18"/>
        <v/>
      </c>
      <c r="AW57" s="1475"/>
      <c r="AX57" s="1474" t="str">
        <f t="shared" si="64"/>
        <v/>
      </c>
      <c r="AY57" s="1762"/>
      <c r="AZ57" s="1762"/>
      <c r="BA57" s="1476" t="b">
        <f t="shared" si="19"/>
        <v>0</v>
      </c>
      <c r="BB57" s="1477" t="b">
        <f t="shared" si="20"/>
        <v>0</v>
      </c>
      <c r="BC57" s="1478" t="b">
        <f t="shared" si="21"/>
        <v>0</v>
      </c>
      <c r="BD57" s="1476" t="b">
        <f t="shared" si="22"/>
        <v>0</v>
      </c>
      <c r="BE57" s="1476" t="b">
        <f t="shared" si="23"/>
        <v>1</v>
      </c>
      <c r="BF57" s="1477" t="b">
        <f t="shared" si="24"/>
        <v>0</v>
      </c>
      <c r="BG57" s="1478" t="b">
        <f t="shared" si="25"/>
        <v>0</v>
      </c>
      <c r="BH57" s="1476" t="b">
        <f t="shared" si="26"/>
        <v>0</v>
      </c>
      <c r="BI57" s="1477" t="b">
        <f t="shared" si="65"/>
        <v>0</v>
      </c>
      <c r="BJ57" s="1479" t="b">
        <f t="shared" si="27"/>
        <v>0</v>
      </c>
      <c r="BK57" s="1480" t="b">
        <f t="shared" si="28"/>
        <v>0</v>
      </c>
      <c r="BL57" s="1481" t="str">
        <f t="shared" si="29"/>
        <v/>
      </c>
      <c r="BN57" s="590" t="str">
        <f t="shared" si="30"/>
        <v>no data</v>
      </c>
      <c r="BP57" s="592">
        <v>28</v>
      </c>
      <c r="BQ57" s="592" t="str">
        <f t="shared" si="31"/>
        <v>-</v>
      </c>
      <c r="BU57" s="572"/>
      <c r="BV57" s="175"/>
      <c r="BW57" s="140"/>
      <c r="BX57" s="140"/>
      <c r="BY57" s="1483">
        <f t="shared" si="32"/>
        <v>28</v>
      </c>
      <c r="BZ57" s="1222">
        <f t="shared" si="32"/>
        <v>0</v>
      </c>
      <c r="CA57" s="1222">
        <f t="shared" si="33"/>
        <v>0</v>
      </c>
      <c r="CB57" s="1223" t="str">
        <f t="shared" si="34"/>
        <v/>
      </c>
      <c r="CC57" s="1224" t="str">
        <f>IF(AQ57,IF(ISNUMBER(#REF!),MAX('Adjustment factors'!$S$16,0.2+0.8*#REF!),IF(ISTEXT(J57),VLOOKUP(J57,Afactors,2,FALSE),"")),"")</f>
        <v/>
      </c>
      <c r="CD57" s="1484" t="str">
        <f t="shared" si="35"/>
        <v/>
      </c>
      <c r="CE57" s="140"/>
      <c r="CF57" s="140"/>
      <c r="CG57" s="140"/>
      <c r="CH57" s="140"/>
      <c r="CI57" s="140"/>
      <c r="CJ57" s="140"/>
      <c r="CK57" s="140"/>
      <c r="CL57" s="140"/>
      <c r="CM57" s="140"/>
      <c r="CN57" s="140"/>
      <c r="CO57" s="140"/>
      <c r="CP57" s="140"/>
      <c r="CQ57" s="140"/>
      <c r="CR57" s="140"/>
      <c r="CS57" s="140"/>
      <c r="CU57" s="590" t="str">
        <f t="shared" si="36"/>
        <v>OK</v>
      </c>
      <c r="CV57" s="590" t="str">
        <f t="shared" si="37"/>
        <v>OK</v>
      </c>
      <c r="CW57" s="590" t="str">
        <f t="shared" si="38"/>
        <v>OK</v>
      </c>
      <c r="CX57" s="590" t="str">
        <f t="shared" si="39"/>
        <v>OK</v>
      </c>
      <c r="CY57" s="939" t="str">
        <f t="shared" si="40"/>
        <v>OK</v>
      </c>
      <c r="CZ57" s="590" t="str">
        <f t="shared" si="41"/>
        <v>OK</v>
      </c>
      <c r="DA57" s="590" t="str">
        <f t="shared" si="42"/>
        <v>OK</v>
      </c>
      <c r="DB57" s="590" t="str">
        <f t="shared" si="43"/>
        <v>OK</v>
      </c>
      <c r="DC57" s="590" t="str">
        <f>IF(AND(ISNUMBER(#REF!),J57&lt;&gt;FixedDim),"Select fixed dimming with an illuminance factor","OK")</f>
        <v>OK</v>
      </c>
      <c r="DD57" s="590" t="str">
        <f>IF(AND(NOT(ISNUMBER(#REF!)),J57=FixedDim),"Enter an illuminance factor","OK")</f>
        <v>OK</v>
      </c>
      <c r="DE57" s="590" t="str">
        <f t="shared" si="66"/>
        <v>OK</v>
      </c>
      <c r="DF57" s="590" t="str">
        <f t="shared" si="44"/>
        <v>OK</v>
      </c>
      <c r="DG57" s="590" t="str">
        <f t="shared" si="45"/>
        <v>OK</v>
      </c>
      <c r="DH57" s="590" t="str">
        <f t="shared" si="46"/>
        <v>OK</v>
      </c>
      <c r="DI57" s="939" t="str">
        <f t="shared" si="47"/>
        <v>OK</v>
      </c>
      <c r="DJ57" s="591">
        <f t="shared" si="48"/>
        <v>0</v>
      </c>
      <c r="DK57" s="940" t="str">
        <f t="shared" si="49"/>
        <v>OK</v>
      </c>
    </row>
    <row r="58" spans="1:115" ht="18" hidden="1" x14ac:dyDescent="0.4">
      <c r="A58" s="589"/>
      <c r="B58" s="1485" t="str">
        <f t="shared" si="0"/>
        <v>-</v>
      </c>
      <c r="C58" s="1214">
        <v>29</v>
      </c>
      <c r="D58" s="1215"/>
      <c r="E58" s="1216"/>
      <c r="F58" s="1217"/>
      <c r="G58" s="1218"/>
      <c r="H58" s="1760"/>
      <c r="I58" s="1760"/>
      <c r="J58" s="1460"/>
      <c r="K58" s="1219"/>
      <c r="L58" s="1219"/>
      <c r="M58" s="1220"/>
      <c r="N58" s="1221" t="str">
        <f t="shared" si="1"/>
        <v/>
      </c>
      <c r="O58" s="1221" t="str">
        <f t="shared" si="1"/>
        <v/>
      </c>
      <c r="P58" s="1461" t="str">
        <f t="shared" si="2"/>
        <v/>
      </c>
      <c r="Q58" s="150"/>
      <c r="R58" s="1462" t="str">
        <f t="shared" si="3"/>
        <v/>
      </c>
      <c r="S58" s="1463" t="b">
        <f t="shared" si="4"/>
        <v>0</v>
      </c>
      <c r="T58" s="1464" t="str">
        <f t="shared" si="50"/>
        <v/>
      </c>
      <c r="U58" s="1464" t="str">
        <f t="shared" si="5"/>
        <v/>
      </c>
      <c r="V58" s="1465">
        <f t="shared" si="6"/>
        <v>0</v>
      </c>
      <c r="W58" s="1466">
        <f t="shared" si="51"/>
        <v>0</v>
      </c>
      <c r="X58" s="1466">
        <f t="shared" si="52"/>
        <v>0</v>
      </c>
      <c r="Y58" s="1466">
        <f t="shared" si="7"/>
        <v>0</v>
      </c>
      <c r="Z58" s="1467">
        <f t="shared" si="53"/>
        <v>0</v>
      </c>
      <c r="AA58" s="1465">
        <f t="shared" si="8"/>
        <v>0</v>
      </c>
      <c r="AB58" s="1466">
        <f t="shared" si="54"/>
        <v>0</v>
      </c>
      <c r="AC58" s="1466">
        <f t="shared" si="55"/>
        <v>0</v>
      </c>
      <c r="AD58" s="1466">
        <f t="shared" si="56"/>
        <v>0</v>
      </c>
      <c r="AE58" s="1467">
        <f t="shared" si="57"/>
        <v>0</v>
      </c>
      <c r="AF58" s="1465">
        <f t="shared" si="9"/>
        <v>0</v>
      </c>
      <c r="AG58" s="1466">
        <f t="shared" si="58"/>
        <v>0</v>
      </c>
      <c r="AH58" s="1466">
        <f t="shared" si="59"/>
        <v>0</v>
      </c>
      <c r="AI58" s="1466">
        <f t="shared" si="60"/>
        <v>0</v>
      </c>
      <c r="AJ58" s="1467">
        <f t="shared" si="61"/>
        <v>0</v>
      </c>
      <c r="AK58" s="1468" t="b">
        <f t="shared" si="10"/>
        <v>1</v>
      </c>
      <c r="AL58" s="1469" t="b">
        <f t="shared" si="11"/>
        <v>1</v>
      </c>
      <c r="AM58" s="1469" t="str">
        <f t="shared" si="12"/>
        <v/>
      </c>
      <c r="AN58" s="1469" t="b">
        <f t="shared" si="13"/>
        <v>0</v>
      </c>
      <c r="AO58" s="1470" t="b">
        <f>IF(OR(COUNTBLANK(D58:I58)=6,AND(COUNTBLANK(D58:G58)=4,H58=0)),OR(AN59:AN$69),NOT(AN58))</f>
        <v>0</v>
      </c>
      <c r="AP58" s="1469" t="b">
        <f t="shared" si="14"/>
        <v>1</v>
      </c>
      <c r="AQ58" s="1469" t="b">
        <f t="shared" si="62"/>
        <v>1</v>
      </c>
      <c r="AR58" s="1471">
        <f t="shared" si="15"/>
        <v>0</v>
      </c>
      <c r="AS58" s="1471" t="str">
        <f t="shared" si="16"/>
        <v/>
      </c>
      <c r="AT58" s="1472" t="str">
        <f t="shared" si="63"/>
        <v/>
      </c>
      <c r="AU58" s="1473" t="str">
        <f t="shared" si="17"/>
        <v/>
      </c>
      <c r="AV58" s="1474" t="str">
        <f t="shared" si="18"/>
        <v/>
      </c>
      <c r="AW58" s="1475"/>
      <c r="AX58" s="1474" t="str">
        <f t="shared" si="64"/>
        <v/>
      </c>
      <c r="AY58" s="1762"/>
      <c r="AZ58" s="1762"/>
      <c r="BA58" s="1476" t="b">
        <f t="shared" si="19"/>
        <v>0</v>
      </c>
      <c r="BB58" s="1477" t="b">
        <f t="shared" si="20"/>
        <v>0</v>
      </c>
      <c r="BC58" s="1478" t="b">
        <f t="shared" si="21"/>
        <v>0</v>
      </c>
      <c r="BD58" s="1476" t="b">
        <f t="shared" si="22"/>
        <v>0</v>
      </c>
      <c r="BE58" s="1476" t="b">
        <f t="shared" si="23"/>
        <v>1</v>
      </c>
      <c r="BF58" s="1477" t="b">
        <f t="shared" si="24"/>
        <v>0</v>
      </c>
      <c r="BG58" s="1478" t="b">
        <f t="shared" si="25"/>
        <v>0</v>
      </c>
      <c r="BH58" s="1476" t="b">
        <f t="shared" si="26"/>
        <v>0</v>
      </c>
      <c r="BI58" s="1477" t="b">
        <f t="shared" si="65"/>
        <v>0</v>
      </c>
      <c r="BJ58" s="1479" t="b">
        <f t="shared" si="27"/>
        <v>0</v>
      </c>
      <c r="BK58" s="1480" t="b">
        <f t="shared" si="28"/>
        <v>0</v>
      </c>
      <c r="BL58" s="1481" t="str">
        <f t="shared" si="29"/>
        <v/>
      </c>
      <c r="BN58" s="590" t="str">
        <f t="shared" si="30"/>
        <v>no data</v>
      </c>
      <c r="BP58" s="592">
        <v>29</v>
      </c>
      <c r="BQ58" s="592" t="str">
        <f t="shared" si="31"/>
        <v>-</v>
      </c>
      <c r="BU58" s="572"/>
      <c r="BV58" s="175"/>
      <c r="BW58" s="140"/>
      <c r="BX58" s="140"/>
      <c r="BY58" s="1483">
        <f t="shared" si="32"/>
        <v>29</v>
      </c>
      <c r="BZ58" s="1222">
        <f t="shared" si="32"/>
        <v>0</v>
      </c>
      <c r="CA58" s="1222">
        <f t="shared" si="33"/>
        <v>0</v>
      </c>
      <c r="CB58" s="1223" t="str">
        <f t="shared" si="34"/>
        <v/>
      </c>
      <c r="CC58" s="1224" t="str">
        <f>IF(AQ58,IF(ISNUMBER(#REF!),MAX('Adjustment factors'!$S$16,0.2+0.8*#REF!),IF(ISTEXT(J58),VLOOKUP(J58,Afactors,2,FALSE),"")),"")</f>
        <v/>
      </c>
      <c r="CD58" s="1484" t="str">
        <f t="shared" si="35"/>
        <v/>
      </c>
      <c r="CE58" s="140"/>
      <c r="CF58" s="140"/>
      <c r="CG58" s="140"/>
      <c r="CH58" s="140"/>
      <c r="CI58" s="140"/>
      <c r="CJ58" s="140"/>
      <c r="CK58" s="140"/>
      <c r="CL58" s="140"/>
      <c r="CM58" s="140"/>
      <c r="CN58" s="140"/>
      <c r="CO58" s="140"/>
      <c r="CP58" s="140"/>
      <c r="CQ58" s="140"/>
      <c r="CR58" s="140"/>
      <c r="CS58" s="140"/>
      <c r="CU58" s="590" t="str">
        <f t="shared" si="36"/>
        <v>OK</v>
      </c>
      <c r="CV58" s="590" t="str">
        <f t="shared" si="37"/>
        <v>OK</v>
      </c>
      <c r="CW58" s="590" t="str">
        <f t="shared" si="38"/>
        <v>OK</v>
      </c>
      <c r="CX58" s="590" t="str">
        <f t="shared" si="39"/>
        <v>OK</v>
      </c>
      <c r="CY58" s="939" t="str">
        <f t="shared" si="40"/>
        <v>OK</v>
      </c>
      <c r="CZ58" s="590" t="str">
        <f t="shared" si="41"/>
        <v>OK</v>
      </c>
      <c r="DA58" s="590" t="str">
        <f t="shared" si="42"/>
        <v>OK</v>
      </c>
      <c r="DB58" s="590" t="str">
        <f t="shared" si="43"/>
        <v>OK</v>
      </c>
      <c r="DC58" s="590" t="str">
        <f>IF(AND(ISNUMBER(#REF!),J58&lt;&gt;FixedDim),"Select fixed dimming with an illuminance factor","OK")</f>
        <v>OK</v>
      </c>
      <c r="DD58" s="590" t="str">
        <f>IF(AND(NOT(ISNUMBER(#REF!)),J58=FixedDim),"Enter an illuminance factor","OK")</f>
        <v>OK</v>
      </c>
      <c r="DE58" s="590" t="str">
        <f t="shared" si="66"/>
        <v>OK</v>
      </c>
      <c r="DF58" s="590" t="str">
        <f t="shared" si="44"/>
        <v>OK</v>
      </c>
      <c r="DG58" s="590" t="str">
        <f t="shared" si="45"/>
        <v>OK</v>
      </c>
      <c r="DH58" s="590" t="str">
        <f t="shared" si="46"/>
        <v>OK</v>
      </c>
      <c r="DI58" s="939" t="str">
        <f t="shared" si="47"/>
        <v>OK</v>
      </c>
      <c r="DJ58" s="591">
        <f t="shared" si="48"/>
        <v>0</v>
      </c>
      <c r="DK58" s="940" t="str">
        <f t="shared" si="49"/>
        <v>OK</v>
      </c>
    </row>
    <row r="59" spans="1:115" ht="18" hidden="1" x14ac:dyDescent="0.4">
      <c r="A59" s="589"/>
      <c r="B59" s="1485" t="str">
        <f t="shared" si="0"/>
        <v>-</v>
      </c>
      <c r="C59" s="1214">
        <v>30</v>
      </c>
      <c r="D59" s="1215"/>
      <c r="E59" s="1216"/>
      <c r="F59" s="1217"/>
      <c r="G59" s="1218"/>
      <c r="H59" s="1760"/>
      <c r="I59" s="1760"/>
      <c r="J59" s="1460"/>
      <c r="K59" s="1219"/>
      <c r="L59" s="1219"/>
      <c r="M59" s="1220"/>
      <c r="N59" s="1221" t="str">
        <f t="shared" si="1"/>
        <v/>
      </c>
      <c r="O59" s="1221" t="str">
        <f t="shared" si="1"/>
        <v/>
      </c>
      <c r="P59" s="1461" t="str">
        <f t="shared" si="2"/>
        <v/>
      </c>
      <c r="Q59" s="150"/>
      <c r="R59" s="1462" t="str">
        <f t="shared" si="3"/>
        <v/>
      </c>
      <c r="S59" s="1463" t="b">
        <f t="shared" si="4"/>
        <v>0</v>
      </c>
      <c r="T59" s="1464" t="str">
        <f t="shared" si="50"/>
        <v/>
      </c>
      <c r="U59" s="1464" t="str">
        <f t="shared" si="5"/>
        <v/>
      </c>
      <c r="V59" s="1465">
        <f t="shared" si="6"/>
        <v>0</v>
      </c>
      <c r="W59" s="1466">
        <f t="shared" si="51"/>
        <v>0</v>
      </c>
      <c r="X59" s="1466">
        <f t="shared" si="52"/>
        <v>0</v>
      </c>
      <c r="Y59" s="1466">
        <f t="shared" si="7"/>
        <v>0</v>
      </c>
      <c r="Z59" s="1467">
        <f t="shared" si="53"/>
        <v>0</v>
      </c>
      <c r="AA59" s="1465">
        <f t="shared" si="8"/>
        <v>0</v>
      </c>
      <c r="AB59" s="1466">
        <f t="shared" si="54"/>
        <v>0</v>
      </c>
      <c r="AC59" s="1466">
        <f t="shared" si="55"/>
        <v>0</v>
      </c>
      <c r="AD59" s="1466">
        <f t="shared" si="56"/>
        <v>0</v>
      </c>
      <c r="AE59" s="1467">
        <f t="shared" si="57"/>
        <v>0</v>
      </c>
      <c r="AF59" s="1465">
        <f t="shared" si="9"/>
        <v>0</v>
      </c>
      <c r="AG59" s="1466">
        <f t="shared" si="58"/>
        <v>0</v>
      </c>
      <c r="AH59" s="1466">
        <f t="shared" si="59"/>
        <v>0</v>
      </c>
      <c r="AI59" s="1466">
        <f t="shared" si="60"/>
        <v>0</v>
      </c>
      <c r="AJ59" s="1467">
        <f t="shared" si="61"/>
        <v>0</v>
      </c>
      <c r="AK59" s="1468" t="b">
        <f t="shared" si="10"/>
        <v>1</v>
      </c>
      <c r="AL59" s="1469" t="b">
        <f t="shared" si="11"/>
        <v>1</v>
      </c>
      <c r="AM59" s="1469" t="str">
        <f t="shared" si="12"/>
        <v/>
      </c>
      <c r="AN59" s="1469" t="b">
        <f t="shared" si="13"/>
        <v>0</v>
      </c>
      <c r="AO59" s="1470" t="b">
        <f>IF(OR(COUNTBLANK(D59:I59)=6,AND(COUNTBLANK(D59:G59)=4,H59=0)),OR(AN60:AN$69),NOT(AN59))</f>
        <v>0</v>
      </c>
      <c r="AP59" s="1469" t="b">
        <f t="shared" si="14"/>
        <v>1</v>
      </c>
      <c r="AQ59" s="1469" t="b">
        <f t="shared" si="62"/>
        <v>1</v>
      </c>
      <c r="AR59" s="1471">
        <f t="shared" si="15"/>
        <v>0</v>
      </c>
      <c r="AS59" s="1471" t="str">
        <f t="shared" si="16"/>
        <v/>
      </c>
      <c r="AT59" s="1472" t="str">
        <f t="shared" si="63"/>
        <v/>
      </c>
      <c r="AU59" s="1473" t="str">
        <f t="shared" si="17"/>
        <v/>
      </c>
      <c r="AV59" s="1474" t="str">
        <f t="shared" si="18"/>
        <v/>
      </c>
      <c r="AW59" s="1475"/>
      <c r="AX59" s="1474" t="str">
        <f t="shared" si="64"/>
        <v/>
      </c>
      <c r="AY59" s="1762"/>
      <c r="AZ59" s="1762"/>
      <c r="BA59" s="1476" t="b">
        <f t="shared" si="19"/>
        <v>0</v>
      </c>
      <c r="BB59" s="1477" t="b">
        <f t="shared" si="20"/>
        <v>0</v>
      </c>
      <c r="BC59" s="1478" t="b">
        <f t="shared" si="21"/>
        <v>0</v>
      </c>
      <c r="BD59" s="1476" t="b">
        <f t="shared" si="22"/>
        <v>0</v>
      </c>
      <c r="BE59" s="1476" t="b">
        <f t="shared" si="23"/>
        <v>1</v>
      </c>
      <c r="BF59" s="1477" t="b">
        <f t="shared" si="24"/>
        <v>0</v>
      </c>
      <c r="BG59" s="1478" t="b">
        <f t="shared" si="25"/>
        <v>0</v>
      </c>
      <c r="BH59" s="1476" t="b">
        <f t="shared" si="26"/>
        <v>0</v>
      </c>
      <c r="BI59" s="1477" t="b">
        <f t="shared" si="65"/>
        <v>0</v>
      </c>
      <c r="BJ59" s="1479" t="b">
        <f t="shared" si="27"/>
        <v>0</v>
      </c>
      <c r="BK59" s="1480" t="b">
        <f t="shared" si="28"/>
        <v>0</v>
      </c>
      <c r="BL59" s="1481" t="str">
        <f t="shared" si="29"/>
        <v/>
      </c>
      <c r="BN59" s="590" t="str">
        <f t="shared" si="30"/>
        <v>no data</v>
      </c>
      <c r="BP59" s="592">
        <v>30</v>
      </c>
      <c r="BQ59" s="592" t="str">
        <f t="shared" si="31"/>
        <v>-</v>
      </c>
      <c r="BU59" s="572"/>
      <c r="BV59" s="175"/>
      <c r="BW59" s="140"/>
      <c r="BX59" s="140"/>
      <c r="BY59" s="1483">
        <f t="shared" si="32"/>
        <v>30</v>
      </c>
      <c r="BZ59" s="1222">
        <f t="shared" si="32"/>
        <v>0</v>
      </c>
      <c r="CA59" s="1222">
        <f t="shared" si="33"/>
        <v>0</v>
      </c>
      <c r="CB59" s="1223" t="str">
        <f t="shared" si="34"/>
        <v/>
      </c>
      <c r="CC59" s="1224" t="str">
        <f>IF(AQ59,IF(ISNUMBER(#REF!),MAX('Adjustment factors'!$S$16,0.2+0.8*#REF!),IF(ISTEXT(J59),VLOOKUP(J59,Afactors,2,FALSE),"")),"")</f>
        <v/>
      </c>
      <c r="CD59" s="1484" t="str">
        <f t="shared" si="35"/>
        <v/>
      </c>
      <c r="CE59" s="140"/>
      <c r="CF59" s="140"/>
      <c r="CG59" s="140"/>
      <c r="CH59" s="140"/>
      <c r="CI59" s="140"/>
      <c r="CJ59" s="140"/>
      <c r="CK59" s="140"/>
      <c r="CL59" s="140"/>
      <c r="CM59" s="140"/>
      <c r="CN59" s="140"/>
      <c r="CO59" s="140"/>
      <c r="CP59" s="140"/>
      <c r="CQ59" s="140"/>
      <c r="CR59" s="140"/>
      <c r="CS59" s="140"/>
      <c r="CU59" s="590" t="str">
        <f t="shared" si="36"/>
        <v>OK</v>
      </c>
      <c r="CV59" s="590" t="str">
        <f t="shared" si="37"/>
        <v>OK</v>
      </c>
      <c r="CW59" s="590" t="str">
        <f t="shared" si="38"/>
        <v>OK</v>
      </c>
      <c r="CX59" s="590" t="str">
        <f t="shared" si="39"/>
        <v>OK</v>
      </c>
      <c r="CY59" s="939" t="str">
        <f t="shared" si="40"/>
        <v>OK</v>
      </c>
      <c r="CZ59" s="590" t="str">
        <f t="shared" si="41"/>
        <v>OK</v>
      </c>
      <c r="DA59" s="590" t="str">
        <f t="shared" si="42"/>
        <v>OK</v>
      </c>
      <c r="DB59" s="590" t="str">
        <f t="shared" si="43"/>
        <v>OK</v>
      </c>
      <c r="DC59" s="590" t="str">
        <f>IF(AND(ISNUMBER(#REF!),J59&lt;&gt;FixedDim),"Select fixed dimming with an illuminance factor","OK")</f>
        <v>OK</v>
      </c>
      <c r="DD59" s="590" t="str">
        <f>IF(AND(NOT(ISNUMBER(#REF!)),J59=FixedDim),"Enter an illuminance factor","OK")</f>
        <v>OK</v>
      </c>
      <c r="DE59" s="590" t="str">
        <f t="shared" si="66"/>
        <v>OK</v>
      </c>
      <c r="DF59" s="590" t="str">
        <f t="shared" si="44"/>
        <v>OK</v>
      </c>
      <c r="DG59" s="590" t="str">
        <f t="shared" si="45"/>
        <v>OK</v>
      </c>
      <c r="DH59" s="590" t="str">
        <f t="shared" si="46"/>
        <v>OK</v>
      </c>
      <c r="DI59" s="939" t="str">
        <f t="shared" si="47"/>
        <v>OK</v>
      </c>
      <c r="DJ59" s="591">
        <f t="shared" si="48"/>
        <v>0</v>
      </c>
      <c r="DK59" s="940" t="str">
        <f t="shared" si="49"/>
        <v>OK</v>
      </c>
    </row>
    <row r="60" spans="1:115" ht="18" hidden="1" x14ac:dyDescent="0.4">
      <c r="A60" s="589"/>
      <c r="B60" s="1485" t="str">
        <f t="shared" si="0"/>
        <v>-</v>
      </c>
      <c r="C60" s="1214">
        <v>31</v>
      </c>
      <c r="D60" s="1215"/>
      <c r="E60" s="1216"/>
      <c r="F60" s="1217"/>
      <c r="G60" s="1218"/>
      <c r="H60" s="1760"/>
      <c r="I60" s="1760"/>
      <c r="J60" s="1460"/>
      <c r="K60" s="1219"/>
      <c r="L60" s="1219"/>
      <c r="M60" s="1220"/>
      <c r="N60" s="1221" t="str">
        <f t="shared" si="1"/>
        <v/>
      </c>
      <c r="O60" s="1221" t="str">
        <f t="shared" si="1"/>
        <v/>
      </c>
      <c r="P60" s="1461" t="str">
        <f t="shared" si="2"/>
        <v/>
      </c>
      <c r="Q60" s="150"/>
      <c r="R60" s="1462" t="str">
        <f t="shared" si="3"/>
        <v/>
      </c>
      <c r="S60" s="1463" t="b">
        <f t="shared" si="4"/>
        <v>0</v>
      </c>
      <c r="T60" s="1464" t="str">
        <f t="shared" si="50"/>
        <v/>
      </c>
      <c r="U60" s="1464" t="str">
        <f t="shared" si="5"/>
        <v/>
      </c>
      <c r="V60" s="1465">
        <f t="shared" si="6"/>
        <v>0</v>
      </c>
      <c r="W60" s="1466">
        <f t="shared" si="51"/>
        <v>0</v>
      </c>
      <c r="X60" s="1466">
        <f t="shared" si="52"/>
        <v>0</v>
      </c>
      <c r="Y60" s="1466">
        <f t="shared" si="7"/>
        <v>0</v>
      </c>
      <c r="Z60" s="1467">
        <f t="shared" si="53"/>
        <v>0</v>
      </c>
      <c r="AA60" s="1465">
        <f t="shared" si="8"/>
        <v>0</v>
      </c>
      <c r="AB60" s="1466">
        <f t="shared" si="54"/>
        <v>0</v>
      </c>
      <c r="AC60" s="1466">
        <f t="shared" si="55"/>
        <v>0</v>
      </c>
      <c r="AD60" s="1466">
        <f t="shared" si="56"/>
        <v>0</v>
      </c>
      <c r="AE60" s="1467">
        <f t="shared" si="57"/>
        <v>0</v>
      </c>
      <c r="AF60" s="1465">
        <f t="shared" si="9"/>
        <v>0</v>
      </c>
      <c r="AG60" s="1466">
        <f t="shared" si="58"/>
        <v>0</v>
      </c>
      <c r="AH60" s="1466">
        <f t="shared" si="59"/>
        <v>0</v>
      </c>
      <c r="AI60" s="1466">
        <f t="shared" si="60"/>
        <v>0</v>
      </c>
      <c r="AJ60" s="1467">
        <f t="shared" si="61"/>
        <v>0</v>
      </c>
      <c r="AK60" s="1468" t="b">
        <f t="shared" si="10"/>
        <v>1</v>
      </c>
      <c r="AL60" s="1469" t="b">
        <f t="shared" si="11"/>
        <v>1</v>
      </c>
      <c r="AM60" s="1469" t="str">
        <f t="shared" si="12"/>
        <v/>
      </c>
      <c r="AN60" s="1469" t="b">
        <f t="shared" si="13"/>
        <v>0</v>
      </c>
      <c r="AO60" s="1470" t="b">
        <f>IF(OR(COUNTBLANK(D60:I60)=6,AND(COUNTBLANK(D60:G60)=4,H60=0)),OR(AN61:AN$69),NOT(AN60))</f>
        <v>0</v>
      </c>
      <c r="AP60" s="1469" t="b">
        <f t="shared" si="14"/>
        <v>1</v>
      </c>
      <c r="AQ60" s="1469" t="b">
        <f t="shared" si="62"/>
        <v>1</v>
      </c>
      <c r="AR60" s="1471">
        <f t="shared" si="15"/>
        <v>0</v>
      </c>
      <c r="AS60" s="1471" t="str">
        <f t="shared" si="16"/>
        <v/>
      </c>
      <c r="AT60" s="1472" t="str">
        <f t="shared" si="63"/>
        <v/>
      </c>
      <c r="AU60" s="1473" t="str">
        <f t="shared" si="17"/>
        <v/>
      </c>
      <c r="AV60" s="1474" t="str">
        <f t="shared" si="18"/>
        <v/>
      </c>
      <c r="AW60" s="1475"/>
      <c r="AX60" s="1474" t="str">
        <f t="shared" si="64"/>
        <v/>
      </c>
      <c r="AY60" s="1762"/>
      <c r="AZ60" s="1762"/>
      <c r="BA60" s="1476" t="b">
        <f t="shared" si="19"/>
        <v>0</v>
      </c>
      <c r="BB60" s="1477" t="b">
        <f t="shared" si="20"/>
        <v>0</v>
      </c>
      <c r="BC60" s="1478" t="b">
        <f t="shared" si="21"/>
        <v>0</v>
      </c>
      <c r="BD60" s="1476" t="b">
        <f t="shared" si="22"/>
        <v>0</v>
      </c>
      <c r="BE60" s="1476" t="b">
        <f t="shared" si="23"/>
        <v>1</v>
      </c>
      <c r="BF60" s="1477" t="b">
        <f t="shared" si="24"/>
        <v>0</v>
      </c>
      <c r="BG60" s="1478" t="b">
        <f t="shared" si="25"/>
        <v>0</v>
      </c>
      <c r="BH60" s="1476" t="b">
        <f t="shared" si="26"/>
        <v>0</v>
      </c>
      <c r="BI60" s="1477" t="b">
        <f t="shared" si="65"/>
        <v>0</v>
      </c>
      <c r="BJ60" s="1479" t="b">
        <f t="shared" si="27"/>
        <v>0</v>
      </c>
      <c r="BK60" s="1480" t="b">
        <f t="shared" si="28"/>
        <v>0</v>
      </c>
      <c r="BL60" s="1481" t="str">
        <f t="shared" si="29"/>
        <v/>
      </c>
      <c r="BN60" s="590" t="str">
        <f t="shared" si="30"/>
        <v>no data</v>
      </c>
      <c r="BP60" s="592">
        <v>31</v>
      </c>
      <c r="BQ60" s="592" t="str">
        <f t="shared" si="31"/>
        <v>-</v>
      </c>
      <c r="BU60" s="572"/>
      <c r="BV60" s="175"/>
      <c r="BW60" s="140"/>
      <c r="BX60" s="140"/>
      <c r="BY60" s="1483">
        <f t="shared" si="32"/>
        <v>31</v>
      </c>
      <c r="BZ60" s="1222">
        <f t="shared" si="32"/>
        <v>0</v>
      </c>
      <c r="CA60" s="1222">
        <f t="shared" si="33"/>
        <v>0</v>
      </c>
      <c r="CB60" s="1223" t="str">
        <f t="shared" si="34"/>
        <v/>
      </c>
      <c r="CC60" s="1224" t="str">
        <f>IF(AQ60,IF(ISNUMBER(#REF!),MAX('Adjustment factors'!$S$16,0.2+0.8*#REF!),IF(ISTEXT(J60),VLOOKUP(J60,Afactors,2,FALSE),"")),"")</f>
        <v/>
      </c>
      <c r="CD60" s="1484" t="str">
        <f t="shared" si="35"/>
        <v/>
      </c>
      <c r="CE60" s="140"/>
      <c r="CF60" s="140"/>
      <c r="CG60" s="140"/>
      <c r="CH60" s="140"/>
      <c r="CI60" s="140"/>
      <c r="CJ60" s="140"/>
      <c r="CK60" s="140"/>
      <c r="CL60" s="140"/>
      <c r="CM60" s="140"/>
      <c r="CN60" s="140"/>
      <c r="CO60" s="140"/>
      <c r="CP60" s="140"/>
      <c r="CQ60" s="140"/>
      <c r="CR60" s="140"/>
      <c r="CS60" s="140"/>
      <c r="CU60" s="590" t="str">
        <f t="shared" si="36"/>
        <v>OK</v>
      </c>
      <c r="CV60" s="590" t="str">
        <f t="shared" si="37"/>
        <v>OK</v>
      </c>
      <c r="CW60" s="590" t="str">
        <f t="shared" si="38"/>
        <v>OK</v>
      </c>
      <c r="CX60" s="590" t="str">
        <f t="shared" si="39"/>
        <v>OK</v>
      </c>
      <c r="CY60" s="939" t="str">
        <f t="shared" si="40"/>
        <v>OK</v>
      </c>
      <c r="CZ60" s="590" t="str">
        <f t="shared" si="41"/>
        <v>OK</v>
      </c>
      <c r="DA60" s="590" t="str">
        <f t="shared" si="42"/>
        <v>OK</v>
      </c>
      <c r="DB60" s="590" t="str">
        <f t="shared" si="43"/>
        <v>OK</v>
      </c>
      <c r="DC60" s="590" t="str">
        <f>IF(AND(ISNUMBER(#REF!),J60&lt;&gt;FixedDim),"Select fixed dimming with an illuminance factor","OK")</f>
        <v>OK</v>
      </c>
      <c r="DD60" s="590" t="str">
        <f>IF(AND(NOT(ISNUMBER(#REF!)),J60=FixedDim),"Enter an illuminance factor","OK")</f>
        <v>OK</v>
      </c>
      <c r="DE60" s="590" t="str">
        <f t="shared" si="66"/>
        <v>OK</v>
      </c>
      <c r="DF60" s="590" t="str">
        <f t="shared" si="44"/>
        <v>OK</v>
      </c>
      <c r="DG60" s="590" t="str">
        <f t="shared" si="45"/>
        <v>OK</v>
      </c>
      <c r="DH60" s="590" t="str">
        <f t="shared" si="46"/>
        <v>OK</v>
      </c>
      <c r="DI60" s="939" t="str">
        <f t="shared" si="47"/>
        <v>OK</v>
      </c>
      <c r="DJ60" s="591">
        <f t="shared" si="48"/>
        <v>0</v>
      </c>
      <c r="DK60" s="940" t="str">
        <f t="shared" si="49"/>
        <v>OK</v>
      </c>
    </row>
    <row r="61" spans="1:115" ht="18" hidden="1" x14ac:dyDescent="0.4">
      <c r="A61" s="589"/>
      <c r="B61" s="1485" t="str">
        <f t="shared" si="0"/>
        <v>-</v>
      </c>
      <c r="C61" s="1214">
        <v>32</v>
      </c>
      <c r="D61" s="1215"/>
      <c r="E61" s="1216"/>
      <c r="F61" s="1217"/>
      <c r="G61" s="1218"/>
      <c r="H61" s="1760"/>
      <c r="I61" s="1760"/>
      <c r="J61" s="1460"/>
      <c r="K61" s="1219"/>
      <c r="L61" s="1219"/>
      <c r="M61" s="1220"/>
      <c r="N61" s="1221" t="str">
        <f t="shared" si="1"/>
        <v/>
      </c>
      <c r="O61" s="1221" t="str">
        <f t="shared" si="1"/>
        <v/>
      </c>
      <c r="P61" s="1461" t="str">
        <f t="shared" si="2"/>
        <v/>
      </c>
      <c r="Q61" s="150"/>
      <c r="R61" s="1462" t="str">
        <f t="shared" si="3"/>
        <v/>
      </c>
      <c r="S61" s="1463" t="b">
        <f t="shared" si="4"/>
        <v>0</v>
      </c>
      <c r="T61" s="1464" t="str">
        <f t="shared" si="50"/>
        <v/>
      </c>
      <c r="U61" s="1464" t="str">
        <f t="shared" si="5"/>
        <v/>
      </c>
      <c r="V61" s="1465">
        <f t="shared" si="6"/>
        <v>0</v>
      </c>
      <c r="W61" s="1466">
        <f t="shared" si="51"/>
        <v>0</v>
      </c>
      <c r="X61" s="1466">
        <f t="shared" si="52"/>
        <v>0</v>
      </c>
      <c r="Y61" s="1466">
        <f t="shared" si="7"/>
        <v>0</v>
      </c>
      <c r="Z61" s="1467">
        <f t="shared" si="53"/>
        <v>0</v>
      </c>
      <c r="AA61" s="1465">
        <f t="shared" si="8"/>
        <v>0</v>
      </c>
      <c r="AB61" s="1466">
        <f t="shared" si="54"/>
        <v>0</v>
      </c>
      <c r="AC61" s="1466">
        <f t="shared" si="55"/>
        <v>0</v>
      </c>
      <c r="AD61" s="1466">
        <f t="shared" si="56"/>
        <v>0</v>
      </c>
      <c r="AE61" s="1467">
        <f t="shared" si="57"/>
        <v>0</v>
      </c>
      <c r="AF61" s="1465">
        <f t="shared" si="9"/>
        <v>0</v>
      </c>
      <c r="AG61" s="1466">
        <f t="shared" si="58"/>
        <v>0</v>
      </c>
      <c r="AH61" s="1466">
        <f t="shared" si="59"/>
        <v>0</v>
      </c>
      <c r="AI61" s="1466">
        <f t="shared" si="60"/>
        <v>0</v>
      </c>
      <c r="AJ61" s="1467">
        <f t="shared" si="61"/>
        <v>0</v>
      </c>
      <c r="AK61" s="1468" t="b">
        <f t="shared" si="10"/>
        <v>1</v>
      </c>
      <c r="AL61" s="1469" t="b">
        <f t="shared" si="11"/>
        <v>1</v>
      </c>
      <c r="AM61" s="1469" t="str">
        <f t="shared" si="12"/>
        <v/>
      </c>
      <c r="AN61" s="1469" t="b">
        <f t="shared" si="13"/>
        <v>0</v>
      </c>
      <c r="AO61" s="1470" t="b">
        <f>IF(OR(COUNTBLANK(D61:I61)=6,AND(COUNTBLANK(D61:G61)=4,H61=0)),OR(AN62:AN$69),NOT(AN61))</f>
        <v>0</v>
      </c>
      <c r="AP61" s="1469" t="b">
        <f t="shared" si="14"/>
        <v>1</v>
      </c>
      <c r="AQ61" s="1469" t="b">
        <f t="shared" si="62"/>
        <v>1</v>
      </c>
      <c r="AR61" s="1471">
        <f t="shared" si="15"/>
        <v>0</v>
      </c>
      <c r="AS61" s="1471" t="str">
        <f t="shared" si="16"/>
        <v/>
      </c>
      <c r="AT61" s="1472" t="str">
        <f t="shared" si="63"/>
        <v/>
      </c>
      <c r="AU61" s="1473" t="str">
        <f t="shared" si="17"/>
        <v/>
      </c>
      <c r="AV61" s="1474" t="str">
        <f t="shared" si="18"/>
        <v/>
      </c>
      <c r="AW61" s="1475"/>
      <c r="AX61" s="1474" t="str">
        <f t="shared" si="64"/>
        <v/>
      </c>
      <c r="AY61" s="1762"/>
      <c r="AZ61" s="1762"/>
      <c r="BA61" s="1476" t="b">
        <f t="shared" si="19"/>
        <v>0</v>
      </c>
      <c r="BB61" s="1477" t="b">
        <f t="shared" si="20"/>
        <v>0</v>
      </c>
      <c r="BC61" s="1478" t="b">
        <f t="shared" si="21"/>
        <v>0</v>
      </c>
      <c r="BD61" s="1476" t="b">
        <f t="shared" si="22"/>
        <v>0</v>
      </c>
      <c r="BE61" s="1476" t="b">
        <f t="shared" si="23"/>
        <v>1</v>
      </c>
      <c r="BF61" s="1477" t="b">
        <f t="shared" si="24"/>
        <v>0</v>
      </c>
      <c r="BG61" s="1478" t="b">
        <f t="shared" si="25"/>
        <v>0</v>
      </c>
      <c r="BH61" s="1476" t="b">
        <f t="shared" si="26"/>
        <v>0</v>
      </c>
      <c r="BI61" s="1477" t="b">
        <f t="shared" si="65"/>
        <v>0</v>
      </c>
      <c r="BJ61" s="1479" t="b">
        <f t="shared" si="27"/>
        <v>0</v>
      </c>
      <c r="BK61" s="1480" t="b">
        <f t="shared" si="28"/>
        <v>0</v>
      </c>
      <c r="BL61" s="1481" t="str">
        <f t="shared" si="29"/>
        <v/>
      </c>
      <c r="BN61" s="590" t="str">
        <f t="shared" si="30"/>
        <v>no data</v>
      </c>
      <c r="BP61" s="592">
        <v>32</v>
      </c>
      <c r="BQ61" s="592" t="str">
        <f t="shared" si="31"/>
        <v>-</v>
      </c>
      <c r="BU61" s="572"/>
      <c r="BV61" s="175"/>
      <c r="BW61" s="140"/>
      <c r="BX61" s="140"/>
      <c r="BY61" s="1483">
        <f t="shared" si="32"/>
        <v>32</v>
      </c>
      <c r="BZ61" s="1222">
        <f t="shared" si="32"/>
        <v>0</v>
      </c>
      <c r="CA61" s="1222">
        <f t="shared" si="33"/>
        <v>0</v>
      </c>
      <c r="CB61" s="1223" t="str">
        <f t="shared" si="34"/>
        <v/>
      </c>
      <c r="CC61" s="1224" t="str">
        <f>IF(AQ61,IF(ISNUMBER(#REF!),MAX('Adjustment factors'!$S$16,0.2+0.8*#REF!),IF(ISTEXT(J61),VLOOKUP(J61,Afactors,2,FALSE),"")),"")</f>
        <v/>
      </c>
      <c r="CD61" s="1484" t="str">
        <f t="shared" si="35"/>
        <v/>
      </c>
      <c r="CE61" s="140"/>
      <c r="CF61" s="140"/>
      <c r="CG61" s="140"/>
      <c r="CH61" s="140"/>
      <c r="CI61" s="140"/>
      <c r="CJ61" s="140"/>
      <c r="CK61" s="140"/>
      <c r="CL61" s="140"/>
      <c r="CM61" s="140"/>
      <c r="CN61" s="140"/>
      <c r="CO61" s="140"/>
      <c r="CP61" s="140"/>
      <c r="CQ61" s="140"/>
      <c r="CR61" s="140"/>
      <c r="CS61" s="140"/>
      <c r="CU61" s="590" t="str">
        <f t="shared" si="36"/>
        <v>OK</v>
      </c>
      <c r="CV61" s="590" t="str">
        <f t="shared" si="37"/>
        <v>OK</v>
      </c>
      <c r="CW61" s="590" t="str">
        <f t="shared" si="38"/>
        <v>OK</v>
      </c>
      <c r="CX61" s="590" t="str">
        <f t="shared" si="39"/>
        <v>OK</v>
      </c>
      <c r="CY61" s="939" t="str">
        <f t="shared" si="40"/>
        <v>OK</v>
      </c>
      <c r="CZ61" s="590" t="str">
        <f t="shared" si="41"/>
        <v>OK</v>
      </c>
      <c r="DA61" s="590" t="str">
        <f t="shared" si="42"/>
        <v>OK</v>
      </c>
      <c r="DB61" s="590" t="str">
        <f t="shared" si="43"/>
        <v>OK</v>
      </c>
      <c r="DC61" s="590" t="str">
        <f>IF(AND(ISNUMBER(#REF!),J61&lt;&gt;FixedDim),"Select fixed dimming with an illuminance factor","OK")</f>
        <v>OK</v>
      </c>
      <c r="DD61" s="590" t="str">
        <f>IF(AND(NOT(ISNUMBER(#REF!)),J61=FixedDim),"Enter an illuminance factor","OK")</f>
        <v>OK</v>
      </c>
      <c r="DE61" s="590" t="str">
        <f t="shared" si="66"/>
        <v>OK</v>
      </c>
      <c r="DF61" s="590" t="str">
        <f t="shared" si="44"/>
        <v>OK</v>
      </c>
      <c r="DG61" s="590" t="str">
        <f t="shared" si="45"/>
        <v>OK</v>
      </c>
      <c r="DH61" s="590" t="str">
        <f t="shared" si="46"/>
        <v>OK</v>
      </c>
      <c r="DI61" s="939" t="str">
        <f t="shared" si="47"/>
        <v>OK</v>
      </c>
      <c r="DJ61" s="591">
        <f t="shared" si="48"/>
        <v>0</v>
      </c>
      <c r="DK61" s="940" t="str">
        <f t="shared" si="49"/>
        <v>OK</v>
      </c>
    </row>
    <row r="62" spans="1:115" ht="18" hidden="1" x14ac:dyDescent="0.4">
      <c r="A62" s="589"/>
      <c r="B62" s="1485" t="str">
        <f t="shared" si="0"/>
        <v>-</v>
      </c>
      <c r="C62" s="1214">
        <v>33</v>
      </c>
      <c r="D62" s="1215"/>
      <c r="E62" s="1216"/>
      <c r="F62" s="1217"/>
      <c r="G62" s="1218"/>
      <c r="H62" s="1760"/>
      <c r="I62" s="1760"/>
      <c r="J62" s="1460"/>
      <c r="K62" s="1219"/>
      <c r="L62" s="1219"/>
      <c r="M62" s="1220"/>
      <c r="N62" s="1221" t="str">
        <f t="shared" si="1"/>
        <v/>
      </c>
      <c r="O62" s="1221" t="str">
        <f t="shared" si="1"/>
        <v/>
      </c>
      <c r="P62" s="1461" t="str">
        <f t="shared" si="2"/>
        <v/>
      </c>
      <c r="Q62" s="150"/>
      <c r="R62" s="1462" t="str">
        <f t="shared" si="3"/>
        <v/>
      </c>
      <c r="S62" s="1463" t="b">
        <f t="shared" si="4"/>
        <v>0</v>
      </c>
      <c r="T62" s="1464" t="str">
        <f t="shared" si="50"/>
        <v/>
      </c>
      <c r="U62" s="1464" t="str">
        <f t="shared" si="5"/>
        <v/>
      </c>
      <c r="V62" s="1465">
        <f t="shared" si="6"/>
        <v>0</v>
      </c>
      <c r="W62" s="1466">
        <f t="shared" si="51"/>
        <v>0</v>
      </c>
      <c r="X62" s="1466">
        <f t="shared" si="52"/>
        <v>0</v>
      </c>
      <c r="Y62" s="1466">
        <f t="shared" si="7"/>
        <v>0</v>
      </c>
      <c r="Z62" s="1467">
        <f t="shared" si="53"/>
        <v>0</v>
      </c>
      <c r="AA62" s="1465">
        <f t="shared" si="8"/>
        <v>0</v>
      </c>
      <c r="AB62" s="1466">
        <f t="shared" si="54"/>
        <v>0</v>
      </c>
      <c r="AC62" s="1466">
        <f t="shared" si="55"/>
        <v>0</v>
      </c>
      <c r="AD62" s="1466">
        <f t="shared" si="56"/>
        <v>0</v>
      </c>
      <c r="AE62" s="1467">
        <f t="shared" si="57"/>
        <v>0</v>
      </c>
      <c r="AF62" s="1465">
        <f t="shared" si="9"/>
        <v>0</v>
      </c>
      <c r="AG62" s="1466">
        <f t="shared" si="58"/>
        <v>0</v>
      </c>
      <c r="AH62" s="1466">
        <f t="shared" si="59"/>
        <v>0</v>
      </c>
      <c r="AI62" s="1466">
        <f t="shared" si="60"/>
        <v>0</v>
      </c>
      <c r="AJ62" s="1467">
        <f t="shared" si="61"/>
        <v>0</v>
      </c>
      <c r="AK62" s="1468" t="b">
        <f t="shared" si="10"/>
        <v>1</v>
      </c>
      <c r="AL62" s="1469" t="b">
        <f t="shared" si="11"/>
        <v>1</v>
      </c>
      <c r="AM62" s="1469" t="str">
        <f t="shared" si="12"/>
        <v/>
      </c>
      <c r="AN62" s="1469" t="b">
        <f t="shared" si="13"/>
        <v>0</v>
      </c>
      <c r="AO62" s="1470" t="b">
        <f>IF(OR(COUNTBLANK(D62:I62)=6,AND(COUNTBLANK(D62:G62)=4,H62=0)),OR(AN63:AN$69),NOT(AN62))</f>
        <v>0</v>
      </c>
      <c r="AP62" s="1469" t="b">
        <f t="shared" si="14"/>
        <v>1</v>
      </c>
      <c r="AQ62" s="1469" t="b">
        <f t="shared" si="62"/>
        <v>1</v>
      </c>
      <c r="AR62" s="1471">
        <f t="shared" si="15"/>
        <v>0</v>
      </c>
      <c r="AS62" s="1471" t="str">
        <f t="shared" si="16"/>
        <v/>
      </c>
      <c r="AT62" s="1472" t="str">
        <f t="shared" si="63"/>
        <v/>
      </c>
      <c r="AU62" s="1473" t="str">
        <f t="shared" si="17"/>
        <v/>
      </c>
      <c r="AV62" s="1474" t="str">
        <f t="shared" si="18"/>
        <v/>
      </c>
      <c r="AW62" s="1475"/>
      <c r="AX62" s="1474" t="str">
        <f t="shared" si="64"/>
        <v/>
      </c>
      <c r="AY62" s="1762"/>
      <c r="AZ62" s="1762"/>
      <c r="BA62" s="1476" t="b">
        <f t="shared" si="19"/>
        <v>0</v>
      </c>
      <c r="BB62" s="1477" t="b">
        <f t="shared" si="20"/>
        <v>0</v>
      </c>
      <c r="BC62" s="1478" t="b">
        <f t="shared" si="21"/>
        <v>0</v>
      </c>
      <c r="BD62" s="1476" t="b">
        <f t="shared" si="22"/>
        <v>0</v>
      </c>
      <c r="BE62" s="1476" t="b">
        <f t="shared" si="23"/>
        <v>1</v>
      </c>
      <c r="BF62" s="1477" t="b">
        <f t="shared" si="24"/>
        <v>0</v>
      </c>
      <c r="BG62" s="1478" t="b">
        <f t="shared" si="25"/>
        <v>0</v>
      </c>
      <c r="BH62" s="1476" t="b">
        <f t="shared" si="26"/>
        <v>0</v>
      </c>
      <c r="BI62" s="1477" t="b">
        <f t="shared" si="65"/>
        <v>0</v>
      </c>
      <c r="BJ62" s="1479" t="b">
        <f t="shared" si="27"/>
        <v>0</v>
      </c>
      <c r="BK62" s="1480" t="b">
        <f t="shared" si="28"/>
        <v>0</v>
      </c>
      <c r="BL62" s="1481" t="str">
        <f t="shared" si="29"/>
        <v/>
      </c>
      <c r="BN62" s="590" t="str">
        <f t="shared" si="30"/>
        <v>no data</v>
      </c>
      <c r="BP62" s="592">
        <v>33</v>
      </c>
      <c r="BQ62" s="592" t="str">
        <f t="shared" si="31"/>
        <v>-</v>
      </c>
      <c r="BU62" s="572"/>
      <c r="BV62" s="175"/>
      <c r="BW62" s="140"/>
      <c r="BX62" s="140"/>
      <c r="BY62" s="1483">
        <f t="shared" si="32"/>
        <v>33</v>
      </c>
      <c r="BZ62" s="1222">
        <f t="shared" si="32"/>
        <v>0</v>
      </c>
      <c r="CA62" s="1222">
        <f t="shared" si="33"/>
        <v>0</v>
      </c>
      <c r="CB62" s="1223" t="str">
        <f t="shared" si="34"/>
        <v/>
      </c>
      <c r="CC62" s="1224" t="str">
        <f>IF(AQ62,IF(ISNUMBER(#REF!),MAX('Adjustment factors'!$S$16,0.2+0.8*#REF!),IF(ISTEXT(J62),VLOOKUP(J62,Afactors,2,FALSE),"")),"")</f>
        <v/>
      </c>
      <c r="CD62" s="1484" t="str">
        <f t="shared" si="35"/>
        <v/>
      </c>
      <c r="CE62" s="140"/>
      <c r="CF62" s="140"/>
      <c r="CG62" s="140"/>
      <c r="CH62" s="140"/>
      <c r="CI62" s="140"/>
      <c r="CJ62" s="140"/>
      <c r="CK62" s="140"/>
      <c r="CL62" s="140"/>
      <c r="CM62" s="140"/>
      <c r="CN62" s="140"/>
      <c r="CO62" s="140"/>
      <c r="CP62" s="140"/>
      <c r="CQ62" s="140"/>
      <c r="CR62" s="140"/>
      <c r="CS62" s="140"/>
      <c r="CU62" s="590" t="str">
        <f t="shared" si="36"/>
        <v>OK</v>
      </c>
      <c r="CV62" s="590" t="str">
        <f t="shared" si="37"/>
        <v>OK</v>
      </c>
      <c r="CW62" s="590" t="str">
        <f t="shared" si="38"/>
        <v>OK</v>
      </c>
      <c r="CX62" s="590" t="str">
        <f t="shared" si="39"/>
        <v>OK</v>
      </c>
      <c r="CY62" s="939" t="str">
        <f t="shared" si="40"/>
        <v>OK</v>
      </c>
      <c r="CZ62" s="590" t="str">
        <f t="shared" si="41"/>
        <v>OK</v>
      </c>
      <c r="DA62" s="590" t="str">
        <f t="shared" si="42"/>
        <v>OK</v>
      </c>
      <c r="DB62" s="590" t="str">
        <f t="shared" si="43"/>
        <v>OK</v>
      </c>
      <c r="DC62" s="590" t="str">
        <f>IF(AND(ISNUMBER(#REF!),J62&lt;&gt;FixedDim),"Select fixed dimming with an illuminance factor","OK")</f>
        <v>OK</v>
      </c>
      <c r="DD62" s="590" t="str">
        <f>IF(AND(NOT(ISNUMBER(#REF!)),J62=FixedDim),"Enter an illuminance factor","OK")</f>
        <v>OK</v>
      </c>
      <c r="DE62" s="590" t="str">
        <f t="shared" si="66"/>
        <v>OK</v>
      </c>
      <c r="DF62" s="590" t="str">
        <f t="shared" si="44"/>
        <v>OK</v>
      </c>
      <c r="DG62" s="590" t="str">
        <f t="shared" si="45"/>
        <v>OK</v>
      </c>
      <c r="DH62" s="590" t="str">
        <f t="shared" si="46"/>
        <v>OK</v>
      </c>
      <c r="DI62" s="939" t="str">
        <f t="shared" si="47"/>
        <v>OK</v>
      </c>
      <c r="DJ62" s="591">
        <f t="shared" si="48"/>
        <v>0</v>
      </c>
      <c r="DK62" s="940" t="str">
        <f t="shared" si="49"/>
        <v>OK</v>
      </c>
    </row>
    <row r="63" spans="1:115" ht="18" hidden="1" x14ac:dyDescent="0.4">
      <c r="A63" s="589"/>
      <c r="B63" s="1485" t="str">
        <f t="shared" si="0"/>
        <v>-</v>
      </c>
      <c r="C63" s="1214">
        <v>34</v>
      </c>
      <c r="D63" s="1215"/>
      <c r="E63" s="1216"/>
      <c r="F63" s="1217"/>
      <c r="G63" s="1218"/>
      <c r="H63" s="1760"/>
      <c r="I63" s="1760"/>
      <c r="J63" s="1460"/>
      <c r="K63" s="1219"/>
      <c r="L63" s="1219"/>
      <c r="M63" s="1220"/>
      <c r="N63" s="1221" t="str">
        <f t="shared" si="1"/>
        <v/>
      </c>
      <c r="O63" s="1221" t="str">
        <f t="shared" si="1"/>
        <v/>
      </c>
      <c r="P63" s="1461" t="str">
        <f t="shared" si="2"/>
        <v/>
      </c>
      <c r="Q63" s="150"/>
      <c r="R63" s="1462" t="str">
        <f t="shared" si="3"/>
        <v/>
      </c>
      <c r="S63" s="1463" t="b">
        <f t="shared" si="4"/>
        <v>0</v>
      </c>
      <c r="T63" s="1464" t="str">
        <f t="shared" si="50"/>
        <v/>
      </c>
      <c r="U63" s="1464" t="str">
        <f t="shared" si="5"/>
        <v/>
      </c>
      <c r="V63" s="1465">
        <f t="shared" si="6"/>
        <v>0</v>
      </c>
      <c r="W63" s="1466">
        <f t="shared" si="51"/>
        <v>0</v>
      </c>
      <c r="X63" s="1466">
        <f t="shared" si="52"/>
        <v>0</v>
      </c>
      <c r="Y63" s="1466">
        <f t="shared" si="7"/>
        <v>0</v>
      </c>
      <c r="Z63" s="1467">
        <f t="shared" si="53"/>
        <v>0</v>
      </c>
      <c r="AA63" s="1465">
        <f t="shared" si="8"/>
        <v>0</v>
      </c>
      <c r="AB63" s="1466">
        <f t="shared" si="54"/>
        <v>0</v>
      </c>
      <c r="AC63" s="1466">
        <f t="shared" si="55"/>
        <v>0</v>
      </c>
      <c r="AD63" s="1466">
        <f t="shared" si="56"/>
        <v>0</v>
      </c>
      <c r="AE63" s="1467">
        <f t="shared" si="57"/>
        <v>0</v>
      </c>
      <c r="AF63" s="1465">
        <f t="shared" si="9"/>
        <v>0</v>
      </c>
      <c r="AG63" s="1466">
        <f t="shared" si="58"/>
        <v>0</v>
      </c>
      <c r="AH63" s="1466">
        <f t="shared" si="59"/>
        <v>0</v>
      </c>
      <c r="AI63" s="1466">
        <f t="shared" si="60"/>
        <v>0</v>
      </c>
      <c r="AJ63" s="1467">
        <f t="shared" si="61"/>
        <v>0</v>
      </c>
      <c r="AK63" s="1468" t="b">
        <f t="shared" si="10"/>
        <v>1</v>
      </c>
      <c r="AL63" s="1469" t="b">
        <f t="shared" si="11"/>
        <v>1</v>
      </c>
      <c r="AM63" s="1469" t="str">
        <f t="shared" si="12"/>
        <v/>
      </c>
      <c r="AN63" s="1469" t="b">
        <f t="shared" si="13"/>
        <v>0</v>
      </c>
      <c r="AO63" s="1470" t="b">
        <f>IF(OR(COUNTBLANK(D63:I63)=6,AND(COUNTBLANK(D63:G63)=4,H63=0)),OR(AN64:AN$69),NOT(AN63))</f>
        <v>0</v>
      </c>
      <c r="AP63" s="1469" t="b">
        <f t="shared" si="14"/>
        <v>1</v>
      </c>
      <c r="AQ63" s="1469" t="b">
        <f t="shared" si="62"/>
        <v>1</v>
      </c>
      <c r="AR63" s="1471">
        <f t="shared" si="15"/>
        <v>0</v>
      </c>
      <c r="AS63" s="1471" t="str">
        <f t="shared" si="16"/>
        <v/>
      </c>
      <c r="AT63" s="1472" t="str">
        <f t="shared" si="63"/>
        <v/>
      </c>
      <c r="AU63" s="1473" t="str">
        <f t="shared" si="17"/>
        <v/>
      </c>
      <c r="AV63" s="1474" t="str">
        <f t="shared" si="18"/>
        <v/>
      </c>
      <c r="AW63" s="1475"/>
      <c r="AX63" s="1474" t="str">
        <f t="shared" si="64"/>
        <v/>
      </c>
      <c r="AY63" s="1762"/>
      <c r="AZ63" s="1762"/>
      <c r="BA63" s="1476" t="b">
        <f t="shared" si="19"/>
        <v>0</v>
      </c>
      <c r="BB63" s="1477" t="b">
        <f t="shared" si="20"/>
        <v>0</v>
      </c>
      <c r="BC63" s="1478" t="b">
        <f t="shared" si="21"/>
        <v>0</v>
      </c>
      <c r="BD63" s="1476" t="b">
        <f t="shared" si="22"/>
        <v>0</v>
      </c>
      <c r="BE63" s="1476" t="b">
        <f t="shared" si="23"/>
        <v>1</v>
      </c>
      <c r="BF63" s="1477" t="b">
        <f t="shared" si="24"/>
        <v>0</v>
      </c>
      <c r="BG63" s="1478" t="b">
        <f t="shared" si="25"/>
        <v>0</v>
      </c>
      <c r="BH63" s="1476" t="b">
        <f t="shared" si="26"/>
        <v>0</v>
      </c>
      <c r="BI63" s="1477" t="b">
        <f t="shared" si="65"/>
        <v>0</v>
      </c>
      <c r="BJ63" s="1479" t="b">
        <f t="shared" si="27"/>
        <v>0</v>
      </c>
      <c r="BK63" s="1480" t="b">
        <f t="shared" si="28"/>
        <v>0</v>
      </c>
      <c r="BL63" s="1481" t="str">
        <f t="shared" si="29"/>
        <v/>
      </c>
      <c r="BN63" s="590" t="str">
        <f t="shared" si="30"/>
        <v>no data</v>
      </c>
      <c r="BP63" s="592">
        <v>34</v>
      </c>
      <c r="BQ63" s="592" t="str">
        <f t="shared" si="31"/>
        <v>-</v>
      </c>
      <c r="BU63" s="572"/>
      <c r="BV63" s="175"/>
      <c r="BW63" s="140"/>
      <c r="BX63" s="140"/>
      <c r="BY63" s="1483">
        <f t="shared" si="32"/>
        <v>34</v>
      </c>
      <c r="BZ63" s="1222">
        <f t="shared" si="32"/>
        <v>0</v>
      </c>
      <c r="CA63" s="1222">
        <f t="shared" si="33"/>
        <v>0</v>
      </c>
      <c r="CB63" s="1223" t="str">
        <f t="shared" si="34"/>
        <v/>
      </c>
      <c r="CC63" s="1224" t="str">
        <f>IF(AQ63,IF(ISNUMBER(#REF!),MAX('Adjustment factors'!$S$16,0.2+0.8*#REF!),IF(ISTEXT(J63),VLOOKUP(J63,Afactors,2,FALSE),"")),"")</f>
        <v/>
      </c>
      <c r="CD63" s="1484" t="str">
        <f t="shared" si="35"/>
        <v/>
      </c>
      <c r="CE63" s="140"/>
      <c r="CF63" s="140"/>
      <c r="CG63" s="140"/>
      <c r="CH63" s="140"/>
      <c r="CI63" s="140"/>
      <c r="CJ63" s="140"/>
      <c r="CK63" s="140"/>
      <c r="CL63" s="140"/>
      <c r="CM63" s="140"/>
      <c r="CN63" s="140"/>
      <c r="CO63" s="140"/>
      <c r="CP63" s="140"/>
      <c r="CQ63" s="140"/>
      <c r="CR63" s="140"/>
      <c r="CS63" s="140"/>
      <c r="CU63" s="590" t="str">
        <f t="shared" si="36"/>
        <v>OK</v>
      </c>
      <c r="CV63" s="590" t="str">
        <f t="shared" si="37"/>
        <v>OK</v>
      </c>
      <c r="CW63" s="590" t="str">
        <f t="shared" si="38"/>
        <v>OK</v>
      </c>
      <c r="CX63" s="590" t="str">
        <f t="shared" si="39"/>
        <v>OK</v>
      </c>
      <c r="CY63" s="939" t="str">
        <f t="shared" si="40"/>
        <v>OK</v>
      </c>
      <c r="CZ63" s="590" t="str">
        <f t="shared" si="41"/>
        <v>OK</v>
      </c>
      <c r="DA63" s="590" t="str">
        <f t="shared" si="42"/>
        <v>OK</v>
      </c>
      <c r="DB63" s="590" t="str">
        <f t="shared" si="43"/>
        <v>OK</v>
      </c>
      <c r="DC63" s="590" t="str">
        <f>IF(AND(ISNUMBER(#REF!),J63&lt;&gt;FixedDim),"Select fixed dimming with an illuminance factor","OK")</f>
        <v>OK</v>
      </c>
      <c r="DD63" s="590" t="str">
        <f>IF(AND(NOT(ISNUMBER(#REF!)),J63=FixedDim),"Enter an illuminance factor","OK")</f>
        <v>OK</v>
      </c>
      <c r="DE63" s="590" t="str">
        <f t="shared" si="66"/>
        <v>OK</v>
      </c>
      <c r="DF63" s="590" t="str">
        <f t="shared" si="44"/>
        <v>OK</v>
      </c>
      <c r="DG63" s="590" t="str">
        <f t="shared" si="45"/>
        <v>OK</v>
      </c>
      <c r="DH63" s="590" t="str">
        <f t="shared" si="46"/>
        <v>OK</v>
      </c>
      <c r="DI63" s="939" t="str">
        <f t="shared" si="47"/>
        <v>OK</v>
      </c>
      <c r="DJ63" s="591">
        <f t="shared" si="48"/>
        <v>0</v>
      </c>
      <c r="DK63" s="940" t="str">
        <f t="shared" si="49"/>
        <v>OK</v>
      </c>
    </row>
    <row r="64" spans="1:115" ht="18" hidden="1" x14ac:dyDescent="0.4">
      <c r="A64" s="589"/>
      <c r="B64" s="1485" t="str">
        <f t="shared" si="0"/>
        <v>-</v>
      </c>
      <c r="C64" s="1214">
        <v>35</v>
      </c>
      <c r="D64" s="1215"/>
      <c r="E64" s="1216"/>
      <c r="F64" s="1217"/>
      <c r="G64" s="1218"/>
      <c r="H64" s="1760"/>
      <c r="I64" s="1760"/>
      <c r="J64" s="1460"/>
      <c r="K64" s="1219"/>
      <c r="L64" s="1219"/>
      <c r="M64" s="1220"/>
      <c r="N64" s="1221" t="str">
        <f t="shared" si="1"/>
        <v/>
      </c>
      <c r="O64" s="1221" t="str">
        <f t="shared" si="1"/>
        <v/>
      </c>
      <c r="P64" s="1461" t="str">
        <f t="shared" si="2"/>
        <v/>
      </c>
      <c r="Q64" s="150"/>
      <c r="R64" s="1462" t="str">
        <f t="shared" si="3"/>
        <v/>
      </c>
      <c r="S64" s="1463" t="b">
        <f t="shared" si="4"/>
        <v>0</v>
      </c>
      <c r="T64" s="1464" t="str">
        <f t="shared" si="50"/>
        <v/>
      </c>
      <c r="U64" s="1464" t="str">
        <f t="shared" si="5"/>
        <v/>
      </c>
      <c r="V64" s="1465">
        <f t="shared" si="6"/>
        <v>0</v>
      </c>
      <c r="W64" s="1466">
        <f t="shared" si="51"/>
        <v>0</v>
      </c>
      <c r="X64" s="1466">
        <f t="shared" si="52"/>
        <v>0</v>
      </c>
      <c r="Y64" s="1466">
        <f t="shared" si="7"/>
        <v>0</v>
      </c>
      <c r="Z64" s="1467">
        <f t="shared" si="53"/>
        <v>0</v>
      </c>
      <c r="AA64" s="1465">
        <f t="shared" si="8"/>
        <v>0</v>
      </c>
      <c r="AB64" s="1466">
        <f t="shared" si="54"/>
        <v>0</v>
      </c>
      <c r="AC64" s="1466">
        <f t="shared" si="55"/>
        <v>0</v>
      </c>
      <c r="AD64" s="1466">
        <f t="shared" si="56"/>
        <v>0</v>
      </c>
      <c r="AE64" s="1467">
        <f t="shared" si="57"/>
        <v>0</v>
      </c>
      <c r="AF64" s="1465">
        <f t="shared" si="9"/>
        <v>0</v>
      </c>
      <c r="AG64" s="1466">
        <f t="shared" si="58"/>
        <v>0</v>
      </c>
      <c r="AH64" s="1466">
        <f t="shared" si="59"/>
        <v>0</v>
      </c>
      <c r="AI64" s="1466">
        <f t="shared" si="60"/>
        <v>0</v>
      </c>
      <c r="AJ64" s="1467">
        <f t="shared" si="61"/>
        <v>0</v>
      </c>
      <c r="AK64" s="1468" t="b">
        <f t="shared" si="10"/>
        <v>1</v>
      </c>
      <c r="AL64" s="1469" t="b">
        <f t="shared" si="11"/>
        <v>1</v>
      </c>
      <c r="AM64" s="1469" t="str">
        <f t="shared" si="12"/>
        <v/>
      </c>
      <c r="AN64" s="1469" t="b">
        <f t="shared" si="13"/>
        <v>0</v>
      </c>
      <c r="AO64" s="1470" t="b">
        <f>IF(OR(COUNTBLANK(D64:I64)=6,AND(COUNTBLANK(D64:G64)=4,H64=0)),OR(AN65:AN$69),NOT(AN64))</f>
        <v>0</v>
      </c>
      <c r="AP64" s="1469" t="b">
        <f t="shared" si="14"/>
        <v>1</v>
      </c>
      <c r="AQ64" s="1469" t="b">
        <f t="shared" si="62"/>
        <v>1</v>
      </c>
      <c r="AR64" s="1471">
        <f t="shared" si="15"/>
        <v>0</v>
      </c>
      <c r="AS64" s="1471" t="str">
        <f t="shared" si="16"/>
        <v/>
      </c>
      <c r="AT64" s="1472" t="str">
        <f t="shared" si="63"/>
        <v/>
      </c>
      <c r="AU64" s="1473" t="str">
        <f t="shared" si="17"/>
        <v/>
      </c>
      <c r="AV64" s="1474" t="str">
        <f t="shared" si="18"/>
        <v/>
      </c>
      <c r="AW64" s="1475"/>
      <c r="AX64" s="1474" t="str">
        <f t="shared" si="64"/>
        <v/>
      </c>
      <c r="AY64" s="1762"/>
      <c r="AZ64" s="1762"/>
      <c r="BA64" s="1476" t="b">
        <f t="shared" si="19"/>
        <v>0</v>
      </c>
      <c r="BB64" s="1477" t="b">
        <f t="shared" si="20"/>
        <v>0</v>
      </c>
      <c r="BC64" s="1478" t="b">
        <f t="shared" si="21"/>
        <v>0</v>
      </c>
      <c r="BD64" s="1476" t="b">
        <f t="shared" si="22"/>
        <v>0</v>
      </c>
      <c r="BE64" s="1476" t="b">
        <f t="shared" si="23"/>
        <v>1</v>
      </c>
      <c r="BF64" s="1477" t="b">
        <f t="shared" si="24"/>
        <v>0</v>
      </c>
      <c r="BG64" s="1478" t="b">
        <f t="shared" si="25"/>
        <v>0</v>
      </c>
      <c r="BH64" s="1476" t="b">
        <f t="shared" si="26"/>
        <v>0</v>
      </c>
      <c r="BI64" s="1477" t="b">
        <f t="shared" si="65"/>
        <v>0</v>
      </c>
      <c r="BJ64" s="1479" t="b">
        <f t="shared" si="27"/>
        <v>0</v>
      </c>
      <c r="BK64" s="1480" t="b">
        <f t="shared" si="28"/>
        <v>0</v>
      </c>
      <c r="BL64" s="1481" t="str">
        <f t="shared" si="29"/>
        <v/>
      </c>
      <c r="BN64" s="590" t="str">
        <f t="shared" si="30"/>
        <v>no data</v>
      </c>
      <c r="BP64" s="592">
        <v>35</v>
      </c>
      <c r="BQ64" s="592" t="str">
        <f t="shared" si="31"/>
        <v>-</v>
      </c>
      <c r="BU64" s="572"/>
      <c r="BV64" s="175"/>
      <c r="BW64" s="140"/>
      <c r="BX64" s="140"/>
      <c r="BY64" s="1483">
        <f t="shared" si="32"/>
        <v>35</v>
      </c>
      <c r="BZ64" s="1222">
        <f t="shared" si="32"/>
        <v>0</v>
      </c>
      <c r="CA64" s="1222">
        <f t="shared" si="33"/>
        <v>0</v>
      </c>
      <c r="CB64" s="1223" t="str">
        <f t="shared" si="34"/>
        <v/>
      </c>
      <c r="CC64" s="1224" t="str">
        <f>IF(AQ64,IF(ISNUMBER(#REF!),MAX('Adjustment factors'!$S$16,0.2+0.8*#REF!),IF(ISTEXT(J64),VLOOKUP(J64,Afactors,2,FALSE),"")),"")</f>
        <v/>
      </c>
      <c r="CD64" s="1484" t="str">
        <f t="shared" si="35"/>
        <v/>
      </c>
      <c r="CE64" s="140"/>
      <c r="CF64" s="140"/>
      <c r="CG64" s="140"/>
      <c r="CH64" s="140"/>
      <c r="CI64" s="140"/>
      <c r="CJ64" s="140"/>
      <c r="CK64" s="140"/>
      <c r="CL64" s="140"/>
      <c r="CM64" s="140"/>
      <c r="CN64" s="140"/>
      <c r="CO64" s="140"/>
      <c r="CP64" s="140"/>
      <c r="CQ64" s="140"/>
      <c r="CR64" s="140"/>
      <c r="CS64" s="140"/>
      <c r="CU64" s="590" t="str">
        <f t="shared" si="36"/>
        <v>OK</v>
      </c>
      <c r="CV64" s="590" t="str">
        <f t="shared" si="37"/>
        <v>OK</v>
      </c>
      <c r="CW64" s="590" t="str">
        <f t="shared" si="38"/>
        <v>OK</v>
      </c>
      <c r="CX64" s="590" t="str">
        <f t="shared" si="39"/>
        <v>OK</v>
      </c>
      <c r="CY64" s="939" t="str">
        <f t="shared" si="40"/>
        <v>OK</v>
      </c>
      <c r="CZ64" s="590" t="str">
        <f t="shared" si="41"/>
        <v>OK</v>
      </c>
      <c r="DA64" s="590" t="str">
        <f t="shared" si="42"/>
        <v>OK</v>
      </c>
      <c r="DB64" s="590" t="str">
        <f t="shared" si="43"/>
        <v>OK</v>
      </c>
      <c r="DC64" s="590" t="str">
        <f>IF(AND(ISNUMBER(#REF!),J64&lt;&gt;FixedDim),"Select fixed dimming with an illuminance factor","OK")</f>
        <v>OK</v>
      </c>
      <c r="DD64" s="590" t="str">
        <f>IF(AND(NOT(ISNUMBER(#REF!)),J64=FixedDim),"Enter an illuminance factor","OK")</f>
        <v>OK</v>
      </c>
      <c r="DE64" s="590" t="str">
        <f t="shared" si="66"/>
        <v>OK</v>
      </c>
      <c r="DF64" s="590" t="str">
        <f t="shared" si="44"/>
        <v>OK</v>
      </c>
      <c r="DG64" s="590" t="str">
        <f t="shared" si="45"/>
        <v>OK</v>
      </c>
      <c r="DH64" s="590" t="str">
        <f t="shared" si="46"/>
        <v>OK</v>
      </c>
      <c r="DI64" s="939" t="str">
        <f t="shared" si="47"/>
        <v>OK</v>
      </c>
      <c r="DJ64" s="591">
        <f t="shared" si="48"/>
        <v>0</v>
      </c>
      <c r="DK64" s="940" t="str">
        <f t="shared" si="49"/>
        <v>OK</v>
      </c>
    </row>
    <row r="65" spans="1:116" ht="18" hidden="1" x14ac:dyDescent="0.4">
      <c r="A65" s="589"/>
      <c r="B65" s="1485" t="str">
        <f t="shared" si="0"/>
        <v>-</v>
      </c>
      <c r="C65" s="1214">
        <v>36</v>
      </c>
      <c r="D65" s="1215"/>
      <c r="E65" s="1216"/>
      <c r="F65" s="1217"/>
      <c r="G65" s="1218"/>
      <c r="H65" s="1760"/>
      <c r="I65" s="1760"/>
      <c r="J65" s="1460"/>
      <c r="K65" s="1219"/>
      <c r="L65" s="1219"/>
      <c r="M65" s="1220"/>
      <c r="N65" s="1221" t="str">
        <f t="shared" si="1"/>
        <v/>
      </c>
      <c r="O65" s="1221" t="str">
        <f t="shared" si="1"/>
        <v/>
      </c>
      <c r="P65" s="1461" t="str">
        <f t="shared" si="2"/>
        <v/>
      </c>
      <c r="Q65" s="150"/>
      <c r="R65" s="1462" t="str">
        <f t="shared" si="3"/>
        <v/>
      </c>
      <c r="S65" s="1463" t="b">
        <f t="shared" si="4"/>
        <v>0</v>
      </c>
      <c r="T65" s="1464" t="str">
        <f t="shared" si="50"/>
        <v/>
      </c>
      <c r="U65" s="1464" t="str">
        <f t="shared" si="5"/>
        <v/>
      </c>
      <c r="V65" s="1465">
        <f t="shared" si="6"/>
        <v>0</v>
      </c>
      <c r="W65" s="1466">
        <f t="shared" si="51"/>
        <v>0</v>
      </c>
      <c r="X65" s="1466">
        <f t="shared" si="52"/>
        <v>0</v>
      </c>
      <c r="Y65" s="1466">
        <f t="shared" si="7"/>
        <v>0</v>
      </c>
      <c r="Z65" s="1467">
        <f t="shared" si="53"/>
        <v>0</v>
      </c>
      <c r="AA65" s="1465">
        <f t="shared" si="8"/>
        <v>0</v>
      </c>
      <c r="AB65" s="1466">
        <f t="shared" si="54"/>
        <v>0</v>
      </c>
      <c r="AC65" s="1466">
        <f t="shared" si="55"/>
        <v>0</v>
      </c>
      <c r="AD65" s="1466">
        <f t="shared" si="56"/>
        <v>0</v>
      </c>
      <c r="AE65" s="1467">
        <f t="shared" si="57"/>
        <v>0</v>
      </c>
      <c r="AF65" s="1465">
        <f t="shared" si="9"/>
        <v>0</v>
      </c>
      <c r="AG65" s="1466">
        <f t="shared" si="58"/>
        <v>0</v>
      </c>
      <c r="AH65" s="1466">
        <f t="shared" si="59"/>
        <v>0</v>
      </c>
      <c r="AI65" s="1466">
        <f t="shared" si="60"/>
        <v>0</v>
      </c>
      <c r="AJ65" s="1467">
        <f t="shared" si="61"/>
        <v>0</v>
      </c>
      <c r="AK65" s="1468" t="b">
        <f t="shared" si="10"/>
        <v>1</v>
      </c>
      <c r="AL65" s="1469" t="b">
        <f t="shared" si="11"/>
        <v>1</v>
      </c>
      <c r="AM65" s="1469" t="str">
        <f t="shared" si="12"/>
        <v/>
      </c>
      <c r="AN65" s="1469" t="b">
        <f t="shared" si="13"/>
        <v>0</v>
      </c>
      <c r="AO65" s="1470" t="b">
        <f>IF(OR(COUNTBLANK(D65:I65)=6,AND(COUNTBLANK(D65:G65)=4,H65=0)),OR(AN66:AN$69),NOT(AN65))</f>
        <v>0</v>
      </c>
      <c r="AP65" s="1469" t="b">
        <f t="shared" si="14"/>
        <v>1</v>
      </c>
      <c r="AQ65" s="1469" t="b">
        <f t="shared" si="62"/>
        <v>1</v>
      </c>
      <c r="AR65" s="1471">
        <f t="shared" si="15"/>
        <v>0</v>
      </c>
      <c r="AS65" s="1471" t="str">
        <f t="shared" si="16"/>
        <v/>
      </c>
      <c r="AT65" s="1472" t="str">
        <f t="shared" si="63"/>
        <v/>
      </c>
      <c r="AU65" s="1473" t="str">
        <f t="shared" si="17"/>
        <v/>
      </c>
      <c r="AV65" s="1474" t="str">
        <f t="shared" si="18"/>
        <v/>
      </c>
      <c r="AW65" s="1475"/>
      <c r="AX65" s="1474" t="str">
        <f t="shared" si="64"/>
        <v/>
      </c>
      <c r="AY65" s="1762"/>
      <c r="AZ65" s="1762"/>
      <c r="BA65" s="1476" t="b">
        <f t="shared" si="19"/>
        <v>0</v>
      </c>
      <c r="BB65" s="1477" t="b">
        <f t="shared" si="20"/>
        <v>0</v>
      </c>
      <c r="BC65" s="1478" t="b">
        <f t="shared" si="21"/>
        <v>0</v>
      </c>
      <c r="BD65" s="1476" t="b">
        <f t="shared" si="22"/>
        <v>0</v>
      </c>
      <c r="BE65" s="1476" t="b">
        <f t="shared" si="23"/>
        <v>1</v>
      </c>
      <c r="BF65" s="1477" t="b">
        <f t="shared" si="24"/>
        <v>0</v>
      </c>
      <c r="BG65" s="1478" t="b">
        <f t="shared" si="25"/>
        <v>0</v>
      </c>
      <c r="BH65" s="1476" t="b">
        <f t="shared" si="26"/>
        <v>0</v>
      </c>
      <c r="BI65" s="1477" t="b">
        <f t="shared" si="65"/>
        <v>0</v>
      </c>
      <c r="BJ65" s="1479" t="b">
        <f t="shared" si="27"/>
        <v>0</v>
      </c>
      <c r="BK65" s="1480" t="b">
        <f t="shared" si="28"/>
        <v>0</v>
      </c>
      <c r="BL65" s="1481" t="str">
        <f t="shared" si="29"/>
        <v/>
      </c>
      <c r="BN65" s="590" t="str">
        <f t="shared" si="30"/>
        <v>no data</v>
      </c>
      <c r="BP65" s="592">
        <v>36</v>
      </c>
      <c r="BQ65" s="592" t="str">
        <f t="shared" si="31"/>
        <v>-</v>
      </c>
      <c r="BU65" s="572"/>
      <c r="BV65" s="175"/>
      <c r="BW65" s="140"/>
      <c r="BX65" s="140"/>
      <c r="BY65" s="1483">
        <f t="shared" si="32"/>
        <v>36</v>
      </c>
      <c r="BZ65" s="1222">
        <f t="shared" si="32"/>
        <v>0</v>
      </c>
      <c r="CA65" s="1222">
        <f t="shared" si="33"/>
        <v>0</v>
      </c>
      <c r="CB65" s="1223" t="str">
        <f t="shared" si="34"/>
        <v/>
      </c>
      <c r="CC65" s="1224" t="str">
        <f>IF(AQ65,IF(ISNUMBER(#REF!),MAX('Adjustment factors'!$S$16,0.2+0.8*#REF!),IF(ISTEXT(J65),VLOOKUP(J65,Afactors,2,FALSE),"")),"")</f>
        <v/>
      </c>
      <c r="CD65" s="1484" t="str">
        <f t="shared" si="35"/>
        <v/>
      </c>
      <c r="CE65" s="140"/>
      <c r="CF65" s="140"/>
      <c r="CG65" s="140"/>
      <c r="CH65" s="140"/>
      <c r="CI65" s="140"/>
      <c r="CJ65" s="140"/>
      <c r="CK65" s="140"/>
      <c r="CL65" s="140"/>
      <c r="CM65" s="140"/>
      <c r="CN65" s="140"/>
      <c r="CO65" s="140"/>
      <c r="CP65" s="140"/>
      <c r="CQ65" s="140"/>
      <c r="CR65" s="140"/>
      <c r="CS65" s="140"/>
      <c r="CU65" s="590" t="str">
        <f t="shared" si="36"/>
        <v>OK</v>
      </c>
      <c r="CV65" s="590" t="str">
        <f t="shared" si="37"/>
        <v>OK</v>
      </c>
      <c r="CW65" s="590" t="str">
        <f t="shared" si="38"/>
        <v>OK</v>
      </c>
      <c r="CX65" s="590" t="str">
        <f t="shared" si="39"/>
        <v>OK</v>
      </c>
      <c r="CY65" s="939" t="str">
        <f t="shared" si="40"/>
        <v>OK</v>
      </c>
      <c r="CZ65" s="590" t="str">
        <f t="shared" si="41"/>
        <v>OK</v>
      </c>
      <c r="DA65" s="590" t="str">
        <f t="shared" si="42"/>
        <v>OK</v>
      </c>
      <c r="DB65" s="590" t="str">
        <f t="shared" si="43"/>
        <v>OK</v>
      </c>
      <c r="DC65" s="590" t="str">
        <f>IF(AND(ISNUMBER(#REF!),J65&lt;&gt;FixedDim),"Select fixed dimming with an illuminance factor","OK")</f>
        <v>OK</v>
      </c>
      <c r="DD65" s="590" t="str">
        <f>IF(AND(NOT(ISNUMBER(#REF!)),J65=FixedDim),"Enter an illuminance factor","OK")</f>
        <v>OK</v>
      </c>
      <c r="DE65" s="590" t="str">
        <f t="shared" si="66"/>
        <v>OK</v>
      </c>
      <c r="DF65" s="590" t="str">
        <f t="shared" si="44"/>
        <v>OK</v>
      </c>
      <c r="DG65" s="590" t="str">
        <f t="shared" si="45"/>
        <v>OK</v>
      </c>
      <c r="DH65" s="590" t="str">
        <f t="shared" si="46"/>
        <v>OK</v>
      </c>
      <c r="DI65" s="939" t="str">
        <f t="shared" si="47"/>
        <v>OK</v>
      </c>
      <c r="DJ65" s="591">
        <f t="shared" si="48"/>
        <v>0</v>
      </c>
      <c r="DK65" s="940" t="str">
        <f t="shared" si="49"/>
        <v>OK</v>
      </c>
    </row>
    <row r="66" spans="1:116" ht="18" hidden="1" x14ac:dyDescent="0.4">
      <c r="A66" s="589"/>
      <c r="B66" s="1485" t="str">
        <f t="shared" si="0"/>
        <v>-</v>
      </c>
      <c r="C66" s="1214">
        <v>37</v>
      </c>
      <c r="D66" s="1215"/>
      <c r="E66" s="1216"/>
      <c r="F66" s="1217"/>
      <c r="G66" s="1218"/>
      <c r="H66" s="1760"/>
      <c r="I66" s="1760"/>
      <c r="J66" s="1460"/>
      <c r="K66" s="1219"/>
      <c r="L66" s="1219"/>
      <c r="M66" s="1220"/>
      <c r="N66" s="1221" t="str">
        <f t="shared" si="1"/>
        <v/>
      </c>
      <c r="O66" s="1221" t="str">
        <f t="shared" si="1"/>
        <v/>
      </c>
      <c r="P66" s="1461" t="str">
        <f t="shared" si="2"/>
        <v/>
      </c>
      <c r="Q66" s="150"/>
      <c r="R66" s="1462" t="str">
        <f t="shared" si="3"/>
        <v/>
      </c>
      <c r="S66" s="1463" t="b">
        <f t="shared" si="4"/>
        <v>0</v>
      </c>
      <c r="T66" s="1464" t="str">
        <f t="shared" si="50"/>
        <v/>
      </c>
      <c r="U66" s="1464" t="str">
        <f t="shared" si="5"/>
        <v/>
      </c>
      <c r="V66" s="1465">
        <f t="shared" si="6"/>
        <v>0</v>
      </c>
      <c r="W66" s="1466">
        <f t="shared" si="51"/>
        <v>0</v>
      </c>
      <c r="X66" s="1466">
        <f t="shared" si="52"/>
        <v>0</v>
      </c>
      <c r="Y66" s="1466">
        <f t="shared" si="7"/>
        <v>0</v>
      </c>
      <c r="Z66" s="1467">
        <f t="shared" si="53"/>
        <v>0</v>
      </c>
      <c r="AA66" s="1465">
        <f t="shared" si="8"/>
        <v>0</v>
      </c>
      <c r="AB66" s="1466">
        <f t="shared" si="54"/>
        <v>0</v>
      </c>
      <c r="AC66" s="1466">
        <f t="shared" si="55"/>
        <v>0</v>
      </c>
      <c r="AD66" s="1466">
        <f t="shared" si="56"/>
        <v>0</v>
      </c>
      <c r="AE66" s="1467">
        <f t="shared" si="57"/>
        <v>0</v>
      </c>
      <c r="AF66" s="1465">
        <f t="shared" si="9"/>
        <v>0</v>
      </c>
      <c r="AG66" s="1466">
        <f t="shared" si="58"/>
        <v>0</v>
      </c>
      <c r="AH66" s="1466">
        <f t="shared" si="59"/>
        <v>0</v>
      </c>
      <c r="AI66" s="1466">
        <f t="shared" si="60"/>
        <v>0</v>
      </c>
      <c r="AJ66" s="1467">
        <f t="shared" si="61"/>
        <v>0</v>
      </c>
      <c r="AK66" s="1468" t="b">
        <f t="shared" si="10"/>
        <v>1</v>
      </c>
      <c r="AL66" s="1469" t="b">
        <f t="shared" si="11"/>
        <v>1</v>
      </c>
      <c r="AM66" s="1469" t="str">
        <f t="shared" si="12"/>
        <v/>
      </c>
      <c r="AN66" s="1469" t="b">
        <f t="shared" si="13"/>
        <v>0</v>
      </c>
      <c r="AO66" s="1470" t="b">
        <f>IF(OR(COUNTBLANK(D66:I66)=6,AND(COUNTBLANK(D66:G66)=4,H66=0)),OR(AN67:AN$69),NOT(AN66))</f>
        <v>0</v>
      </c>
      <c r="AP66" s="1469" t="b">
        <f t="shared" si="14"/>
        <v>1</v>
      </c>
      <c r="AQ66" s="1469" t="b">
        <f t="shared" si="62"/>
        <v>1</v>
      </c>
      <c r="AR66" s="1471">
        <f t="shared" si="15"/>
        <v>0</v>
      </c>
      <c r="AS66" s="1471" t="str">
        <f t="shared" si="16"/>
        <v/>
      </c>
      <c r="AT66" s="1472" t="str">
        <f t="shared" si="63"/>
        <v/>
      </c>
      <c r="AU66" s="1473" t="str">
        <f t="shared" si="17"/>
        <v/>
      </c>
      <c r="AV66" s="1474" t="str">
        <f t="shared" si="18"/>
        <v/>
      </c>
      <c r="AW66" s="1475"/>
      <c r="AX66" s="1474" t="str">
        <f t="shared" si="64"/>
        <v/>
      </c>
      <c r="AY66" s="1762"/>
      <c r="AZ66" s="1762"/>
      <c r="BA66" s="1476" t="b">
        <f t="shared" si="19"/>
        <v>0</v>
      </c>
      <c r="BB66" s="1477" t="b">
        <f t="shared" si="20"/>
        <v>0</v>
      </c>
      <c r="BC66" s="1478" t="b">
        <f t="shared" si="21"/>
        <v>0</v>
      </c>
      <c r="BD66" s="1476" t="b">
        <f t="shared" si="22"/>
        <v>0</v>
      </c>
      <c r="BE66" s="1476" t="b">
        <f t="shared" si="23"/>
        <v>1</v>
      </c>
      <c r="BF66" s="1477" t="b">
        <f t="shared" si="24"/>
        <v>0</v>
      </c>
      <c r="BG66" s="1478" t="b">
        <f t="shared" si="25"/>
        <v>0</v>
      </c>
      <c r="BH66" s="1476" t="b">
        <f t="shared" si="26"/>
        <v>0</v>
      </c>
      <c r="BI66" s="1477" t="b">
        <f t="shared" si="65"/>
        <v>0</v>
      </c>
      <c r="BJ66" s="1479" t="b">
        <f t="shared" si="27"/>
        <v>0</v>
      </c>
      <c r="BK66" s="1480" t="b">
        <f t="shared" si="28"/>
        <v>0</v>
      </c>
      <c r="BL66" s="1481" t="str">
        <f t="shared" si="29"/>
        <v/>
      </c>
      <c r="BN66" s="590" t="str">
        <f t="shared" si="30"/>
        <v>no data</v>
      </c>
      <c r="BP66" s="592">
        <v>37</v>
      </c>
      <c r="BQ66" s="592" t="str">
        <f t="shared" si="31"/>
        <v>-</v>
      </c>
      <c r="BU66" s="572"/>
      <c r="BV66" s="175"/>
      <c r="BW66" s="140"/>
      <c r="BX66" s="140"/>
      <c r="BY66" s="1483">
        <f t="shared" si="32"/>
        <v>37</v>
      </c>
      <c r="BZ66" s="1222">
        <f t="shared" si="32"/>
        <v>0</v>
      </c>
      <c r="CA66" s="1222">
        <f t="shared" si="33"/>
        <v>0</v>
      </c>
      <c r="CB66" s="1223" t="str">
        <f t="shared" si="34"/>
        <v/>
      </c>
      <c r="CC66" s="1224" t="str">
        <f>IF(AQ66,IF(ISNUMBER(#REF!),MAX('Adjustment factors'!$S$16,0.2+0.8*#REF!),IF(ISTEXT(J66),VLOOKUP(J66,Afactors,2,FALSE),"")),"")</f>
        <v/>
      </c>
      <c r="CD66" s="1484" t="str">
        <f t="shared" si="35"/>
        <v/>
      </c>
      <c r="CE66" s="140"/>
      <c r="CF66" s="140"/>
      <c r="CG66" s="140"/>
      <c r="CH66" s="140"/>
      <c r="CI66" s="140"/>
      <c r="CJ66" s="140"/>
      <c r="CK66" s="140"/>
      <c r="CL66" s="140"/>
      <c r="CM66" s="140"/>
      <c r="CN66" s="140"/>
      <c r="CO66" s="140"/>
      <c r="CP66" s="140"/>
      <c r="CQ66" s="140"/>
      <c r="CR66" s="140"/>
      <c r="CS66" s="140"/>
      <c r="CU66" s="590" t="str">
        <f t="shared" si="36"/>
        <v>OK</v>
      </c>
      <c r="CV66" s="590" t="str">
        <f t="shared" si="37"/>
        <v>OK</v>
      </c>
      <c r="CW66" s="590" t="str">
        <f t="shared" si="38"/>
        <v>OK</v>
      </c>
      <c r="CX66" s="590" t="str">
        <f t="shared" si="39"/>
        <v>OK</v>
      </c>
      <c r="CY66" s="939" t="str">
        <f t="shared" si="40"/>
        <v>OK</v>
      </c>
      <c r="CZ66" s="590" t="str">
        <f t="shared" si="41"/>
        <v>OK</v>
      </c>
      <c r="DA66" s="590" t="str">
        <f t="shared" si="42"/>
        <v>OK</v>
      </c>
      <c r="DB66" s="590" t="str">
        <f t="shared" si="43"/>
        <v>OK</v>
      </c>
      <c r="DC66" s="590" t="str">
        <f>IF(AND(ISNUMBER(#REF!),J66&lt;&gt;FixedDim),"Select fixed dimming with an illuminance factor","OK")</f>
        <v>OK</v>
      </c>
      <c r="DD66" s="590" t="str">
        <f>IF(AND(NOT(ISNUMBER(#REF!)),J66=FixedDim),"Enter an illuminance factor","OK")</f>
        <v>OK</v>
      </c>
      <c r="DE66" s="590" t="str">
        <f t="shared" si="66"/>
        <v>OK</v>
      </c>
      <c r="DF66" s="590" t="str">
        <f t="shared" si="44"/>
        <v>OK</v>
      </c>
      <c r="DG66" s="590" t="str">
        <f t="shared" si="45"/>
        <v>OK</v>
      </c>
      <c r="DH66" s="590" t="str">
        <f t="shared" si="46"/>
        <v>OK</v>
      </c>
      <c r="DI66" s="939" t="str">
        <f t="shared" si="47"/>
        <v>OK</v>
      </c>
      <c r="DJ66" s="591">
        <f t="shared" si="48"/>
        <v>0</v>
      </c>
      <c r="DK66" s="940" t="str">
        <f t="shared" si="49"/>
        <v>OK</v>
      </c>
    </row>
    <row r="67" spans="1:116" ht="18" hidden="1" x14ac:dyDescent="0.4">
      <c r="A67" s="589"/>
      <c r="B67" s="1485" t="str">
        <f t="shared" si="0"/>
        <v>-</v>
      </c>
      <c r="C67" s="1214">
        <v>38</v>
      </c>
      <c r="D67" s="1215"/>
      <c r="E67" s="1216"/>
      <c r="F67" s="1217"/>
      <c r="G67" s="1218"/>
      <c r="H67" s="1760"/>
      <c r="I67" s="1760"/>
      <c r="J67" s="1460"/>
      <c r="K67" s="1219"/>
      <c r="L67" s="1219"/>
      <c r="M67" s="1220"/>
      <c r="N67" s="1221" t="str">
        <f t="shared" si="1"/>
        <v/>
      </c>
      <c r="O67" s="1221" t="str">
        <f t="shared" si="1"/>
        <v/>
      </c>
      <c r="P67" s="1461" t="str">
        <f t="shared" si="2"/>
        <v/>
      </c>
      <c r="Q67" s="150"/>
      <c r="R67" s="1462" t="str">
        <f t="shared" si="3"/>
        <v/>
      </c>
      <c r="S67" s="1463" t="b">
        <f t="shared" si="4"/>
        <v>0</v>
      </c>
      <c r="T67" s="1464" t="str">
        <f t="shared" si="50"/>
        <v/>
      </c>
      <c r="U67" s="1464" t="str">
        <f t="shared" si="5"/>
        <v/>
      </c>
      <c r="V67" s="1465">
        <f t="shared" si="6"/>
        <v>0</v>
      </c>
      <c r="W67" s="1466">
        <f t="shared" si="51"/>
        <v>0</v>
      </c>
      <c r="X67" s="1466">
        <f t="shared" si="52"/>
        <v>0</v>
      </c>
      <c r="Y67" s="1466">
        <f t="shared" si="7"/>
        <v>0</v>
      </c>
      <c r="Z67" s="1467">
        <f t="shared" si="53"/>
        <v>0</v>
      </c>
      <c r="AA67" s="1465">
        <f t="shared" si="8"/>
        <v>0</v>
      </c>
      <c r="AB67" s="1466">
        <f t="shared" si="54"/>
        <v>0</v>
      </c>
      <c r="AC67" s="1466">
        <f t="shared" si="55"/>
        <v>0</v>
      </c>
      <c r="AD67" s="1466">
        <f t="shared" si="56"/>
        <v>0</v>
      </c>
      <c r="AE67" s="1467">
        <f t="shared" si="57"/>
        <v>0</v>
      </c>
      <c r="AF67" s="1465">
        <f t="shared" si="9"/>
        <v>0</v>
      </c>
      <c r="AG67" s="1466">
        <f t="shared" si="58"/>
        <v>0</v>
      </c>
      <c r="AH67" s="1466">
        <f t="shared" si="59"/>
        <v>0</v>
      </c>
      <c r="AI67" s="1466">
        <f t="shared" si="60"/>
        <v>0</v>
      </c>
      <c r="AJ67" s="1467">
        <f t="shared" si="61"/>
        <v>0</v>
      </c>
      <c r="AK67" s="1468" t="b">
        <f t="shared" si="10"/>
        <v>1</v>
      </c>
      <c r="AL67" s="1469" t="b">
        <f t="shared" si="11"/>
        <v>1</v>
      </c>
      <c r="AM67" s="1469" t="str">
        <f t="shared" si="12"/>
        <v/>
      </c>
      <c r="AN67" s="1469" t="b">
        <f t="shared" si="13"/>
        <v>0</v>
      </c>
      <c r="AO67" s="1470" t="b">
        <f>IF(OR(COUNTBLANK(D67:I67)=6,AND(COUNTBLANK(D67:G67)=4,H67=0)),OR(AN68:AN$69),NOT(AN67))</f>
        <v>0</v>
      </c>
      <c r="AP67" s="1469" t="b">
        <f t="shared" si="14"/>
        <v>1</v>
      </c>
      <c r="AQ67" s="1469" t="b">
        <f t="shared" si="62"/>
        <v>1</v>
      </c>
      <c r="AR67" s="1471">
        <f t="shared" si="15"/>
        <v>0</v>
      </c>
      <c r="AS67" s="1471" t="str">
        <f t="shared" si="16"/>
        <v/>
      </c>
      <c r="AT67" s="1472" t="str">
        <f t="shared" si="63"/>
        <v/>
      </c>
      <c r="AU67" s="1473" t="str">
        <f t="shared" si="17"/>
        <v/>
      </c>
      <c r="AV67" s="1474" t="str">
        <f t="shared" si="18"/>
        <v/>
      </c>
      <c r="AW67" s="1475"/>
      <c r="AX67" s="1474" t="str">
        <f t="shared" si="64"/>
        <v/>
      </c>
      <c r="AY67" s="1762"/>
      <c r="AZ67" s="1762"/>
      <c r="BA67" s="1476" t="b">
        <f t="shared" si="19"/>
        <v>0</v>
      </c>
      <c r="BB67" s="1477" t="b">
        <f t="shared" si="20"/>
        <v>0</v>
      </c>
      <c r="BC67" s="1478" t="b">
        <f t="shared" si="21"/>
        <v>0</v>
      </c>
      <c r="BD67" s="1476" t="b">
        <f t="shared" si="22"/>
        <v>0</v>
      </c>
      <c r="BE67" s="1476" t="b">
        <f t="shared" si="23"/>
        <v>1</v>
      </c>
      <c r="BF67" s="1477" t="b">
        <f t="shared" si="24"/>
        <v>0</v>
      </c>
      <c r="BG67" s="1478" t="b">
        <f t="shared" si="25"/>
        <v>0</v>
      </c>
      <c r="BH67" s="1476" t="b">
        <f t="shared" si="26"/>
        <v>0</v>
      </c>
      <c r="BI67" s="1477" t="b">
        <f t="shared" si="65"/>
        <v>0</v>
      </c>
      <c r="BJ67" s="1479" t="b">
        <f t="shared" si="27"/>
        <v>0</v>
      </c>
      <c r="BK67" s="1480" t="b">
        <f t="shared" si="28"/>
        <v>0</v>
      </c>
      <c r="BL67" s="1481" t="str">
        <f t="shared" si="29"/>
        <v/>
      </c>
      <c r="BN67" s="590" t="str">
        <f t="shared" si="30"/>
        <v>no data</v>
      </c>
      <c r="BP67" s="592">
        <v>38</v>
      </c>
      <c r="BQ67" s="592" t="str">
        <f t="shared" si="31"/>
        <v>-</v>
      </c>
      <c r="BU67" s="572"/>
      <c r="BV67" s="175"/>
      <c r="BW67" s="140"/>
      <c r="BX67" s="140"/>
      <c r="BY67" s="1483">
        <f t="shared" si="32"/>
        <v>38</v>
      </c>
      <c r="BZ67" s="1222">
        <f t="shared" si="32"/>
        <v>0</v>
      </c>
      <c r="CA67" s="1222">
        <f t="shared" si="33"/>
        <v>0</v>
      </c>
      <c r="CB67" s="1223" t="str">
        <f t="shared" si="34"/>
        <v/>
      </c>
      <c r="CC67" s="1224" t="str">
        <f>IF(AQ67,IF(ISNUMBER(#REF!),MAX('Adjustment factors'!$S$16,0.2+0.8*#REF!),IF(ISTEXT(J67),VLOOKUP(J67,Afactors,2,FALSE),"")),"")</f>
        <v/>
      </c>
      <c r="CD67" s="1484" t="str">
        <f t="shared" si="35"/>
        <v/>
      </c>
      <c r="CE67" s="140"/>
      <c r="CF67" s="140"/>
      <c r="CG67" s="140"/>
      <c r="CH67" s="140"/>
      <c r="CI67" s="140"/>
      <c r="CJ67" s="140"/>
      <c r="CK67" s="140"/>
      <c r="CL67" s="140"/>
      <c r="CM67" s="140"/>
      <c r="CN67" s="140"/>
      <c r="CO67" s="140"/>
      <c r="CP67" s="140"/>
      <c r="CQ67" s="140"/>
      <c r="CR67" s="140"/>
      <c r="CS67" s="140"/>
      <c r="CU67" s="590" t="str">
        <f t="shared" si="36"/>
        <v>OK</v>
      </c>
      <c r="CV67" s="590" t="str">
        <f t="shared" si="37"/>
        <v>OK</v>
      </c>
      <c r="CW67" s="590" t="str">
        <f t="shared" si="38"/>
        <v>OK</v>
      </c>
      <c r="CX67" s="590" t="str">
        <f t="shared" si="39"/>
        <v>OK</v>
      </c>
      <c r="CY67" s="939" t="str">
        <f t="shared" si="40"/>
        <v>OK</v>
      </c>
      <c r="CZ67" s="590" t="str">
        <f t="shared" si="41"/>
        <v>OK</v>
      </c>
      <c r="DA67" s="590" t="str">
        <f t="shared" si="42"/>
        <v>OK</v>
      </c>
      <c r="DB67" s="590" t="str">
        <f t="shared" si="43"/>
        <v>OK</v>
      </c>
      <c r="DC67" s="590" t="str">
        <f>IF(AND(ISNUMBER(#REF!),J67&lt;&gt;FixedDim),"Select fixed dimming with an illuminance factor","OK")</f>
        <v>OK</v>
      </c>
      <c r="DD67" s="590" t="str">
        <f>IF(AND(NOT(ISNUMBER(#REF!)),J67=FixedDim),"Enter an illuminance factor","OK")</f>
        <v>OK</v>
      </c>
      <c r="DE67" s="590" t="str">
        <f t="shared" si="66"/>
        <v>OK</v>
      </c>
      <c r="DF67" s="590" t="str">
        <f t="shared" si="44"/>
        <v>OK</v>
      </c>
      <c r="DG67" s="590" t="str">
        <f t="shared" si="45"/>
        <v>OK</v>
      </c>
      <c r="DH67" s="590" t="str">
        <f t="shared" si="46"/>
        <v>OK</v>
      </c>
      <c r="DI67" s="939" t="str">
        <f t="shared" si="47"/>
        <v>OK</v>
      </c>
      <c r="DJ67" s="591">
        <f t="shared" si="48"/>
        <v>0</v>
      </c>
      <c r="DK67" s="940" t="str">
        <f t="shared" si="49"/>
        <v>OK</v>
      </c>
    </row>
    <row r="68" spans="1:116" ht="18" hidden="1" x14ac:dyDescent="0.4">
      <c r="A68" s="589"/>
      <c r="B68" s="1485" t="str">
        <f t="shared" si="0"/>
        <v>-</v>
      </c>
      <c r="C68" s="1214">
        <v>39</v>
      </c>
      <c r="D68" s="1215"/>
      <c r="E68" s="1216"/>
      <c r="F68" s="1217"/>
      <c r="G68" s="1218"/>
      <c r="H68" s="1760"/>
      <c r="I68" s="1760"/>
      <c r="J68" s="1460"/>
      <c r="K68" s="1219"/>
      <c r="L68" s="1219"/>
      <c r="M68" s="1220"/>
      <c r="N68" s="1221" t="str">
        <f t="shared" si="1"/>
        <v/>
      </c>
      <c r="O68" s="1221" t="str">
        <f t="shared" si="1"/>
        <v/>
      </c>
      <c r="P68" s="1461" t="str">
        <f t="shared" si="2"/>
        <v/>
      </c>
      <c r="Q68" s="150"/>
      <c r="R68" s="1462" t="str">
        <f t="shared" si="3"/>
        <v/>
      </c>
      <c r="S68" s="1463" t="b">
        <f t="shared" si="4"/>
        <v>0</v>
      </c>
      <c r="T68" s="1464" t="str">
        <f t="shared" si="50"/>
        <v/>
      </c>
      <c r="U68" s="1464" t="str">
        <f t="shared" si="5"/>
        <v/>
      </c>
      <c r="V68" s="1465">
        <f t="shared" si="6"/>
        <v>0</v>
      </c>
      <c r="W68" s="1466">
        <f t="shared" si="51"/>
        <v>0</v>
      </c>
      <c r="X68" s="1466">
        <f t="shared" si="52"/>
        <v>0</v>
      </c>
      <c r="Y68" s="1466">
        <f t="shared" si="7"/>
        <v>0</v>
      </c>
      <c r="Z68" s="1467">
        <f t="shared" si="53"/>
        <v>0</v>
      </c>
      <c r="AA68" s="1465">
        <f t="shared" si="8"/>
        <v>0</v>
      </c>
      <c r="AB68" s="1466">
        <f t="shared" si="54"/>
        <v>0</v>
      </c>
      <c r="AC68" s="1466">
        <f t="shared" si="55"/>
        <v>0</v>
      </c>
      <c r="AD68" s="1466">
        <f t="shared" si="56"/>
        <v>0</v>
      </c>
      <c r="AE68" s="1467">
        <f t="shared" si="57"/>
        <v>0</v>
      </c>
      <c r="AF68" s="1465">
        <f t="shared" si="9"/>
        <v>0</v>
      </c>
      <c r="AG68" s="1466">
        <f t="shared" si="58"/>
        <v>0</v>
      </c>
      <c r="AH68" s="1466">
        <f t="shared" si="59"/>
        <v>0</v>
      </c>
      <c r="AI68" s="1466">
        <f t="shared" si="60"/>
        <v>0</v>
      </c>
      <c r="AJ68" s="1467">
        <f t="shared" si="61"/>
        <v>0</v>
      </c>
      <c r="AK68" s="1468" t="b">
        <f t="shared" si="10"/>
        <v>1</v>
      </c>
      <c r="AL68" s="1469" t="b">
        <f t="shared" si="11"/>
        <v>1</v>
      </c>
      <c r="AM68" s="1469" t="str">
        <f t="shared" si="12"/>
        <v/>
      </c>
      <c r="AN68" s="1469" t="b">
        <f t="shared" si="13"/>
        <v>0</v>
      </c>
      <c r="AO68" s="1470" t="b">
        <f>IF(OR(COUNTBLANK(D68:I68)=6,AND(COUNTBLANK(D68:G68)=4,H68=0)),OR(AN69:AN$69),NOT(AN68))</f>
        <v>0</v>
      </c>
      <c r="AP68" s="1469" t="b">
        <f t="shared" si="14"/>
        <v>1</v>
      </c>
      <c r="AQ68" s="1469" t="b">
        <f t="shared" si="62"/>
        <v>1</v>
      </c>
      <c r="AR68" s="1471">
        <f t="shared" si="15"/>
        <v>0</v>
      </c>
      <c r="AS68" s="1471" t="str">
        <f t="shared" si="16"/>
        <v/>
      </c>
      <c r="AT68" s="1472" t="str">
        <f t="shared" si="63"/>
        <v/>
      </c>
      <c r="AU68" s="1473" t="str">
        <f t="shared" si="17"/>
        <v/>
      </c>
      <c r="AV68" s="1474" t="str">
        <f t="shared" si="18"/>
        <v/>
      </c>
      <c r="AW68" s="1475"/>
      <c r="AX68" s="1474" t="str">
        <f t="shared" si="64"/>
        <v/>
      </c>
      <c r="AY68" s="1762"/>
      <c r="AZ68" s="1762"/>
      <c r="BA68" s="1476" t="b">
        <f t="shared" si="19"/>
        <v>0</v>
      </c>
      <c r="BB68" s="1477" t="b">
        <f t="shared" si="20"/>
        <v>0</v>
      </c>
      <c r="BC68" s="1478" t="b">
        <f t="shared" si="21"/>
        <v>0</v>
      </c>
      <c r="BD68" s="1476" t="b">
        <f t="shared" si="22"/>
        <v>0</v>
      </c>
      <c r="BE68" s="1476" t="b">
        <f t="shared" si="23"/>
        <v>1</v>
      </c>
      <c r="BF68" s="1477" t="b">
        <f t="shared" si="24"/>
        <v>0</v>
      </c>
      <c r="BG68" s="1478" t="b">
        <f t="shared" si="25"/>
        <v>0</v>
      </c>
      <c r="BH68" s="1476" t="b">
        <f t="shared" si="26"/>
        <v>0</v>
      </c>
      <c r="BI68" s="1477" t="b">
        <f t="shared" si="65"/>
        <v>0</v>
      </c>
      <c r="BJ68" s="1479" t="b">
        <f t="shared" si="27"/>
        <v>0</v>
      </c>
      <c r="BK68" s="1480" t="b">
        <f t="shared" si="28"/>
        <v>0</v>
      </c>
      <c r="BL68" s="1481" t="str">
        <f t="shared" si="29"/>
        <v/>
      </c>
      <c r="BN68" s="590" t="str">
        <f t="shared" si="30"/>
        <v>no data</v>
      </c>
      <c r="BP68" s="592">
        <v>39</v>
      </c>
      <c r="BQ68" s="592" t="str">
        <f t="shared" si="31"/>
        <v>-</v>
      </c>
      <c r="BU68" s="572"/>
      <c r="BV68" s="175"/>
      <c r="BW68" s="140"/>
      <c r="BX68" s="140"/>
      <c r="BY68" s="1483">
        <f t="shared" si="32"/>
        <v>39</v>
      </c>
      <c r="BZ68" s="1222">
        <f t="shared" si="32"/>
        <v>0</v>
      </c>
      <c r="CA68" s="1222">
        <f t="shared" si="33"/>
        <v>0</v>
      </c>
      <c r="CB68" s="1223" t="str">
        <f t="shared" si="34"/>
        <v/>
      </c>
      <c r="CC68" s="1224" t="str">
        <f>IF(AQ68,IF(ISNUMBER(#REF!),MAX('Adjustment factors'!$S$16,0.2+0.8*#REF!),IF(ISTEXT(J68),VLOOKUP(J68,Afactors,2,FALSE),"")),"")</f>
        <v/>
      </c>
      <c r="CD68" s="1484" t="str">
        <f t="shared" si="35"/>
        <v/>
      </c>
      <c r="CE68" s="140"/>
      <c r="CF68" s="140"/>
      <c r="CG68" s="140"/>
      <c r="CH68" s="140"/>
      <c r="CI68" s="140"/>
      <c r="CJ68" s="140"/>
      <c r="CK68" s="140"/>
      <c r="CL68" s="140"/>
      <c r="CM68" s="140"/>
      <c r="CN68" s="140"/>
      <c r="CO68" s="140"/>
      <c r="CP68" s="140"/>
      <c r="CQ68" s="140"/>
      <c r="CR68" s="140"/>
      <c r="CS68" s="140"/>
      <c r="CU68" s="590" t="str">
        <f t="shared" si="36"/>
        <v>OK</v>
      </c>
      <c r="CV68" s="590" t="str">
        <f t="shared" si="37"/>
        <v>OK</v>
      </c>
      <c r="CW68" s="590" t="str">
        <f t="shared" si="38"/>
        <v>OK</v>
      </c>
      <c r="CX68" s="590" t="str">
        <f t="shared" si="39"/>
        <v>OK</v>
      </c>
      <c r="CY68" s="939" t="str">
        <f t="shared" si="40"/>
        <v>OK</v>
      </c>
      <c r="CZ68" s="590" t="str">
        <f t="shared" si="41"/>
        <v>OK</v>
      </c>
      <c r="DA68" s="590" t="str">
        <f t="shared" si="42"/>
        <v>OK</v>
      </c>
      <c r="DB68" s="590" t="str">
        <f t="shared" si="43"/>
        <v>OK</v>
      </c>
      <c r="DC68" s="590" t="str">
        <f>IF(AND(ISNUMBER(#REF!),J68&lt;&gt;FixedDim),"Select fixed dimming with an illuminance factor","OK")</f>
        <v>OK</v>
      </c>
      <c r="DD68" s="590" t="str">
        <f>IF(AND(NOT(ISNUMBER(#REF!)),J68=FixedDim),"Enter an illuminance factor","OK")</f>
        <v>OK</v>
      </c>
      <c r="DE68" s="590" t="str">
        <f t="shared" si="66"/>
        <v>OK</v>
      </c>
      <c r="DF68" s="590" t="str">
        <f t="shared" si="44"/>
        <v>OK</v>
      </c>
      <c r="DG68" s="590" t="str">
        <f t="shared" si="45"/>
        <v>OK</v>
      </c>
      <c r="DH68" s="590" t="str">
        <f t="shared" si="46"/>
        <v>OK</v>
      </c>
      <c r="DI68" s="939" t="str">
        <f t="shared" si="47"/>
        <v>OK</v>
      </c>
      <c r="DJ68" s="591">
        <f t="shared" si="48"/>
        <v>0</v>
      </c>
      <c r="DK68" s="940" t="str">
        <f t="shared" si="49"/>
        <v>OK</v>
      </c>
    </row>
    <row r="69" spans="1:116" ht="18" hidden="1" x14ac:dyDescent="0.4">
      <c r="A69" s="589"/>
      <c r="B69" s="1485" t="str">
        <f t="shared" si="0"/>
        <v>-</v>
      </c>
      <c r="C69" s="1214">
        <v>40</v>
      </c>
      <c r="D69" s="1215"/>
      <c r="E69" s="1216"/>
      <c r="F69" s="1217"/>
      <c r="G69" s="1218"/>
      <c r="H69" s="1760"/>
      <c r="I69" s="1760"/>
      <c r="J69" s="1460"/>
      <c r="K69" s="1219"/>
      <c r="L69" s="1219"/>
      <c r="M69" s="1220"/>
      <c r="N69" s="1221" t="str">
        <f t="shared" si="1"/>
        <v/>
      </c>
      <c r="O69" s="1221" t="str">
        <f t="shared" si="1"/>
        <v/>
      </c>
      <c r="P69" s="1461" t="str">
        <f t="shared" si="2"/>
        <v/>
      </c>
      <c r="Q69" s="150"/>
      <c r="R69" s="1462" t="str">
        <f t="shared" si="3"/>
        <v/>
      </c>
      <c r="S69" s="1463" t="b">
        <f t="shared" si="4"/>
        <v>0</v>
      </c>
      <c r="T69" s="1464" t="str">
        <f t="shared" si="50"/>
        <v/>
      </c>
      <c r="U69" s="1464" t="str">
        <f t="shared" si="5"/>
        <v/>
      </c>
      <c r="V69" s="1465">
        <f t="shared" si="6"/>
        <v>0</v>
      </c>
      <c r="W69" s="1466">
        <f t="shared" si="51"/>
        <v>0</v>
      </c>
      <c r="X69" s="1466">
        <f t="shared" si="52"/>
        <v>0</v>
      </c>
      <c r="Y69" s="1466">
        <f t="shared" si="7"/>
        <v>0</v>
      </c>
      <c r="Z69" s="1467">
        <f t="shared" si="53"/>
        <v>0</v>
      </c>
      <c r="AA69" s="1465">
        <f t="shared" si="8"/>
        <v>0</v>
      </c>
      <c r="AB69" s="1466">
        <f t="shared" si="54"/>
        <v>0</v>
      </c>
      <c r="AC69" s="1466">
        <f t="shared" si="55"/>
        <v>0</v>
      </c>
      <c r="AD69" s="1466">
        <f t="shared" si="56"/>
        <v>0</v>
      </c>
      <c r="AE69" s="1467">
        <f t="shared" si="57"/>
        <v>0</v>
      </c>
      <c r="AF69" s="1465">
        <f t="shared" si="9"/>
        <v>0</v>
      </c>
      <c r="AG69" s="1466">
        <f t="shared" si="58"/>
        <v>0</v>
      </c>
      <c r="AH69" s="1466">
        <f t="shared" si="59"/>
        <v>0</v>
      </c>
      <c r="AI69" s="1466">
        <f t="shared" si="60"/>
        <v>0</v>
      </c>
      <c r="AJ69" s="1467">
        <f t="shared" si="61"/>
        <v>0</v>
      </c>
      <c r="AK69" s="1468" t="b">
        <f t="shared" si="10"/>
        <v>1</v>
      </c>
      <c r="AL69" s="1469" t="b">
        <f t="shared" si="11"/>
        <v>1</v>
      </c>
      <c r="AM69" s="1469" t="str">
        <f t="shared" si="12"/>
        <v/>
      </c>
      <c r="AN69" s="1469" t="b">
        <f t="shared" si="13"/>
        <v>0</v>
      </c>
      <c r="AO69" s="1470" t="b">
        <f>IF(OR(COUNTBLANK(D69:I69)=6,AND(COUNTBLANK(D69:G69)=4,H69=0)),OR(AN$69:AN71),NOT(AN69))</f>
        <v>0</v>
      </c>
      <c r="AP69" s="1469" t="b">
        <f t="shared" si="14"/>
        <v>1</v>
      </c>
      <c r="AQ69" s="1469" t="b">
        <f t="shared" si="62"/>
        <v>1</v>
      </c>
      <c r="AR69" s="1471">
        <f t="shared" si="15"/>
        <v>0</v>
      </c>
      <c r="AS69" s="1471" t="str">
        <f t="shared" si="16"/>
        <v/>
      </c>
      <c r="AT69" s="1472" t="str">
        <f t="shared" si="63"/>
        <v/>
      </c>
      <c r="AU69" s="1473" t="str">
        <f t="shared" si="17"/>
        <v/>
      </c>
      <c r="AV69" s="1474" t="str">
        <f t="shared" si="18"/>
        <v/>
      </c>
      <c r="AW69" s="1475"/>
      <c r="AX69" s="1474" t="str">
        <f t="shared" si="64"/>
        <v/>
      </c>
      <c r="AY69" s="1763"/>
      <c r="AZ69" s="1763"/>
      <c r="BA69" s="1476" t="b">
        <f t="shared" si="19"/>
        <v>0</v>
      </c>
      <c r="BB69" s="1477" t="b">
        <f t="shared" si="20"/>
        <v>0</v>
      </c>
      <c r="BC69" s="1478" t="b">
        <f t="shared" si="21"/>
        <v>0</v>
      </c>
      <c r="BD69" s="1476" t="b">
        <f t="shared" si="22"/>
        <v>0</v>
      </c>
      <c r="BE69" s="1476" t="b">
        <f t="shared" si="23"/>
        <v>1</v>
      </c>
      <c r="BF69" s="1477" t="b">
        <f t="shared" si="24"/>
        <v>0</v>
      </c>
      <c r="BG69" s="1478" t="b">
        <f t="shared" si="25"/>
        <v>0</v>
      </c>
      <c r="BH69" s="1476" t="b">
        <f t="shared" si="26"/>
        <v>0</v>
      </c>
      <c r="BI69" s="1477" t="b">
        <f t="shared" si="65"/>
        <v>0</v>
      </c>
      <c r="BJ69" s="1479" t="b">
        <f t="shared" si="27"/>
        <v>0</v>
      </c>
      <c r="BK69" s="1480" t="b">
        <f t="shared" si="28"/>
        <v>0</v>
      </c>
      <c r="BL69" s="1481" t="str">
        <f t="shared" si="29"/>
        <v/>
      </c>
      <c r="BN69" s="590" t="str">
        <f t="shared" si="30"/>
        <v>no data</v>
      </c>
      <c r="BP69" s="592">
        <v>40</v>
      </c>
      <c r="BQ69" s="592" t="str">
        <f t="shared" si="31"/>
        <v>-</v>
      </c>
      <c r="BU69" s="572"/>
      <c r="BV69" s="175"/>
      <c r="BW69" s="140"/>
      <c r="BX69" s="140"/>
      <c r="BY69" s="1483">
        <f t="shared" si="32"/>
        <v>40</v>
      </c>
      <c r="BZ69" s="1222">
        <f t="shared" si="32"/>
        <v>0</v>
      </c>
      <c r="CA69" s="1222">
        <f t="shared" si="33"/>
        <v>0</v>
      </c>
      <c r="CB69" s="1223" t="str">
        <f t="shared" si="34"/>
        <v/>
      </c>
      <c r="CC69" s="1224" t="str">
        <f>IF(AQ69,IF(ISNUMBER(#REF!),MAX('Adjustment factors'!$S$16,0.2+0.8*#REF!),IF(ISTEXT(J69),VLOOKUP(J69,Afactors,2,FALSE),"")),"")</f>
        <v/>
      </c>
      <c r="CD69" s="1484" t="str">
        <f t="shared" si="35"/>
        <v/>
      </c>
      <c r="CE69" s="140"/>
      <c r="CF69" s="140"/>
      <c r="CG69" s="140"/>
      <c r="CH69" s="140"/>
      <c r="CI69" s="140"/>
      <c r="CJ69" s="140"/>
      <c r="CK69" s="140"/>
      <c r="CL69" s="140"/>
      <c r="CM69" s="140"/>
      <c r="CN69" s="140"/>
      <c r="CO69" s="140"/>
      <c r="CP69" s="140"/>
      <c r="CQ69" s="140"/>
      <c r="CR69" s="140"/>
      <c r="CS69" s="140"/>
      <c r="CU69" s="590" t="str">
        <f t="shared" si="36"/>
        <v>OK</v>
      </c>
      <c r="CV69" s="590" t="str">
        <f t="shared" si="37"/>
        <v>OK</v>
      </c>
      <c r="CW69" s="590" t="str">
        <f t="shared" si="38"/>
        <v>OK</v>
      </c>
      <c r="CX69" s="590" t="str">
        <f t="shared" si="39"/>
        <v>OK</v>
      </c>
      <c r="CY69" s="939" t="str">
        <f t="shared" si="40"/>
        <v>OK</v>
      </c>
      <c r="CZ69" s="590" t="str">
        <f t="shared" si="41"/>
        <v>OK</v>
      </c>
      <c r="DA69" s="590" t="str">
        <f t="shared" si="42"/>
        <v>OK</v>
      </c>
      <c r="DB69" s="590" t="str">
        <f t="shared" si="43"/>
        <v>OK</v>
      </c>
      <c r="DC69" s="590" t="str">
        <f>IF(AND(ISNUMBER(#REF!),J69&lt;&gt;FixedDim),"Select fixed dimming with an illuminance factor","OK")</f>
        <v>OK</v>
      </c>
      <c r="DD69" s="590" t="str">
        <f>IF(AND(NOT(ISNUMBER(#REF!)),J69=FixedDim),"Enter an illuminance factor","OK")</f>
        <v>OK</v>
      </c>
      <c r="DE69" s="590" t="str">
        <f t="shared" si="66"/>
        <v>OK</v>
      </c>
      <c r="DF69" s="590" t="str">
        <f t="shared" si="44"/>
        <v>OK</v>
      </c>
      <c r="DG69" s="590" t="str">
        <f t="shared" si="45"/>
        <v>OK</v>
      </c>
      <c r="DH69" s="590" t="str">
        <f t="shared" si="46"/>
        <v>OK</v>
      </c>
      <c r="DI69" s="939" t="str">
        <f t="shared" si="47"/>
        <v>OK</v>
      </c>
      <c r="DJ69" s="591">
        <f t="shared" si="48"/>
        <v>0</v>
      </c>
      <c r="DK69" s="940" t="str">
        <f t="shared" si="49"/>
        <v>OK</v>
      </c>
    </row>
    <row r="70" spans="1:116" ht="17.5" x14ac:dyDescent="0.35">
      <c r="A70" s="589"/>
      <c r="B70" s="150"/>
      <c r="C70" s="150"/>
      <c r="D70" s="150"/>
      <c r="E70" s="150"/>
      <c r="F70" s="150"/>
      <c r="G70" s="150"/>
      <c r="H70" s="150"/>
      <c r="I70" s="150"/>
      <c r="J70" s="150"/>
      <c r="K70" s="150"/>
      <c r="L70" s="150"/>
      <c r="M70" s="150"/>
      <c r="N70" s="150"/>
      <c r="O70" s="150"/>
      <c r="P70" s="150"/>
      <c r="Q70" s="150"/>
      <c r="R70" s="593"/>
      <c r="S70" s="593"/>
      <c r="T70" s="593"/>
      <c r="U70" s="593"/>
      <c r="V70" s="593"/>
      <c r="W70" s="593"/>
      <c r="X70" s="593"/>
      <c r="Y70" s="593"/>
      <c r="Z70" s="593"/>
      <c r="AA70" s="593"/>
      <c r="AB70" s="593"/>
      <c r="AC70" s="593"/>
      <c r="AD70" s="593"/>
      <c r="AE70" s="593"/>
      <c r="AF70" s="593"/>
      <c r="AG70" s="593"/>
      <c r="AH70" s="593"/>
      <c r="AI70" s="593"/>
      <c r="AJ70" s="593"/>
      <c r="AK70" s="1468"/>
      <c r="AL70" s="1469"/>
      <c r="AM70" s="1469"/>
      <c r="AN70" s="593"/>
      <c r="AO70" s="593"/>
      <c r="AP70" s="593"/>
      <c r="AQ70" s="593"/>
      <c r="AR70" s="593"/>
      <c r="AS70" s="593"/>
      <c r="AT70" s="593"/>
      <c r="AU70" s="593"/>
      <c r="AV70" s="594"/>
      <c r="AW70" s="593"/>
      <c r="AX70" s="593"/>
      <c r="AY70" s="593"/>
      <c r="AZ70" s="593"/>
      <c r="BA70" s="593"/>
      <c r="BB70" s="593"/>
      <c r="BC70" s="593"/>
      <c r="BD70" s="593"/>
      <c r="BE70" s="593"/>
      <c r="BF70" s="593"/>
      <c r="BG70" s="593"/>
      <c r="BH70" s="593"/>
      <c r="BI70" s="593"/>
      <c r="BJ70" s="593"/>
      <c r="BK70" s="593"/>
      <c r="BL70" s="593"/>
      <c r="BM70" s="593"/>
      <c r="BN70" s="593"/>
      <c r="BO70" s="593"/>
      <c r="BP70" s="593"/>
      <c r="BQ70" s="593"/>
      <c r="BR70" s="593"/>
      <c r="BS70" s="593"/>
      <c r="BT70" s="593"/>
      <c r="BU70" s="572"/>
      <c r="BV70" s="175"/>
      <c r="BW70" s="140"/>
      <c r="BX70" s="595"/>
      <c r="BY70" s="150"/>
      <c r="BZ70" s="150"/>
      <c r="CA70" s="150"/>
      <c r="CB70" s="150"/>
      <c r="CC70" s="150"/>
      <c r="CD70" s="150"/>
      <c r="CE70" s="150"/>
      <c r="CF70" s="150"/>
      <c r="CG70" s="140"/>
      <c r="CH70" s="140"/>
      <c r="CI70" s="140"/>
      <c r="CJ70" s="140"/>
      <c r="CK70" s="140"/>
      <c r="CL70" s="140"/>
      <c r="CM70" s="140"/>
      <c r="CN70" s="140"/>
      <c r="CO70" s="140"/>
      <c r="CP70" s="140"/>
      <c r="CQ70" s="140"/>
      <c r="CR70" s="140"/>
      <c r="CS70" s="140"/>
      <c r="CT70" s="140"/>
      <c r="CU70" s="593"/>
      <c r="CV70" s="593"/>
      <c r="CW70" s="593"/>
      <c r="CX70" s="593"/>
      <c r="CY70" s="593"/>
      <c r="CZ70" s="593"/>
      <c r="DA70" s="593"/>
      <c r="DB70" s="593"/>
      <c r="DC70" s="593"/>
      <c r="DD70" s="590"/>
      <c r="DE70" s="593"/>
      <c r="DF70" s="593"/>
      <c r="DG70" s="593"/>
      <c r="DH70" s="593"/>
      <c r="DI70" s="593"/>
      <c r="DJ70" s="593"/>
      <c r="DK70" s="593"/>
      <c r="DL70" s="593"/>
    </row>
    <row r="71" spans="1:116" ht="35.25" customHeight="1" thickBot="1" x14ac:dyDescent="0.4">
      <c r="A71" s="175"/>
      <c r="B71" s="150"/>
      <c r="C71" s="596"/>
      <c r="D71" s="597"/>
      <c r="E71" s="597"/>
      <c r="F71" s="597"/>
      <c r="G71" s="598"/>
      <c r="H71" s="599"/>
      <c r="I71" s="597"/>
      <c r="J71" s="599"/>
      <c r="K71" s="599"/>
      <c r="L71" s="599"/>
      <c r="M71" s="599"/>
      <c r="N71" s="600" t="str">
        <f>IFERROR(IF(I114,"Allowance",""),"")</f>
        <v/>
      </c>
      <c r="O71" s="601" t="str">
        <f>IFERROR(IF(I114,"Design Average",""),"")</f>
        <v/>
      </c>
      <c r="P71" s="602"/>
      <c r="Q71" s="150"/>
      <c r="R71" s="603"/>
      <c r="S71" s="603"/>
      <c r="T71" s="603"/>
      <c r="U71" s="604"/>
      <c r="V71" s="605" t="s">
        <v>1777</v>
      </c>
      <c r="W71" s="605" t="s">
        <v>1778</v>
      </c>
      <c r="X71" s="605" t="s">
        <v>1779</v>
      </c>
      <c r="Y71" s="605" t="s">
        <v>1780</v>
      </c>
      <c r="Z71" s="1486"/>
      <c r="AA71" s="605" t="s">
        <v>1777</v>
      </c>
      <c r="AB71" s="605" t="s">
        <v>1778</v>
      </c>
      <c r="AC71" s="605" t="s">
        <v>1779</v>
      </c>
      <c r="AD71" s="605" t="s">
        <v>1780</v>
      </c>
      <c r="AE71" s="1487" t="s">
        <v>1781</v>
      </c>
      <c r="AF71" s="605" t="s">
        <v>1777</v>
      </c>
      <c r="AG71" s="605" t="s">
        <v>1778</v>
      </c>
      <c r="AH71" s="605" t="s">
        <v>1779</v>
      </c>
      <c r="AI71" s="605" t="s">
        <v>1780</v>
      </c>
      <c r="AJ71" s="1487" t="s">
        <v>1781</v>
      </c>
      <c r="AK71" s="603"/>
      <c r="AL71" s="1469"/>
      <c r="AR71" s="433"/>
      <c r="AS71" s="433"/>
      <c r="AT71" s="433"/>
      <c r="AU71" s="433"/>
      <c r="AV71" s="606"/>
      <c r="AW71" s="433"/>
      <c r="AX71" s="433"/>
      <c r="AY71" s="433"/>
      <c r="AZ71" s="433"/>
      <c r="BA71" s="433"/>
      <c r="BB71" s="433"/>
      <c r="BC71" s="433"/>
      <c r="BD71" s="433"/>
      <c r="BE71" s="433"/>
      <c r="BF71" s="433"/>
      <c r="BG71" s="433"/>
      <c r="BH71" s="433"/>
      <c r="BI71" s="433"/>
      <c r="BJ71" s="607"/>
      <c r="BK71" s="607"/>
      <c r="BL71" s="603"/>
      <c r="BP71" s="603"/>
      <c r="BQ71" s="603"/>
      <c r="BU71" s="572"/>
      <c r="BV71" s="175"/>
      <c r="BW71" s="140"/>
      <c r="BX71" s="140"/>
      <c r="BY71" s="150"/>
      <c r="BZ71" s="150"/>
      <c r="CA71" s="150"/>
      <c r="CB71" s="608"/>
      <c r="CC71" s="150"/>
      <c r="CD71" s="150"/>
      <c r="CE71" s="150"/>
      <c r="CF71" s="150"/>
      <c r="CG71" s="140"/>
      <c r="CH71" s="140"/>
      <c r="CI71" s="140"/>
      <c r="CJ71" s="140"/>
      <c r="CK71" s="140"/>
      <c r="CL71" s="140"/>
      <c r="CM71" s="140"/>
      <c r="CN71" s="140"/>
      <c r="CO71" s="140"/>
      <c r="CP71" s="140"/>
      <c r="CQ71" s="140"/>
      <c r="CR71" s="140"/>
      <c r="CS71" s="140"/>
      <c r="CT71" s="140"/>
    </row>
    <row r="72" spans="1:116" ht="15.75" customHeight="1" thickBot="1" x14ac:dyDescent="0.4">
      <c r="A72" s="175"/>
      <c r="B72" s="150"/>
      <c r="C72" s="596"/>
      <c r="D72" s="597"/>
      <c r="E72" s="597"/>
      <c r="F72" s="1488">
        <f>SUM(F30:F69)</f>
        <v>0</v>
      </c>
      <c r="G72" s="941" t="str">
        <f>IF(COUNTA(G30:G69)=0,"",SUM(G30:G69))</f>
        <v/>
      </c>
      <c r="H72" s="599"/>
      <c r="I72" s="597"/>
      <c r="J72" s="1765" t="str">
        <f>O100</f>
        <v/>
      </c>
      <c r="K72" s="1765"/>
      <c r="L72" s="1765"/>
      <c r="M72" s="1765"/>
      <c r="N72" s="609" t="str">
        <f>IF(V72&gt;0,O105,"")</f>
        <v/>
      </c>
      <c r="O72" s="609" t="str">
        <f>IF(AND(I114,OR(ClassificationTwo=Class1)),P105,"")</f>
        <v/>
      </c>
      <c r="P72" s="610"/>
      <c r="Q72" s="150"/>
      <c r="R72" s="603"/>
      <c r="S72" s="603"/>
      <c r="T72" s="603"/>
      <c r="U72" s="604"/>
      <c r="V72" s="604">
        <f>SUM(V30:V69)</f>
        <v>0</v>
      </c>
      <c r="W72" s="604">
        <f>SUM(W30:W69)</f>
        <v>0</v>
      </c>
      <c r="X72" s="604" t="e">
        <f>Y72/V72</f>
        <v>#DIV/0!</v>
      </c>
      <c r="Y72" s="604">
        <f>SUM(Y30:Y69)</f>
        <v>0</v>
      </c>
      <c r="Z72" s="611">
        <f>COUNT(Z30:Z69)</f>
        <v>40</v>
      </c>
      <c r="AA72" s="604">
        <f>SUM(AA30:AA69)</f>
        <v>0</v>
      </c>
      <c r="AB72" s="604">
        <f>SUM(AB30:AB69)</f>
        <v>0</v>
      </c>
      <c r="AC72" s="604" t="e">
        <f>AD72/AA72</f>
        <v>#DIV/0!</v>
      </c>
      <c r="AD72" s="604">
        <f>SUM(AD30:AD69)</f>
        <v>0</v>
      </c>
      <c r="AE72" s="611">
        <f>COUNT(AE30:AE69)</f>
        <v>40</v>
      </c>
      <c r="AF72" s="604">
        <f>SUM(AF30:AF69)</f>
        <v>0</v>
      </c>
      <c r="AG72" s="604">
        <f>SUM(AG30:AG69)</f>
        <v>0</v>
      </c>
      <c r="AH72" s="604" t="e">
        <f>AI72/AF72</f>
        <v>#DIV/0!</v>
      </c>
      <c r="AI72" s="604">
        <f>SUM(AI30:AI69)</f>
        <v>0</v>
      </c>
      <c r="AJ72" s="604">
        <f>COUNT(AJ30:AJ69)</f>
        <v>40</v>
      </c>
      <c r="AK72" s="603"/>
      <c r="AR72" s="433"/>
      <c r="AS72" s="433"/>
      <c r="AT72" s="433"/>
      <c r="AU72" s="433"/>
      <c r="AV72" s="606"/>
      <c r="AW72" s="433"/>
      <c r="AX72" s="433"/>
      <c r="AY72" s="433"/>
      <c r="AZ72" s="433"/>
      <c r="BA72" s="433"/>
      <c r="BB72" s="433"/>
      <c r="BC72" s="433"/>
      <c r="BD72" s="433"/>
      <c r="BE72" s="433"/>
      <c r="BF72" s="433"/>
      <c r="BG72" s="433"/>
      <c r="BH72" s="433"/>
      <c r="BI72" s="433"/>
      <c r="BJ72" s="607"/>
      <c r="BK72" s="607"/>
      <c r="BL72" s="603"/>
      <c r="BN72" s="612">
        <f>SUM(BN30:BN69)</f>
        <v>0</v>
      </c>
      <c r="BP72" s="603"/>
      <c r="BQ72" s="603"/>
      <c r="BU72" s="572"/>
      <c r="BV72" s="175"/>
      <c r="BW72" s="140"/>
      <c r="BX72" s="140"/>
      <c r="BY72" s="150"/>
      <c r="BZ72" s="150"/>
      <c r="CA72" s="1489" t="s">
        <v>1779</v>
      </c>
      <c r="CB72" s="1223" t="e">
        <f>IF(AQ30,AVERAGE(CB30:CB69),"")</f>
        <v>#DIV/0!</v>
      </c>
      <c r="CC72" s="1489" t="s">
        <v>1779</v>
      </c>
      <c r="CD72" s="1490" t="e">
        <f>IF(AQ30,AVERAGE(CD30:CD69),"")</f>
        <v>#DIV/0!</v>
      </c>
      <c r="CE72" s="613"/>
      <c r="CF72" s="150"/>
      <c r="CG72" s="140"/>
      <c r="CH72" s="140"/>
      <c r="CI72" s="140"/>
      <c r="CJ72" s="140"/>
      <c r="CK72" s="140"/>
      <c r="CL72" s="140"/>
      <c r="CM72" s="140"/>
      <c r="CN72" s="140"/>
      <c r="CO72" s="140"/>
      <c r="CP72" s="140"/>
      <c r="CQ72" s="140"/>
      <c r="CR72" s="140"/>
      <c r="CS72" s="140"/>
      <c r="CT72" s="140"/>
    </row>
    <row r="73" spans="1:116" ht="15" customHeight="1" x14ac:dyDescent="0.35">
      <c r="A73" s="175"/>
      <c r="B73" s="150"/>
      <c r="C73" s="596"/>
      <c r="D73" s="597"/>
      <c r="E73" s="597"/>
      <c r="F73" s="614"/>
      <c r="G73" s="615"/>
      <c r="H73" s="599"/>
      <c r="I73" s="597"/>
      <c r="J73" s="1765" t="str">
        <f>O101</f>
        <v/>
      </c>
      <c r="K73" s="1765"/>
      <c r="L73" s="1765"/>
      <c r="M73" s="1765"/>
      <c r="N73" s="609" t="str">
        <f>IF(AA72&gt;0,O107,"")</f>
        <v/>
      </c>
      <c r="O73" s="609" t="str">
        <f>IF(AND(I114,OR(ClassificationTwo=Class1)),P107,"")</f>
        <v/>
      </c>
      <c r="P73" s="610"/>
      <c r="Q73" s="150"/>
      <c r="R73" s="603"/>
      <c r="S73" s="603"/>
      <c r="T73" s="603"/>
      <c r="U73" s="604"/>
      <c r="V73" s="604"/>
      <c r="W73" s="604"/>
      <c r="X73" s="604"/>
      <c r="Y73" s="604"/>
      <c r="Z73" s="604"/>
      <c r="AA73" s="604"/>
      <c r="AB73" s="604"/>
      <c r="AC73" s="604"/>
      <c r="AD73" s="604"/>
      <c r="AE73" s="604"/>
      <c r="AF73" s="604"/>
      <c r="AG73" s="604"/>
      <c r="AH73" s="604"/>
      <c r="AI73" s="604"/>
      <c r="AJ73" s="942"/>
      <c r="AK73" s="603"/>
      <c r="AR73" s="433"/>
      <c r="AS73" s="433"/>
      <c r="AT73" s="433"/>
      <c r="AU73" s="433"/>
      <c r="AV73" s="606"/>
      <c r="AW73" s="433"/>
      <c r="AX73" s="433"/>
      <c r="AY73" s="433"/>
      <c r="AZ73" s="433"/>
      <c r="BA73" s="433"/>
      <c r="BB73" s="433"/>
      <c r="BC73" s="433"/>
      <c r="BD73" s="433"/>
      <c r="BE73" s="433"/>
      <c r="BF73" s="433"/>
      <c r="BG73" s="433"/>
      <c r="BH73" s="433"/>
      <c r="BI73" s="433"/>
      <c r="BJ73" s="607"/>
      <c r="BK73" s="607"/>
      <c r="BL73" s="603"/>
      <c r="BN73" s="590" t="str">
        <f>IF(ISNA(BN72),"Invalid Location data is present","OK")</f>
        <v>OK</v>
      </c>
      <c r="BP73" s="603"/>
      <c r="BQ73" s="603"/>
      <c r="BU73" s="572"/>
      <c r="BV73" s="175"/>
      <c r="BW73" s="140"/>
      <c r="BX73" s="140"/>
      <c r="BY73" s="150"/>
      <c r="BZ73" s="150"/>
      <c r="CA73" s="616"/>
      <c r="CB73" s="617"/>
      <c r="CC73" s="150"/>
      <c r="CD73" s="616"/>
      <c r="CE73" s="618"/>
      <c r="CF73" s="150"/>
      <c r="CG73" s="140"/>
      <c r="CH73" s="140"/>
      <c r="CI73" s="140"/>
      <c r="CJ73" s="140"/>
      <c r="CK73" s="140"/>
      <c r="CL73" s="140"/>
      <c r="CM73" s="140"/>
      <c r="CN73" s="140"/>
      <c r="CO73" s="140"/>
      <c r="CP73" s="140"/>
      <c r="CQ73" s="140"/>
      <c r="CR73" s="140"/>
      <c r="CS73" s="140"/>
      <c r="CT73" s="140"/>
    </row>
    <row r="74" spans="1:116" ht="15" customHeight="1" x14ac:dyDescent="0.35">
      <c r="A74" s="175"/>
      <c r="B74" s="150"/>
      <c r="C74" s="596"/>
      <c r="D74" s="597"/>
      <c r="E74" s="597"/>
      <c r="F74" s="614"/>
      <c r="G74" s="615"/>
      <c r="H74" s="599"/>
      <c r="I74" s="597"/>
      <c r="J74" s="1765" t="str">
        <f>O102</f>
        <v/>
      </c>
      <c r="K74" s="1765"/>
      <c r="L74" s="1765"/>
      <c r="M74" s="1765"/>
      <c r="N74" s="609" t="str">
        <f>IF(AF72&gt;0,O108,"")</f>
        <v/>
      </c>
      <c r="O74" s="609" t="str">
        <f>IF(AND(I114,OR(ClassificationTwo=Class1,ClassificationTwo=Class10)),P108,"")</f>
        <v/>
      </c>
      <c r="P74" s="610"/>
      <c r="Q74" s="150"/>
      <c r="R74" s="603"/>
      <c r="S74" s="619" t="s">
        <v>1782</v>
      </c>
      <c r="T74" s="603"/>
      <c r="U74" s="604"/>
      <c r="V74" s="620" t="s">
        <v>1783</v>
      </c>
      <c r="W74" s="604"/>
      <c r="X74" s="604"/>
      <c r="Y74" s="604"/>
      <c r="Z74" s="604"/>
      <c r="AA74" s="620" t="s">
        <v>1784</v>
      </c>
      <c r="AB74" s="604"/>
      <c r="AC74" s="604"/>
      <c r="AD74" s="604"/>
      <c r="AE74" s="604"/>
      <c r="AF74" s="620" t="s">
        <v>1784</v>
      </c>
      <c r="AG74" s="604"/>
      <c r="AH74" s="604"/>
      <c r="AI74" s="604"/>
      <c r="AJ74" s="604"/>
      <c r="AK74" s="603"/>
      <c r="AR74" s="433"/>
      <c r="AS74" s="433"/>
      <c r="AT74" s="433"/>
      <c r="AU74" s="433"/>
      <c r="AV74" s="606"/>
      <c r="AW74" s="433"/>
      <c r="AX74" s="433"/>
      <c r="AY74" s="433"/>
      <c r="AZ74" s="433"/>
      <c r="BA74" s="433"/>
      <c r="BB74" s="433"/>
      <c r="BC74" s="433"/>
      <c r="BD74" s="433"/>
      <c r="BE74" s="433"/>
      <c r="BF74" s="433"/>
      <c r="BG74" s="433"/>
      <c r="BH74" s="433"/>
      <c r="BI74" s="433"/>
      <c r="BJ74" s="607"/>
      <c r="BK74" s="607"/>
      <c r="BL74" s="603"/>
      <c r="BP74" s="603"/>
      <c r="BQ74" s="603"/>
      <c r="BU74" s="572"/>
      <c r="BV74" s="175"/>
      <c r="BW74" s="140"/>
      <c r="BX74" s="140"/>
      <c r="BY74" s="150"/>
      <c r="BZ74" s="150"/>
      <c r="CA74" s="616"/>
      <c r="CB74" s="617"/>
      <c r="CC74" s="150"/>
      <c r="CD74" s="616"/>
      <c r="CE74" s="618"/>
      <c r="CF74" s="150"/>
      <c r="CG74" s="140"/>
      <c r="CH74" s="140"/>
      <c r="CI74" s="140"/>
      <c r="CJ74" s="140"/>
      <c r="CK74" s="140"/>
      <c r="CL74" s="140"/>
      <c r="CM74" s="140"/>
      <c r="CN74" s="140"/>
      <c r="CO74" s="140"/>
      <c r="CP74" s="140"/>
      <c r="CQ74" s="140"/>
      <c r="CR74" s="140"/>
      <c r="CS74" s="140"/>
      <c r="CT74" s="140"/>
    </row>
    <row r="75" spans="1:116" ht="17.5" x14ac:dyDescent="0.35">
      <c r="A75" s="175"/>
      <c r="B75" s="150"/>
      <c r="C75" s="596"/>
      <c r="D75" s="597"/>
      <c r="E75" s="597"/>
      <c r="F75" s="597"/>
      <c r="G75" s="597"/>
      <c r="H75" s="599"/>
      <c r="I75" s="597"/>
      <c r="J75" s="599"/>
      <c r="K75" s="599"/>
      <c r="L75" s="599"/>
      <c r="M75" s="599"/>
      <c r="N75" s="602"/>
      <c r="O75" s="602"/>
      <c r="P75" s="602"/>
      <c r="Q75" s="150"/>
      <c r="R75" s="603"/>
      <c r="S75" s="588">
        <f>COUNTIF(S30:S69,TRUE)</f>
        <v>0</v>
      </c>
      <c r="T75" s="603"/>
      <c r="U75" s="604"/>
      <c r="V75" s="604" t="b">
        <f>V72&gt;0</f>
        <v>0</v>
      </c>
      <c r="W75" s="604"/>
      <c r="X75" s="604"/>
      <c r="Y75" s="604"/>
      <c r="Z75" s="604"/>
      <c r="AA75" s="604" t="b">
        <f>AA72&gt;0</f>
        <v>0</v>
      </c>
      <c r="AB75" s="604"/>
      <c r="AC75" s="604"/>
      <c r="AD75" s="604"/>
      <c r="AE75" s="604"/>
      <c r="AF75" s="604" t="b">
        <f>AF72&gt;0</f>
        <v>0</v>
      </c>
      <c r="AG75" s="604"/>
      <c r="AH75" s="604"/>
      <c r="AI75" s="604"/>
      <c r="AJ75" s="604"/>
      <c r="AK75" s="603"/>
      <c r="AR75" s="433"/>
      <c r="AS75" s="433"/>
      <c r="AT75" s="433"/>
      <c r="AU75" s="433"/>
      <c r="AV75" s="606"/>
      <c r="AW75" s="433"/>
      <c r="AX75" s="433"/>
      <c r="AY75" s="433"/>
      <c r="AZ75" s="433"/>
      <c r="BA75" s="433"/>
      <c r="BB75" s="433"/>
      <c r="BC75" s="433"/>
      <c r="BD75" s="433"/>
      <c r="BE75" s="433"/>
      <c r="BF75" s="433"/>
      <c r="BG75" s="433"/>
      <c r="BH75" s="433"/>
      <c r="BI75" s="433"/>
      <c r="BJ75" s="607"/>
      <c r="BK75" s="607"/>
      <c r="BL75" s="603"/>
      <c r="BP75" s="603"/>
      <c r="BQ75" s="603"/>
      <c r="BU75" s="572"/>
      <c r="BV75" s="175"/>
      <c r="BW75" s="140"/>
      <c r="BX75" s="140"/>
      <c r="BY75" s="150"/>
      <c r="BZ75" s="150"/>
      <c r="CA75" s="150"/>
      <c r="CB75" s="150"/>
      <c r="CC75" s="150"/>
      <c r="CD75" s="150"/>
      <c r="CE75" s="150"/>
      <c r="CF75" s="150"/>
      <c r="CG75" s="140"/>
      <c r="CH75" s="140"/>
      <c r="CI75" s="140"/>
      <c r="CJ75" s="140"/>
      <c r="CK75" s="140"/>
      <c r="CL75" s="140"/>
      <c r="CM75" s="140"/>
      <c r="CN75" s="140"/>
      <c r="CO75" s="140"/>
      <c r="CP75" s="140"/>
      <c r="CQ75" s="140"/>
      <c r="CR75" s="140"/>
      <c r="CS75" s="140"/>
      <c r="CT75" s="140"/>
    </row>
    <row r="76" spans="1:116" ht="84" customHeight="1" x14ac:dyDescent="0.35">
      <c r="A76" s="175"/>
      <c r="B76" s="1766" t="str">
        <f>IF(I113,"The NCC offers pathways for a building to comply other than the Deemed-to-Satisfy provisions." &amp; " Consider using a Performance Solution or Verification Method. Verification Method V2.6.2.2 allows for energy to be traded between services, so it may be possible to release additional energy for lighting from another service." &amp; " This option should be discussed with other services trades as early in the project's design cycle as plausible.","")</f>
        <v/>
      </c>
      <c r="C76" s="1766"/>
      <c r="D76" s="1766"/>
      <c r="E76" s="1766"/>
      <c r="F76" s="1766"/>
      <c r="G76" s="1766"/>
      <c r="H76" s="1766"/>
      <c r="I76" s="1766"/>
      <c r="J76" s="1766"/>
      <c r="K76" s="1766"/>
      <c r="L76" s="1766"/>
      <c r="M76" s="1766"/>
      <c r="N76" s="621" t="str">
        <f>IFERROR(IF(AND(I114,COUNTA(D30:M69)&gt;0),"if inputs are valid",""),"")</f>
        <v/>
      </c>
      <c r="O76" s="1767" t="str">
        <f>IF(AND(I114,I112=TRUE),"ü",IF(AND(I114,OR(ADIPLClass1&gt;0,ADIPLbalc&gt;0,ADIPLClass10&gt;0)),"û",""))</f>
        <v/>
      </c>
      <c r="P76" s="1768"/>
      <c r="Q76" s="150"/>
      <c r="R76" s="508"/>
      <c r="S76" s="508"/>
      <c r="T76" s="508"/>
      <c r="U76" s="508"/>
      <c r="V76" s="604"/>
      <c r="W76" s="604"/>
      <c r="X76" s="604"/>
      <c r="Y76" s="604"/>
      <c r="Z76" s="604"/>
      <c r="AA76" s="604"/>
      <c r="AB76" s="604"/>
      <c r="AC76" s="604"/>
      <c r="AD76" s="604"/>
      <c r="AE76" s="604"/>
      <c r="AF76" s="604"/>
      <c r="AG76" s="604"/>
      <c r="AH76" s="604"/>
      <c r="AI76" s="604"/>
      <c r="AJ76" s="604"/>
      <c r="AK76" s="603"/>
      <c r="AR76" s="433"/>
      <c r="AS76" s="433"/>
      <c r="AT76" s="433"/>
      <c r="AU76" s="433"/>
      <c r="AV76" s="606"/>
      <c r="AW76" s="433"/>
      <c r="AX76" s="433"/>
      <c r="AY76" s="433"/>
      <c r="AZ76" s="433"/>
      <c r="BA76" s="433"/>
      <c r="BB76" s="433"/>
      <c r="BC76" s="433"/>
      <c r="BD76" s="433"/>
      <c r="BE76" s="433"/>
      <c r="BF76" s="433"/>
      <c r="BG76" s="433"/>
      <c r="BH76" s="433"/>
      <c r="BI76" s="433"/>
      <c r="BJ76" s="607"/>
      <c r="BK76" s="607"/>
      <c r="BL76" s="603"/>
      <c r="BP76" s="603"/>
      <c r="BQ76" s="603"/>
      <c r="BU76" s="572"/>
      <c r="BV76" s="175"/>
      <c r="BW76" s="140"/>
      <c r="BX76" s="140"/>
      <c r="BY76" s="150"/>
      <c r="BZ76" s="150"/>
      <c r="CA76" s="150"/>
      <c r="CB76" s="150"/>
      <c r="CC76" s="150"/>
      <c r="CD76" s="150"/>
      <c r="CE76" s="150"/>
      <c r="CF76" s="150"/>
      <c r="CG76" s="140"/>
      <c r="CH76" s="140"/>
      <c r="CI76" s="140"/>
      <c r="CJ76" s="140"/>
      <c r="CK76" s="140"/>
      <c r="CL76" s="140"/>
      <c r="CM76" s="140"/>
      <c r="CN76" s="140"/>
      <c r="CO76" s="140"/>
      <c r="CP76" s="140"/>
      <c r="CQ76" s="140"/>
      <c r="CR76" s="140"/>
      <c r="CS76" s="140"/>
      <c r="CT76" s="140"/>
    </row>
    <row r="77" spans="1:116" ht="15.5" x14ac:dyDescent="0.25">
      <c r="A77" s="175"/>
      <c r="B77" s="140"/>
      <c r="C77" s="574"/>
      <c r="D77" s="622"/>
      <c r="E77" s="622"/>
      <c r="F77" s="1769"/>
      <c r="G77" s="1770"/>
      <c r="H77" s="1770"/>
      <c r="I77" s="1770"/>
      <c r="J77" s="1770"/>
      <c r="K77" s="1770"/>
      <c r="L77" s="1770"/>
      <c r="M77" s="1770"/>
      <c r="N77" s="623"/>
      <c r="O77" s="623"/>
      <c r="P77" s="623"/>
      <c r="Q77" s="140"/>
      <c r="R77" s="603"/>
      <c r="S77" s="603"/>
      <c r="T77" s="603"/>
      <c r="U77" s="570"/>
      <c r="V77" s="603"/>
      <c r="W77" s="603"/>
      <c r="X77" s="603"/>
      <c r="Y77" s="603"/>
      <c r="Z77" s="603"/>
      <c r="AA77" s="603"/>
      <c r="AB77" s="603"/>
      <c r="AC77" s="603"/>
      <c r="AD77" s="603"/>
      <c r="AE77" s="603"/>
      <c r="AF77" s="603"/>
      <c r="AG77" s="603"/>
      <c r="AH77" s="603"/>
      <c r="AI77" s="603"/>
      <c r="AJ77" s="603"/>
      <c r="AK77" s="603"/>
      <c r="AR77" s="433"/>
      <c r="AS77" s="433"/>
      <c r="AT77" s="433"/>
      <c r="AU77" s="433"/>
      <c r="AV77" s="606"/>
      <c r="AW77" s="433"/>
      <c r="AX77" s="433"/>
      <c r="AY77" s="433"/>
      <c r="AZ77" s="433"/>
      <c r="BA77" s="433"/>
      <c r="BB77" s="433"/>
      <c r="BC77" s="433"/>
      <c r="BD77" s="433"/>
      <c r="BE77" s="433"/>
      <c r="BF77" s="433"/>
      <c r="BG77" s="433"/>
      <c r="BH77" s="433"/>
      <c r="BI77" s="433"/>
      <c r="BJ77" s="571"/>
      <c r="BK77" s="571"/>
      <c r="BL77" s="168" t="e">
        <f>IF(#REF!,TEXT(BJ77,"0.00%")&amp;" of "&amp;TEXT(BK77,"0.00%"),"")</f>
        <v>#REF!</v>
      </c>
      <c r="BP77" s="168"/>
      <c r="BU77" s="572"/>
      <c r="BV77" s="175"/>
      <c r="BW77" s="140"/>
      <c r="BX77" s="140"/>
      <c r="BY77" s="140"/>
      <c r="BZ77" s="140"/>
      <c r="CA77" s="140"/>
      <c r="CB77" s="140"/>
      <c r="CC77" s="140"/>
      <c r="CD77" s="140"/>
      <c r="CE77" s="140"/>
      <c r="CF77" s="140"/>
      <c r="CG77" s="140"/>
      <c r="CH77" s="140"/>
      <c r="CI77" s="140"/>
      <c r="CJ77" s="140"/>
      <c r="CK77" s="140"/>
      <c r="CL77" s="140"/>
      <c r="CM77" s="140"/>
      <c r="CN77" s="140"/>
      <c r="CO77" s="140"/>
      <c r="CP77" s="140"/>
      <c r="CQ77" s="140"/>
      <c r="CR77" s="140"/>
      <c r="CS77" s="140"/>
      <c r="CT77" s="140"/>
    </row>
    <row r="78" spans="1:116" x14ac:dyDescent="0.25">
      <c r="A78" s="175"/>
      <c r="B78" s="140"/>
      <c r="C78" s="140"/>
      <c r="D78" s="140"/>
      <c r="E78" s="140"/>
      <c r="F78" s="140"/>
      <c r="G78" s="140"/>
      <c r="H78" s="140"/>
      <c r="I78" s="140"/>
      <c r="J78" s="140"/>
      <c r="K78" s="140"/>
      <c r="L78" s="140"/>
      <c r="M78" s="140"/>
      <c r="N78" s="140"/>
      <c r="O78" s="140"/>
      <c r="P78" s="140"/>
      <c r="Q78" s="140"/>
      <c r="R78" s="603"/>
      <c r="S78" s="603"/>
      <c r="T78" s="603"/>
      <c r="U78" s="570"/>
      <c r="V78" s="603"/>
      <c r="W78" s="603"/>
      <c r="X78" s="603"/>
      <c r="Y78" s="603"/>
      <c r="Z78" s="603"/>
      <c r="AA78" s="603"/>
      <c r="AB78" s="603"/>
      <c r="AC78" s="603"/>
      <c r="AD78" s="603"/>
      <c r="AE78" s="603"/>
      <c r="AF78" s="603"/>
      <c r="AG78" s="603"/>
      <c r="AH78" s="603"/>
      <c r="AI78" s="603"/>
      <c r="AJ78" s="603"/>
      <c r="AK78" s="603"/>
      <c r="AR78" s="433"/>
      <c r="AS78" s="433"/>
      <c r="AT78" s="433"/>
      <c r="AU78" s="433"/>
      <c r="AV78" s="606"/>
      <c r="AW78" s="433"/>
      <c r="AX78" s="433"/>
      <c r="AY78" s="433"/>
      <c r="AZ78" s="433"/>
      <c r="BA78" s="433"/>
      <c r="BB78" s="433"/>
      <c r="BC78" s="433"/>
      <c r="BD78" s="433"/>
      <c r="BE78" s="433"/>
      <c r="BF78" s="433"/>
      <c r="BG78" s="433"/>
      <c r="BH78" s="433"/>
      <c r="BI78" s="433"/>
      <c r="BJ78" s="571"/>
      <c r="BK78" s="571"/>
      <c r="BP78" s="168"/>
      <c r="BU78" s="572"/>
      <c r="BV78" s="175"/>
      <c r="BW78" s="140"/>
      <c r="BX78" s="140"/>
      <c r="BY78" s="140"/>
      <c r="BZ78" s="140"/>
      <c r="CA78" s="140"/>
      <c r="CB78" s="140"/>
      <c r="CC78" s="140"/>
      <c r="CD78" s="140"/>
      <c r="CE78" s="140"/>
      <c r="CF78" s="140"/>
      <c r="CG78" s="140"/>
      <c r="CH78" s="140"/>
      <c r="CI78" s="140"/>
      <c r="CJ78" s="140"/>
      <c r="CK78" s="140"/>
      <c r="CL78" s="140"/>
      <c r="CM78" s="140"/>
      <c r="CN78" s="140"/>
      <c r="CO78" s="140"/>
      <c r="CP78" s="140"/>
      <c r="CQ78" s="140"/>
      <c r="CR78" s="140"/>
      <c r="CS78" s="140"/>
      <c r="CT78" s="140"/>
    </row>
    <row r="79" spans="1:116" x14ac:dyDescent="0.25">
      <c r="A79" s="175"/>
      <c r="B79" s="140"/>
      <c r="C79" s="140"/>
      <c r="D79" s="140"/>
      <c r="E79" s="140"/>
      <c r="F79" s="140"/>
      <c r="G79" s="140"/>
      <c r="H79" s="140"/>
      <c r="I79" s="140"/>
      <c r="J79" s="140"/>
      <c r="K79" s="140"/>
      <c r="L79" s="140"/>
      <c r="M79" s="140"/>
      <c r="N79" s="140"/>
      <c r="O79" s="140"/>
      <c r="P79" s="140"/>
      <c r="Q79" s="140"/>
      <c r="R79" s="603"/>
      <c r="S79" s="603"/>
      <c r="T79" s="603"/>
      <c r="U79" s="570"/>
      <c r="V79" s="603"/>
      <c r="W79" s="603"/>
      <c r="X79" s="603"/>
      <c r="Y79" s="603"/>
      <c r="Z79" s="603"/>
      <c r="AA79" s="603"/>
      <c r="AB79" s="603"/>
      <c r="AC79" s="603"/>
      <c r="AD79" s="603"/>
      <c r="AE79" s="603"/>
      <c r="AF79" s="603"/>
      <c r="AG79" s="603"/>
      <c r="AH79" s="603"/>
      <c r="AI79" s="603"/>
      <c r="AJ79" s="603"/>
      <c r="AK79" s="603"/>
      <c r="AR79" s="433"/>
      <c r="AS79" s="433"/>
      <c r="AT79" s="433"/>
      <c r="AU79" s="433"/>
      <c r="AV79" s="606"/>
      <c r="AW79" s="433"/>
      <c r="AX79" s="433"/>
      <c r="AY79" s="433"/>
      <c r="AZ79" s="433"/>
      <c r="BA79" s="433"/>
      <c r="BB79" s="433"/>
      <c r="BC79" s="433"/>
      <c r="BD79" s="433"/>
      <c r="BE79" s="433"/>
      <c r="BF79" s="433"/>
      <c r="BG79" s="433"/>
      <c r="BH79" s="433"/>
      <c r="BI79" s="433"/>
      <c r="BJ79" s="571"/>
      <c r="BK79" s="571"/>
      <c r="BP79" s="168"/>
      <c r="BU79" s="572"/>
      <c r="BV79" s="175"/>
      <c r="BW79" s="140"/>
      <c r="BX79" s="140"/>
      <c r="BY79" s="140"/>
      <c r="BZ79" s="140"/>
      <c r="CA79" s="140"/>
      <c r="CB79" s="140"/>
      <c r="CC79" s="140"/>
      <c r="CD79" s="140"/>
      <c r="CE79" s="140"/>
      <c r="CF79" s="140"/>
      <c r="CG79" s="140"/>
      <c r="CH79" s="140"/>
      <c r="CI79" s="140"/>
      <c r="CJ79" s="140"/>
      <c r="CK79" s="140"/>
      <c r="CL79" s="140"/>
      <c r="CM79" s="140"/>
      <c r="CN79" s="140"/>
      <c r="CO79" s="140"/>
      <c r="CP79" s="140"/>
      <c r="CQ79" s="140"/>
      <c r="CR79" s="140"/>
      <c r="CS79" s="140"/>
      <c r="CT79" s="140"/>
    </row>
    <row r="80" spans="1:116" x14ac:dyDescent="0.25">
      <c r="A80" s="175"/>
      <c r="B80" s="140"/>
      <c r="C80" s="140"/>
      <c r="D80" s="140"/>
      <c r="E80" s="140"/>
      <c r="F80" s="140"/>
      <c r="G80" s="140"/>
      <c r="H80" s="140"/>
      <c r="I80" s="140"/>
      <c r="J80" s="140"/>
      <c r="K80" s="140"/>
      <c r="L80" s="140"/>
      <c r="M80" s="140"/>
      <c r="N80" s="140"/>
      <c r="O80" s="140"/>
      <c r="P80" s="140"/>
      <c r="Q80" s="140"/>
      <c r="R80" s="603"/>
      <c r="S80" s="603"/>
      <c r="T80" s="603"/>
      <c r="U80" s="570"/>
      <c r="V80" s="603"/>
      <c r="W80" s="603"/>
      <c r="X80" s="603"/>
      <c r="Y80" s="603"/>
      <c r="Z80" s="603"/>
      <c r="AA80" s="603"/>
      <c r="AB80" s="603"/>
      <c r="AC80" s="603"/>
      <c r="AD80" s="603"/>
      <c r="AE80" s="603"/>
      <c r="AF80" s="603"/>
      <c r="AG80" s="603"/>
      <c r="AH80" s="603"/>
      <c r="AI80" s="603"/>
      <c r="AJ80" s="603"/>
      <c r="AK80" s="603"/>
      <c r="AR80" s="433"/>
      <c r="AS80" s="433"/>
      <c r="AT80" s="433"/>
      <c r="AU80" s="433"/>
      <c r="AV80" s="606"/>
      <c r="AW80" s="433"/>
      <c r="AX80" s="433"/>
      <c r="AY80" s="433"/>
      <c r="AZ80" s="433"/>
      <c r="BA80" s="433"/>
      <c r="BB80" s="433"/>
      <c r="BC80" s="433"/>
      <c r="BD80" s="433"/>
      <c r="BE80" s="433"/>
      <c r="BF80" s="433"/>
      <c r="BG80" s="433"/>
      <c r="BH80" s="433"/>
      <c r="BI80" s="433"/>
      <c r="BJ80" s="571"/>
      <c r="BK80" s="571"/>
      <c r="BP80" s="168"/>
      <c r="BU80" s="572"/>
      <c r="BV80" s="175"/>
      <c r="BW80" s="140"/>
      <c r="BX80" s="140"/>
      <c r="BY80" s="140"/>
      <c r="BZ80" s="140"/>
      <c r="CA80" s="140"/>
      <c r="CB80" s="140"/>
      <c r="CC80" s="140"/>
      <c r="CD80" s="140"/>
      <c r="CE80" s="140"/>
      <c r="CF80" s="140"/>
      <c r="CG80" s="140"/>
      <c r="CH80" s="140"/>
      <c r="CI80" s="140"/>
      <c r="CJ80" s="140"/>
      <c r="CK80" s="140"/>
      <c r="CL80" s="140"/>
      <c r="CM80" s="140"/>
      <c r="CN80" s="140"/>
      <c r="CO80" s="140"/>
      <c r="CP80" s="140"/>
      <c r="CQ80" s="140"/>
      <c r="CR80" s="140"/>
      <c r="CS80" s="140"/>
      <c r="CT80" s="140"/>
    </row>
    <row r="81" spans="1:104" x14ac:dyDescent="0.25">
      <c r="A81" s="175"/>
      <c r="B81" s="140"/>
      <c r="C81" s="140"/>
      <c r="D81" s="140"/>
      <c r="E81" s="140"/>
      <c r="F81" s="140"/>
      <c r="G81" s="140"/>
      <c r="H81" s="140"/>
      <c r="I81" s="140"/>
      <c r="J81" s="140"/>
      <c r="K81" s="140"/>
      <c r="L81" s="140"/>
      <c r="M81" s="140"/>
      <c r="N81" s="140"/>
      <c r="O81" s="140"/>
      <c r="P81" s="140"/>
      <c r="Q81" s="140"/>
      <c r="R81" s="603"/>
      <c r="S81" s="603"/>
      <c r="T81" s="603"/>
      <c r="U81" s="570"/>
      <c r="V81" s="603"/>
      <c r="W81" s="603"/>
      <c r="X81" s="603"/>
      <c r="Y81" s="603"/>
      <c r="Z81" s="603"/>
      <c r="AA81" s="603"/>
      <c r="AB81" s="603"/>
      <c r="AC81" s="603"/>
      <c r="AD81" s="603"/>
      <c r="AE81" s="603"/>
      <c r="AF81" s="603"/>
      <c r="AG81" s="603"/>
      <c r="AH81" s="603"/>
      <c r="AI81" s="603"/>
      <c r="AJ81" s="603"/>
      <c r="AK81" s="603"/>
      <c r="AR81" s="433"/>
      <c r="AS81" s="433"/>
      <c r="AT81" s="433"/>
      <c r="AU81" s="433"/>
      <c r="AV81" s="606"/>
      <c r="AW81" s="433"/>
      <c r="AX81" s="433"/>
      <c r="AY81" s="433"/>
      <c r="AZ81" s="433"/>
      <c r="BA81" s="433"/>
      <c r="BB81" s="433"/>
      <c r="BC81" s="433"/>
      <c r="BD81" s="433"/>
      <c r="BE81" s="433"/>
      <c r="BF81" s="433"/>
      <c r="BG81" s="433"/>
      <c r="BH81" s="433"/>
      <c r="BI81" s="433"/>
      <c r="BJ81" s="571"/>
      <c r="BK81" s="571"/>
      <c r="BP81" s="168"/>
      <c r="BU81" s="572"/>
      <c r="BV81" s="175"/>
      <c r="BW81" s="140"/>
      <c r="BX81" s="140"/>
      <c r="BY81" s="140"/>
      <c r="BZ81" s="140"/>
      <c r="CA81" s="140"/>
      <c r="CB81" s="140"/>
      <c r="CC81" s="140"/>
      <c r="CD81" s="140"/>
      <c r="CE81" s="140"/>
      <c r="CF81" s="140"/>
      <c r="CG81" s="140"/>
      <c r="CH81" s="140"/>
      <c r="CI81" s="140"/>
      <c r="CJ81" s="140"/>
      <c r="CK81" s="140"/>
      <c r="CL81" s="140"/>
      <c r="CM81" s="140"/>
      <c r="CN81" s="140"/>
      <c r="CO81" s="140"/>
      <c r="CP81" s="140"/>
      <c r="CQ81" s="140"/>
      <c r="CR81" s="140"/>
      <c r="CS81" s="140"/>
      <c r="CT81" s="140"/>
    </row>
    <row r="82" spans="1:104" ht="53.25" customHeight="1" x14ac:dyDescent="0.25">
      <c r="A82" s="175"/>
      <c r="B82" s="140"/>
      <c r="C82" s="140"/>
      <c r="D82" s="140"/>
      <c r="E82" s="140"/>
      <c r="F82" s="140"/>
      <c r="G82" s="140"/>
      <c r="H82" s="140"/>
      <c r="I82" s="140"/>
      <c r="J82" s="140"/>
      <c r="K82" s="140"/>
      <c r="L82" s="140"/>
      <c r="M82" s="140"/>
      <c r="N82" s="140"/>
      <c r="O82" s="140"/>
      <c r="P82" s="140"/>
      <c r="Q82" s="140"/>
      <c r="R82" s="603"/>
      <c r="S82" s="603"/>
      <c r="T82" s="603"/>
      <c r="U82" s="570"/>
      <c r="V82" s="603"/>
      <c r="W82" s="603"/>
      <c r="X82" s="603"/>
      <c r="Y82" s="603"/>
      <c r="Z82" s="603"/>
      <c r="AA82" s="603"/>
      <c r="AB82" s="603"/>
      <c r="AC82" s="603"/>
      <c r="AD82" s="603"/>
      <c r="AE82" s="603"/>
      <c r="AF82" s="603"/>
      <c r="AG82" s="603"/>
      <c r="AH82" s="603"/>
      <c r="AI82" s="603"/>
      <c r="AJ82" s="603"/>
      <c r="AK82" s="603"/>
      <c r="AR82" s="433"/>
      <c r="AS82" s="433"/>
      <c r="AT82" s="433"/>
      <c r="AU82" s="433"/>
      <c r="AV82" s="606"/>
      <c r="AW82" s="433"/>
      <c r="AX82" s="433"/>
      <c r="AY82" s="433"/>
      <c r="AZ82" s="433"/>
      <c r="BA82" s="433"/>
      <c r="BB82" s="433"/>
      <c r="BC82" s="433"/>
      <c r="BD82" s="433"/>
      <c r="BE82" s="433"/>
      <c r="BF82" s="433"/>
      <c r="BG82" s="433"/>
      <c r="BH82" s="433"/>
      <c r="BI82" s="433"/>
      <c r="BJ82" s="571"/>
      <c r="BK82" s="571"/>
      <c r="BP82" s="168"/>
      <c r="BU82" s="572"/>
      <c r="BV82" s="175"/>
      <c r="BW82" s="140"/>
      <c r="BX82" s="140"/>
      <c r="BY82" s="140"/>
      <c r="BZ82" s="140"/>
      <c r="CA82" s="140"/>
      <c r="CB82" s="140"/>
      <c r="CC82" s="140"/>
      <c r="CD82" s="140"/>
      <c r="CE82" s="140"/>
      <c r="CF82" s="140"/>
      <c r="CG82" s="140"/>
      <c r="CH82" s="140"/>
      <c r="CI82" s="140"/>
      <c r="CJ82" s="140"/>
      <c r="CK82" s="140"/>
      <c r="CL82" s="140"/>
      <c r="CM82" s="140"/>
      <c r="CN82" s="140"/>
      <c r="CO82" s="140"/>
      <c r="CP82" s="140"/>
      <c r="CQ82" s="140"/>
      <c r="CR82" s="140"/>
      <c r="CS82" s="140"/>
      <c r="CT82" s="140"/>
    </row>
    <row r="83" spans="1:104" x14ac:dyDescent="0.25">
      <c r="A83" s="175"/>
      <c r="B83" s="140"/>
      <c r="C83" s="140"/>
      <c r="D83" s="140"/>
      <c r="E83" s="140"/>
      <c r="F83" s="140"/>
      <c r="G83" s="140"/>
      <c r="H83" s="140"/>
      <c r="I83" s="140"/>
      <c r="J83" s="140"/>
      <c r="K83" s="140"/>
      <c r="L83" s="140"/>
      <c r="M83" s="140"/>
      <c r="N83" s="140"/>
      <c r="O83" s="140"/>
      <c r="P83" s="140"/>
      <c r="Q83" s="140"/>
      <c r="R83" s="603"/>
      <c r="S83" s="603"/>
      <c r="T83" s="603"/>
      <c r="U83" s="570"/>
      <c r="V83" s="603"/>
      <c r="W83" s="603"/>
      <c r="X83" s="603"/>
      <c r="Y83" s="603"/>
      <c r="Z83" s="603"/>
      <c r="AA83" s="603"/>
      <c r="AB83" s="603"/>
      <c r="AC83" s="603"/>
      <c r="AD83" s="603"/>
      <c r="AE83" s="603"/>
      <c r="AF83" s="603"/>
      <c r="AG83" s="603"/>
      <c r="AH83" s="603"/>
      <c r="AI83" s="603"/>
      <c r="AJ83" s="603"/>
      <c r="AK83" s="603"/>
      <c r="AR83" s="433"/>
      <c r="AS83" s="433"/>
      <c r="AT83" s="433"/>
      <c r="AU83" s="433"/>
      <c r="AV83" s="606"/>
      <c r="AW83" s="433"/>
      <c r="AX83" s="433"/>
      <c r="AY83" s="433"/>
      <c r="AZ83" s="433"/>
      <c r="BA83" s="433"/>
      <c r="BB83" s="433"/>
      <c r="BC83" s="433"/>
      <c r="BD83" s="433"/>
      <c r="BE83" s="433"/>
      <c r="BF83" s="433"/>
      <c r="BG83" s="433"/>
      <c r="BH83" s="433"/>
      <c r="BI83" s="433"/>
      <c r="BJ83" s="571"/>
      <c r="BK83" s="571"/>
      <c r="BP83" s="168"/>
      <c r="BU83" s="572"/>
      <c r="BV83" s="175"/>
      <c r="BW83" s="140"/>
      <c r="BX83" s="140"/>
      <c r="BY83" s="140"/>
      <c r="BZ83" s="140"/>
      <c r="CA83" s="140"/>
      <c r="CB83" s="140"/>
      <c r="CC83" s="140"/>
      <c r="CD83" s="140"/>
      <c r="CE83" s="140"/>
      <c r="CF83" s="140"/>
      <c r="CG83" s="140"/>
      <c r="CH83" s="140"/>
      <c r="CI83" s="140"/>
      <c r="CJ83" s="140"/>
      <c r="CK83" s="140"/>
      <c r="CL83" s="140"/>
      <c r="CM83" s="140"/>
      <c r="CN83" s="140"/>
      <c r="CO83" s="140"/>
      <c r="CP83" s="140"/>
      <c r="CQ83" s="140"/>
      <c r="CR83" s="140"/>
      <c r="CS83" s="140"/>
      <c r="CT83" s="140"/>
    </row>
    <row r="84" spans="1:104" x14ac:dyDescent="0.25">
      <c r="A84" s="175"/>
      <c r="B84" s="140"/>
      <c r="C84" s="140"/>
      <c r="D84" s="140"/>
      <c r="E84" s="140"/>
      <c r="F84" s="140"/>
      <c r="G84" s="140"/>
      <c r="H84" s="140"/>
      <c r="I84" s="140"/>
      <c r="J84" s="140"/>
      <c r="K84" s="140"/>
      <c r="L84" s="140"/>
      <c r="M84" s="140"/>
      <c r="N84" s="140"/>
      <c r="O84" s="140"/>
      <c r="P84" s="140"/>
      <c r="Q84" s="140"/>
      <c r="R84" s="603"/>
      <c r="S84" s="603"/>
      <c r="T84" s="603"/>
      <c r="U84" s="570"/>
      <c r="V84" s="603"/>
      <c r="W84" s="603"/>
      <c r="X84" s="603"/>
      <c r="Y84" s="603"/>
      <c r="Z84" s="603"/>
      <c r="AA84" s="603"/>
      <c r="AB84" s="603"/>
      <c r="AC84" s="603"/>
      <c r="AD84" s="603"/>
      <c r="AE84" s="603"/>
      <c r="AF84" s="603"/>
      <c r="AG84" s="603"/>
      <c r="AH84" s="603"/>
      <c r="AI84" s="603"/>
      <c r="AJ84" s="603"/>
      <c r="AK84" s="603"/>
      <c r="AR84" s="433"/>
      <c r="AS84" s="433"/>
      <c r="AT84" s="433"/>
      <c r="AU84" s="433"/>
      <c r="AV84" s="606"/>
      <c r="AW84" s="433"/>
      <c r="AX84" s="433"/>
      <c r="AY84" s="433"/>
      <c r="AZ84" s="433"/>
      <c r="BA84" s="433"/>
      <c r="BB84" s="433"/>
      <c r="BC84" s="433"/>
      <c r="BD84" s="433"/>
      <c r="BE84" s="433"/>
      <c r="BF84" s="433"/>
      <c r="BG84" s="433"/>
      <c r="BH84" s="433"/>
      <c r="BI84" s="433"/>
      <c r="BJ84" s="571"/>
      <c r="BK84" s="571"/>
      <c r="BP84" s="168"/>
      <c r="BU84" s="572"/>
      <c r="BV84" s="175"/>
      <c r="BW84" s="140"/>
      <c r="BX84" s="140"/>
      <c r="BY84" s="140"/>
      <c r="BZ84" s="140"/>
      <c r="CA84" s="140"/>
      <c r="CB84" s="140"/>
      <c r="CC84" s="140"/>
      <c r="CD84" s="140"/>
      <c r="CE84" s="140"/>
      <c r="CF84" s="140"/>
      <c r="CG84" s="140"/>
      <c r="CH84" s="140"/>
      <c r="CI84" s="140"/>
      <c r="CJ84" s="140"/>
      <c r="CK84" s="140"/>
      <c r="CL84" s="140"/>
      <c r="CM84" s="140"/>
      <c r="CN84" s="140"/>
      <c r="CO84" s="140"/>
      <c r="CP84" s="140"/>
      <c r="CQ84" s="140"/>
      <c r="CR84" s="140"/>
      <c r="CS84" s="140"/>
      <c r="CT84" s="140"/>
    </row>
    <row r="85" spans="1:104" ht="15.5" hidden="1" x14ac:dyDescent="0.25">
      <c r="A85" s="175"/>
      <c r="B85" s="175"/>
      <c r="C85" s="624"/>
      <c r="D85" s="625"/>
      <c r="E85" s="625"/>
      <c r="F85" s="626"/>
      <c r="G85" s="625"/>
      <c r="H85" s="625"/>
      <c r="I85" s="625"/>
      <c r="J85" s="625"/>
      <c r="K85" s="625"/>
      <c r="L85" s="625"/>
      <c r="M85" s="625"/>
      <c r="N85" s="627"/>
      <c r="O85" s="627"/>
      <c r="P85" s="627"/>
      <c r="Q85" s="627"/>
      <c r="R85" s="625"/>
      <c r="S85" s="625"/>
      <c r="T85" s="625"/>
      <c r="U85" s="625"/>
      <c r="V85" s="625"/>
      <c r="W85" s="625"/>
      <c r="X85" s="627"/>
      <c r="Y85" s="627"/>
      <c r="Z85" s="625"/>
      <c r="AA85" s="625"/>
      <c r="AB85" s="625"/>
      <c r="AC85" s="625"/>
      <c r="AD85" s="625"/>
      <c r="AE85" s="625"/>
      <c r="AF85" s="625"/>
      <c r="AG85" s="625"/>
      <c r="AH85" s="625"/>
      <c r="AI85" s="625"/>
      <c r="AJ85" s="625"/>
      <c r="AK85" s="625"/>
      <c r="AL85" s="625"/>
      <c r="AM85" s="625"/>
      <c r="AN85" s="625"/>
      <c r="AO85" s="625"/>
      <c r="AP85" s="625"/>
      <c r="AQ85" s="572"/>
      <c r="AR85" s="572"/>
      <c r="AS85" s="572"/>
      <c r="AT85" s="572"/>
      <c r="AU85" s="572"/>
      <c r="AV85" s="572"/>
      <c r="AW85" s="572"/>
      <c r="AX85" s="628"/>
      <c r="AY85" s="628"/>
      <c r="AZ85" s="628"/>
      <c r="BA85" s="628"/>
      <c r="BB85" s="629"/>
      <c r="BC85" s="628"/>
      <c r="BD85" s="628"/>
      <c r="BE85" s="628"/>
      <c r="BF85" s="628"/>
      <c r="BG85" s="628"/>
      <c r="BH85" s="628"/>
      <c r="BI85" s="628"/>
      <c r="BJ85" s="628"/>
      <c r="BK85" s="628"/>
      <c r="BL85" s="628"/>
      <c r="BM85" s="628"/>
      <c r="BN85" s="628"/>
      <c r="BO85" s="628"/>
      <c r="BP85" s="630"/>
      <c r="BQ85" s="630"/>
      <c r="BR85" s="572"/>
      <c r="BS85" s="572"/>
      <c r="BT85" s="572"/>
      <c r="BU85" s="572"/>
      <c r="BV85" s="572"/>
      <c r="BW85" s="572"/>
      <c r="BX85" s="572"/>
      <c r="BY85" s="140"/>
      <c r="BZ85" s="140"/>
      <c r="CA85" s="140"/>
      <c r="CB85" s="140"/>
      <c r="CC85" s="175"/>
      <c r="CD85" s="175"/>
      <c r="CE85" s="572"/>
      <c r="CF85" s="572"/>
      <c r="CG85" s="572"/>
      <c r="CH85" s="572"/>
      <c r="CI85" s="572"/>
      <c r="CJ85" s="572"/>
      <c r="CK85" s="572"/>
      <c r="CL85" s="572"/>
      <c r="CM85" s="572"/>
      <c r="CN85" s="175"/>
      <c r="CO85" s="175"/>
      <c r="CP85" s="175"/>
      <c r="CQ85" s="175"/>
      <c r="CR85" s="175"/>
      <c r="CS85" s="175"/>
      <c r="CT85" s="175"/>
      <c r="CU85" s="175"/>
      <c r="CV85" s="175"/>
      <c r="CW85" s="175"/>
      <c r="CX85" s="175"/>
      <c r="CY85" s="175"/>
      <c r="CZ85" s="175"/>
    </row>
    <row r="86" spans="1:104" hidden="1" x14ac:dyDescent="0.25">
      <c r="A86" s="631"/>
      <c r="B86" s="631"/>
      <c r="C86" s="632"/>
      <c r="D86" s="175"/>
      <c r="E86" s="175"/>
      <c r="F86" s="175"/>
      <c r="G86" s="175"/>
      <c r="H86" s="175"/>
      <c r="I86" s="175"/>
      <c r="J86" s="633"/>
      <c r="K86" s="633"/>
      <c r="L86" s="633"/>
      <c r="M86" s="633"/>
      <c r="N86" s="175"/>
      <c r="O86" s="175"/>
      <c r="P86" s="175"/>
      <c r="R86" s="175"/>
      <c r="S86" s="175"/>
      <c r="T86" s="175"/>
      <c r="U86" s="175"/>
      <c r="V86" s="175"/>
      <c r="W86" s="175"/>
      <c r="X86" s="634"/>
      <c r="Y86" s="634"/>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c r="BA86" s="175"/>
      <c r="BB86" s="633"/>
      <c r="BC86" s="175"/>
      <c r="BD86" s="175"/>
      <c r="BE86" s="175"/>
      <c r="BF86" s="175"/>
      <c r="BG86" s="175"/>
      <c r="BH86" s="175"/>
      <c r="BI86" s="175"/>
      <c r="BJ86" s="175"/>
      <c r="BK86" s="175"/>
      <c r="BL86" s="175"/>
      <c r="BM86" s="175"/>
      <c r="BN86" s="175"/>
      <c r="BO86" s="175"/>
      <c r="BP86" s="635"/>
      <c r="BY86" s="140"/>
      <c r="BZ86" s="140"/>
      <c r="CA86" s="140"/>
      <c r="CB86" s="140"/>
    </row>
    <row r="87" spans="1:104" ht="13.5" hidden="1" thickBot="1" x14ac:dyDescent="0.35">
      <c r="A87" s="631"/>
      <c r="B87" s="636" t="s">
        <v>1785</v>
      </c>
      <c r="C87" s="632"/>
      <c r="D87" s="175"/>
      <c r="E87" s="1225" t="s">
        <v>1703</v>
      </c>
      <c r="F87" s="1226"/>
      <c r="G87" s="175"/>
      <c r="H87" s="1227" t="s">
        <v>1706</v>
      </c>
      <c r="I87" s="1228" t="s">
        <v>1775</v>
      </c>
      <c r="J87" s="175"/>
      <c r="K87" s="637" t="s">
        <v>1786</v>
      </c>
      <c r="L87" s="637"/>
      <c r="M87" s="637"/>
      <c r="N87" s="633"/>
      <c r="O87" s="633"/>
      <c r="P87" s="633"/>
      <c r="R87" s="633"/>
      <c r="S87" s="633"/>
      <c r="T87" s="633"/>
      <c r="U87" s="633"/>
      <c r="V87" s="633"/>
      <c r="W87" s="633"/>
      <c r="X87" s="634"/>
      <c r="Y87" s="634"/>
      <c r="Z87" s="175"/>
      <c r="AA87" s="175"/>
      <c r="AB87" s="175"/>
      <c r="AC87" s="175"/>
      <c r="AD87" s="175"/>
      <c r="AE87" s="175"/>
      <c r="AF87" s="175"/>
      <c r="AG87" s="175"/>
      <c r="AH87" s="175"/>
      <c r="AI87" s="175"/>
      <c r="AJ87" s="175"/>
      <c r="AK87" s="175"/>
      <c r="AL87" s="175"/>
      <c r="AM87" s="175"/>
      <c r="AN87" s="175"/>
      <c r="AO87" s="175"/>
      <c r="AP87" s="175"/>
      <c r="AQ87" s="175"/>
      <c r="AR87" s="175"/>
      <c r="AS87" s="175"/>
      <c r="AT87" s="175"/>
      <c r="AU87" s="175"/>
      <c r="AV87" s="175"/>
      <c r="AW87" s="175"/>
      <c r="AX87" s="175"/>
      <c r="AY87" s="175"/>
      <c r="AZ87" s="175"/>
      <c r="BA87" s="175"/>
      <c r="BB87" s="633"/>
      <c r="BC87" s="175"/>
      <c r="BD87" s="175"/>
      <c r="BE87" s="175"/>
      <c r="BF87" s="175"/>
      <c r="BG87" s="175"/>
      <c r="BH87" s="175"/>
      <c r="BI87" s="175"/>
      <c r="BJ87" s="175"/>
      <c r="BK87" s="175"/>
      <c r="BL87" s="175"/>
      <c r="BM87" s="175"/>
      <c r="BN87" s="175"/>
      <c r="BO87" s="175"/>
      <c r="BP87" s="635"/>
      <c r="BY87" s="140"/>
      <c r="BZ87" s="140"/>
      <c r="CA87" s="140"/>
      <c r="CB87" s="140"/>
    </row>
    <row r="88" spans="1:104" ht="13" hidden="1" x14ac:dyDescent="0.3">
      <c r="A88" s="631"/>
      <c r="B88" s="324" t="str">
        <f>IF(RowsPreferredTwo&lt;&gt;RowsShownTwo,"click arrow below","")</f>
        <v/>
      </c>
      <c r="C88" s="324"/>
      <c r="D88" s="324"/>
      <c r="E88" s="175" t="s">
        <v>194</v>
      </c>
      <c r="F88" s="175"/>
      <c r="G88" s="175" t="b">
        <v>0</v>
      </c>
      <c r="H88" s="175" t="str">
        <f>IF(ClassificationTwo=Class1,"Class 1 building",0)</f>
        <v>Class 1 building</v>
      </c>
      <c r="I88" s="638">
        <v>5</v>
      </c>
      <c r="J88" s="639">
        <f>IF(H88&lt;&gt;0,1,"")</f>
        <v>1</v>
      </c>
      <c r="K88" s="640" t="str">
        <f>IF(ISNA(INDEX(H$88:H$92,MATCH(N88,J$88:J$92,0))),"",INDEX(H$88:H$92,MATCH(N88,J$88:J$92,0)))</f>
        <v>Class 1 building</v>
      </c>
      <c r="L88" s="640"/>
      <c r="M88" s="640"/>
      <c r="N88" s="633">
        <v>1</v>
      </c>
      <c r="O88" s="641" t="s">
        <v>1787</v>
      </c>
      <c r="P88" s="642"/>
      <c r="R88" s="633"/>
      <c r="S88" s="642"/>
      <c r="T88" s="643" t="s">
        <v>1788</v>
      </c>
      <c r="U88" s="644">
        <v>0.7</v>
      </c>
      <c r="V88" s="645" t="b">
        <v>1</v>
      </c>
      <c r="W88" s="642"/>
      <c r="X88" s="634"/>
      <c r="Y88" s="634"/>
      <c r="Z88" s="175"/>
      <c r="AA88" s="175"/>
      <c r="AB88" s="175"/>
      <c r="AC88" s="175"/>
      <c r="AD88" s="175"/>
      <c r="AE88" s="175"/>
      <c r="AF88" s="175"/>
      <c r="AG88" s="175"/>
      <c r="AH88" s="175"/>
      <c r="AI88" s="175"/>
      <c r="AJ88" s="175"/>
      <c r="AK88" s="175"/>
      <c r="AL88" s="175"/>
      <c r="AM88" s="175"/>
      <c r="AN88" s="175"/>
      <c r="AO88" s="175"/>
      <c r="AP88" s="175"/>
      <c r="AQ88" s="175"/>
      <c r="AR88" s="175"/>
      <c r="AS88" s="646" t="s">
        <v>1789</v>
      </c>
      <c r="AT88" s="175"/>
      <c r="AU88" s="175"/>
      <c r="AV88" s="175"/>
      <c r="AW88" s="646" t="s">
        <v>1790</v>
      </c>
      <c r="AX88" s="175"/>
      <c r="AY88" s="175"/>
      <c r="AZ88" s="175"/>
      <c r="BA88" s="175"/>
      <c r="BB88" s="633"/>
      <c r="BC88" s="175"/>
      <c r="BD88" s="175"/>
      <c r="BE88" s="175"/>
      <c r="BF88" s="175"/>
      <c r="BG88" s="175"/>
      <c r="BH88" s="175"/>
      <c r="BI88" s="1491" t="s">
        <v>1791</v>
      </c>
      <c r="BJ88" s="1491" t="s">
        <v>1792</v>
      </c>
      <c r="BK88" s="175"/>
      <c r="BL88" s="175"/>
      <c r="BM88" s="175"/>
      <c r="BN88" s="175"/>
      <c r="BO88" s="175"/>
      <c r="BP88" s="635"/>
      <c r="BY88" s="140"/>
      <c r="BZ88" s="140"/>
      <c r="CA88" s="140"/>
      <c r="CB88" s="140"/>
    </row>
    <row r="89" spans="1:104" ht="13" hidden="1" x14ac:dyDescent="0.3">
      <c r="A89" s="631"/>
      <c r="B89" s="631"/>
      <c r="C89" s="632"/>
      <c r="D89" s="175"/>
      <c r="E89" s="175" t="s">
        <v>1793</v>
      </c>
      <c r="F89" s="175"/>
      <c r="G89" s="175" t="b">
        <v>0</v>
      </c>
      <c r="H89" s="175">
        <v>0</v>
      </c>
      <c r="I89" s="638">
        <v>5</v>
      </c>
      <c r="J89" s="639" t="str">
        <f>IF(H89&lt;&gt;0,MAX(J$88:J88)+1,"")</f>
        <v/>
      </c>
      <c r="K89" s="640" t="str">
        <f t="shared" ref="K89:K92" si="67">IF(ISNA(INDEX(H$88:H$92,MATCH(N89,J$88:J$92,0))),"",INDEX(H$88:H$92,MATCH(N89,J$88:J$92,0)))</f>
        <v>Class 10a building</v>
      </c>
      <c r="L89" s="640"/>
      <c r="M89" s="640"/>
      <c r="N89" s="633">
        <v>2</v>
      </c>
      <c r="O89" s="647" t="b">
        <f>AND(MIPDLClass1&gt;0,FailClass1=TRUE,$AW$89)</f>
        <v>0</v>
      </c>
      <c r="P89" s="648"/>
      <c r="R89" s="633"/>
      <c r="S89" s="649"/>
      <c r="T89" s="650" t="s">
        <v>1794</v>
      </c>
      <c r="U89" s="644">
        <v>0.9</v>
      </c>
      <c r="V89" s="645" t="b">
        <v>1</v>
      </c>
      <c r="W89" s="649"/>
      <c r="X89" s="634"/>
      <c r="Y89" s="651"/>
      <c r="Z89" s="175"/>
      <c r="AA89" s="175"/>
      <c r="AB89" s="175"/>
      <c r="AC89" s="175"/>
      <c r="AD89" s="175"/>
      <c r="AE89" s="175"/>
      <c r="AF89" s="175"/>
      <c r="AG89" s="175"/>
      <c r="AH89" s="175"/>
      <c r="AI89" s="175"/>
      <c r="AJ89" s="175"/>
      <c r="AK89" s="175"/>
      <c r="AL89" s="175"/>
      <c r="AM89" s="175"/>
      <c r="AN89" s="175"/>
      <c r="AO89" s="175"/>
      <c r="AP89" s="175"/>
      <c r="AQ89" s="175"/>
      <c r="AR89" s="175"/>
      <c r="AS89" s="1492" t="e">
        <f>OR(AM30:AM69)</f>
        <v>#VALUE!</v>
      </c>
      <c r="AT89" s="175"/>
      <c r="AU89" s="175"/>
      <c r="AV89" s="175"/>
      <c r="AW89" s="1492" t="b">
        <f>AND(AQ30:AQ69,COUNTA(D30:I69)&gt;0)</f>
        <v>0</v>
      </c>
      <c r="AX89" s="175"/>
      <c r="AY89" s="175"/>
      <c r="AZ89" s="175"/>
      <c r="BA89" s="175"/>
      <c r="BB89" s="633"/>
      <c r="BC89" s="175"/>
      <c r="BD89" s="175"/>
      <c r="BE89" s="175"/>
      <c r="BF89" s="175"/>
      <c r="BG89" s="175"/>
      <c r="BH89" s="175"/>
      <c r="BI89" s="1492" t="b">
        <f>AND(BC30:BC69)</f>
        <v>0</v>
      </c>
      <c r="BJ89" s="1492" t="b">
        <f>AND(BD30:BD69)</f>
        <v>0</v>
      </c>
      <c r="BK89" s="175"/>
      <c r="BL89" s="175"/>
      <c r="BM89" s="175"/>
      <c r="BN89" s="175"/>
      <c r="BO89" s="175"/>
      <c r="BP89" s="635"/>
      <c r="BY89" s="140"/>
      <c r="BZ89" s="140"/>
      <c r="CA89" s="140"/>
      <c r="CB89" s="140"/>
    </row>
    <row r="90" spans="1:104" ht="13" hidden="1" x14ac:dyDescent="0.3">
      <c r="A90" s="631"/>
      <c r="B90" s="631"/>
      <c r="C90" s="632"/>
      <c r="D90" s="175"/>
      <c r="E90" s="175" t="s">
        <v>1795</v>
      </c>
      <c r="F90" s="175"/>
      <c r="G90" s="175" t="b">
        <v>0</v>
      </c>
      <c r="H90" s="175">
        <v>0</v>
      </c>
      <c r="I90" s="638">
        <v>5</v>
      </c>
      <c r="J90" s="639" t="str">
        <f>IF(H90&lt;&gt;0,MAX(J$88:J89)+1,"")</f>
        <v/>
      </c>
      <c r="K90" s="640" t="str">
        <f t="shared" si="67"/>
        <v/>
      </c>
      <c r="L90" s="640"/>
      <c r="M90" s="640"/>
      <c r="N90" s="633">
        <v>3</v>
      </c>
      <c r="O90" s="652" t="b">
        <f>AND(MIPDLClass1&gt;0,$N$140=TRUE,$AW$89)</f>
        <v>0</v>
      </c>
      <c r="P90" s="648"/>
      <c r="R90" s="633"/>
      <c r="S90" s="649"/>
      <c r="T90" s="650" t="s">
        <v>1796</v>
      </c>
      <c r="U90" s="644">
        <v>0.7</v>
      </c>
      <c r="V90" s="645" t="b">
        <v>1</v>
      </c>
      <c r="W90" s="649"/>
      <c r="X90" s="634"/>
      <c r="Y90" s="651"/>
      <c r="Z90" s="175"/>
      <c r="AA90" s="175"/>
      <c r="AB90" s="175"/>
      <c r="AC90" s="175"/>
      <c r="AD90" s="175"/>
      <c r="AE90" s="175"/>
      <c r="AF90" s="175"/>
      <c r="AG90" s="175"/>
      <c r="AH90" s="175"/>
      <c r="AI90" s="175"/>
      <c r="AJ90" s="175"/>
      <c r="AK90" s="175"/>
      <c r="AL90" s="175"/>
      <c r="AM90" s="175"/>
      <c r="AN90" s="175"/>
      <c r="AO90" s="175"/>
      <c r="AP90" s="175"/>
      <c r="AQ90" s="175"/>
      <c r="AR90" s="175"/>
      <c r="AS90" s="653" t="s">
        <v>1797</v>
      </c>
      <c r="AT90" s="175"/>
      <c r="AU90" s="175"/>
      <c r="AV90" s="175"/>
      <c r="AW90" s="175"/>
      <c r="AX90" s="175"/>
      <c r="AY90" s="175"/>
      <c r="AZ90" s="175"/>
      <c r="BA90" s="175"/>
      <c r="BB90" s="633"/>
      <c r="BC90" s="175"/>
      <c r="BD90" s="175"/>
      <c r="BE90" s="175"/>
      <c r="BF90" s="175"/>
      <c r="BG90" s="175"/>
      <c r="BH90" s="175"/>
      <c r="BI90" s="175"/>
      <c r="BJ90" s="175"/>
      <c r="BK90" s="175"/>
      <c r="BL90" s="175"/>
      <c r="BM90" s="175"/>
      <c r="BN90" s="175"/>
      <c r="BO90" s="175"/>
      <c r="BP90" s="635"/>
      <c r="BY90" s="140"/>
      <c r="BZ90" s="140"/>
      <c r="CA90" s="140"/>
      <c r="CB90" s="140"/>
    </row>
    <row r="91" spans="1:104" ht="13" hidden="1" x14ac:dyDescent="0.3">
      <c r="A91" s="631"/>
      <c r="B91" s="631"/>
      <c r="C91" s="632"/>
      <c r="D91" s="175"/>
      <c r="E91" s="175" t="s">
        <v>1798</v>
      </c>
      <c r="F91" s="175"/>
      <c r="G91" s="175" t="b">
        <v>0</v>
      </c>
      <c r="H91" s="175">
        <f>IF(COUNTA(E30:E69)=0,0,IF(AND(OR(ClassificationTwo=Class1),Balconytrue),"Verandah or balcony",0))</f>
        <v>0</v>
      </c>
      <c r="I91" s="638">
        <v>4</v>
      </c>
      <c r="J91" s="639" t="str">
        <f>IF(H91&lt;&gt;0,MAX(J$88:J90)+1,"")</f>
        <v/>
      </c>
      <c r="K91" s="640" t="str">
        <f t="shared" si="67"/>
        <v/>
      </c>
      <c r="L91" s="640"/>
      <c r="M91" s="640"/>
      <c r="N91" s="633">
        <v>4</v>
      </c>
      <c r="O91" s="647" t="b">
        <f>AND($N$152,$AA$72&gt;0)</f>
        <v>0</v>
      </c>
      <c r="P91" s="648"/>
      <c r="R91" s="633"/>
      <c r="S91" s="649"/>
      <c r="T91" s="650" t="s">
        <v>1799</v>
      </c>
      <c r="U91" s="644">
        <v>0.55000000000000004</v>
      </c>
      <c r="V91" s="645" t="b">
        <v>1</v>
      </c>
      <c r="W91" s="649"/>
      <c r="X91" s="634"/>
      <c r="Y91" s="651"/>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c r="BA91" s="175"/>
      <c r="BB91" s="633"/>
      <c r="BC91" s="175"/>
      <c r="BD91" s="175"/>
      <c r="BE91" s="175"/>
      <c r="BF91" s="175"/>
      <c r="BG91" s="175"/>
      <c r="BH91" s="175"/>
      <c r="BI91" s="175"/>
      <c r="BJ91" s="175"/>
      <c r="BK91" s="175"/>
      <c r="BL91" s="175"/>
      <c r="BM91" s="175"/>
      <c r="BN91" s="175"/>
      <c r="BO91" s="175"/>
      <c r="BP91" s="635"/>
      <c r="BY91" s="140"/>
      <c r="BZ91" s="140"/>
      <c r="CA91" s="140"/>
      <c r="CB91" s="140"/>
    </row>
    <row r="92" spans="1:104" ht="13" hidden="1" x14ac:dyDescent="0.3">
      <c r="A92" s="631"/>
      <c r="B92" s="631"/>
      <c r="C92" s="632"/>
      <c r="D92" s="175"/>
      <c r="E92" s="175" t="s">
        <v>1800</v>
      </c>
      <c r="F92" s="175"/>
      <c r="G92" s="175" t="b">
        <v>0</v>
      </c>
      <c r="H92" s="175" t="str">
        <f>IF(OR(ClassificationTwo=Class1,ClassificationTwo=Class10),"Class 10a building",0)</f>
        <v>Class 10a building</v>
      </c>
      <c r="I92" s="638">
        <v>3</v>
      </c>
      <c r="J92" s="639">
        <f>IF(H92&lt;&gt;0,MAX(J$88:J91)+1,"")</f>
        <v>2</v>
      </c>
      <c r="K92" s="640" t="str">
        <f t="shared" si="67"/>
        <v/>
      </c>
      <c r="L92" s="640"/>
      <c r="M92" s="640"/>
      <c r="N92" s="633">
        <v>5</v>
      </c>
      <c r="O92" s="647" t="b">
        <f>AND(AT31,Allinputsokres,AU31,BC31,IF(H31="Class 1 building",FailClass1,IF(H31="Class 2 building",FailClass1,IF(H31="Class 4 building",FailClass1,IF(H31="Verandah or balcony",FailBalcony,IF(H31="Class 10 building",FailClass10,"FALSE"))))),NOT(BB31))</f>
        <v>0</v>
      </c>
      <c r="P92" s="648"/>
      <c r="R92" s="633"/>
      <c r="S92" s="654"/>
      <c r="T92" s="650" t="s">
        <v>1801</v>
      </c>
      <c r="U92" s="644">
        <v>0.85</v>
      </c>
      <c r="V92" s="645" t="b">
        <v>1</v>
      </c>
      <c r="W92" s="654"/>
      <c r="X92" s="634"/>
      <c r="Y92" s="65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c r="BA92" s="175"/>
      <c r="BB92" s="633"/>
      <c r="BC92" s="175"/>
      <c r="BD92" s="175"/>
      <c r="BE92" s="175"/>
      <c r="BF92" s="175"/>
      <c r="BG92" s="175"/>
      <c r="BH92" s="175"/>
      <c r="BI92" s="175"/>
      <c r="BJ92" s="1491" t="s">
        <v>1802</v>
      </c>
      <c r="BK92" s="175"/>
      <c r="BL92" s="175"/>
      <c r="BM92" s="175"/>
      <c r="BN92" s="175"/>
      <c r="BO92" s="175"/>
      <c r="BP92" s="635"/>
      <c r="BY92" s="140"/>
      <c r="BZ92" s="140"/>
      <c r="CA92" s="140"/>
      <c r="CB92" s="140"/>
    </row>
    <row r="93" spans="1:104" ht="13.5" hidden="1" thickBot="1" x14ac:dyDescent="0.35">
      <c r="A93" s="631"/>
      <c r="B93" s="631"/>
      <c r="C93" s="632"/>
      <c r="D93" s="175"/>
      <c r="E93" s="175" t="s">
        <v>1803</v>
      </c>
      <c r="F93" s="175"/>
      <c r="G93" s="175" t="b">
        <v>0</v>
      </c>
      <c r="H93" s="175"/>
      <c r="I93" s="175"/>
      <c r="J93" s="1493">
        <f>COUNT(J88:J92)</f>
        <v>2</v>
      </c>
      <c r="K93" s="633"/>
      <c r="L93" s="633"/>
      <c r="M93" s="633"/>
      <c r="N93" s="633"/>
      <c r="O93" s="943">
        <f>AVERAGE(AG30:AG69)</f>
        <v>0</v>
      </c>
      <c r="P93" s="648"/>
      <c r="R93" s="633"/>
      <c r="S93" s="654"/>
      <c r="T93" s="650" t="s">
        <v>1804</v>
      </c>
      <c r="U93" s="644">
        <v>0.85</v>
      </c>
      <c r="V93" s="645" t="b">
        <v>1</v>
      </c>
      <c r="W93" s="654"/>
      <c r="X93" s="634"/>
      <c r="Y93" s="65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c r="BA93" s="175"/>
      <c r="BB93" s="633"/>
      <c r="BC93" s="175"/>
      <c r="BD93" s="175"/>
      <c r="BE93" s="175"/>
      <c r="BF93" s="175"/>
      <c r="BG93" s="175"/>
      <c r="BH93" s="175"/>
      <c r="BI93" s="175"/>
      <c r="BJ93" s="1492" t="b">
        <f>OR(BD30:BD69)</f>
        <v>0</v>
      </c>
      <c r="BK93" s="175"/>
      <c r="BL93" s="175"/>
      <c r="BM93" s="175"/>
      <c r="BN93" s="175"/>
      <c r="BO93" s="175"/>
      <c r="BP93" s="635"/>
      <c r="BY93" s="140"/>
      <c r="BZ93" s="140"/>
      <c r="CA93" s="140"/>
      <c r="CB93" s="140"/>
    </row>
    <row r="94" spans="1:104" hidden="1" x14ac:dyDescent="0.25">
      <c r="A94" s="631"/>
      <c r="B94" s="631"/>
      <c r="C94" s="632"/>
      <c r="D94" s="175"/>
      <c r="E94" s="175" t="s">
        <v>1805</v>
      </c>
      <c r="F94" s="175"/>
      <c r="G94" s="175" t="b">
        <v>0</v>
      </c>
      <c r="H94" s="175"/>
      <c r="I94" s="175"/>
      <c r="J94" s="633"/>
      <c r="K94" s="633"/>
      <c r="L94" s="633"/>
      <c r="M94" s="633"/>
      <c r="N94" s="648"/>
      <c r="O94" s="648"/>
      <c r="P94" s="648"/>
      <c r="R94" s="633"/>
      <c r="S94" s="654"/>
      <c r="T94" s="650" t="s">
        <v>1806</v>
      </c>
      <c r="U94" s="644">
        <v>0.9</v>
      </c>
      <c r="V94" s="645" t="b">
        <v>1</v>
      </c>
      <c r="W94" s="654"/>
      <c r="X94" s="634"/>
      <c r="Y94" s="65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c r="BA94" s="175"/>
      <c r="BB94" s="633"/>
      <c r="BC94" s="175"/>
      <c r="BD94" s="175"/>
      <c r="BE94" s="175"/>
      <c r="BF94" s="175"/>
      <c r="BG94" s="175"/>
      <c r="BH94" s="175"/>
      <c r="BI94" s="175"/>
      <c r="BJ94" s="175"/>
      <c r="BK94" s="175"/>
      <c r="BL94" s="175"/>
      <c r="BM94" s="175"/>
      <c r="BN94" s="175"/>
      <c r="BO94" s="175"/>
      <c r="BP94" s="635"/>
      <c r="BY94" s="140"/>
      <c r="BZ94" s="140"/>
      <c r="CA94" s="140"/>
      <c r="CB94" s="140"/>
    </row>
    <row r="95" spans="1:104" hidden="1" x14ac:dyDescent="0.25">
      <c r="A95" s="631"/>
      <c r="B95" s="631"/>
      <c r="C95" s="632"/>
      <c r="D95" s="175"/>
      <c r="E95" s="175" t="s">
        <v>1807</v>
      </c>
      <c r="F95" s="175"/>
      <c r="G95" s="175" t="b">
        <v>0</v>
      </c>
      <c r="H95" s="175"/>
      <c r="I95" s="175"/>
      <c r="J95" s="633"/>
      <c r="K95" s="633"/>
      <c r="L95" s="633"/>
      <c r="M95" s="633"/>
      <c r="N95" s="648"/>
      <c r="O95" s="648"/>
      <c r="P95" s="648"/>
      <c r="R95" s="633"/>
      <c r="S95" s="654"/>
      <c r="T95" s="650" t="s">
        <v>1808</v>
      </c>
      <c r="U95" s="644">
        <v>0.8</v>
      </c>
      <c r="V95" s="645" t="b">
        <v>1</v>
      </c>
      <c r="W95" s="654"/>
      <c r="X95" s="634"/>
      <c r="Y95" s="65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c r="BA95" s="175"/>
      <c r="BB95" s="633"/>
      <c r="BC95" s="175"/>
      <c r="BD95" s="175"/>
      <c r="BE95" s="175"/>
      <c r="BF95" s="175"/>
      <c r="BG95" s="175"/>
      <c r="BH95" s="175"/>
      <c r="BI95" s="175"/>
      <c r="BJ95" s="175"/>
      <c r="BK95" s="175"/>
      <c r="BL95" s="175"/>
      <c r="BM95" s="175"/>
      <c r="BN95" s="175"/>
      <c r="BO95" s="175"/>
      <c r="BP95" s="635"/>
      <c r="BY95" s="140"/>
      <c r="BZ95" s="140"/>
      <c r="CA95" s="140"/>
      <c r="CB95" s="140"/>
    </row>
    <row r="96" spans="1:104" hidden="1" x14ac:dyDescent="0.25">
      <c r="A96" s="631"/>
      <c r="B96" s="631"/>
      <c r="C96" s="632"/>
      <c r="D96" s="175"/>
      <c r="E96" s="175" t="s">
        <v>1809</v>
      </c>
      <c r="F96" s="175"/>
      <c r="G96" s="175" t="b">
        <v>1</v>
      </c>
      <c r="H96" s="175"/>
      <c r="I96" s="175"/>
      <c r="J96" s="633"/>
      <c r="K96" s="633"/>
      <c r="L96" s="633"/>
      <c r="M96" s="633"/>
      <c r="N96" s="648"/>
      <c r="O96" s="648"/>
      <c r="P96" s="648"/>
      <c r="R96" s="633"/>
      <c r="S96" s="654"/>
      <c r="T96" s="650" t="s">
        <v>1810</v>
      </c>
      <c r="U96" s="644"/>
      <c r="V96" s="656" t="b">
        <v>0</v>
      </c>
      <c r="W96" s="654"/>
      <c r="X96" s="634"/>
      <c r="Y96" s="65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c r="BA96" s="175"/>
      <c r="BB96" s="633"/>
      <c r="BC96" s="175"/>
      <c r="BD96" s="175"/>
      <c r="BE96" s="175"/>
      <c r="BF96" s="175"/>
      <c r="BG96" s="175"/>
      <c r="BH96" s="175"/>
      <c r="BI96" s="175"/>
      <c r="BJ96" s="175"/>
      <c r="BK96" s="175"/>
      <c r="BL96" s="175"/>
      <c r="BM96" s="175"/>
      <c r="BN96" s="175"/>
      <c r="BO96" s="175"/>
      <c r="BP96" s="635"/>
      <c r="BY96" s="140"/>
      <c r="BZ96" s="140"/>
      <c r="CA96" s="140"/>
      <c r="CB96" s="140"/>
    </row>
    <row r="97" spans="1:80" hidden="1" x14ac:dyDescent="0.25">
      <c r="A97" s="631"/>
      <c r="B97" s="631"/>
      <c r="C97" s="632"/>
      <c r="D97" s="175"/>
      <c r="E97" s="175" t="s">
        <v>722</v>
      </c>
      <c r="F97" s="175"/>
      <c r="G97" s="175" t="b">
        <v>0</v>
      </c>
      <c r="H97" s="175"/>
      <c r="I97" s="175"/>
      <c r="J97" s="633"/>
      <c r="K97" s="633"/>
      <c r="L97" s="633"/>
      <c r="M97" s="633"/>
      <c r="N97" s="648"/>
      <c r="O97" s="648"/>
      <c r="P97" s="648"/>
      <c r="R97" s="633"/>
      <c r="S97" s="654"/>
      <c r="T97" s="650" t="s">
        <v>1811</v>
      </c>
      <c r="U97" s="644"/>
      <c r="V97" s="656" t="b">
        <v>0</v>
      </c>
      <c r="W97" s="654"/>
      <c r="X97" s="634"/>
      <c r="Y97" s="65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c r="BA97" s="175"/>
      <c r="BB97" s="633"/>
      <c r="BC97" s="175"/>
      <c r="BD97" s="175"/>
      <c r="BE97" s="175"/>
      <c r="BF97" s="175"/>
      <c r="BG97" s="175"/>
      <c r="BH97" s="175"/>
      <c r="BI97" s="175"/>
      <c r="BJ97" s="175"/>
      <c r="BK97" s="175"/>
      <c r="BL97" s="175"/>
      <c r="BM97" s="175"/>
      <c r="BN97" s="175"/>
      <c r="BO97" s="175"/>
      <c r="BP97" s="635"/>
      <c r="BY97" s="140"/>
      <c r="BZ97" s="140"/>
      <c r="CA97" s="140"/>
      <c r="CB97" s="140"/>
    </row>
    <row r="98" spans="1:80" ht="13" hidden="1" x14ac:dyDescent="0.3">
      <c r="A98" s="631"/>
      <c r="B98" s="631"/>
      <c r="C98" s="632"/>
      <c r="D98" s="175"/>
      <c r="E98" s="175"/>
      <c r="F98" s="175"/>
      <c r="G98" s="175"/>
      <c r="H98" s="175"/>
      <c r="I98" s="175"/>
      <c r="J98" s="175"/>
      <c r="K98" s="175"/>
      <c r="L98" s="175"/>
      <c r="M98" s="175"/>
      <c r="N98" s="175"/>
      <c r="O98" s="653" t="s">
        <v>1812</v>
      </c>
      <c r="P98" s="648"/>
      <c r="R98" s="633"/>
      <c r="S98" s="654"/>
      <c r="T98" s="650" t="s">
        <v>1813</v>
      </c>
      <c r="U98" s="644">
        <v>0.5</v>
      </c>
      <c r="V98" s="656" t="b">
        <v>1</v>
      </c>
      <c r="W98" s="654"/>
      <c r="X98" s="634"/>
      <c r="Y98" s="65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c r="BA98" s="175"/>
      <c r="BB98" s="633"/>
      <c r="BC98" s="175"/>
      <c r="BD98" s="175"/>
      <c r="BE98" s="175"/>
      <c r="BF98" s="175"/>
      <c r="BG98" s="175"/>
      <c r="BH98" s="175"/>
      <c r="BI98" s="175"/>
      <c r="BJ98" s="175"/>
      <c r="BK98" s="175"/>
      <c r="BL98" s="175"/>
      <c r="BM98" s="175"/>
      <c r="BN98" s="175"/>
      <c r="BO98" s="175"/>
      <c r="BP98" s="635"/>
      <c r="BY98" s="140"/>
      <c r="BZ98" s="140"/>
      <c r="CA98" s="140"/>
      <c r="CB98" s="140"/>
    </row>
    <row r="99" spans="1:80" ht="13" hidden="1" x14ac:dyDescent="0.3">
      <c r="A99" s="631"/>
      <c r="B99" s="631"/>
      <c r="C99" s="632"/>
      <c r="D99" s="175"/>
      <c r="E99" s="175"/>
      <c r="F99" s="175"/>
      <c r="G99" s="1229" t="s">
        <v>1814</v>
      </c>
      <c r="H99" s="1227"/>
      <c r="I99" s="175"/>
      <c r="J99" s="633"/>
      <c r="K99" s="1230" t="s">
        <v>1815</v>
      </c>
      <c r="L99" s="657"/>
      <c r="M99" s="657"/>
      <c r="N99" s="648"/>
      <c r="O99" s="658" t="s">
        <v>1816</v>
      </c>
      <c r="P99" s="648"/>
      <c r="R99" s="633"/>
      <c r="S99" s="654"/>
      <c r="T99" s="650" t="s">
        <v>1817</v>
      </c>
      <c r="U99" s="644">
        <v>0.6</v>
      </c>
      <c r="V99" s="656" t="b">
        <v>1</v>
      </c>
      <c r="W99" s="654"/>
      <c r="X99" s="634"/>
      <c r="Y99" s="65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c r="BA99" s="175"/>
      <c r="BB99" s="633"/>
      <c r="BC99" s="175"/>
      <c r="BD99" s="175"/>
      <c r="BE99" s="175"/>
      <c r="BF99" s="175"/>
      <c r="BG99" s="175"/>
      <c r="BH99" s="175"/>
      <c r="BI99" s="175"/>
      <c r="BJ99" s="175"/>
      <c r="BK99" s="175"/>
      <c r="BL99" s="175"/>
      <c r="BM99" s="175"/>
      <c r="BN99" s="175"/>
      <c r="BO99" s="175"/>
      <c r="BP99" s="635"/>
      <c r="BY99" s="140"/>
      <c r="BZ99" s="140"/>
      <c r="CA99" s="140"/>
      <c r="CB99" s="140"/>
    </row>
    <row r="100" spans="1:80" hidden="1" x14ac:dyDescent="0.25">
      <c r="A100" s="631"/>
      <c r="B100" s="631"/>
      <c r="C100" s="632"/>
      <c r="D100" s="175"/>
      <c r="E100" s="175"/>
      <c r="F100" s="175"/>
      <c r="G100" s="175" t="s">
        <v>1818</v>
      </c>
      <c r="H100" s="175"/>
      <c r="I100" s="175"/>
      <c r="J100" s="633" t="b">
        <f>ISBLANK((DescriptionTwo))</f>
        <v>0</v>
      </c>
      <c r="K100" s="659" t="str">
        <f>IF(J100,"1.  ENTER BUILDING NAME AND DESCRIPTION BELOW - identifying the particular part(s) covered by this assessment.","")</f>
        <v/>
      </c>
      <c r="L100" s="659"/>
      <c r="M100" s="659"/>
      <c r="N100" s="175" t="s">
        <v>1819</v>
      </c>
      <c r="O100" s="660" t="str">
        <f>IF(AND(ClassificationTwo=Class1,V72&gt;0),"Class 1 building","")</f>
        <v/>
      </c>
      <c r="P100" s="648"/>
      <c r="R100" s="633"/>
      <c r="S100" s="654"/>
      <c r="T100" s="661">
        <v>0</v>
      </c>
      <c r="U100" s="644"/>
      <c r="V100" s="662" t="b">
        <v>1</v>
      </c>
      <c r="W100" s="634"/>
      <c r="X100" s="634"/>
      <c r="Y100" s="65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c r="BA100" s="175"/>
      <c r="BB100" s="633"/>
      <c r="BC100" s="175"/>
      <c r="BD100" s="175"/>
      <c r="BE100" s="175"/>
      <c r="BF100" s="175"/>
      <c r="BG100" s="175"/>
      <c r="BH100" s="175"/>
      <c r="BI100" s="175"/>
      <c r="BJ100" s="175"/>
      <c r="BK100" s="175"/>
      <c r="BL100" s="175"/>
      <c r="BM100" s="175"/>
      <c r="BN100" s="175"/>
      <c r="BO100" s="175"/>
      <c r="BP100" s="635"/>
      <c r="BY100" s="140"/>
      <c r="BZ100" s="140"/>
      <c r="CA100" s="140"/>
      <c r="CB100" s="140"/>
    </row>
    <row r="101" spans="1:80" ht="13" hidden="1" x14ac:dyDescent="0.3">
      <c r="A101" s="631"/>
      <c r="B101" s="631"/>
      <c r="C101" s="632"/>
      <c r="D101" s="175"/>
      <c r="E101" s="175"/>
      <c r="F101" s="175"/>
      <c r="G101" s="663" t="s">
        <v>1820</v>
      </c>
      <c r="H101" s="663"/>
      <c r="I101" s="175"/>
      <c r="J101" s="633"/>
      <c r="K101" s="659"/>
      <c r="L101" s="659"/>
      <c r="M101" s="659"/>
      <c r="N101" s="175" t="s">
        <v>1821</v>
      </c>
      <c r="O101" s="660" t="str">
        <f>IF(AND(ClassificationTwo=Class1,AA72&gt;0),"Verandah or balcony","")</f>
        <v/>
      </c>
      <c r="P101" s="648"/>
      <c r="R101" s="633"/>
      <c r="S101" s="654"/>
      <c r="T101" s="664" t="s">
        <v>1822</v>
      </c>
      <c r="U101" s="665"/>
      <c r="V101" s="665"/>
      <c r="W101" s="634"/>
      <c r="X101" s="634"/>
      <c r="Y101" s="65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c r="BA101" s="175"/>
      <c r="BB101" s="633"/>
      <c r="BC101" s="175"/>
      <c r="BD101" s="175"/>
      <c r="BE101" s="175"/>
      <c r="BF101" s="175"/>
      <c r="BG101" s="175"/>
      <c r="BH101" s="175"/>
      <c r="BI101" s="175"/>
      <c r="BJ101" s="175"/>
      <c r="BK101" s="175"/>
      <c r="BL101" s="175"/>
      <c r="BM101" s="175"/>
      <c r="BN101" s="175"/>
      <c r="BO101" s="175"/>
      <c r="BP101" s="635"/>
      <c r="BY101" s="140"/>
      <c r="BZ101" s="140"/>
      <c r="CA101" s="140"/>
      <c r="CB101" s="140"/>
    </row>
    <row r="102" spans="1:80" hidden="1" x14ac:dyDescent="0.25">
      <c r="A102" s="631"/>
      <c r="B102" s="631"/>
      <c r="C102" s="632"/>
      <c r="D102" s="175"/>
      <c r="E102" s="175"/>
      <c r="F102" s="175"/>
      <c r="G102" s="175" t="s">
        <v>1823</v>
      </c>
      <c r="H102" s="175"/>
      <c r="I102" s="175"/>
      <c r="J102" s="633" t="b">
        <f>AND(NOT(J100),ISBLANK(ClassificationTwo))</f>
        <v>0</v>
      </c>
      <c r="K102" s="659" t="str">
        <f>IF(J102,"2.  ENTER CLASSIFICATION","")</f>
        <v/>
      </c>
      <c r="L102" s="659"/>
      <c r="M102" s="659"/>
      <c r="N102" s="175" t="s">
        <v>1824</v>
      </c>
      <c r="O102" s="660" t="str">
        <f>IF(AND(ClassificationTwo=Class1,AF72&gt;0),"Class 10a building (associated with a Class 1 building)",IF(AND(ClassificationTwo=Class10,AF72&gt;0),"Class 10 building (associated with a Class 1 building)",""))</f>
        <v/>
      </c>
      <c r="P102" s="666"/>
      <c r="R102" s="654"/>
      <c r="S102" s="665" t="s">
        <v>1825</v>
      </c>
      <c r="T102" s="665"/>
      <c r="U102" s="665"/>
      <c r="V102" s="654"/>
      <c r="W102" s="654"/>
      <c r="X102" s="634"/>
      <c r="Y102" s="65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c r="BA102" s="175"/>
      <c r="BB102" s="633"/>
      <c r="BC102" s="175"/>
      <c r="BD102" s="175"/>
      <c r="BE102" s="175"/>
      <c r="BF102" s="175"/>
      <c r="BG102" s="175"/>
      <c r="BH102" s="175"/>
      <c r="BI102" s="175"/>
      <c r="BJ102" s="175"/>
      <c r="BK102" s="175"/>
      <c r="BL102" s="175"/>
      <c r="BM102" s="175"/>
      <c r="BN102" s="175"/>
      <c r="BO102" s="175"/>
      <c r="BP102" s="635"/>
      <c r="BY102" s="140"/>
      <c r="BZ102" s="140"/>
      <c r="CA102" s="140"/>
      <c r="CB102" s="140"/>
    </row>
    <row r="103" spans="1:80" ht="13" hidden="1" x14ac:dyDescent="0.3">
      <c r="A103" s="631"/>
      <c r="B103" s="631"/>
      <c r="C103" s="632"/>
      <c r="D103" s="175"/>
      <c r="E103" s="175"/>
      <c r="F103" s="175"/>
      <c r="G103" s="175" t="s">
        <v>1826</v>
      </c>
      <c r="H103" s="175"/>
      <c r="I103" s="175"/>
      <c r="J103" s="633" t="b">
        <f>AND(NOT(J100),NOT(J102),COUNTA(D30:M69)=0)</f>
        <v>1</v>
      </c>
      <c r="K103" s="659" t="str">
        <f>IF(J103,"3.  Enter lighting system details.","")</f>
        <v>3.  Enter lighting system details.</v>
      </c>
      <c r="L103" s="659"/>
      <c r="M103" s="659"/>
      <c r="N103" s="633"/>
      <c r="O103" s="1764" t="s">
        <v>1827</v>
      </c>
      <c r="P103" s="1764"/>
      <c r="R103" s="654"/>
      <c r="S103" s="665"/>
      <c r="T103" s="665"/>
      <c r="U103" s="667"/>
      <c r="V103" s="654"/>
      <c r="W103" s="654"/>
      <c r="X103" s="634"/>
      <c r="Y103" s="65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c r="BA103" s="175"/>
      <c r="BB103" s="633"/>
      <c r="BC103" s="175"/>
      <c r="BD103" s="175"/>
      <c r="BE103" s="175"/>
      <c r="BF103" s="175"/>
      <c r="BG103" s="175"/>
      <c r="BH103" s="175"/>
      <c r="BI103" s="175"/>
      <c r="BJ103" s="175"/>
      <c r="BK103" s="175"/>
      <c r="BL103" s="175"/>
      <c r="BM103" s="175"/>
      <c r="BN103" s="175"/>
      <c r="BO103" s="175"/>
      <c r="BP103" s="635"/>
      <c r="BY103" s="140"/>
      <c r="BZ103" s="140"/>
      <c r="CA103" s="140"/>
      <c r="CB103" s="140"/>
    </row>
    <row r="104" spans="1:80" ht="13" hidden="1" x14ac:dyDescent="0.3">
      <c r="A104" s="631"/>
      <c r="B104" s="631"/>
      <c r="C104" s="632"/>
      <c r="D104" s="175"/>
      <c r="E104" s="175"/>
      <c r="F104" s="175"/>
      <c r="G104" s="175"/>
      <c r="H104" s="175"/>
      <c r="I104" s="175"/>
      <c r="J104" s="633"/>
      <c r="K104" s="633"/>
      <c r="L104" s="633"/>
      <c r="M104" s="633"/>
      <c r="N104" s="633"/>
      <c r="O104" s="658" t="s">
        <v>91</v>
      </c>
      <c r="P104" s="668" t="s">
        <v>1755</v>
      </c>
      <c r="R104" s="654"/>
      <c r="S104" s="669"/>
      <c r="T104" s="667"/>
      <c r="U104" s="667"/>
      <c r="V104" s="654"/>
      <c r="W104" s="654"/>
      <c r="X104" s="634"/>
      <c r="Y104" s="65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c r="BA104" s="175"/>
      <c r="BB104" s="633"/>
      <c r="BC104" s="175"/>
      <c r="BD104" s="175"/>
      <c r="BE104" s="175"/>
      <c r="BF104" s="175"/>
      <c r="BG104" s="175"/>
      <c r="BH104" s="175"/>
      <c r="BI104" s="175"/>
      <c r="BJ104" s="175"/>
      <c r="BK104" s="175"/>
      <c r="BL104" s="175"/>
      <c r="BM104" s="175"/>
      <c r="BN104" s="175"/>
      <c r="BO104" s="175"/>
      <c r="BP104" s="635"/>
      <c r="BY104" s="140"/>
      <c r="BZ104" s="140"/>
      <c r="CA104" s="140"/>
      <c r="CB104" s="140"/>
    </row>
    <row r="105" spans="1:80" ht="14" hidden="1" x14ac:dyDescent="0.3">
      <c r="A105" s="631"/>
      <c r="B105" s="631"/>
      <c r="C105" s="632"/>
      <c r="D105" s="175"/>
      <c r="E105" s="175"/>
      <c r="F105" s="175"/>
      <c r="G105" s="175" t="s">
        <v>1828</v>
      </c>
      <c r="H105" s="175"/>
      <c r="I105" s="175"/>
      <c r="J105" s="633" t="b">
        <f>AND(NOT(ISBLANK(DescriptionTwo)),NOT(ISBLANK(ClassificationTwo)))</f>
        <v>1</v>
      </c>
      <c r="K105" s="637" t="s">
        <v>1829</v>
      </c>
      <c r="L105" s="637"/>
      <c r="M105" s="637"/>
      <c r="N105" s="175" t="s">
        <v>1830</v>
      </c>
      <c r="O105" s="670" t="str">
        <f>IF(AND(InputIssuesTwo=0,V72&gt;0),ROUND(X72,PrecisionTwo),"")</f>
        <v/>
      </c>
      <c r="P105" s="671" t="str">
        <f>IF(AND(InputIssuesTwo=0,V72&gt;0),ROUND(W72/V72,PrecisionTwo),"")</f>
        <v/>
      </c>
      <c r="Q105" s="672" t="e">
        <f>P105/O105</f>
        <v>#VALUE!</v>
      </c>
      <c r="R105" s="637" t="s">
        <v>1831</v>
      </c>
      <c r="S105" s="648"/>
      <c r="T105" s="654"/>
      <c r="U105" s="654"/>
      <c r="V105" s="654"/>
      <c r="W105" s="654"/>
      <c r="X105" s="634"/>
      <c r="Y105" s="65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c r="BA105" s="175"/>
      <c r="BB105" s="633"/>
      <c r="BC105" s="175"/>
      <c r="BD105" s="175"/>
      <c r="BE105" s="175"/>
      <c r="BF105" s="175"/>
      <c r="BG105" s="175"/>
      <c r="BH105" s="175"/>
      <c r="BI105" s="175"/>
      <c r="BJ105" s="175"/>
      <c r="BK105" s="175"/>
      <c r="BL105" s="175"/>
      <c r="BM105" s="175"/>
      <c r="BN105" s="175"/>
      <c r="BO105" s="175"/>
      <c r="BP105" s="635"/>
      <c r="BY105" s="140"/>
      <c r="BZ105" s="140"/>
      <c r="CA105" s="140"/>
      <c r="CB105" s="140"/>
    </row>
    <row r="106" spans="1:80" ht="14" hidden="1" x14ac:dyDescent="0.3">
      <c r="A106" s="631"/>
      <c r="B106" s="631"/>
      <c r="C106" s="632"/>
      <c r="D106" s="175"/>
      <c r="E106" s="175"/>
      <c r="F106" s="175"/>
      <c r="G106" s="175"/>
      <c r="H106" s="175"/>
      <c r="I106" s="175"/>
      <c r="J106" s="633"/>
      <c r="K106" s="633"/>
      <c r="L106" s="633"/>
      <c r="M106" s="633"/>
      <c r="N106" s="175" t="s">
        <v>1832</v>
      </c>
      <c r="O106" s="670" t="str">
        <f>O105</f>
        <v/>
      </c>
      <c r="P106" s="671" t="str">
        <f>P105</f>
        <v/>
      </c>
      <c r="Q106" s="672" t="e">
        <f>P106/O106</f>
        <v>#VALUE!</v>
      </c>
      <c r="R106" s="637"/>
      <c r="S106" s="648"/>
      <c r="T106" s="654"/>
      <c r="U106" s="654"/>
      <c r="V106" s="654"/>
      <c r="W106" s="654"/>
      <c r="X106" s="634"/>
      <c r="Y106" s="65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c r="BA106" s="175"/>
      <c r="BB106" s="633"/>
      <c r="BC106" s="175"/>
      <c r="BD106" s="175"/>
      <c r="BE106" s="175"/>
      <c r="BF106" s="175"/>
      <c r="BG106" s="175"/>
      <c r="BH106" s="175"/>
      <c r="BI106" s="175"/>
      <c r="BJ106" s="175"/>
      <c r="BK106" s="175"/>
      <c r="BL106" s="175"/>
      <c r="BM106" s="175"/>
      <c r="BN106" s="175"/>
      <c r="BO106" s="175"/>
      <c r="BP106" s="635"/>
      <c r="BY106" s="140"/>
      <c r="BZ106" s="140"/>
      <c r="CA106" s="140"/>
      <c r="CB106" s="140"/>
    </row>
    <row r="107" spans="1:80" ht="14" hidden="1" x14ac:dyDescent="0.3">
      <c r="A107" s="631"/>
      <c r="B107" s="631"/>
      <c r="C107" s="632"/>
      <c r="D107" s="175"/>
      <c r="E107" s="175"/>
      <c r="F107" s="175"/>
      <c r="G107" s="175"/>
      <c r="H107" s="175"/>
      <c r="I107" s="175"/>
      <c r="J107" s="633"/>
      <c r="K107" s="633"/>
      <c r="L107" s="633"/>
      <c r="M107" s="633"/>
      <c r="N107" s="175" t="s">
        <v>1809</v>
      </c>
      <c r="O107" s="670" t="str">
        <f>IF(AND(InputIssuesTwo=0,AA72&gt;0),ROUND(AC72,PrecisionTwo),"")</f>
        <v/>
      </c>
      <c r="P107" s="671" t="str">
        <f>IF(AND(InputIssuesTwo=0,AA72&gt;0),ROUND(AB72/AA72,PrecisionTwo),"")</f>
        <v/>
      </c>
      <c r="Q107" s="672" t="e">
        <f>P107/O107</f>
        <v>#VALUE!</v>
      </c>
      <c r="R107" s="637" t="s">
        <v>1833</v>
      </c>
      <c r="S107" s="648"/>
      <c r="T107" s="654"/>
      <c r="U107" s="654"/>
      <c r="V107" s="654"/>
      <c r="W107" s="654"/>
      <c r="X107" s="634"/>
      <c r="Y107" s="65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c r="BA107" s="175"/>
      <c r="BB107" s="633"/>
      <c r="BC107" s="175"/>
      <c r="BD107" s="175"/>
      <c r="BE107" s="175"/>
      <c r="BF107" s="175"/>
      <c r="BG107" s="175"/>
      <c r="BH107" s="175"/>
      <c r="BI107" s="175"/>
      <c r="BJ107" s="175"/>
      <c r="BK107" s="175"/>
      <c r="BL107" s="175"/>
      <c r="BM107" s="175"/>
      <c r="BN107" s="175"/>
      <c r="BO107" s="175"/>
      <c r="BP107" s="635"/>
      <c r="BY107" s="140"/>
      <c r="BZ107" s="140"/>
      <c r="CA107" s="140"/>
      <c r="CB107" s="140"/>
    </row>
    <row r="108" spans="1:80" ht="14" hidden="1" x14ac:dyDescent="0.3">
      <c r="A108" s="631"/>
      <c r="B108" s="631"/>
      <c r="C108" s="632"/>
      <c r="D108" s="175"/>
      <c r="E108" s="175"/>
      <c r="F108" s="175"/>
      <c r="G108" s="175"/>
      <c r="H108" s="175"/>
      <c r="I108" s="175"/>
      <c r="J108" s="633"/>
      <c r="K108" s="633"/>
      <c r="L108" s="633"/>
      <c r="M108" s="633"/>
      <c r="N108" s="175" t="s">
        <v>1834</v>
      </c>
      <c r="O108" s="670" t="str">
        <f>IF(AND(InputIssuesTwo=0,AF72&gt;0),ROUND(AH72,PrecisionTwo),"")</f>
        <v/>
      </c>
      <c r="P108" s="671" t="str">
        <f>IF(AND(InputIssuesTwo=0,AF72&gt;0),ROUND(AG72/AF72,PrecisionTwo),"")</f>
        <v/>
      </c>
      <c r="Q108" s="672" t="e">
        <f>P108/O108</f>
        <v>#VALUE!</v>
      </c>
      <c r="R108" s="637" t="s">
        <v>1835</v>
      </c>
      <c r="S108" s="673" t="s">
        <v>1836</v>
      </c>
      <c r="T108" s="654"/>
      <c r="U108" s="654"/>
      <c r="V108" s="654"/>
      <c r="W108" s="654"/>
      <c r="X108" s="634"/>
      <c r="Y108" s="634"/>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c r="BA108" s="175"/>
      <c r="BB108" s="633"/>
      <c r="BC108" s="175"/>
      <c r="BD108" s="175"/>
      <c r="BE108" s="175"/>
      <c r="BF108" s="175"/>
      <c r="BG108" s="175"/>
      <c r="BH108" s="175"/>
      <c r="BI108" s="175"/>
      <c r="BJ108" s="175"/>
      <c r="BK108" s="175"/>
      <c r="BL108" s="175"/>
      <c r="BM108" s="175"/>
      <c r="BN108" s="175"/>
      <c r="BO108" s="175"/>
      <c r="BP108" s="635"/>
      <c r="BY108" s="140"/>
      <c r="BZ108" s="140"/>
      <c r="CA108" s="140"/>
      <c r="CB108" s="140"/>
    </row>
    <row r="109" spans="1:80" ht="13" hidden="1" x14ac:dyDescent="0.3">
      <c r="A109" s="631"/>
      <c r="B109" s="631"/>
      <c r="C109" s="632"/>
      <c r="D109" s="175"/>
      <c r="E109" s="175"/>
      <c r="F109" s="175"/>
      <c r="G109" s="175"/>
      <c r="H109" s="175"/>
      <c r="I109" s="175"/>
      <c r="J109" s="633"/>
      <c r="K109" s="633"/>
      <c r="L109" s="633"/>
      <c r="M109" s="633"/>
      <c r="N109" s="637" t="s">
        <v>1837</v>
      </c>
      <c r="O109" s="648"/>
      <c r="P109" s="648"/>
      <c r="R109" s="654"/>
      <c r="S109" s="660" t="s">
        <v>196</v>
      </c>
      <c r="T109" s="648"/>
      <c r="U109" s="648"/>
      <c r="V109" s="648"/>
      <c r="W109" s="648"/>
      <c r="X109" s="654"/>
      <c r="Y109" s="634"/>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75"/>
      <c r="BA109" s="175"/>
      <c r="BB109" s="633"/>
      <c r="BC109" s="175"/>
      <c r="BD109" s="175"/>
      <c r="BE109" s="175"/>
      <c r="BF109" s="175"/>
      <c r="BG109" s="175"/>
      <c r="BH109" s="175"/>
      <c r="BI109" s="175"/>
      <c r="BJ109" s="175"/>
      <c r="BK109" s="175"/>
      <c r="BL109" s="175"/>
      <c r="BM109" s="175"/>
      <c r="BN109" s="175"/>
      <c r="BO109" s="175"/>
      <c r="BP109" s="635"/>
      <c r="BY109" s="140"/>
      <c r="BZ109" s="140"/>
      <c r="CA109" s="140"/>
      <c r="CB109" s="140"/>
    </row>
    <row r="110" spans="1:80" ht="13" hidden="1" x14ac:dyDescent="0.3">
      <c r="A110" s="631"/>
      <c r="B110" s="631"/>
      <c r="C110" s="632"/>
      <c r="D110" s="175"/>
      <c r="E110" s="175"/>
      <c r="F110" s="175"/>
      <c r="G110" s="1225" t="s">
        <v>1838</v>
      </c>
      <c r="H110" s="1225"/>
      <c r="I110" s="1226"/>
      <c r="J110" s="1231"/>
      <c r="K110" s="633"/>
      <c r="L110" s="633"/>
      <c r="M110" s="633"/>
      <c r="N110" s="637" t="s">
        <v>1839</v>
      </c>
      <c r="O110" s="175"/>
      <c r="P110" s="175"/>
      <c r="R110" s="175"/>
      <c r="S110" s="660" t="s">
        <v>1840</v>
      </c>
      <c r="T110" s="175"/>
      <c r="U110" s="175"/>
      <c r="V110" s="175"/>
      <c r="W110" s="175"/>
      <c r="X110" s="634"/>
      <c r="Y110" s="634"/>
      <c r="Z110" s="175"/>
      <c r="AA110" s="175"/>
      <c r="AB110" s="175"/>
      <c r="AC110" s="175"/>
      <c r="AD110" s="175"/>
      <c r="AE110" s="175"/>
      <c r="AF110" s="175"/>
      <c r="AG110" s="175"/>
      <c r="AH110" s="175"/>
      <c r="AI110" s="175"/>
      <c r="AJ110" s="175"/>
      <c r="AK110" s="175"/>
      <c r="AL110" s="175"/>
      <c r="AM110" s="175"/>
      <c r="AN110" s="175"/>
      <c r="AO110" s="175"/>
      <c r="AP110" s="175"/>
      <c r="AQ110" s="175"/>
      <c r="AR110" s="175"/>
      <c r="AS110" s="175"/>
      <c r="AT110" s="175"/>
      <c r="AU110" s="175"/>
      <c r="AV110" s="175"/>
      <c r="AW110" s="175"/>
      <c r="AX110" s="175"/>
      <c r="AY110" s="175"/>
      <c r="AZ110" s="175"/>
      <c r="BA110" s="175"/>
      <c r="BB110" s="633"/>
      <c r="BC110" s="175"/>
      <c r="BD110" s="175"/>
      <c r="BE110" s="175"/>
      <c r="BF110" s="175"/>
      <c r="BG110" s="175"/>
      <c r="BH110" s="175"/>
      <c r="BI110" s="175"/>
      <c r="BJ110" s="175"/>
      <c r="BK110" s="175"/>
      <c r="BL110" s="175"/>
      <c r="BM110" s="175"/>
      <c r="BN110" s="175"/>
      <c r="BO110" s="175"/>
      <c r="BP110" s="635"/>
      <c r="BY110" s="140"/>
      <c r="BZ110" s="140"/>
      <c r="CA110" s="140"/>
      <c r="CB110" s="140"/>
    </row>
    <row r="111" spans="1:80" ht="13" hidden="1" x14ac:dyDescent="0.3">
      <c r="A111" s="631"/>
      <c r="B111" s="631"/>
      <c r="C111" s="632"/>
      <c r="D111" s="175"/>
      <c r="E111" s="175"/>
      <c r="F111" s="175"/>
      <c r="G111" s="175"/>
      <c r="H111" s="175"/>
      <c r="I111" s="175"/>
      <c r="J111" s="633"/>
      <c r="K111" s="633"/>
      <c r="L111" s="633"/>
      <c r="M111" s="633"/>
      <c r="N111" s="637" t="s">
        <v>1841</v>
      </c>
      <c r="O111" s="175"/>
      <c r="P111" s="175"/>
      <c r="R111" s="175"/>
      <c r="S111" s="660"/>
      <c r="T111" s="175"/>
      <c r="U111" s="175"/>
      <c r="V111" s="175"/>
      <c r="W111" s="175"/>
      <c r="X111" s="634"/>
      <c r="Y111" s="634"/>
      <c r="Z111" s="175"/>
      <c r="AA111" s="175"/>
      <c r="AB111" s="175"/>
      <c r="AC111" s="175"/>
      <c r="AD111" s="175"/>
      <c r="AE111" s="175"/>
      <c r="AF111" s="175"/>
      <c r="AG111" s="175"/>
      <c r="AH111" s="175"/>
      <c r="AI111" s="175"/>
      <c r="AJ111" s="175"/>
      <c r="AK111" s="175"/>
      <c r="AL111" s="175"/>
      <c r="AM111" s="175"/>
      <c r="AN111" s="175"/>
      <c r="AO111" s="175"/>
      <c r="AP111" s="175"/>
      <c r="AQ111" s="175"/>
      <c r="AR111" s="175"/>
      <c r="AS111" s="175"/>
      <c r="AT111" s="175"/>
      <c r="AU111" s="175"/>
      <c r="AV111" s="175"/>
      <c r="AW111" s="175"/>
      <c r="AX111" s="175"/>
      <c r="AY111" s="175"/>
      <c r="AZ111" s="175"/>
      <c r="BA111" s="175"/>
      <c r="BB111" s="633"/>
      <c r="BC111" s="175"/>
      <c r="BD111" s="175"/>
      <c r="BE111" s="175"/>
      <c r="BF111" s="175"/>
      <c r="BG111" s="175"/>
      <c r="BH111" s="175"/>
      <c r="BI111" s="175"/>
      <c r="BJ111" s="175"/>
      <c r="BK111" s="175"/>
      <c r="BL111" s="175"/>
      <c r="BM111" s="175"/>
      <c r="BN111" s="175"/>
      <c r="BO111" s="175"/>
      <c r="BP111" s="635"/>
      <c r="BY111" s="140"/>
      <c r="BZ111" s="140"/>
      <c r="CA111" s="140"/>
      <c r="CB111" s="140"/>
    </row>
    <row r="112" spans="1:80" ht="13" hidden="1" x14ac:dyDescent="0.3">
      <c r="A112" s="631"/>
      <c r="B112" s="631"/>
      <c r="C112" s="632"/>
      <c r="D112" s="175"/>
      <c r="E112" s="175"/>
      <c r="F112" s="175"/>
      <c r="G112" s="175" t="s">
        <v>1842</v>
      </c>
      <c r="H112" s="175"/>
      <c r="I112" s="655" t="b">
        <f>AND(PassClass1,PassBalcony,PassClass10,I114)</f>
        <v>0</v>
      </c>
      <c r="J112" s="674" t="str">
        <f>IF(AND(I112,I114),"Green","n/a")</f>
        <v>n/a</v>
      </c>
      <c r="K112" s="637" t="s">
        <v>1843</v>
      </c>
      <c r="L112" s="637"/>
      <c r="M112" s="637"/>
      <c r="N112" s="637" t="s">
        <v>1844</v>
      </c>
      <c r="O112" s="175"/>
      <c r="P112" s="175"/>
      <c r="R112" s="175"/>
      <c r="S112" s="175"/>
      <c r="T112" s="175"/>
      <c r="U112" s="175"/>
      <c r="V112" s="175"/>
      <c r="W112" s="175"/>
      <c r="X112" s="634"/>
      <c r="Y112" s="634"/>
      <c r="Z112" s="175"/>
      <c r="AA112" s="175"/>
      <c r="AB112" s="175"/>
      <c r="AC112" s="175"/>
      <c r="AD112" s="175"/>
      <c r="AE112" s="175"/>
      <c r="AF112" s="175"/>
      <c r="AG112" s="175"/>
      <c r="AH112" s="175"/>
      <c r="AI112" s="175"/>
      <c r="AJ112" s="175"/>
      <c r="AK112" s="175"/>
      <c r="AL112" s="175"/>
      <c r="AM112" s="175"/>
      <c r="AN112" s="175"/>
      <c r="AO112" s="175"/>
      <c r="AP112" s="175"/>
      <c r="AQ112" s="175"/>
      <c r="AR112" s="175"/>
      <c r="AS112" s="175"/>
      <c r="AT112" s="175"/>
      <c r="AU112" s="175"/>
      <c r="AV112" s="175"/>
      <c r="AW112" s="175"/>
      <c r="AX112" s="175"/>
      <c r="AY112" s="175"/>
      <c r="AZ112" s="175"/>
      <c r="BA112" s="175"/>
      <c r="BB112" s="633"/>
      <c r="BC112" s="175"/>
      <c r="BD112" s="175"/>
      <c r="BE112" s="175"/>
      <c r="BF112" s="175"/>
      <c r="BG112" s="175"/>
      <c r="BH112" s="175"/>
      <c r="BI112" s="175"/>
      <c r="BJ112" s="175"/>
      <c r="BK112" s="175"/>
      <c r="BL112" s="175"/>
      <c r="BM112" s="175"/>
      <c r="BN112" s="175"/>
      <c r="BO112" s="175"/>
      <c r="BP112" s="635"/>
      <c r="BY112" s="140"/>
      <c r="BZ112" s="140"/>
      <c r="CA112" s="140"/>
      <c r="CB112" s="140"/>
    </row>
    <row r="113" spans="1:80" ht="13" hidden="1" x14ac:dyDescent="0.3">
      <c r="A113" s="631"/>
      <c r="B113" s="631"/>
      <c r="C113" s="632"/>
      <c r="D113" s="175"/>
      <c r="E113" s="175"/>
      <c r="F113" s="175"/>
      <c r="G113" s="175" t="s">
        <v>1845</v>
      </c>
      <c r="H113" s="175"/>
      <c r="I113" s="655" t="b">
        <f>OR(FailClass1,FailBalcony,FailClass10)</f>
        <v>0</v>
      </c>
      <c r="J113" s="674" t="str">
        <f>IF(AND(I113,I114),"Red","n/a")</f>
        <v>n/a</v>
      </c>
      <c r="K113" s="637" t="s">
        <v>1843</v>
      </c>
      <c r="L113" s="637"/>
      <c r="M113" s="637"/>
      <c r="N113" s="633"/>
      <c r="O113" s="175"/>
      <c r="P113" s="175"/>
      <c r="R113" s="175"/>
      <c r="S113" s="637" t="s">
        <v>1846</v>
      </c>
      <c r="T113" s="175"/>
      <c r="U113" s="175"/>
      <c r="V113" s="175"/>
      <c r="W113" s="175"/>
      <c r="X113" s="634"/>
      <c r="Y113" s="634"/>
      <c r="Z113" s="175"/>
      <c r="AA113" s="175"/>
      <c r="AB113" s="175"/>
      <c r="AC113" s="175"/>
      <c r="AD113" s="175"/>
      <c r="AE113" s="175"/>
      <c r="AF113" s="175"/>
      <c r="AG113" s="175"/>
      <c r="AH113" s="175"/>
      <c r="AI113" s="175"/>
      <c r="AJ113" s="175"/>
      <c r="AK113" s="175"/>
      <c r="AL113" s="175"/>
      <c r="AM113" s="175"/>
      <c r="AN113" s="175"/>
      <c r="AO113" s="175"/>
      <c r="AP113" s="175"/>
      <c r="AQ113" s="175"/>
      <c r="AR113" s="175"/>
      <c r="AS113" s="175"/>
      <c r="AT113" s="175"/>
      <c r="AU113" s="175"/>
      <c r="AV113" s="175"/>
      <c r="AW113" s="175"/>
      <c r="AX113" s="175"/>
      <c r="AY113" s="175"/>
      <c r="AZ113" s="175"/>
      <c r="BA113" s="175"/>
      <c r="BB113" s="633"/>
      <c r="BC113" s="175"/>
      <c r="BD113" s="175"/>
      <c r="BE113" s="175"/>
      <c r="BF113" s="175"/>
      <c r="BG113" s="175"/>
      <c r="BH113" s="175"/>
      <c r="BI113" s="175"/>
      <c r="BJ113" s="175"/>
      <c r="BK113" s="175"/>
      <c r="BL113" s="175"/>
      <c r="BM113" s="175"/>
      <c r="BN113" s="175"/>
      <c r="BO113" s="175"/>
      <c r="BP113" s="635"/>
      <c r="BY113" s="140"/>
      <c r="BZ113" s="140"/>
      <c r="CA113" s="140"/>
      <c r="CB113" s="140"/>
    </row>
    <row r="114" spans="1:80" ht="13" hidden="1" x14ac:dyDescent="0.3">
      <c r="A114" s="631"/>
      <c r="B114" s="631"/>
      <c r="C114" s="632"/>
      <c r="D114" s="175"/>
      <c r="E114" s="175"/>
      <c r="F114" s="175"/>
      <c r="G114" s="175" t="s">
        <v>1847</v>
      </c>
      <c r="H114" s="175"/>
      <c r="I114" s="175" t="b">
        <f>AND(Allinputsokres,TopInputsOKTwo,InputIssuesTwo=0)</f>
        <v>0</v>
      </c>
      <c r="J114" s="633"/>
      <c r="K114" s="633"/>
      <c r="L114" s="633"/>
      <c r="M114" s="633"/>
      <c r="N114" s="1225" t="s">
        <v>1848</v>
      </c>
      <c r="O114" s="175"/>
      <c r="P114" s="175"/>
      <c r="R114" s="175"/>
      <c r="S114" s="175"/>
      <c r="T114" s="175"/>
      <c r="U114" s="175"/>
      <c r="V114" s="175"/>
      <c r="W114" s="175"/>
      <c r="X114" s="634"/>
      <c r="Y114" s="634"/>
      <c r="Z114" s="175"/>
      <c r="AA114" s="175"/>
      <c r="AB114" s="175"/>
      <c r="AC114" s="175"/>
      <c r="AD114" s="175"/>
      <c r="AE114" s="175"/>
      <c r="AF114" s="175"/>
      <c r="AG114" s="175"/>
      <c r="AH114" s="175"/>
      <c r="AI114" s="175"/>
      <c r="AJ114" s="175"/>
      <c r="AK114" s="175"/>
      <c r="AL114" s="175"/>
      <c r="AM114" s="175"/>
      <c r="AN114" s="175"/>
      <c r="AO114" s="175"/>
      <c r="AP114" s="175"/>
      <c r="AQ114" s="175"/>
      <c r="AR114" s="175"/>
      <c r="AS114" s="175"/>
      <c r="AT114" s="175"/>
      <c r="AU114" s="175"/>
      <c r="AV114" s="175"/>
      <c r="AW114" s="175"/>
      <c r="AX114" s="175"/>
      <c r="AY114" s="175"/>
      <c r="AZ114" s="175"/>
      <c r="BA114" s="175"/>
      <c r="BB114" s="633"/>
      <c r="BC114" s="175"/>
      <c r="BD114" s="175"/>
      <c r="BE114" s="175"/>
      <c r="BF114" s="175"/>
      <c r="BG114" s="175"/>
      <c r="BH114" s="175"/>
      <c r="BI114" s="175"/>
      <c r="BJ114" s="175"/>
      <c r="BK114" s="175"/>
      <c r="BL114" s="175"/>
      <c r="BM114" s="175"/>
      <c r="BN114" s="175"/>
      <c r="BO114" s="175"/>
      <c r="BP114" s="635"/>
      <c r="BY114" s="140"/>
      <c r="BZ114" s="140"/>
      <c r="CA114" s="140"/>
      <c r="CB114" s="140"/>
    </row>
    <row r="115" spans="1:80" ht="13" hidden="1" x14ac:dyDescent="0.3">
      <c r="A115" s="631"/>
      <c r="B115" s="631"/>
      <c r="C115" s="632"/>
      <c r="D115" s="175"/>
      <c r="E115" s="175"/>
      <c r="F115" s="175"/>
      <c r="G115" s="175"/>
      <c r="H115" s="175"/>
      <c r="I115" s="175"/>
      <c r="J115" s="633"/>
      <c r="K115" s="633"/>
      <c r="L115" s="633"/>
      <c r="M115" s="633"/>
      <c r="N115" s="582">
        <v>1</v>
      </c>
      <c r="O115" s="637" t="s">
        <v>1849</v>
      </c>
      <c r="P115" s="175"/>
      <c r="R115" s="175"/>
      <c r="S115" s="175"/>
      <c r="T115" s="175"/>
      <c r="U115" s="175"/>
      <c r="V115" s="175"/>
      <c r="W115" s="175"/>
      <c r="X115" s="634"/>
      <c r="Y115" s="634"/>
      <c r="Z115" s="175"/>
      <c r="AA115" s="175"/>
      <c r="AB115" s="175"/>
      <c r="AC115" s="175"/>
      <c r="AD115" s="175"/>
      <c r="AE115" s="175"/>
      <c r="AF115" s="175"/>
      <c r="AG115" s="175"/>
      <c r="AH115" s="175"/>
      <c r="AI115" s="175"/>
      <c r="AJ115" s="175"/>
      <c r="AK115" s="175"/>
      <c r="AL115" s="175"/>
      <c r="AM115" s="175"/>
      <c r="AN115" s="175"/>
      <c r="AO115" s="175"/>
      <c r="AP115" s="175"/>
      <c r="AQ115" s="175"/>
      <c r="AR115" s="175"/>
      <c r="AS115" s="175"/>
      <c r="AT115" s="175"/>
      <c r="AU115" s="175"/>
      <c r="AV115" s="175"/>
      <c r="AW115" s="175"/>
      <c r="AX115" s="175"/>
      <c r="AY115" s="175"/>
      <c r="AZ115" s="175"/>
      <c r="BA115" s="175"/>
      <c r="BB115" s="633"/>
      <c r="BC115" s="175"/>
      <c r="BD115" s="175"/>
      <c r="BE115" s="175"/>
      <c r="BF115" s="175"/>
      <c r="BG115" s="175"/>
      <c r="BH115" s="175"/>
      <c r="BI115" s="175"/>
      <c r="BJ115" s="175"/>
      <c r="BK115" s="175"/>
      <c r="BL115" s="175"/>
      <c r="BM115" s="175"/>
      <c r="BN115" s="175"/>
      <c r="BO115" s="175"/>
      <c r="BP115" s="635"/>
      <c r="BY115" s="140"/>
      <c r="BZ115" s="140"/>
      <c r="CA115" s="140"/>
      <c r="CB115" s="140"/>
    </row>
    <row r="116" spans="1:80" hidden="1" x14ac:dyDescent="0.25">
      <c r="A116" s="631"/>
      <c r="B116" s="631"/>
      <c r="C116" s="632"/>
      <c r="D116" s="175"/>
      <c r="E116" s="175"/>
      <c r="F116" s="175"/>
      <c r="G116" s="175"/>
      <c r="H116" s="175"/>
      <c r="I116" s="175"/>
      <c r="J116" s="633"/>
      <c r="K116" s="633"/>
      <c r="L116" s="633"/>
      <c r="M116" s="633"/>
      <c r="N116" s="175"/>
      <c r="O116" s="175"/>
      <c r="P116" s="175"/>
      <c r="R116" s="175"/>
      <c r="S116" s="175"/>
      <c r="T116" s="175"/>
      <c r="U116" s="175"/>
      <c r="V116" s="175"/>
      <c r="W116" s="175"/>
      <c r="X116" s="634"/>
      <c r="Y116" s="634"/>
      <c r="Z116" s="175"/>
      <c r="AA116" s="175"/>
      <c r="AB116" s="175"/>
      <c r="AC116" s="175"/>
      <c r="AD116" s="175"/>
      <c r="AE116" s="175"/>
      <c r="AF116" s="175"/>
      <c r="AG116" s="175"/>
      <c r="AH116" s="175"/>
      <c r="AI116" s="175"/>
      <c r="AJ116" s="175"/>
      <c r="AK116" s="175"/>
      <c r="AL116" s="175"/>
      <c r="AM116" s="175"/>
      <c r="AN116" s="175"/>
      <c r="AO116" s="175"/>
      <c r="AP116" s="175"/>
      <c r="AQ116" s="175"/>
      <c r="AR116" s="175"/>
      <c r="AS116" s="175"/>
      <c r="AT116" s="175"/>
      <c r="AU116" s="175"/>
      <c r="AV116" s="175"/>
      <c r="AW116" s="175"/>
      <c r="AX116" s="175"/>
      <c r="AY116" s="175"/>
      <c r="AZ116" s="175"/>
      <c r="BA116" s="175"/>
      <c r="BB116" s="633"/>
      <c r="BC116" s="175"/>
      <c r="BD116" s="175"/>
      <c r="BE116" s="175"/>
      <c r="BF116" s="175"/>
      <c r="BG116" s="175"/>
      <c r="BH116" s="175"/>
      <c r="BI116" s="175"/>
      <c r="BJ116" s="175"/>
      <c r="BK116" s="175"/>
      <c r="BL116" s="175"/>
      <c r="BM116" s="175"/>
      <c r="BN116" s="175"/>
      <c r="BO116" s="175"/>
      <c r="BP116" s="635"/>
      <c r="BY116" s="140"/>
      <c r="BZ116" s="140"/>
      <c r="CA116" s="140"/>
      <c r="CB116" s="140"/>
    </row>
    <row r="117" spans="1:80" hidden="1" x14ac:dyDescent="0.25">
      <c r="A117" s="631"/>
      <c r="B117" s="631"/>
      <c r="C117" s="632"/>
      <c r="D117" s="175"/>
      <c r="E117" s="175"/>
      <c r="F117" s="175"/>
      <c r="G117" s="175"/>
      <c r="H117" s="175"/>
      <c r="I117" s="175"/>
      <c r="J117" s="633"/>
      <c r="K117" s="633"/>
      <c r="L117" s="633"/>
      <c r="M117" s="633"/>
      <c r="N117" s="175"/>
      <c r="O117" s="175"/>
      <c r="P117" s="175"/>
      <c r="R117" s="175"/>
      <c r="S117" s="175"/>
      <c r="T117" s="175"/>
      <c r="U117" s="175"/>
      <c r="V117" s="175"/>
      <c r="W117" s="175"/>
      <c r="X117" s="634"/>
      <c r="Y117" s="634"/>
      <c r="Z117" s="175"/>
      <c r="AA117" s="175"/>
      <c r="AB117" s="175"/>
      <c r="AC117" s="175"/>
      <c r="AD117" s="175"/>
      <c r="AE117" s="175"/>
      <c r="AF117" s="175"/>
      <c r="AG117" s="175"/>
      <c r="AH117" s="175"/>
      <c r="AI117" s="175"/>
      <c r="AJ117" s="175"/>
      <c r="AK117" s="175"/>
      <c r="AL117" s="175"/>
      <c r="AM117" s="175"/>
      <c r="AN117" s="175"/>
      <c r="AO117" s="175"/>
      <c r="AP117" s="175"/>
      <c r="AQ117" s="175"/>
      <c r="AR117" s="175"/>
      <c r="AS117" s="175"/>
      <c r="AT117" s="175"/>
      <c r="AU117" s="175"/>
      <c r="AV117" s="175"/>
      <c r="AW117" s="175"/>
      <c r="AX117" s="175"/>
      <c r="AY117" s="175"/>
      <c r="AZ117" s="175"/>
      <c r="BA117" s="175"/>
      <c r="BB117" s="633"/>
      <c r="BC117" s="175"/>
      <c r="BD117" s="175"/>
      <c r="BE117" s="175"/>
      <c r="BF117" s="175"/>
      <c r="BG117" s="175"/>
      <c r="BH117" s="175"/>
      <c r="BI117" s="175"/>
      <c r="BJ117" s="175"/>
      <c r="BK117" s="175"/>
      <c r="BL117" s="175"/>
      <c r="BM117" s="175"/>
      <c r="BN117" s="175"/>
      <c r="BO117" s="175"/>
      <c r="BP117" s="635"/>
      <c r="BY117" s="140"/>
      <c r="BZ117" s="140"/>
      <c r="CA117" s="140"/>
      <c r="CB117" s="140"/>
    </row>
    <row r="118" spans="1:80" ht="13" hidden="1" x14ac:dyDescent="0.3">
      <c r="A118" s="631"/>
      <c r="B118" s="631"/>
      <c r="C118" s="632"/>
      <c r="D118" s="175"/>
      <c r="E118" s="175"/>
      <c r="F118" s="175"/>
      <c r="G118" s="175"/>
      <c r="H118" s="675" t="s">
        <v>1850</v>
      </c>
      <c r="I118" s="175"/>
      <c r="J118" s="633"/>
      <c r="K118" s="633"/>
      <c r="L118" s="633"/>
      <c r="M118" s="633"/>
      <c r="N118" s="175"/>
      <c r="O118" s="175"/>
      <c r="P118" s="175"/>
      <c r="R118" s="175"/>
      <c r="S118" s="175"/>
      <c r="T118" s="175"/>
      <c r="U118" s="175"/>
      <c r="V118" s="175"/>
      <c r="W118" s="175"/>
      <c r="X118" s="634"/>
      <c r="Y118" s="634"/>
      <c r="Z118" s="175"/>
      <c r="AA118" s="175"/>
      <c r="AB118" s="175"/>
      <c r="AC118" s="175"/>
      <c r="AD118" s="175"/>
      <c r="AE118" s="175"/>
      <c r="AF118" s="175"/>
      <c r="AG118" s="175"/>
      <c r="AH118" s="175"/>
      <c r="AI118" s="175"/>
      <c r="AJ118" s="175"/>
      <c r="AK118" s="175"/>
      <c r="AL118" s="175"/>
      <c r="AM118" s="175"/>
      <c r="AN118" s="175"/>
      <c r="AO118" s="175"/>
      <c r="AP118" s="175"/>
      <c r="AQ118" s="175"/>
      <c r="AR118" s="175"/>
      <c r="AS118" s="175"/>
      <c r="AT118" s="175"/>
      <c r="AU118" s="175"/>
      <c r="AV118" s="175"/>
      <c r="AW118" s="175"/>
      <c r="AX118" s="175"/>
      <c r="AY118" s="175"/>
      <c r="AZ118" s="175"/>
      <c r="BA118" s="175"/>
      <c r="BB118" s="633"/>
      <c r="BC118" s="175"/>
      <c r="BD118" s="175"/>
      <c r="BE118" s="175"/>
      <c r="BF118" s="175"/>
      <c r="BG118" s="175"/>
      <c r="BH118" s="175"/>
      <c r="BI118" s="175"/>
      <c r="BJ118" s="175"/>
      <c r="BK118" s="175"/>
      <c r="BL118" s="175"/>
      <c r="BM118" s="175"/>
      <c r="BN118" s="175"/>
      <c r="BO118" s="175"/>
      <c r="BP118" s="635"/>
      <c r="BY118" s="140"/>
      <c r="BZ118" s="140"/>
      <c r="CA118" s="140"/>
      <c r="CB118" s="140"/>
    </row>
    <row r="119" spans="1:80" hidden="1" x14ac:dyDescent="0.25">
      <c r="A119" s="631"/>
      <c r="B119" s="631"/>
      <c r="C119" s="632"/>
      <c r="D119" s="175"/>
      <c r="E119" s="175"/>
      <c r="F119" s="175"/>
      <c r="G119" s="175"/>
      <c r="H119" s="175"/>
      <c r="I119" s="175"/>
      <c r="J119" s="633"/>
      <c r="K119" s="633"/>
      <c r="L119" s="633"/>
      <c r="M119" s="633"/>
      <c r="N119" s="175"/>
      <c r="O119" s="175"/>
      <c r="P119" s="175"/>
      <c r="R119" s="175"/>
      <c r="S119" s="175"/>
      <c r="T119" s="175"/>
      <c r="U119" s="175"/>
      <c r="V119" s="175"/>
      <c r="W119" s="175"/>
      <c r="X119" s="634"/>
      <c r="Y119" s="634"/>
      <c r="Z119" s="175"/>
      <c r="AA119" s="175"/>
      <c r="AB119" s="175"/>
      <c r="AC119" s="175"/>
      <c r="AD119" s="175"/>
      <c r="AE119" s="175"/>
      <c r="AF119" s="175"/>
      <c r="AG119" s="175"/>
      <c r="AH119" s="175"/>
      <c r="AI119" s="175"/>
      <c r="AJ119" s="175"/>
      <c r="AK119" s="175"/>
      <c r="AL119" s="175"/>
      <c r="AM119" s="175"/>
      <c r="AN119" s="175"/>
      <c r="AO119" s="175"/>
      <c r="AP119" s="175"/>
      <c r="AQ119" s="175"/>
      <c r="AR119" s="175"/>
      <c r="AS119" s="175"/>
      <c r="AT119" s="175"/>
      <c r="AU119" s="175"/>
      <c r="AV119" s="175"/>
      <c r="AW119" s="175"/>
      <c r="AX119" s="175"/>
      <c r="AY119" s="175"/>
      <c r="AZ119" s="175"/>
      <c r="BA119" s="175"/>
      <c r="BB119" s="633"/>
      <c r="BC119" s="175"/>
      <c r="BD119" s="175"/>
      <c r="BE119" s="175"/>
      <c r="BF119" s="175"/>
      <c r="BG119" s="175"/>
      <c r="BH119" s="175"/>
      <c r="BI119" s="175"/>
      <c r="BJ119" s="175"/>
      <c r="BK119" s="175"/>
      <c r="BL119" s="175"/>
      <c r="BM119" s="175"/>
      <c r="BN119" s="175"/>
      <c r="BO119" s="175"/>
      <c r="BP119" s="635"/>
      <c r="BY119" s="140"/>
      <c r="BZ119" s="140"/>
      <c r="CA119" s="140"/>
      <c r="CB119" s="140"/>
    </row>
    <row r="120" spans="1:80" hidden="1" x14ac:dyDescent="0.25">
      <c r="A120" s="631"/>
      <c r="B120" s="631"/>
      <c r="C120" s="632"/>
      <c r="D120" s="175"/>
      <c r="E120" s="175"/>
      <c r="F120" s="175"/>
      <c r="G120" s="175"/>
      <c r="H120" s="175" t="str">
        <f>IF(OR(AND(V75,AA75),AND(V75,AF75),AND(AA75,AF75)),"Separate aggregate allowances are calculated for Class 1, 2 or 4 cases; for a verandah or balcony; or for a Class 10 building. The '% of Allowance Used' outcomes refer to these aggregate allowances.","")</f>
        <v/>
      </c>
      <c r="I120" s="175"/>
      <c r="J120" s="633"/>
      <c r="K120" s="633"/>
      <c r="L120" s="633"/>
      <c r="M120" s="633"/>
      <c r="N120" s="175"/>
      <c r="O120" s="175"/>
      <c r="P120" s="175"/>
      <c r="R120" s="175"/>
      <c r="S120" s="175"/>
      <c r="T120" s="175"/>
      <c r="U120" s="175"/>
      <c r="V120" s="175"/>
      <c r="W120" s="175"/>
      <c r="X120" s="634"/>
      <c r="Y120" s="634"/>
      <c r="Z120" s="175"/>
      <c r="AA120" s="175"/>
      <c r="AB120" s="175"/>
      <c r="AC120" s="175"/>
      <c r="AD120" s="175"/>
      <c r="AE120" s="175"/>
      <c r="AF120" s="175"/>
      <c r="AG120" s="175"/>
      <c r="AH120" s="175"/>
      <c r="AI120" s="175"/>
      <c r="AJ120" s="175"/>
      <c r="AK120" s="175"/>
      <c r="AL120" s="175"/>
      <c r="AM120" s="175"/>
      <c r="AN120" s="175"/>
      <c r="AO120" s="175"/>
      <c r="AP120" s="175"/>
      <c r="AQ120" s="175"/>
      <c r="AR120" s="175"/>
      <c r="AS120" s="175"/>
      <c r="AT120" s="175"/>
      <c r="AU120" s="175"/>
      <c r="AV120" s="175"/>
      <c r="AW120" s="175"/>
      <c r="AX120" s="175"/>
      <c r="AY120" s="175"/>
      <c r="AZ120" s="175"/>
      <c r="BA120" s="175"/>
      <c r="BB120" s="633"/>
      <c r="BC120" s="175"/>
      <c r="BD120" s="175"/>
      <c r="BE120" s="175"/>
      <c r="BF120" s="175"/>
      <c r="BG120" s="175"/>
      <c r="BH120" s="175"/>
      <c r="BI120" s="175"/>
      <c r="BJ120" s="175"/>
      <c r="BK120" s="175"/>
      <c r="BL120" s="175"/>
      <c r="BM120" s="175"/>
      <c r="BN120" s="175"/>
      <c r="BO120" s="175"/>
      <c r="BP120" s="635"/>
      <c r="BY120" s="140"/>
      <c r="BZ120" s="140"/>
      <c r="CA120" s="140"/>
      <c r="CB120" s="140"/>
    </row>
    <row r="121" spans="1:80" ht="13" hidden="1" x14ac:dyDescent="0.3">
      <c r="A121" s="631"/>
      <c r="B121" s="631"/>
      <c r="C121" s="632"/>
      <c r="D121" s="175"/>
      <c r="E121" s="175"/>
      <c r="F121" s="175"/>
      <c r="G121" s="175"/>
      <c r="H121" s="175" t="b">
        <f>OR(AND(V75,AA75),AND(V75,AF75),AND(AA75,AF75))</f>
        <v>0</v>
      </c>
      <c r="I121" s="637" t="s">
        <v>1851</v>
      </c>
      <c r="J121" s="633"/>
      <c r="K121" s="633"/>
      <c r="L121" s="633"/>
      <c r="M121" s="633"/>
      <c r="N121" s="175"/>
      <c r="O121" s="175"/>
      <c r="P121" s="175"/>
      <c r="R121" s="175"/>
      <c r="S121" s="175"/>
      <c r="T121" s="175"/>
      <c r="U121" s="175"/>
      <c r="V121" s="175"/>
      <c r="W121" s="175"/>
      <c r="X121" s="634"/>
      <c r="Y121" s="634"/>
      <c r="Z121" s="175"/>
      <c r="AA121" s="175"/>
      <c r="AB121" s="175"/>
      <c r="AC121" s="175"/>
      <c r="AD121" s="175"/>
      <c r="AE121" s="175"/>
      <c r="AF121" s="175"/>
      <c r="AG121" s="175"/>
      <c r="AH121" s="175"/>
      <c r="AI121" s="175"/>
      <c r="AJ121" s="175"/>
      <c r="AK121" s="175"/>
      <c r="AL121" s="175"/>
      <c r="AM121" s="175"/>
      <c r="AN121" s="175"/>
      <c r="AO121" s="175"/>
      <c r="AP121" s="175"/>
      <c r="AQ121" s="175"/>
      <c r="AR121" s="175"/>
      <c r="AS121" s="175"/>
      <c r="AT121" s="175"/>
      <c r="AU121" s="175"/>
      <c r="AV121" s="175"/>
      <c r="AW121" s="175"/>
      <c r="AX121" s="175"/>
      <c r="AY121" s="175"/>
      <c r="AZ121" s="175"/>
      <c r="BA121" s="175"/>
      <c r="BB121" s="633"/>
      <c r="BC121" s="175"/>
      <c r="BD121" s="175"/>
      <c r="BE121" s="175"/>
      <c r="BF121" s="175"/>
      <c r="BG121" s="175"/>
      <c r="BH121" s="175"/>
      <c r="BI121" s="175"/>
      <c r="BJ121" s="175"/>
      <c r="BK121" s="175"/>
      <c r="BL121" s="175"/>
      <c r="BM121" s="175"/>
      <c r="BN121" s="175"/>
      <c r="BO121" s="175"/>
      <c r="BP121" s="635"/>
      <c r="BY121" s="140"/>
      <c r="BZ121" s="140"/>
      <c r="CA121" s="140"/>
      <c r="CB121" s="140"/>
    </row>
    <row r="122" spans="1:80" hidden="1" x14ac:dyDescent="0.25">
      <c r="A122" s="631"/>
      <c r="B122" s="631"/>
      <c r="C122" s="632"/>
      <c r="D122" s="175"/>
      <c r="E122" s="175"/>
      <c r="F122" s="175"/>
      <c r="G122" s="175"/>
      <c r="H122" s="676"/>
      <c r="I122" s="175"/>
      <c r="J122" s="633"/>
      <c r="K122" s="633"/>
      <c r="L122" s="633"/>
      <c r="M122" s="633"/>
      <c r="N122" s="175"/>
      <c r="O122" s="175"/>
      <c r="P122" s="175"/>
      <c r="R122" s="175"/>
      <c r="S122" s="175"/>
      <c r="T122" s="175"/>
      <c r="U122" s="175"/>
      <c r="V122" s="175"/>
      <c r="W122" s="175"/>
      <c r="X122" s="634"/>
      <c r="Y122" s="634"/>
      <c r="Z122" s="175"/>
      <c r="AA122" s="175"/>
      <c r="AB122" s="175"/>
      <c r="AC122" s="175"/>
      <c r="AD122" s="175"/>
      <c r="AE122" s="175"/>
      <c r="AF122" s="175"/>
      <c r="AG122" s="175"/>
      <c r="AH122" s="175"/>
      <c r="AI122" s="175"/>
      <c r="AJ122" s="175"/>
      <c r="AK122" s="175"/>
      <c r="AL122" s="175"/>
      <c r="AM122" s="175"/>
      <c r="AN122" s="175"/>
      <c r="AO122" s="175"/>
      <c r="AP122" s="175"/>
      <c r="AQ122" s="175"/>
      <c r="AR122" s="175"/>
      <c r="AS122" s="175"/>
      <c r="AT122" s="175"/>
      <c r="AU122" s="175"/>
      <c r="AV122" s="175"/>
      <c r="AW122" s="175"/>
      <c r="AX122" s="175"/>
      <c r="AY122" s="175"/>
      <c r="AZ122" s="175"/>
      <c r="BA122" s="175"/>
      <c r="BB122" s="633"/>
      <c r="BC122" s="175"/>
      <c r="BD122" s="175"/>
      <c r="BE122" s="175"/>
      <c r="BF122" s="175"/>
      <c r="BG122" s="175"/>
      <c r="BH122" s="175"/>
      <c r="BI122" s="175"/>
      <c r="BJ122" s="175"/>
      <c r="BK122" s="175"/>
      <c r="BL122" s="175"/>
      <c r="BM122" s="175"/>
      <c r="BN122" s="175"/>
      <c r="BO122" s="175"/>
      <c r="BP122" s="635"/>
      <c r="BY122" s="140"/>
      <c r="BZ122" s="140"/>
      <c r="CA122" s="140"/>
      <c r="CB122" s="140"/>
    </row>
    <row r="123" spans="1:80" hidden="1" x14ac:dyDescent="0.25">
      <c r="A123" s="631"/>
      <c r="B123" s="631"/>
      <c r="C123" s="632"/>
      <c r="D123" s="175"/>
      <c r="E123" s="175"/>
      <c r="F123" s="175"/>
      <c r="G123" s="175"/>
      <c r="H123" s="175"/>
      <c r="I123" s="175"/>
      <c r="J123" s="633"/>
      <c r="K123" s="633"/>
      <c r="L123" s="633"/>
      <c r="M123" s="633"/>
      <c r="N123" s="175"/>
      <c r="O123" s="175"/>
      <c r="P123" s="175"/>
      <c r="R123" s="175"/>
      <c r="S123" s="175"/>
      <c r="T123" s="175"/>
      <c r="U123" s="175"/>
      <c r="V123" s="175"/>
      <c r="W123" s="175"/>
      <c r="X123" s="634"/>
      <c r="Y123" s="634"/>
      <c r="Z123" s="175"/>
      <c r="AA123" s="175"/>
      <c r="AB123" s="175"/>
      <c r="AC123" s="175"/>
      <c r="AD123" s="175"/>
      <c r="AE123" s="175"/>
      <c r="AF123" s="175"/>
      <c r="AG123" s="175"/>
      <c r="AH123" s="175"/>
      <c r="AI123" s="175"/>
      <c r="AJ123" s="175"/>
      <c r="AK123" s="175"/>
      <c r="AL123" s="175"/>
      <c r="AM123" s="175"/>
      <c r="AN123" s="175"/>
      <c r="AO123" s="175"/>
      <c r="AP123" s="175"/>
      <c r="AQ123" s="175"/>
      <c r="AR123" s="175"/>
      <c r="AS123" s="175"/>
      <c r="AT123" s="175"/>
      <c r="AU123" s="175"/>
      <c r="AV123" s="175"/>
      <c r="AW123" s="175"/>
      <c r="AX123" s="175"/>
      <c r="AY123" s="175"/>
      <c r="AZ123" s="175"/>
      <c r="BA123" s="175"/>
      <c r="BB123" s="633"/>
      <c r="BC123" s="175"/>
      <c r="BD123" s="175"/>
      <c r="BE123" s="175"/>
      <c r="BF123" s="175"/>
      <c r="BG123" s="175"/>
      <c r="BH123" s="175"/>
      <c r="BI123" s="175"/>
      <c r="BJ123" s="175"/>
      <c r="BK123" s="175"/>
      <c r="BL123" s="175"/>
      <c r="BM123" s="175"/>
      <c r="BN123" s="175"/>
      <c r="BO123" s="175"/>
      <c r="BP123" s="635"/>
      <c r="BY123" s="140"/>
      <c r="BZ123" s="140"/>
      <c r="CA123" s="140"/>
      <c r="CB123" s="140"/>
    </row>
    <row r="124" spans="1:80" hidden="1" x14ac:dyDescent="0.25">
      <c r="A124" s="631"/>
      <c r="B124" s="631"/>
      <c r="C124" s="632"/>
      <c r="D124" s="175"/>
      <c r="E124" s="175"/>
      <c r="F124" s="175"/>
      <c r="G124" s="175"/>
      <c r="H124" s="175"/>
      <c r="I124" s="175"/>
      <c r="J124" s="633"/>
      <c r="K124" s="633"/>
      <c r="L124" s="633"/>
      <c r="M124" s="633"/>
      <c r="N124" s="175"/>
      <c r="O124" s="175"/>
      <c r="P124" s="175"/>
      <c r="R124" s="175"/>
      <c r="S124" s="175"/>
      <c r="T124" s="175"/>
      <c r="U124" s="175"/>
      <c r="V124" s="175"/>
      <c r="W124" s="175"/>
      <c r="X124" s="634"/>
      <c r="Y124" s="634"/>
      <c r="Z124" s="175"/>
      <c r="AA124" s="175"/>
      <c r="AB124" s="175"/>
      <c r="AC124" s="175"/>
      <c r="AD124" s="175"/>
      <c r="AE124" s="175"/>
      <c r="AF124" s="175"/>
      <c r="AG124" s="175"/>
      <c r="AH124" s="175"/>
      <c r="AI124" s="175"/>
      <c r="AJ124" s="175"/>
      <c r="AK124" s="175"/>
      <c r="AL124" s="175"/>
      <c r="AM124" s="175"/>
      <c r="AN124" s="175"/>
      <c r="AO124" s="175"/>
      <c r="AP124" s="175"/>
      <c r="AQ124" s="175"/>
      <c r="AR124" s="175"/>
      <c r="AS124" s="175"/>
      <c r="AT124" s="175"/>
      <c r="AU124" s="175"/>
      <c r="AV124" s="175"/>
      <c r="AW124" s="175"/>
      <c r="AX124" s="175"/>
      <c r="AY124" s="175"/>
      <c r="AZ124" s="175"/>
      <c r="BA124" s="175"/>
      <c r="BB124" s="633"/>
      <c r="BC124" s="175"/>
      <c r="BD124" s="175"/>
      <c r="BE124" s="175"/>
      <c r="BF124" s="175"/>
      <c r="BG124" s="175"/>
      <c r="BH124" s="175"/>
      <c r="BI124" s="175"/>
      <c r="BJ124" s="175"/>
      <c r="BK124" s="175"/>
      <c r="BL124" s="175"/>
      <c r="BM124" s="175"/>
      <c r="BN124" s="175"/>
      <c r="BO124" s="175"/>
      <c r="BP124" s="635"/>
      <c r="BY124" s="140"/>
      <c r="BZ124" s="140"/>
      <c r="CA124" s="140"/>
      <c r="CB124" s="140"/>
    </row>
    <row r="125" spans="1:80" hidden="1" x14ac:dyDescent="0.25">
      <c r="A125" s="631"/>
      <c r="B125" s="631"/>
      <c r="C125" s="632"/>
      <c r="D125" s="175"/>
      <c r="E125" s="175"/>
      <c r="F125" s="175"/>
      <c r="G125" s="175"/>
      <c r="H125" s="175"/>
      <c r="I125" s="175"/>
      <c r="J125" s="633"/>
      <c r="K125" s="633"/>
      <c r="L125" s="633"/>
      <c r="M125" s="633"/>
      <c r="N125" s="175"/>
      <c r="O125" s="175"/>
      <c r="P125" s="175"/>
      <c r="R125" s="175"/>
      <c r="S125" s="175"/>
      <c r="T125" s="175"/>
      <c r="U125" s="175"/>
      <c r="V125" s="175"/>
      <c r="W125" s="175"/>
      <c r="X125" s="634"/>
      <c r="Y125" s="634"/>
      <c r="Z125" s="175"/>
      <c r="AA125" s="175"/>
      <c r="AB125" s="175"/>
      <c r="AC125" s="175"/>
      <c r="AD125" s="175"/>
      <c r="AE125" s="175"/>
      <c r="AF125" s="175"/>
      <c r="AG125" s="175"/>
      <c r="AH125" s="175"/>
      <c r="AI125" s="175"/>
      <c r="AJ125" s="175"/>
      <c r="AK125" s="175"/>
      <c r="AL125" s="175"/>
      <c r="AM125" s="175"/>
      <c r="AN125" s="175"/>
      <c r="AO125" s="175"/>
      <c r="AP125" s="175"/>
      <c r="AQ125" s="175"/>
      <c r="AR125" s="175"/>
      <c r="AS125" s="175"/>
      <c r="AT125" s="175"/>
      <c r="AU125" s="175"/>
      <c r="AV125" s="175"/>
      <c r="AW125" s="175"/>
      <c r="AX125" s="175"/>
      <c r="AY125" s="175"/>
      <c r="AZ125" s="175"/>
      <c r="BA125" s="175"/>
      <c r="BB125" s="633"/>
      <c r="BC125" s="175"/>
      <c r="BD125" s="175"/>
      <c r="BE125" s="175"/>
      <c r="BF125" s="175"/>
      <c r="BG125" s="175"/>
      <c r="BH125" s="175"/>
      <c r="BI125" s="175"/>
      <c r="BJ125" s="175"/>
      <c r="BK125" s="175"/>
      <c r="BL125" s="175"/>
      <c r="BM125" s="175"/>
      <c r="BN125" s="175"/>
      <c r="BO125" s="175"/>
      <c r="BP125" s="635"/>
      <c r="BY125" s="140"/>
      <c r="BZ125" s="140"/>
      <c r="CA125" s="140"/>
      <c r="CB125" s="140"/>
    </row>
    <row r="126" spans="1:80" hidden="1" x14ac:dyDescent="0.25">
      <c r="A126" s="631"/>
      <c r="B126" s="631"/>
      <c r="C126" s="632"/>
      <c r="D126" s="175"/>
      <c r="E126" s="175"/>
      <c r="F126" s="175"/>
      <c r="G126" s="175"/>
      <c r="H126" s="175"/>
      <c r="I126" s="175"/>
      <c r="J126" s="633"/>
      <c r="K126" s="633"/>
      <c r="L126" s="633"/>
      <c r="M126" s="633"/>
      <c r="N126" s="175"/>
      <c r="O126" s="175"/>
      <c r="P126" s="175"/>
      <c r="R126" s="175"/>
      <c r="S126" s="175"/>
      <c r="T126" s="175"/>
      <c r="U126" s="175"/>
      <c r="V126" s="175"/>
      <c r="W126" s="175"/>
      <c r="X126" s="634"/>
      <c r="Y126" s="634"/>
      <c r="Z126" s="175"/>
      <c r="AA126" s="175"/>
      <c r="AB126" s="175"/>
      <c r="AC126" s="175"/>
      <c r="AD126" s="175"/>
      <c r="AE126" s="175"/>
      <c r="AF126" s="175"/>
      <c r="AG126" s="175"/>
      <c r="AH126" s="175"/>
      <c r="AI126" s="175"/>
      <c r="AJ126" s="175"/>
      <c r="AK126" s="175"/>
      <c r="AL126" s="175"/>
      <c r="AM126" s="175"/>
      <c r="AN126" s="175"/>
      <c r="AO126" s="175"/>
      <c r="AP126" s="175"/>
      <c r="AQ126" s="175"/>
      <c r="AR126" s="175"/>
      <c r="AS126" s="175"/>
      <c r="AT126" s="175"/>
      <c r="AU126" s="175"/>
      <c r="AV126" s="175"/>
      <c r="AW126" s="175"/>
      <c r="AX126" s="175"/>
      <c r="AY126" s="175"/>
      <c r="AZ126" s="175"/>
      <c r="BA126" s="175"/>
      <c r="BB126" s="633"/>
      <c r="BC126" s="175"/>
      <c r="BD126" s="175"/>
      <c r="BE126" s="175"/>
      <c r="BF126" s="175"/>
      <c r="BG126" s="175"/>
      <c r="BH126" s="175"/>
      <c r="BI126" s="175"/>
      <c r="BJ126" s="175"/>
      <c r="BK126" s="175"/>
      <c r="BL126" s="175"/>
      <c r="BM126" s="175"/>
      <c r="BN126" s="175"/>
      <c r="BO126" s="175"/>
      <c r="BP126" s="635"/>
      <c r="BY126" s="140"/>
      <c r="BZ126" s="140"/>
      <c r="CA126" s="140"/>
      <c r="CB126" s="140"/>
    </row>
    <row r="127" spans="1:80" hidden="1" x14ac:dyDescent="0.25">
      <c r="A127" s="631"/>
      <c r="B127" s="631"/>
      <c r="C127" s="632"/>
      <c r="D127" s="175"/>
      <c r="E127" s="175"/>
      <c r="F127" s="175"/>
      <c r="G127" s="175"/>
      <c r="H127" s="175"/>
      <c r="I127" s="175"/>
      <c r="J127" s="633"/>
      <c r="K127" s="633"/>
      <c r="L127" s="633"/>
      <c r="M127" s="633"/>
      <c r="N127" s="175"/>
      <c r="O127" s="175"/>
      <c r="P127" s="175"/>
      <c r="R127" s="175"/>
      <c r="S127" s="175"/>
      <c r="T127" s="175"/>
      <c r="U127" s="175"/>
      <c r="V127" s="175"/>
      <c r="W127" s="175"/>
      <c r="X127" s="634"/>
      <c r="Y127" s="634"/>
      <c r="Z127" s="175"/>
      <c r="AA127" s="175"/>
      <c r="AB127" s="175"/>
      <c r="AC127" s="175"/>
      <c r="AD127" s="175"/>
      <c r="AE127" s="175"/>
      <c r="AF127" s="175"/>
      <c r="AG127" s="175"/>
      <c r="AH127" s="175"/>
      <c r="AI127" s="175"/>
      <c r="AJ127" s="175"/>
      <c r="AK127" s="175"/>
      <c r="AL127" s="175"/>
      <c r="AM127" s="175"/>
      <c r="AN127" s="175"/>
      <c r="AO127" s="175"/>
      <c r="AP127" s="175"/>
      <c r="AQ127" s="175"/>
      <c r="AR127" s="175"/>
      <c r="AS127" s="175"/>
      <c r="AT127" s="175"/>
      <c r="AU127" s="175"/>
      <c r="AV127" s="175"/>
      <c r="AW127" s="175"/>
      <c r="AX127" s="175"/>
      <c r="AY127" s="175"/>
      <c r="AZ127" s="175"/>
      <c r="BA127" s="175"/>
      <c r="BB127" s="633"/>
      <c r="BC127" s="175"/>
      <c r="BD127" s="175"/>
      <c r="BE127" s="175"/>
      <c r="BF127" s="175"/>
      <c r="BG127" s="175"/>
      <c r="BH127" s="175"/>
      <c r="BI127" s="175"/>
      <c r="BJ127" s="175"/>
      <c r="BK127" s="175"/>
      <c r="BL127" s="175"/>
      <c r="BM127" s="175"/>
      <c r="BN127" s="175"/>
      <c r="BO127" s="175"/>
      <c r="BP127" s="635"/>
      <c r="BY127" s="140"/>
      <c r="BZ127" s="140"/>
      <c r="CA127" s="140"/>
      <c r="CB127" s="140"/>
    </row>
    <row r="128" spans="1:80" hidden="1" x14ac:dyDescent="0.25">
      <c r="A128" s="631"/>
      <c r="B128" s="631"/>
      <c r="C128" s="632"/>
      <c r="D128" s="175"/>
      <c r="E128" s="175"/>
      <c r="F128" s="175"/>
      <c r="G128" s="175"/>
      <c r="H128" s="175"/>
      <c r="I128" s="175"/>
      <c r="J128" s="633"/>
      <c r="K128" s="633"/>
      <c r="L128" s="633"/>
      <c r="M128" s="633"/>
      <c r="N128" s="175"/>
      <c r="O128" s="175"/>
      <c r="P128" s="175"/>
      <c r="R128" s="175"/>
      <c r="S128" s="175"/>
      <c r="T128" s="175"/>
      <c r="U128" s="175"/>
      <c r="V128" s="175"/>
      <c r="W128" s="175"/>
      <c r="X128" s="634"/>
      <c r="Y128" s="634"/>
      <c r="Z128" s="175"/>
      <c r="AA128" s="175"/>
      <c r="AB128" s="175"/>
      <c r="AC128" s="175"/>
      <c r="AD128" s="175"/>
      <c r="AE128" s="175"/>
      <c r="AF128" s="175"/>
      <c r="AG128" s="175"/>
      <c r="AH128" s="175"/>
      <c r="AI128" s="175"/>
      <c r="AJ128" s="175"/>
      <c r="AK128" s="175"/>
      <c r="AL128" s="175"/>
      <c r="AM128" s="175"/>
      <c r="AN128" s="175"/>
      <c r="AO128" s="175"/>
      <c r="AP128" s="175"/>
      <c r="AQ128" s="175"/>
      <c r="AR128" s="175"/>
      <c r="AS128" s="175"/>
      <c r="AT128" s="175"/>
      <c r="AU128" s="175"/>
      <c r="AV128" s="175"/>
      <c r="AW128" s="175"/>
      <c r="AX128" s="175"/>
      <c r="AY128" s="175"/>
      <c r="AZ128" s="175"/>
      <c r="BA128" s="175"/>
      <c r="BB128" s="633"/>
      <c r="BC128" s="175"/>
      <c r="BD128" s="175"/>
      <c r="BE128" s="175"/>
      <c r="BF128" s="175"/>
      <c r="BG128" s="175"/>
      <c r="BH128" s="175"/>
      <c r="BI128" s="175"/>
      <c r="BJ128" s="175"/>
      <c r="BK128" s="175"/>
      <c r="BL128" s="175"/>
      <c r="BM128" s="175"/>
      <c r="BN128" s="175"/>
      <c r="BO128" s="175"/>
      <c r="BP128" s="635"/>
      <c r="BY128" s="140"/>
      <c r="BZ128" s="140"/>
      <c r="CA128" s="140"/>
      <c r="CB128" s="140"/>
    </row>
    <row r="129" spans="1:80" hidden="1" x14ac:dyDescent="0.25">
      <c r="A129" s="631"/>
      <c r="B129" s="631"/>
      <c r="C129" s="632"/>
      <c r="D129" s="175"/>
      <c r="E129" s="175"/>
      <c r="F129" s="175"/>
      <c r="G129" s="175"/>
      <c r="H129" s="175"/>
      <c r="I129" s="175"/>
      <c r="J129" s="633"/>
      <c r="K129" s="633"/>
      <c r="L129" s="633"/>
      <c r="M129" s="633"/>
      <c r="N129" s="175"/>
      <c r="O129" s="175"/>
      <c r="P129" s="175"/>
      <c r="R129" s="175"/>
      <c r="S129" s="175"/>
      <c r="T129" s="175"/>
      <c r="U129" s="175"/>
      <c r="V129" s="175"/>
      <c r="W129" s="175"/>
      <c r="X129" s="634"/>
      <c r="Y129" s="634"/>
      <c r="Z129" s="175"/>
      <c r="AA129" s="175"/>
      <c r="AB129" s="175"/>
      <c r="AC129" s="175"/>
      <c r="AD129" s="175"/>
      <c r="AE129" s="175"/>
      <c r="AF129" s="175"/>
      <c r="AG129" s="175"/>
      <c r="AH129" s="175"/>
      <c r="AI129" s="175"/>
      <c r="AJ129" s="175"/>
      <c r="AK129" s="175"/>
      <c r="AL129" s="175"/>
      <c r="AM129" s="175"/>
      <c r="AN129" s="175"/>
      <c r="AO129" s="175"/>
      <c r="AP129" s="175"/>
      <c r="AQ129" s="175"/>
      <c r="AR129" s="175"/>
      <c r="AS129" s="175"/>
      <c r="AT129" s="175"/>
      <c r="AU129" s="175"/>
      <c r="AV129" s="175"/>
      <c r="AW129" s="175"/>
      <c r="AX129" s="175"/>
      <c r="AY129" s="175"/>
      <c r="AZ129" s="175"/>
      <c r="BA129" s="175"/>
      <c r="BB129" s="633"/>
      <c r="BC129" s="175"/>
      <c r="BD129" s="175"/>
      <c r="BE129" s="175"/>
      <c r="BF129" s="175"/>
      <c r="BG129" s="175"/>
      <c r="BH129" s="175"/>
      <c r="BI129" s="175"/>
      <c r="BJ129" s="175"/>
      <c r="BK129" s="175"/>
      <c r="BL129" s="175"/>
      <c r="BM129" s="175"/>
      <c r="BN129" s="175"/>
      <c r="BO129" s="175"/>
      <c r="BP129" s="635"/>
      <c r="BY129" s="140"/>
      <c r="BZ129" s="140"/>
      <c r="CA129" s="140"/>
      <c r="CB129" s="140"/>
    </row>
    <row r="130" spans="1:80" hidden="1" x14ac:dyDescent="0.25">
      <c r="A130" s="631"/>
      <c r="B130" s="631"/>
      <c r="C130" s="632"/>
      <c r="D130" s="175"/>
      <c r="E130" s="175"/>
      <c r="F130" s="175"/>
      <c r="G130" s="175"/>
      <c r="H130" s="175"/>
      <c r="I130" s="175"/>
      <c r="J130" s="633"/>
      <c r="K130" s="633"/>
      <c r="L130" s="633"/>
      <c r="M130" s="633"/>
      <c r="N130" s="175"/>
      <c r="O130" s="175"/>
      <c r="P130" s="175"/>
      <c r="R130" s="175"/>
      <c r="S130" s="175"/>
      <c r="T130" s="175"/>
      <c r="U130" s="175"/>
      <c r="V130" s="175"/>
      <c r="W130" s="175"/>
      <c r="X130" s="634"/>
      <c r="Y130" s="634"/>
      <c r="Z130" s="175"/>
      <c r="AA130" s="175"/>
      <c r="AB130" s="175"/>
      <c r="AC130" s="175"/>
      <c r="AD130" s="175"/>
      <c r="AE130" s="175"/>
      <c r="AF130" s="175"/>
      <c r="AG130" s="175"/>
      <c r="AH130" s="175"/>
      <c r="AI130" s="175"/>
      <c r="AJ130" s="175"/>
      <c r="AK130" s="175"/>
      <c r="AL130" s="175"/>
      <c r="AM130" s="175"/>
      <c r="AN130" s="175"/>
      <c r="AO130" s="175"/>
      <c r="AP130" s="175"/>
      <c r="AQ130" s="175"/>
      <c r="AR130" s="175"/>
      <c r="AS130" s="175"/>
      <c r="AT130" s="175"/>
      <c r="AU130" s="175"/>
      <c r="AV130" s="175"/>
      <c r="AW130" s="175"/>
      <c r="AX130" s="175"/>
      <c r="AY130" s="175"/>
      <c r="AZ130" s="175"/>
      <c r="BA130" s="175"/>
      <c r="BB130" s="633"/>
      <c r="BC130" s="175"/>
      <c r="BD130" s="175"/>
      <c r="BE130" s="175"/>
      <c r="BF130" s="175"/>
      <c r="BG130" s="175"/>
      <c r="BH130" s="175"/>
      <c r="BI130" s="175"/>
      <c r="BJ130" s="175"/>
      <c r="BK130" s="175"/>
      <c r="BL130" s="175"/>
      <c r="BM130" s="175"/>
      <c r="BN130" s="175"/>
      <c r="BO130" s="175"/>
      <c r="BP130" s="635"/>
      <c r="BY130" s="140"/>
      <c r="BZ130" s="140"/>
      <c r="CA130" s="140"/>
      <c r="CB130" s="140"/>
    </row>
    <row r="131" spans="1:80" hidden="1" x14ac:dyDescent="0.25">
      <c r="A131" s="631"/>
      <c r="B131" s="631"/>
      <c r="C131" s="632"/>
      <c r="D131" s="175"/>
      <c r="E131" s="175"/>
      <c r="F131" s="175"/>
      <c r="G131" s="175"/>
      <c r="H131" s="175"/>
      <c r="I131" s="175"/>
      <c r="J131" s="633"/>
      <c r="K131" s="633"/>
      <c r="L131" s="633"/>
      <c r="M131" s="633"/>
      <c r="N131" s="175"/>
      <c r="O131" s="175"/>
      <c r="P131" s="175"/>
      <c r="R131" s="175"/>
      <c r="S131" s="175"/>
      <c r="T131" s="175"/>
      <c r="U131" s="175"/>
      <c r="V131" s="175"/>
      <c r="W131" s="175"/>
      <c r="X131" s="634"/>
      <c r="Y131" s="634"/>
      <c r="Z131" s="175"/>
      <c r="AA131" s="175"/>
      <c r="AB131" s="175"/>
      <c r="AC131" s="175"/>
      <c r="AD131" s="175"/>
      <c r="AE131" s="175"/>
      <c r="AF131" s="175"/>
      <c r="AG131" s="175"/>
      <c r="AH131" s="175"/>
      <c r="AI131" s="175"/>
      <c r="AJ131" s="175"/>
      <c r="AK131" s="175"/>
      <c r="AL131" s="175"/>
      <c r="AM131" s="175"/>
      <c r="AN131" s="175"/>
      <c r="AO131" s="175"/>
      <c r="AP131" s="175"/>
      <c r="AQ131" s="175"/>
      <c r="AR131" s="175"/>
      <c r="AS131" s="175"/>
      <c r="AT131" s="175"/>
      <c r="AU131" s="175"/>
      <c r="AV131" s="175"/>
      <c r="AW131" s="175"/>
      <c r="AX131" s="175"/>
      <c r="AY131" s="175"/>
      <c r="AZ131" s="175"/>
      <c r="BA131" s="175"/>
      <c r="BB131" s="633"/>
      <c r="BC131" s="175"/>
      <c r="BD131" s="175"/>
      <c r="BE131" s="175"/>
      <c r="BF131" s="175"/>
      <c r="BG131" s="175"/>
      <c r="BH131" s="175"/>
      <c r="BI131" s="175"/>
      <c r="BJ131" s="175"/>
      <c r="BK131" s="175"/>
      <c r="BL131" s="175"/>
      <c r="BM131" s="175"/>
      <c r="BN131" s="175"/>
      <c r="BO131" s="175"/>
      <c r="BP131" s="635"/>
      <c r="BY131" s="140"/>
      <c r="BZ131" s="140"/>
      <c r="CA131" s="140"/>
      <c r="CB131" s="140"/>
    </row>
    <row r="132" spans="1:80" hidden="1" x14ac:dyDescent="0.25">
      <c r="A132" s="631"/>
      <c r="B132" s="631"/>
      <c r="C132" s="632"/>
      <c r="D132" s="175"/>
      <c r="E132" s="175"/>
      <c r="F132" s="175"/>
      <c r="G132" s="175"/>
      <c r="H132" s="175"/>
      <c r="I132" s="175"/>
      <c r="J132" s="633"/>
      <c r="K132" s="633"/>
      <c r="L132" s="633"/>
      <c r="M132" s="633"/>
      <c r="N132" s="175"/>
      <c r="O132" s="175"/>
      <c r="P132" s="175"/>
      <c r="R132" s="175"/>
      <c r="S132" s="175"/>
      <c r="T132" s="175"/>
      <c r="U132" s="175"/>
      <c r="V132" s="175"/>
      <c r="W132" s="175"/>
      <c r="X132" s="634"/>
      <c r="Y132" s="634"/>
      <c r="Z132" s="175"/>
      <c r="AA132" s="175"/>
      <c r="AB132" s="175"/>
      <c r="AC132" s="175"/>
      <c r="AD132" s="175"/>
      <c r="AE132" s="175"/>
      <c r="AF132" s="175"/>
      <c r="AG132" s="175"/>
      <c r="AH132" s="175"/>
      <c r="AI132" s="175"/>
      <c r="AJ132" s="175"/>
      <c r="AK132" s="175"/>
      <c r="AL132" s="175"/>
      <c r="AM132" s="175"/>
      <c r="AN132" s="175"/>
      <c r="AO132" s="175"/>
      <c r="AP132" s="175"/>
      <c r="AQ132" s="175"/>
      <c r="AR132" s="175"/>
      <c r="AS132" s="175"/>
      <c r="AT132" s="175"/>
      <c r="AU132" s="175"/>
      <c r="AV132" s="175"/>
      <c r="AW132" s="175"/>
      <c r="AX132" s="175"/>
      <c r="AY132" s="175"/>
      <c r="AZ132" s="175"/>
      <c r="BA132" s="175"/>
      <c r="BB132" s="633"/>
      <c r="BC132" s="175"/>
      <c r="BD132" s="175"/>
      <c r="BE132" s="175"/>
      <c r="BF132" s="175"/>
      <c r="BG132" s="175"/>
      <c r="BH132" s="175"/>
      <c r="BI132" s="175"/>
      <c r="BJ132" s="175"/>
      <c r="BK132" s="175"/>
      <c r="BL132" s="175"/>
      <c r="BM132" s="175"/>
      <c r="BN132" s="175"/>
      <c r="BO132" s="175"/>
      <c r="BP132" s="635"/>
      <c r="BY132" s="140"/>
      <c r="BZ132" s="140"/>
      <c r="CA132" s="140"/>
      <c r="CB132" s="140"/>
    </row>
    <row r="133" spans="1:80" ht="13" hidden="1" x14ac:dyDescent="0.3">
      <c r="A133" s="631"/>
      <c r="B133" s="631"/>
      <c r="C133" s="632"/>
      <c r="D133" s="175"/>
      <c r="E133" s="175"/>
      <c r="F133" s="175"/>
      <c r="G133" s="175"/>
      <c r="H133" s="1225" t="s">
        <v>1852</v>
      </c>
      <c r="I133" s="175"/>
      <c r="J133" s="633"/>
      <c r="K133" s="633"/>
      <c r="L133" s="633"/>
      <c r="M133" s="633"/>
      <c r="N133" s="175"/>
      <c r="O133" s="175"/>
      <c r="P133" s="175"/>
      <c r="R133" s="175"/>
      <c r="S133" s="175"/>
      <c r="T133" s="175"/>
      <c r="U133" s="175"/>
      <c r="V133" s="175"/>
      <c r="W133" s="175"/>
      <c r="X133" s="634"/>
      <c r="Y133" s="634"/>
      <c r="Z133" s="175"/>
      <c r="AA133" s="175"/>
      <c r="AB133" s="175"/>
      <c r="AC133" s="175"/>
      <c r="AD133" s="175"/>
      <c r="AE133" s="175"/>
      <c r="AF133" s="175"/>
      <c r="AG133" s="175"/>
      <c r="AH133" s="175"/>
      <c r="AI133" s="175"/>
      <c r="AJ133" s="175"/>
      <c r="AK133" s="175"/>
      <c r="AL133" s="175"/>
      <c r="AM133" s="175"/>
      <c r="AN133" s="175"/>
      <c r="AO133" s="175"/>
      <c r="AP133" s="175"/>
      <c r="AQ133" s="175"/>
      <c r="AR133" s="175"/>
      <c r="AS133" s="175"/>
      <c r="AT133" s="175"/>
      <c r="AU133" s="175"/>
      <c r="AV133" s="175"/>
      <c r="AW133" s="175"/>
      <c r="AX133" s="175"/>
      <c r="AY133" s="175"/>
      <c r="AZ133" s="175"/>
      <c r="BA133" s="175"/>
      <c r="BB133" s="633"/>
      <c r="BC133" s="175"/>
      <c r="BD133" s="175"/>
      <c r="BE133" s="175"/>
      <c r="BF133" s="175"/>
      <c r="BG133" s="175"/>
      <c r="BH133" s="175"/>
      <c r="BI133" s="175"/>
      <c r="BJ133" s="175"/>
      <c r="BK133" s="175"/>
      <c r="BL133" s="175"/>
      <c r="BM133" s="175"/>
      <c r="BN133" s="175"/>
      <c r="BO133" s="175"/>
      <c r="BP133" s="635"/>
      <c r="BY133" s="140"/>
      <c r="BZ133" s="140"/>
      <c r="CA133" s="140"/>
      <c r="CB133" s="140"/>
    </row>
    <row r="134" spans="1:80" ht="13" hidden="1" x14ac:dyDescent="0.3">
      <c r="A134" s="631"/>
      <c r="B134" s="631"/>
      <c r="C134" s="632"/>
      <c r="D134" s="175"/>
      <c r="E134" s="175"/>
      <c r="F134" s="175"/>
      <c r="G134" s="175"/>
      <c r="H134" s="175" t="s">
        <v>1853</v>
      </c>
      <c r="I134" s="635" t="e">
        <f>O72/N72</f>
        <v>#VALUE!</v>
      </c>
      <c r="J134" s="637" t="s">
        <v>1854</v>
      </c>
      <c r="K134" s="633"/>
      <c r="L134" s="633"/>
      <c r="M134" s="633"/>
      <c r="N134" s="175"/>
      <c r="O134" s="175"/>
      <c r="P134" s="175"/>
      <c r="R134" s="175"/>
      <c r="S134" s="175"/>
      <c r="T134" s="175"/>
      <c r="U134" s="175"/>
      <c r="V134" s="175"/>
      <c r="W134" s="175"/>
      <c r="X134" s="634"/>
      <c r="Y134" s="634"/>
      <c r="Z134" s="175"/>
      <c r="AA134" s="175"/>
      <c r="AB134" s="175"/>
      <c r="AC134" s="175"/>
      <c r="AD134" s="175"/>
      <c r="AE134" s="175"/>
      <c r="AF134" s="175"/>
      <c r="AG134" s="175"/>
      <c r="AH134" s="175"/>
      <c r="AI134" s="175"/>
      <c r="AJ134" s="175"/>
      <c r="AK134" s="175"/>
      <c r="AL134" s="175"/>
      <c r="AM134" s="175"/>
      <c r="AN134" s="175"/>
      <c r="AO134" s="175"/>
      <c r="AP134" s="175"/>
      <c r="AQ134" s="175"/>
      <c r="AR134" s="175"/>
      <c r="AS134" s="175"/>
      <c r="AT134" s="175"/>
      <c r="AU134" s="175"/>
      <c r="AV134" s="175"/>
      <c r="AW134" s="175"/>
      <c r="AX134" s="175"/>
      <c r="AY134" s="175"/>
      <c r="AZ134" s="175"/>
      <c r="BA134" s="175"/>
      <c r="BB134" s="633"/>
      <c r="BC134" s="175"/>
      <c r="BD134" s="175"/>
      <c r="BE134" s="175"/>
      <c r="BF134" s="175"/>
      <c r="BG134" s="175"/>
      <c r="BH134" s="175"/>
      <c r="BI134" s="175"/>
      <c r="BJ134" s="175"/>
      <c r="BK134" s="175"/>
      <c r="BL134" s="175"/>
      <c r="BM134" s="175"/>
      <c r="BN134" s="175"/>
      <c r="BO134" s="175"/>
      <c r="BP134" s="635"/>
      <c r="BY134" s="140"/>
      <c r="BZ134" s="140"/>
      <c r="CA134" s="140"/>
      <c r="CB134" s="140"/>
    </row>
    <row r="135" spans="1:80" hidden="1" x14ac:dyDescent="0.25">
      <c r="A135" s="631"/>
      <c r="B135" s="631"/>
      <c r="C135" s="632"/>
      <c r="D135" s="175"/>
      <c r="E135" s="175"/>
      <c r="F135" s="175"/>
      <c r="G135" s="175"/>
      <c r="H135" s="175"/>
      <c r="I135" s="175"/>
      <c r="J135" s="633"/>
      <c r="K135" s="633"/>
      <c r="L135" s="633"/>
      <c r="M135" s="633"/>
      <c r="N135" s="175"/>
      <c r="O135" s="175"/>
      <c r="P135" s="175"/>
      <c r="R135" s="175"/>
      <c r="S135" s="175"/>
      <c r="T135" s="175"/>
      <c r="U135" s="175"/>
      <c r="V135" s="175"/>
      <c r="W135" s="175"/>
      <c r="X135" s="634"/>
      <c r="Y135" s="634"/>
      <c r="Z135" s="175"/>
      <c r="AA135" s="175"/>
      <c r="AB135" s="175"/>
      <c r="AC135" s="175"/>
      <c r="AD135" s="175"/>
      <c r="AE135" s="175"/>
      <c r="AF135" s="175"/>
      <c r="AG135" s="175"/>
      <c r="AH135" s="175"/>
      <c r="AI135" s="175"/>
      <c r="AJ135" s="175"/>
      <c r="AK135" s="175"/>
      <c r="AL135" s="175"/>
      <c r="AM135" s="175"/>
      <c r="AN135" s="175"/>
      <c r="AO135" s="175"/>
      <c r="AP135" s="175"/>
      <c r="AQ135" s="175"/>
      <c r="AR135" s="175"/>
      <c r="AS135" s="175"/>
      <c r="AT135" s="175"/>
      <c r="AU135" s="175"/>
      <c r="AV135" s="175"/>
      <c r="AW135" s="175"/>
      <c r="AX135" s="175"/>
      <c r="AY135" s="175"/>
      <c r="AZ135" s="175"/>
      <c r="BA135" s="175"/>
      <c r="BB135" s="633"/>
      <c r="BC135" s="175"/>
      <c r="BD135" s="175"/>
      <c r="BE135" s="175"/>
      <c r="BF135" s="175"/>
      <c r="BG135" s="175"/>
      <c r="BH135" s="175"/>
      <c r="BI135" s="175"/>
      <c r="BJ135" s="175"/>
      <c r="BK135" s="175"/>
      <c r="BL135" s="175"/>
      <c r="BM135" s="175"/>
      <c r="BN135" s="175"/>
      <c r="BO135" s="175"/>
      <c r="BP135" s="635"/>
      <c r="BY135" s="140"/>
      <c r="BZ135" s="140"/>
      <c r="CA135" s="140"/>
      <c r="CB135" s="140"/>
    </row>
    <row r="136" spans="1:80" ht="13" hidden="1" x14ac:dyDescent="0.3">
      <c r="A136" s="631"/>
      <c r="B136" s="631"/>
      <c r="C136" s="632"/>
      <c r="D136" s="175"/>
      <c r="E136" s="175"/>
      <c r="F136" s="175"/>
      <c r="G136" s="175"/>
      <c r="H136" s="1225" t="s">
        <v>1855</v>
      </c>
      <c r="I136" s="175"/>
      <c r="J136" s="633"/>
      <c r="K136" s="1232" t="s">
        <v>549</v>
      </c>
      <c r="L136" s="677"/>
      <c r="M136" s="633"/>
      <c r="N136" s="175"/>
      <c r="O136" s="175"/>
      <c r="P136" s="175"/>
      <c r="R136" s="175"/>
      <c r="S136" s="175"/>
      <c r="T136" s="175"/>
      <c r="U136" s="175"/>
      <c r="V136" s="175"/>
      <c r="W136" s="175"/>
      <c r="X136" s="634"/>
      <c r="Y136" s="634"/>
      <c r="Z136" s="175"/>
      <c r="AA136" s="175"/>
      <c r="AB136" s="175"/>
      <c r="AC136" s="175"/>
      <c r="AD136" s="175"/>
      <c r="AE136" s="175"/>
      <c r="AF136" s="175"/>
      <c r="AG136" s="175"/>
      <c r="AH136" s="175"/>
      <c r="AI136" s="175"/>
      <c r="AJ136" s="175"/>
      <c r="AK136" s="175"/>
      <c r="AL136" s="175"/>
      <c r="AM136" s="175"/>
      <c r="AN136" s="175"/>
      <c r="AO136" s="175"/>
      <c r="AP136" s="175"/>
      <c r="AQ136" s="175"/>
      <c r="AR136" s="175"/>
      <c r="AS136" s="175"/>
      <c r="AT136" s="175"/>
      <c r="AU136" s="175"/>
      <c r="AV136" s="175"/>
      <c r="AW136" s="175"/>
      <c r="AX136" s="175"/>
      <c r="AY136" s="175"/>
      <c r="AZ136" s="175"/>
      <c r="BA136" s="175"/>
      <c r="BB136" s="633"/>
      <c r="BC136" s="175"/>
      <c r="BD136" s="175"/>
      <c r="BE136" s="175"/>
      <c r="BF136" s="175"/>
      <c r="BG136" s="175"/>
      <c r="BH136" s="175"/>
      <c r="BI136" s="175"/>
      <c r="BJ136" s="175"/>
      <c r="BK136" s="175"/>
      <c r="BL136" s="175"/>
      <c r="BM136" s="175"/>
      <c r="BN136" s="175"/>
      <c r="BO136" s="175"/>
      <c r="BP136" s="635"/>
      <c r="BY136" s="140"/>
      <c r="BZ136" s="140"/>
      <c r="CA136" s="140"/>
      <c r="CB136" s="140"/>
    </row>
    <row r="137" spans="1:80" ht="13" hidden="1" x14ac:dyDescent="0.3">
      <c r="A137" s="631"/>
      <c r="B137" s="631"/>
      <c r="C137" s="632"/>
      <c r="D137" s="175"/>
      <c r="E137" s="175"/>
      <c r="F137" s="175"/>
      <c r="G137" s="175"/>
      <c r="H137" s="175" t="s">
        <v>1853</v>
      </c>
      <c r="I137" s="1494" t="e">
        <f>F72/O72</f>
        <v>#VALUE!</v>
      </c>
      <c r="J137" s="637" t="s">
        <v>1856</v>
      </c>
      <c r="K137" s="175" t="s">
        <v>1857</v>
      </c>
      <c r="L137" s="633"/>
      <c r="M137" s="678" t="e">
        <f>O72/N72</f>
        <v>#VALUE!</v>
      </c>
      <c r="N137" s="175"/>
      <c r="O137" s="175"/>
      <c r="P137" s="175"/>
      <c r="R137" s="175"/>
      <c r="S137" s="175"/>
      <c r="T137" s="175"/>
      <c r="U137" s="175"/>
      <c r="V137" s="175"/>
      <c r="W137" s="175"/>
      <c r="X137" s="634"/>
      <c r="Y137" s="634"/>
      <c r="Z137" s="175"/>
      <c r="AA137" s="175"/>
      <c r="AB137" s="175"/>
      <c r="AC137" s="175"/>
      <c r="AD137" s="175"/>
      <c r="AE137" s="175"/>
      <c r="AF137" s="175"/>
      <c r="AG137" s="175"/>
      <c r="AH137" s="175"/>
      <c r="AI137" s="175"/>
      <c r="AJ137" s="175"/>
      <c r="AK137" s="175"/>
      <c r="AL137" s="175"/>
      <c r="AM137" s="175"/>
      <c r="AN137" s="175"/>
      <c r="AO137" s="175"/>
      <c r="AP137" s="175"/>
      <c r="AQ137" s="175"/>
      <c r="AR137" s="175"/>
      <c r="AS137" s="175"/>
      <c r="AT137" s="175"/>
      <c r="AU137" s="175"/>
      <c r="AV137" s="175"/>
      <c r="AW137" s="175"/>
      <c r="AX137" s="175"/>
      <c r="AY137" s="175"/>
      <c r="AZ137" s="175"/>
      <c r="BA137" s="175"/>
      <c r="BB137" s="633"/>
      <c r="BC137" s="175"/>
      <c r="BD137" s="175"/>
      <c r="BE137" s="175"/>
      <c r="BF137" s="175"/>
      <c r="BG137" s="175"/>
      <c r="BH137" s="175"/>
      <c r="BI137" s="175"/>
      <c r="BJ137" s="175"/>
      <c r="BK137" s="175"/>
      <c r="BL137" s="175"/>
      <c r="BM137" s="175"/>
      <c r="BN137" s="175"/>
      <c r="BO137" s="175"/>
      <c r="BP137" s="635"/>
      <c r="BY137" s="140"/>
      <c r="BZ137" s="140"/>
      <c r="CA137" s="140"/>
      <c r="CB137" s="140"/>
    </row>
    <row r="138" spans="1:80" hidden="1" x14ac:dyDescent="0.25">
      <c r="A138" s="631"/>
      <c r="B138" s="631"/>
      <c r="C138" s="632"/>
      <c r="D138" s="175"/>
      <c r="E138" s="175"/>
      <c r="F138" s="175"/>
      <c r="G138" s="175"/>
      <c r="H138" s="175"/>
      <c r="I138" s="175"/>
      <c r="J138" s="633"/>
      <c r="K138" s="633"/>
      <c r="L138" s="633"/>
      <c r="M138" s="633"/>
      <c r="N138" s="175"/>
      <c r="O138" s="175"/>
      <c r="P138" s="175"/>
      <c r="R138" s="175"/>
      <c r="S138" s="175"/>
      <c r="T138" s="175"/>
      <c r="U138" s="175"/>
      <c r="V138" s="175"/>
      <c r="W138" s="175"/>
      <c r="X138" s="634"/>
      <c r="Y138" s="634"/>
      <c r="Z138" s="175"/>
      <c r="AA138" s="175"/>
      <c r="AB138" s="175"/>
      <c r="AC138" s="175"/>
      <c r="AD138" s="175"/>
      <c r="AE138" s="175"/>
      <c r="AF138" s="175"/>
      <c r="AG138" s="175"/>
      <c r="AH138" s="175"/>
      <c r="AI138" s="175"/>
      <c r="AJ138" s="175"/>
      <c r="AK138" s="175"/>
      <c r="AL138" s="175"/>
      <c r="AM138" s="175"/>
      <c r="AN138" s="175"/>
      <c r="AO138" s="175"/>
      <c r="AP138" s="175"/>
      <c r="AQ138" s="175"/>
      <c r="AR138" s="175"/>
      <c r="AS138" s="175"/>
      <c r="AT138" s="175"/>
      <c r="AU138" s="175"/>
      <c r="AV138" s="175"/>
      <c r="AW138" s="175"/>
      <c r="AX138" s="175"/>
      <c r="AY138" s="175"/>
      <c r="AZ138" s="175"/>
      <c r="BA138" s="175"/>
      <c r="BB138" s="633"/>
      <c r="BC138" s="175"/>
      <c r="BD138" s="175"/>
      <c r="BE138" s="175"/>
      <c r="BF138" s="175"/>
      <c r="BG138" s="175"/>
      <c r="BH138" s="175"/>
      <c r="BI138" s="175"/>
      <c r="BJ138" s="175"/>
      <c r="BK138" s="175"/>
      <c r="BL138" s="175"/>
      <c r="BM138" s="175"/>
      <c r="BN138" s="175"/>
      <c r="BO138" s="175"/>
      <c r="BP138" s="635"/>
      <c r="BY138" s="140"/>
      <c r="BZ138" s="140"/>
      <c r="CA138" s="140"/>
      <c r="CB138" s="140"/>
    </row>
    <row r="139" spans="1:80" ht="13" hidden="1" x14ac:dyDescent="0.3">
      <c r="A139" s="631"/>
      <c r="B139" s="631"/>
      <c r="C139" s="632"/>
      <c r="D139" s="175"/>
      <c r="E139" s="175"/>
      <c r="F139" s="175"/>
      <c r="G139" s="175"/>
      <c r="H139" s="1225" t="s">
        <v>1858</v>
      </c>
      <c r="I139" s="1226"/>
      <c r="J139" s="1231"/>
      <c r="K139" s="633"/>
      <c r="L139" s="633"/>
      <c r="M139" s="633"/>
      <c r="N139" s="1225" t="s">
        <v>1859</v>
      </c>
      <c r="O139" s="1225"/>
      <c r="P139" s="679"/>
      <c r="R139" s="175"/>
      <c r="S139" s="175"/>
      <c r="T139" s="175"/>
      <c r="U139" s="175"/>
      <c r="V139" s="175"/>
      <c r="W139" s="175"/>
      <c r="X139" s="634"/>
      <c r="Y139" s="634"/>
      <c r="Z139" s="175"/>
      <c r="AA139" s="175"/>
      <c r="AB139" s="175"/>
      <c r="AC139" s="175"/>
      <c r="AD139" s="175"/>
      <c r="AE139" s="175"/>
      <c r="AF139" s="175"/>
      <c r="AG139" s="175"/>
      <c r="AH139" s="175"/>
      <c r="AI139" s="175"/>
      <c r="AJ139" s="175"/>
      <c r="AK139" s="175"/>
      <c r="AL139" s="175"/>
      <c r="AM139" s="175"/>
      <c r="AN139" s="175"/>
      <c r="AO139" s="175"/>
      <c r="AP139" s="175"/>
      <c r="AQ139" s="175"/>
      <c r="AR139" s="175"/>
      <c r="AS139" s="175"/>
      <c r="AT139" s="175"/>
      <c r="AU139" s="175"/>
      <c r="AV139" s="175"/>
      <c r="AW139" s="175"/>
      <c r="AX139" s="175"/>
      <c r="AY139" s="175"/>
      <c r="AZ139" s="175"/>
      <c r="BA139" s="175"/>
      <c r="BB139" s="633"/>
      <c r="BC139" s="175"/>
      <c r="BD139" s="175"/>
      <c r="BE139" s="175"/>
      <c r="BF139" s="175"/>
      <c r="BG139" s="175"/>
      <c r="BH139" s="175"/>
      <c r="BI139" s="175"/>
      <c r="BJ139" s="175"/>
      <c r="BK139" s="175"/>
      <c r="BL139" s="175"/>
      <c r="BM139" s="175"/>
      <c r="BN139" s="175"/>
      <c r="BO139" s="175"/>
      <c r="BP139" s="635"/>
      <c r="BY139" s="140"/>
      <c r="BZ139" s="140"/>
      <c r="CA139" s="140"/>
      <c r="CB139" s="140"/>
    </row>
    <row r="140" spans="1:80" ht="13" hidden="1" x14ac:dyDescent="0.3">
      <c r="A140" s="631"/>
      <c r="B140" s="631"/>
      <c r="C140" s="632"/>
      <c r="D140" s="175"/>
      <c r="E140" s="175"/>
      <c r="F140" s="175"/>
      <c r="G140" s="175"/>
      <c r="H140" s="175" t="s">
        <v>1779</v>
      </c>
      <c r="I140" s="654">
        <f>IF(V75,ROUND(W72/V72,PrecisionTwo),0)</f>
        <v>0</v>
      </c>
      <c r="J140" s="637" t="s">
        <v>1860</v>
      </c>
      <c r="K140" s="633"/>
      <c r="L140" s="633"/>
      <c r="M140" s="633"/>
      <c r="N140" s="655" t="b">
        <f>AND(MIPDLClass1&gt;=I140)</f>
        <v>1</v>
      </c>
      <c r="O140" s="637" t="s">
        <v>1861</v>
      </c>
      <c r="P140" s="175"/>
      <c r="R140" s="175"/>
      <c r="S140" s="175"/>
      <c r="T140" s="175"/>
      <c r="U140" s="175"/>
      <c r="V140" s="175"/>
      <c r="W140" s="175"/>
      <c r="X140" s="634"/>
      <c r="Y140" s="634"/>
      <c r="Z140" s="175"/>
      <c r="AA140" s="175"/>
      <c r="AB140" s="175"/>
      <c r="AC140" s="175"/>
      <c r="AD140" s="175"/>
      <c r="AE140" s="175"/>
      <c r="AF140" s="175"/>
      <c r="AG140" s="175"/>
      <c r="AH140" s="175"/>
      <c r="AI140" s="175"/>
      <c r="AJ140" s="175"/>
      <c r="AK140" s="175"/>
      <c r="AL140" s="175"/>
      <c r="AM140" s="175"/>
      <c r="AN140" s="175"/>
      <c r="AO140" s="175"/>
      <c r="AP140" s="175"/>
      <c r="AQ140" s="175"/>
      <c r="AR140" s="175"/>
      <c r="AS140" s="175"/>
      <c r="AT140" s="175"/>
      <c r="AU140" s="175"/>
      <c r="AV140" s="175"/>
      <c r="AW140" s="175"/>
      <c r="AX140" s="175"/>
      <c r="AY140" s="175"/>
      <c r="AZ140" s="175"/>
      <c r="BA140" s="175"/>
      <c r="BB140" s="633"/>
      <c r="BC140" s="175"/>
      <c r="BD140" s="175"/>
      <c r="BE140" s="175"/>
      <c r="BF140" s="175"/>
      <c r="BG140" s="175"/>
      <c r="BH140" s="175"/>
      <c r="BI140" s="175"/>
      <c r="BJ140" s="175"/>
      <c r="BK140" s="175"/>
      <c r="BL140" s="175"/>
      <c r="BM140" s="175"/>
      <c r="BN140" s="175"/>
      <c r="BO140" s="175"/>
      <c r="BP140" s="635"/>
      <c r="BY140" s="140"/>
      <c r="BZ140" s="140"/>
      <c r="CA140" s="140"/>
      <c r="CB140" s="140"/>
    </row>
    <row r="141" spans="1:80" ht="13" hidden="1" x14ac:dyDescent="0.3">
      <c r="A141" s="631"/>
      <c r="B141" s="631"/>
      <c r="C141" s="632"/>
      <c r="D141" s="175"/>
      <c r="E141" s="175"/>
      <c r="F141" s="175"/>
      <c r="G141" s="175"/>
      <c r="H141" s="175"/>
      <c r="I141" s="654"/>
      <c r="J141" s="637" t="s">
        <v>1862</v>
      </c>
      <c r="K141" s="633"/>
      <c r="L141" s="633"/>
      <c r="M141" s="633"/>
      <c r="N141" s="175"/>
      <c r="O141" s="175"/>
      <c r="P141" s="175"/>
      <c r="R141" s="175"/>
      <c r="S141" s="175"/>
      <c r="T141" s="175"/>
      <c r="U141" s="175"/>
      <c r="V141" s="175"/>
      <c r="W141" s="175"/>
      <c r="X141" s="634"/>
      <c r="Y141" s="634"/>
      <c r="Z141" s="175"/>
      <c r="AA141" s="175"/>
      <c r="AB141" s="175"/>
      <c r="AC141" s="175"/>
      <c r="AD141" s="175"/>
      <c r="AE141" s="175"/>
      <c r="AF141" s="175"/>
      <c r="AG141" s="175"/>
      <c r="AH141" s="175"/>
      <c r="AI141" s="175"/>
      <c r="AJ141" s="175"/>
      <c r="AK141" s="175"/>
      <c r="AL141" s="175"/>
      <c r="AM141" s="175"/>
      <c r="AN141" s="175"/>
      <c r="AO141" s="175"/>
      <c r="AP141" s="175"/>
      <c r="AQ141" s="175"/>
      <c r="AR141" s="175"/>
      <c r="AS141" s="175"/>
      <c r="AT141" s="175"/>
      <c r="AU141" s="175"/>
      <c r="AV141" s="175"/>
      <c r="AW141" s="175"/>
      <c r="AX141" s="175"/>
      <c r="AY141" s="175"/>
      <c r="AZ141" s="175"/>
      <c r="BA141" s="175"/>
      <c r="BB141" s="633"/>
      <c r="BC141" s="175"/>
      <c r="BD141" s="175"/>
      <c r="BE141" s="175"/>
      <c r="BF141" s="175"/>
      <c r="BG141" s="175"/>
      <c r="BH141" s="175"/>
      <c r="BI141" s="175"/>
      <c r="BJ141" s="175"/>
      <c r="BK141" s="175"/>
      <c r="BL141" s="175"/>
      <c r="BM141" s="175"/>
      <c r="BN141" s="175"/>
      <c r="BO141" s="175"/>
      <c r="BP141" s="635"/>
      <c r="BY141" s="140"/>
      <c r="BZ141" s="140"/>
      <c r="CA141" s="140"/>
      <c r="CB141" s="140"/>
    </row>
    <row r="142" spans="1:80" hidden="1" x14ac:dyDescent="0.25">
      <c r="A142" s="631"/>
      <c r="B142" s="631"/>
      <c r="C142" s="632"/>
      <c r="D142" s="175"/>
      <c r="E142" s="175"/>
      <c r="F142" s="175"/>
      <c r="G142" s="175"/>
      <c r="H142" s="175"/>
      <c r="I142" s="654"/>
      <c r="J142" s="633"/>
      <c r="K142" s="633"/>
      <c r="L142" s="633"/>
      <c r="M142" s="633"/>
      <c r="N142" s="175"/>
      <c r="O142" s="175"/>
      <c r="P142" s="175"/>
      <c r="R142" s="175"/>
      <c r="S142" s="175"/>
      <c r="T142" s="175"/>
      <c r="U142" s="175"/>
      <c r="V142" s="175"/>
      <c r="W142" s="175"/>
      <c r="X142" s="634"/>
      <c r="Y142" s="634"/>
      <c r="Z142" s="175"/>
      <c r="AA142" s="175"/>
      <c r="AB142" s="175"/>
      <c r="AC142" s="175"/>
      <c r="AD142" s="175"/>
      <c r="AE142" s="175"/>
      <c r="AF142" s="175"/>
      <c r="AG142" s="175"/>
      <c r="AH142" s="175"/>
      <c r="AI142" s="175"/>
      <c r="AJ142" s="175"/>
      <c r="AK142" s="175"/>
      <c r="AL142" s="175"/>
      <c r="AM142" s="175"/>
      <c r="AN142" s="175"/>
      <c r="AO142" s="175"/>
      <c r="AP142" s="175"/>
      <c r="AQ142" s="175"/>
      <c r="AR142" s="175"/>
      <c r="AS142" s="175"/>
      <c r="AT142" s="175"/>
      <c r="AU142" s="175"/>
      <c r="AV142" s="175"/>
      <c r="AW142" s="175"/>
      <c r="AX142" s="175"/>
      <c r="AY142" s="175"/>
      <c r="AZ142" s="175"/>
      <c r="BA142" s="175"/>
      <c r="BB142" s="633"/>
      <c r="BC142" s="175"/>
      <c r="BD142" s="175"/>
      <c r="BE142" s="175"/>
      <c r="BF142" s="175"/>
      <c r="BG142" s="175"/>
      <c r="BH142" s="175"/>
      <c r="BI142" s="175"/>
      <c r="BJ142" s="175"/>
      <c r="BK142" s="175"/>
      <c r="BL142" s="175"/>
      <c r="BM142" s="175"/>
      <c r="BN142" s="175"/>
      <c r="BO142" s="175"/>
      <c r="BP142" s="635"/>
      <c r="BY142" s="140"/>
      <c r="BZ142" s="140"/>
      <c r="CA142" s="140"/>
      <c r="CB142" s="140"/>
    </row>
    <row r="143" spans="1:80" ht="13" hidden="1" x14ac:dyDescent="0.3">
      <c r="A143" s="631"/>
      <c r="B143" s="631"/>
      <c r="C143" s="632"/>
      <c r="D143" s="175"/>
      <c r="E143" s="175"/>
      <c r="F143" s="175"/>
      <c r="G143" s="175"/>
      <c r="H143" s="1225" t="s">
        <v>1863</v>
      </c>
      <c r="I143" s="654"/>
      <c r="J143" s="633"/>
      <c r="K143" s="633"/>
      <c r="L143" s="633"/>
      <c r="M143" s="633"/>
      <c r="N143" s="675" t="s">
        <v>1864</v>
      </c>
      <c r="O143" s="175"/>
      <c r="P143" s="175"/>
      <c r="R143" s="175"/>
      <c r="S143" s="175"/>
      <c r="T143" s="175"/>
      <c r="U143" s="175"/>
      <c r="V143" s="175"/>
      <c r="W143" s="175"/>
      <c r="X143" s="634"/>
      <c r="Y143" s="634"/>
      <c r="Z143" s="175"/>
      <c r="AA143" s="175"/>
      <c r="AB143" s="175"/>
      <c r="AC143" s="175"/>
      <c r="AD143" s="175"/>
      <c r="AE143" s="175"/>
      <c r="AF143" s="175"/>
      <c r="AG143" s="175"/>
      <c r="AH143" s="175"/>
      <c r="AI143" s="175"/>
      <c r="AJ143" s="175"/>
      <c r="AK143" s="175"/>
      <c r="AL143" s="175"/>
      <c r="AM143" s="175"/>
      <c r="AN143" s="175"/>
      <c r="AO143" s="175"/>
      <c r="AP143" s="175"/>
      <c r="AQ143" s="175"/>
      <c r="AR143" s="175"/>
      <c r="AS143" s="175"/>
      <c r="AT143" s="175"/>
      <c r="AU143" s="175"/>
      <c r="AV143" s="175"/>
      <c r="AW143" s="175"/>
      <c r="AX143" s="175"/>
      <c r="AY143" s="175"/>
      <c r="AZ143" s="175"/>
      <c r="BA143" s="175"/>
      <c r="BB143" s="633"/>
      <c r="BC143" s="175"/>
      <c r="BD143" s="175"/>
      <c r="BE143" s="175"/>
      <c r="BF143" s="175"/>
      <c r="BG143" s="175"/>
      <c r="BH143" s="175"/>
      <c r="BI143" s="175"/>
      <c r="BJ143" s="175"/>
      <c r="BK143" s="175"/>
      <c r="BL143" s="175"/>
      <c r="BM143" s="175"/>
      <c r="BN143" s="175"/>
      <c r="BO143" s="175"/>
      <c r="BP143" s="635"/>
      <c r="BY143" s="140"/>
      <c r="BZ143" s="140"/>
      <c r="CA143" s="140"/>
      <c r="CB143" s="140"/>
    </row>
    <row r="144" spans="1:80" ht="13" hidden="1" x14ac:dyDescent="0.3">
      <c r="A144" s="631"/>
      <c r="B144" s="631"/>
      <c r="C144" s="632"/>
      <c r="D144" s="175"/>
      <c r="E144" s="175"/>
      <c r="F144" s="175"/>
      <c r="G144" s="175"/>
      <c r="H144" s="175" t="s">
        <v>1779</v>
      </c>
      <c r="I144" s="654">
        <f>IF(AA75,ROUND(AB72/AA72,PrecisionTwo),0)</f>
        <v>0</v>
      </c>
      <c r="J144" s="637" t="s">
        <v>1865</v>
      </c>
      <c r="K144" s="633"/>
      <c r="L144" s="633"/>
      <c r="M144" s="633"/>
      <c r="N144" s="175" t="b">
        <f>AND(I156&gt;=I144)</f>
        <v>1</v>
      </c>
      <c r="O144" s="637" t="s">
        <v>1866</v>
      </c>
      <c r="P144" s="175"/>
      <c r="R144" s="175"/>
      <c r="S144" s="175"/>
      <c r="T144" s="175"/>
      <c r="U144" s="175"/>
      <c r="V144" s="175"/>
      <c r="W144" s="175"/>
      <c r="X144" s="634"/>
      <c r="Y144" s="634"/>
      <c r="Z144" s="175"/>
      <c r="AA144" s="175"/>
      <c r="AB144" s="175"/>
      <c r="AC144" s="175"/>
      <c r="AD144" s="175"/>
      <c r="AE144" s="175"/>
      <c r="AF144" s="175"/>
      <c r="AG144" s="175"/>
      <c r="AH144" s="175"/>
      <c r="AI144" s="175"/>
      <c r="AJ144" s="175"/>
      <c r="AK144" s="175"/>
      <c r="AL144" s="175"/>
      <c r="AM144" s="175"/>
      <c r="AN144" s="175"/>
      <c r="AO144" s="175"/>
      <c r="AP144" s="175"/>
      <c r="AQ144" s="175"/>
      <c r="AR144" s="175"/>
      <c r="AS144" s="175"/>
      <c r="AT144" s="175"/>
      <c r="AU144" s="175"/>
      <c r="AV144" s="175"/>
      <c r="AW144" s="175"/>
      <c r="AX144" s="175"/>
      <c r="AY144" s="175"/>
      <c r="AZ144" s="175"/>
      <c r="BA144" s="175"/>
      <c r="BB144" s="633"/>
      <c r="BC144" s="175"/>
      <c r="BD144" s="175"/>
      <c r="BE144" s="175"/>
      <c r="BF144" s="175"/>
      <c r="BG144" s="175"/>
      <c r="BH144" s="175"/>
      <c r="BI144" s="175"/>
      <c r="BJ144" s="175"/>
      <c r="BK144" s="175"/>
      <c r="BL144" s="175"/>
      <c r="BM144" s="175"/>
      <c r="BN144" s="175"/>
      <c r="BO144" s="175"/>
      <c r="BP144" s="635"/>
      <c r="BY144" s="140"/>
      <c r="BZ144" s="140"/>
      <c r="CA144" s="140"/>
      <c r="CB144" s="140"/>
    </row>
    <row r="145" spans="1:80" hidden="1" x14ac:dyDescent="0.25">
      <c r="A145" s="631"/>
      <c r="B145" s="631"/>
      <c r="C145" s="632"/>
      <c r="D145" s="175"/>
      <c r="E145" s="175"/>
      <c r="F145" s="175"/>
      <c r="G145" s="175"/>
      <c r="H145" s="175"/>
      <c r="I145" s="654"/>
      <c r="J145" s="633"/>
      <c r="K145" s="633"/>
      <c r="L145" s="633"/>
      <c r="M145" s="633"/>
      <c r="N145" s="175"/>
      <c r="O145" s="175"/>
      <c r="P145" s="175"/>
      <c r="R145" s="175"/>
      <c r="S145" s="175"/>
      <c r="T145" s="175"/>
      <c r="U145" s="175"/>
      <c r="V145" s="175"/>
      <c r="W145" s="175"/>
      <c r="X145" s="634"/>
      <c r="Y145" s="634"/>
      <c r="Z145" s="175"/>
      <c r="AA145" s="175"/>
      <c r="AB145" s="175"/>
      <c r="AC145" s="175"/>
      <c r="AD145" s="175"/>
      <c r="AE145" s="175"/>
      <c r="AF145" s="175"/>
      <c r="AG145" s="175"/>
      <c r="AH145" s="175"/>
      <c r="AI145" s="175"/>
      <c r="AJ145" s="175"/>
      <c r="AK145" s="175"/>
      <c r="AL145" s="175"/>
      <c r="AM145" s="175"/>
      <c r="AN145" s="175"/>
      <c r="AO145" s="175"/>
      <c r="AP145" s="175"/>
      <c r="AQ145" s="175"/>
      <c r="AR145" s="175"/>
      <c r="AS145" s="175"/>
      <c r="AT145" s="175"/>
      <c r="AU145" s="175"/>
      <c r="AV145" s="175"/>
      <c r="AW145" s="175"/>
      <c r="AX145" s="175"/>
      <c r="AY145" s="175"/>
      <c r="AZ145" s="175"/>
      <c r="BA145" s="175"/>
      <c r="BB145" s="633"/>
      <c r="BC145" s="175"/>
      <c r="BD145" s="175"/>
      <c r="BE145" s="175"/>
      <c r="BF145" s="175"/>
      <c r="BG145" s="175"/>
      <c r="BH145" s="175"/>
      <c r="BI145" s="175"/>
      <c r="BJ145" s="175"/>
      <c r="BK145" s="175"/>
      <c r="BL145" s="175"/>
      <c r="BM145" s="175"/>
      <c r="BN145" s="175"/>
      <c r="BO145" s="175"/>
      <c r="BP145" s="635"/>
      <c r="BY145" s="140"/>
      <c r="BZ145" s="140"/>
      <c r="CA145" s="140"/>
      <c r="CB145" s="140"/>
    </row>
    <row r="146" spans="1:80" hidden="1" x14ac:dyDescent="0.25">
      <c r="A146" s="631"/>
      <c r="B146" s="631"/>
      <c r="C146" s="632"/>
      <c r="D146" s="175"/>
      <c r="E146" s="175"/>
      <c r="F146" s="175"/>
      <c r="G146" s="175"/>
      <c r="H146" s="175"/>
      <c r="I146" s="654"/>
      <c r="J146" s="633"/>
      <c r="K146" s="633"/>
      <c r="L146" s="633"/>
      <c r="M146" s="633"/>
      <c r="N146" s="175"/>
      <c r="O146" s="175"/>
      <c r="P146" s="175"/>
      <c r="R146" s="175"/>
      <c r="S146" s="175"/>
      <c r="T146" s="175"/>
      <c r="U146" s="175"/>
      <c r="V146" s="175"/>
      <c r="W146" s="175"/>
      <c r="X146" s="634"/>
      <c r="Y146" s="634"/>
      <c r="Z146" s="175"/>
      <c r="AA146" s="175"/>
      <c r="AB146" s="175"/>
      <c r="AC146" s="175"/>
      <c r="AD146" s="175"/>
      <c r="AE146" s="175"/>
      <c r="AF146" s="175"/>
      <c r="AG146" s="175"/>
      <c r="AH146" s="175"/>
      <c r="AI146" s="175"/>
      <c r="AJ146" s="175"/>
      <c r="AK146" s="175"/>
      <c r="AL146" s="175"/>
      <c r="AM146" s="175"/>
      <c r="AN146" s="175"/>
      <c r="AO146" s="175"/>
      <c r="AP146" s="175"/>
      <c r="AQ146" s="175"/>
      <c r="AR146" s="175"/>
      <c r="AS146" s="175"/>
      <c r="AT146" s="175"/>
      <c r="AU146" s="175"/>
      <c r="AV146" s="175"/>
      <c r="AW146" s="175"/>
      <c r="AX146" s="175"/>
      <c r="AY146" s="175"/>
      <c r="AZ146" s="175"/>
      <c r="BA146" s="175"/>
      <c r="BB146" s="633"/>
      <c r="BC146" s="175"/>
      <c r="BD146" s="175"/>
      <c r="BE146" s="175"/>
      <c r="BF146" s="175"/>
      <c r="BG146" s="175"/>
      <c r="BH146" s="175"/>
      <c r="BI146" s="175"/>
      <c r="BJ146" s="175"/>
      <c r="BK146" s="175"/>
      <c r="BL146" s="175"/>
      <c r="BM146" s="175"/>
      <c r="BN146" s="175"/>
      <c r="BO146" s="175"/>
      <c r="BP146" s="635"/>
      <c r="BY146" s="140"/>
      <c r="BZ146" s="140"/>
      <c r="CA146" s="140"/>
      <c r="CB146" s="140"/>
    </row>
    <row r="147" spans="1:80" ht="13" hidden="1" x14ac:dyDescent="0.3">
      <c r="A147" s="631"/>
      <c r="B147" s="631"/>
      <c r="C147" s="632"/>
      <c r="D147" s="175"/>
      <c r="E147" s="175"/>
      <c r="F147" s="175"/>
      <c r="G147" s="175"/>
      <c r="H147" s="1225" t="s">
        <v>1867</v>
      </c>
      <c r="I147" s="654"/>
      <c r="J147" s="633"/>
      <c r="K147" s="633"/>
      <c r="L147" s="633"/>
      <c r="M147" s="633"/>
      <c r="N147" s="675" t="s">
        <v>1868</v>
      </c>
      <c r="O147" s="175"/>
      <c r="P147" s="175"/>
      <c r="R147" s="175"/>
      <c r="S147" s="175"/>
      <c r="T147" s="175"/>
      <c r="U147" s="175"/>
      <c r="V147" s="175"/>
      <c r="W147" s="175"/>
      <c r="X147" s="634"/>
      <c r="Y147" s="634"/>
      <c r="Z147" s="175"/>
      <c r="AA147" s="175"/>
      <c r="AB147" s="175"/>
      <c r="AC147" s="175"/>
      <c r="AD147" s="175"/>
      <c r="AE147" s="175"/>
      <c r="AF147" s="175"/>
      <c r="AG147" s="175"/>
      <c r="AH147" s="175"/>
      <c r="AI147" s="175"/>
      <c r="AJ147" s="175"/>
      <c r="AK147" s="175"/>
      <c r="AL147" s="175"/>
      <c r="AM147" s="175"/>
      <c r="AN147" s="175"/>
      <c r="AO147" s="175"/>
      <c r="AP147" s="175"/>
      <c r="AQ147" s="175"/>
      <c r="AR147" s="175"/>
      <c r="AS147" s="175"/>
      <c r="AT147" s="175"/>
      <c r="AU147" s="175"/>
      <c r="AV147" s="175"/>
      <c r="AW147" s="175"/>
      <c r="AX147" s="175"/>
      <c r="AY147" s="175"/>
      <c r="AZ147" s="175"/>
      <c r="BA147" s="175"/>
      <c r="BB147" s="633"/>
      <c r="BC147" s="175"/>
      <c r="BD147" s="175"/>
      <c r="BE147" s="175"/>
      <c r="BF147" s="175"/>
      <c r="BG147" s="175"/>
      <c r="BH147" s="175"/>
      <c r="BI147" s="175"/>
      <c r="BJ147" s="175"/>
      <c r="BK147" s="175"/>
      <c r="BL147" s="175"/>
      <c r="BM147" s="175"/>
      <c r="BN147" s="175"/>
      <c r="BO147" s="175"/>
      <c r="BP147" s="635"/>
      <c r="BY147" s="140"/>
      <c r="BZ147" s="140"/>
      <c r="CA147" s="140"/>
      <c r="CB147" s="140"/>
    </row>
    <row r="148" spans="1:80" ht="13" hidden="1" x14ac:dyDescent="0.3">
      <c r="A148" s="631"/>
      <c r="B148" s="631"/>
      <c r="C148" s="632"/>
      <c r="D148" s="175"/>
      <c r="E148" s="175"/>
      <c r="F148" s="175"/>
      <c r="G148" s="175"/>
      <c r="H148" s="175" t="s">
        <v>1779</v>
      </c>
      <c r="I148" s="654">
        <f>IF(AF75,ROUND(AG72/AF72,PrecisionTwo),0)</f>
        <v>0</v>
      </c>
      <c r="J148" s="637" t="s">
        <v>1865</v>
      </c>
      <c r="K148" s="633"/>
      <c r="L148" s="633"/>
      <c r="M148" s="633"/>
      <c r="N148" s="175" t="b">
        <f>AND(I160&gt;=I148)</f>
        <v>1</v>
      </c>
      <c r="O148" s="637" t="s">
        <v>1869</v>
      </c>
      <c r="P148" s="175"/>
      <c r="R148" s="175"/>
      <c r="S148" s="175"/>
      <c r="T148" s="175"/>
      <c r="U148" s="175"/>
      <c r="V148" s="175"/>
      <c r="W148" s="175"/>
      <c r="X148" s="634"/>
      <c r="Y148" s="634"/>
      <c r="Z148" s="175"/>
      <c r="AA148" s="175"/>
      <c r="AB148" s="175"/>
      <c r="AC148" s="175"/>
      <c r="AD148" s="175"/>
      <c r="AE148" s="175"/>
      <c r="AF148" s="175"/>
      <c r="AG148" s="175"/>
      <c r="AH148" s="175"/>
      <c r="AI148" s="175"/>
      <c r="AJ148" s="175"/>
      <c r="AK148" s="175"/>
      <c r="AL148" s="175"/>
      <c r="AM148" s="175"/>
      <c r="AN148" s="175"/>
      <c r="AO148" s="175"/>
      <c r="AP148" s="175"/>
      <c r="AQ148" s="175"/>
      <c r="AR148" s="175"/>
      <c r="AS148" s="175"/>
      <c r="AT148" s="175"/>
      <c r="AU148" s="175"/>
      <c r="AV148" s="175"/>
      <c r="AW148" s="175"/>
      <c r="AX148" s="175"/>
      <c r="AY148" s="175"/>
      <c r="AZ148" s="175"/>
      <c r="BA148" s="175"/>
      <c r="BB148" s="633"/>
      <c r="BC148" s="175"/>
      <c r="BD148" s="175"/>
      <c r="BE148" s="175"/>
      <c r="BF148" s="175"/>
      <c r="BG148" s="175"/>
      <c r="BH148" s="175"/>
      <c r="BI148" s="175"/>
      <c r="BJ148" s="175"/>
      <c r="BK148" s="175"/>
      <c r="BL148" s="175"/>
      <c r="BM148" s="175"/>
      <c r="BN148" s="175"/>
      <c r="BO148" s="175"/>
      <c r="BP148" s="635"/>
      <c r="BY148" s="140"/>
      <c r="BZ148" s="140"/>
      <c r="CA148" s="140"/>
      <c r="CB148" s="140"/>
    </row>
    <row r="149" spans="1:80" hidden="1" x14ac:dyDescent="0.25">
      <c r="A149" s="631"/>
      <c r="B149" s="631"/>
      <c r="C149" s="632"/>
      <c r="D149" s="175"/>
      <c r="E149" s="175"/>
      <c r="F149" s="175"/>
      <c r="G149" s="175"/>
      <c r="H149" s="175"/>
      <c r="I149" s="654"/>
      <c r="J149" s="633"/>
      <c r="K149" s="633"/>
      <c r="L149" s="633"/>
      <c r="M149" s="633"/>
      <c r="N149" s="175"/>
      <c r="O149" s="175"/>
      <c r="P149" s="175"/>
      <c r="R149" s="175"/>
      <c r="S149" s="175"/>
      <c r="T149" s="175"/>
      <c r="U149" s="175"/>
      <c r="V149" s="175"/>
      <c r="W149" s="175"/>
      <c r="X149" s="634"/>
      <c r="Y149" s="634"/>
      <c r="Z149" s="175"/>
      <c r="AA149" s="175"/>
      <c r="AB149" s="175"/>
      <c r="AC149" s="175"/>
      <c r="AD149" s="175"/>
      <c r="AE149" s="175"/>
      <c r="AF149" s="175"/>
      <c r="AG149" s="175"/>
      <c r="AH149" s="175"/>
      <c r="AI149" s="175"/>
      <c r="AJ149" s="175"/>
      <c r="AK149" s="175"/>
      <c r="AL149" s="175"/>
      <c r="AM149" s="175"/>
      <c r="AN149" s="175"/>
      <c r="AO149" s="175"/>
      <c r="AP149" s="175"/>
      <c r="AQ149" s="175"/>
      <c r="AR149" s="175"/>
      <c r="AS149" s="175"/>
      <c r="AT149" s="175"/>
      <c r="AU149" s="175"/>
      <c r="AV149" s="175"/>
      <c r="AW149" s="175"/>
      <c r="AX149" s="175"/>
      <c r="AY149" s="175"/>
      <c r="AZ149" s="175"/>
      <c r="BA149" s="175"/>
      <c r="BB149" s="633"/>
      <c r="BC149" s="175"/>
      <c r="BD149" s="175"/>
      <c r="BE149" s="175"/>
      <c r="BF149" s="175"/>
      <c r="BG149" s="175"/>
      <c r="BH149" s="175"/>
      <c r="BI149" s="175"/>
      <c r="BJ149" s="175"/>
      <c r="BK149" s="175"/>
      <c r="BL149" s="175"/>
      <c r="BM149" s="175"/>
      <c r="BN149" s="175"/>
      <c r="BO149" s="175"/>
      <c r="BP149" s="635"/>
      <c r="BY149" s="140"/>
      <c r="BZ149" s="140"/>
      <c r="CA149" s="140"/>
      <c r="CB149" s="140"/>
    </row>
    <row r="150" spans="1:80" ht="13" hidden="1" x14ac:dyDescent="0.3">
      <c r="A150" s="631"/>
      <c r="B150" s="631"/>
      <c r="C150" s="632"/>
      <c r="D150" s="175"/>
      <c r="E150" s="175"/>
      <c r="F150" s="175"/>
      <c r="G150" s="175"/>
      <c r="H150" s="175"/>
      <c r="I150" s="175"/>
      <c r="J150" s="633"/>
      <c r="K150" s="633"/>
      <c r="L150" s="633"/>
      <c r="M150" s="633"/>
      <c r="N150" s="679"/>
      <c r="O150" s="679"/>
      <c r="P150" s="679"/>
      <c r="R150" s="175"/>
      <c r="S150" s="175"/>
      <c r="T150" s="175"/>
      <c r="U150" s="175"/>
      <c r="V150" s="175"/>
      <c r="W150" s="175"/>
      <c r="X150" s="634"/>
      <c r="Y150" s="634"/>
      <c r="Z150" s="175"/>
      <c r="AA150" s="175"/>
      <c r="AB150" s="175"/>
      <c r="AC150" s="175"/>
      <c r="AD150" s="175"/>
      <c r="AE150" s="175"/>
      <c r="AF150" s="175"/>
      <c r="AG150" s="175"/>
      <c r="AH150" s="175"/>
      <c r="AI150" s="175"/>
      <c r="AJ150" s="175"/>
      <c r="AK150" s="175"/>
      <c r="AL150" s="175"/>
      <c r="AM150" s="175"/>
      <c r="AN150" s="175"/>
      <c r="AO150" s="175"/>
      <c r="AP150" s="175"/>
      <c r="AQ150" s="175"/>
      <c r="AR150" s="175"/>
      <c r="AS150" s="175"/>
      <c r="AT150" s="175"/>
      <c r="AU150" s="175"/>
      <c r="AV150" s="175"/>
      <c r="AW150" s="175"/>
      <c r="AX150" s="175"/>
      <c r="AY150" s="175"/>
      <c r="AZ150" s="175"/>
      <c r="BA150" s="175"/>
      <c r="BB150" s="633"/>
      <c r="BC150" s="175"/>
      <c r="BD150" s="175"/>
      <c r="BE150" s="175"/>
      <c r="BF150" s="175"/>
      <c r="BG150" s="175"/>
      <c r="BH150" s="175"/>
      <c r="BI150" s="175"/>
      <c r="BJ150" s="175"/>
      <c r="BK150" s="175"/>
      <c r="BL150" s="175"/>
      <c r="BM150" s="175"/>
      <c r="BN150" s="175"/>
      <c r="BO150" s="175"/>
      <c r="BP150" s="635"/>
      <c r="BY150" s="140"/>
      <c r="BZ150" s="140"/>
      <c r="CA150" s="140"/>
      <c r="CB150" s="140"/>
    </row>
    <row r="151" spans="1:80" ht="13" hidden="1" x14ac:dyDescent="0.3">
      <c r="A151" s="631"/>
      <c r="B151" s="631"/>
      <c r="C151" s="632"/>
      <c r="D151" s="175"/>
      <c r="E151" s="175"/>
      <c r="F151" s="175"/>
      <c r="G151" s="175"/>
      <c r="H151" s="1225" t="s">
        <v>1870</v>
      </c>
      <c r="I151" s="1226"/>
      <c r="J151" s="1231"/>
      <c r="K151" s="1231"/>
      <c r="L151" s="1231"/>
      <c r="M151" s="1231"/>
      <c r="N151" s="1225" t="s">
        <v>1871</v>
      </c>
      <c r="O151" s="175"/>
      <c r="P151" s="175"/>
      <c r="R151" s="175"/>
      <c r="S151" s="175"/>
      <c r="T151" s="175"/>
      <c r="U151" s="175"/>
      <c r="V151" s="175"/>
      <c r="W151" s="175"/>
      <c r="X151" s="634"/>
      <c r="Y151" s="634"/>
      <c r="Z151" s="175"/>
      <c r="AA151" s="175"/>
      <c r="AB151" s="175"/>
      <c r="AC151" s="175"/>
      <c r="AD151" s="175"/>
      <c r="AE151" s="175"/>
      <c r="AF151" s="175"/>
      <c r="AG151" s="175"/>
      <c r="AH151" s="175"/>
      <c r="AI151" s="175"/>
      <c r="AJ151" s="175"/>
      <c r="AK151" s="175"/>
      <c r="AL151" s="175"/>
      <c r="AM151" s="175"/>
      <c r="AN151" s="175"/>
      <c r="AO151" s="175"/>
      <c r="AP151" s="175"/>
      <c r="AQ151" s="175"/>
      <c r="AR151" s="175"/>
      <c r="AS151" s="175"/>
      <c r="AT151" s="175"/>
      <c r="AU151" s="175"/>
      <c r="AV151" s="175"/>
      <c r="AW151" s="175"/>
      <c r="AX151" s="175"/>
      <c r="AY151" s="175"/>
      <c r="AZ151" s="175"/>
      <c r="BA151" s="175"/>
      <c r="BB151" s="633"/>
      <c r="BC151" s="175"/>
      <c r="BD151" s="175"/>
      <c r="BE151" s="175"/>
      <c r="BF151" s="175"/>
      <c r="BG151" s="175"/>
      <c r="BH151" s="175"/>
      <c r="BI151" s="175"/>
      <c r="BJ151" s="175"/>
      <c r="BK151" s="175"/>
      <c r="BL151" s="175"/>
      <c r="BM151" s="175"/>
      <c r="BN151" s="175"/>
      <c r="BO151" s="175"/>
      <c r="BP151" s="635"/>
      <c r="BY151" s="140"/>
      <c r="BZ151" s="140"/>
      <c r="CA151" s="140"/>
      <c r="CB151" s="140"/>
    </row>
    <row r="152" spans="1:80" ht="13" hidden="1" x14ac:dyDescent="0.3">
      <c r="A152" s="631"/>
      <c r="B152" s="631"/>
      <c r="C152" s="632"/>
      <c r="D152" s="175"/>
      <c r="E152" s="175"/>
      <c r="F152" s="175"/>
      <c r="G152" s="175"/>
      <c r="H152" s="175" t="s">
        <v>1779</v>
      </c>
      <c r="I152" s="654" t="str">
        <f>O105</f>
        <v/>
      </c>
      <c r="J152" s="637" t="s">
        <v>1872</v>
      </c>
      <c r="K152" s="633"/>
      <c r="L152" s="633"/>
      <c r="M152" s="633"/>
      <c r="N152" s="175" t="b">
        <f>AND(I140&gt;MIPDLClass1)</f>
        <v>0</v>
      </c>
      <c r="O152" s="637" t="s">
        <v>1873</v>
      </c>
      <c r="P152" s="175"/>
      <c r="R152" s="175"/>
      <c r="S152" s="175"/>
      <c r="T152" s="175"/>
      <c r="U152" s="175"/>
      <c r="V152" s="175"/>
      <c r="W152" s="175"/>
      <c r="X152" s="634"/>
      <c r="Y152" s="634"/>
      <c r="Z152" s="175"/>
      <c r="AA152" s="175"/>
      <c r="AB152" s="175"/>
      <c r="AC152" s="175"/>
      <c r="AD152" s="175"/>
      <c r="AE152" s="175"/>
      <c r="AF152" s="175"/>
      <c r="AG152" s="175"/>
      <c r="AH152" s="175"/>
      <c r="AI152" s="175"/>
      <c r="AJ152" s="175"/>
      <c r="AK152" s="175"/>
      <c r="AL152" s="175"/>
      <c r="AM152" s="175"/>
      <c r="AN152" s="175"/>
      <c r="AO152" s="175"/>
      <c r="AP152" s="175"/>
      <c r="AQ152" s="175"/>
      <c r="AR152" s="175"/>
      <c r="AS152" s="175"/>
      <c r="AT152" s="175"/>
      <c r="AU152" s="175"/>
      <c r="AV152" s="175"/>
      <c r="AW152" s="175"/>
      <c r="AX152" s="175"/>
      <c r="AY152" s="175"/>
      <c r="AZ152" s="175"/>
      <c r="BA152" s="175"/>
      <c r="BB152" s="633"/>
      <c r="BC152" s="175"/>
      <c r="BD152" s="175"/>
      <c r="BE152" s="175"/>
      <c r="BF152" s="175"/>
      <c r="BG152" s="175"/>
      <c r="BH152" s="175"/>
      <c r="BI152" s="175"/>
      <c r="BJ152" s="175"/>
      <c r="BK152" s="175"/>
      <c r="BL152" s="175"/>
      <c r="BM152" s="175"/>
      <c r="BN152" s="175"/>
      <c r="BO152" s="175"/>
      <c r="BP152" s="635"/>
      <c r="BY152" s="140"/>
      <c r="BZ152" s="140"/>
      <c r="CA152" s="140"/>
      <c r="CB152" s="140"/>
    </row>
    <row r="153" spans="1:80" ht="13" hidden="1" x14ac:dyDescent="0.3">
      <c r="A153" s="631"/>
      <c r="B153" s="631"/>
      <c r="C153" s="632"/>
      <c r="D153" s="175"/>
      <c r="E153" s="175"/>
      <c r="F153" s="175"/>
      <c r="G153" s="175"/>
      <c r="H153" s="175" t="s">
        <v>1853</v>
      </c>
      <c r="I153" s="654">
        <f>SUM(Z30:Z69)</f>
        <v>0</v>
      </c>
      <c r="J153" s="637" t="s">
        <v>1874</v>
      </c>
      <c r="K153" s="633"/>
      <c r="L153" s="633"/>
      <c r="M153" s="633"/>
      <c r="N153" s="175"/>
      <c r="O153" s="175"/>
      <c r="P153" s="175"/>
      <c r="R153" s="175"/>
      <c r="S153" s="175"/>
      <c r="T153" s="175"/>
      <c r="U153" s="175"/>
      <c r="V153" s="175"/>
      <c r="W153" s="175"/>
      <c r="X153" s="634"/>
      <c r="Y153" s="634"/>
      <c r="Z153" s="175"/>
      <c r="AA153" s="175"/>
      <c r="AB153" s="175"/>
      <c r="AC153" s="175"/>
      <c r="AD153" s="175"/>
      <c r="AE153" s="175"/>
      <c r="AF153" s="175"/>
      <c r="AG153" s="175"/>
      <c r="AH153" s="175"/>
      <c r="AI153" s="175"/>
      <c r="AJ153" s="175"/>
      <c r="AK153" s="175"/>
      <c r="AL153" s="175"/>
      <c r="AM153" s="175"/>
      <c r="AN153" s="175"/>
      <c r="AO153" s="175"/>
      <c r="AP153" s="175"/>
      <c r="AQ153" s="175"/>
      <c r="AR153" s="175"/>
      <c r="AS153" s="175"/>
      <c r="AT153" s="175"/>
      <c r="AU153" s="175"/>
      <c r="AV153" s="175"/>
      <c r="AW153" s="175"/>
      <c r="AX153" s="175"/>
      <c r="AY153" s="175"/>
      <c r="AZ153" s="175"/>
      <c r="BA153" s="175"/>
      <c r="BB153" s="633"/>
      <c r="BC153" s="175"/>
      <c r="BD153" s="175"/>
      <c r="BE153" s="175"/>
      <c r="BF153" s="175"/>
      <c r="BG153" s="175"/>
      <c r="BH153" s="175"/>
      <c r="BI153" s="175"/>
      <c r="BJ153" s="175"/>
      <c r="BK153" s="175"/>
      <c r="BL153" s="175"/>
      <c r="BM153" s="175"/>
      <c r="BN153" s="175"/>
      <c r="BO153" s="175"/>
      <c r="BP153" s="635"/>
      <c r="BY153" s="140"/>
      <c r="BZ153" s="140"/>
      <c r="CA153" s="140"/>
      <c r="CB153" s="140"/>
    </row>
    <row r="154" spans="1:80" hidden="1" x14ac:dyDescent="0.25">
      <c r="A154" s="631"/>
      <c r="B154" s="631"/>
      <c r="C154" s="632"/>
      <c r="D154" s="175"/>
      <c r="E154" s="175"/>
      <c r="F154" s="175"/>
      <c r="G154" s="175"/>
      <c r="H154" s="175"/>
      <c r="I154" s="654"/>
      <c r="J154" s="633"/>
      <c r="K154" s="633"/>
      <c r="L154" s="633"/>
      <c r="M154" s="633"/>
      <c r="N154" s="175"/>
      <c r="O154" s="175"/>
      <c r="P154" s="175"/>
      <c r="R154" s="175"/>
      <c r="S154" s="175"/>
      <c r="T154" s="175"/>
      <c r="U154" s="175"/>
      <c r="V154" s="175"/>
      <c r="W154" s="175"/>
      <c r="X154" s="634"/>
      <c r="Y154" s="634"/>
      <c r="Z154" s="175"/>
      <c r="AA154" s="175"/>
      <c r="AB154" s="175"/>
      <c r="AC154" s="175"/>
      <c r="AD154" s="175"/>
      <c r="AE154" s="175"/>
      <c r="AF154" s="175"/>
      <c r="AG154" s="175"/>
      <c r="AH154" s="175"/>
      <c r="AI154" s="175"/>
      <c r="AJ154" s="175"/>
      <c r="AK154" s="175"/>
      <c r="AL154" s="175"/>
      <c r="AM154" s="175"/>
      <c r="AN154" s="175"/>
      <c r="AO154" s="175"/>
      <c r="AP154" s="175"/>
      <c r="AQ154" s="175"/>
      <c r="AR154" s="175"/>
      <c r="AS154" s="175"/>
      <c r="AT154" s="175"/>
      <c r="AU154" s="175"/>
      <c r="AV154" s="175"/>
      <c r="AW154" s="175"/>
      <c r="AX154" s="175"/>
      <c r="AY154" s="175"/>
      <c r="AZ154" s="175"/>
      <c r="BA154" s="175"/>
      <c r="BB154" s="633"/>
      <c r="BC154" s="175"/>
      <c r="BD154" s="175"/>
      <c r="BE154" s="175"/>
      <c r="BF154" s="175"/>
      <c r="BG154" s="175"/>
      <c r="BH154" s="175"/>
      <c r="BI154" s="175"/>
      <c r="BJ154" s="175"/>
      <c r="BK154" s="175"/>
      <c r="BL154" s="175"/>
      <c r="BM154" s="175"/>
      <c r="BN154" s="175"/>
      <c r="BO154" s="175"/>
      <c r="BP154" s="635"/>
      <c r="BY154" s="140"/>
      <c r="BZ154" s="140"/>
      <c r="CA154" s="140"/>
      <c r="CB154" s="140"/>
    </row>
    <row r="155" spans="1:80" ht="13" hidden="1" x14ac:dyDescent="0.3">
      <c r="A155" s="631"/>
      <c r="B155" s="631"/>
      <c r="C155" s="632"/>
      <c r="D155" s="175"/>
      <c r="E155" s="175"/>
      <c r="F155" s="175"/>
      <c r="G155" s="175"/>
      <c r="H155" s="1225" t="s">
        <v>1875</v>
      </c>
      <c r="I155" s="654"/>
      <c r="J155" s="633"/>
      <c r="K155" s="633"/>
      <c r="L155" s="633"/>
      <c r="M155" s="633"/>
      <c r="N155" s="1225" t="s">
        <v>1876</v>
      </c>
      <c r="O155" s="175"/>
      <c r="P155" s="175"/>
      <c r="R155" s="175"/>
      <c r="S155" s="175"/>
      <c r="T155" s="175"/>
      <c r="U155" s="175"/>
      <c r="V155" s="175"/>
      <c r="W155" s="175"/>
      <c r="X155" s="634"/>
      <c r="Y155" s="634"/>
      <c r="Z155" s="175"/>
      <c r="AA155" s="175"/>
      <c r="AB155" s="175"/>
      <c r="AC155" s="175"/>
      <c r="AD155" s="175"/>
      <c r="AE155" s="175"/>
      <c r="AF155" s="175"/>
      <c r="AG155" s="175"/>
      <c r="AH155" s="175"/>
      <c r="AI155" s="175"/>
      <c r="AJ155" s="175"/>
      <c r="AK155" s="175"/>
      <c r="AL155" s="175"/>
      <c r="AM155" s="175"/>
      <c r="AN155" s="175"/>
      <c r="AO155" s="175"/>
      <c r="AP155" s="175"/>
      <c r="AQ155" s="175"/>
      <c r="AR155" s="175"/>
      <c r="AS155" s="175"/>
      <c r="AT155" s="175"/>
      <c r="AU155" s="175"/>
      <c r="AV155" s="175"/>
      <c r="AW155" s="175"/>
      <c r="AX155" s="175"/>
      <c r="AY155" s="175"/>
      <c r="AZ155" s="175"/>
      <c r="BA155" s="175"/>
      <c r="BB155" s="633"/>
      <c r="BC155" s="175"/>
      <c r="BD155" s="175"/>
      <c r="BE155" s="175"/>
      <c r="BF155" s="175"/>
      <c r="BG155" s="175"/>
      <c r="BH155" s="175"/>
      <c r="BI155" s="175"/>
      <c r="BJ155" s="175"/>
      <c r="BK155" s="175"/>
      <c r="BL155" s="175"/>
      <c r="BM155" s="175"/>
      <c r="BN155" s="175"/>
      <c r="BO155" s="175"/>
      <c r="BP155" s="635"/>
      <c r="BY155" s="140"/>
      <c r="BZ155" s="140"/>
      <c r="CA155" s="140"/>
      <c r="CB155" s="140"/>
    </row>
    <row r="156" spans="1:80" ht="13" hidden="1" x14ac:dyDescent="0.3">
      <c r="A156" s="631"/>
      <c r="B156" s="631"/>
      <c r="C156" s="632"/>
      <c r="D156" s="175"/>
      <c r="E156" s="175"/>
      <c r="F156" s="175"/>
      <c r="G156" s="175"/>
      <c r="H156" s="175" t="s">
        <v>1779</v>
      </c>
      <c r="I156" s="654" t="str">
        <f>O107</f>
        <v/>
      </c>
      <c r="J156" s="637" t="s">
        <v>1872</v>
      </c>
      <c r="K156" s="633"/>
      <c r="L156" s="633"/>
      <c r="M156" s="633"/>
      <c r="N156" s="175" t="b">
        <f>AND(I144&gt;I156)</f>
        <v>0</v>
      </c>
      <c r="O156" s="637" t="s">
        <v>1877</v>
      </c>
      <c r="P156" s="175"/>
      <c r="R156" s="175"/>
      <c r="S156" s="175"/>
      <c r="T156" s="175"/>
      <c r="U156" s="175"/>
      <c r="V156" s="175"/>
      <c r="W156" s="175"/>
      <c r="X156" s="634"/>
      <c r="Y156" s="634"/>
      <c r="Z156" s="175"/>
      <c r="AA156" s="175"/>
      <c r="AB156" s="175"/>
      <c r="AC156" s="175"/>
      <c r="AD156" s="175"/>
      <c r="AE156" s="175"/>
      <c r="AF156" s="175"/>
      <c r="AG156" s="175"/>
      <c r="AH156" s="175"/>
      <c r="AI156" s="175"/>
      <c r="AJ156" s="175"/>
      <c r="AK156" s="175"/>
      <c r="AL156" s="175"/>
      <c r="AM156" s="175"/>
      <c r="AN156" s="175"/>
      <c r="AO156" s="175"/>
      <c r="AP156" s="175"/>
      <c r="AQ156" s="175"/>
      <c r="AR156" s="175"/>
      <c r="AS156" s="175"/>
      <c r="AT156" s="175"/>
      <c r="AU156" s="175"/>
      <c r="AV156" s="175"/>
      <c r="AW156" s="175"/>
      <c r="AX156" s="175"/>
      <c r="AY156" s="175"/>
      <c r="AZ156" s="175"/>
      <c r="BA156" s="175"/>
      <c r="BB156" s="633"/>
      <c r="BC156" s="175"/>
      <c r="BD156" s="175"/>
      <c r="BE156" s="175"/>
      <c r="BF156" s="175"/>
      <c r="BG156" s="175"/>
      <c r="BH156" s="175"/>
      <c r="BI156" s="175"/>
      <c r="BJ156" s="175"/>
      <c r="BK156" s="175"/>
      <c r="BL156" s="175"/>
      <c r="BM156" s="175"/>
      <c r="BN156" s="175"/>
      <c r="BO156" s="175"/>
      <c r="BP156" s="635"/>
      <c r="BY156" s="140"/>
      <c r="BZ156" s="140"/>
      <c r="CA156" s="140"/>
      <c r="CB156" s="140"/>
    </row>
    <row r="157" spans="1:80" ht="13" hidden="1" x14ac:dyDescent="0.3">
      <c r="A157" s="631"/>
      <c r="B157" s="631"/>
      <c r="C157" s="632"/>
      <c r="D157" s="175"/>
      <c r="E157" s="175"/>
      <c r="F157" s="175"/>
      <c r="G157" s="175"/>
      <c r="H157" s="175" t="s">
        <v>1853</v>
      </c>
      <c r="I157" s="654">
        <f>SUM(AE30:AE69)</f>
        <v>0</v>
      </c>
      <c r="J157" s="637" t="s">
        <v>1874</v>
      </c>
      <c r="K157" s="633"/>
      <c r="L157" s="633"/>
      <c r="M157" s="633"/>
      <c r="N157" s="175"/>
      <c r="O157" s="175"/>
      <c r="P157" s="175"/>
      <c r="R157" s="175"/>
      <c r="S157" s="175"/>
      <c r="T157" s="175"/>
      <c r="U157" s="175"/>
      <c r="V157" s="175"/>
      <c r="W157" s="175"/>
      <c r="X157" s="634"/>
      <c r="Y157" s="634"/>
      <c r="Z157" s="175"/>
      <c r="AA157" s="175"/>
      <c r="AB157" s="175"/>
      <c r="AC157" s="175"/>
      <c r="AD157" s="175"/>
      <c r="AE157" s="175"/>
      <c r="AF157" s="175"/>
      <c r="AG157" s="175"/>
      <c r="AH157" s="175"/>
      <c r="AI157" s="175"/>
      <c r="AJ157" s="175"/>
      <c r="AK157" s="175"/>
      <c r="AL157" s="175"/>
      <c r="AM157" s="175"/>
      <c r="AN157" s="175"/>
      <c r="AO157" s="175"/>
      <c r="AP157" s="175"/>
      <c r="AQ157" s="175"/>
      <c r="AR157" s="175"/>
      <c r="AS157" s="175"/>
      <c r="AT157" s="175"/>
      <c r="AU157" s="175"/>
      <c r="AV157" s="175"/>
      <c r="AW157" s="175"/>
      <c r="AX157" s="175"/>
      <c r="AY157" s="175"/>
      <c r="AZ157" s="175"/>
      <c r="BA157" s="175"/>
      <c r="BB157" s="633"/>
      <c r="BC157" s="175"/>
      <c r="BD157" s="175"/>
      <c r="BE157" s="175"/>
      <c r="BF157" s="175"/>
      <c r="BG157" s="175"/>
      <c r="BH157" s="175"/>
      <c r="BI157" s="175"/>
      <c r="BJ157" s="175"/>
      <c r="BK157" s="175"/>
      <c r="BL157" s="175"/>
      <c r="BM157" s="175"/>
      <c r="BN157" s="175"/>
      <c r="BO157" s="175"/>
      <c r="BP157" s="635"/>
      <c r="BY157" s="140"/>
      <c r="BZ157" s="140"/>
      <c r="CA157" s="140"/>
      <c r="CB157" s="140"/>
    </row>
    <row r="158" spans="1:80" hidden="1" x14ac:dyDescent="0.25">
      <c r="A158" s="631"/>
      <c r="B158" s="631"/>
      <c r="C158" s="632"/>
      <c r="D158" s="175"/>
      <c r="E158" s="175"/>
      <c r="F158" s="175"/>
      <c r="G158" s="175"/>
      <c r="H158" s="175"/>
      <c r="I158" s="654"/>
      <c r="J158" s="633"/>
      <c r="K158" s="633"/>
      <c r="L158" s="633"/>
      <c r="M158" s="633"/>
      <c r="N158" s="175"/>
      <c r="O158" s="175"/>
      <c r="P158" s="175"/>
      <c r="R158" s="175"/>
      <c r="S158" s="175"/>
      <c r="T158" s="175"/>
      <c r="U158" s="175"/>
      <c r="V158" s="175"/>
      <c r="W158" s="175"/>
      <c r="X158" s="634"/>
      <c r="Y158" s="634"/>
      <c r="Z158" s="175"/>
      <c r="AA158" s="175"/>
      <c r="AB158" s="175"/>
      <c r="AC158" s="175"/>
      <c r="AD158" s="175"/>
      <c r="AE158" s="175"/>
      <c r="AF158" s="175"/>
      <c r="AG158" s="175"/>
      <c r="AH158" s="175"/>
      <c r="AI158" s="175"/>
      <c r="AJ158" s="175"/>
      <c r="AK158" s="175"/>
      <c r="AL158" s="175"/>
      <c r="AM158" s="175"/>
      <c r="AN158" s="175"/>
      <c r="AO158" s="175"/>
      <c r="AP158" s="175"/>
      <c r="AQ158" s="175"/>
      <c r="AR158" s="175"/>
      <c r="AS158" s="175"/>
      <c r="AT158" s="175"/>
      <c r="AU158" s="175"/>
      <c r="AV158" s="175"/>
      <c r="AW158" s="175"/>
      <c r="AX158" s="175"/>
      <c r="AY158" s="175"/>
      <c r="AZ158" s="175"/>
      <c r="BA158" s="175"/>
      <c r="BB158" s="633"/>
      <c r="BC158" s="175"/>
      <c r="BD158" s="175"/>
      <c r="BE158" s="175"/>
      <c r="BF158" s="175"/>
      <c r="BG158" s="175"/>
      <c r="BH158" s="175"/>
      <c r="BI158" s="175"/>
      <c r="BJ158" s="175"/>
      <c r="BK158" s="175"/>
      <c r="BL158" s="175"/>
      <c r="BM158" s="175"/>
      <c r="BN158" s="175"/>
      <c r="BO158" s="175"/>
      <c r="BP158" s="635"/>
      <c r="BY158" s="140"/>
      <c r="BZ158" s="140"/>
      <c r="CA158" s="140"/>
      <c r="CB158" s="140"/>
    </row>
    <row r="159" spans="1:80" ht="13" hidden="1" x14ac:dyDescent="0.3">
      <c r="A159" s="631"/>
      <c r="B159" s="631"/>
      <c r="C159" s="632"/>
      <c r="D159" s="175"/>
      <c r="E159" s="175"/>
      <c r="F159" s="175"/>
      <c r="G159" s="175"/>
      <c r="H159" s="1225" t="s">
        <v>1878</v>
      </c>
      <c r="I159" s="654"/>
      <c r="J159" s="633"/>
      <c r="K159" s="633"/>
      <c r="L159" s="633"/>
      <c r="M159" s="633"/>
      <c r="N159" s="1225" t="s">
        <v>1879</v>
      </c>
      <c r="O159" s="175"/>
      <c r="P159" s="175"/>
      <c r="R159" s="175"/>
      <c r="S159" s="175"/>
      <c r="T159" s="175"/>
      <c r="U159" s="175"/>
      <c r="V159" s="175"/>
      <c r="W159" s="175"/>
      <c r="X159" s="634"/>
      <c r="Y159" s="634"/>
      <c r="Z159" s="175"/>
      <c r="AA159" s="175"/>
      <c r="AB159" s="175"/>
      <c r="AC159" s="175"/>
      <c r="AD159" s="175"/>
      <c r="AE159" s="175"/>
      <c r="AF159" s="175"/>
      <c r="AG159" s="175"/>
      <c r="AH159" s="175"/>
      <c r="AI159" s="175"/>
      <c r="AJ159" s="175"/>
      <c r="AK159" s="175"/>
      <c r="AL159" s="175"/>
      <c r="AM159" s="175"/>
      <c r="AN159" s="175"/>
      <c r="AO159" s="175"/>
      <c r="AP159" s="175"/>
      <c r="AQ159" s="175"/>
      <c r="AR159" s="175"/>
      <c r="AS159" s="175"/>
      <c r="AT159" s="175"/>
      <c r="AU159" s="175"/>
      <c r="AV159" s="175"/>
      <c r="AW159" s="175"/>
      <c r="AX159" s="175"/>
      <c r="AY159" s="175"/>
      <c r="AZ159" s="175"/>
      <c r="BA159" s="175"/>
      <c r="BB159" s="633"/>
      <c r="BC159" s="175"/>
      <c r="BD159" s="175"/>
      <c r="BE159" s="175"/>
      <c r="BF159" s="175"/>
      <c r="BG159" s="175"/>
      <c r="BH159" s="175"/>
      <c r="BI159" s="175"/>
      <c r="BJ159" s="175"/>
      <c r="BK159" s="175"/>
      <c r="BL159" s="175"/>
      <c r="BM159" s="175"/>
      <c r="BN159" s="175"/>
      <c r="BO159" s="175"/>
      <c r="BP159" s="635"/>
      <c r="BY159" s="140"/>
      <c r="BZ159" s="140"/>
      <c r="CA159" s="140"/>
      <c r="CB159" s="140"/>
    </row>
    <row r="160" spans="1:80" ht="13" hidden="1" x14ac:dyDescent="0.3">
      <c r="A160" s="631"/>
      <c r="B160" s="631"/>
      <c r="C160" s="632"/>
      <c r="D160" s="175"/>
      <c r="E160" s="175"/>
      <c r="F160" s="175"/>
      <c r="G160" s="175"/>
      <c r="H160" s="175" t="s">
        <v>1779</v>
      </c>
      <c r="I160" s="654" t="str">
        <f>O108</f>
        <v/>
      </c>
      <c r="J160" s="637" t="s">
        <v>1872</v>
      </c>
      <c r="K160" s="633"/>
      <c r="L160" s="633"/>
      <c r="M160" s="633"/>
      <c r="N160" s="175" t="b">
        <f>AND(I148&gt;I160)</f>
        <v>0</v>
      </c>
      <c r="O160" s="637" t="s">
        <v>1880</v>
      </c>
      <c r="P160" s="175"/>
      <c r="R160" s="175"/>
      <c r="S160" s="175"/>
      <c r="T160" s="175"/>
      <c r="U160" s="175"/>
      <c r="V160" s="175"/>
      <c r="W160" s="175"/>
      <c r="X160" s="634"/>
      <c r="Y160" s="634"/>
      <c r="Z160" s="175"/>
      <c r="AA160" s="175"/>
      <c r="AB160" s="175"/>
      <c r="AC160" s="175"/>
      <c r="AD160" s="175"/>
      <c r="AE160" s="175"/>
      <c r="AF160" s="175"/>
      <c r="AG160" s="175"/>
      <c r="AH160" s="175"/>
      <c r="AI160" s="175"/>
      <c r="AJ160" s="175"/>
      <c r="AK160" s="175"/>
      <c r="AL160" s="175"/>
      <c r="AM160" s="175"/>
      <c r="AN160" s="175"/>
      <c r="AO160" s="175"/>
      <c r="AP160" s="175"/>
      <c r="AQ160" s="175"/>
      <c r="AR160" s="175"/>
      <c r="AS160" s="175"/>
      <c r="AT160" s="175"/>
      <c r="AU160" s="175"/>
      <c r="AV160" s="175"/>
      <c r="AW160" s="175"/>
      <c r="AX160" s="175"/>
      <c r="AY160" s="175"/>
      <c r="AZ160" s="175"/>
      <c r="BA160" s="175"/>
      <c r="BB160" s="633"/>
      <c r="BC160" s="175"/>
      <c r="BD160" s="175"/>
      <c r="BE160" s="175"/>
      <c r="BF160" s="175"/>
      <c r="BG160" s="175"/>
      <c r="BH160" s="175"/>
      <c r="BI160" s="175"/>
      <c r="BJ160" s="175"/>
      <c r="BK160" s="175"/>
      <c r="BL160" s="175"/>
      <c r="BM160" s="175"/>
      <c r="BN160" s="175"/>
      <c r="BO160" s="175"/>
      <c r="BP160" s="635"/>
      <c r="BY160" s="140"/>
      <c r="BZ160" s="140"/>
      <c r="CA160" s="140"/>
      <c r="CB160" s="140"/>
    </row>
    <row r="161" spans="1:104" ht="13" hidden="1" x14ac:dyDescent="0.3">
      <c r="A161" s="631"/>
      <c r="B161" s="631"/>
      <c r="C161" s="632"/>
      <c r="D161" s="175"/>
      <c r="E161" s="175"/>
      <c r="F161" s="175"/>
      <c r="G161" s="175"/>
      <c r="H161" s="175" t="s">
        <v>1853</v>
      </c>
      <c r="I161" s="654">
        <f>SUM(AJ30:AJ69)</f>
        <v>0</v>
      </c>
      <c r="J161" s="637" t="s">
        <v>1874</v>
      </c>
      <c r="K161" s="633"/>
      <c r="L161" s="633"/>
      <c r="M161" s="633"/>
      <c r="N161" s="175"/>
      <c r="O161" s="175"/>
      <c r="P161" s="175"/>
      <c r="R161" s="175"/>
      <c r="S161" s="175"/>
      <c r="T161" s="175"/>
      <c r="U161" s="175"/>
      <c r="V161" s="175"/>
      <c r="W161" s="175"/>
      <c r="X161" s="634"/>
      <c r="Y161" s="634"/>
      <c r="Z161" s="175"/>
      <c r="AA161" s="175"/>
      <c r="AB161" s="175"/>
      <c r="AC161" s="175"/>
      <c r="AD161" s="175"/>
      <c r="AE161" s="175"/>
      <c r="AF161" s="175"/>
      <c r="AG161" s="175"/>
      <c r="AH161" s="175"/>
      <c r="AI161" s="175"/>
      <c r="AJ161" s="175"/>
      <c r="AK161" s="175"/>
      <c r="AL161" s="175"/>
      <c r="AM161" s="175"/>
      <c r="AN161" s="175"/>
      <c r="AO161" s="175"/>
      <c r="AP161" s="175"/>
      <c r="AQ161" s="175"/>
      <c r="AR161" s="175"/>
      <c r="AS161" s="175"/>
      <c r="AT161" s="175"/>
      <c r="AU161" s="175"/>
      <c r="AV161" s="175"/>
      <c r="AW161" s="175"/>
      <c r="AX161" s="175"/>
      <c r="AY161" s="175"/>
      <c r="AZ161" s="175"/>
      <c r="BA161" s="175"/>
      <c r="BB161" s="633"/>
      <c r="BC161" s="175"/>
      <c r="BD161" s="175"/>
      <c r="BE161" s="175"/>
      <c r="BF161" s="175"/>
      <c r="BG161" s="175"/>
      <c r="BH161" s="175"/>
      <c r="BI161" s="175"/>
      <c r="BJ161" s="175"/>
      <c r="BK161" s="175"/>
      <c r="BL161" s="175"/>
      <c r="BM161" s="175"/>
      <c r="BN161" s="175"/>
      <c r="BO161" s="175"/>
      <c r="BP161" s="635"/>
      <c r="BY161" s="140"/>
      <c r="BZ161" s="140"/>
      <c r="CA161" s="140"/>
      <c r="CB161" s="140"/>
    </row>
    <row r="162" spans="1:104" hidden="1" x14ac:dyDescent="0.25">
      <c r="A162" s="631"/>
      <c r="B162" s="631"/>
      <c r="C162" s="632"/>
      <c r="D162" s="175"/>
      <c r="E162" s="175"/>
      <c r="F162" s="175"/>
      <c r="G162" s="175"/>
      <c r="H162" s="175"/>
      <c r="I162" s="680"/>
      <c r="J162" s="633"/>
      <c r="K162" s="633"/>
      <c r="L162" s="633"/>
      <c r="M162" s="633"/>
      <c r="N162" s="175"/>
      <c r="O162" s="175"/>
      <c r="P162" s="175"/>
      <c r="R162" s="175"/>
      <c r="S162" s="175"/>
      <c r="T162" s="175"/>
      <c r="U162" s="175"/>
      <c r="V162" s="175"/>
      <c r="W162" s="175"/>
      <c r="X162" s="634"/>
      <c r="Y162" s="634"/>
      <c r="Z162" s="175"/>
      <c r="AA162" s="175"/>
      <c r="AB162" s="175"/>
      <c r="AC162" s="175"/>
      <c r="AD162" s="175"/>
      <c r="AE162" s="175"/>
      <c r="AF162" s="175"/>
      <c r="AG162" s="175"/>
      <c r="AH162" s="175"/>
      <c r="AI162" s="175"/>
      <c r="AJ162" s="175"/>
      <c r="AK162" s="175"/>
      <c r="AL162" s="175"/>
      <c r="AM162" s="175"/>
      <c r="AN162" s="175"/>
      <c r="AO162" s="175"/>
      <c r="AP162" s="175"/>
      <c r="AQ162" s="175"/>
      <c r="AR162" s="175"/>
      <c r="AS162" s="175"/>
      <c r="AT162" s="175"/>
      <c r="AU162" s="175"/>
      <c r="AV162" s="175"/>
      <c r="AW162" s="175"/>
      <c r="AX162" s="175"/>
      <c r="AY162" s="175"/>
      <c r="AZ162" s="175"/>
      <c r="BA162" s="175"/>
      <c r="BB162" s="633"/>
      <c r="BC162" s="175"/>
      <c r="BD162" s="175"/>
      <c r="BE162" s="175"/>
      <c r="BF162" s="175"/>
      <c r="BG162" s="175"/>
      <c r="BH162" s="175"/>
      <c r="BI162" s="175"/>
      <c r="BJ162" s="175"/>
      <c r="BK162" s="175"/>
      <c r="BL162" s="175"/>
      <c r="BM162" s="175"/>
      <c r="BN162" s="175"/>
      <c r="BO162" s="175"/>
      <c r="BP162" s="635"/>
      <c r="BY162" s="140"/>
      <c r="BZ162" s="140"/>
      <c r="CA162" s="140"/>
      <c r="CB162" s="140"/>
    </row>
    <row r="163" spans="1:104" hidden="1" x14ac:dyDescent="0.25">
      <c r="A163" s="631"/>
      <c r="B163" s="631"/>
      <c r="C163" s="632"/>
      <c r="D163" s="175"/>
      <c r="E163" s="175"/>
      <c r="F163" s="175"/>
      <c r="G163" s="175"/>
      <c r="H163" s="175"/>
      <c r="I163" s="680"/>
      <c r="J163" s="633"/>
      <c r="K163" s="633"/>
      <c r="L163" s="633"/>
      <c r="M163" s="633"/>
      <c r="N163" s="175"/>
      <c r="O163" s="175"/>
      <c r="P163" s="175"/>
      <c r="R163" s="175"/>
      <c r="S163" s="175"/>
      <c r="T163" s="175"/>
      <c r="U163" s="175"/>
      <c r="V163" s="175"/>
      <c r="W163" s="175"/>
      <c r="X163" s="634"/>
      <c r="Y163" s="634"/>
      <c r="Z163" s="175"/>
      <c r="AA163" s="175"/>
      <c r="AB163" s="175"/>
      <c r="AC163" s="175"/>
      <c r="AD163" s="175"/>
      <c r="AE163" s="175"/>
      <c r="AF163" s="175"/>
      <c r="AG163" s="175"/>
      <c r="AH163" s="175"/>
      <c r="AI163" s="175"/>
      <c r="AJ163" s="175"/>
      <c r="AK163" s="175"/>
      <c r="AL163" s="175"/>
      <c r="AM163" s="175"/>
      <c r="AN163" s="175"/>
      <c r="AO163" s="175"/>
      <c r="AP163" s="175"/>
      <c r="AQ163" s="175"/>
      <c r="AR163" s="175"/>
      <c r="AS163" s="175"/>
      <c r="AT163" s="175"/>
      <c r="AU163" s="175"/>
      <c r="AV163" s="175"/>
      <c r="AW163" s="175"/>
      <c r="AX163" s="175"/>
      <c r="AY163" s="175"/>
      <c r="AZ163" s="175"/>
      <c r="BA163" s="175"/>
      <c r="BB163" s="633"/>
      <c r="BC163" s="175"/>
      <c r="BD163" s="175"/>
      <c r="BE163" s="175"/>
      <c r="BF163" s="175"/>
      <c r="BG163" s="175"/>
      <c r="BH163" s="175"/>
      <c r="BI163" s="175"/>
      <c r="BJ163" s="175"/>
      <c r="BK163" s="175"/>
      <c r="BL163" s="175"/>
      <c r="BM163" s="175"/>
      <c r="BN163" s="175"/>
      <c r="BO163" s="175"/>
      <c r="BP163" s="635"/>
      <c r="BY163" s="140"/>
      <c r="BZ163" s="140"/>
      <c r="CA163" s="140"/>
      <c r="CB163" s="140"/>
    </row>
    <row r="164" spans="1:104" hidden="1" x14ac:dyDescent="0.25">
      <c r="A164" s="631"/>
      <c r="B164" s="631"/>
      <c r="C164" s="632"/>
      <c r="D164" s="175"/>
      <c r="E164" s="175"/>
      <c r="F164" s="175"/>
      <c r="G164" s="175"/>
      <c r="H164" s="175"/>
      <c r="I164" s="681"/>
      <c r="J164" s="633"/>
      <c r="K164" s="633"/>
      <c r="L164" s="633"/>
      <c r="M164" s="633"/>
      <c r="N164" s="175"/>
      <c r="O164" s="175"/>
      <c r="P164" s="175"/>
      <c r="R164" s="175"/>
      <c r="S164" s="175"/>
      <c r="T164" s="175"/>
      <c r="U164" s="175"/>
      <c r="V164" s="175"/>
      <c r="W164" s="175"/>
      <c r="X164" s="634"/>
      <c r="Y164" s="634"/>
      <c r="Z164" s="175"/>
      <c r="AA164" s="175"/>
      <c r="AB164" s="175"/>
      <c r="AC164" s="175"/>
      <c r="AD164" s="175"/>
      <c r="AE164" s="175"/>
      <c r="AF164" s="175"/>
      <c r="AG164" s="175"/>
      <c r="AH164" s="175"/>
      <c r="AI164" s="175"/>
      <c r="AJ164" s="175"/>
      <c r="AK164" s="175"/>
      <c r="AL164" s="175"/>
      <c r="AM164" s="175"/>
      <c r="AN164" s="175"/>
      <c r="AO164" s="175"/>
      <c r="AP164" s="175"/>
      <c r="AQ164" s="175"/>
      <c r="AR164" s="175"/>
      <c r="AS164" s="175"/>
      <c r="AT164" s="175"/>
      <c r="AU164" s="175"/>
      <c r="AV164" s="175"/>
      <c r="AW164" s="175"/>
      <c r="AX164" s="175"/>
      <c r="AY164" s="175"/>
      <c r="AZ164" s="175"/>
      <c r="BA164" s="175"/>
      <c r="BB164" s="633"/>
      <c r="BC164" s="175"/>
      <c r="BD164" s="175"/>
      <c r="BE164" s="175"/>
      <c r="BF164" s="175"/>
      <c r="BG164" s="175"/>
      <c r="BH164" s="175"/>
      <c r="BI164" s="175"/>
      <c r="BJ164" s="175"/>
      <c r="BK164" s="175"/>
      <c r="BL164" s="175"/>
      <c r="BM164" s="175"/>
      <c r="BN164" s="175"/>
      <c r="BO164" s="175"/>
      <c r="BP164" s="635"/>
      <c r="BY164" s="140"/>
      <c r="BZ164" s="140"/>
      <c r="CA164" s="140"/>
      <c r="CB164" s="140"/>
    </row>
    <row r="165" spans="1:104" hidden="1" x14ac:dyDescent="0.25">
      <c r="A165" s="631"/>
      <c r="B165" s="631"/>
      <c r="C165" s="632"/>
      <c r="D165" s="175"/>
      <c r="E165" s="175"/>
      <c r="F165" s="175"/>
      <c r="G165" s="175"/>
      <c r="H165" s="175"/>
      <c r="I165" s="681"/>
      <c r="J165" s="633"/>
      <c r="K165" s="633"/>
      <c r="L165" s="633"/>
      <c r="M165" s="633"/>
      <c r="N165" s="175"/>
      <c r="O165" s="175"/>
      <c r="P165" s="175"/>
      <c r="R165" s="175"/>
      <c r="S165" s="175"/>
      <c r="T165" s="175"/>
      <c r="U165" s="175"/>
      <c r="V165" s="175"/>
      <c r="W165" s="175"/>
      <c r="X165" s="634"/>
      <c r="Y165" s="634"/>
      <c r="Z165" s="175"/>
      <c r="AA165" s="175"/>
      <c r="AB165" s="175"/>
      <c r="AC165" s="175"/>
      <c r="AD165" s="175"/>
      <c r="AE165" s="175"/>
      <c r="AF165" s="175"/>
      <c r="AG165" s="175"/>
      <c r="AH165" s="175"/>
      <c r="AI165" s="175"/>
      <c r="AJ165" s="175"/>
      <c r="AK165" s="175"/>
      <c r="AL165" s="175"/>
      <c r="AM165" s="175"/>
      <c r="AN165" s="175"/>
      <c r="AO165" s="175"/>
      <c r="AP165" s="175"/>
      <c r="AQ165" s="175"/>
      <c r="AR165" s="175"/>
      <c r="AS165" s="175"/>
      <c r="AT165" s="175"/>
      <c r="AU165" s="175"/>
      <c r="AV165" s="175"/>
      <c r="AW165" s="175"/>
      <c r="AX165" s="175"/>
      <c r="AY165" s="175"/>
      <c r="AZ165" s="175"/>
      <c r="BA165" s="175"/>
      <c r="BB165" s="633"/>
      <c r="BC165" s="175"/>
      <c r="BD165" s="175"/>
      <c r="BE165" s="175"/>
      <c r="BF165" s="175"/>
      <c r="BG165" s="175"/>
      <c r="BH165" s="175"/>
      <c r="BI165" s="175"/>
      <c r="BJ165" s="175"/>
      <c r="BK165" s="175"/>
      <c r="BL165" s="175"/>
      <c r="BM165" s="175"/>
      <c r="BN165" s="175"/>
      <c r="BO165" s="175"/>
      <c r="BP165" s="635"/>
      <c r="BY165" s="140"/>
      <c r="BZ165" s="140"/>
      <c r="CA165" s="140"/>
      <c r="CB165" s="140"/>
    </row>
    <row r="166" spans="1:104" x14ac:dyDescent="0.25">
      <c r="B166" s="140"/>
      <c r="C166" s="140"/>
      <c r="D166" s="140"/>
      <c r="E166" s="140"/>
      <c r="F166" s="140"/>
      <c r="G166" s="140"/>
      <c r="H166" s="140"/>
      <c r="I166" s="140"/>
      <c r="J166" s="140"/>
      <c r="K166" s="140"/>
      <c r="L166" s="140"/>
      <c r="M166" s="140"/>
      <c r="N166" s="140"/>
      <c r="O166" s="140"/>
      <c r="P166" s="140"/>
      <c r="Q166" s="140"/>
      <c r="BY166" s="140"/>
      <c r="BZ166" s="140"/>
      <c r="CA166" s="140"/>
      <c r="CB166" s="140"/>
      <c r="CC166" s="140"/>
      <c r="CD166" s="140"/>
      <c r="CE166" s="140"/>
      <c r="CF166" s="140"/>
      <c r="CG166" s="140"/>
      <c r="CH166" s="140"/>
      <c r="CI166" s="140"/>
      <c r="CJ166" s="140"/>
      <c r="CK166" s="140"/>
      <c r="CL166" s="140"/>
      <c r="CM166" s="140"/>
      <c r="CN166" s="140"/>
      <c r="CO166" s="140"/>
      <c r="CP166" s="140"/>
      <c r="CQ166" s="140"/>
      <c r="CR166" s="140"/>
      <c r="CS166" s="140"/>
      <c r="CT166" s="140"/>
      <c r="CU166" s="140"/>
      <c r="CV166" s="140"/>
      <c r="CW166" s="140"/>
      <c r="CX166" s="140"/>
      <c r="CY166" s="140"/>
      <c r="CZ166" s="140"/>
    </row>
    <row r="167" spans="1:104" x14ac:dyDescent="0.25">
      <c r="A167" s="175"/>
      <c r="B167" s="140"/>
      <c r="C167" s="574"/>
      <c r="D167" s="140"/>
      <c r="E167" s="140"/>
      <c r="F167" s="140"/>
      <c r="G167" s="140"/>
      <c r="H167" s="140"/>
      <c r="I167" s="140"/>
      <c r="J167" s="575"/>
      <c r="K167" s="575"/>
      <c r="L167" s="575"/>
      <c r="M167" s="575"/>
      <c r="N167" s="140"/>
      <c r="O167" s="140"/>
      <c r="P167" s="140"/>
      <c r="Q167" s="140"/>
      <c r="R167" s="175"/>
      <c r="S167" s="175"/>
      <c r="T167" s="175"/>
      <c r="U167" s="175"/>
      <c r="V167" s="175"/>
      <c r="W167" s="175"/>
      <c r="X167" s="634"/>
      <c r="Y167" s="634"/>
      <c r="Z167" s="175"/>
      <c r="AA167" s="175"/>
      <c r="AB167" s="175"/>
      <c r="AC167" s="175"/>
      <c r="AD167" s="175"/>
      <c r="AE167" s="175"/>
      <c r="AF167" s="175"/>
      <c r="AG167" s="175"/>
      <c r="AH167" s="175"/>
      <c r="AI167" s="175"/>
      <c r="AJ167" s="175"/>
      <c r="AK167" s="175"/>
      <c r="AL167" s="175"/>
      <c r="AM167" s="175"/>
      <c r="AN167" s="175"/>
      <c r="AO167" s="175"/>
      <c r="AP167" s="175"/>
      <c r="AQ167" s="175"/>
      <c r="AR167" s="175"/>
      <c r="AS167" s="175"/>
      <c r="AT167" s="175"/>
      <c r="AU167" s="175"/>
      <c r="AV167" s="175"/>
      <c r="AW167" s="175"/>
      <c r="AX167" s="175"/>
      <c r="AY167" s="175"/>
      <c r="AZ167" s="175"/>
      <c r="BA167" s="175"/>
      <c r="BB167" s="633"/>
      <c r="BC167" s="175"/>
      <c r="BD167" s="175"/>
      <c r="BE167" s="175"/>
      <c r="BF167" s="175"/>
      <c r="BG167" s="175"/>
      <c r="BH167" s="175"/>
      <c r="BI167" s="175"/>
      <c r="BJ167" s="175"/>
      <c r="BK167" s="175"/>
      <c r="BL167" s="175"/>
      <c r="BM167" s="175"/>
      <c r="BN167" s="175"/>
      <c r="BO167" s="175"/>
      <c r="BP167" s="635"/>
      <c r="BQ167" s="175"/>
      <c r="BR167" s="175"/>
      <c r="BS167" s="175"/>
      <c r="BT167" s="175"/>
      <c r="BU167" s="175"/>
      <c r="BV167" s="175"/>
      <c r="BW167" s="175"/>
      <c r="BX167" s="140"/>
      <c r="BY167" s="140"/>
      <c r="BZ167" s="140"/>
      <c r="CA167" s="140"/>
      <c r="CB167" s="140"/>
      <c r="CC167" s="140"/>
      <c r="CD167" s="140"/>
      <c r="CE167" s="140"/>
      <c r="CF167" s="140"/>
      <c r="CG167" s="140"/>
      <c r="CH167" s="140"/>
      <c r="CI167" s="140"/>
      <c r="CJ167" s="140"/>
      <c r="CK167" s="140"/>
      <c r="CL167" s="140"/>
      <c r="CM167" s="140"/>
      <c r="CN167" s="140"/>
      <c r="CO167" s="140"/>
      <c r="CP167" s="140"/>
      <c r="CQ167" s="140"/>
      <c r="CR167" s="140"/>
      <c r="CS167" s="140"/>
      <c r="CT167" s="140"/>
      <c r="CU167" s="140"/>
      <c r="CV167" s="140"/>
      <c r="CW167" s="140"/>
      <c r="CX167" s="140"/>
      <c r="CY167" s="140"/>
      <c r="CZ167" s="140"/>
    </row>
    <row r="168" spans="1:104" x14ac:dyDescent="0.25">
      <c r="A168" s="175"/>
      <c r="B168" s="140"/>
      <c r="C168" s="574"/>
      <c r="D168" s="140"/>
      <c r="E168" s="140"/>
      <c r="F168" s="140"/>
      <c r="G168" s="140"/>
      <c r="H168" s="140"/>
      <c r="I168" s="140"/>
      <c r="J168" s="575"/>
      <c r="K168" s="575"/>
      <c r="L168" s="575"/>
      <c r="M168" s="575"/>
      <c r="N168" s="140"/>
      <c r="O168" s="140"/>
      <c r="P168" s="140"/>
      <c r="Q168" s="140"/>
      <c r="R168" s="175"/>
      <c r="S168" s="175"/>
      <c r="T168" s="175"/>
      <c r="U168" s="175"/>
      <c r="V168" s="175"/>
      <c r="W168" s="175"/>
      <c r="X168" s="634"/>
      <c r="Y168" s="634"/>
      <c r="Z168" s="175"/>
      <c r="AA168" s="175"/>
      <c r="AB168" s="175"/>
      <c r="AC168" s="175"/>
      <c r="AD168" s="175"/>
      <c r="AE168" s="175"/>
      <c r="AF168" s="175"/>
      <c r="AG168" s="175"/>
      <c r="AH168" s="175"/>
      <c r="AI168" s="175"/>
      <c r="AJ168" s="175"/>
      <c r="AK168" s="175"/>
      <c r="AL168" s="175"/>
      <c r="AM168" s="175"/>
      <c r="AN168" s="175"/>
      <c r="AO168" s="175"/>
      <c r="AP168" s="175"/>
      <c r="AQ168" s="175"/>
      <c r="AR168" s="175"/>
      <c r="AS168" s="175"/>
      <c r="AT168" s="175"/>
      <c r="AU168" s="175"/>
      <c r="AV168" s="175"/>
      <c r="AW168" s="175"/>
      <c r="AX168" s="175"/>
      <c r="AY168" s="175"/>
      <c r="AZ168" s="175"/>
      <c r="BA168" s="175"/>
      <c r="BB168" s="633"/>
      <c r="BC168" s="175"/>
      <c r="BD168" s="175"/>
      <c r="BE168" s="175"/>
      <c r="BF168" s="175"/>
      <c r="BG168" s="175"/>
      <c r="BH168" s="175"/>
      <c r="BI168" s="175"/>
      <c r="BJ168" s="175"/>
      <c r="BK168" s="175"/>
      <c r="BL168" s="175"/>
      <c r="BM168" s="175"/>
      <c r="BN168" s="175"/>
      <c r="BO168" s="175"/>
      <c r="BP168" s="635"/>
      <c r="BQ168" s="175"/>
      <c r="BR168" s="175"/>
      <c r="BS168" s="175"/>
      <c r="BT168" s="175"/>
      <c r="BU168" s="175"/>
      <c r="BV168" s="175"/>
      <c r="BW168" s="175"/>
      <c r="BX168" s="140"/>
      <c r="BY168" s="140"/>
      <c r="BZ168" s="140"/>
      <c r="CA168" s="140"/>
      <c r="CB168" s="140"/>
      <c r="CC168" s="140"/>
      <c r="CD168" s="140"/>
      <c r="CE168" s="140"/>
      <c r="CF168" s="140"/>
      <c r="CG168" s="140"/>
      <c r="CH168" s="140"/>
      <c r="CI168" s="140"/>
      <c r="CJ168" s="140"/>
      <c r="CK168" s="140"/>
      <c r="CL168" s="140"/>
      <c r="CM168" s="140"/>
      <c r="CN168" s="140"/>
      <c r="CO168" s="140"/>
      <c r="CP168" s="140"/>
      <c r="CQ168" s="140"/>
      <c r="CR168" s="140"/>
      <c r="CS168" s="140"/>
      <c r="CT168" s="140"/>
      <c r="CU168" s="140"/>
      <c r="CV168" s="140"/>
      <c r="CW168" s="140"/>
      <c r="CX168" s="140"/>
      <c r="CY168" s="140"/>
      <c r="CZ168" s="140"/>
    </row>
    <row r="169" spans="1:104" x14ac:dyDescent="0.25">
      <c r="A169" s="175"/>
      <c r="B169" s="140"/>
      <c r="C169" s="574"/>
      <c r="D169" s="140"/>
      <c r="E169" s="140"/>
      <c r="F169" s="140"/>
      <c r="G169" s="140"/>
      <c r="H169" s="140"/>
      <c r="I169" s="140"/>
      <c r="J169" s="575"/>
      <c r="K169" s="575"/>
      <c r="L169" s="575"/>
      <c r="M169" s="575"/>
      <c r="N169" s="140"/>
      <c r="O169" s="140"/>
      <c r="P169" s="140"/>
      <c r="Q169" s="140"/>
      <c r="R169" s="175"/>
      <c r="S169" s="175"/>
      <c r="T169" s="175"/>
      <c r="U169" s="175"/>
      <c r="V169" s="175"/>
      <c r="W169" s="175"/>
      <c r="X169" s="634"/>
      <c r="Y169" s="634"/>
      <c r="Z169" s="175"/>
      <c r="AA169" s="175"/>
      <c r="AB169" s="175"/>
      <c r="AC169" s="175"/>
      <c r="AD169" s="175"/>
      <c r="AE169" s="175"/>
      <c r="AF169" s="175"/>
      <c r="AG169" s="175"/>
      <c r="AH169" s="175"/>
      <c r="AI169" s="175"/>
      <c r="AJ169" s="175"/>
      <c r="AK169" s="175"/>
      <c r="AL169" s="175"/>
      <c r="AM169" s="175"/>
      <c r="AN169" s="175"/>
      <c r="AO169" s="175"/>
      <c r="AP169" s="175"/>
      <c r="AQ169" s="175"/>
      <c r="AR169" s="175"/>
      <c r="AS169" s="175"/>
      <c r="AT169" s="175"/>
      <c r="AU169" s="175"/>
      <c r="AV169" s="175"/>
      <c r="AW169" s="175"/>
      <c r="AX169" s="175"/>
      <c r="AY169" s="175"/>
      <c r="AZ169" s="175"/>
      <c r="BA169" s="175"/>
      <c r="BB169" s="633"/>
      <c r="BC169" s="175"/>
      <c r="BD169" s="175"/>
      <c r="BE169" s="175"/>
      <c r="BF169" s="175"/>
      <c r="BG169" s="175"/>
      <c r="BH169" s="175"/>
      <c r="BI169" s="175"/>
      <c r="BJ169" s="175"/>
      <c r="BK169" s="175"/>
      <c r="BL169" s="175"/>
      <c r="BM169" s="175"/>
      <c r="BN169" s="175"/>
      <c r="BO169" s="175"/>
      <c r="BP169" s="635"/>
      <c r="BQ169" s="175"/>
      <c r="BR169" s="175"/>
      <c r="BS169" s="175"/>
      <c r="BT169" s="175"/>
      <c r="BU169" s="175"/>
      <c r="BV169" s="175"/>
      <c r="BW169" s="175"/>
      <c r="BX169" s="140"/>
      <c r="BY169" s="140"/>
      <c r="BZ169" s="140"/>
      <c r="CA169" s="140"/>
      <c r="CB169" s="140"/>
      <c r="CC169" s="140"/>
      <c r="CD169" s="140"/>
      <c r="CE169" s="140"/>
      <c r="CF169" s="140"/>
      <c r="CG169" s="140"/>
      <c r="CH169" s="140"/>
      <c r="CI169" s="140"/>
      <c r="CJ169" s="140"/>
      <c r="CK169" s="140"/>
      <c r="CL169" s="140"/>
      <c r="CM169" s="140"/>
      <c r="CN169" s="140"/>
      <c r="CO169" s="140"/>
      <c r="CP169" s="140"/>
      <c r="CQ169" s="140"/>
      <c r="CR169" s="140"/>
      <c r="CS169" s="140"/>
      <c r="CT169" s="140"/>
      <c r="CU169" s="140"/>
      <c r="CV169" s="140"/>
      <c r="CW169" s="140"/>
      <c r="CX169" s="140"/>
      <c r="CY169" s="140"/>
      <c r="CZ169" s="140"/>
    </row>
    <row r="170" spans="1:104" x14ac:dyDescent="0.25">
      <c r="A170" s="175"/>
      <c r="B170" s="140"/>
      <c r="C170" s="574"/>
      <c r="D170" s="140"/>
      <c r="E170" s="140"/>
      <c r="F170" s="140"/>
      <c r="G170" s="140"/>
      <c r="H170" s="140"/>
      <c r="I170" s="140"/>
      <c r="J170" s="575"/>
      <c r="K170" s="575"/>
      <c r="L170" s="575"/>
      <c r="M170" s="575"/>
      <c r="N170" s="140"/>
      <c r="O170" s="140"/>
      <c r="P170" s="140"/>
      <c r="Q170" s="140"/>
      <c r="R170" s="175"/>
      <c r="S170" s="175"/>
      <c r="T170" s="175"/>
      <c r="U170" s="175"/>
      <c r="V170" s="175"/>
      <c r="W170" s="175"/>
      <c r="X170" s="634"/>
      <c r="Y170" s="634"/>
      <c r="Z170" s="175"/>
      <c r="AA170" s="175"/>
      <c r="AB170" s="175"/>
      <c r="AC170" s="175"/>
      <c r="AD170" s="175"/>
      <c r="AE170" s="175"/>
      <c r="AF170" s="175"/>
      <c r="AG170" s="175"/>
      <c r="AH170" s="175"/>
      <c r="AI170" s="175"/>
      <c r="AJ170" s="175"/>
      <c r="AK170" s="175"/>
      <c r="AL170" s="175"/>
      <c r="AM170" s="175"/>
      <c r="AN170" s="175"/>
      <c r="AO170" s="175"/>
      <c r="AP170" s="175"/>
      <c r="AQ170" s="175"/>
      <c r="AR170" s="175"/>
      <c r="AS170" s="175"/>
      <c r="AT170" s="175"/>
      <c r="AU170" s="175"/>
      <c r="AV170" s="175"/>
      <c r="AW170" s="175"/>
      <c r="AX170" s="175"/>
      <c r="AY170" s="175"/>
      <c r="AZ170" s="175"/>
      <c r="BA170" s="175"/>
      <c r="BB170" s="633"/>
      <c r="BC170" s="175"/>
      <c r="BD170" s="175"/>
      <c r="BE170" s="175"/>
      <c r="BF170" s="175"/>
      <c r="BG170" s="175"/>
      <c r="BH170" s="175"/>
      <c r="BI170" s="175"/>
      <c r="BJ170" s="175"/>
      <c r="BK170" s="175"/>
      <c r="BL170" s="175"/>
      <c r="BM170" s="175"/>
      <c r="BN170" s="175"/>
      <c r="BO170" s="175"/>
      <c r="BP170" s="635"/>
      <c r="BQ170" s="175"/>
      <c r="BR170" s="175"/>
      <c r="BS170" s="175"/>
      <c r="BT170" s="175"/>
      <c r="BU170" s="175"/>
      <c r="BV170" s="175"/>
      <c r="BW170" s="175"/>
      <c r="BX170" s="140"/>
      <c r="BY170" s="140"/>
      <c r="BZ170" s="140"/>
      <c r="CA170" s="140"/>
      <c r="CB170" s="140"/>
      <c r="CC170" s="140"/>
      <c r="CD170" s="140"/>
      <c r="CE170" s="140"/>
      <c r="CF170" s="140"/>
      <c r="CG170" s="140"/>
      <c r="CH170" s="140"/>
      <c r="CI170" s="140"/>
      <c r="CJ170" s="140"/>
      <c r="CK170" s="140"/>
      <c r="CL170" s="140"/>
      <c r="CM170" s="140"/>
      <c r="CN170" s="140"/>
      <c r="CO170" s="140"/>
      <c r="CP170" s="140"/>
      <c r="CQ170" s="140"/>
      <c r="CR170" s="140"/>
      <c r="CS170" s="140"/>
      <c r="CT170" s="140"/>
      <c r="CU170" s="140"/>
      <c r="CV170" s="140"/>
      <c r="CW170" s="140"/>
      <c r="CX170" s="140"/>
      <c r="CY170" s="140"/>
      <c r="CZ170" s="140"/>
    </row>
    <row r="171" spans="1:104" x14ac:dyDescent="0.25">
      <c r="A171" s="175"/>
      <c r="B171" s="140"/>
      <c r="C171" s="574"/>
      <c r="D171" s="140"/>
      <c r="E171" s="140"/>
      <c r="F171" s="140"/>
      <c r="G171" s="140"/>
      <c r="H171" s="140"/>
      <c r="I171" s="140"/>
      <c r="J171" s="575"/>
      <c r="K171" s="575"/>
      <c r="L171" s="575"/>
      <c r="M171" s="575"/>
      <c r="N171" s="140"/>
      <c r="O171" s="140"/>
      <c r="P171" s="140"/>
      <c r="Q171" s="140"/>
      <c r="R171" s="175"/>
      <c r="S171" s="175"/>
      <c r="T171" s="175"/>
      <c r="U171" s="175"/>
      <c r="V171" s="175"/>
      <c r="W171" s="175"/>
      <c r="X171" s="634"/>
      <c r="Y171" s="634"/>
      <c r="Z171" s="175"/>
      <c r="AA171" s="175"/>
      <c r="AB171" s="175"/>
      <c r="AC171" s="175"/>
      <c r="AD171" s="175"/>
      <c r="AE171" s="175"/>
      <c r="AF171" s="175"/>
      <c r="AG171" s="175"/>
      <c r="AH171" s="175"/>
      <c r="AI171" s="175"/>
      <c r="AJ171" s="175"/>
      <c r="AK171" s="175"/>
      <c r="AL171" s="175"/>
      <c r="AM171" s="175"/>
      <c r="AN171" s="175"/>
      <c r="AO171" s="175"/>
      <c r="AP171" s="175"/>
      <c r="AQ171" s="175"/>
      <c r="AR171" s="175"/>
      <c r="AS171" s="175"/>
      <c r="AT171" s="175"/>
      <c r="AU171" s="175"/>
      <c r="AV171" s="175"/>
      <c r="AW171" s="175"/>
      <c r="AX171" s="175"/>
      <c r="AY171" s="175"/>
      <c r="AZ171" s="175"/>
      <c r="BA171" s="175"/>
      <c r="BB171" s="633"/>
      <c r="BC171" s="175"/>
      <c r="BD171" s="175"/>
      <c r="BE171" s="175"/>
      <c r="BF171" s="175"/>
      <c r="BG171" s="175"/>
      <c r="BH171" s="175"/>
      <c r="BI171" s="175"/>
      <c r="BJ171" s="175"/>
      <c r="BK171" s="175"/>
      <c r="BL171" s="175"/>
      <c r="BM171" s="175"/>
      <c r="BN171" s="175"/>
      <c r="BO171" s="175"/>
      <c r="BP171" s="635"/>
      <c r="BQ171" s="175"/>
      <c r="BR171" s="175"/>
      <c r="BS171" s="175"/>
      <c r="BT171" s="175"/>
      <c r="BU171" s="175"/>
      <c r="BV171" s="175"/>
      <c r="BW171" s="175"/>
      <c r="BX171" s="140"/>
      <c r="BY171" s="140"/>
      <c r="BZ171" s="140"/>
      <c r="CA171" s="140"/>
      <c r="CB171" s="140"/>
      <c r="CC171" s="140"/>
      <c r="CD171" s="140"/>
      <c r="CE171" s="140"/>
      <c r="CF171" s="140"/>
      <c r="CG171" s="140"/>
      <c r="CH171" s="140"/>
      <c r="CI171" s="140"/>
      <c r="CJ171" s="140"/>
      <c r="CK171" s="140"/>
      <c r="CL171" s="140"/>
      <c r="CM171" s="140"/>
      <c r="CN171" s="140"/>
      <c r="CO171" s="140"/>
      <c r="CP171" s="140"/>
      <c r="CQ171" s="140"/>
      <c r="CR171" s="140"/>
      <c r="CS171" s="140"/>
      <c r="CT171" s="140"/>
      <c r="CU171" s="140"/>
      <c r="CV171" s="140"/>
      <c r="CW171" s="140"/>
      <c r="CX171" s="140"/>
      <c r="CY171" s="140"/>
      <c r="CZ171" s="140"/>
    </row>
    <row r="172" spans="1:104" x14ac:dyDescent="0.25">
      <c r="A172" s="175"/>
      <c r="B172" s="140"/>
      <c r="C172" s="574"/>
      <c r="D172" s="140"/>
      <c r="E172" s="140"/>
      <c r="F172" s="140"/>
      <c r="G172" s="140"/>
      <c r="H172" s="140"/>
      <c r="I172" s="140"/>
      <c r="J172" s="575"/>
      <c r="K172" s="575"/>
      <c r="L172" s="575"/>
      <c r="M172" s="575"/>
      <c r="N172" s="140"/>
      <c r="O172" s="140"/>
      <c r="P172" s="140"/>
      <c r="Q172" s="140"/>
      <c r="R172" s="175"/>
      <c r="S172" s="175"/>
      <c r="T172" s="175"/>
      <c r="U172" s="175"/>
      <c r="V172" s="175"/>
      <c r="W172" s="175"/>
      <c r="X172" s="634"/>
      <c r="Y172" s="634"/>
      <c r="Z172" s="175"/>
      <c r="AA172" s="175"/>
      <c r="AB172" s="175"/>
      <c r="AC172" s="175"/>
      <c r="AD172" s="175"/>
      <c r="AE172" s="175"/>
      <c r="AF172" s="175"/>
      <c r="AG172" s="175"/>
      <c r="AH172" s="175"/>
      <c r="AI172" s="175"/>
      <c r="AJ172" s="175"/>
      <c r="AK172" s="175"/>
      <c r="AL172" s="175"/>
      <c r="AM172" s="175"/>
      <c r="AN172" s="175"/>
      <c r="AO172" s="175"/>
      <c r="AP172" s="175"/>
      <c r="AQ172" s="175"/>
      <c r="AR172" s="175"/>
      <c r="AS172" s="175"/>
      <c r="AT172" s="175"/>
      <c r="AU172" s="175"/>
      <c r="AV172" s="175"/>
      <c r="AW172" s="175"/>
      <c r="AX172" s="175"/>
      <c r="AY172" s="175"/>
      <c r="AZ172" s="175"/>
      <c r="BA172" s="175"/>
      <c r="BB172" s="633"/>
      <c r="BC172" s="175"/>
      <c r="BD172" s="175"/>
      <c r="BE172" s="175"/>
      <c r="BF172" s="175"/>
      <c r="BG172" s="175"/>
      <c r="BH172" s="175"/>
      <c r="BI172" s="175"/>
      <c r="BJ172" s="175"/>
      <c r="BK172" s="175"/>
      <c r="BL172" s="175"/>
      <c r="BM172" s="175"/>
      <c r="BN172" s="175"/>
      <c r="BO172" s="175"/>
      <c r="BP172" s="635"/>
      <c r="BQ172" s="175"/>
      <c r="BR172" s="175"/>
      <c r="BS172" s="175"/>
      <c r="BT172" s="175"/>
      <c r="BU172" s="175"/>
      <c r="BV172" s="175"/>
      <c r="BW172" s="175"/>
      <c r="BX172" s="140"/>
      <c r="BY172" s="140"/>
      <c r="BZ172" s="140"/>
      <c r="CA172" s="140"/>
      <c r="CB172" s="140"/>
      <c r="CC172" s="140"/>
      <c r="CD172" s="140"/>
      <c r="CE172" s="140"/>
      <c r="CF172" s="140"/>
      <c r="CG172" s="140"/>
      <c r="CH172" s="140"/>
      <c r="CI172" s="140"/>
      <c r="CJ172" s="140"/>
      <c r="CK172" s="140"/>
      <c r="CL172" s="140"/>
      <c r="CM172" s="140"/>
      <c r="CN172" s="140"/>
      <c r="CO172" s="140"/>
      <c r="CP172" s="140"/>
      <c r="CQ172" s="140"/>
      <c r="CR172" s="140"/>
      <c r="CS172" s="140"/>
      <c r="CT172" s="140"/>
      <c r="CU172" s="140"/>
      <c r="CV172" s="140"/>
      <c r="CW172" s="140"/>
      <c r="CX172" s="140"/>
      <c r="CY172" s="140"/>
      <c r="CZ172" s="140"/>
    </row>
    <row r="173" spans="1:104" x14ac:dyDescent="0.25">
      <c r="A173" s="175"/>
      <c r="B173" s="140"/>
      <c r="C173" s="574"/>
      <c r="D173" s="140"/>
      <c r="E173" s="140"/>
      <c r="F173" s="140"/>
      <c r="G173" s="140"/>
      <c r="H173" s="140"/>
      <c r="I173" s="140"/>
      <c r="J173" s="575"/>
      <c r="K173" s="575"/>
      <c r="L173" s="575"/>
      <c r="M173" s="575"/>
      <c r="N173" s="140"/>
      <c r="O173" s="140"/>
      <c r="P173" s="140"/>
      <c r="Q173" s="140"/>
      <c r="R173" s="175"/>
      <c r="S173" s="175"/>
      <c r="T173" s="175"/>
      <c r="U173" s="175"/>
      <c r="V173" s="175"/>
      <c r="W173" s="175"/>
      <c r="X173" s="634"/>
      <c r="Y173" s="634"/>
      <c r="Z173" s="175"/>
      <c r="AA173" s="175"/>
      <c r="AB173" s="175"/>
      <c r="AC173" s="175"/>
      <c r="AD173" s="175"/>
      <c r="AE173" s="175"/>
      <c r="AF173" s="175"/>
      <c r="AG173" s="175"/>
      <c r="AH173" s="175"/>
      <c r="AI173" s="175"/>
      <c r="AJ173" s="175"/>
      <c r="AK173" s="175"/>
      <c r="AL173" s="175"/>
      <c r="AM173" s="175"/>
      <c r="AN173" s="175"/>
      <c r="AO173" s="175"/>
      <c r="AP173" s="175"/>
      <c r="AQ173" s="175"/>
      <c r="AR173" s="175"/>
      <c r="AS173" s="175"/>
      <c r="AT173" s="175"/>
      <c r="AU173" s="175"/>
      <c r="AV173" s="175"/>
      <c r="AW173" s="175"/>
      <c r="AX173" s="175"/>
      <c r="AY173" s="175"/>
      <c r="AZ173" s="175"/>
      <c r="BA173" s="175"/>
      <c r="BB173" s="633"/>
      <c r="BC173" s="175"/>
      <c r="BD173" s="175"/>
      <c r="BE173" s="175"/>
      <c r="BF173" s="175"/>
      <c r="BG173" s="175"/>
      <c r="BH173" s="175"/>
      <c r="BI173" s="175"/>
      <c r="BJ173" s="175"/>
      <c r="BK173" s="175"/>
      <c r="BL173" s="175"/>
      <c r="BM173" s="175"/>
      <c r="BN173" s="175"/>
      <c r="BO173" s="175"/>
      <c r="BP173" s="635"/>
      <c r="BQ173" s="175"/>
      <c r="BR173" s="175"/>
      <c r="BS173" s="175"/>
      <c r="BT173" s="175"/>
      <c r="BU173" s="175"/>
      <c r="BV173" s="175"/>
      <c r="BW173" s="175"/>
      <c r="BX173" s="140"/>
      <c r="BY173" s="140"/>
      <c r="BZ173" s="140"/>
      <c r="CA173" s="140"/>
      <c r="CB173" s="140"/>
      <c r="CC173" s="140"/>
      <c r="CD173" s="140"/>
      <c r="CE173" s="140"/>
      <c r="CF173" s="140"/>
      <c r="CG173" s="140"/>
      <c r="CH173" s="140"/>
      <c r="CI173" s="140"/>
      <c r="CJ173" s="140"/>
      <c r="CK173" s="140"/>
      <c r="CL173" s="140"/>
      <c r="CM173" s="140"/>
      <c r="CN173" s="140"/>
      <c r="CO173" s="140"/>
      <c r="CP173" s="140"/>
      <c r="CQ173" s="140"/>
      <c r="CR173" s="140"/>
      <c r="CS173" s="140"/>
      <c r="CT173" s="140"/>
      <c r="CU173" s="140"/>
      <c r="CV173" s="140"/>
      <c r="CW173" s="140"/>
      <c r="CX173" s="140"/>
      <c r="CY173" s="140"/>
      <c r="CZ173" s="140"/>
    </row>
    <row r="174" spans="1:104" x14ac:dyDescent="0.25">
      <c r="A174" s="175"/>
      <c r="B174" s="140"/>
      <c r="C174" s="574"/>
      <c r="D174" s="140"/>
      <c r="E174" s="140"/>
      <c r="F174" s="140"/>
      <c r="G174" s="140"/>
      <c r="H174" s="140"/>
      <c r="I174" s="140"/>
      <c r="J174" s="575"/>
      <c r="K174" s="575"/>
      <c r="L174" s="575"/>
      <c r="M174" s="575"/>
      <c r="N174" s="140"/>
      <c r="O174" s="140"/>
      <c r="P174" s="140"/>
      <c r="Q174" s="140"/>
      <c r="R174" s="175"/>
      <c r="S174" s="175"/>
      <c r="T174" s="175"/>
      <c r="U174" s="175"/>
      <c r="V174" s="175"/>
      <c r="W174" s="175"/>
      <c r="X174" s="634"/>
      <c r="Y174" s="634"/>
      <c r="Z174" s="175"/>
      <c r="AA174" s="175"/>
      <c r="AB174" s="175"/>
      <c r="AC174" s="175"/>
      <c r="AD174" s="175"/>
      <c r="AE174" s="175"/>
      <c r="AF174" s="175"/>
      <c r="AG174" s="175"/>
      <c r="AH174" s="175"/>
      <c r="AI174" s="175"/>
      <c r="AJ174" s="175"/>
      <c r="AK174" s="175"/>
      <c r="AL174" s="175"/>
      <c r="AM174" s="175"/>
      <c r="AN174" s="175"/>
      <c r="AO174" s="175"/>
      <c r="AP174" s="175"/>
      <c r="AQ174" s="175"/>
      <c r="AR174" s="175"/>
      <c r="AS174" s="175"/>
      <c r="AT174" s="175"/>
      <c r="AU174" s="175"/>
      <c r="AV174" s="175"/>
      <c r="AW174" s="175"/>
      <c r="AX174" s="175"/>
      <c r="AY174" s="175"/>
      <c r="AZ174" s="175"/>
      <c r="BA174" s="175"/>
      <c r="BB174" s="633"/>
      <c r="BC174" s="175"/>
      <c r="BD174" s="175"/>
      <c r="BE174" s="175"/>
      <c r="BF174" s="175"/>
      <c r="BG174" s="175"/>
      <c r="BH174" s="175"/>
      <c r="BI174" s="175"/>
      <c r="BJ174" s="175"/>
      <c r="BK174" s="175"/>
      <c r="BL174" s="175"/>
      <c r="BM174" s="175"/>
      <c r="BN174" s="175"/>
      <c r="BO174" s="175"/>
      <c r="BP174" s="635"/>
      <c r="BQ174" s="175"/>
      <c r="BR174" s="175"/>
      <c r="BS174" s="175"/>
      <c r="BT174" s="175"/>
      <c r="BU174" s="175"/>
      <c r="BV174" s="175"/>
      <c r="BW174" s="175"/>
      <c r="BX174" s="140"/>
      <c r="BY174" s="140"/>
      <c r="BZ174" s="140"/>
      <c r="CA174" s="140"/>
      <c r="CB174" s="140"/>
      <c r="CC174" s="140"/>
      <c r="CD174" s="140"/>
      <c r="CE174" s="140"/>
      <c r="CF174" s="140"/>
      <c r="CG174" s="140"/>
      <c r="CH174" s="140"/>
      <c r="CI174" s="140"/>
      <c r="CJ174" s="140"/>
      <c r="CK174" s="140"/>
      <c r="CL174" s="140"/>
      <c r="CM174" s="140"/>
      <c r="CN174" s="140"/>
      <c r="CO174" s="140"/>
      <c r="CP174" s="140"/>
      <c r="CQ174" s="140"/>
      <c r="CR174" s="140"/>
      <c r="CS174" s="140"/>
      <c r="CT174" s="140"/>
      <c r="CU174" s="140"/>
      <c r="CV174" s="140"/>
      <c r="CW174" s="140"/>
      <c r="CX174" s="140"/>
      <c r="CY174" s="140"/>
      <c r="CZ174" s="140"/>
    </row>
    <row r="175" spans="1:104" x14ac:dyDescent="0.25">
      <c r="A175" s="175"/>
      <c r="B175" s="140"/>
      <c r="C175" s="574"/>
      <c r="D175" s="140"/>
      <c r="E175" s="140"/>
      <c r="F175" s="140"/>
      <c r="G175" s="140"/>
      <c r="H175" s="140"/>
      <c r="I175" s="140"/>
      <c r="J175" s="575"/>
      <c r="K175" s="575"/>
      <c r="L175" s="575"/>
      <c r="M175" s="575"/>
      <c r="N175" s="140"/>
      <c r="O175" s="140"/>
      <c r="P175" s="140"/>
      <c r="Q175" s="140"/>
      <c r="R175" s="175"/>
      <c r="S175" s="175"/>
      <c r="T175" s="175"/>
      <c r="U175" s="175"/>
      <c r="V175" s="175"/>
      <c r="W175" s="175"/>
      <c r="X175" s="634"/>
      <c r="Y175" s="634"/>
      <c r="Z175" s="175"/>
      <c r="AA175" s="175"/>
      <c r="AB175" s="175"/>
      <c r="AC175" s="175"/>
      <c r="AD175" s="175"/>
      <c r="AE175" s="175"/>
      <c r="AF175" s="175"/>
      <c r="AG175" s="175"/>
      <c r="AH175" s="175"/>
      <c r="AI175" s="175"/>
      <c r="AJ175" s="175"/>
      <c r="AK175" s="175"/>
      <c r="AL175" s="175"/>
      <c r="AM175" s="175"/>
      <c r="AN175" s="175"/>
      <c r="AO175" s="175"/>
      <c r="AP175" s="175"/>
      <c r="AQ175" s="175"/>
      <c r="AR175" s="175"/>
      <c r="AS175" s="175"/>
      <c r="AT175" s="175"/>
      <c r="AU175" s="175"/>
      <c r="AV175" s="175"/>
      <c r="AW175" s="175"/>
      <c r="AX175" s="175"/>
      <c r="AY175" s="175"/>
      <c r="AZ175" s="175"/>
      <c r="BA175" s="175"/>
      <c r="BB175" s="633"/>
      <c r="BC175" s="175"/>
      <c r="BD175" s="175"/>
      <c r="BE175" s="175"/>
      <c r="BF175" s="175"/>
      <c r="BG175" s="175"/>
      <c r="BH175" s="175"/>
      <c r="BI175" s="175"/>
      <c r="BJ175" s="175"/>
      <c r="BK175" s="175"/>
      <c r="BL175" s="175"/>
      <c r="BM175" s="175"/>
      <c r="BN175" s="175"/>
      <c r="BO175" s="175"/>
      <c r="BP175" s="635"/>
      <c r="BQ175" s="175"/>
      <c r="BR175" s="175"/>
      <c r="BS175" s="175"/>
      <c r="BT175" s="175"/>
      <c r="BU175" s="175"/>
      <c r="BV175" s="175"/>
      <c r="BW175" s="175"/>
      <c r="BX175" s="140"/>
      <c r="BY175" s="140"/>
      <c r="BZ175" s="140"/>
      <c r="CA175" s="140"/>
      <c r="CB175" s="140"/>
      <c r="CC175" s="140"/>
      <c r="CD175" s="140"/>
      <c r="CE175" s="140"/>
      <c r="CF175" s="140"/>
      <c r="CG175" s="140"/>
      <c r="CH175" s="140"/>
      <c r="CI175" s="140"/>
      <c r="CJ175" s="140"/>
      <c r="CK175" s="140"/>
      <c r="CL175" s="140"/>
      <c r="CM175" s="140"/>
      <c r="CN175" s="140"/>
      <c r="CO175" s="140"/>
      <c r="CP175" s="140"/>
      <c r="CQ175" s="140"/>
      <c r="CR175" s="140"/>
      <c r="CS175" s="140"/>
      <c r="CT175" s="140"/>
      <c r="CU175" s="140"/>
      <c r="CV175" s="140"/>
      <c r="CW175" s="140"/>
      <c r="CX175" s="140"/>
      <c r="CY175" s="140"/>
      <c r="CZ175" s="140"/>
    </row>
    <row r="176" spans="1:104" x14ac:dyDescent="0.25">
      <c r="A176" s="175"/>
      <c r="B176" s="140"/>
      <c r="C176" s="574"/>
      <c r="D176" s="140"/>
      <c r="E176" s="140"/>
      <c r="F176" s="140"/>
      <c r="G176" s="140"/>
      <c r="H176" s="140"/>
      <c r="I176" s="140"/>
      <c r="J176" s="575"/>
      <c r="K176" s="575"/>
      <c r="L176" s="575"/>
      <c r="M176" s="575"/>
      <c r="N176" s="140"/>
      <c r="O176" s="140"/>
      <c r="P176" s="140"/>
      <c r="Q176" s="140"/>
      <c r="R176" s="175"/>
      <c r="S176" s="175"/>
      <c r="T176" s="175"/>
      <c r="U176" s="175"/>
      <c r="V176" s="175"/>
      <c r="W176" s="175"/>
      <c r="X176" s="634"/>
      <c r="Y176" s="634"/>
      <c r="Z176" s="175"/>
      <c r="AA176" s="175"/>
      <c r="AB176" s="175"/>
      <c r="AC176" s="175"/>
      <c r="AD176" s="175"/>
      <c r="AE176" s="175"/>
      <c r="AF176" s="175"/>
      <c r="AG176" s="175"/>
      <c r="AH176" s="175"/>
      <c r="AI176" s="175"/>
      <c r="AJ176" s="175"/>
      <c r="AK176" s="175"/>
      <c r="AL176" s="175"/>
      <c r="AM176" s="175"/>
      <c r="AN176" s="175"/>
      <c r="AO176" s="175"/>
      <c r="AP176" s="175"/>
      <c r="AQ176" s="175"/>
      <c r="AR176" s="175"/>
      <c r="AS176" s="175"/>
      <c r="AT176" s="175"/>
      <c r="AU176" s="175"/>
      <c r="AV176" s="175"/>
      <c r="AW176" s="175"/>
      <c r="AX176" s="175"/>
      <c r="AY176" s="175"/>
      <c r="AZ176" s="175"/>
      <c r="BA176" s="175"/>
      <c r="BB176" s="633"/>
      <c r="BC176" s="175"/>
      <c r="BD176" s="175"/>
      <c r="BE176" s="175"/>
      <c r="BF176" s="175"/>
      <c r="BG176" s="175"/>
      <c r="BH176" s="175"/>
      <c r="BI176" s="175"/>
      <c r="BJ176" s="175"/>
      <c r="BK176" s="175"/>
      <c r="BL176" s="175"/>
      <c r="BM176" s="175"/>
      <c r="BN176" s="175"/>
      <c r="BO176" s="175"/>
      <c r="BP176" s="635"/>
      <c r="BQ176" s="175"/>
      <c r="BR176" s="175"/>
      <c r="BS176" s="175"/>
      <c r="BT176" s="175"/>
      <c r="BU176" s="175"/>
      <c r="BV176" s="175"/>
      <c r="BW176" s="175"/>
      <c r="BX176" s="140"/>
      <c r="BY176" s="140"/>
      <c r="BZ176" s="140"/>
      <c r="CA176" s="140"/>
      <c r="CB176" s="140"/>
      <c r="CC176" s="140"/>
      <c r="CD176" s="140"/>
      <c r="CE176" s="140"/>
      <c r="CF176" s="140"/>
      <c r="CG176" s="140"/>
      <c r="CH176" s="140"/>
      <c r="CI176" s="140"/>
      <c r="CJ176" s="140"/>
      <c r="CK176" s="140"/>
      <c r="CL176" s="140"/>
      <c r="CM176" s="140"/>
      <c r="CN176" s="140"/>
      <c r="CO176" s="140"/>
      <c r="CP176" s="140"/>
      <c r="CQ176" s="140"/>
      <c r="CR176" s="140"/>
      <c r="CS176" s="140"/>
      <c r="CT176" s="140"/>
      <c r="CU176" s="140"/>
      <c r="CV176" s="140"/>
      <c r="CW176" s="140"/>
      <c r="CX176" s="140"/>
      <c r="CY176" s="140"/>
      <c r="CZ176" s="140"/>
    </row>
    <row r="177" spans="1:104" x14ac:dyDescent="0.25">
      <c r="A177" s="175"/>
      <c r="B177" s="140"/>
      <c r="C177" s="574"/>
      <c r="D177" s="140"/>
      <c r="E177" s="140"/>
      <c r="F177" s="140"/>
      <c r="G177" s="140"/>
      <c r="H177" s="140"/>
      <c r="I177" s="140"/>
      <c r="J177" s="575"/>
      <c r="K177" s="575"/>
      <c r="L177" s="575"/>
      <c r="M177" s="575"/>
      <c r="N177" s="140"/>
      <c r="O177" s="140"/>
      <c r="P177" s="140"/>
      <c r="Q177" s="140"/>
      <c r="R177" s="175"/>
      <c r="S177" s="175"/>
      <c r="T177" s="175"/>
      <c r="U177" s="175"/>
      <c r="V177" s="175"/>
      <c r="W177" s="175"/>
      <c r="X177" s="634"/>
      <c r="Y177" s="634"/>
      <c r="Z177" s="175"/>
      <c r="AA177" s="175"/>
      <c r="AB177" s="175"/>
      <c r="AC177" s="175"/>
      <c r="AD177" s="175"/>
      <c r="AE177" s="175"/>
      <c r="AF177" s="175"/>
      <c r="AG177" s="175"/>
      <c r="AH177" s="175"/>
      <c r="AI177" s="175"/>
      <c r="AJ177" s="175"/>
      <c r="AK177" s="175"/>
      <c r="AL177" s="175"/>
      <c r="AM177" s="175"/>
      <c r="AN177" s="175"/>
      <c r="AO177" s="175"/>
      <c r="AP177" s="175"/>
      <c r="AQ177" s="175"/>
      <c r="AR177" s="175"/>
      <c r="AS177" s="175"/>
      <c r="AT177" s="175"/>
      <c r="AU177" s="175"/>
      <c r="AV177" s="175"/>
      <c r="AW177" s="175"/>
      <c r="AX177" s="175"/>
      <c r="AY177" s="175"/>
      <c r="AZ177" s="175"/>
      <c r="BA177" s="175"/>
      <c r="BB177" s="633"/>
      <c r="BC177" s="175"/>
      <c r="BD177" s="175"/>
      <c r="BE177" s="175"/>
      <c r="BF177" s="175"/>
      <c r="BG177" s="175"/>
      <c r="BH177" s="175"/>
      <c r="BI177" s="175"/>
      <c r="BJ177" s="175"/>
      <c r="BK177" s="175"/>
      <c r="BL177" s="175"/>
      <c r="BM177" s="175"/>
      <c r="BN177" s="175"/>
      <c r="BO177" s="175"/>
      <c r="BP177" s="635"/>
      <c r="BQ177" s="175"/>
      <c r="BR177" s="175"/>
      <c r="BS177" s="175"/>
      <c r="BT177" s="175"/>
      <c r="BU177" s="175"/>
      <c r="BV177" s="175"/>
      <c r="BW177" s="175"/>
      <c r="BX177" s="140"/>
      <c r="BY177" s="140"/>
      <c r="BZ177" s="140"/>
      <c r="CA177" s="140"/>
      <c r="CB177" s="140"/>
      <c r="CC177" s="140"/>
      <c r="CD177" s="140"/>
      <c r="CE177" s="140"/>
      <c r="CF177" s="140"/>
      <c r="CG177" s="140"/>
      <c r="CH177" s="140"/>
      <c r="CI177" s="140"/>
      <c r="CJ177" s="140"/>
      <c r="CK177" s="140"/>
      <c r="CL177" s="140"/>
      <c r="CM177" s="140"/>
      <c r="CN177" s="140"/>
      <c r="CO177" s="140"/>
      <c r="CP177" s="140"/>
      <c r="CQ177" s="140"/>
      <c r="CR177" s="140"/>
      <c r="CS177" s="140"/>
      <c r="CT177" s="140"/>
      <c r="CU177" s="140"/>
      <c r="CV177" s="140"/>
      <c r="CW177" s="140"/>
      <c r="CX177" s="140"/>
      <c r="CY177" s="140"/>
      <c r="CZ177" s="140"/>
    </row>
    <row r="178" spans="1:104" x14ac:dyDescent="0.25">
      <c r="A178" s="175"/>
      <c r="B178" s="140"/>
      <c r="C178" s="574"/>
      <c r="D178" s="140"/>
      <c r="E178" s="140"/>
      <c r="F178" s="140"/>
      <c r="G178" s="140"/>
      <c r="H178" s="140"/>
      <c r="I178" s="140"/>
      <c r="J178" s="575"/>
      <c r="K178" s="575"/>
      <c r="L178" s="575"/>
      <c r="M178" s="575"/>
      <c r="N178" s="140"/>
      <c r="O178" s="140"/>
      <c r="P178" s="140"/>
      <c r="Q178" s="140"/>
      <c r="R178" s="175"/>
      <c r="S178" s="175"/>
      <c r="T178" s="175"/>
      <c r="U178" s="175"/>
      <c r="V178" s="175"/>
      <c r="W178" s="175"/>
      <c r="X178" s="634"/>
      <c r="Y178" s="634"/>
      <c r="Z178" s="175"/>
      <c r="AA178" s="175"/>
      <c r="AB178" s="175"/>
      <c r="AC178" s="175"/>
      <c r="AD178" s="175"/>
      <c r="AE178" s="175"/>
      <c r="AF178" s="175"/>
      <c r="AG178" s="175"/>
      <c r="AH178" s="175"/>
      <c r="AI178" s="175"/>
      <c r="AJ178" s="175"/>
      <c r="AK178" s="175"/>
      <c r="AL178" s="175"/>
      <c r="AM178" s="175"/>
      <c r="AN178" s="175"/>
      <c r="AO178" s="175"/>
      <c r="AP178" s="175"/>
      <c r="AQ178" s="175"/>
      <c r="AR178" s="175"/>
      <c r="AS178" s="175"/>
      <c r="AT178" s="175"/>
      <c r="AU178" s="175"/>
      <c r="AV178" s="175"/>
      <c r="AW178" s="175"/>
      <c r="AX178" s="175"/>
      <c r="AY178" s="175"/>
      <c r="AZ178" s="175"/>
      <c r="BA178" s="175"/>
      <c r="BB178" s="633"/>
      <c r="BC178" s="175"/>
      <c r="BD178" s="175"/>
      <c r="BE178" s="175"/>
      <c r="BF178" s="175"/>
      <c r="BG178" s="175"/>
      <c r="BH178" s="175"/>
      <c r="BI178" s="175"/>
      <c r="BJ178" s="175"/>
      <c r="BK178" s="175"/>
      <c r="BL178" s="175"/>
      <c r="BM178" s="175"/>
      <c r="BN178" s="175"/>
      <c r="BO178" s="175"/>
      <c r="BP178" s="635"/>
      <c r="BQ178" s="175"/>
      <c r="BR178" s="175"/>
      <c r="BS178" s="175"/>
      <c r="BT178" s="175"/>
      <c r="BU178" s="175"/>
      <c r="BV178" s="175"/>
      <c r="BW178" s="175"/>
      <c r="BX178" s="140"/>
      <c r="BY178" s="140"/>
      <c r="BZ178" s="140"/>
      <c r="CA178" s="140"/>
      <c r="CB178" s="140"/>
      <c r="CC178" s="140"/>
      <c r="CD178" s="140"/>
      <c r="CE178" s="140"/>
      <c r="CF178" s="140"/>
      <c r="CG178" s="140"/>
      <c r="CH178" s="140"/>
      <c r="CI178" s="140"/>
      <c r="CJ178" s="140"/>
      <c r="CK178" s="140"/>
      <c r="CL178" s="140"/>
      <c r="CM178" s="140"/>
      <c r="CN178" s="140"/>
      <c r="CO178" s="140"/>
      <c r="CP178" s="140"/>
      <c r="CQ178" s="140"/>
      <c r="CR178" s="140"/>
      <c r="CS178" s="140"/>
      <c r="CT178" s="140"/>
      <c r="CU178" s="140"/>
      <c r="CV178" s="140"/>
      <c r="CW178" s="140"/>
      <c r="CX178" s="140"/>
      <c r="CY178" s="140"/>
      <c r="CZ178" s="140"/>
    </row>
    <row r="179" spans="1:104" x14ac:dyDescent="0.25">
      <c r="A179" s="175"/>
      <c r="B179" s="140"/>
      <c r="C179" s="574"/>
      <c r="D179" s="140"/>
      <c r="E179" s="140"/>
      <c r="F179" s="140"/>
      <c r="G179" s="140"/>
      <c r="H179" s="140"/>
      <c r="I179" s="140"/>
      <c r="J179" s="575"/>
      <c r="K179" s="575"/>
      <c r="L179" s="575"/>
      <c r="M179" s="575"/>
      <c r="N179" s="140"/>
      <c r="O179" s="140"/>
      <c r="P179" s="140"/>
      <c r="Q179" s="140"/>
      <c r="R179" s="175"/>
      <c r="S179" s="175"/>
      <c r="T179" s="175"/>
      <c r="U179" s="175"/>
      <c r="V179" s="175"/>
      <c r="W179" s="175"/>
      <c r="X179" s="634"/>
      <c r="Y179" s="634"/>
      <c r="Z179" s="175"/>
      <c r="AA179" s="175"/>
      <c r="AB179" s="175"/>
      <c r="AC179" s="175"/>
      <c r="AD179" s="175"/>
      <c r="AE179" s="175"/>
      <c r="AF179" s="175"/>
      <c r="AG179" s="175"/>
      <c r="AH179" s="175"/>
      <c r="AI179" s="175"/>
      <c r="AJ179" s="175"/>
      <c r="AK179" s="175"/>
      <c r="AL179" s="175"/>
      <c r="AM179" s="175"/>
      <c r="AN179" s="175"/>
      <c r="AO179" s="175"/>
      <c r="AP179" s="175"/>
      <c r="AQ179" s="175"/>
      <c r="AR179" s="175"/>
      <c r="AS179" s="175"/>
      <c r="AT179" s="175"/>
      <c r="AU179" s="175"/>
      <c r="AV179" s="175"/>
      <c r="AW179" s="175"/>
      <c r="AX179" s="175"/>
      <c r="AY179" s="175"/>
      <c r="AZ179" s="175"/>
      <c r="BA179" s="175"/>
      <c r="BB179" s="633"/>
      <c r="BC179" s="175"/>
      <c r="BD179" s="175"/>
      <c r="BE179" s="175"/>
      <c r="BF179" s="175"/>
      <c r="BG179" s="175"/>
      <c r="BH179" s="175"/>
      <c r="BI179" s="175"/>
      <c r="BJ179" s="175"/>
      <c r="BK179" s="175"/>
      <c r="BL179" s="175"/>
      <c r="BM179" s="175"/>
      <c r="BN179" s="175"/>
      <c r="BO179" s="175"/>
      <c r="BP179" s="635"/>
      <c r="BQ179" s="175"/>
      <c r="BR179" s="175"/>
      <c r="BS179" s="175"/>
      <c r="BT179" s="175"/>
      <c r="BU179" s="175"/>
      <c r="BV179" s="175"/>
      <c r="BW179" s="175"/>
      <c r="BX179" s="140"/>
      <c r="BY179" s="140"/>
      <c r="BZ179" s="140"/>
      <c r="CA179" s="140"/>
      <c r="CB179" s="140"/>
      <c r="CC179" s="140"/>
      <c r="CD179" s="140"/>
      <c r="CE179" s="140"/>
      <c r="CF179" s="140"/>
      <c r="CG179" s="140"/>
      <c r="CH179" s="140"/>
      <c r="CI179" s="140"/>
      <c r="CJ179" s="140"/>
      <c r="CK179" s="140"/>
      <c r="CL179" s="140"/>
      <c r="CM179" s="140"/>
      <c r="CN179" s="140"/>
      <c r="CO179" s="140"/>
      <c r="CP179" s="140"/>
      <c r="CQ179" s="140"/>
      <c r="CR179" s="140"/>
      <c r="CS179" s="140"/>
      <c r="CT179" s="140"/>
      <c r="CU179" s="140"/>
      <c r="CV179" s="140"/>
      <c r="CW179" s="140"/>
      <c r="CX179" s="140"/>
      <c r="CY179" s="140"/>
      <c r="CZ179" s="140"/>
    </row>
    <row r="180" spans="1:104" x14ac:dyDescent="0.25">
      <c r="A180" s="175"/>
      <c r="B180" s="140"/>
      <c r="C180" s="574"/>
      <c r="D180" s="140"/>
      <c r="E180" s="140"/>
      <c r="F180" s="140"/>
      <c r="G180" s="140"/>
      <c r="H180" s="140"/>
      <c r="I180" s="140"/>
      <c r="J180" s="575"/>
      <c r="K180" s="575"/>
      <c r="L180" s="575"/>
      <c r="M180" s="575"/>
      <c r="N180" s="140"/>
      <c r="O180" s="140"/>
      <c r="P180" s="140"/>
      <c r="Q180" s="140"/>
      <c r="R180" s="175"/>
      <c r="S180" s="175"/>
      <c r="T180" s="175"/>
      <c r="U180" s="175"/>
      <c r="V180" s="175"/>
      <c r="W180" s="175"/>
      <c r="X180" s="634"/>
      <c r="Y180" s="634"/>
      <c r="Z180" s="175"/>
      <c r="AA180" s="175"/>
      <c r="AB180" s="175"/>
      <c r="AC180" s="175"/>
      <c r="AD180" s="175"/>
      <c r="AE180" s="175"/>
      <c r="AF180" s="175"/>
      <c r="AG180" s="175"/>
      <c r="AH180" s="175"/>
      <c r="AI180" s="175"/>
      <c r="AJ180" s="175"/>
      <c r="AK180" s="175"/>
      <c r="AL180" s="175"/>
      <c r="AM180" s="175"/>
      <c r="AN180" s="175"/>
      <c r="AO180" s="175"/>
      <c r="AP180" s="175"/>
      <c r="AQ180" s="175"/>
      <c r="AR180" s="175"/>
      <c r="AS180" s="175"/>
      <c r="AT180" s="175"/>
      <c r="AU180" s="175"/>
      <c r="AV180" s="175"/>
      <c r="AW180" s="175"/>
      <c r="AX180" s="175"/>
      <c r="AY180" s="175"/>
      <c r="AZ180" s="175"/>
      <c r="BA180" s="175"/>
      <c r="BB180" s="633"/>
      <c r="BC180" s="175"/>
      <c r="BD180" s="175"/>
      <c r="BE180" s="175"/>
      <c r="BF180" s="175"/>
      <c r="BG180" s="175"/>
      <c r="BH180" s="175"/>
      <c r="BI180" s="175"/>
      <c r="BJ180" s="175"/>
      <c r="BK180" s="175"/>
      <c r="BL180" s="175"/>
      <c r="BM180" s="175"/>
      <c r="BN180" s="175"/>
      <c r="BO180" s="175"/>
      <c r="BP180" s="635"/>
      <c r="BQ180" s="175"/>
      <c r="BR180" s="175"/>
      <c r="BS180" s="175"/>
      <c r="BT180" s="175"/>
      <c r="BU180" s="175"/>
      <c r="BV180" s="175"/>
      <c r="BW180" s="175"/>
      <c r="BX180" s="140"/>
      <c r="BY180" s="140"/>
      <c r="BZ180" s="140"/>
      <c r="CA180" s="140"/>
      <c r="CB180" s="140"/>
      <c r="CC180" s="140"/>
      <c r="CD180" s="140"/>
      <c r="CE180" s="140"/>
      <c r="CF180" s="140"/>
      <c r="CG180" s="140"/>
      <c r="CH180" s="140"/>
      <c r="CI180" s="140"/>
      <c r="CJ180" s="140"/>
      <c r="CK180" s="140"/>
      <c r="CL180" s="140"/>
      <c r="CM180" s="140"/>
      <c r="CN180" s="140"/>
      <c r="CO180" s="140"/>
      <c r="CP180" s="140"/>
      <c r="CQ180" s="140"/>
      <c r="CR180" s="140"/>
      <c r="CS180" s="140"/>
      <c r="CT180" s="140"/>
      <c r="CU180" s="140"/>
      <c r="CV180" s="140"/>
      <c r="CW180" s="140"/>
      <c r="CX180" s="140"/>
      <c r="CY180" s="140"/>
      <c r="CZ180" s="140"/>
    </row>
    <row r="181" spans="1:104" x14ac:dyDescent="0.25">
      <c r="A181" s="175"/>
      <c r="B181" s="140"/>
      <c r="C181" s="574"/>
      <c r="D181" s="140"/>
      <c r="E181" s="140"/>
      <c r="F181" s="140"/>
      <c r="G181" s="140"/>
      <c r="H181" s="140"/>
      <c r="I181" s="140"/>
      <c r="J181" s="575"/>
      <c r="K181" s="575"/>
      <c r="L181" s="575"/>
      <c r="M181" s="575"/>
      <c r="N181" s="140"/>
      <c r="O181" s="140"/>
      <c r="P181" s="140"/>
      <c r="Q181" s="140"/>
      <c r="R181" s="175"/>
      <c r="S181" s="175"/>
      <c r="T181" s="175"/>
      <c r="U181" s="175"/>
      <c r="V181" s="175"/>
      <c r="W181" s="175"/>
      <c r="X181" s="634"/>
      <c r="Y181" s="634"/>
      <c r="Z181" s="175"/>
      <c r="AA181" s="175"/>
      <c r="AB181" s="175"/>
      <c r="AC181" s="175"/>
      <c r="AD181" s="175"/>
      <c r="AE181" s="175"/>
      <c r="AF181" s="175"/>
      <c r="AG181" s="175"/>
      <c r="AH181" s="175"/>
      <c r="AI181" s="175"/>
      <c r="AJ181" s="175"/>
      <c r="AK181" s="175"/>
      <c r="AL181" s="175"/>
      <c r="AM181" s="175"/>
      <c r="AN181" s="175"/>
      <c r="AO181" s="175"/>
      <c r="AP181" s="175"/>
      <c r="AQ181" s="175"/>
      <c r="AR181" s="175"/>
      <c r="AS181" s="175"/>
      <c r="AT181" s="175"/>
      <c r="AU181" s="175"/>
      <c r="AV181" s="175"/>
      <c r="AW181" s="175"/>
      <c r="AX181" s="175"/>
      <c r="AY181" s="175"/>
      <c r="AZ181" s="175"/>
      <c r="BA181" s="175"/>
      <c r="BB181" s="633"/>
      <c r="BC181" s="175"/>
      <c r="BD181" s="175"/>
      <c r="BE181" s="175"/>
      <c r="BF181" s="175"/>
      <c r="BG181" s="175"/>
      <c r="BH181" s="175"/>
      <c r="BI181" s="175"/>
      <c r="BJ181" s="175"/>
      <c r="BK181" s="175"/>
      <c r="BL181" s="175"/>
      <c r="BM181" s="175"/>
      <c r="BN181" s="175"/>
      <c r="BO181" s="175"/>
      <c r="BP181" s="635"/>
      <c r="BQ181" s="175"/>
      <c r="BR181" s="175"/>
      <c r="BS181" s="175"/>
      <c r="BT181" s="175"/>
      <c r="BU181" s="175"/>
      <c r="BV181" s="175"/>
      <c r="BW181" s="175"/>
      <c r="BX181" s="140"/>
      <c r="BY181" s="140"/>
      <c r="BZ181" s="140"/>
      <c r="CA181" s="140"/>
      <c r="CB181" s="140"/>
      <c r="CC181" s="140"/>
      <c r="CD181" s="140"/>
      <c r="CE181" s="140"/>
      <c r="CF181" s="140"/>
      <c r="CG181" s="140"/>
      <c r="CH181" s="140"/>
      <c r="CI181" s="140"/>
      <c r="CJ181" s="140"/>
      <c r="CK181" s="140"/>
      <c r="CL181" s="140"/>
      <c r="CM181" s="140"/>
      <c r="CN181" s="140"/>
      <c r="CO181" s="140"/>
      <c r="CP181" s="140"/>
      <c r="CQ181" s="140"/>
      <c r="CR181" s="140"/>
      <c r="CS181" s="140"/>
      <c r="CT181" s="140"/>
      <c r="CU181" s="140"/>
      <c r="CV181" s="140"/>
      <c r="CW181" s="140"/>
      <c r="CX181" s="140"/>
      <c r="CY181" s="140"/>
      <c r="CZ181" s="140"/>
    </row>
    <row r="182" spans="1:104" x14ac:dyDescent="0.25">
      <c r="A182" s="175"/>
      <c r="B182" s="140"/>
      <c r="C182" s="574"/>
      <c r="D182" s="140"/>
      <c r="E182" s="140"/>
      <c r="F182" s="140"/>
      <c r="G182" s="140"/>
      <c r="H182" s="140"/>
      <c r="I182" s="140"/>
      <c r="J182" s="575"/>
      <c r="K182" s="575"/>
      <c r="L182" s="575"/>
      <c r="M182" s="575"/>
      <c r="N182" s="140"/>
      <c r="O182" s="140"/>
      <c r="P182" s="140"/>
      <c r="Q182" s="140"/>
      <c r="R182" s="175"/>
      <c r="S182" s="175"/>
      <c r="T182" s="175"/>
      <c r="U182" s="175"/>
      <c r="V182" s="175"/>
      <c r="W182" s="175"/>
      <c r="X182" s="634"/>
      <c r="Y182" s="634"/>
      <c r="Z182" s="175"/>
      <c r="AA182" s="175"/>
      <c r="AB182" s="175"/>
      <c r="AC182" s="175"/>
      <c r="AD182" s="175"/>
      <c r="AE182" s="175"/>
      <c r="AF182" s="175"/>
      <c r="AG182" s="175"/>
      <c r="AH182" s="175"/>
      <c r="AI182" s="175"/>
      <c r="AJ182" s="175"/>
      <c r="AK182" s="175"/>
      <c r="AL182" s="175"/>
      <c r="AM182" s="175"/>
      <c r="AN182" s="175"/>
      <c r="AO182" s="175"/>
      <c r="AP182" s="175"/>
      <c r="AQ182" s="175"/>
      <c r="AR182" s="175"/>
      <c r="AS182" s="175"/>
      <c r="AT182" s="175"/>
      <c r="AU182" s="175"/>
      <c r="AV182" s="175"/>
      <c r="AW182" s="175"/>
      <c r="AX182" s="175"/>
      <c r="AY182" s="175"/>
      <c r="AZ182" s="175"/>
      <c r="BA182" s="175"/>
      <c r="BB182" s="633"/>
      <c r="BC182" s="175"/>
      <c r="BD182" s="175"/>
      <c r="BE182" s="175"/>
      <c r="BF182" s="175"/>
      <c r="BG182" s="175"/>
      <c r="BH182" s="175"/>
      <c r="BI182" s="175"/>
      <c r="BJ182" s="175"/>
      <c r="BK182" s="175"/>
      <c r="BL182" s="175"/>
      <c r="BM182" s="175"/>
      <c r="BN182" s="175"/>
      <c r="BO182" s="175"/>
      <c r="BP182" s="635"/>
      <c r="BQ182" s="175"/>
      <c r="BR182" s="175"/>
      <c r="BS182" s="175"/>
      <c r="BT182" s="175"/>
      <c r="BU182" s="175"/>
      <c r="BV182" s="175"/>
      <c r="BW182" s="175"/>
      <c r="BX182" s="140"/>
      <c r="BY182" s="140"/>
      <c r="BZ182" s="140"/>
      <c r="CA182" s="140"/>
      <c r="CB182" s="140"/>
      <c r="CC182" s="140"/>
      <c r="CD182" s="140"/>
      <c r="CE182" s="140"/>
      <c r="CF182" s="140"/>
      <c r="CG182" s="140"/>
      <c r="CH182" s="140"/>
      <c r="CI182" s="140"/>
      <c r="CJ182" s="140"/>
      <c r="CK182" s="140"/>
      <c r="CL182" s="140"/>
      <c r="CM182" s="140"/>
      <c r="CN182" s="140"/>
      <c r="CO182" s="140"/>
      <c r="CP182" s="140"/>
      <c r="CQ182" s="140"/>
      <c r="CR182" s="140"/>
      <c r="CS182" s="140"/>
      <c r="CT182" s="140"/>
      <c r="CU182" s="140"/>
      <c r="CV182" s="140"/>
      <c r="CW182" s="140"/>
      <c r="CX182" s="140"/>
      <c r="CY182" s="140"/>
      <c r="CZ182" s="140"/>
    </row>
    <row r="183" spans="1:104" x14ac:dyDescent="0.25">
      <c r="A183" s="175"/>
      <c r="B183" s="140"/>
      <c r="C183" s="574"/>
      <c r="D183" s="140"/>
      <c r="E183" s="140"/>
      <c r="F183" s="140"/>
      <c r="G183" s="140"/>
      <c r="H183" s="140"/>
      <c r="I183" s="140"/>
      <c r="J183" s="575"/>
      <c r="K183" s="575"/>
      <c r="L183" s="575"/>
      <c r="M183" s="575"/>
      <c r="N183" s="140"/>
      <c r="O183" s="140"/>
      <c r="P183" s="140"/>
      <c r="Q183" s="140"/>
      <c r="R183" s="175"/>
      <c r="S183" s="175"/>
      <c r="T183" s="175"/>
      <c r="U183" s="175"/>
      <c r="V183" s="175"/>
      <c r="W183" s="175"/>
      <c r="X183" s="634"/>
      <c r="Y183" s="634"/>
      <c r="Z183" s="175"/>
      <c r="AA183" s="175"/>
      <c r="AB183" s="175"/>
      <c r="AC183" s="175"/>
      <c r="AD183" s="175"/>
      <c r="AE183" s="175"/>
      <c r="AF183" s="175"/>
      <c r="AG183" s="175"/>
      <c r="AH183" s="175"/>
      <c r="AI183" s="175"/>
      <c r="AJ183" s="175"/>
      <c r="AK183" s="175"/>
      <c r="AL183" s="175"/>
      <c r="AM183" s="175"/>
      <c r="AN183" s="175"/>
      <c r="AO183" s="175"/>
      <c r="AP183" s="175"/>
      <c r="AQ183" s="175"/>
      <c r="AR183" s="175"/>
      <c r="AS183" s="175"/>
      <c r="AT183" s="175"/>
      <c r="AU183" s="175"/>
      <c r="AV183" s="175"/>
      <c r="AW183" s="175"/>
      <c r="AX183" s="175"/>
      <c r="AY183" s="175"/>
      <c r="AZ183" s="175"/>
      <c r="BA183" s="175"/>
      <c r="BB183" s="633"/>
      <c r="BC183" s="175"/>
      <c r="BD183" s="175"/>
      <c r="BE183" s="175"/>
      <c r="BF183" s="175"/>
      <c r="BG183" s="175"/>
      <c r="BH183" s="175"/>
      <c r="BI183" s="175"/>
      <c r="BJ183" s="175"/>
      <c r="BK183" s="175"/>
      <c r="BL183" s="175"/>
      <c r="BM183" s="175"/>
      <c r="BN183" s="175"/>
      <c r="BO183" s="175"/>
      <c r="BP183" s="635"/>
      <c r="BQ183" s="175"/>
      <c r="BR183" s="175"/>
      <c r="BS183" s="175"/>
      <c r="BT183" s="175"/>
      <c r="BU183" s="175"/>
      <c r="BV183" s="175"/>
      <c r="BW183" s="175"/>
      <c r="BX183" s="140"/>
      <c r="BY183" s="140"/>
      <c r="BZ183" s="140"/>
      <c r="CA183" s="140"/>
      <c r="CB183" s="140"/>
      <c r="CC183" s="140"/>
      <c r="CD183" s="140"/>
      <c r="CE183" s="140"/>
      <c r="CF183" s="140"/>
      <c r="CG183" s="140"/>
      <c r="CH183" s="140"/>
      <c r="CI183" s="140"/>
      <c r="CJ183" s="140"/>
      <c r="CK183" s="140"/>
      <c r="CL183" s="140"/>
      <c r="CM183" s="140"/>
      <c r="CN183" s="140"/>
      <c r="CO183" s="140"/>
      <c r="CP183" s="140"/>
      <c r="CQ183" s="140"/>
      <c r="CR183" s="140"/>
      <c r="CS183" s="140"/>
      <c r="CT183" s="140"/>
      <c r="CU183" s="140"/>
      <c r="CV183" s="140"/>
      <c r="CW183" s="140"/>
      <c r="CX183" s="140"/>
      <c r="CY183" s="140"/>
      <c r="CZ183" s="140"/>
    </row>
    <row r="184" spans="1:104" x14ac:dyDescent="0.25">
      <c r="A184" s="175"/>
      <c r="B184" s="140"/>
      <c r="C184" s="574"/>
      <c r="D184" s="140"/>
      <c r="E184" s="140"/>
      <c r="F184" s="140"/>
      <c r="G184" s="140"/>
      <c r="H184" s="140"/>
      <c r="I184" s="140"/>
      <c r="J184" s="575"/>
      <c r="K184" s="575"/>
      <c r="L184" s="575"/>
      <c r="M184" s="575"/>
      <c r="N184" s="140"/>
      <c r="O184" s="140"/>
      <c r="P184" s="140"/>
      <c r="Q184" s="140"/>
      <c r="R184" s="175"/>
      <c r="S184" s="175"/>
      <c r="T184" s="175"/>
      <c r="U184" s="175"/>
      <c r="V184" s="175"/>
      <c r="W184" s="175"/>
      <c r="X184" s="634"/>
      <c r="Y184" s="634"/>
      <c r="Z184" s="175"/>
      <c r="AA184" s="175"/>
      <c r="AB184" s="175"/>
      <c r="AC184" s="175"/>
      <c r="AD184" s="175"/>
      <c r="AE184" s="175"/>
      <c r="AF184" s="175"/>
      <c r="AG184" s="175"/>
      <c r="AH184" s="175"/>
      <c r="AI184" s="175"/>
      <c r="AJ184" s="175"/>
      <c r="AK184" s="175"/>
      <c r="AL184" s="175"/>
      <c r="AM184" s="175"/>
      <c r="AN184" s="175"/>
      <c r="AO184" s="175"/>
      <c r="AP184" s="175"/>
      <c r="AQ184" s="175"/>
      <c r="AR184" s="175"/>
      <c r="AS184" s="175"/>
      <c r="AT184" s="175"/>
      <c r="AU184" s="175"/>
      <c r="AV184" s="175"/>
      <c r="AW184" s="175"/>
      <c r="AX184" s="175"/>
      <c r="AY184" s="175"/>
      <c r="AZ184" s="175"/>
      <c r="BA184" s="175"/>
      <c r="BB184" s="633"/>
      <c r="BC184" s="175"/>
      <c r="BD184" s="175"/>
      <c r="BE184" s="175"/>
      <c r="BF184" s="175"/>
      <c r="BG184" s="175"/>
      <c r="BH184" s="175"/>
      <c r="BI184" s="175"/>
      <c r="BJ184" s="175"/>
      <c r="BK184" s="175"/>
      <c r="BL184" s="175"/>
      <c r="BM184" s="175"/>
      <c r="BN184" s="175"/>
      <c r="BO184" s="175"/>
      <c r="BP184" s="635"/>
      <c r="BQ184" s="175"/>
      <c r="BR184" s="175"/>
      <c r="BS184" s="175"/>
      <c r="BT184" s="175"/>
      <c r="BU184" s="175"/>
      <c r="BV184" s="175"/>
      <c r="BW184" s="175"/>
      <c r="BX184" s="140"/>
      <c r="BY184" s="140"/>
      <c r="BZ184" s="140"/>
      <c r="CA184" s="140"/>
      <c r="CB184" s="140"/>
      <c r="CC184" s="140"/>
      <c r="CD184" s="140"/>
      <c r="CE184" s="140"/>
      <c r="CF184" s="140"/>
      <c r="CG184" s="140"/>
      <c r="CH184" s="140"/>
      <c r="CI184" s="140"/>
      <c r="CJ184" s="140"/>
      <c r="CK184" s="140"/>
      <c r="CL184" s="140"/>
      <c r="CM184" s="140"/>
      <c r="CN184" s="140"/>
      <c r="CO184" s="140"/>
      <c r="CP184" s="140"/>
      <c r="CQ184" s="140"/>
      <c r="CR184" s="140"/>
      <c r="CS184" s="140"/>
      <c r="CT184" s="140"/>
      <c r="CU184" s="140"/>
      <c r="CV184" s="140"/>
      <c r="CW184" s="140"/>
      <c r="CX184" s="140"/>
      <c r="CY184" s="140"/>
      <c r="CZ184" s="140"/>
    </row>
    <row r="185" spans="1:104" x14ac:dyDescent="0.25">
      <c r="A185" s="175"/>
      <c r="B185" s="140"/>
      <c r="C185" s="574"/>
      <c r="D185" s="140"/>
      <c r="E185" s="140"/>
      <c r="F185" s="140"/>
      <c r="G185" s="140"/>
      <c r="H185" s="140"/>
      <c r="I185" s="140"/>
      <c r="J185" s="575"/>
      <c r="K185" s="575"/>
      <c r="L185" s="575"/>
      <c r="M185" s="575"/>
      <c r="N185" s="140"/>
      <c r="O185" s="140"/>
      <c r="P185" s="140"/>
      <c r="Q185" s="140"/>
      <c r="R185" s="175"/>
      <c r="S185" s="175"/>
      <c r="T185" s="175"/>
      <c r="U185" s="175"/>
      <c r="V185" s="175"/>
      <c r="W185" s="175"/>
      <c r="X185" s="634"/>
      <c r="Y185" s="634"/>
      <c r="Z185" s="175"/>
      <c r="AA185" s="175"/>
      <c r="AB185" s="175"/>
      <c r="AC185" s="175"/>
      <c r="AD185" s="175"/>
      <c r="AE185" s="175"/>
      <c r="AF185" s="175"/>
      <c r="AG185" s="175"/>
      <c r="AH185" s="175"/>
      <c r="AI185" s="175"/>
      <c r="AJ185" s="175"/>
      <c r="AK185" s="175"/>
      <c r="AL185" s="175"/>
      <c r="AM185" s="175"/>
      <c r="AN185" s="175"/>
      <c r="AO185" s="175"/>
      <c r="AP185" s="175"/>
      <c r="AQ185" s="175"/>
      <c r="AR185" s="175"/>
      <c r="AS185" s="175"/>
      <c r="AT185" s="175"/>
      <c r="AU185" s="175"/>
      <c r="AV185" s="175"/>
      <c r="AW185" s="175"/>
      <c r="AX185" s="175"/>
      <c r="AY185" s="175"/>
      <c r="AZ185" s="175"/>
      <c r="BA185" s="175"/>
      <c r="BB185" s="633"/>
      <c r="BC185" s="175"/>
      <c r="BD185" s="175"/>
      <c r="BE185" s="175"/>
      <c r="BF185" s="175"/>
      <c r="BG185" s="175"/>
      <c r="BH185" s="175"/>
      <c r="BI185" s="175"/>
      <c r="BJ185" s="175"/>
      <c r="BK185" s="175"/>
      <c r="BL185" s="175"/>
      <c r="BM185" s="175"/>
      <c r="BN185" s="175"/>
      <c r="BO185" s="175"/>
      <c r="BP185" s="635"/>
      <c r="BQ185" s="175"/>
      <c r="BR185" s="175"/>
      <c r="BS185" s="175"/>
      <c r="BT185" s="175"/>
      <c r="BU185" s="175"/>
      <c r="BV185" s="175"/>
      <c r="BW185" s="175"/>
      <c r="BX185" s="140"/>
      <c r="BY185" s="140"/>
      <c r="BZ185" s="140"/>
      <c r="CA185" s="140"/>
      <c r="CB185" s="140"/>
      <c r="CC185" s="140"/>
      <c r="CD185" s="140"/>
      <c r="CE185" s="140"/>
      <c r="CF185" s="140"/>
      <c r="CG185" s="140"/>
      <c r="CH185" s="140"/>
      <c r="CI185" s="140"/>
      <c r="CJ185" s="140"/>
      <c r="CK185" s="140"/>
      <c r="CL185" s="140"/>
      <c r="CM185" s="140"/>
      <c r="CN185" s="140"/>
      <c r="CO185" s="140"/>
      <c r="CP185" s="140"/>
      <c r="CQ185" s="140"/>
      <c r="CR185" s="140"/>
      <c r="CS185" s="140"/>
      <c r="CT185" s="140"/>
      <c r="CU185" s="140"/>
      <c r="CV185" s="140"/>
      <c r="CW185" s="140"/>
      <c r="CX185" s="140"/>
      <c r="CY185" s="140"/>
      <c r="CZ185" s="140"/>
    </row>
    <row r="186" spans="1:104" x14ac:dyDescent="0.25">
      <c r="A186" s="175"/>
      <c r="B186" s="140"/>
      <c r="C186" s="574"/>
      <c r="D186" s="140"/>
      <c r="E186" s="140"/>
      <c r="F186" s="140"/>
      <c r="G186" s="140"/>
      <c r="H186" s="140"/>
      <c r="I186" s="140"/>
      <c r="J186" s="575"/>
      <c r="K186" s="575"/>
      <c r="L186" s="575"/>
      <c r="M186" s="575"/>
      <c r="N186" s="140"/>
      <c r="O186" s="140"/>
      <c r="P186" s="140"/>
      <c r="Q186" s="140"/>
      <c r="R186" s="175"/>
      <c r="S186" s="175"/>
      <c r="T186" s="175"/>
      <c r="U186" s="175"/>
      <c r="V186" s="175"/>
      <c r="W186" s="175"/>
      <c r="X186" s="634"/>
      <c r="Y186" s="634"/>
      <c r="Z186" s="175"/>
      <c r="AA186" s="175"/>
      <c r="AB186" s="175"/>
      <c r="AC186" s="175"/>
      <c r="AD186" s="175"/>
      <c r="AE186" s="175"/>
      <c r="AF186" s="175"/>
      <c r="AG186" s="175"/>
      <c r="AH186" s="175"/>
      <c r="AI186" s="175"/>
      <c r="AJ186" s="175"/>
      <c r="AK186" s="175"/>
      <c r="AL186" s="175"/>
      <c r="AM186" s="175"/>
      <c r="AN186" s="175"/>
      <c r="AO186" s="175"/>
      <c r="AP186" s="175"/>
      <c r="AQ186" s="175"/>
      <c r="AR186" s="175"/>
      <c r="AS186" s="175"/>
      <c r="AT186" s="175"/>
      <c r="AU186" s="175"/>
      <c r="AV186" s="175"/>
      <c r="AW186" s="175"/>
      <c r="AX186" s="175"/>
      <c r="AY186" s="175"/>
      <c r="AZ186" s="175"/>
      <c r="BA186" s="175"/>
      <c r="BB186" s="633"/>
      <c r="BC186" s="175"/>
      <c r="BD186" s="175"/>
      <c r="BE186" s="175"/>
      <c r="BF186" s="175"/>
      <c r="BG186" s="175"/>
      <c r="BH186" s="175"/>
      <c r="BI186" s="175"/>
      <c r="BJ186" s="175"/>
      <c r="BK186" s="175"/>
      <c r="BL186" s="175"/>
      <c r="BM186" s="175"/>
      <c r="BN186" s="175"/>
      <c r="BO186" s="175"/>
      <c r="BP186" s="635"/>
      <c r="BQ186" s="175"/>
      <c r="BR186" s="175"/>
      <c r="BS186" s="175"/>
      <c r="BT186" s="175"/>
      <c r="BU186" s="175"/>
      <c r="BV186" s="175"/>
      <c r="BW186" s="175"/>
      <c r="BX186" s="140"/>
      <c r="BY186" s="140"/>
      <c r="BZ186" s="140"/>
      <c r="CA186" s="140"/>
      <c r="CB186" s="140"/>
      <c r="CC186" s="140"/>
      <c r="CD186" s="140"/>
      <c r="CE186" s="140"/>
      <c r="CF186" s="140"/>
      <c r="CG186" s="140"/>
      <c r="CH186" s="140"/>
      <c r="CI186" s="140"/>
      <c r="CJ186" s="140"/>
      <c r="CK186" s="140"/>
      <c r="CL186" s="140"/>
      <c r="CM186" s="140"/>
      <c r="CN186" s="140"/>
      <c r="CO186" s="140"/>
      <c r="CP186" s="140"/>
      <c r="CQ186" s="140"/>
      <c r="CR186" s="140"/>
      <c r="CS186" s="140"/>
      <c r="CT186" s="140"/>
      <c r="CU186" s="140"/>
      <c r="CV186" s="140"/>
      <c r="CW186" s="140"/>
      <c r="CX186" s="140"/>
      <c r="CY186" s="140"/>
      <c r="CZ186" s="140"/>
    </row>
    <row r="187" spans="1:104" x14ac:dyDescent="0.25">
      <c r="A187" s="175"/>
      <c r="B187" s="140"/>
      <c r="C187" s="574"/>
      <c r="D187" s="140"/>
      <c r="E187" s="140"/>
      <c r="F187" s="140"/>
      <c r="G187" s="140"/>
      <c r="H187" s="140"/>
      <c r="I187" s="140"/>
      <c r="J187" s="575"/>
      <c r="K187" s="575"/>
      <c r="L187" s="575"/>
      <c r="M187" s="575"/>
      <c r="N187" s="140"/>
      <c r="O187" s="140"/>
      <c r="P187" s="140"/>
      <c r="Q187" s="140"/>
      <c r="R187" s="175"/>
      <c r="S187" s="175"/>
      <c r="T187" s="175"/>
      <c r="U187" s="175"/>
      <c r="V187" s="175"/>
      <c r="W187" s="175"/>
      <c r="X187" s="634"/>
      <c r="Y187" s="634"/>
      <c r="Z187" s="175"/>
      <c r="AA187" s="175"/>
      <c r="AB187" s="175"/>
      <c r="AC187" s="175"/>
      <c r="AD187" s="175"/>
      <c r="AE187" s="175"/>
      <c r="AF187" s="175"/>
      <c r="AG187" s="175"/>
      <c r="AH187" s="175"/>
      <c r="AI187" s="175"/>
      <c r="AJ187" s="175"/>
      <c r="AK187" s="175"/>
      <c r="AL187" s="175"/>
      <c r="AM187" s="175"/>
      <c r="AN187" s="175"/>
      <c r="AO187" s="175"/>
      <c r="AP187" s="175"/>
      <c r="AQ187" s="175"/>
      <c r="AR187" s="175"/>
      <c r="AS187" s="175"/>
      <c r="AT187" s="175"/>
      <c r="AU187" s="175"/>
      <c r="AV187" s="175"/>
      <c r="AW187" s="175"/>
      <c r="AX187" s="175"/>
      <c r="AY187" s="175"/>
      <c r="AZ187" s="175"/>
      <c r="BA187" s="175"/>
      <c r="BB187" s="633"/>
      <c r="BC187" s="175"/>
      <c r="BD187" s="175"/>
      <c r="BE187" s="175"/>
      <c r="BF187" s="175"/>
      <c r="BG187" s="175"/>
      <c r="BH187" s="175"/>
      <c r="BI187" s="175"/>
      <c r="BJ187" s="175"/>
      <c r="BK187" s="175"/>
      <c r="BL187" s="175"/>
      <c r="BM187" s="175"/>
      <c r="BN187" s="175"/>
      <c r="BO187" s="175"/>
      <c r="BP187" s="635"/>
      <c r="BQ187" s="175"/>
      <c r="BR187" s="175"/>
      <c r="BS187" s="175"/>
      <c r="BT187" s="175"/>
      <c r="BU187" s="175"/>
      <c r="BV187" s="175"/>
      <c r="BW187" s="175"/>
      <c r="BX187" s="140"/>
      <c r="BY187" s="140"/>
      <c r="BZ187" s="140"/>
      <c r="CA187" s="140"/>
      <c r="CB187" s="140"/>
      <c r="CC187" s="140"/>
      <c r="CD187" s="140"/>
      <c r="CE187" s="140"/>
      <c r="CF187" s="140"/>
      <c r="CG187" s="140"/>
      <c r="CH187" s="140"/>
      <c r="CI187" s="140"/>
      <c r="CJ187" s="140"/>
      <c r="CK187" s="140"/>
      <c r="CL187" s="140"/>
      <c r="CM187" s="140"/>
      <c r="CN187" s="140"/>
      <c r="CO187" s="140"/>
      <c r="CP187" s="140"/>
      <c r="CQ187" s="140"/>
      <c r="CR187" s="140"/>
      <c r="CS187" s="140"/>
      <c r="CT187" s="140"/>
      <c r="CU187" s="140"/>
      <c r="CV187" s="140"/>
      <c r="CW187" s="140"/>
      <c r="CX187" s="140"/>
      <c r="CY187" s="140"/>
      <c r="CZ187" s="140"/>
    </row>
    <row r="188" spans="1:104" x14ac:dyDescent="0.25">
      <c r="A188" s="175"/>
      <c r="B188" s="140"/>
      <c r="C188" s="574"/>
      <c r="D188" s="140"/>
      <c r="E188" s="140"/>
      <c r="F188" s="140"/>
      <c r="G188" s="140"/>
      <c r="H188" s="140"/>
      <c r="I188" s="140"/>
      <c r="J188" s="575"/>
      <c r="K188" s="575"/>
      <c r="L188" s="575"/>
      <c r="M188" s="575"/>
      <c r="N188" s="140"/>
      <c r="O188" s="140"/>
      <c r="P188" s="140"/>
      <c r="Q188" s="140"/>
      <c r="R188" s="175"/>
      <c r="S188" s="175"/>
      <c r="T188" s="175"/>
      <c r="U188" s="175"/>
      <c r="V188" s="175"/>
      <c r="W188" s="175"/>
      <c r="X188" s="634"/>
      <c r="Y188" s="634"/>
      <c r="Z188" s="175"/>
      <c r="AA188" s="175"/>
      <c r="AB188" s="175"/>
      <c r="AC188" s="175"/>
      <c r="AD188" s="175"/>
      <c r="AE188" s="175"/>
      <c r="AF188" s="175"/>
      <c r="AG188" s="175"/>
      <c r="AH188" s="175"/>
      <c r="AI188" s="175"/>
      <c r="AJ188" s="175"/>
      <c r="AK188" s="175"/>
      <c r="AL188" s="175"/>
      <c r="AM188" s="175"/>
      <c r="AN188" s="175"/>
      <c r="AO188" s="175"/>
      <c r="AP188" s="175"/>
      <c r="AQ188" s="175"/>
      <c r="AR188" s="175"/>
      <c r="AS188" s="175"/>
      <c r="AT188" s="175"/>
      <c r="AU188" s="175"/>
      <c r="AV188" s="175"/>
      <c r="AW188" s="175"/>
      <c r="AX188" s="175"/>
      <c r="AY188" s="175"/>
      <c r="AZ188" s="175"/>
      <c r="BA188" s="175"/>
      <c r="BB188" s="633"/>
      <c r="BC188" s="175"/>
      <c r="BD188" s="175"/>
      <c r="BE188" s="175"/>
      <c r="BF188" s="175"/>
      <c r="BG188" s="175"/>
      <c r="BH188" s="175"/>
      <c r="BI188" s="175"/>
      <c r="BJ188" s="175"/>
      <c r="BK188" s="175"/>
      <c r="BL188" s="175"/>
      <c r="BM188" s="175"/>
      <c r="BN188" s="175"/>
      <c r="BO188" s="175"/>
      <c r="BP188" s="635"/>
      <c r="BQ188" s="175"/>
      <c r="BR188" s="175"/>
      <c r="BS188" s="175"/>
      <c r="BT188" s="175"/>
      <c r="BU188" s="175"/>
      <c r="BV188" s="175"/>
      <c r="BW188" s="175"/>
      <c r="BX188" s="140"/>
      <c r="BY188" s="140"/>
      <c r="BZ188" s="140"/>
      <c r="CA188" s="140"/>
      <c r="CB188" s="140"/>
      <c r="CC188" s="140"/>
      <c r="CD188" s="140"/>
      <c r="CE188" s="140"/>
      <c r="CF188" s="140"/>
      <c r="CG188" s="140"/>
      <c r="CH188" s="140"/>
      <c r="CI188" s="140"/>
      <c r="CJ188" s="140"/>
      <c r="CK188" s="140"/>
      <c r="CL188" s="140"/>
      <c r="CM188" s="140"/>
      <c r="CN188" s="140"/>
      <c r="CO188" s="140"/>
      <c r="CP188" s="140"/>
      <c r="CQ188" s="140"/>
      <c r="CR188" s="140"/>
      <c r="CS188" s="140"/>
      <c r="CT188" s="140"/>
      <c r="CU188" s="140"/>
      <c r="CV188" s="140"/>
      <c r="CW188" s="140"/>
      <c r="CX188" s="140"/>
      <c r="CY188" s="140"/>
      <c r="CZ188" s="140"/>
    </row>
    <row r="189" spans="1:104" x14ac:dyDescent="0.25">
      <c r="A189" s="175"/>
      <c r="B189" s="140"/>
      <c r="C189" s="574"/>
      <c r="D189" s="140"/>
      <c r="E189" s="140"/>
      <c r="F189" s="140"/>
      <c r="G189" s="140"/>
      <c r="H189" s="140"/>
      <c r="I189" s="140"/>
      <c r="J189" s="575"/>
      <c r="K189" s="575"/>
      <c r="L189" s="575"/>
      <c r="M189" s="575"/>
      <c r="N189" s="140"/>
      <c r="O189" s="140"/>
      <c r="P189" s="140"/>
      <c r="Q189" s="140"/>
      <c r="R189" s="175"/>
      <c r="S189" s="175"/>
      <c r="T189" s="175"/>
      <c r="U189" s="175"/>
      <c r="V189" s="175"/>
      <c r="W189" s="175"/>
      <c r="X189" s="634"/>
      <c r="Y189" s="634"/>
      <c r="Z189" s="175"/>
      <c r="AA189" s="175"/>
      <c r="AB189" s="175"/>
      <c r="AC189" s="175"/>
      <c r="AD189" s="175"/>
      <c r="AE189" s="175"/>
      <c r="AF189" s="175"/>
      <c r="AG189" s="175"/>
      <c r="AH189" s="175"/>
      <c r="AI189" s="175"/>
      <c r="AJ189" s="175"/>
      <c r="AK189" s="175"/>
      <c r="AL189" s="175"/>
      <c r="AM189" s="175"/>
      <c r="AN189" s="175"/>
      <c r="AO189" s="175"/>
      <c r="AP189" s="175"/>
      <c r="AQ189" s="175"/>
      <c r="AR189" s="175"/>
      <c r="AS189" s="175"/>
      <c r="AT189" s="175"/>
      <c r="AU189" s="175"/>
      <c r="AV189" s="175"/>
      <c r="AW189" s="175"/>
      <c r="AX189" s="175"/>
      <c r="AY189" s="175"/>
      <c r="AZ189" s="175"/>
      <c r="BA189" s="175"/>
      <c r="BB189" s="633"/>
      <c r="BC189" s="175"/>
      <c r="BD189" s="175"/>
      <c r="BE189" s="175"/>
      <c r="BF189" s="175"/>
      <c r="BG189" s="175"/>
      <c r="BH189" s="175"/>
      <c r="BI189" s="175"/>
      <c r="BJ189" s="175"/>
      <c r="BK189" s="175"/>
      <c r="BL189" s="175"/>
      <c r="BM189" s="175"/>
      <c r="BN189" s="175"/>
      <c r="BO189" s="175"/>
      <c r="BP189" s="635"/>
      <c r="BQ189" s="175"/>
      <c r="BR189" s="175"/>
      <c r="BS189" s="175"/>
      <c r="BT189" s="175"/>
      <c r="BU189" s="175"/>
      <c r="BV189" s="175"/>
      <c r="BW189" s="175"/>
      <c r="BX189" s="140"/>
      <c r="BY189" s="140"/>
      <c r="BZ189" s="140"/>
      <c r="CA189" s="140"/>
      <c r="CB189" s="140"/>
      <c r="CC189" s="140"/>
      <c r="CD189" s="140"/>
      <c r="CE189" s="140"/>
      <c r="CF189" s="140"/>
      <c r="CG189" s="140"/>
      <c r="CH189" s="140"/>
      <c r="CI189" s="140"/>
      <c r="CJ189" s="140"/>
      <c r="CK189" s="140"/>
      <c r="CL189" s="140"/>
      <c r="CM189" s="140"/>
      <c r="CN189" s="140"/>
      <c r="CO189" s="140"/>
      <c r="CP189" s="140"/>
      <c r="CQ189" s="140"/>
      <c r="CR189" s="140"/>
      <c r="CS189" s="140"/>
      <c r="CT189" s="140"/>
      <c r="CU189" s="140"/>
      <c r="CV189" s="140"/>
      <c r="CW189" s="140"/>
      <c r="CX189" s="140"/>
      <c r="CY189" s="140"/>
      <c r="CZ189" s="140"/>
    </row>
    <row r="190" spans="1:104" x14ac:dyDescent="0.25">
      <c r="A190" s="175"/>
      <c r="B190" s="140"/>
      <c r="C190" s="574"/>
      <c r="D190" s="140"/>
      <c r="E190" s="140"/>
      <c r="F190" s="140"/>
      <c r="G190" s="140"/>
      <c r="H190" s="140"/>
      <c r="I190" s="140"/>
      <c r="J190" s="575"/>
      <c r="K190" s="575"/>
      <c r="L190" s="575"/>
      <c r="M190" s="575"/>
      <c r="N190" s="140"/>
      <c r="O190" s="140"/>
      <c r="P190" s="140"/>
      <c r="Q190" s="140"/>
      <c r="R190" s="175"/>
      <c r="S190" s="175"/>
      <c r="T190" s="175"/>
      <c r="U190" s="175"/>
      <c r="V190" s="175"/>
      <c r="W190" s="175"/>
      <c r="X190" s="634"/>
      <c r="Y190" s="634"/>
      <c r="Z190" s="175"/>
      <c r="AA190" s="175"/>
      <c r="AB190" s="175"/>
      <c r="AC190" s="175"/>
      <c r="AD190" s="175"/>
      <c r="AE190" s="175"/>
      <c r="AF190" s="175"/>
      <c r="AG190" s="175"/>
      <c r="AH190" s="175"/>
      <c r="AI190" s="175"/>
      <c r="AJ190" s="175"/>
      <c r="AK190" s="175"/>
      <c r="AL190" s="175"/>
      <c r="AM190" s="175"/>
      <c r="AN190" s="175"/>
      <c r="AO190" s="175"/>
      <c r="AP190" s="175"/>
      <c r="AQ190" s="175"/>
      <c r="AR190" s="175"/>
      <c r="AS190" s="175"/>
      <c r="AT190" s="175"/>
      <c r="AU190" s="175"/>
      <c r="AV190" s="175"/>
      <c r="AW190" s="175"/>
      <c r="AX190" s="175"/>
      <c r="AY190" s="175"/>
      <c r="AZ190" s="175"/>
      <c r="BA190" s="175"/>
      <c r="BB190" s="633"/>
      <c r="BC190" s="175"/>
      <c r="BD190" s="175"/>
      <c r="BE190" s="175"/>
      <c r="BF190" s="175"/>
      <c r="BG190" s="175"/>
      <c r="BH190" s="175"/>
      <c r="BI190" s="175"/>
      <c r="BJ190" s="175"/>
      <c r="BK190" s="175"/>
      <c r="BL190" s="175"/>
      <c r="BM190" s="175"/>
      <c r="BN190" s="175"/>
      <c r="BO190" s="175"/>
      <c r="BP190" s="635"/>
      <c r="BQ190" s="175"/>
      <c r="BR190" s="175"/>
      <c r="BS190" s="175"/>
      <c r="BT190" s="175"/>
      <c r="BU190" s="175"/>
      <c r="BV190" s="175"/>
      <c r="BW190" s="175"/>
      <c r="BX190" s="140"/>
      <c r="BY190" s="140"/>
      <c r="BZ190" s="140"/>
      <c r="CA190" s="140"/>
      <c r="CB190" s="140"/>
      <c r="CC190" s="140"/>
      <c r="CD190" s="140"/>
      <c r="CE190" s="140"/>
      <c r="CF190" s="140"/>
      <c r="CG190" s="140"/>
      <c r="CH190" s="140"/>
      <c r="CI190" s="140"/>
      <c r="CJ190" s="140"/>
      <c r="CK190" s="140"/>
      <c r="CL190" s="140"/>
      <c r="CM190" s="140"/>
      <c r="CN190" s="140"/>
      <c r="CO190" s="140"/>
      <c r="CP190" s="140"/>
      <c r="CQ190" s="140"/>
      <c r="CR190" s="140"/>
      <c r="CS190" s="140"/>
      <c r="CT190" s="140"/>
      <c r="CU190" s="140"/>
      <c r="CV190" s="140"/>
      <c r="CW190" s="140"/>
      <c r="CX190" s="140"/>
      <c r="CY190" s="140"/>
      <c r="CZ190" s="140"/>
    </row>
    <row r="191" spans="1:104" x14ac:dyDescent="0.25">
      <c r="A191" s="175"/>
      <c r="B191" s="140"/>
      <c r="C191" s="574"/>
      <c r="D191" s="140"/>
      <c r="E191" s="140"/>
      <c r="F191" s="140"/>
      <c r="G191" s="140"/>
      <c r="H191" s="140"/>
      <c r="I191" s="140"/>
      <c r="J191" s="575"/>
      <c r="K191" s="575"/>
      <c r="L191" s="575"/>
      <c r="M191" s="575"/>
      <c r="N191" s="140"/>
      <c r="O191" s="140"/>
      <c r="P191" s="140"/>
      <c r="Q191" s="140"/>
      <c r="R191" s="175"/>
      <c r="S191" s="175"/>
      <c r="T191" s="175"/>
      <c r="U191" s="175"/>
      <c r="V191" s="175"/>
      <c r="W191" s="175"/>
      <c r="X191" s="634"/>
      <c r="Y191" s="634"/>
      <c r="Z191" s="175"/>
      <c r="AA191" s="175"/>
      <c r="AB191" s="175"/>
      <c r="AC191" s="175"/>
      <c r="AD191" s="175"/>
      <c r="AE191" s="175"/>
      <c r="AF191" s="175"/>
      <c r="AG191" s="175"/>
      <c r="AH191" s="175"/>
      <c r="AI191" s="175"/>
      <c r="AJ191" s="175"/>
      <c r="AK191" s="175"/>
      <c r="AL191" s="175"/>
      <c r="AM191" s="175"/>
      <c r="AN191" s="175"/>
      <c r="AO191" s="175"/>
      <c r="AP191" s="175"/>
      <c r="AQ191" s="175"/>
      <c r="AR191" s="175"/>
      <c r="AS191" s="175"/>
      <c r="AT191" s="175"/>
      <c r="AU191" s="175"/>
      <c r="AV191" s="175"/>
      <c r="AW191" s="175"/>
      <c r="AX191" s="175"/>
      <c r="AY191" s="175"/>
      <c r="AZ191" s="175"/>
      <c r="BA191" s="175"/>
      <c r="BB191" s="633"/>
      <c r="BC191" s="175"/>
      <c r="BD191" s="175"/>
      <c r="BE191" s="175"/>
      <c r="BF191" s="175"/>
      <c r="BG191" s="175"/>
      <c r="BH191" s="175"/>
      <c r="BI191" s="175"/>
      <c r="BJ191" s="175"/>
      <c r="BK191" s="175"/>
      <c r="BL191" s="175"/>
      <c r="BM191" s="175"/>
      <c r="BN191" s="175"/>
      <c r="BO191" s="175"/>
      <c r="BP191" s="635"/>
      <c r="BQ191" s="175"/>
      <c r="BR191" s="175"/>
      <c r="BS191" s="175"/>
      <c r="BT191" s="175"/>
      <c r="BU191" s="175"/>
      <c r="BV191" s="175"/>
      <c r="BW191" s="175"/>
      <c r="BX191" s="140"/>
      <c r="BY191" s="140"/>
      <c r="BZ191" s="140"/>
      <c r="CA191" s="140"/>
      <c r="CB191" s="140"/>
      <c r="CC191" s="140"/>
      <c r="CD191" s="140"/>
      <c r="CE191" s="140"/>
      <c r="CF191" s="140"/>
      <c r="CG191" s="140"/>
      <c r="CH191" s="140"/>
      <c r="CI191" s="140"/>
      <c r="CJ191" s="140"/>
      <c r="CK191" s="140"/>
      <c r="CL191" s="140"/>
      <c r="CM191" s="140"/>
      <c r="CN191" s="140"/>
      <c r="CO191" s="140"/>
      <c r="CP191" s="140"/>
      <c r="CQ191" s="140"/>
      <c r="CR191" s="140"/>
      <c r="CS191" s="140"/>
      <c r="CT191" s="140"/>
      <c r="CU191" s="140"/>
      <c r="CV191" s="140"/>
      <c r="CW191" s="140"/>
      <c r="CX191" s="140"/>
      <c r="CY191" s="140"/>
      <c r="CZ191" s="140"/>
    </row>
    <row r="192" spans="1:104" x14ac:dyDescent="0.25">
      <c r="A192" s="175"/>
      <c r="B192" s="140"/>
      <c r="C192" s="574"/>
      <c r="D192" s="140"/>
      <c r="E192" s="140"/>
      <c r="F192" s="140"/>
      <c r="G192" s="140"/>
      <c r="H192" s="140"/>
      <c r="I192" s="140"/>
      <c r="J192" s="575"/>
      <c r="K192" s="575"/>
      <c r="L192" s="575"/>
      <c r="M192" s="575"/>
      <c r="N192" s="140"/>
      <c r="O192" s="140"/>
      <c r="P192" s="140"/>
      <c r="Q192" s="140"/>
      <c r="R192" s="175"/>
      <c r="S192" s="175"/>
      <c r="T192" s="175"/>
      <c r="U192" s="175"/>
      <c r="V192" s="175"/>
      <c r="W192" s="175"/>
      <c r="X192" s="634"/>
      <c r="Y192" s="634"/>
      <c r="Z192" s="175"/>
      <c r="AA192" s="175"/>
      <c r="AB192" s="175"/>
      <c r="AC192" s="175"/>
      <c r="AD192" s="175"/>
      <c r="AE192" s="175"/>
      <c r="AF192" s="175"/>
      <c r="AG192" s="175"/>
      <c r="AH192" s="175"/>
      <c r="AI192" s="175"/>
      <c r="AJ192" s="175"/>
      <c r="AK192" s="175"/>
      <c r="AL192" s="175"/>
      <c r="AM192" s="175"/>
      <c r="AN192" s="175"/>
      <c r="AO192" s="175"/>
      <c r="AP192" s="175"/>
      <c r="AQ192" s="175"/>
      <c r="AR192" s="175"/>
      <c r="AS192" s="175"/>
      <c r="AT192" s="175"/>
      <c r="AU192" s="175"/>
      <c r="AV192" s="175"/>
      <c r="AW192" s="175"/>
      <c r="AX192" s="175"/>
      <c r="AY192" s="175"/>
      <c r="AZ192" s="175"/>
      <c r="BA192" s="175"/>
      <c r="BB192" s="633"/>
      <c r="BC192" s="175"/>
      <c r="BD192" s="175"/>
      <c r="BE192" s="175"/>
      <c r="BF192" s="175"/>
      <c r="BG192" s="175"/>
      <c r="BH192" s="175"/>
      <c r="BI192" s="175"/>
      <c r="BJ192" s="175"/>
      <c r="BK192" s="175"/>
      <c r="BL192" s="175"/>
      <c r="BM192" s="175"/>
      <c r="BN192" s="175"/>
      <c r="BO192" s="175"/>
      <c r="BP192" s="635"/>
      <c r="BQ192" s="175"/>
      <c r="BR192" s="175"/>
      <c r="BS192" s="175"/>
      <c r="BT192" s="175"/>
      <c r="BU192" s="175"/>
      <c r="BV192" s="175"/>
      <c r="BW192" s="175"/>
      <c r="BX192" s="140"/>
      <c r="BY192" s="140"/>
      <c r="BZ192" s="140"/>
      <c r="CA192" s="140"/>
      <c r="CB192" s="140"/>
      <c r="CC192" s="140"/>
      <c r="CD192" s="140"/>
      <c r="CE192" s="140"/>
      <c r="CF192" s="140"/>
      <c r="CG192" s="140"/>
      <c r="CH192" s="140"/>
      <c r="CI192" s="140"/>
      <c r="CJ192" s="140"/>
      <c r="CK192" s="140"/>
      <c r="CL192" s="140"/>
      <c r="CM192" s="140"/>
      <c r="CN192" s="140"/>
      <c r="CO192" s="140"/>
      <c r="CP192" s="140"/>
      <c r="CQ192" s="140"/>
      <c r="CR192" s="140"/>
      <c r="CS192" s="140"/>
      <c r="CT192" s="140"/>
      <c r="CU192" s="140"/>
      <c r="CV192" s="140"/>
      <c r="CW192" s="140"/>
      <c r="CX192" s="140"/>
      <c r="CY192" s="140"/>
      <c r="CZ192" s="140"/>
    </row>
    <row r="193" spans="1:104" x14ac:dyDescent="0.25">
      <c r="A193" s="175"/>
      <c r="B193" s="140"/>
      <c r="C193" s="574"/>
      <c r="D193" s="140"/>
      <c r="E193" s="140"/>
      <c r="F193" s="140"/>
      <c r="G193" s="140"/>
      <c r="H193" s="140"/>
      <c r="I193" s="140"/>
      <c r="J193" s="575"/>
      <c r="K193" s="575"/>
      <c r="L193" s="575"/>
      <c r="M193" s="575"/>
      <c r="N193" s="140"/>
      <c r="O193" s="140"/>
      <c r="P193" s="140"/>
      <c r="Q193" s="140"/>
      <c r="R193" s="175"/>
      <c r="S193" s="175"/>
      <c r="T193" s="175"/>
      <c r="U193" s="175"/>
      <c r="V193" s="175"/>
      <c r="W193" s="175"/>
      <c r="X193" s="634"/>
      <c r="Y193" s="634"/>
      <c r="Z193" s="175"/>
      <c r="AA193" s="175"/>
      <c r="AB193" s="175"/>
      <c r="AC193" s="175"/>
      <c r="AD193" s="175"/>
      <c r="AE193" s="175"/>
      <c r="AF193" s="175"/>
      <c r="AG193" s="175"/>
      <c r="AH193" s="175"/>
      <c r="AI193" s="175"/>
      <c r="AJ193" s="175"/>
      <c r="AK193" s="175"/>
      <c r="AL193" s="175"/>
      <c r="AM193" s="175"/>
      <c r="AN193" s="175"/>
      <c r="AO193" s="175"/>
      <c r="AP193" s="175"/>
      <c r="AQ193" s="175"/>
      <c r="AR193" s="175"/>
      <c r="AS193" s="175"/>
      <c r="AT193" s="175"/>
      <c r="AU193" s="175"/>
      <c r="AV193" s="175"/>
      <c r="AW193" s="175"/>
      <c r="AX193" s="175"/>
      <c r="AY193" s="175"/>
      <c r="AZ193" s="175"/>
      <c r="BA193" s="175"/>
      <c r="BB193" s="633"/>
      <c r="BC193" s="175"/>
      <c r="BD193" s="175"/>
      <c r="BE193" s="175"/>
      <c r="BF193" s="175"/>
      <c r="BG193" s="175"/>
      <c r="BH193" s="175"/>
      <c r="BI193" s="175"/>
      <c r="BJ193" s="175"/>
      <c r="BK193" s="175"/>
      <c r="BL193" s="175"/>
      <c r="BM193" s="175"/>
      <c r="BN193" s="175"/>
      <c r="BO193" s="175"/>
      <c r="BP193" s="635"/>
      <c r="BQ193" s="175"/>
      <c r="BR193" s="175"/>
      <c r="BS193" s="175"/>
      <c r="BT193" s="175"/>
      <c r="BU193" s="175"/>
      <c r="BV193" s="175"/>
      <c r="BW193" s="175"/>
      <c r="BX193" s="140"/>
      <c r="BY193" s="140"/>
      <c r="BZ193" s="140"/>
      <c r="CA193" s="140"/>
      <c r="CB193" s="140"/>
      <c r="CC193" s="140"/>
      <c r="CD193" s="140"/>
      <c r="CE193" s="140"/>
      <c r="CF193" s="140"/>
      <c r="CG193" s="140"/>
      <c r="CH193" s="140"/>
      <c r="CI193" s="140"/>
      <c r="CJ193" s="140"/>
      <c r="CK193" s="140"/>
      <c r="CL193" s="140"/>
      <c r="CM193" s="140"/>
      <c r="CN193" s="140"/>
      <c r="CO193" s="140"/>
      <c r="CP193" s="140"/>
      <c r="CQ193" s="140"/>
      <c r="CR193" s="140"/>
      <c r="CS193" s="140"/>
      <c r="CT193" s="140"/>
      <c r="CU193" s="140"/>
      <c r="CV193" s="140"/>
      <c r="CW193" s="140"/>
      <c r="CX193" s="140"/>
      <c r="CY193" s="140"/>
      <c r="CZ193" s="140"/>
    </row>
    <row r="194" spans="1:104" x14ac:dyDescent="0.25">
      <c r="A194" s="175"/>
      <c r="B194" s="140"/>
      <c r="C194" s="574"/>
      <c r="D194" s="140"/>
      <c r="E194" s="140"/>
      <c r="F194" s="140"/>
      <c r="G194" s="140"/>
      <c r="H194" s="140"/>
      <c r="I194" s="140"/>
      <c r="J194" s="575"/>
      <c r="K194" s="575"/>
      <c r="L194" s="575"/>
      <c r="M194" s="575"/>
      <c r="N194" s="140"/>
      <c r="O194" s="140"/>
      <c r="P194" s="140"/>
      <c r="Q194" s="140"/>
      <c r="R194" s="175"/>
      <c r="S194" s="175"/>
      <c r="T194" s="175"/>
      <c r="U194" s="175"/>
      <c r="V194" s="175"/>
      <c r="W194" s="175"/>
      <c r="X194" s="634"/>
      <c r="Y194" s="634"/>
      <c r="Z194" s="175"/>
      <c r="AA194" s="175"/>
      <c r="AB194" s="175"/>
      <c r="AC194" s="175"/>
      <c r="AD194" s="175"/>
      <c r="AE194" s="175"/>
      <c r="AF194" s="175"/>
      <c r="AG194" s="175"/>
      <c r="AH194" s="175"/>
      <c r="AI194" s="175"/>
      <c r="AJ194" s="175"/>
      <c r="AK194" s="175"/>
      <c r="AL194" s="175"/>
      <c r="AM194" s="175"/>
      <c r="AN194" s="175"/>
      <c r="AO194" s="175"/>
      <c r="AP194" s="175"/>
      <c r="AQ194" s="175"/>
      <c r="AR194" s="175"/>
      <c r="AS194" s="175"/>
      <c r="AT194" s="175"/>
      <c r="AU194" s="175"/>
      <c r="AV194" s="175"/>
      <c r="AW194" s="175"/>
      <c r="AX194" s="175"/>
      <c r="AY194" s="175"/>
      <c r="AZ194" s="175"/>
      <c r="BA194" s="175"/>
      <c r="BB194" s="633"/>
      <c r="BC194" s="175"/>
      <c r="BD194" s="175"/>
      <c r="BE194" s="175"/>
      <c r="BF194" s="175"/>
      <c r="BG194" s="175"/>
      <c r="BH194" s="175"/>
      <c r="BI194" s="175"/>
      <c r="BJ194" s="175"/>
      <c r="BK194" s="175"/>
      <c r="BL194" s="175"/>
      <c r="BM194" s="175"/>
      <c r="BN194" s="175"/>
      <c r="BO194" s="175"/>
      <c r="BP194" s="635"/>
      <c r="BQ194" s="175"/>
      <c r="BR194" s="175"/>
      <c r="BS194" s="175"/>
      <c r="BT194" s="175"/>
      <c r="BU194" s="175"/>
      <c r="BV194" s="175"/>
      <c r="BW194" s="175"/>
      <c r="BX194" s="140"/>
      <c r="BY194" s="140"/>
      <c r="BZ194" s="140"/>
      <c r="CA194" s="140"/>
      <c r="CB194" s="140"/>
      <c r="CC194" s="140"/>
      <c r="CD194" s="140"/>
      <c r="CE194" s="140"/>
      <c r="CF194" s="140"/>
      <c r="CG194" s="140"/>
      <c r="CH194" s="140"/>
      <c r="CI194" s="140"/>
      <c r="CJ194" s="140"/>
      <c r="CK194" s="140"/>
      <c r="CL194" s="140"/>
      <c r="CM194" s="140"/>
      <c r="CN194" s="140"/>
      <c r="CO194" s="140"/>
      <c r="CP194" s="140"/>
      <c r="CQ194" s="140"/>
      <c r="CR194" s="140"/>
      <c r="CS194" s="140"/>
      <c r="CT194" s="140"/>
      <c r="CU194" s="140"/>
      <c r="CV194" s="140"/>
      <c r="CW194" s="140"/>
      <c r="CX194" s="140"/>
      <c r="CY194" s="140"/>
      <c r="CZ194" s="140"/>
    </row>
    <row r="195" spans="1:104" x14ac:dyDescent="0.25">
      <c r="A195" s="175"/>
      <c r="B195" s="140"/>
      <c r="C195" s="574"/>
      <c r="D195" s="140"/>
      <c r="E195" s="140"/>
      <c r="F195" s="140"/>
      <c r="G195" s="140"/>
      <c r="H195" s="140"/>
      <c r="I195" s="140"/>
      <c r="J195" s="575"/>
      <c r="K195" s="575"/>
      <c r="L195" s="575"/>
      <c r="M195" s="575"/>
      <c r="N195" s="140"/>
      <c r="O195" s="140"/>
      <c r="P195" s="140"/>
      <c r="Q195" s="140"/>
      <c r="R195" s="175"/>
      <c r="S195" s="175"/>
      <c r="T195" s="175"/>
      <c r="U195" s="175"/>
      <c r="V195" s="175"/>
      <c r="W195" s="175"/>
      <c r="X195" s="634"/>
      <c r="Y195" s="634"/>
      <c r="Z195" s="175"/>
      <c r="AA195" s="175"/>
      <c r="AB195" s="175"/>
      <c r="AC195" s="175"/>
      <c r="AD195" s="175"/>
      <c r="AE195" s="175"/>
      <c r="AF195" s="175"/>
      <c r="AG195" s="175"/>
      <c r="AH195" s="175"/>
      <c r="AI195" s="175"/>
      <c r="AJ195" s="175"/>
      <c r="AK195" s="175"/>
      <c r="AL195" s="175"/>
      <c r="AM195" s="175"/>
      <c r="AN195" s="175"/>
      <c r="AO195" s="175"/>
      <c r="AP195" s="175"/>
      <c r="AQ195" s="175"/>
      <c r="AR195" s="175"/>
      <c r="AS195" s="175"/>
      <c r="AT195" s="175"/>
      <c r="AU195" s="175"/>
      <c r="AV195" s="175"/>
      <c r="AW195" s="175"/>
      <c r="AX195" s="175"/>
      <c r="AY195" s="175"/>
      <c r="AZ195" s="175"/>
      <c r="BA195" s="175"/>
      <c r="BB195" s="633"/>
      <c r="BC195" s="175"/>
      <c r="BD195" s="175"/>
      <c r="BE195" s="175"/>
      <c r="BF195" s="175"/>
      <c r="BG195" s="175"/>
      <c r="BH195" s="175"/>
      <c r="BI195" s="175"/>
      <c r="BJ195" s="175"/>
      <c r="BK195" s="175"/>
      <c r="BL195" s="175"/>
      <c r="BM195" s="175"/>
      <c r="BN195" s="175"/>
      <c r="BO195" s="175"/>
      <c r="BP195" s="635"/>
      <c r="BQ195" s="175"/>
      <c r="BR195" s="175"/>
      <c r="BS195" s="175"/>
      <c r="BT195" s="175"/>
      <c r="BU195" s="175"/>
      <c r="BV195" s="175"/>
      <c r="BW195" s="175"/>
      <c r="BX195" s="140"/>
      <c r="BY195" s="140"/>
      <c r="BZ195" s="140"/>
      <c r="CA195" s="140"/>
      <c r="CB195" s="140"/>
      <c r="CC195" s="140"/>
      <c r="CD195" s="140"/>
      <c r="CE195" s="140"/>
      <c r="CF195" s="140"/>
      <c r="CG195" s="140"/>
      <c r="CH195" s="140"/>
      <c r="CI195" s="140"/>
      <c r="CJ195" s="140"/>
      <c r="CK195" s="140"/>
      <c r="CL195" s="140"/>
      <c r="CM195" s="140"/>
      <c r="CN195" s="140"/>
      <c r="CO195" s="140"/>
      <c r="CP195" s="140"/>
      <c r="CQ195" s="140"/>
      <c r="CR195" s="140"/>
      <c r="CS195" s="140"/>
      <c r="CT195" s="140"/>
      <c r="CU195" s="140"/>
      <c r="CV195" s="140"/>
      <c r="CW195" s="140"/>
      <c r="CX195" s="140"/>
      <c r="CY195" s="140"/>
      <c r="CZ195" s="140"/>
    </row>
    <row r="196" spans="1:104" x14ac:dyDescent="0.25">
      <c r="A196" s="175"/>
      <c r="B196" s="140"/>
      <c r="C196" s="574"/>
      <c r="D196" s="140"/>
      <c r="E196" s="140"/>
      <c r="F196" s="140"/>
      <c r="G196" s="140"/>
      <c r="H196" s="140"/>
      <c r="I196" s="140"/>
      <c r="J196" s="575"/>
      <c r="K196" s="575"/>
      <c r="L196" s="575"/>
      <c r="M196" s="575"/>
      <c r="N196" s="140"/>
      <c r="O196" s="140"/>
      <c r="P196" s="140"/>
      <c r="Q196" s="140"/>
      <c r="R196" s="175"/>
      <c r="S196" s="175"/>
      <c r="T196" s="175"/>
      <c r="U196" s="175"/>
      <c r="V196" s="175"/>
      <c r="W196" s="175"/>
      <c r="X196" s="634"/>
      <c r="Y196" s="634"/>
      <c r="Z196" s="175"/>
      <c r="AA196" s="175"/>
      <c r="AB196" s="175"/>
      <c r="AC196" s="175"/>
      <c r="AD196" s="175"/>
      <c r="AE196" s="175"/>
      <c r="AF196" s="175"/>
      <c r="AG196" s="175"/>
      <c r="AH196" s="175"/>
      <c r="AI196" s="175"/>
      <c r="AJ196" s="175"/>
      <c r="AK196" s="175"/>
      <c r="AL196" s="175"/>
      <c r="AM196" s="175"/>
      <c r="AN196" s="175"/>
      <c r="AO196" s="175"/>
      <c r="AP196" s="175"/>
      <c r="AQ196" s="175"/>
      <c r="AR196" s="175"/>
      <c r="AS196" s="175"/>
      <c r="AT196" s="175"/>
      <c r="AU196" s="175"/>
      <c r="AV196" s="175"/>
      <c r="AW196" s="175"/>
      <c r="AX196" s="175"/>
      <c r="AY196" s="175"/>
      <c r="AZ196" s="175"/>
      <c r="BA196" s="175"/>
      <c r="BB196" s="633"/>
      <c r="BC196" s="175"/>
      <c r="BD196" s="175"/>
      <c r="BE196" s="175"/>
      <c r="BF196" s="175"/>
      <c r="BG196" s="175"/>
      <c r="BH196" s="175"/>
      <c r="BI196" s="175"/>
      <c r="BJ196" s="175"/>
      <c r="BK196" s="175"/>
      <c r="BL196" s="175"/>
      <c r="BM196" s="175"/>
      <c r="BN196" s="175"/>
      <c r="BO196" s="175"/>
      <c r="BP196" s="635"/>
      <c r="BQ196" s="175"/>
      <c r="BR196" s="175"/>
      <c r="BS196" s="175"/>
      <c r="BT196" s="175"/>
      <c r="BU196" s="175"/>
      <c r="BV196" s="175"/>
      <c r="BW196" s="175"/>
      <c r="BX196" s="140"/>
      <c r="BY196" s="140"/>
      <c r="BZ196" s="140"/>
      <c r="CA196" s="140"/>
      <c r="CB196" s="140"/>
      <c r="CC196" s="140"/>
      <c r="CD196" s="140"/>
      <c r="CE196" s="140"/>
      <c r="CF196" s="140"/>
      <c r="CG196" s="140"/>
      <c r="CH196" s="140"/>
      <c r="CI196" s="140"/>
      <c r="CJ196" s="140"/>
      <c r="CK196" s="140"/>
      <c r="CL196" s="140"/>
      <c r="CM196" s="140"/>
      <c r="CN196" s="140"/>
      <c r="CO196" s="140"/>
      <c r="CP196" s="140"/>
      <c r="CQ196" s="140"/>
      <c r="CR196" s="140"/>
      <c r="CS196" s="140"/>
      <c r="CT196" s="140"/>
      <c r="CU196" s="140"/>
      <c r="CV196" s="140"/>
      <c r="CW196" s="140"/>
      <c r="CX196" s="140"/>
      <c r="CY196" s="140"/>
      <c r="CZ196" s="140"/>
    </row>
    <row r="197" spans="1:104" x14ac:dyDescent="0.25">
      <c r="A197" s="175"/>
      <c r="B197" s="140"/>
      <c r="C197" s="574"/>
      <c r="D197" s="140"/>
      <c r="E197" s="140"/>
      <c r="F197" s="140"/>
      <c r="G197" s="140"/>
      <c r="H197" s="140"/>
      <c r="I197" s="140"/>
      <c r="J197" s="575"/>
      <c r="K197" s="575"/>
      <c r="L197" s="575"/>
      <c r="M197" s="575"/>
      <c r="N197" s="140"/>
      <c r="O197" s="140"/>
      <c r="P197" s="140"/>
      <c r="Q197" s="140"/>
      <c r="R197" s="175"/>
      <c r="S197" s="175"/>
      <c r="T197" s="175"/>
      <c r="U197" s="175"/>
      <c r="V197" s="175"/>
      <c r="W197" s="175"/>
      <c r="X197" s="634"/>
      <c r="Y197" s="634"/>
      <c r="Z197" s="175"/>
      <c r="AA197" s="175"/>
      <c r="AB197" s="175"/>
      <c r="AC197" s="175"/>
      <c r="AD197" s="175"/>
      <c r="AE197" s="175"/>
      <c r="AF197" s="175"/>
      <c r="AG197" s="175"/>
      <c r="AH197" s="175"/>
      <c r="AI197" s="175"/>
      <c r="AJ197" s="175"/>
      <c r="AK197" s="175"/>
      <c r="AL197" s="175"/>
      <c r="AM197" s="175"/>
      <c r="AN197" s="175"/>
      <c r="AO197" s="175"/>
      <c r="AP197" s="175"/>
      <c r="AQ197" s="175"/>
      <c r="AR197" s="175"/>
      <c r="AS197" s="175"/>
      <c r="AT197" s="175"/>
      <c r="AU197" s="175"/>
      <c r="AV197" s="175"/>
      <c r="AW197" s="175"/>
      <c r="AX197" s="175"/>
      <c r="AY197" s="175"/>
      <c r="AZ197" s="175"/>
      <c r="BA197" s="175"/>
      <c r="BB197" s="633"/>
      <c r="BC197" s="175"/>
      <c r="BD197" s="175"/>
      <c r="BE197" s="175"/>
      <c r="BF197" s="175"/>
      <c r="BG197" s="175"/>
      <c r="BH197" s="175"/>
      <c r="BI197" s="175"/>
      <c r="BJ197" s="175"/>
      <c r="BK197" s="175"/>
      <c r="BL197" s="175"/>
      <c r="BM197" s="175"/>
      <c r="BN197" s="175"/>
      <c r="BO197" s="175"/>
      <c r="BP197" s="635"/>
      <c r="BQ197" s="175"/>
      <c r="BR197" s="175"/>
      <c r="BS197" s="175"/>
      <c r="BT197" s="175"/>
      <c r="BU197" s="175"/>
      <c r="BV197" s="175"/>
      <c r="BW197" s="175"/>
      <c r="BX197" s="140"/>
      <c r="BY197" s="140"/>
      <c r="BZ197" s="140"/>
      <c r="CA197" s="140"/>
      <c r="CB197" s="140"/>
      <c r="CC197" s="140"/>
      <c r="CD197" s="140"/>
      <c r="CE197" s="140"/>
      <c r="CF197" s="140"/>
      <c r="CG197" s="140"/>
      <c r="CH197" s="140"/>
      <c r="CI197" s="140"/>
      <c r="CJ197" s="140"/>
      <c r="CK197" s="140"/>
      <c r="CL197" s="140"/>
      <c r="CM197" s="140"/>
      <c r="CN197" s="140"/>
      <c r="CO197" s="140"/>
      <c r="CP197" s="140"/>
      <c r="CQ197" s="140"/>
      <c r="CR197" s="140"/>
      <c r="CS197" s="140"/>
      <c r="CT197" s="140"/>
      <c r="CU197" s="140"/>
      <c r="CV197" s="140"/>
      <c r="CW197" s="140"/>
      <c r="CX197" s="140"/>
      <c r="CY197" s="140"/>
      <c r="CZ197" s="140"/>
    </row>
    <row r="198" spans="1:104" x14ac:dyDescent="0.25">
      <c r="A198" s="175"/>
      <c r="B198" s="140"/>
      <c r="C198" s="574"/>
      <c r="D198" s="140"/>
      <c r="E198" s="140"/>
      <c r="F198" s="140"/>
      <c r="G198" s="140"/>
      <c r="H198" s="140"/>
      <c r="I198" s="140"/>
      <c r="J198" s="575"/>
      <c r="K198" s="575"/>
      <c r="L198" s="575"/>
      <c r="M198" s="575"/>
      <c r="N198" s="140"/>
      <c r="O198" s="140"/>
      <c r="P198" s="140"/>
      <c r="Q198" s="140"/>
      <c r="R198" s="175"/>
      <c r="S198" s="175"/>
      <c r="T198" s="175"/>
      <c r="U198" s="175"/>
      <c r="V198" s="175"/>
      <c r="W198" s="175"/>
      <c r="X198" s="634"/>
      <c r="Y198" s="634"/>
      <c r="Z198" s="175"/>
      <c r="AA198" s="175"/>
      <c r="AB198" s="175"/>
      <c r="AC198" s="175"/>
      <c r="AD198" s="175"/>
      <c r="AE198" s="175"/>
      <c r="AF198" s="175"/>
      <c r="AG198" s="175"/>
      <c r="AH198" s="175"/>
      <c r="AI198" s="175"/>
      <c r="AJ198" s="175"/>
      <c r="AK198" s="175"/>
      <c r="AL198" s="175"/>
      <c r="AM198" s="175"/>
      <c r="AN198" s="175"/>
      <c r="AO198" s="175"/>
      <c r="AP198" s="175"/>
      <c r="AQ198" s="175"/>
      <c r="AR198" s="175"/>
      <c r="AS198" s="175"/>
      <c r="AT198" s="175"/>
      <c r="AU198" s="175"/>
      <c r="AV198" s="175"/>
      <c r="AW198" s="175"/>
      <c r="AX198" s="175"/>
      <c r="AY198" s="175"/>
      <c r="AZ198" s="175"/>
      <c r="BA198" s="175"/>
      <c r="BB198" s="633"/>
      <c r="BC198" s="175"/>
      <c r="BD198" s="175"/>
      <c r="BE198" s="175"/>
      <c r="BF198" s="175"/>
      <c r="BG198" s="175"/>
      <c r="BH198" s="175"/>
      <c r="BI198" s="175"/>
      <c r="BJ198" s="175"/>
      <c r="BK198" s="175"/>
      <c r="BL198" s="175"/>
      <c r="BM198" s="175"/>
      <c r="BN198" s="175"/>
      <c r="BO198" s="175"/>
      <c r="BP198" s="635"/>
      <c r="BQ198" s="175"/>
      <c r="BR198" s="175"/>
      <c r="BS198" s="175"/>
      <c r="BT198" s="175"/>
      <c r="BU198" s="175"/>
      <c r="BV198" s="175"/>
      <c r="BW198" s="175"/>
      <c r="BX198" s="140"/>
      <c r="BY198" s="140"/>
      <c r="BZ198" s="140"/>
      <c r="CA198" s="140"/>
      <c r="CB198" s="140"/>
      <c r="CC198" s="140"/>
      <c r="CD198" s="140"/>
      <c r="CE198" s="140"/>
      <c r="CF198" s="140"/>
      <c r="CG198" s="140"/>
      <c r="CH198" s="140"/>
      <c r="CI198" s="140"/>
      <c r="CJ198" s="140"/>
      <c r="CK198" s="140"/>
      <c r="CL198" s="140"/>
      <c r="CM198" s="140"/>
      <c r="CN198" s="140"/>
      <c r="CO198" s="140"/>
      <c r="CP198" s="140"/>
      <c r="CQ198" s="140"/>
      <c r="CR198" s="140"/>
      <c r="CS198" s="140"/>
      <c r="CT198" s="140"/>
      <c r="CU198" s="140"/>
      <c r="CV198" s="140"/>
      <c r="CW198" s="140"/>
      <c r="CX198" s="140"/>
      <c r="CY198" s="140"/>
      <c r="CZ198" s="140"/>
    </row>
    <row r="199" spans="1:104" x14ac:dyDescent="0.25">
      <c r="A199" s="175"/>
      <c r="B199" s="140"/>
      <c r="C199" s="574"/>
      <c r="D199" s="140"/>
      <c r="E199" s="140"/>
      <c r="F199" s="140"/>
      <c r="G199" s="140"/>
      <c r="H199" s="140"/>
      <c r="I199" s="140"/>
      <c r="J199" s="575"/>
      <c r="K199" s="575"/>
      <c r="L199" s="575"/>
      <c r="M199" s="575"/>
      <c r="N199" s="140"/>
      <c r="O199" s="140"/>
      <c r="P199" s="140"/>
      <c r="Q199" s="140"/>
      <c r="R199" s="175"/>
      <c r="S199" s="175"/>
      <c r="T199" s="175"/>
      <c r="U199" s="175"/>
      <c r="V199" s="175"/>
      <c r="W199" s="175"/>
      <c r="X199" s="634"/>
      <c r="Y199" s="634"/>
      <c r="Z199" s="175"/>
      <c r="AA199" s="175"/>
      <c r="AB199" s="175"/>
      <c r="AC199" s="175"/>
      <c r="AD199" s="175"/>
      <c r="AE199" s="175"/>
      <c r="AF199" s="175"/>
      <c r="AG199" s="175"/>
      <c r="AH199" s="175"/>
      <c r="AI199" s="175"/>
      <c r="AJ199" s="175"/>
      <c r="AK199" s="175"/>
      <c r="AL199" s="175"/>
      <c r="AM199" s="175"/>
      <c r="AN199" s="175"/>
      <c r="AO199" s="175"/>
      <c r="AP199" s="175"/>
      <c r="AQ199" s="175"/>
      <c r="AR199" s="175"/>
      <c r="AS199" s="175"/>
      <c r="AT199" s="175"/>
      <c r="AU199" s="175"/>
      <c r="AV199" s="175"/>
      <c r="AW199" s="175"/>
      <c r="AX199" s="175"/>
      <c r="AY199" s="175"/>
      <c r="AZ199" s="175"/>
      <c r="BA199" s="175"/>
      <c r="BB199" s="633"/>
      <c r="BC199" s="175"/>
      <c r="BD199" s="175"/>
      <c r="BE199" s="175"/>
      <c r="BF199" s="175"/>
      <c r="BG199" s="175"/>
      <c r="BH199" s="175"/>
      <c r="BI199" s="175"/>
      <c r="BJ199" s="175"/>
      <c r="BK199" s="175"/>
      <c r="BL199" s="175"/>
      <c r="BM199" s="175"/>
      <c r="BN199" s="175"/>
      <c r="BO199" s="175"/>
      <c r="BP199" s="635"/>
      <c r="BQ199" s="175"/>
      <c r="BR199" s="175"/>
      <c r="BS199" s="175"/>
      <c r="BT199" s="175"/>
      <c r="BU199" s="175"/>
      <c r="BV199" s="175"/>
      <c r="BW199" s="175"/>
      <c r="BX199" s="140"/>
      <c r="BY199" s="140"/>
      <c r="BZ199" s="140"/>
      <c r="CA199" s="140"/>
      <c r="CB199" s="140"/>
      <c r="CC199" s="140"/>
      <c r="CD199" s="140"/>
      <c r="CE199" s="140"/>
      <c r="CF199" s="140"/>
      <c r="CG199" s="140"/>
      <c r="CH199" s="140"/>
      <c r="CI199" s="140"/>
      <c r="CJ199" s="140"/>
      <c r="CK199" s="140"/>
      <c r="CL199" s="140"/>
      <c r="CM199" s="140"/>
      <c r="CN199" s="140"/>
      <c r="CO199" s="140"/>
      <c r="CP199" s="140"/>
      <c r="CQ199" s="140"/>
      <c r="CR199" s="140"/>
      <c r="CS199" s="140"/>
      <c r="CT199" s="140"/>
      <c r="CU199" s="140"/>
      <c r="CV199" s="140"/>
      <c r="CW199" s="140"/>
      <c r="CX199" s="140"/>
      <c r="CY199" s="140"/>
      <c r="CZ199" s="140"/>
    </row>
    <row r="200" spans="1:104" x14ac:dyDescent="0.25">
      <c r="A200" s="175"/>
      <c r="B200" s="140"/>
      <c r="C200" s="574"/>
      <c r="D200" s="140"/>
      <c r="E200" s="140"/>
      <c r="F200" s="140"/>
      <c r="G200" s="140"/>
      <c r="H200" s="140"/>
      <c r="I200" s="140"/>
      <c r="J200" s="575"/>
      <c r="K200" s="575"/>
      <c r="L200" s="575"/>
      <c r="M200" s="575"/>
      <c r="N200" s="140"/>
      <c r="O200" s="140"/>
      <c r="P200" s="140"/>
      <c r="Q200" s="140"/>
      <c r="R200" s="175"/>
      <c r="S200" s="175"/>
      <c r="T200" s="175"/>
      <c r="U200" s="175"/>
      <c r="V200" s="175"/>
      <c r="W200" s="175"/>
      <c r="X200" s="634"/>
      <c r="Y200" s="634"/>
      <c r="Z200" s="175"/>
      <c r="AA200" s="175"/>
      <c r="AB200" s="175"/>
      <c r="AC200" s="175"/>
      <c r="AD200" s="175"/>
      <c r="AE200" s="175"/>
      <c r="AF200" s="175"/>
      <c r="AG200" s="175"/>
      <c r="AH200" s="175"/>
      <c r="AI200" s="175"/>
      <c r="AJ200" s="175"/>
      <c r="AK200" s="175"/>
      <c r="AL200" s="175"/>
      <c r="AM200" s="175"/>
      <c r="AN200" s="175"/>
      <c r="AO200" s="175"/>
      <c r="AP200" s="175"/>
      <c r="AQ200" s="175"/>
      <c r="AR200" s="175"/>
      <c r="AS200" s="175"/>
      <c r="AT200" s="175"/>
      <c r="AU200" s="175"/>
      <c r="AV200" s="175"/>
      <c r="AW200" s="175"/>
      <c r="AX200" s="175"/>
      <c r="AY200" s="175"/>
      <c r="AZ200" s="175"/>
      <c r="BA200" s="175"/>
      <c r="BB200" s="633"/>
      <c r="BC200" s="175"/>
      <c r="BD200" s="175"/>
      <c r="BE200" s="175"/>
      <c r="BF200" s="175"/>
      <c r="BG200" s="175"/>
      <c r="BH200" s="175"/>
      <c r="BI200" s="175"/>
      <c r="BJ200" s="175"/>
      <c r="BK200" s="175"/>
      <c r="BL200" s="175"/>
      <c r="BM200" s="175"/>
      <c r="BN200" s="175"/>
      <c r="BO200" s="175"/>
      <c r="BP200" s="635"/>
      <c r="BQ200" s="175"/>
      <c r="BR200" s="175"/>
      <c r="BS200" s="175"/>
      <c r="BT200" s="175"/>
      <c r="BU200" s="175"/>
      <c r="BV200" s="175"/>
      <c r="BW200" s="175"/>
      <c r="BX200" s="140"/>
      <c r="BY200" s="140"/>
      <c r="BZ200" s="140"/>
      <c r="CA200" s="140"/>
      <c r="CB200" s="140"/>
      <c r="CC200" s="140"/>
      <c r="CD200" s="140"/>
      <c r="CE200" s="140"/>
      <c r="CF200" s="140"/>
      <c r="CG200" s="140"/>
      <c r="CH200" s="140"/>
      <c r="CI200" s="140"/>
      <c r="CJ200" s="140"/>
      <c r="CK200" s="140"/>
      <c r="CL200" s="140"/>
      <c r="CM200" s="140"/>
      <c r="CN200" s="140"/>
      <c r="CO200" s="140"/>
      <c r="CP200" s="140"/>
      <c r="CQ200" s="140"/>
      <c r="CR200" s="140"/>
      <c r="CS200" s="140"/>
      <c r="CT200" s="140"/>
      <c r="CU200" s="140"/>
      <c r="CV200" s="140"/>
      <c r="CW200" s="140"/>
      <c r="CX200" s="140"/>
      <c r="CY200" s="140"/>
      <c r="CZ200" s="140"/>
    </row>
    <row r="201" spans="1:104" x14ac:dyDescent="0.25">
      <c r="A201" s="175"/>
      <c r="B201" s="140"/>
      <c r="C201" s="574"/>
      <c r="D201" s="140"/>
      <c r="E201" s="140"/>
      <c r="F201" s="140"/>
      <c r="G201" s="140"/>
      <c r="H201" s="140"/>
      <c r="I201" s="140"/>
      <c r="J201" s="575"/>
      <c r="K201" s="575"/>
      <c r="L201" s="575"/>
      <c r="M201" s="575"/>
      <c r="N201" s="140"/>
      <c r="O201" s="140"/>
      <c r="P201" s="140"/>
      <c r="Q201" s="140"/>
      <c r="R201" s="175"/>
      <c r="S201" s="175"/>
      <c r="T201" s="175"/>
      <c r="U201" s="175"/>
      <c r="V201" s="175"/>
      <c r="W201" s="175"/>
      <c r="X201" s="634"/>
      <c r="Y201" s="634"/>
      <c r="Z201" s="175"/>
      <c r="AA201" s="175"/>
      <c r="AB201" s="175"/>
      <c r="AC201" s="175"/>
      <c r="AD201" s="175"/>
      <c r="AE201" s="175"/>
      <c r="AF201" s="175"/>
      <c r="AG201" s="175"/>
      <c r="AH201" s="175"/>
      <c r="AI201" s="175"/>
      <c r="AJ201" s="175"/>
      <c r="AK201" s="175"/>
      <c r="AL201" s="175"/>
      <c r="AM201" s="175"/>
      <c r="AN201" s="175"/>
      <c r="AO201" s="175"/>
      <c r="AP201" s="175"/>
      <c r="AQ201" s="175"/>
      <c r="AR201" s="175"/>
      <c r="AS201" s="175"/>
      <c r="AT201" s="175"/>
      <c r="AU201" s="175"/>
      <c r="AV201" s="175"/>
      <c r="AW201" s="175"/>
      <c r="AX201" s="175"/>
      <c r="AY201" s="175"/>
      <c r="AZ201" s="175"/>
      <c r="BA201" s="175"/>
      <c r="BB201" s="633"/>
      <c r="BC201" s="175"/>
      <c r="BD201" s="175"/>
      <c r="BE201" s="175"/>
      <c r="BF201" s="175"/>
      <c r="BG201" s="175"/>
      <c r="BH201" s="175"/>
      <c r="BI201" s="175"/>
      <c r="BJ201" s="175"/>
      <c r="BK201" s="175"/>
      <c r="BL201" s="175"/>
      <c r="BM201" s="175"/>
      <c r="BN201" s="175"/>
      <c r="BO201" s="175"/>
      <c r="BP201" s="635"/>
      <c r="BQ201" s="175"/>
      <c r="BR201" s="175"/>
      <c r="BS201" s="175"/>
      <c r="BT201" s="175"/>
      <c r="BU201" s="175"/>
      <c r="BV201" s="175"/>
      <c r="BW201" s="175"/>
      <c r="BX201" s="140"/>
      <c r="BY201" s="140"/>
      <c r="BZ201" s="140"/>
      <c r="CA201" s="140"/>
      <c r="CB201" s="140"/>
      <c r="CC201" s="140"/>
      <c r="CD201" s="140"/>
      <c r="CE201" s="140"/>
      <c r="CF201" s="140"/>
      <c r="CG201" s="140"/>
      <c r="CH201" s="140"/>
      <c r="CI201" s="140"/>
      <c r="CJ201" s="140"/>
      <c r="CK201" s="140"/>
      <c r="CL201" s="140"/>
      <c r="CM201" s="140"/>
      <c r="CN201" s="140"/>
      <c r="CO201" s="140"/>
      <c r="CP201" s="140"/>
      <c r="CQ201" s="140"/>
      <c r="CR201" s="140"/>
      <c r="CS201" s="140"/>
      <c r="CT201" s="140"/>
      <c r="CU201" s="140"/>
      <c r="CV201" s="140"/>
      <c r="CW201" s="140"/>
      <c r="CX201" s="140"/>
      <c r="CY201" s="140"/>
      <c r="CZ201" s="140"/>
    </row>
    <row r="202" spans="1:104" x14ac:dyDescent="0.25">
      <c r="A202" s="175"/>
      <c r="B202" s="140"/>
      <c r="C202" s="574"/>
      <c r="D202" s="140"/>
      <c r="E202" s="140"/>
      <c r="F202" s="140"/>
      <c r="G202" s="140"/>
      <c r="H202" s="140"/>
      <c r="I202" s="140"/>
      <c r="J202" s="575"/>
      <c r="K202" s="575"/>
      <c r="L202" s="575"/>
      <c r="M202" s="575"/>
      <c r="N202" s="140"/>
      <c r="O202" s="140"/>
      <c r="P202" s="140"/>
      <c r="Q202" s="140"/>
      <c r="R202" s="175"/>
      <c r="S202" s="175"/>
      <c r="T202" s="175"/>
      <c r="U202" s="175"/>
      <c r="V202" s="175"/>
      <c r="W202" s="175"/>
      <c r="X202" s="634"/>
      <c r="Y202" s="634"/>
      <c r="Z202" s="175"/>
      <c r="AA202" s="175"/>
      <c r="AB202" s="175"/>
      <c r="AC202" s="175"/>
      <c r="AD202" s="175"/>
      <c r="AE202" s="175"/>
      <c r="AF202" s="175"/>
      <c r="AG202" s="175"/>
      <c r="AH202" s="175"/>
      <c r="AI202" s="175"/>
      <c r="AJ202" s="175"/>
      <c r="AK202" s="175"/>
      <c r="AL202" s="175"/>
      <c r="AM202" s="175"/>
      <c r="AN202" s="175"/>
      <c r="AO202" s="175"/>
      <c r="AP202" s="175"/>
      <c r="AQ202" s="175"/>
      <c r="AR202" s="175"/>
      <c r="AS202" s="175"/>
      <c r="AT202" s="175"/>
      <c r="AU202" s="175"/>
      <c r="AV202" s="175"/>
      <c r="AW202" s="175"/>
      <c r="AX202" s="175"/>
      <c r="AY202" s="175"/>
      <c r="AZ202" s="175"/>
      <c r="BA202" s="175"/>
      <c r="BB202" s="633"/>
      <c r="BC202" s="175"/>
      <c r="BD202" s="175"/>
      <c r="BE202" s="175"/>
      <c r="BF202" s="175"/>
      <c r="BG202" s="175"/>
      <c r="BH202" s="175"/>
      <c r="BI202" s="175"/>
      <c r="BJ202" s="175"/>
      <c r="BK202" s="175"/>
      <c r="BL202" s="175"/>
      <c r="BM202" s="175"/>
      <c r="BN202" s="175"/>
      <c r="BO202" s="175"/>
      <c r="BP202" s="635"/>
      <c r="BQ202" s="175"/>
      <c r="BR202" s="175"/>
      <c r="BS202" s="175"/>
      <c r="BT202" s="175"/>
      <c r="BU202" s="175"/>
      <c r="BV202" s="175"/>
      <c r="BW202" s="175"/>
      <c r="BX202" s="140"/>
      <c r="BY202" s="140"/>
      <c r="BZ202" s="140"/>
      <c r="CA202" s="140"/>
      <c r="CB202" s="140"/>
      <c r="CC202" s="140"/>
      <c r="CD202" s="140"/>
      <c r="CE202" s="140"/>
      <c r="CF202" s="140"/>
      <c r="CG202" s="140"/>
      <c r="CH202" s="140"/>
      <c r="CI202" s="140"/>
      <c r="CJ202" s="140"/>
      <c r="CK202" s="140"/>
      <c r="CL202" s="140"/>
      <c r="CM202" s="140"/>
      <c r="CN202" s="140"/>
      <c r="CO202" s="140"/>
      <c r="CP202" s="140"/>
      <c r="CQ202" s="140"/>
      <c r="CR202" s="140"/>
      <c r="CS202" s="140"/>
      <c r="CT202" s="140"/>
      <c r="CU202" s="140"/>
      <c r="CV202" s="140"/>
      <c r="CW202" s="140"/>
      <c r="CX202" s="140"/>
      <c r="CY202" s="140"/>
      <c r="CZ202" s="140"/>
    </row>
    <row r="203" spans="1:104" x14ac:dyDescent="0.25">
      <c r="A203" s="175"/>
      <c r="B203" s="140"/>
      <c r="C203" s="574"/>
      <c r="D203" s="140"/>
      <c r="E203" s="140"/>
      <c r="F203" s="140"/>
      <c r="G203" s="140"/>
      <c r="H203" s="140"/>
      <c r="I203" s="140"/>
      <c r="J203" s="575"/>
      <c r="K203" s="575"/>
      <c r="L203" s="575"/>
      <c r="M203" s="575"/>
      <c r="N203" s="140"/>
      <c r="O203" s="140"/>
      <c r="P203" s="140"/>
      <c r="Q203" s="140"/>
      <c r="R203" s="175"/>
      <c r="S203" s="175"/>
      <c r="T203" s="175"/>
      <c r="U203" s="175"/>
      <c r="V203" s="175"/>
      <c r="W203" s="175"/>
      <c r="X203" s="634"/>
      <c r="Y203" s="634"/>
      <c r="Z203" s="175"/>
      <c r="AA203" s="175"/>
      <c r="AB203" s="175"/>
      <c r="AC203" s="175"/>
      <c r="AD203" s="175"/>
      <c r="AE203" s="175"/>
      <c r="AF203" s="175"/>
      <c r="AG203" s="175"/>
      <c r="AH203" s="175"/>
      <c r="AI203" s="175"/>
      <c r="AJ203" s="175"/>
      <c r="AK203" s="175"/>
      <c r="AL203" s="175"/>
      <c r="AM203" s="175"/>
      <c r="AN203" s="175"/>
      <c r="AO203" s="175"/>
      <c r="AP203" s="175"/>
      <c r="AQ203" s="175"/>
      <c r="AR203" s="175"/>
      <c r="AS203" s="175"/>
      <c r="AT203" s="175"/>
      <c r="AU203" s="175"/>
      <c r="AV203" s="175"/>
      <c r="AW203" s="175"/>
      <c r="AX203" s="175"/>
      <c r="AY203" s="175"/>
      <c r="AZ203" s="175"/>
      <c r="BA203" s="175"/>
      <c r="BB203" s="633"/>
      <c r="BC203" s="175"/>
      <c r="BD203" s="175"/>
      <c r="BE203" s="175"/>
      <c r="BF203" s="175"/>
      <c r="BG203" s="175"/>
      <c r="BH203" s="175"/>
      <c r="BI203" s="175"/>
      <c r="BJ203" s="175"/>
      <c r="BK203" s="175"/>
      <c r="BL203" s="175"/>
      <c r="BM203" s="175"/>
      <c r="BN203" s="175"/>
      <c r="BO203" s="175"/>
      <c r="BP203" s="635"/>
      <c r="BQ203" s="175"/>
      <c r="BR203" s="175"/>
      <c r="BS203" s="175"/>
      <c r="BT203" s="175"/>
      <c r="BU203" s="175"/>
      <c r="BV203" s="175"/>
      <c r="BW203" s="175"/>
      <c r="BX203" s="140"/>
      <c r="BY203" s="140"/>
      <c r="BZ203" s="140"/>
      <c r="CA203" s="140"/>
      <c r="CB203" s="140"/>
      <c r="CC203" s="140"/>
      <c r="CD203" s="140"/>
      <c r="CE203" s="140"/>
      <c r="CF203" s="140"/>
      <c r="CG203" s="140"/>
      <c r="CH203" s="140"/>
      <c r="CI203" s="140"/>
      <c r="CJ203" s="140"/>
      <c r="CK203" s="140"/>
      <c r="CL203" s="140"/>
      <c r="CM203" s="140"/>
      <c r="CN203" s="140"/>
      <c r="CO203" s="140"/>
      <c r="CP203" s="140"/>
      <c r="CQ203" s="140"/>
      <c r="CR203" s="140"/>
      <c r="CS203" s="140"/>
      <c r="CT203" s="140"/>
      <c r="CU203" s="140"/>
      <c r="CV203" s="140"/>
      <c r="CW203" s="140"/>
      <c r="CX203" s="140"/>
      <c r="CY203" s="140"/>
      <c r="CZ203" s="140"/>
    </row>
    <row r="204" spans="1:104" x14ac:dyDescent="0.25">
      <c r="A204" s="175"/>
      <c r="B204" s="140"/>
      <c r="C204" s="574"/>
      <c r="D204" s="140"/>
      <c r="E204" s="140"/>
      <c r="F204" s="140"/>
      <c r="G204" s="140"/>
      <c r="H204" s="140"/>
      <c r="I204" s="140"/>
      <c r="J204" s="575"/>
      <c r="K204" s="575"/>
      <c r="L204" s="575"/>
      <c r="M204" s="575"/>
      <c r="N204" s="140"/>
      <c r="O204" s="140"/>
      <c r="P204" s="140"/>
      <c r="Q204" s="140"/>
      <c r="R204" s="175"/>
      <c r="S204" s="175"/>
      <c r="T204" s="175"/>
      <c r="U204" s="175"/>
      <c r="V204" s="175"/>
      <c r="W204" s="175"/>
      <c r="X204" s="634"/>
      <c r="Y204" s="634"/>
      <c r="Z204" s="175"/>
      <c r="AA204" s="175"/>
      <c r="AB204" s="175"/>
      <c r="AC204" s="175"/>
      <c r="AD204" s="175"/>
      <c r="AE204" s="175"/>
      <c r="AF204" s="175"/>
      <c r="AG204" s="175"/>
      <c r="AH204" s="175"/>
      <c r="AI204" s="175"/>
      <c r="AJ204" s="175"/>
      <c r="AK204" s="175"/>
      <c r="AL204" s="175"/>
      <c r="AM204" s="175"/>
      <c r="AN204" s="175"/>
      <c r="AO204" s="175"/>
      <c r="AP204" s="175"/>
      <c r="AQ204" s="175"/>
      <c r="AR204" s="175"/>
      <c r="AS204" s="175"/>
      <c r="AT204" s="175"/>
      <c r="AU204" s="175"/>
      <c r="AV204" s="175"/>
      <c r="AW204" s="175"/>
      <c r="AX204" s="175"/>
      <c r="AY204" s="175"/>
      <c r="AZ204" s="175"/>
      <c r="BA204" s="175"/>
      <c r="BB204" s="633"/>
      <c r="BC204" s="175"/>
      <c r="BD204" s="175"/>
      <c r="BE204" s="175"/>
      <c r="BF204" s="175"/>
      <c r="BG204" s="175"/>
      <c r="BH204" s="175"/>
      <c r="BI204" s="175"/>
      <c r="BJ204" s="175"/>
      <c r="BK204" s="175"/>
      <c r="BL204" s="175"/>
      <c r="BM204" s="175"/>
      <c r="BN204" s="175"/>
      <c r="BO204" s="175"/>
      <c r="BP204" s="635"/>
      <c r="BQ204" s="175"/>
      <c r="BR204" s="175"/>
      <c r="BS204" s="175"/>
      <c r="BT204" s="175"/>
      <c r="BU204" s="175"/>
      <c r="BV204" s="175"/>
      <c r="BW204" s="175"/>
      <c r="BX204" s="140"/>
      <c r="BY204" s="140"/>
      <c r="BZ204" s="140"/>
      <c r="CA204" s="140"/>
      <c r="CB204" s="140"/>
      <c r="CC204" s="140"/>
      <c r="CD204" s="140"/>
      <c r="CE204" s="140"/>
      <c r="CF204" s="140"/>
      <c r="CG204" s="140"/>
      <c r="CH204" s="140"/>
      <c r="CI204" s="140"/>
      <c r="CJ204" s="140"/>
      <c r="CK204" s="140"/>
      <c r="CL204" s="140"/>
      <c r="CM204" s="140"/>
      <c r="CN204" s="140"/>
      <c r="CO204" s="140"/>
      <c r="CP204" s="140"/>
      <c r="CQ204" s="140"/>
      <c r="CR204" s="140"/>
      <c r="CS204" s="140"/>
      <c r="CT204" s="140"/>
      <c r="CU204" s="140"/>
      <c r="CV204" s="140"/>
      <c r="CW204" s="140"/>
      <c r="CX204" s="140"/>
      <c r="CY204" s="140"/>
      <c r="CZ204" s="140"/>
    </row>
    <row r="205" spans="1:104" x14ac:dyDescent="0.25">
      <c r="A205" s="175"/>
      <c r="B205" s="140"/>
      <c r="C205" s="574"/>
      <c r="D205" s="140"/>
      <c r="E205" s="140"/>
      <c r="F205" s="140"/>
      <c r="G205" s="140"/>
      <c r="H205" s="140"/>
      <c r="I205" s="140"/>
      <c r="J205" s="575"/>
      <c r="K205" s="575"/>
      <c r="L205" s="575"/>
      <c r="M205" s="575"/>
      <c r="N205" s="140"/>
      <c r="O205" s="140"/>
      <c r="P205" s="140"/>
      <c r="Q205" s="140"/>
      <c r="R205" s="175"/>
      <c r="S205" s="175"/>
      <c r="T205" s="175"/>
      <c r="U205" s="175"/>
      <c r="V205" s="175"/>
      <c r="W205" s="175"/>
      <c r="X205" s="634"/>
      <c r="Y205" s="634"/>
      <c r="Z205" s="175"/>
      <c r="AA205" s="175"/>
      <c r="AB205" s="175"/>
      <c r="AC205" s="175"/>
      <c r="AD205" s="175"/>
      <c r="AE205" s="175"/>
      <c r="AF205" s="175"/>
      <c r="AG205" s="175"/>
      <c r="AH205" s="175"/>
      <c r="AI205" s="175"/>
      <c r="AJ205" s="175"/>
      <c r="AK205" s="175"/>
      <c r="AL205" s="175"/>
      <c r="AM205" s="175"/>
      <c r="AN205" s="175"/>
      <c r="AO205" s="175"/>
      <c r="AP205" s="175"/>
      <c r="AQ205" s="175"/>
      <c r="AR205" s="175"/>
      <c r="AS205" s="175"/>
      <c r="AT205" s="175"/>
      <c r="AU205" s="175"/>
      <c r="AV205" s="175"/>
      <c r="AW205" s="175"/>
      <c r="AX205" s="175"/>
      <c r="AY205" s="175"/>
      <c r="AZ205" s="175"/>
      <c r="BA205" s="175"/>
      <c r="BB205" s="633"/>
      <c r="BC205" s="175"/>
      <c r="BD205" s="175"/>
      <c r="BE205" s="175"/>
      <c r="BF205" s="175"/>
      <c r="BG205" s="175"/>
      <c r="BH205" s="175"/>
      <c r="BI205" s="175"/>
      <c r="BJ205" s="175"/>
      <c r="BK205" s="175"/>
      <c r="BL205" s="175"/>
      <c r="BM205" s="175"/>
      <c r="BN205" s="175"/>
      <c r="BO205" s="175"/>
      <c r="BP205" s="635"/>
      <c r="BQ205" s="175"/>
      <c r="BR205" s="175"/>
      <c r="BS205" s="175"/>
      <c r="BT205" s="175"/>
      <c r="BU205" s="175"/>
      <c r="BV205" s="175"/>
      <c r="BW205" s="175"/>
      <c r="BX205" s="140"/>
      <c r="BY205" s="140"/>
      <c r="BZ205" s="140"/>
      <c r="CA205" s="140"/>
      <c r="CB205" s="140"/>
      <c r="CC205" s="140"/>
      <c r="CD205" s="140"/>
      <c r="CE205" s="140"/>
      <c r="CF205" s="140"/>
      <c r="CG205" s="140"/>
      <c r="CH205" s="140"/>
      <c r="CI205" s="140"/>
      <c r="CJ205" s="140"/>
      <c r="CK205" s="140"/>
      <c r="CL205" s="140"/>
      <c r="CM205" s="140"/>
      <c r="CN205" s="140"/>
      <c r="CO205" s="140"/>
      <c r="CP205" s="140"/>
      <c r="CQ205" s="140"/>
      <c r="CR205" s="140"/>
      <c r="CS205" s="140"/>
      <c r="CT205" s="140"/>
      <c r="CU205" s="140"/>
      <c r="CV205" s="140"/>
      <c r="CW205" s="140"/>
      <c r="CX205" s="140"/>
      <c r="CY205" s="140"/>
      <c r="CZ205" s="140"/>
    </row>
    <row r="206" spans="1:104" x14ac:dyDescent="0.25">
      <c r="A206" s="175"/>
      <c r="B206" s="140"/>
      <c r="C206" s="574"/>
      <c r="D206" s="140"/>
      <c r="E206" s="140"/>
      <c r="F206" s="140"/>
      <c r="G206" s="140"/>
      <c r="H206" s="140"/>
      <c r="I206" s="140"/>
      <c r="J206" s="575"/>
      <c r="K206" s="575"/>
      <c r="L206" s="575"/>
      <c r="M206" s="575"/>
      <c r="N206" s="140"/>
      <c r="O206" s="140"/>
      <c r="P206" s="140"/>
      <c r="Q206" s="140"/>
      <c r="R206" s="175"/>
      <c r="S206" s="175"/>
      <c r="T206" s="175"/>
      <c r="U206" s="175"/>
      <c r="V206" s="175"/>
      <c r="W206" s="175"/>
      <c r="X206" s="634"/>
      <c r="Y206" s="634"/>
      <c r="Z206" s="175"/>
      <c r="AA206" s="175"/>
      <c r="AB206" s="175"/>
      <c r="AC206" s="175"/>
      <c r="AD206" s="175"/>
      <c r="AE206" s="175"/>
      <c r="AF206" s="175"/>
      <c r="AG206" s="175"/>
      <c r="AH206" s="175"/>
      <c r="AI206" s="175"/>
      <c r="AJ206" s="175"/>
      <c r="AK206" s="175"/>
      <c r="AL206" s="175"/>
      <c r="AM206" s="175"/>
      <c r="AN206" s="175"/>
      <c r="AO206" s="175"/>
      <c r="AP206" s="175"/>
      <c r="AQ206" s="175"/>
      <c r="AR206" s="175"/>
      <c r="AS206" s="175"/>
      <c r="AT206" s="175"/>
      <c r="AU206" s="175"/>
      <c r="AV206" s="175"/>
      <c r="AW206" s="175"/>
      <c r="AX206" s="175"/>
      <c r="AY206" s="175"/>
      <c r="AZ206" s="175"/>
      <c r="BA206" s="175"/>
      <c r="BB206" s="633"/>
      <c r="BC206" s="175"/>
      <c r="BD206" s="175"/>
      <c r="BE206" s="175"/>
      <c r="BF206" s="175"/>
      <c r="BG206" s="175"/>
      <c r="BH206" s="175"/>
      <c r="BI206" s="175"/>
      <c r="BJ206" s="175"/>
      <c r="BK206" s="175"/>
      <c r="BL206" s="175"/>
      <c r="BM206" s="175"/>
      <c r="BN206" s="175"/>
      <c r="BO206" s="175"/>
      <c r="BP206" s="635"/>
      <c r="BQ206" s="175"/>
      <c r="BR206" s="175"/>
      <c r="BS206" s="175"/>
      <c r="BT206" s="175"/>
      <c r="BU206" s="175"/>
      <c r="BV206" s="175"/>
      <c r="BW206" s="175"/>
      <c r="BX206" s="140"/>
      <c r="BY206" s="140"/>
      <c r="BZ206" s="140"/>
      <c r="CA206" s="140"/>
      <c r="CB206" s="140"/>
      <c r="CC206" s="140"/>
      <c r="CD206" s="140"/>
      <c r="CE206" s="140"/>
      <c r="CF206" s="140"/>
      <c r="CG206" s="140"/>
      <c r="CH206" s="140"/>
      <c r="CI206" s="140"/>
      <c r="CJ206" s="140"/>
      <c r="CK206" s="140"/>
      <c r="CL206" s="140"/>
      <c r="CM206" s="140"/>
      <c r="CN206" s="140"/>
      <c r="CO206" s="140"/>
      <c r="CP206" s="140"/>
      <c r="CQ206" s="140"/>
      <c r="CR206" s="140"/>
      <c r="CS206" s="140"/>
      <c r="CT206" s="140"/>
      <c r="CU206" s="140"/>
      <c r="CV206" s="140"/>
      <c r="CW206" s="140"/>
      <c r="CX206" s="140"/>
      <c r="CY206" s="140"/>
      <c r="CZ206" s="140"/>
    </row>
    <row r="207" spans="1:104" x14ac:dyDescent="0.25">
      <c r="A207" s="175"/>
      <c r="B207" s="140"/>
      <c r="C207" s="574"/>
      <c r="D207" s="140"/>
      <c r="E207" s="140"/>
      <c r="F207" s="140"/>
      <c r="G207" s="140"/>
      <c r="H207" s="140"/>
      <c r="I207" s="140"/>
      <c r="J207" s="575"/>
      <c r="K207" s="575"/>
      <c r="L207" s="575"/>
      <c r="M207" s="575"/>
      <c r="N207" s="140"/>
      <c r="O207" s="140"/>
      <c r="P207" s="140"/>
      <c r="Q207" s="140"/>
      <c r="R207" s="175"/>
      <c r="S207" s="175"/>
      <c r="T207" s="175"/>
      <c r="U207" s="175"/>
      <c r="V207" s="175"/>
      <c r="W207" s="175"/>
      <c r="X207" s="634"/>
      <c r="Y207" s="634"/>
      <c r="Z207" s="175"/>
      <c r="AA207" s="175"/>
      <c r="AB207" s="175"/>
      <c r="AC207" s="175"/>
      <c r="AD207" s="175"/>
      <c r="AE207" s="175"/>
      <c r="AF207" s="175"/>
      <c r="AG207" s="175"/>
      <c r="AH207" s="175"/>
      <c r="AI207" s="175"/>
      <c r="AJ207" s="175"/>
      <c r="AK207" s="175"/>
      <c r="AL207" s="175"/>
      <c r="AM207" s="175"/>
      <c r="AN207" s="175"/>
      <c r="AO207" s="175"/>
      <c r="AP207" s="175"/>
      <c r="AQ207" s="175"/>
      <c r="AR207" s="175"/>
      <c r="AS207" s="175"/>
      <c r="AT207" s="175"/>
      <c r="AU207" s="175"/>
      <c r="AV207" s="175"/>
      <c r="AW207" s="175"/>
      <c r="AX207" s="175"/>
      <c r="AY207" s="175"/>
      <c r="AZ207" s="175"/>
      <c r="BA207" s="175"/>
      <c r="BB207" s="633"/>
      <c r="BC207" s="175"/>
      <c r="BD207" s="175"/>
      <c r="BE207" s="175"/>
      <c r="BF207" s="175"/>
      <c r="BG207" s="175"/>
      <c r="BH207" s="175"/>
      <c r="BI207" s="175"/>
      <c r="BJ207" s="175"/>
      <c r="BK207" s="175"/>
      <c r="BL207" s="175"/>
      <c r="BM207" s="175"/>
      <c r="BN207" s="175"/>
      <c r="BO207" s="175"/>
      <c r="BP207" s="635"/>
      <c r="BQ207" s="175"/>
      <c r="BR207" s="175"/>
      <c r="BS207" s="175"/>
      <c r="BT207" s="175"/>
      <c r="BU207" s="175"/>
      <c r="BV207" s="175"/>
      <c r="BW207" s="175"/>
      <c r="BX207" s="140"/>
      <c r="BY207" s="140"/>
      <c r="BZ207" s="140"/>
      <c r="CA207" s="140"/>
      <c r="CB207" s="140"/>
      <c r="CC207" s="140"/>
      <c r="CD207" s="140"/>
      <c r="CE207" s="140"/>
      <c r="CF207" s="140"/>
      <c r="CG207" s="140"/>
      <c r="CH207" s="140"/>
      <c r="CI207" s="140"/>
      <c r="CJ207" s="140"/>
      <c r="CK207" s="140"/>
      <c r="CL207" s="140"/>
      <c r="CM207" s="140"/>
      <c r="CN207" s="140"/>
      <c r="CO207" s="140"/>
      <c r="CP207" s="140"/>
      <c r="CQ207" s="140"/>
      <c r="CR207" s="140"/>
      <c r="CS207" s="140"/>
      <c r="CT207" s="140"/>
      <c r="CU207" s="140"/>
      <c r="CV207" s="140"/>
      <c r="CW207" s="140"/>
      <c r="CX207" s="140"/>
      <c r="CY207" s="140"/>
      <c r="CZ207" s="140"/>
    </row>
    <row r="208" spans="1:104" x14ac:dyDescent="0.25">
      <c r="A208" s="175"/>
      <c r="B208" s="140"/>
      <c r="C208" s="574"/>
      <c r="D208" s="140"/>
      <c r="E208" s="140"/>
      <c r="F208" s="140"/>
      <c r="G208" s="140"/>
      <c r="H208" s="140"/>
      <c r="I208" s="140"/>
      <c r="J208" s="575"/>
      <c r="K208" s="575"/>
      <c r="L208" s="575"/>
      <c r="M208" s="575"/>
      <c r="N208" s="140"/>
      <c r="O208" s="140"/>
      <c r="P208" s="140"/>
      <c r="Q208" s="140"/>
      <c r="R208" s="175"/>
      <c r="S208" s="175"/>
      <c r="T208" s="175"/>
      <c r="U208" s="175"/>
      <c r="V208" s="175"/>
      <c r="W208" s="175"/>
      <c r="X208" s="634"/>
      <c r="Y208" s="634"/>
      <c r="Z208" s="175"/>
      <c r="AA208" s="175"/>
      <c r="AB208" s="175"/>
      <c r="AC208" s="175"/>
      <c r="AD208" s="175"/>
      <c r="AE208" s="175"/>
      <c r="AF208" s="175"/>
      <c r="AG208" s="175"/>
      <c r="AH208" s="175"/>
      <c r="AI208" s="175"/>
      <c r="AJ208" s="175"/>
      <c r="AK208" s="175"/>
      <c r="AL208" s="175"/>
      <c r="AM208" s="175"/>
      <c r="AN208" s="175"/>
      <c r="AO208" s="175"/>
      <c r="AP208" s="175"/>
      <c r="AQ208" s="175"/>
      <c r="AR208" s="175"/>
      <c r="AS208" s="175"/>
      <c r="AT208" s="175"/>
      <c r="AU208" s="175"/>
      <c r="AV208" s="175"/>
      <c r="AW208" s="175"/>
      <c r="AX208" s="175"/>
      <c r="AY208" s="175"/>
      <c r="AZ208" s="175"/>
      <c r="BA208" s="175"/>
      <c r="BB208" s="633"/>
      <c r="BC208" s="175"/>
      <c r="BD208" s="175"/>
      <c r="BE208" s="175"/>
      <c r="BF208" s="175"/>
      <c r="BG208" s="175"/>
      <c r="BH208" s="175"/>
      <c r="BI208" s="175"/>
      <c r="BJ208" s="175"/>
      <c r="BK208" s="175"/>
      <c r="BL208" s="175"/>
      <c r="BM208" s="175"/>
      <c r="BN208" s="175"/>
      <c r="BO208" s="175"/>
      <c r="BP208" s="635"/>
      <c r="BQ208" s="175"/>
      <c r="BR208" s="175"/>
      <c r="BS208" s="175"/>
      <c r="BT208" s="175"/>
      <c r="BU208" s="175"/>
      <c r="BV208" s="175"/>
      <c r="BW208" s="175"/>
      <c r="BX208" s="140"/>
      <c r="BY208" s="140"/>
      <c r="BZ208" s="140"/>
      <c r="CA208" s="140"/>
      <c r="CB208" s="140"/>
      <c r="CC208" s="140"/>
      <c r="CD208" s="140"/>
      <c r="CE208" s="140"/>
      <c r="CF208" s="140"/>
      <c r="CG208" s="140"/>
      <c r="CH208" s="140"/>
      <c r="CI208" s="140"/>
      <c r="CJ208" s="140"/>
      <c r="CK208" s="140"/>
      <c r="CL208" s="140"/>
      <c r="CM208" s="140"/>
      <c r="CN208" s="140"/>
      <c r="CO208" s="140"/>
      <c r="CP208" s="140"/>
      <c r="CQ208" s="140"/>
      <c r="CR208" s="140"/>
      <c r="CS208" s="140"/>
      <c r="CT208" s="140"/>
      <c r="CU208" s="140"/>
      <c r="CV208" s="140"/>
      <c r="CW208" s="140"/>
      <c r="CX208" s="140"/>
      <c r="CY208" s="140"/>
      <c r="CZ208" s="140"/>
    </row>
    <row r="209" spans="1:104" x14ac:dyDescent="0.25">
      <c r="A209" s="175"/>
      <c r="B209" s="140"/>
      <c r="C209" s="574"/>
      <c r="D209" s="140"/>
      <c r="E209" s="140"/>
      <c r="F209" s="140"/>
      <c r="G209" s="140"/>
      <c r="H209" s="140"/>
      <c r="I209" s="140"/>
      <c r="J209" s="575"/>
      <c r="K209" s="575"/>
      <c r="L209" s="575"/>
      <c r="M209" s="575"/>
      <c r="N209" s="140"/>
      <c r="O209" s="140"/>
      <c r="P209" s="140"/>
      <c r="Q209" s="140"/>
      <c r="R209" s="175"/>
      <c r="S209" s="175"/>
      <c r="T209" s="175"/>
      <c r="U209" s="175"/>
      <c r="V209" s="175"/>
      <c r="W209" s="175"/>
      <c r="X209" s="634"/>
      <c r="Y209" s="634"/>
      <c r="Z209" s="175"/>
      <c r="AA209" s="175"/>
      <c r="AB209" s="175"/>
      <c r="AC209" s="175"/>
      <c r="AD209" s="175"/>
      <c r="AE209" s="175"/>
      <c r="AF209" s="175"/>
      <c r="AG209" s="175"/>
      <c r="AH209" s="175"/>
      <c r="AI209" s="175"/>
      <c r="AJ209" s="175"/>
      <c r="AK209" s="175"/>
      <c r="AL209" s="175"/>
      <c r="AM209" s="175"/>
      <c r="AN209" s="175"/>
      <c r="AO209" s="175"/>
      <c r="AP209" s="175"/>
      <c r="AQ209" s="175"/>
      <c r="AR209" s="175"/>
      <c r="AS209" s="175"/>
      <c r="AT209" s="175"/>
      <c r="AU209" s="175"/>
      <c r="AV209" s="175"/>
      <c r="AW209" s="175"/>
      <c r="AX209" s="175"/>
      <c r="AY209" s="175"/>
      <c r="AZ209" s="175"/>
      <c r="BA209" s="175"/>
      <c r="BB209" s="633"/>
      <c r="BC209" s="175"/>
      <c r="BD209" s="175"/>
      <c r="BE209" s="175"/>
      <c r="BF209" s="175"/>
      <c r="BG209" s="175"/>
      <c r="BH209" s="175"/>
      <c r="BI209" s="175"/>
      <c r="BJ209" s="175"/>
      <c r="BK209" s="175"/>
      <c r="BL209" s="175"/>
      <c r="BM209" s="175"/>
      <c r="BN209" s="175"/>
      <c r="BO209" s="175"/>
      <c r="BP209" s="635"/>
      <c r="BQ209" s="175"/>
      <c r="BR209" s="175"/>
      <c r="BS209" s="175"/>
      <c r="BT209" s="175"/>
      <c r="BU209" s="175"/>
      <c r="BV209" s="175"/>
      <c r="BW209" s="175"/>
      <c r="BX209" s="140"/>
      <c r="BY209" s="140"/>
      <c r="BZ209" s="140"/>
      <c r="CA209" s="140"/>
      <c r="CB209" s="140"/>
      <c r="CC209" s="140"/>
      <c r="CD209" s="140"/>
      <c r="CE209" s="140"/>
      <c r="CF209" s="140"/>
      <c r="CG209" s="140"/>
      <c r="CH209" s="140"/>
      <c r="CI209" s="140"/>
      <c r="CJ209" s="140"/>
      <c r="CK209" s="140"/>
      <c r="CL209" s="140"/>
      <c r="CM209" s="140"/>
      <c r="CN209" s="140"/>
      <c r="CO209" s="140"/>
      <c r="CP209" s="140"/>
      <c r="CQ209" s="140"/>
      <c r="CR209" s="140"/>
      <c r="CS209" s="140"/>
      <c r="CT209" s="140"/>
      <c r="CU209" s="140"/>
      <c r="CV209" s="140"/>
      <c r="CW209" s="140"/>
      <c r="CX209" s="140"/>
      <c r="CY209" s="140"/>
      <c r="CZ209" s="140"/>
    </row>
    <row r="210" spans="1:104" x14ac:dyDescent="0.25">
      <c r="A210" s="175"/>
      <c r="B210" s="140"/>
      <c r="C210" s="574"/>
      <c r="D210" s="140"/>
      <c r="E210" s="140"/>
      <c r="F210" s="140"/>
      <c r="G210" s="140"/>
      <c r="H210" s="140"/>
      <c r="I210" s="140"/>
      <c r="J210" s="575"/>
      <c r="K210" s="575"/>
      <c r="L210" s="575"/>
      <c r="M210" s="575"/>
      <c r="N210" s="140"/>
      <c r="O210" s="140"/>
      <c r="P210" s="140"/>
      <c r="Q210" s="140"/>
      <c r="R210" s="175"/>
      <c r="S210" s="175"/>
      <c r="T210" s="175"/>
      <c r="U210" s="175"/>
      <c r="V210" s="175"/>
      <c r="W210" s="175"/>
      <c r="X210" s="634"/>
      <c r="Y210" s="634"/>
      <c r="Z210" s="175"/>
      <c r="AA210" s="175"/>
      <c r="AB210" s="175"/>
      <c r="AC210" s="175"/>
      <c r="AD210" s="175"/>
      <c r="AE210" s="175"/>
      <c r="AF210" s="175"/>
      <c r="AG210" s="175"/>
      <c r="AH210" s="175"/>
      <c r="AI210" s="175"/>
      <c r="AJ210" s="175"/>
      <c r="AK210" s="175"/>
      <c r="AL210" s="175"/>
      <c r="AM210" s="175"/>
      <c r="AN210" s="175"/>
      <c r="AO210" s="175"/>
      <c r="AP210" s="175"/>
      <c r="AQ210" s="175"/>
      <c r="AR210" s="175"/>
      <c r="AS210" s="175"/>
      <c r="AT210" s="175"/>
      <c r="AU210" s="175"/>
      <c r="AV210" s="175"/>
      <c r="AW210" s="175"/>
      <c r="AX210" s="175"/>
      <c r="AY210" s="175"/>
      <c r="AZ210" s="175"/>
      <c r="BA210" s="175"/>
      <c r="BB210" s="633"/>
      <c r="BC210" s="175"/>
      <c r="BD210" s="175"/>
      <c r="BE210" s="175"/>
      <c r="BF210" s="175"/>
      <c r="BG210" s="175"/>
      <c r="BH210" s="175"/>
      <c r="BI210" s="175"/>
      <c r="BJ210" s="175"/>
      <c r="BK210" s="175"/>
      <c r="BL210" s="175"/>
      <c r="BM210" s="175"/>
      <c r="BN210" s="175"/>
      <c r="BO210" s="175"/>
      <c r="BP210" s="635"/>
      <c r="BQ210" s="175"/>
      <c r="BR210" s="175"/>
      <c r="BS210" s="175"/>
      <c r="BT210" s="175"/>
      <c r="BU210" s="175"/>
      <c r="BV210" s="175"/>
      <c r="BW210" s="175"/>
      <c r="BX210" s="140"/>
      <c r="BY210" s="140"/>
      <c r="BZ210" s="140"/>
      <c r="CA210" s="140"/>
      <c r="CB210" s="140"/>
      <c r="CC210" s="140"/>
      <c r="CD210" s="140"/>
      <c r="CE210" s="140"/>
      <c r="CF210" s="140"/>
      <c r="CG210" s="140"/>
      <c r="CH210" s="140"/>
      <c r="CI210" s="140"/>
      <c r="CJ210" s="140"/>
      <c r="CK210" s="140"/>
      <c r="CL210" s="140"/>
      <c r="CM210" s="140"/>
      <c r="CN210" s="140"/>
      <c r="CO210" s="140"/>
      <c r="CP210" s="140"/>
      <c r="CQ210" s="140"/>
      <c r="CR210" s="140"/>
      <c r="CS210" s="140"/>
      <c r="CT210" s="140"/>
      <c r="CU210" s="140"/>
      <c r="CV210" s="140"/>
      <c r="CW210" s="140"/>
      <c r="CX210" s="140"/>
      <c r="CY210" s="140"/>
      <c r="CZ210" s="140"/>
    </row>
    <row r="211" spans="1:104" x14ac:dyDescent="0.25">
      <c r="A211" s="175"/>
      <c r="B211" s="140"/>
      <c r="C211" s="574"/>
      <c r="D211" s="140"/>
      <c r="E211" s="140"/>
      <c r="F211" s="140"/>
      <c r="G211" s="140"/>
      <c r="H211" s="140"/>
      <c r="I211" s="140"/>
      <c r="J211" s="575"/>
      <c r="K211" s="575"/>
      <c r="L211" s="575"/>
      <c r="M211" s="575"/>
      <c r="N211" s="140"/>
      <c r="O211" s="140"/>
      <c r="P211" s="140"/>
      <c r="Q211" s="140"/>
      <c r="R211" s="175"/>
      <c r="S211" s="175"/>
      <c r="T211" s="175"/>
      <c r="U211" s="175"/>
      <c r="V211" s="175"/>
      <c r="W211" s="175"/>
      <c r="X211" s="634"/>
      <c r="Y211" s="634"/>
      <c r="Z211" s="175"/>
      <c r="AA211" s="175"/>
      <c r="AB211" s="175"/>
      <c r="AC211" s="175"/>
      <c r="AD211" s="175"/>
      <c r="AE211" s="175"/>
      <c r="AF211" s="175"/>
      <c r="AG211" s="175"/>
      <c r="AH211" s="175"/>
      <c r="AI211" s="175"/>
      <c r="AJ211" s="175"/>
      <c r="AK211" s="175"/>
      <c r="AL211" s="175"/>
      <c r="AM211" s="175"/>
      <c r="AN211" s="175"/>
      <c r="AO211" s="175"/>
      <c r="AP211" s="175"/>
      <c r="AQ211" s="175"/>
      <c r="AR211" s="175"/>
      <c r="AS211" s="175"/>
      <c r="AT211" s="175"/>
      <c r="AU211" s="175"/>
      <c r="AV211" s="175"/>
      <c r="AW211" s="175"/>
      <c r="AX211" s="175"/>
      <c r="AY211" s="175"/>
      <c r="AZ211" s="175"/>
      <c r="BA211" s="175"/>
      <c r="BB211" s="633"/>
      <c r="BC211" s="175"/>
      <c r="BD211" s="175"/>
      <c r="BE211" s="175"/>
      <c r="BF211" s="175"/>
      <c r="BG211" s="175"/>
      <c r="BH211" s="175"/>
      <c r="BI211" s="175"/>
      <c r="BJ211" s="175"/>
      <c r="BK211" s="175"/>
      <c r="BL211" s="175"/>
      <c r="BM211" s="175"/>
      <c r="BN211" s="175"/>
      <c r="BO211" s="175"/>
      <c r="BP211" s="635"/>
      <c r="BQ211" s="175"/>
      <c r="BR211" s="175"/>
      <c r="BS211" s="175"/>
      <c r="BT211" s="175"/>
      <c r="BU211" s="175"/>
      <c r="BV211" s="175"/>
      <c r="BW211" s="175"/>
      <c r="BX211" s="140"/>
      <c r="BY211" s="140"/>
      <c r="BZ211" s="140"/>
      <c r="CA211" s="140"/>
      <c r="CB211" s="140"/>
      <c r="CC211" s="140"/>
      <c r="CD211" s="140"/>
      <c r="CE211" s="140"/>
      <c r="CF211" s="140"/>
      <c r="CG211" s="140"/>
      <c r="CH211" s="140"/>
      <c r="CI211" s="140"/>
      <c r="CJ211" s="140"/>
      <c r="CK211" s="140"/>
      <c r="CL211" s="140"/>
      <c r="CM211" s="140"/>
      <c r="CN211" s="140"/>
      <c r="CO211" s="140"/>
      <c r="CP211" s="140"/>
      <c r="CQ211" s="140"/>
      <c r="CR211" s="140"/>
      <c r="CS211" s="140"/>
      <c r="CT211" s="140"/>
      <c r="CU211" s="140"/>
      <c r="CV211" s="140"/>
      <c r="CW211" s="140"/>
      <c r="CX211" s="140"/>
      <c r="CY211" s="140"/>
      <c r="CZ211" s="140"/>
    </row>
    <row r="212" spans="1:104" x14ac:dyDescent="0.25">
      <c r="A212" s="175"/>
      <c r="B212" s="140"/>
      <c r="C212" s="574"/>
      <c r="D212" s="140"/>
      <c r="E212" s="140"/>
      <c r="F212" s="140"/>
      <c r="G212" s="140"/>
      <c r="H212" s="140"/>
      <c r="I212" s="140"/>
      <c r="J212" s="575"/>
      <c r="K212" s="575"/>
      <c r="L212" s="575"/>
      <c r="M212" s="575"/>
      <c r="N212" s="140"/>
      <c r="O212" s="140"/>
      <c r="P212" s="140"/>
      <c r="Q212" s="140"/>
      <c r="R212" s="175"/>
      <c r="S212" s="175"/>
      <c r="T212" s="175"/>
      <c r="U212" s="175"/>
      <c r="V212" s="175"/>
      <c r="W212" s="175"/>
      <c r="X212" s="634"/>
      <c r="Y212" s="634"/>
      <c r="Z212" s="175"/>
      <c r="AA212" s="175"/>
      <c r="AB212" s="175"/>
      <c r="AC212" s="175"/>
      <c r="AD212" s="175"/>
      <c r="AE212" s="175"/>
      <c r="AF212" s="175"/>
      <c r="AG212" s="175"/>
      <c r="AH212" s="175"/>
      <c r="AI212" s="175"/>
      <c r="AJ212" s="175"/>
      <c r="AK212" s="175"/>
      <c r="AL212" s="175"/>
      <c r="AM212" s="175"/>
      <c r="AN212" s="175"/>
      <c r="AO212" s="175"/>
      <c r="AP212" s="175"/>
      <c r="AQ212" s="175"/>
      <c r="AR212" s="175"/>
      <c r="AS212" s="175"/>
      <c r="AT212" s="175"/>
      <c r="AU212" s="175"/>
      <c r="AV212" s="175"/>
      <c r="AW212" s="175"/>
      <c r="AX212" s="175"/>
      <c r="AY212" s="175"/>
      <c r="AZ212" s="175"/>
      <c r="BA212" s="175"/>
      <c r="BB212" s="633"/>
      <c r="BC212" s="175"/>
      <c r="BD212" s="175"/>
      <c r="BE212" s="175"/>
      <c r="BF212" s="175"/>
      <c r="BG212" s="175"/>
      <c r="BH212" s="175"/>
      <c r="BI212" s="175"/>
      <c r="BJ212" s="175"/>
      <c r="BK212" s="175"/>
      <c r="BL212" s="175"/>
      <c r="BM212" s="175"/>
      <c r="BN212" s="175"/>
      <c r="BO212" s="175"/>
      <c r="BP212" s="635"/>
      <c r="BQ212" s="175"/>
      <c r="BR212" s="175"/>
      <c r="BS212" s="175"/>
      <c r="BT212" s="175"/>
      <c r="BU212" s="175"/>
      <c r="BV212" s="175"/>
      <c r="BW212" s="175"/>
      <c r="BX212" s="140"/>
      <c r="BY212" s="140"/>
      <c r="BZ212" s="140"/>
      <c r="CA212" s="140"/>
      <c r="CB212" s="140"/>
      <c r="CC212" s="140"/>
      <c r="CD212" s="140"/>
      <c r="CE212" s="140"/>
      <c r="CF212" s="140"/>
      <c r="CG212" s="140"/>
      <c r="CH212" s="140"/>
      <c r="CI212" s="140"/>
      <c r="CJ212" s="140"/>
      <c r="CK212" s="140"/>
      <c r="CL212" s="140"/>
      <c r="CM212" s="140"/>
      <c r="CN212" s="140"/>
      <c r="CO212" s="140"/>
      <c r="CP212" s="140"/>
      <c r="CQ212" s="140"/>
      <c r="CR212" s="140"/>
      <c r="CS212" s="140"/>
      <c r="CT212" s="140"/>
      <c r="CU212" s="140"/>
      <c r="CV212" s="140"/>
      <c r="CW212" s="140"/>
      <c r="CX212" s="140"/>
      <c r="CY212" s="140"/>
      <c r="CZ212" s="140"/>
    </row>
    <row r="213" spans="1:104" x14ac:dyDescent="0.25">
      <c r="A213" s="175"/>
      <c r="B213" s="140"/>
      <c r="C213" s="574"/>
      <c r="D213" s="140"/>
      <c r="E213" s="140"/>
      <c r="F213" s="140"/>
      <c r="G213" s="140"/>
      <c r="H213" s="140"/>
      <c r="I213" s="140"/>
      <c r="J213" s="575"/>
      <c r="K213" s="575"/>
      <c r="L213" s="575"/>
      <c r="M213" s="575"/>
      <c r="N213" s="140"/>
      <c r="O213" s="140"/>
      <c r="P213" s="140"/>
      <c r="Q213" s="140"/>
      <c r="R213" s="175"/>
      <c r="S213" s="175"/>
      <c r="T213" s="175"/>
      <c r="U213" s="175"/>
      <c r="V213" s="175"/>
      <c r="W213" s="175"/>
      <c r="X213" s="634"/>
      <c r="Y213" s="634"/>
      <c r="Z213" s="175"/>
      <c r="AA213" s="175"/>
      <c r="AB213" s="175"/>
      <c r="AC213" s="175"/>
      <c r="AD213" s="175"/>
      <c r="AE213" s="175"/>
      <c r="AF213" s="175"/>
      <c r="AG213" s="175"/>
      <c r="AH213" s="175"/>
      <c r="AI213" s="175"/>
      <c r="AJ213" s="175"/>
      <c r="AK213" s="175"/>
      <c r="AL213" s="175"/>
      <c r="AM213" s="175"/>
      <c r="AN213" s="175"/>
      <c r="AO213" s="175"/>
      <c r="AP213" s="175"/>
      <c r="AQ213" s="175"/>
      <c r="AR213" s="175"/>
      <c r="AS213" s="175"/>
      <c r="AT213" s="175"/>
      <c r="AU213" s="175"/>
      <c r="AV213" s="175"/>
      <c r="AW213" s="175"/>
      <c r="AX213" s="175"/>
      <c r="AY213" s="175"/>
      <c r="AZ213" s="175"/>
      <c r="BA213" s="175"/>
      <c r="BB213" s="633"/>
      <c r="BC213" s="175"/>
      <c r="BD213" s="175"/>
      <c r="BE213" s="175"/>
      <c r="BF213" s="175"/>
      <c r="BG213" s="175"/>
      <c r="BH213" s="175"/>
      <c r="BI213" s="175"/>
      <c r="BJ213" s="175"/>
      <c r="BK213" s="175"/>
      <c r="BL213" s="175"/>
      <c r="BM213" s="175"/>
      <c r="BN213" s="175"/>
      <c r="BO213" s="175"/>
      <c r="BP213" s="635"/>
      <c r="BQ213" s="175"/>
      <c r="BR213" s="175"/>
      <c r="BS213" s="175"/>
      <c r="BT213" s="175"/>
      <c r="BU213" s="175"/>
      <c r="BV213" s="175"/>
      <c r="BW213" s="175"/>
      <c r="BX213" s="140"/>
      <c r="BY213" s="140"/>
      <c r="BZ213" s="140"/>
      <c r="CA213" s="140"/>
      <c r="CB213" s="140"/>
      <c r="CC213" s="140"/>
      <c r="CD213" s="140"/>
      <c r="CE213" s="140"/>
      <c r="CF213" s="140"/>
      <c r="CG213" s="140"/>
      <c r="CH213" s="140"/>
      <c r="CI213" s="140"/>
      <c r="CJ213" s="140"/>
      <c r="CK213" s="140"/>
      <c r="CL213" s="140"/>
      <c r="CM213" s="140"/>
      <c r="CN213" s="140"/>
      <c r="CO213" s="140"/>
      <c r="CP213" s="140"/>
      <c r="CQ213" s="140"/>
      <c r="CR213" s="140"/>
      <c r="CS213" s="140"/>
      <c r="CT213" s="140"/>
      <c r="CU213" s="140"/>
      <c r="CV213" s="140"/>
      <c r="CW213" s="140"/>
      <c r="CX213" s="140"/>
      <c r="CY213" s="140"/>
      <c r="CZ213" s="140"/>
    </row>
    <row r="214" spans="1:104" x14ac:dyDescent="0.25">
      <c r="A214" s="175"/>
      <c r="B214" s="140"/>
      <c r="C214" s="574"/>
      <c r="D214" s="140"/>
      <c r="E214" s="140"/>
      <c r="F214" s="140"/>
      <c r="G214" s="140"/>
      <c r="H214" s="140"/>
      <c r="I214" s="140"/>
      <c r="J214" s="575"/>
      <c r="K214" s="575"/>
      <c r="L214" s="575"/>
      <c r="M214" s="575"/>
      <c r="N214" s="140"/>
      <c r="O214" s="140"/>
      <c r="P214" s="140"/>
      <c r="Q214" s="140"/>
      <c r="R214" s="175"/>
      <c r="S214" s="175"/>
      <c r="T214" s="175"/>
      <c r="U214" s="175"/>
      <c r="V214" s="175"/>
      <c r="W214" s="175"/>
      <c r="X214" s="634"/>
      <c r="Y214" s="634"/>
      <c r="Z214" s="175"/>
      <c r="AA214" s="175"/>
      <c r="AB214" s="175"/>
      <c r="AC214" s="175"/>
      <c r="AD214" s="175"/>
      <c r="AE214" s="175"/>
      <c r="AF214" s="175"/>
      <c r="AG214" s="175"/>
      <c r="AH214" s="175"/>
      <c r="AI214" s="175"/>
      <c r="AJ214" s="175"/>
      <c r="AK214" s="175"/>
      <c r="AL214" s="175"/>
      <c r="AM214" s="175"/>
      <c r="AN214" s="175"/>
      <c r="AO214" s="175"/>
      <c r="AP214" s="175"/>
      <c r="AQ214" s="175"/>
      <c r="AR214" s="175"/>
      <c r="AS214" s="175"/>
      <c r="AT214" s="175"/>
      <c r="AU214" s="175"/>
      <c r="AV214" s="175"/>
      <c r="AW214" s="175"/>
      <c r="AX214" s="175"/>
      <c r="AY214" s="175"/>
      <c r="AZ214" s="175"/>
      <c r="BA214" s="175"/>
      <c r="BB214" s="633"/>
      <c r="BC214" s="175"/>
      <c r="BD214" s="175"/>
      <c r="BE214" s="175"/>
      <c r="BF214" s="175"/>
      <c r="BG214" s="175"/>
      <c r="BH214" s="175"/>
      <c r="BI214" s="175"/>
      <c r="BJ214" s="175"/>
      <c r="BK214" s="175"/>
      <c r="BL214" s="175"/>
      <c r="BM214" s="175"/>
      <c r="BN214" s="175"/>
      <c r="BO214" s="175"/>
      <c r="BP214" s="635"/>
      <c r="BQ214" s="175"/>
      <c r="BR214" s="175"/>
      <c r="BS214" s="175"/>
      <c r="BT214" s="175"/>
      <c r="BU214" s="175"/>
      <c r="BV214" s="175"/>
      <c r="BW214" s="175"/>
      <c r="BX214" s="140"/>
      <c r="BY214" s="140"/>
      <c r="BZ214" s="140"/>
      <c r="CA214" s="140"/>
      <c r="CB214" s="140"/>
      <c r="CC214" s="140"/>
      <c r="CD214" s="140"/>
      <c r="CE214" s="140"/>
      <c r="CF214" s="140"/>
      <c r="CG214" s="140"/>
      <c r="CH214" s="140"/>
      <c r="CI214" s="140"/>
      <c r="CJ214" s="140"/>
      <c r="CK214" s="140"/>
      <c r="CL214" s="140"/>
      <c r="CM214" s="140"/>
      <c r="CN214" s="140"/>
      <c r="CO214" s="140"/>
      <c r="CP214" s="140"/>
      <c r="CQ214" s="140"/>
      <c r="CR214" s="140"/>
      <c r="CS214" s="140"/>
      <c r="CT214" s="140"/>
      <c r="CU214" s="140"/>
      <c r="CV214" s="140"/>
      <c r="CW214" s="140"/>
      <c r="CX214" s="140"/>
      <c r="CY214" s="140"/>
      <c r="CZ214" s="140"/>
    </row>
    <row r="215" spans="1:104" x14ac:dyDescent="0.25">
      <c r="A215" s="175"/>
      <c r="B215" s="140"/>
      <c r="C215" s="574"/>
      <c r="D215" s="140"/>
      <c r="E215" s="140"/>
      <c r="F215" s="140"/>
      <c r="G215" s="140"/>
      <c r="H215" s="140"/>
      <c r="I215" s="140"/>
      <c r="J215" s="575"/>
      <c r="K215" s="575"/>
      <c r="L215" s="575"/>
      <c r="M215" s="575"/>
      <c r="N215" s="140"/>
      <c r="O215" s="140"/>
      <c r="P215" s="140"/>
      <c r="Q215" s="140"/>
      <c r="R215" s="175"/>
      <c r="S215" s="175"/>
      <c r="T215" s="175"/>
      <c r="U215" s="175"/>
      <c r="V215" s="175"/>
      <c r="W215" s="175"/>
      <c r="X215" s="634"/>
      <c r="Y215" s="634"/>
      <c r="Z215" s="175"/>
      <c r="AA215" s="175"/>
      <c r="AB215" s="175"/>
      <c r="AC215" s="175"/>
      <c r="AD215" s="175"/>
      <c r="AE215" s="175"/>
      <c r="AF215" s="175"/>
      <c r="AG215" s="175"/>
      <c r="AH215" s="175"/>
      <c r="AI215" s="175"/>
      <c r="AJ215" s="175"/>
      <c r="AK215" s="175"/>
      <c r="AL215" s="175"/>
      <c r="AM215" s="175"/>
      <c r="AN215" s="175"/>
      <c r="AO215" s="175"/>
      <c r="AP215" s="175"/>
      <c r="AQ215" s="175"/>
      <c r="AR215" s="175"/>
      <c r="AS215" s="175"/>
      <c r="AT215" s="175"/>
      <c r="AU215" s="175"/>
      <c r="AV215" s="175"/>
      <c r="AW215" s="175"/>
      <c r="AX215" s="175"/>
      <c r="AY215" s="175"/>
      <c r="AZ215" s="175"/>
      <c r="BA215" s="175"/>
      <c r="BB215" s="633"/>
      <c r="BC215" s="175"/>
      <c r="BD215" s="175"/>
      <c r="BE215" s="175"/>
      <c r="BF215" s="175"/>
      <c r="BG215" s="175"/>
      <c r="BH215" s="175"/>
      <c r="BI215" s="175"/>
      <c r="BJ215" s="175"/>
      <c r="BK215" s="175"/>
      <c r="BL215" s="175"/>
      <c r="BM215" s="175"/>
      <c r="BN215" s="175"/>
      <c r="BO215" s="175"/>
      <c r="BP215" s="635"/>
      <c r="BQ215" s="175"/>
      <c r="BR215" s="175"/>
      <c r="BS215" s="175"/>
      <c r="BT215" s="175"/>
      <c r="BU215" s="175"/>
      <c r="BV215" s="175"/>
      <c r="BW215" s="175"/>
      <c r="BX215" s="140"/>
      <c r="BY215" s="140"/>
      <c r="BZ215" s="140"/>
      <c r="CA215" s="140"/>
      <c r="CB215" s="140"/>
      <c r="CC215" s="140"/>
      <c r="CD215" s="140"/>
      <c r="CE215" s="140"/>
      <c r="CF215" s="140"/>
      <c r="CG215" s="140"/>
      <c r="CH215" s="140"/>
      <c r="CI215" s="140"/>
      <c r="CJ215" s="140"/>
      <c r="CK215" s="140"/>
      <c r="CL215" s="140"/>
      <c r="CM215" s="140"/>
      <c r="CN215" s="140"/>
      <c r="CO215" s="140"/>
      <c r="CP215" s="140"/>
      <c r="CQ215" s="140"/>
      <c r="CR215" s="140"/>
      <c r="CS215" s="140"/>
      <c r="CT215" s="140"/>
      <c r="CU215" s="140"/>
      <c r="CV215" s="140"/>
      <c r="CW215" s="140"/>
      <c r="CX215" s="140"/>
      <c r="CY215" s="140"/>
      <c r="CZ215" s="140"/>
    </row>
    <row r="216" spans="1:104" x14ac:dyDescent="0.25">
      <c r="A216" s="175"/>
      <c r="B216" s="140"/>
      <c r="C216" s="574"/>
      <c r="D216" s="140"/>
      <c r="E216" s="140"/>
      <c r="F216" s="140"/>
      <c r="G216" s="140"/>
      <c r="H216" s="140"/>
      <c r="I216" s="140"/>
      <c r="J216" s="575"/>
      <c r="K216" s="575"/>
      <c r="L216" s="575"/>
      <c r="M216" s="575"/>
      <c r="N216" s="140"/>
      <c r="O216" s="140"/>
      <c r="P216" s="140"/>
      <c r="Q216" s="140"/>
      <c r="R216" s="175"/>
      <c r="S216" s="175"/>
      <c r="T216" s="175"/>
      <c r="U216" s="175"/>
      <c r="V216" s="175"/>
      <c r="W216" s="175"/>
      <c r="X216" s="634"/>
      <c r="Y216" s="634"/>
      <c r="Z216" s="175"/>
      <c r="AA216" s="175"/>
      <c r="AB216" s="175"/>
      <c r="AC216" s="175"/>
      <c r="AD216" s="175"/>
      <c r="AE216" s="175"/>
      <c r="AF216" s="175"/>
      <c r="AG216" s="175"/>
      <c r="AH216" s="175"/>
      <c r="AI216" s="175"/>
      <c r="AJ216" s="175"/>
      <c r="AK216" s="175"/>
      <c r="AL216" s="175"/>
      <c r="AM216" s="175"/>
      <c r="AN216" s="175"/>
      <c r="AO216" s="175"/>
      <c r="AP216" s="175"/>
      <c r="AQ216" s="175"/>
      <c r="AR216" s="175"/>
      <c r="AS216" s="175"/>
      <c r="AT216" s="175"/>
      <c r="AU216" s="175"/>
      <c r="AV216" s="175"/>
      <c r="AW216" s="175"/>
      <c r="AX216" s="175"/>
      <c r="AY216" s="175"/>
      <c r="AZ216" s="175"/>
      <c r="BA216" s="175"/>
      <c r="BB216" s="633"/>
      <c r="BC216" s="175"/>
      <c r="BD216" s="175"/>
      <c r="BE216" s="175"/>
      <c r="BF216" s="175"/>
      <c r="BG216" s="175"/>
      <c r="BH216" s="175"/>
      <c r="BI216" s="175"/>
      <c r="BJ216" s="175"/>
      <c r="BK216" s="175"/>
      <c r="BL216" s="175"/>
      <c r="BM216" s="175"/>
      <c r="BN216" s="175"/>
      <c r="BO216" s="175"/>
      <c r="BP216" s="635"/>
      <c r="BQ216" s="175"/>
      <c r="BR216" s="175"/>
      <c r="BS216" s="175"/>
      <c r="BT216" s="175"/>
      <c r="BU216" s="175"/>
      <c r="BV216" s="175"/>
      <c r="BW216" s="175"/>
      <c r="BX216" s="140"/>
      <c r="BY216" s="140"/>
      <c r="BZ216" s="140"/>
      <c r="CA216" s="140"/>
      <c r="CB216" s="140"/>
      <c r="CC216" s="140"/>
      <c r="CD216" s="140"/>
      <c r="CE216" s="140"/>
      <c r="CF216" s="140"/>
      <c r="CG216" s="140"/>
      <c r="CH216" s="140"/>
      <c r="CI216" s="140"/>
      <c r="CJ216" s="140"/>
      <c r="CK216" s="140"/>
      <c r="CL216" s="140"/>
      <c r="CM216" s="140"/>
      <c r="CN216" s="140"/>
      <c r="CO216" s="140"/>
      <c r="CP216" s="140"/>
      <c r="CQ216" s="140"/>
      <c r="CR216" s="140"/>
      <c r="CS216" s="140"/>
      <c r="CT216" s="140"/>
      <c r="CU216" s="140"/>
      <c r="CV216" s="140"/>
      <c r="CW216" s="140"/>
      <c r="CX216" s="140"/>
      <c r="CY216" s="140"/>
      <c r="CZ216" s="140"/>
    </row>
    <row r="217" spans="1:104" x14ac:dyDescent="0.25">
      <c r="A217" s="175"/>
      <c r="B217" s="140"/>
      <c r="C217" s="574"/>
      <c r="D217" s="140"/>
      <c r="E217" s="140"/>
      <c r="F217" s="140"/>
      <c r="G217" s="140"/>
      <c r="H217" s="140"/>
      <c r="I217" s="140"/>
      <c r="J217" s="575"/>
      <c r="K217" s="575"/>
      <c r="L217" s="575"/>
      <c r="M217" s="575"/>
      <c r="N217" s="140"/>
      <c r="O217" s="140"/>
      <c r="P217" s="140"/>
      <c r="Q217" s="140"/>
      <c r="R217" s="175"/>
      <c r="S217" s="175"/>
      <c r="T217" s="175"/>
      <c r="U217" s="175"/>
      <c r="V217" s="175"/>
      <c r="W217" s="175"/>
      <c r="X217" s="634"/>
      <c r="Y217" s="634"/>
      <c r="Z217" s="175"/>
      <c r="AA217" s="175"/>
      <c r="AB217" s="175"/>
      <c r="AC217" s="175"/>
      <c r="AD217" s="175"/>
      <c r="AE217" s="175"/>
      <c r="AF217" s="175"/>
      <c r="AG217" s="175"/>
      <c r="AH217" s="175"/>
      <c r="AI217" s="175"/>
      <c r="AJ217" s="175"/>
      <c r="AK217" s="175"/>
      <c r="AL217" s="175"/>
      <c r="AM217" s="175"/>
      <c r="AN217" s="175"/>
      <c r="AO217" s="175"/>
      <c r="AP217" s="175"/>
      <c r="AQ217" s="175"/>
      <c r="AR217" s="175"/>
      <c r="AS217" s="175"/>
      <c r="AT217" s="175"/>
      <c r="AU217" s="175"/>
      <c r="AV217" s="175"/>
      <c r="AW217" s="175"/>
      <c r="AX217" s="175"/>
      <c r="AY217" s="175"/>
      <c r="AZ217" s="175"/>
      <c r="BA217" s="175"/>
      <c r="BB217" s="633"/>
      <c r="BC217" s="175"/>
      <c r="BD217" s="175"/>
      <c r="BE217" s="175"/>
      <c r="BF217" s="175"/>
      <c r="BG217" s="175"/>
      <c r="BH217" s="175"/>
      <c r="BI217" s="175"/>
      <c r="BJ217" s="175"/>
      <c r="BK217" s="175"/>
      <c r="BL217" s="175"/>
      <c r="BM217" s="175"/>
      <c r="BN217" s="175"/>
      <c r="BO217" s="175"/>
      <c r="BP217" s="635"/>
      <c r="BQ217" s="175"/>
      <c r="BR217" s="175"/>
      <c r="BS217" s="175"/>
      <c r="BT217" s="175"/>
      <c r="BU217" s="175"/>
      <c r="BV217" s="175"/>
      <c r="BW217" s="175"/>
      <c r="BX217" s="140"/>
      <c r="BY217" s="140"/>
      <c r="BZ217" s="140"/>
      <c r="CA217" s="140"/>
      <c r="CB217" s="140"/>
      <c r="CC217" s="140"/>
      <c r="CD217" s="140"/>
      <c r="CE217" s="140"/>
      <c r="CF217" s="140"/>
      <c r="CG217" s="140"/>
      <c r="CH217" s="140"/>
      <c r="CI217" s="140"/>
      <c r="CJ217" s="140"/>
      <c r="CK217" s="140"/>
      <c r="CL217" s="140"/>
      <c r="CM217" s="140"/>
      <c r="CN217" s="140"/>
      <c r="CO217" s="140"/>
      <c r="CP217" s="140"/>
      <c r="CQ217" s="140"/>
      <c r="CR217" s="140"/>
      <c r="CS217" s="140"/>
      <c r="CT217" s="140"/>
      <c r="CU217" s="140"/>
      <c r="CV217" s="140"/>
      <c r="CW217" s="140"/>
      <c r="CX217" s="140"/>
      <c r="CY217" s="140"/>
      <c r="CZ217" s="140"/>
    </row>
    <row r="218" spans="1:104" x14ac:dyDescent="0.25">
      <c r="A218" s="175"/>
      <c r="B218" s="140"/>
      <c r="C218" s="574"/>
      <c r="D218" s="140"/>
      <c r="E218" s="140"/>
      <c r="F218" s="140"/>
      <c r="G218" s="140"/>
      <c r="H218" s="140"/>
      <c r="I218" s="140"/>
      <c r="J218" s="575"/>
      <c r="K218" s="575"/>
      <c r="L218" s="575"/>
      <c r="M218" s="575"/>
      <c r="N218" s="140"/>
      <c r="O218" s="140"/>
      <c r="P218" s="140"/>
      <c r="Q218" s="140"/>
      <c r="R218" s="175"/>
      <c r="S218" s="175"/>
      <c r="T218" s="175"/>
      <c r="U218" s="175"/>
      <c r="V218" s="175"/>
      <c r="W218" s="175"/>
      <c r="X218" s="634"/>
      <c r="Y218" s="634"/>
      <c r="Z218" s="175"/>
      <c r="AA218" s="175"/>
      <c r="AB218" s="175"/>
      <c r="AC218" s="175"/>
      <c r="AD218" s="175"/>
      <c r="AE218" s="175"/>
      <c r="AF218" s="175"/>
      <c r="AG218" s="175"/>
      <c r="AH218" s="175"/>
      <c r="AI218" s="175"/>
      <c r="AJ218" s="175"/>
      <c r="AK218" s="175"/>
      <c r="AL218" s="175"/>
      <c r="AM218" s="175"/>
      <c r="AN218" s="175"/>
      <c r="AO218" s="175"/>
      <c r="AP218" s="175"/>
      <c r="AQ218" s="175"/>
      <c r="AR218" s="175"/>
      <c r="AS218" s="175"/>
      <c r="AT218" s="175"/>
      <c r="AU218" s="175"/>
      <c r="AV218" s="175"/>
      <c r="AW218" s="175"/>
      <c r="AX218" s="175"/>
      <c r="AY218" s="175"/>
      <c r="AZ218" s="175"/>
      <c r="BA218" s="175"/>
      <c r="BB218" s="633"/>
      <c r="BC218" s="175"/>
      <c r="BD218" s="175"/>
      <c r="BE218" s="175"/>
      <c r="BF218" s="175"/>
      <c r="BG218" s="175"/>
      <c r="BH218" s="175"/>
      <c r="BI218" s="175"/>
      <c r="BJ218" s="175"/>
      <c r="BK218" s="175"/>
      <c r="BL218" s="175"/>
      <c r="BM218" s="175"/>
      <c r="BN218" s="175"/>
      <c r="BO218" s="175"/>
      <c r="BP218" s="635"/>
      <c r="BQ218" s="175"/>
      <c r="BR218" s="175"/>
      <c r="BS218" s="175"/>
      <c r="BT218" s="175"/>
      <c r="BU218" s="175"/>
      <c r="BV218" s="175"/>
      <c r="BW218" s="175"/>
      <c r="BX218" s="140"/>
      <c r="BY218" s="140"/>
      <c r="BZ218" s="140"/>
      <c r="CA218" s="140"/>
      <c r="CB218" s="140"/>
      <c r="CC218" s="140"/>
      <c r="CD218" s="140"/>
      <c r="CE218" s="140"/>
      <c r="CF218" s="140"/>
      <c r="CG218" s="140"/>
      <c r="CH218" s="140"/>
      <c r="CI218" s="140"/>
      <c r="CJ218" s="140"/>
      <c r="CK218" s="140"/>
      <c r="CL218" s="140"/>
      <c r="CM218" s="140"/>
      <c r="CN218" s="140"/>
      <c r="CO218" s="140"/>
      <c r="CP218" s="140"/>
      <c r="CQ218" s="140"/>
      <c r="CR218" s="140"/>
      <c r="CS218" s="140"/>
      <c r="CT218" s="140"/>
      <c r="CU218" s="140"/>
      <c r="CV218" s="140"/>
      <c r="CW218" s="140"/>
      <c r="CX218" s="140"/>
      <c r="CY218" s="140"/>
      <c r="CZ218" s="140"/>
    </row>
    <row r="219" spans="1:104" x14ac:dyDescent="0.25">
      <c r="A219" s="175"/>
      <c r="B219" s="140"/>
      <c r="C219" s="574"/>
      <c r="D219" s="140"/>
      <c r="E219" s="140"/>
      <c r="F219" s="140"/>
      <c r="G219" s="140"/>
      <c r="H219" s="140"/>
      <c r="I219" s="140"/>
      <c r="J219" s="575"/>
      <c r="K219" s="575"/>
      <c r="L219" s="575"/>
      <c r="M219" s="575"/>
      <c r="N219" s="140"/>
      <c r="O219" s="140"/>
      <c r="P219" s="140"/>
      <c r="Q219" s="140"/>
      <c r="R219" s="175"/>
      <c r="S219" s="175"/>
      <c r="T219" s="175"/>
      <c r="U219" s="175"/>
      <c r="V219" s="175"/>
      <c r="W219" s="175"/>
      <c r="X219" s="634"/>
      <c r="Y219" s="634"/>
      <c r="Z219" s="175"/>
      <c r="AA219" s="175"/>
      <c r="AB219" s="175"/>
      <c r="AC219" s="175"/>
      <c r="AD219" s="175"/>
      <c r="AE219" s="175"/>
      <c r="AF219" s="175"/>
      <c r="AG219" s="175"/>
      <c r="AH219" s="175"/>
      <c r="AI219" s="175"/>
      <c r="AJ219" s="175"/>
      <c r="AK219" s="175"/>
      <c r="AL219" s="175"/>
      <c r="AM219" s="175"/>
      <c r="AN219" s="175"/>
      <c r="AO219" s="175"/>
      <c r="AP219" s="175"/>
      <c r="AQ219" s="175"/>
      <c r="AR219" s="175"/>
      <c r="AS219" s="175"/>
      <c r="AT219" s="175"/>
      <c r="AU219" s="175"/>
      <c r="AV219" s="175"/>
      <c r="AW219" s="175"/>
      <c r="AX219" s="175"/>
      <c r="AY219" s="175"/>
      <c r="AZ219" s="175"/>
      <c r="BA219" s="175"/>
      <c r="BB219" s="633"/>
      <c r="BC219" s="175"/>
      <c r="BD219" s="175"/>
      <c r="BE219" s="175"/>
      <c r="BF219" s="175"/>
      <c r="BG219" s="175"/>
      <c r="BH219" s="175"/>
      <c r="BI219" s="175"/>
      <c r="BJ219" s="175"/>
      <c r="BK219" s="175"/>
      <c r="BL219" s="175"/>
      <c r="BM219" s="175"/>
      <c r="BN219" s="175"/>
      <c r="BO219" s="175"/>
      <c r="BP219" s="635"/>
      <c r="BQ219" s="175"/>
      <c r="BR219" s="175"/>
      <c r="BS219" s="175"/>
      <c r="BT219" s="175"/>
      <c r="BU219" s="175"/>
      <c r="BV219" s="175"/>
      <c r="BW219" s="175"/>
      <c r="BX219" s="140"/>
      <c r="BY219" s="140"/>
      <c r="BZ219" s="140"/>
      <c r="CA219" s="140"/>
      <c r="CB219" s="140"/>
      <c r="CC219" s="140"/>
      <c r="CD219" s="140"/>
      <c r="CE219" s="140"/>
      <c r="CF219" s="140"/>
      <c r="CG219" s="140"/>
      <c r="CH219" s="140"/>
      <c r="CI219" s="140"/>
      <c r="CJ219" s="140"/>
      <c r="CK219" s="140"/>
      <c r="CL219" s="140"/>
      <c r="CM219" s="140"/>
      <c r="CN219" s="140"/>
      <c r="CO219" s="140"/>
      <c r="CP219" s="140"/>
      <c r="CQ219" s="140"/>
      <c r="CR219" s="140"/>
      <c r="CS219" s="140"/>
      <c r="CT219" s="140"/>
      <c r="CU219" s="140"/>
      <c r="CV219" s="140"/>
      <c r="CW219" s="140"/>
      <c r="CX219" s="140"/>
      <c r="CY219" s="140"/>
      <c r="CZ219" s="140"/>
    </row>
    <row r="220" spans="1:104" x14ac:dyDescent="0.25">
      <c r="A220" s="175"/>
      <c r="B220" s="140"/>
      <c r="C220" s="574"/>
      <c r="D220" s="140"/>
      <c r="E220" s="140"/>
      <c r="F220" s="140"/>
      <c r="G220" s="140"/>
      <c r="H220" s="140"/>
      <c r="I220" s="140"/>
      <c r="J220" s="575"/>
      <c r="K220" s="575"/>
      <c r="L220" s="575"/>
      <c r="M220" s="575"/>
      <c r="N220" s="140"/>
      <c r="O220" s="140"/>
      <c r="P220" s="140"/>
      <c r="Q220" s="140"/>
      <c r="R220" s="175"/>
      <c r="S220" s="175"/>
      <c r="T220" s="175"/>
      <c r="U220" s="175"/>
      <c r="V220" s="175"/>
      <c r="W220" s="175"/>
      <c r="X220" s="634"/>
      <c r="Y220" s="634"/>
      <c r="Z220" s="175"/>
      <c r="AA220" s="175"/>
      <c r="AB220" s="175"/>
      <c r="AC220" s="175"/>
      <c r="AD220" s="175"/>
      <c r="AE220" s="175"/>
      <c r="AF220" s="175"/>
      <c r="AG220" s="175"/>
      <c r="AH220" s="175"/>
      <c r="AI220" s="175"/>
      <c r="AJ220" s="175"/>
      <c r="AK220" s="175"/>
      <c r="AL220" s="175"/>
      <c r="AM220" s="175"/>
      <c r="AN220" s="175"/>
      <c r="AO220" s="175"/>
      <c r="AP220" s="175"/>
      <c r="AQ220" s="175"/>
      <c r="AR220" s="175"/>
      <c r="AS220" s="175"/>
      <c r="AT220" s="175"/>
      <c r="AU220" s="175"/>
      <c r="AV220" s="175"/>
      <c r="AW220" s="175"/>
      <c r="AX220" s="175"/>
      <c r="AY220" s="175"/>
      <c r="AZ220" s="175"/>
      <c r="BA220" s="175"/>
      <c r="BB220" s="633"/>
      <c r="BC220" s="175"/>
      <c r="BD220" s="175"/>
      <c r="BE220" s="175"/>
      <c r="BF220" s="175"/>
      <c r="BG220" s="175"/>
      <c r="BH220" s="175"/>
      <c r="BI220" s="175"/>
      <c r="BJ220" s="175"/>
      <c r="BK220" s="175"/>
      <c r="BL220" s="175"/>
      <c r="BM220" s="175"/>
      <c r="BN220" s="175"/>
      <c r="BO220" s="175"/>
      <c r="BP220" s="635"/>
      <c r="BQ220" s="175"/>
      <c r="BR220" s="175"/>
      <c r="BS220" s="175"/>
      <c r="BT220" s="175"/>
      <c r="BU220" s="175"/>
      <c r="BV220" s="175"/>
      <c r="BW220" s="175"/>
      <c r="BX220" s="140"/>
      <c r="BY220" s="140"/>
      <c r="BZ220" s="140"/>
      <c r="CA220" s="140"/>
      <c r="CB220" s="140"/>
      <c r="CC220" s="140"/>
      <c r="CD220" s="140"/>
      <c r="CE220" s="140"/>
      <c r="CF220" s="140"/>
      <c r="CG220" s="140"/>
      <c r="CH220" s="140"/>
      <c r="CI220" s="140"/>
      <c r="CJ220" s="140"/>
      <c r="CK220" s="140"/>
      <c r="CL220" s="140"/>
      <c r="CM220" s="140"/>
      <c r="CN220" s="140"/>
      <c r="CO220" s="140"/>
      <c r="CP220" s="140"/>
      <c r="CQ220" s="140"/>
      <c r="CR220" s="140"/>
      <c r="CS220" s="140"/>
      <c r="CT220" s="140"/>
      <c r="CU220" s="140"/>
      <c r="CV220" s="140"/>
      <c r="CW220" s="140"/>
      <c r="CX220" s="140"/>
      <c r="CY220" s="140"/>
      <c r="CZ220" s="140"/>
    </row>
    <row r="221" spans="1:104" x14ac:dyDescent="0.25">
      <c r="A221" s="175"/>
      <c r="B221" s="140"/>
      <c r="C221" s="574"/>
      <c r="D221" s="140"/>
      <c r="E221" s="140"/>
      <c r="F221" s="140"/>
      <c r="G221" s="140"/>
      <c r="H221" s="140"/>
      <c r="I221" s="140"/>
      <c r="J221" s="575"/>
      <c r="K221" s="575"/>
      <c r="L221" s="575"/>
      <c r="M221" s="575"/>
      <c r="N221" s="140"/>
      <c r="O221" s="140"/>
      <c r="P221" s="140"/>
      <c r="Q221" s="140"/>
      <c r="R221" s="175"/>
      <c r="S221" s="175"/>
      <c r="T221" s="175"/>
      <c r="U221" s="175"/>
      <c r="V221" s="175"/>
      <c r="W221" s="175"/>
      <c r="X221" s="634"/>
      <c r="Y221" s="634"/>
      <c r="Z221" s="175"/>
      <c r="AA221" s="175"/>
      <c r="AB221" s="175"/>
      <c r="AC221" s="175"/>
      <c r="AD221" s="175"/>
      <c r="AE221" s="175"/>
      <c r="AF221" s="175"/>
      <c r="AG221" s="175"/>
      <c r="AH221" s="175"/>
      <c r="AI221" s="175"/>
      <c r="AJ221" s="175"/>
      <c r="AK221" s="175"/>
      <c r="AL221" s="175"/>
      <c r="AM221" s="175"/>
      <c r="AN221" s="175"/>
      <c r="AO221" s="175"/>
      <c r="AP221" s="175"/>
      <c r="AQ221" s="175"/>
      <c r="AR221" s="175"/>
      <c r="AS221" s="175"/>
      <c r="AT221" s="175"/>
      <c r="AU221" s="175"/>
      <c r="AV221" s="175"/>
      <c r="AW221" s="175"/>
      <c r="AX221" s="175"/>
      <c r="AY221" s="175"/>
      <c r="AZ221" s="175"/>
      <c r="BA221" s="175"/>
      <c r="BB221" s="633"/>
      <c r="BC221" s="175"/>
      <c r="BD221" s="175"/>
      <c r="BE221" s="175"/>
      <c r="BF221" s="175"/>
      <c r="BG221" s="175"/>
      <c r="BH221" s="175"/>
      <c r="BI221" s="175"/>
      <c r="BJ221" s="175"/>
      <c r="BK221" s="175"/>
      <c r="BL221" s="175"/>
      <c r="BM221" s="175"/>
      <c r="BN221" s="175"/>
      <c r="BO221" s="175"/>
      <c r="BP221" s="635"/>
      <c r="BQ221" s="175"/>
      <c r="BR221" s="175"/>
      <c r="BS221" s="175"/>
      <c r="BT221" s="175"/>
      <c r="BU221" s="175"/>
      <c r="BV221" s="175"/>
      <c r="BW221" s="175"/>
      <c r="BX221" s="140"/>
      <c r="BY221" s="140"/>
      <c r="BZ221" s="140"/>
      <c r="CA221" s="140"/>
      <c r="CB221" s="140"/>
      <c r="CC221" s="140"/>
      <c r="CD221" s="140"/>
      <c r="CE221" s="140"/>
      <c r="CF221" s="140"/>
      <c r="CG221" s="140"/>
      <c r="CH221" s="140"/>
      <c r="CI221" s="140"/>
      <c r="CJ221" s="140"/>
      <c r="CK221" s="140"/>
      <c r="CL221" s="140"/>
      <c r="CM221" s="140"/>
      <c r="CN221" s="140"/>
      <c r="CO221" s="140"/>
      <c r="CP221" s="140"/>
      <c r="CQ221" s="140"/>
      <c r="CR221" s="140"/>
      <c r="CS221" s="140"/>
      <c r="CT221" s="140"/>
      <c r="CU221" s="140"/>
      <c r="CV221" s="140"/>
      <c r="CW221" s="140"/>
      <c r="CX221" s="140"/>
      <c r="CY221" s="140"/>
      <c r="CZ221" s="140"/>
    </row>
    <row r="222" spans="1:104" x14ac:dyDescent="0.25">
      <c r="A222" s="175"/>
      <c r="B222" s="140"/>
      <c r="C222" s="574"/>
      <c r="D222" s="140"/>
      <c r="E222" s="140"/>
      <c r="F222" s="140"/>
      <c r="G222" s="140"/>
      <c r="H222" s="140"/>
      <c r="I222" s="140"/>
      <c r="J222" s="575"/>
      <c r="K222" s="575"/>
      <c r="L222" s="575"/>
      <c r="M222" s="575"/>
      <c r="N222" s="140"/>
      <c r="O222" s="140"/>
      <c r="P222" s="140"/>
      <c r="Q222" s="140"/>
      <c r="R222" s="175"/>
      <c r="S222" s="175"/>
      <c r="T222" s="175"/>
      <c r="U222" s="175"/>
      <c r="V222" s="175"/>
      <c r="W222" s="175"/>
      <c r="X222" s="634"/>
      <c r="Y222" s="634"/>
      <c r="Z222" s="175"/>
      <c r="AA222" s="175"/>
      <c r="AB222" s="175"/>
      <c r="AC222" s="175"/>
      <c r="AD222" s="175"/>
      <c r="AE222" s="175"/>
      <c r="AF222" s="175"/>
      <c r="AG222" s="175"/>
      <c r="AH222" s="175"/>
      <c r="AI222" s="175"/>
      <c r="AJ222" s="175"/>
      <c r="AK222" s="175"/>
      <c r="AL222" s="175"/>
      <c r="AM222" s="175"/>
      <c r="AN222" s="175"/>
      <c r="AO222" s="175"/>
      <c r="AP222" s="175"/>
      <c r="AQ222" s="175"/>
      <c r="AR222" s="175"/>
      <c r="AS222" s="175"/>
      <c r="AT222" s="175"/>
      <c r="AU222" s="175"/>
      <c r="AV222" s="175"/>
      <c r="AW222" s="175"/>
      <c r="AX222" s="175"/>
      <c r="AY222" s="175"/>
      <c r="AZ222" s="175"/>
      <c r="BA222" s="175"/>
      <c r="BB222" s="633"/>
      <c r="BC222" s="175"/>
      <c r="BD222" s="175"/>
      <c r="BE222" s="175"/>
      <c r="BF222" s="175"/>
      <c r="BG222" s="175"/>
      <c r="BH222" s="175"/>
      <c r="BI222" s="175"/>
      <c r="BJ222" s="175"/>
      <c r="BK222" s="175"/>
      <c r="BL222" s="175"/>
      <c r="BM222" s="175"/>
      <c r="BN222" s="175"/>
      <c r="BO222" s="175"/>
      <c r="BP222" s="635"/>
      <c r="BQ222" s="175"/>
      <c r="BR222" s="175"/>
      <c r="BS222" s="175"/>
      <c r="BT222" s="175"/>
      <c r="BU222" s="175"/>
      <c r="BV222" s="175"/>
      <c r="BW222" s="175"/>
      <c r="BX222" s="140"/>
      <c r="BY222" s="140"/>
      <c r="BZ222" s="140"/>
      <c r="CA222" s="140"/>
      <c r="CB222" s="140"/>
      <c r="CC222" s="140"/>
      <c r="CD222" s="140"/>
      <c r="CE222" s="140"/>
      <c r="CF222" s="140"/>
      <c r="CG222" s="140"/>
      <c r="CH222" s="140"/>
      <c r="CI222" s="140"/>
      <c r="CJ222" s="140"/>
      <c r="CK222" s="140"/>
      <c r="CL222" s="140"/>
      <c r="CM222" s="140"/>
      <c r="CN222" s="140"/>
      <c r="CO222" s="140"/>
      <c r="CP222" s="140"/>
      <c r="CQ222" s="140"/>
      <c r="CR222" s="140"/>
      <c r="CS222" s="140"/>
      <c r="CT222" s="140"/>
      <c r="CU222" s="140"/>
      <c r="CV222" s="140"/>
      <c r="CW222" s="140"/>
      <c r="CX222" s="140"/>
      <c r="CY222" s="140"/>
      <c r="CZ222" s="140"/>
    </row>
    <row r="223" spans="1:104" x14ac:dyDescent="0.25">
      <c r="A223" s="175"/>
      <c r="B223" s="140"/>
      <c r="C223" s="574"/>
      <c r="D223" s="140"/>
      <c r="E223" s="140"/>
      <c r="F223" s="140"/>
      <c r="G223" s="140"/>
      <c r="H223" s="140"/>
      <c r="I223" s="140"/>
      <c r="J223" s="575"/>
      <c r="K223" s="575"/>
      <c r="L223" s="575"/>
      <c r="M223" s="575"/>
      <c r="N223" s="140"/>
      <c r="O223" s="140"/>
      <c r="P223" s="140"/>
      <c r="Q223" s="140"/>
      <c r="R223" s="175"/>
      <c r="S223" s="175"/>
      <c r="T223" s="175"/>
      <c r="U223" s="175"/>
      <c r="V223" s="175"/>
      <c r="W223" s="175"/>
      <c r="X223" s="634"/>
      <c r="Y223" s="634"/>
      <c r="Z223" s="175"/>
      <c r="AA223" s="175"/>
      <c r="AB223" s="175"/>
      <c r="AC223" s="175"/>
      <c r="AD223" s="175"/>
      <c r="AE223" s="175"/>
      <c r="AF223" s="175"/>
      <c r="AG223" s="175"/>
      <c r="AH223" s="175"/>
      <c r="AI223" s="175"/>
      <c r="AJ223" s="175"/>
      <c r="AK223" s="175"/>
      <c r="AL223" s="175"/>
      <c r="AM223" s="175"/>
      <c r="AN223" s="175"/>
      <c r="AO223" s="175"/>
      <c r="AP223" s="175"/>
      <c r="AQ223" s="175"/>
      <c r="AR223" s="175"/>
      <c r="AS223" s="175"/>
      <c r="AT223" s="175"/>
      <c r="AU223" s="175"/>
      <c r="AV223" s="175"/>
      <c r="AW223" s="175"/>
      <c r="AX223" s="175"/>
      <c r="AY223" s="175"/>
      <c r="AZ223" s="175"/>
      <c r="BA223" s="175"/>
      <c r="BB223" s="633"/>
      <c r="BC223" s="175"/>
      <c r="BD223" s="175"/>
      <c r="BE223" s="175"/>
      <c r="BF223" s="175"/>
      <c r="BG223" s="175"/>
      <c r="BH223" s="175"/>
      <c r="BI223" s="175"/>
      <c r="BJ223" s="175"/>
      <c r="BK223" s="175"/>
      <c r="BL223" s="175"/>
      <c r="BM223" s="175"/>
      <c r="BN223" s="175"/>
      <c r="BO223" s="175"/>
      <c r="BP223" s="635"/>
      <c r="BQ223" s="175"/>
      <c r="BR223" s="175"/>
      <c r="BS223" s="175"/>
      <c r="BT223" s="175"/>
      <c r="BU223" s="175"/>
      <c r="BV223" s="175"/>
      <c r="BW223" s="175"/>
      <c r="BX223" s="140"/>
      <c r="BY223" s="140"/>
      <c r="BZ223" s="140"/>
      <c r="CA223" s="140"/>
      <c r="CB223" s="140"/>
      <c r="CC223" s="140"/>
      <c r="CD223" s="140"/>
      <c r="CE223" s="140"/>
      <c r="CF223" s="140"/>
      <c r="CG223" s="140"/>
      <c r="CH223" s="140"/>
      <c r="CI223" s="140"/>
      <c r="CJ223" s="140"/>
      <c r="CK223" s="140"/>
      <c r="CL223" s="140"/>
      <c r="CM223" s="140"/>
      <c r="CN223" s="140"/>
      <c r="CO223" s="140"/>
      <c r="CP223" s="140"/>
      <c r="CQ223" s="140"/>
      <c r="CR223" s="140"/>
      <c r="CS223" s="140"/>
      <c r="CT223" s="140"/>
      <c r="CU223" s="140"/>
      <c r="CV223" s="140"/>
      <c r="CW223" s="140"/>
      <c r="CX223" s="140"/>
      <c r="CY223" s="140"/>
      <c r="CZ223" s="140"/>
    </row>
    <row r="224" spans="1:104" x14ac:dyDescent="0.25">
      <c r="A224" s="175"/>
      <c r="B224" s="140"/>
      <c r="C224" s="574"/>
      <c r="D224" s="140"/>
      <c r="E224" s="140"/>
      <c r="F224" s="140"/>
      <c r="G224" s="140"/>
      <c r="H224" s="140"/>
      <c r="I224" s="140"/>
      <c r="J224" s="575"/>
      <c r="K224" s="575"/>
      <c r="L224" s="575"/>
      <c r="M224" s="575"/>
      <c r="N224" s="140"/>
      <c r="O224" s="140"/>
      <c r="P224" s="140"/>
      <c r="Q224" s="140"/>
      <c r="R224" s="175"/>
      <c r="S224" s="175"/>
      <c r="T224" s="175"/>
      <c r="U224" s="175"/>
      <c r="V224" s="175"/>
      <c r="W224" s="175"/>
      <c r="X224" s="634"/>
      <c r="Y224" s="634"/>
      <c r="Z224" s="175"/>
      <c r="AA224" s="175"/>
      <c r="AB224" s="175"/>
      <c r="AC224" s="175"/>
      <c r="AD224" s="175"/>
      <c r="AE224" s="175"/>
      <c r="AF224" s="175"/>
      <c r="AG224" s="175"/>
      <c r="AH224" s="175"/>
      <c r="AI224" s="175"/>
      <c r="AJ224" s="175"/>
      <c r="AK224" s="175"/>
      <c r="AL224" s="175"/>
      <c r="AM224" s="175"/>
      <c r="AN224" s="175"/>
      <c r="AO224" s="175"/>
      <c r="AP224" s="175"/>
      <c r="AQ224" s="175"/>
      <c r="AR224" s="175"/>
      <c r="AS224" s="175"/>
      <c r="AT224" s="175"/>
      <c r="AU224" s="175"/>
      <c r="AV224" s="175"/>
      <c r="AW224" s="175"/>
      <c r="AX224" s="175"/>
      <c r="AY224" s="175"/>
      <c r="AZ224" s="175"/>
      <c r="BA224" s="175"/>
      <c r="BB224" s="633"/>
      <c r="BC224" s="175"/>
      <c r="BD224" s="175"/>
      <c r="BE224" s="175"/>
      <c r="BF224" s="175"/>
      <c r="BG224" s="175"/>
      <c r="BH224" s="175"/>
      <c r="BI224" s="175"/>
      <c r="BJ224" s="175"/>
      <c r="BK224" s="175"/>
      <c r="BL224" s="175"/>
      <c r="BM224" s="175"/>
      <c r="BN224" s="175"/>
      <c r="BO224" s="175"/>
      <c r="BP224" s="635"/>
      <c r="BQ224" s="175"/>
      <c r="BR224" s="175"/>
      <c r="BS224" s="175"/>
      <c r="BT224" s="175"/>
      <c r="BU224" s="175"/>
      <c r="BV224" s="175"/>
      <c r="BW224" s="175"/>
      <c r="BX224" s="140"/>
      <c r="BY224" s="140"/>
      <c r="BZ224" s="140"/>
      <c r="CA224" s="140"/>
      <c r="CB224" s="140"/>
      <c r="CC224" s="140"/>
      <c r="CD224" s="140"/>
      <c r="CE224" s="140"/>
      <c r="CF224" s="140"/>
      <c r="CG224" s="140"/>
      <c r="CH224" s="140"/>
      <c r="CI224" s="140"/>
      <c r="CJ224" s="140"/>
      <c r="CK224" s="140"/>
      <c r="CL224" s="140"/>
      <c r="CM224" s="140"/>
      <c r="CN224" s="140"/>
      <c r="CO224" s="140"/>
      <c r="CP224" s="140"/>
      <c r="CQ224" s="140"/>
      <c r="CR224" s="140"/>
      <c r="CS224" s="140"/>
      <c r="CT224" s="140"/>
      <c r="CU224" s="140"/>
      <c r="CV224" s="140"/>
      <c r="CW224" s="140"/>
      <c r="CX224" s="140"/>
      <c r="CY224" s="140"/>
      <c r="CZ224" s="140"/>
    </row>
    <row r="225" spans="1:104" x14ac:dyDescent="0.25">
      <c r="A225" s="175"/>
      <c r="B225" s="140"/>
      <c r="C225" s="574"/>
      <c r="D225" s="140"/>
      <c r="E225" s="140"/>
      <c r="F225" s="140"/>
      <c r="G225" s="140"/>
      <c r="H225" s="140"/>
      <c r="I225" s="140"/>
      <c r="J225" s="575"/>
      <c r="K225" s="575"/>
      <c r="L225" s="575"/>
      <c r="M225" s="575"/>
      <c r="N225" s="140"/>
      <c r="O225" s="140"/>
      <c r="P225" s="140"/>
      <c r="Q225" s="140"/>
      <c r="R225" s="175"/>
      <c r="S225" s="175"/>
      <c r="T225" s="175"/>
      <c r="U225" s="175"/>
      <c r="V225" s="175"/>
      <c r="W225" s="175"/>
      <c r="X225" s="634"/>
      <c r="Y225" s="634"/>
      <c r="Z225" s="175"/>
      <c r="AA225" s="175"/>
      <c r="AB225" s="175"/>
      <c r="AC225" s="175"/>
      <c r="AD225" s="175"/>
      <c r="AE225" s="175"/>
      <c r="AF225" s="175"/>
      <c r="AG225" s="175"/>
      <c r="AH225" s="175"/>
      <c r="AI225" s="175"/>
      <c r="AJ225" s="175"/>
      <c r="AK225" s="175"/>
      <c r="AL225" s="175"/>
      <c r="AM225" s="175"/>
      <c r="AN225" s="175"/>
      <c r="AO225" s="175"/>
      <c r="AP225" s="175"/>
      <c r="AQ225" s="175"/>
      <c r="AR225" s="175"/>
      <c r="AS225" s="175"/>
      <c r="AT225" s="175"/>
      <c r="AU225" s="175"/>
      <c r="AV225" s="175"/>
      <c r="AW225" s="175"/>
      <c r="AX225" s="175"/>
      <c r="AY225" s="175"/>
      <c r="AZ225" s="175"/>
      <c r="BA225" s="175"/>
      <c r="BB225" s="633"/>
      <c r="BC225" s="175"/>
      <c r="BD225" s="175"/>
      <c r="BE225" s="175"/>
      <c r="BF225" s="175"/>
      <c r="BG225" s="175"/>
      <c r="BH225" s="175"/>
      <c r="BI225" s="175"/>
      <c r="BJ225" s="175"/>
      <c r="BK225" s="175"/>
      <c r="BL225" s="175"/>
      <c r="BM225" s="175"/>
      <c r="BN225" s="175"/>
      <c r="BO225" s="175"/>
      <c r="BP225" s="635"/>
      <c r="BQ225" s="175"/>
      <c r="BR225" s="175"/>
      <c r="BS225" s="175"/>
      <c r="BT225" s="175"/>
      <c r="BU225" s="175"/>
      <c r="BV225" s="175"/>
      <c r="BW225" s="175"/>
      <c r="BX225" s="140"/>
      <c r="BY225" s="140"/>
      <c r="BZ225" s="140"/>
      <c r="CA225" s="140"/>
      <c r="CB225" s="140"/>
      <c r="CC225" s="140"/>
      <c r="CD225" s="140"/>
      <c r="CE225" s="140"/>
      <c r="CF225" s="140"/>
      <c r="CG225" s="140"/>
      <c r="CH225" s="140"/>
      <c r="CI225" s="140"/>
      <c r="CJ225" s="140"/>
      <c r="CK225" s="140"/>
      <c r="CL225" s="140"/>
      <c r="CM225" s="140"/>
      <c r="CN225" s="140"/>
      <c r="CO225" s="140"/>
      <c r="CP225" s="140"/>
      <c r="CQ225" s="140"/>
      <c r="CR225" s="140"/>
      <c r="CS225" s="140"/>
      <c r="CT225" s="140"/>
      <c r="CU225" s="140"/>
      <c r="CV225" s="140"/>
      <c r="CW225" s="140"/>
      <c r="CX225" s="140"/>
      <c r="CY225" s="140"/>
      <c r="CZ225" s="140"/>
    </row>
    <row r="226" spans="1:104" x14ac:dyDescent="0.25">
      <c r="A226" s="175"/>
      <c r="B226" s="140"/>
      <c r="C226" s="574"/>
      <c r="D226" s="140"/>
      <c r="E226" s="140"/>
      <c r="F226" s="140"/>
      <c r="G226" s="140"/>
      <c r="H226" s="140"/>
      <c r="I226" s="140"/>
      <c r="J226" s="575"/>
      <c r="K226" s="575"/>
      <c r="L226" s="575"/>
      <c r="M226" s="575"/>
      <c r="N226" s="140"/>
      <c r="O226" s="140"/>
      <c r="P226" s="140"/>
      <c r="Q226" s="140"/>
      <c r="R226" s="175"/>
      <c r="S226" s="175"/>
      <c r="T226" s="175"/>
      <c r="U226" s="175"/>
      <c r="V226" s="175"/>
      <c r="W226" s="175"/>
      <c r="X226" s="634"/>
      <c r="Y226" s="634"/>
      <c r="Z226" s="175"/>
      <c r="AA226" s="175"/>
      <c r="AB226" s="175"/>
      <c r="AC226" s="175"/>
      <c r="AD226" s="175"/>
      <c r="AE226" s="175"/>
      <c r="AF226" s="175"/>
      <c r="AG226" s="175"/>
      <c r="AH226" s="175"/>
      <c r="AI226" s="175"/>
      <c r="AJ226" s="175"/>
      <c r="AK226" s="175"/>
      <c r="AL226" s="175"/>
      <c r="AM226" s="175"/>
      <c r="AN226" s="175"/>
      <c r="AO226" s="175"/>
      <c r="AP226" s="175"/>
      <c r="AQ226" s="175"/>
      <c r="AR226" s="175"/>
      <c r="AS226" s="175"/>
      <c r="AT226" s="175"/>
      <c r="AU226" s="175"/>
      <c r="AV226" s="175"/>
      <c r="AW226" s="175"/>
      <c r="AX226" s="175"/>
      <c r="AY226" s="175"/>
      <c r="AZ226" s="175"/>
      <c r="BA226" s="175"/>
      <c r="BB226" s="633"/>
      <c r="BC226" s="175"/>
      <c r="BD226" s="175"/>
      <c r="BE226" s="175"/>
      <c r="BF226" s="175"/>
      <c r="BG226" s="175"/>
      <c r="BH226" s="175"/>
      <c r="BI226" s="175"/>
      <c r="BJ226" s="175"/>
      <c r="BK226" s="175"/>
      <c r="BL226" s="175"/>
      <c r="BM226" s="175"/>
      <c r="BN226" s="175"/>
      <c r="BO226" s="175"/>
      <c r="BP226" s="635"/>
      <c r="BQ226" s="175"/>
      <c r="BR226" s="175"/>
      <c r="BS226" s="175"/>
      <c r="BT226" s="175"/>
      <c r="BU226" s="175"/>
      <c r="BV226" s="175"/>
      <c r="BW226" s="175"/>
      <c r="BX226" s="140"/>
      <c r="BY226" s="140"/>
      <c r="BZ226" s="140"/>
      <c r="CA226" s="140"/>
      <c r="CB226" s="140"/>
      <c r="CC226" s="140"/>
      <c r="CD226" s="140"/>
      <c r="CE226" s="140"/>
      <c r="CF226" s="140"/>
      <c r="CG226" s="140"/>
      <c r="CH226" s="140"/>
      <c r="CI226" s="140"/>
      <c r="CJ226" s="140"/>
      <c r="CK226" s="140"/>
      <c r="CL226" s="140"/>
      <c r="CM226" s="140"/>
      <c r="CN226" s="140"/>
      <c r="CO226" s="140"/>
      <c r="CP226" s="140"/>
      <c r="CQ226" s="140"/>
      <c r="CR226" s="140"/>
      <c r="CS226" s="140"/>
      <c r="CT226" s="140"/>
      <c r="CU226" s="140"/>
      <c r="CV226" s="140"/>
      <c r="CW226" s="140"/>
      <c r="CX226" s="140"/>
      <c r="CY226" s="140"/>
      <c r="CZ226" s="140"/>
    </row>
    <row r="227" spans="1:104" x14ac:dyDescent="0.25">
      <c r="A227" s="175"/>
      <c r="B227" s="140"/>
      <c r="C227" s="574"/>
      <c r="D227" s="140"/>
      <c r="E227" s="140"/>
      <c r="F227" s="140"/>
      <c r="G227" s="140"/>
      <c r="H227" s="140"/>
      <c r="I227" s="140"/>
      <c r="J227" s="575"/>
      <c r="K227" s="575"/>
      <c r="L227" s="575"/>
      <c r="M227" s="575"/>
      <c r="N227" s="140"/>
      <c r="O227" s="140"/>
      <c r="P227" s="140"/>
      <c r="Q227" s="140"/>
      <c r="R227" s="175"/>
      <c r="S227" s="175"/>
      <c r="T227" s="175"/>
      <c r="U227" s="175"/>
      <c r="V227" s="175"/>
      <c r="W227" s="175"/>
      <c r="X227" s="634"/>
      <c r="Y227" s="634"/>
      <c r="Z227" s="175"/>
      <c r="AA227" s="175"/>
      <c r="AB227" s="175"/>
      <c r="AC227" s="175"/>
      <c r="AD227" s="175"/>
      <c r="AE227" s="175"/>
      <c r="AF227" s="175"/>
      <c r="AG227" s="175"/>
      <c r="AH227" s="175"/>
      <c r="AI227" s="175"/>
      <c r="AJ227" s="175"/>
      <c r="AK227" s="175"/>
      <c r="AL227" s="175"/>
      <c r="AM227" s="175"/>
      <c r="AN227" s="175"/>
      <c r="AO227" s="175"/>
      <c r="AP227" s="175"/>
      <c r="AQ227" s="175"/>
      <c r="AR227" s="175"/>
      <c r="AS227" s="175"/>
      <c r="AT227" s="175"/>
      <c r="AU227" s="175"/>
      <c r="AV227" s="175"/>
      <c r="AW227" s="175"/>
      <c r="AX227" s="175"/>
      <c r="AY227" s="175"/>
      <c r="AZ227" s="175"/>
      <c r="BA227" s="175"/>
      <c r="BB227" s="633"/>
      <c r="BC227" s="175"/>
      <c r="BD227" s="175"/>
      <c r="BE227" s="175"/>
      <c r="BF227" s="175"/>
      <c r="BG227" s="175"/>
      <c r="BH227" s="175"/>
      <c r="BI227" s="175"/>
      <c r="BJ227" s="175"/>
      <c r="BK227" s="175"/>
      <c r="BL227" s="175"/>
      <c r="BM227" s="175"/>
      <c r="BN227" s="175"/>
      <c r="BO227" s="175"/>
      <c r="BP227" s="635"/>
      <c r="BQ227" s="175"/>
      <c r="BR227" s="175"/>
      <c r="BS227" s="175"/>
      <c r="BT227" s="175"/>
      <c r="BU227" s="175"/>
      <c r="BV227" s="175"/>
      <c r="BW227" s="175"/>
      <c r="BX227" s="140"/>
      <c r="BY227" s="140"/>
      <c r="BZ227" s="140"/>
      <c r="CA227" s="140"/>
      <c r="CB227" s="140"/>
      <c r="CC227" s="140"/>
      <c r="CD227" s="140"/>
      <c r="CE227" s="140"/>
      <c r="CF227" s="140"/>
      <c r="CG227" s="140"/>
      <c r="CH227" s="140"/>
      <c r="CI227" s="140"/>
      <c r="CJ227" s="140"/>
      <c r="CK227" s="140"/>
      <c r="CL227" s="140"/>
      <c r="CM227" s="140"/>
      <c r="CN227" s="140"/>
      <c r="CO227" s="140"/>
      <c r="CP227" s="140"/>
      <c r="CQ227" s="140"/>
      <c r="CR227" s="140"/>
      <c r="CS227" s="140"/>
      <c r="CT227" s="140"/>
      <c r="CU227" s="140"/>
      <c r="CV227" s="140"/>
      <c r="CW227" s="140"/>
      <c r="CX227" s="140"/>
      <c r="CY227" s="140"/>
      <c r="CZ227" s="140"/>
    </row>
    <row r="228" spans="1:104" x14ac:dyDescent="0.25">
      <c r="A228" s="175"/>
      <c r="B228" s="140"/>
      <c r="C228" s="574"/>
      <c r="D228" s="140"/>
      <c r="E228" s="140"/>
      <c r="F228" s="140"/>
      <c r="G228" s="140"/>
      <c r="H228" s="140"/>
      <c r="I228" s="140"/>
      <c r="J228" s="575"/>
      <c r="K228" s="575"/>
      <c r="L228" s="575"/>
      <c r="M228" s="575"/>
      <c r="N228" s="140"/>
      <c r="O228" s="140"/>
      <c r="P228" s="140"/>
      <c r="Q228" s="140"/>
      <c r="R228" s="175"/>
      <c r="S228" s="175"/>
      <c r="T228" s="175"/>
      <c r="U228" s="175"/>
      <c r="V228" s="175"/>
      <c r="W228" s="175"/>
      <c r="X228" s="634"/>
      <c r="Y228" s="634"/>
      <c r="Z228" s="175"/>
      <c r="AA228" s="175"/>
      <c r="AB228" s="175"/>
      <c r="AC228" s="175"/>
      <c r="AD228" s="175"/>
      <c r="AE228" s="175"/>
      <c r="AF228" s="175"/>
      <c r="AG228" s="175"/>
      <c r="AH228" s="175"/>
      <c r="AI228" s="175"/>
      <c r="AJ228" s="175"/>
      <c r="AK228" s="175"/>
      <c r="AL228" s="175"/>
      <c r="AM228" s="175"/>
      <c r="AN228" s="175"/>
      <c r="AO228" s="175"/>
      <c r="AP228" s="175"/>
      <c r="AQ228" s="175"/>
      <c r="AR228" s="175"/>
      <c r="AS228" s="175"/>
      <c r="AT228" s="175"/>
      <c r="AU228" s="175"/>
      <c r="AV228" s="175"/>
      <c r="AW228" s="175"/>
      <c r="AX228" s="175"/>
      <c r="AY228" s="175"/>
      <c r="AZ228" s="175"/>
      <c r="BA228" s="175"/>
      <c r="BB228" s="633"/>
      <c r="BC228" s="175"/>
      <c r="BD228" s="175"/>
      <c r="BE228" s="175"/>
      <c r="BF228" s="175"/>
      <c r="BG228" s="175"/>
      <c r="BH228" s="175"/>
      <c r="BI228" s="175"/>
      <c r="BJ228" s="175"/>
      <c r="BK228" s="175"/>
      <c r="BL228" s="175"/>
      <c r="BM228" s="175"/>
      <c r="BN228" s="175"/>
      <c r="BO228" s="175"/>
      <c r="BP228" s="635"/>
      <c r="BQ228" s="175"/>
      <c r="BR228" s="175"/>
      <c r="BS228" s="175"/>
      <c r="BT228" s="175"/>
      <c r="BU228" s="175"/>
      <c r="BV228" s="175"/>
      <c r="BW228" s="175"/>
      <c r="BX228" s="140"/>
      <c r="BY228" s="140"/>
      <c r="BZ228" s="140"/>
      <c r="CA228" s="140"/>
      <c r="CB228" s="140"/>
      <c r="CC228" s="140"/>
      <c r="CD228" s="140"/>
      <c r="CE228" s="140"/>
      <c r="CF228" s="140"/>
      <c r="CG228" s="140"/>
      <c r="CH228" s="140"/>
      <c r="CI228" s="140"/>
      <c r="CJ228" s="140"/>
      <c r="CK228" s="140"/>
      <c r="CL228" s="140"/>
      <c r="CM228" s="140"/>
      <c r="CN228" s="140"/>
      <c r="CO228" s="140"/>
      <c r="CP228" s="140"/>
      <c r="CQ228" s="140"/>
      <c r="CR228" s="140"/>
      <c r="CS228" s="140"/>
      <c r="CT228" s="140"/>
      <c r="CU228" s="140"/>
      <c r="CV228" s="140"/>
      <c r="CW228" s="140"/>
      <c r="CX228" s="140"/>
      <c r="CY228" s="140"/>
      <c r="CZ228" s="140"/>
    </row>
    <row r="229" spans="1:104" x14ac:dyDescent="0.25">
      <c r="A229" s="175"/>
      <c r="B229" s="140"/>
      <c r="C229" s="574"/>
      <c r="D229" s="140"/>
      <c r="E229" s="140"/>
      <c r="F229" s="140"/>
      <c r="G229" s="140"/>
      <c r="H229" s="140"/>
      <c r="I229" s="140"/>
      <c r="J229" s="575"/>
      <c r="K229" s="575"/>
      <c r="L229" s="575"/>
      <c r="M229" s="575"/>
      <c r="N229" s="140"/>
      <c r="O229" s="140"/>
      <c r="P229" s="140"/>
      <c r="Q229" s="140"/>
      <c r="R229" s="175"/>
      <c r="S229" s="175"/>
      <c r="T229" s="175"/>
      <c r="U229" s="175"/>
      <c r="V229" s="175"/>
      <c r="W229" s="175"/>
      <c r="X229" s="634"/>
      <c r="Y229" s="634"/>
      <c r="Z229" s="175"/>
      <c r="AA229" s="175"/>
      <c r="AB229" s="175"/>
      <c r="AC229" s="175"/>
      <c r="AD229" s="175"/>
      <c r="AE229" s="175"/>
      <c r="AF229" s="175"/>
      <c r="AG229" s="175"/>
      <c r="AH229" s="175"/>
      <c r="AI229" s="175"/>
      <c r="AJ229" s="175"/>
      <c r="AK229" s="175"/>
      <c r="AL229" s="175"/>
      <c r="AM229" s="175"/>
      <c r="AN229" s="175"/>
      <c r="AO229" s="175"/>
      <c r="AP229" s="175"/>
      <c r="AQ229" s="175"/>
      <c r="AR229" s="175"/>
      <c r="AS229" s="175"/>
      <c r="AT229" s="175"/>
      <c r="AU229" s="175"/>
      <c r="AV229" s="175"/>
      <c r="AW229" s="175"/>
      <c r="AX229" s="175"/>
      <c r="AY229" s="175"/>
      <c r="AZ229" s="175"/>
      <c r="BA229" s="175"/>
      <c r="BB229" s="633"/>
      <c r="BC229" s="175"/>
      <c r="BD229" s="175"/>
      <c r="BE229" s="175"/>
      <c r="BF229" s="175"/>
      <c r="BG229" s="175"/>
      <c r="BH229" s="175"/>
      <c r="BI229" s="175"/>
      <c r="BJ229" s="175"/>
      <c r="BK229" s="175"/>
      <c r="BL229" s="175"/>
      <c r="BM229" s="175"/>
      <c r="BN229" s="175"/>
      <c r="BO229" s="175"/>
      <c r="BP229" s="635"/>
      <c r="BQ229" s="175"/>
      <c r="BR229" s="175"/>
      <c r="BS229" s="175"/>
      <c r="BT229" s="175"/>
      <c r="BU229" s="175"/>
      <c r="BV229" s="175"/>
      <c r="BW229" s="175"/>
      <c r="BX229" s="140"/>
      <c r="BY229" s="140"/>
      <c r="BZ229" s="140"/>
      <c r="CA229" s="140"/>
      <c r="CB229" s="140"/>
      <c r="CC229" s="140"/>
      <c r="CD229" s="140"/>
      <c r="CE229" s="140"/>
      <c r="CF229" s="140"/>
      <c r="CG229" s="140"/>
      <c r="CH229" s="140"/>
      <c r="CI229" s="140"/>
      <c r="CJ229" s="140"/>
      <c r="CK229" s="140"/>
      <c r="CL229" s="140"/>
      <c r="CM229" s="140"/>
      <c r="CN229" s="140"/>
      <c r="CO229" s="140"/>
      <c r="CP229" s="140"/>
      <c r="CQ229" s="140"/>
      <c r="CR229" s="140"/>
      <c r="CS229" s="140"/>
      <c r="CT229" s="140"/>
      <c r="CU229" s="140"/>
      <c r="CV229" s="140"/>
      <c r="CW229" s="140"/>
      <c r="CX229" s="140"/>
      <c r="CY229" s="140"/>
      <c r="CZ229" s="140"/>
    </row>
    <row r="230" spans="1:104" x14ac:dyDescent="0.25">
      <c r="A230" s="175"/>
      <c r="B230" s="140"/>
      <c r="C230" s="574"/>
      <c r="D230" s="140"/>
      <c r="E230" s="140"/>
      <c r="F230" s="140"/>
      <c r="G230" s="140"/>
      <c r="H230" s="140"/>
      <c r="I230" s="140"/>
      <c r="J230" s="575"/>
      <c r="K230" s="575"/>
      <c r="L230" s="575"/>
      <c r="M230" s="575"/>
      <c r="N230" s="140"/>
      <c r="O230" s="140"/>
      <c r="P230" s="140"/>
      <c r="Q230" s="140"/>
      <c r="R230" s="175"/>
      <c r="S230" s="175"/>
      <c r="T230" s="175"/>
      <c r="U230" s="175"/>
      <c r="V230" s="175"/>
      <c r="W230" s="175"/>
      <c r="X230" s="634"/>
      <c r="Y230" s="634"/>
      <c r="Z230" s="175"/>
      <c r="AA230" s="175"/>
      <c r="AB230" s="175"/>
      <c r="AC230" s="175"/>
      <c r="AD230" s="175"/>
      <c r="AE230" s="175"/>
      <c r="AF230" s="175"/>
      <c r="AG230" s="175"/>
      <c r="AH230" s="175"/>
      <c r="AI230" s="175"/>
      <c r="AJ230" s="175"/>
      <c r="AK230" s="175"/>
      <c r="AL230" s="175"/>
      <c r="AM230" s="175"/>
      <c r="AN230" s="175"/>
      <c r="AO230" s="175"/>
      <c r="AP230" s="175"/>
      <c r="AQ230" s="175"/>
      <c r="AR230" s="175"/>
      <c r="AS230" s="175"/>
      <c r="AT230" s="175"/>
      <c r="AU230" s="175"/>
      <c r="AV230" s="175"/>
      <c r="AW230" s="175"/>
      <c r="AX230" s="175"/>
      <c r="AY230" s="175"/>
      <c r="AZ230" s="175"/>
      <c r="BA230" s="175"/>
      <c r="BB230" s="633"/>
      <c r="BC230" s="175"/>
      <c r="BD230" s="175"/>
      <c r="BE230" s="175"/>
      <c r="BF230" s="175"/>
      <c r="BG230" s="175"/>
      <c r="BH230" s="175"/>
      <c r="BI230" s="175"/>
      <c r="BJ230" s="175"/>
      <c r="BK230" s="175"/>
      <c r="BL230" s="175"/>
      <c r="BM230" s="175"/>
      <c r="BN230" s="175"/>
      <c r="BO230" s="175"/>
      <c r="BP230" s="635"/>
      <c r="BQ230" s="175"/>
      <c r="BR230" s="175"/>
      <c r="BS230" s="175"/>
      <c r="BT230" s="175"/>
      <c r="BU230" s="175"/>
      <c r="BV230" s="175"/>
      <c r="BW230" s="175"/>
      <c r="BX230" s="140"/>
      <c r="BY230" s="140"/>
      <c r="BZ230" s="140"/>
      <c r="CA230" s="140"/>
      <c r="CB230" s="140"/>
      <c r="CC230" s="140"/>
      <c r="CD230" s="140"/>
      <c r="CE230" s="140"/>
      <c r="CF230" s="140"/>
      <c r="CG230" s="140"/>
      <c r="CH230" s="140"/>
      <c r="CI230" s="140"/>
      <c r="CJ230" s="140"/>
      <c r="CK230" s="140"/>
      <c r="CL230" s="140"/>
      <c r="CM230" s="140"/>
      <c r="CN230" s="140"/>
      <c r="CO230" s="140"/>
      <c r="CP230" s="140"/>
      <c r="CQ230" s="140"/>
      <c r="CR230" s="140"/>
      <c r="CS230" s="140"/>
      <c r="CT230" s="140"/>
      <c r="CU230" s="140"/>
      <c r="CV230" s="140"/>
      <c r="CW230" s="140"/>
      <c r="CX230" s="140"/>
      <c r="CY230" s="140"/>
      <c r="CZ230" s="140"/>
    </row>
    <row r="231" spans="1:104" x14ac:dyDescent="0.25">
      <c r="A231" s="175"/>
      <c r="B231" s="140"/>
      <c r="C231" s="574"/>
      <c r="D231" s="140"/>
      <c r="E231" s="140"/>
      <c r="F231" s="140"/>
      <c r="G231" s="140"/>
      <c r="H231" s="140"/>
      <c r="I231" s="140"/>
      <c r="J231" s="575"/>
      <c r="K231" s="575"/>
      <c r="L231" s="575"/>
      <c r="M231" s="575"/>
      <c r="N231" s="140"/>
      <c r="O231" s="140"/>
      <c r="P231" s="140"/>
      <c r="Q231" s="140"/>
      <c r="R231" s="175"/>
      <c r="S231" s="175"/>
      <c r="T231" s="175"/>
      <c r="U231" s="175"/>
      <c r="V231" s="175"/>
      <c r="W231" s="175"/>
      <c r="X231" s="634"/>
      <c r="Y231" s="634"/>
      <c r="Z231" s="175"/>
      <c r="AA231" s="175"/>
      <c r="AB231" s="175"/>
      <c r="AC231" s="175"/>
      <c r="AD231" s="175"/>
      <c r="AE231" s="175"/>
      <c r="AF231" s="175"/>
      <c r="AG231" s="175"/>
      <c r="AH231" s="175"/>
      <c r="AI231" s="175"/>
      <c r="AJ231" s="175"/>
      <c r="AK231" s="175"/>
      <c r="AL231" s="175"/>
      <c r="AM231" s="175"/>
      <c r="AN231" s="175"/>
      <c r="AO231" s="175"/>
      <c r="AP231" s="175"/>
      <c r="AQ231" s="175"/>
      <c r="AR231" s="175"/>
      <c r="AS231" s="175"/>
      <c r="AT231" s="175"/>
      <c r="AU231" s="175"/>
      <c r="AV231" s="175"/>
      <c r="AW231" s="175"/>
      <c r="AX231" s="175"/>
      <c r="AY231" s="175"/>
      <c r="AZ231" s="175"/>
      <c r="BA231" s="175"/>
      <c r="BB231" s="633"/>
      <c r="BC231" s="175"/>
      <c r="BD231" s="175"/>
      <c r="BE231" s="175"/>
      <c r="BF231" s="175"/>
      <c r="BG231" s="175"/>
      <c r="BH231" s="175"/>
      <c r="BI231" s="175"/>
      <c r="BJ231" s="175"/>
      <c r="BK231" s="175"/>
      <c r="BL231" s="175"/>
      <c r="BM231" s="175"/>
      <c r="BN231" s="175"/>
      <c r="BO231" s="175"/>
      <c r="BP231" s="635"/>
      <c r="BQ231" s="175"/>
      <c r="BR231" s="175"/>
      <c r="BS231" s="175"/>
      <c r="BT231" s="175"/>
      <c r="BU231" s="175"/>
      <c r="BV231" s="175"/>
      <c r="BW231" s="175"/>
      <c r="BX231" s="140"/>
      <c r="BY231" s="140"/>
      <c r="BZ231" s="140"/>
      <c r="CA231" s="140"/>
      <c r="CB231" s="140"/>
      <c r="CC231" s="140"/>
      <c r="CD231" s="140"/>
      <c r="CE231" s="140"/>
      <c r="CF231" s="140"/>
      <c r="CG231" s="140"/>
      <c r="CH231" s="140"/>
      <c r="CI231" s="140"/>
      <c r="CJ231" s="140"/>
      <c r="CK231" s="140"/>
      <c r="CL231" s="140"/>
      <c r="CM231" s="140"/>
      <c r="CN231" s="140"/>
      <c r="CO231" s="140"/>
      <c r="CP231" s="140"/>
      <c r="CQ231" s="140"/>
      <c r="CR231" s="140"/>
      <c r="CS231" s="140"/>
      <c r="CT231" s="140"/>
      <c r="CU231" s="140"/>
      <c r="CV231" s="140"/>
      <c r="CW231" s="140"/>
      <c r="CX231" s="140"/>
      <c r="CY231" s="140"/>
      <c r="CZ231" s="140"/>
    </row>
    <row r="232" spans="1:104" x14ac:dyDescent="0.25">
      <c r="A232" s="175"/>
      <c r="B232" s="140"/>
      <c r="C232" s="574"/>
      <c r="D232" s="140"/>
      <c r="E232" s="140"/>
      <c r="F232" s="140"/>
      <c r="G232" s="140"/>
      <c r="H232" s="140"/>
      <c r="I232" s="140"/>
      <c r="J232" s="575"/>
      <c r="K232" s="575"/>
      <c r="L232" s="575"/>
      <c r="M232" s="575"/>
      <c r="N232" s="140"/>
      <c r="O232" s="140"/>
      <c r="P232" s="140"/>
      <c r="Q232" s="140"/>
      <c r="R232" s="175"/>
      <c r="S232" s="175"/>
      <c r="T232" s="175"/>
      <c r="U232" s="175"/>
      <c r="V232" s="175"/>
      <c r="W232" s="175"/>
      <c r="X232" s="634"/>
      <c r="Y232" s="634"/>
      <c r="Z232" s="175"/>
      <c r="AA232" s="175"/>
      <c r="AB232" s="175"/>
      <c r="AC232" s="175"/>
      <c r="AD232" s="175"/>
      <c r="AE232" s="175"/>
      <c r="AF232" s="175"/>
      <c r="AG232" s="175"/>
      <c r="AH232" s="175"/>
      <c r="AI232" s="175"/>
      <c r="AJ232" s="175"/>
      <c r="AK232" s="175"/>
      <c r="AL232" s="175"/>
      <c r="AM232" s="175"/>
      <c r="AN232" s="175"/>
      <c r="AO232" s="175"/>
      <c r="AP232" s="175"/>
      <c r="AQ232" s="175"/>
      <c r="AR232" s="175"/>
      <c r="AS232" s="175"/>
      <c r="AT232" s="175"/>
      <c r="AU232" s="175"/>
      <c r="AV232" s="175"/>
      <c r="AW232" s="175"/>
      <c r="AX232" s="175"/>
      <c r="AY232" s="175"/>
      <c r="AZ232" s="175"/>
      <c r="BA232" s="175"/>
      <c r="BB232" s="633"/>
      <c r="BC232" s="175"/>
      <c r="BD232" s="175"/>
      <c r="BE232" s="175"/>
      <c r="BF232" s="175"/>
      <c r="BG232" s="175"/>
      <c r="BH232" s="175"/>
      <c r="BI232" s="175"/>
      <c r="BJ232" s="175"/>
      <c r="BK232" s="175"/>
      <c r="BL232" s="175"/>
      <c r="BM232" s="175"/>
      <c r="BN232" s="175"/>
      <c r="BO232" s="175"/>
      <c r="BP232" s="635"/>
      <c r="BQ232" s="175"/>
      <c r="BR232" s="175"/>
      <c r="BS232" s="175"/>
      <c r="BT232" s="175"/>
      <c r="BU232" s="175"/>
      <c r="BV232" s="175"/>
      <c r="BW232" s="175"/>
      <c r="BX232" s="140"/>
      <c r="BY232" s="140"/>
      <c r="BZ232" s="140"/>
      <c r="CA232" s="140"/>
      <c r="CB232" s="140"/>
      <c r="CC232" s="140"/>
      <c r="CD232" s="140"/>
      <c r="CE232" s="140"/>
      <c r="CF232" s="140"/>
      <c r="CG232" s="140"/>
      <c r="CH232" s="140"/>
      <c r="CI232" s="140"/>
      <c r="CJ232" s="140"/>
      <c r="CK232" s="140"/>
      <c r="CL232" s="140"/>
      <c r="CM232" s="140"/>
      <c r="CN232" s="140"/>
      <c r="CO232" s="140"/>
      <c r="CP232" s="140"/>
      <c r="CQ232" s="140"/>
      <c r="CR232" s="140"/>
      <c r="CS232" s="140"/>
      <c r="CT232" s="140"/>
      <c r="CU232" s="140"/>
      <c r="CV232" s="140"/>
      <c r="CW232" s="140"/>
      <c r="CX232" s="140"/>
      <c r="CY232" s="140"/>
      <c r="CZ232" s="140"/>
    </row>
    <row r="233" spans="1:104" x14ac:dyDescent="0.25">
      <c r="A233" s="175"/>
      <c r="B233" s="140"/>
      <c r="C233" s="574"/>
      <c r="D233" s="140"/>
      <c r="E233" s="140"/>
      <c r="F233" s="140"/>
      <c r="G233" s="140"/>
      <c r="H233" s="140"/>
      <c r="I233" s="140"/>
      <c r="J233" s="575"/>
      <c r="K233" s="575"/>
      <c r="L233" s="575"/>
      <c r="M233" s="575"/>
      <c r="N233" s="140"/>
      <c r="O233" s="140"/>
      <c r="P233" s="140"/>
      <c r="Q233" s="140"/>
      <c r="R233" s="175"/>
      <c r="S233" s="175"/>
      <c r="T233" s="175"/>
      <c r="U233" s="175"/>
      <c r="V233" s="175"/>
      <c r="W233" s="175"/>
      <c r="X233" s="634"/>
      <c r="Y233" s="634"/>
      <c r="Z233" s="175"/>
      <c r="AA233" s="175"/>
      <c r="AB233" s="175"/>
      <c r="AC233" s="175"/>
      <c r="AD233" s="175"/>
      <c r="AE233" s="175"/>
      <c r="AF233" s="175"/>
      <c r="AG233" s="175"/>
      <c r="AH233" s="175"/>
      <c r="AI233" s="175"/>
      <c r="AJ233" s="175"/>
      <c r="AK233" s="175"/>
      <c r="AL233" s="175"/>
      <c r="AM233" s="175"/>
      <c r="AN233" s="175"/>
      <c r="AO233" s="175"/>
      <c r="AP233" s="175"/>
      <c r="AQ233" s="175"/>
      <c r="AR233" s="175"/>
      <c r="AS233" s="175"/>
      <c r="AT233" s="175"/>
      <c r="AU233" s="175"/>
      <c r="AV233" s="175"/>
      <c r="AW233" s="175"/>
      <c r="AX233" s="175"/>
      <c r="AY233" s="175"/>
      <c r="AZ233" s="175"/>
      <c r="BA233" s="175"/>
      <c r="BB233" s="633"/>
      <c r="BC233" s="175"/>
      <c r="BD233" s="175"/>
      <c r="BE233" s="175"/>
      <c r="BF233" s="175"/>
      <c r="BG233" s="175"/>
      <c r="BH233" s="175"/>
      <c r="BI233" s="175"/>
      <c r="BJ233" s="175"/>
      <c r="BK233" s="175"/>
      <c r="BL233" s="175"/>
      <c r="BM233" s="175"/>
      <c r="BN233" s="175"/>
      <c r="BO233" s="175"/>
      <c r="BP233" s="635"/>
      <c r="BQ233" s="175"/>
      <c r="BR233" s="175"/>
      <c r="BS233" s="175"/>
      <c r="BT233" s="175"/>
      <c r="BU233" s="175"/>
      <c r="BV233" s="175"/>
      <c r="BW233" s="175"/>
      <c r="BX233" s="140"/>
      <c r="BY233" s="140"/>
      <c r="BZ233" s="140"/>
      <c r="CA233" s="140"/>
      <c r="CB233" s="140"/>
      <c r="CC233" s="140"/>
      <c r="CD233" s="140"/>
      <c r="CE233" s="140"/>
      <c r="CF233" s="140"/>
      <c r="CG233" s="140"/>
      <c r="CH233" s="140"/>
      <c r="CI233" s="140"/>
      <c r="CJ233" s="140"/>
      <c r="CK233" s="140"/>
      <c r="CL233" s="140"/>
      <c r="CM233" s="140"/>
      <c r="CN233" s="140"/>
      <c r="CO233" s="140"/>
      <c r="CP233" s="140"/>
      <c r="CQ233" s="140"/>
      <c r="CR233" s="140"/>
      <c r="CS233" s="140"/>
      <c r="CT233" s="140"/>
      <c r="CU233" s="140"/>
      <c r="CV233" s="140"/>
      <c r="CW233" s="140"/>
      <c r="CX233" s="140"/>
      <c r="CY233" s="140"/>
      <c r="CZ233" s="140"/>
    </row>
  </sheetData>
  <sheetProtection algorithmName="SHA-512" hashValue="IuILpTmCuwaeo7OA6E+uXE/VsdE/1KBXJvsRyqW8M0tbe8tdbIo53Q0oDolYzrvhdH+yRFQqufY1VaYabGkRYA==" saltValue="vBabM3DkXztOAKkylMY22w==" spinCount="100000" sheet="1" objects="1" scenarios="1" selectLockedCells="1" autoFilter="0"/>
  <autoFilter ref="B29:B69" xr:uid="{00000000-0009-0000-0000-000015000000}">
    <filterColumn colId="0">
      <filters>
        <filter val="10"/>
      </filters>
    </filterColumn>
  </autoFilter>
  <dataConsolidate/>
  <mergeCells count="124">
    <mergeCell ref="O103:P103"/>
    <mergeCell ref="H68:I68"/>
    <mergeCell ref="H69:I69"/>
    <mergeCell ref="J72:M72"/>
    <mergeCell ref="J73:M73"/>
    <mergeCell ref="J74:M74"/>
    <mergeCell ref="B76:M76"/>
    <mergeCell ref="H67:I67"/>
    <mergeCell ref="H56:I56"/>
    <mergeCell ref="H57:I57"/>
    <mergeCell ref="H58:I58"/>
    <mergeCell ref="H59:I59"/>
    <mergeCell ref="H60:I60"/>
    <mergeCell ref="H61:I61"/>
    <mergeCell ref="O76:P76"/>
    <mergeCell ref="F77:M77"/>
    <mergeCell ref="H46:I46"/>
    <mergeCell ref="H47:I47"/>
    <mergeCell ref="H48:I48"/>
    <mergeCell ref="H49:I49"/>
    <mergeCell ref="H62:I62"/>
    <mergeCell ref="H63:I63"/>
    <mergeCell ref="H64:I64"/>
    <mergeCell ref="H65:I65"/>
    <mergeCell ref="H66:I66"/>
    <mergeCell ref="H38:I38"/>
    <mergeCell ref="H39:I39"/>
    <mergeCell ref="H40:I40"/>
    <mergeCell ref="H41:I41"/>
    <mergeCell ref="H42:I42"/>
    <mergeCell ref="H43:I43"/>
    <mergeCell ref="H30:I30"/>
    <mergeCell ref="AY30:AY69"/>
    <mergeCell ref="AZ30:AZ69"/>
    <mergeCell ref="H31:I31"/>
    <mergeCell ref="H32:I32"/>
    <mergeCell ref="H33:I33"/>
    <mergeCell ref="H34:I34"/>
    <mergeCell ref="H35:I35"/>
    <mergeCell ref="H36:I36"/>
    <mergeCell ref="H37:I37"/>
    <mergeCell ref="H50:I50"/>
    <mergeCell ref="H51:I51"/>
    <mergeCell ref="H52:I52"/>
    <mergeCell ref="H53:I53"/>
    <mergeCell ref="H54:I54"/>
    <mergeCell ref="H55:I55"/>
    <mergeCell ref="H44:I44"/>
    <mergeCell ref="H45:I45"/>
    <mergeCell ref="BD28:BD29"/>
    <mergeCell ref="BE28:BE29"/>
    <mergeCell ref="BF28:BF29"/>
    <mergeCell ref="BG28:BG29"/>
    <mergeCell ref="BH28:BH29"/>
    <mergeCell ref="BI28:BI29"/>
    <mergeCell ref="N28:N29"/>
    <mergeCell ref="O28:O29"/>
    <mergeCell ref="X28:Y28"/>
    <mergeCell ref="AC28:AD28"/>
    <mergeCell ref="AH28:AI28"/>
    <mergeCell ref="AR28:AR29"/>
    <mergeCell ref="BB28:BB29"/>
    <mergeCell ref="BC28:BC29"/>
    <mergeCell ref="AP26:AP29"/>
    <mergeCell ref="AQ26:AQ29"/>
    <mergeCell ref="AR26:AS27"/>
    <mergeCell ref="AT26:AU27"/>
    <mergeCell ref="AV26:AV29"/>
    <mergeCell ref="AW26:AW29"/>
    <mergeCell ref="AS28:AS29"/>
    <mergeCell ref="AT28:AT29"/>
    <mergeCell ref="AU28:AU29"/>
    <mergeCell ref="AF26:AJ27"/>
    <mergeCell ref="CC26:CC29"/>
    <mergeCell ref="CD26:CD29"/>
    <mergeCell ref="J27:J29"/>
    <mergeCell ref="K27:K29"/>
    <mergeCell ref="L27:L29"/>
    <mergeCell ref="M27:M29"/>
    <mergeCell ref="N27:O27"/>
    <mergeCell ref="P27:P29"/>
    <mergeCell ref="BA27:BB27"/>
    <mergeCell ref="BC27:BF27"/>
    <mergeCell ref="BL26:BL29"/>
    <mergeCell ref="BN26:BN29"/>
    <mergeCell ref="BY26:BY29"/>
    <mergeCell ref="BZ26:BZ29"/>
    <mergeCell ref="CA26:CA29"/>
    <mergeCell ref="CB26:CB29"/>
    <mergeCell ref="AX26:AX29"/>
    <mergeCell ref="AY26:AY29"/>
    <mergeCell ref="AZ26:AZ29"/>
    <mergeCell ref="BA26:BI26"/>
    <mergeCell ref="BJ26:BJ29"/>
    <mergeCell ref="BK26:BK29"/>
    <mergeCell ref="BG27:BI27"/>
    <mergeCell ref="BA28:BA29"/>
    <mergeCell ref="AM26:AM29"/>
    <mergeCell ref="AN26:AN29"/>
    <mergeCell ref="AO26:AO29"/>
    <mergeCell ref="R26:R29"/>
    <mergeCell ref="S26:S29"/>
    <mergeCell ref="T26:T29"/>
    <mergeCell ref="U26:U29"/>
    <mergeCell ref="V26:Z27"/>
    <mergeCell ref="AA26:AE27"/>
    <mergeCell ref="D26:D28"/>
    <mergeCell ref="E26:E28"/>
    <mergeCell ref="F26:F28"/>
    <mergeCell ref="G26:G28"/>
    <mergeCell ref="H26:I29"/>
    <mergeCell ref="J26:M26"/>
    <mergeCell ref="N26:P26"/>
    <mergeCell ref="AK26:AK29"/>
    <mergeCell ref="AL26:AL29"/>
    <mergeCell ref="O7:P7"/>
    <mergeCell ref="D12:J12"/>
    <mergeCell ref="L12:M12"/>
    <mergeCell ref="N12:P13"/>
    <mergeCell ref="D13:J13"/>
    <mergeCell ref="L13:M13"/>
    <mergeCell ref="D20:F20"/>
    <mergeCell ref="H20:M20"/>
    <mergeCell ref="N23:P24"/>
  </mergeCells>
  <conditionalFormatting sqref="B26:C29">
    <cfRule type="expression" dxfId="755" priority="12">
      <formula>RowsPreferredTwo&lt;&gt;RowsShownTwo</formula>
    </cfRule>
  </conditionalFormatting>
  <conditionalFormatting sqref="B76:M76">
    <cfRule type="expression" dxfId="754" priority="2">
      <formula>$B$76&lt;&gt;""</formula>
    </cfRule>
  </conditionalFormatting>
  <conditionalFormatting sqref="C30:C69">
    <cfRule type="expression" dxfId="753" priority="11">
      <formula>ISBLANK(D30)</formula>
    </cfRule>
  </conditionalFormatting>
  <conditionalFormatting sqref="D29:E29">
    <cfRule type="expression" dxfId="752" priority="21" stopIfTrue="1">
      <formula>$J$103</formula>
    </cfRule>
    <cfRule type="expression" dxfId="751" priority="22" stopIfTrue="1">
      <formula>NOT($J$103)</formula>
    </cfRule>
  </conditionalFormatting>
  <conditionalFormatting sqref="D30:I69">
    <cfRule type="expression" dxfId="750" priority="1">
      <formula>$AN30=TRUE</formula>
    </cfRule>
  </conditionalFormatting>
  <conditionalFormatting sqref="G20">
    <cfRule type="cellIs" dxfId="749" priority="10" operator="lessThan">
      <formula>RowsFilledTwo</formula>
    </cfRule>
  </conditionalFormatting>
  <conditionalFormatting sqref="H20">
    <cfRule type="expression" dxfId="748" priority="18" stopIfTrue="1">
      <formula>$BP$18&gt;$BP$19</formula>
    </cfRule>
    <cfRule type="expression" dxfId="747" priority="19" stopIfTrue="1">
      <formula>$BP$18=$BP$19</formula>
    </cfRule>
    <cfRule type="expression" dxfId="746" priority="20" stopIfTrue="1">
      <formula>$BP$18&lt;$BP$19</formula>
    </cfRule>
  </conditionalFormatting>
  <conditionalFormatting sqref="H30:H69 H71 H73:H75">
    <cfRule type="expression" dxfId="745" priority="16" stopIfTrue="1">
      <formula>ISNA($BN30)</formula>
    </cfRule>
  </conditionalFormatting>
  <conditionalFormatting sqref="I71:I75">
    <cfRule type="cellIs" dxfId="744" priority="17" stopIfTrue="1" operator="equal">
      <formula>$I$129</formula>
    </cfRule>
  </conditionalFormatting>
  <conditionalFormatting sqref="J30:J69">
    <cfRule type="expression" dxfId="743" priority="14">
      <formula>-OR(DB30&lt;&gt;"OK",DC30&lt;&gt;"OK")</formula>
    </cfRule>
  </conditionalFormatting>
  <conditionalFormatting sqref="J72:M74">
    <cfRule type="cellIs" dxfId="742" priority="3" operator="notEqual">
      <formula>""</formula>
    </cfRule>
  </conditionalFormatting>
  <conditionalFormatting sqref="K30:K69">
    <cfRule type="expression" dxfId="741" priority="13" stopIfTrue="1">
      <formula>AND(OR(J30=ProgDim,J30=V2FixedDim,J30=V2ManualDim,J30=V2ProgDim),K30&gt;=0.75,K30&lt;1)</formula>
    </cfRule>
    <cfRule type="expression" dxfId="740" priority="15" stopIfTrue="1">
      <formula>OR(AND(OR(J30=ProgDim,J30=V2ProgDim,J30=V2ManualDim,J30=V2FixedDim),K30=0),AND(OR(J30&lt;&gt;ProgDim),K30&gt;0))</formula>
    </cfRule>
  </conditionalFormatting>
  <conditionalFormatting sqref="L30:L69">
    <cfRule type="expression" dxfId="739" priority="8">
      <formula>AND(J30=V2FixedDim,K30&gt;0,K30&lt;1,L30&gt;0)</formula>
    </cfRule>
    <cfRule type="expression" dxfId="738" priority="9">
      <formula>OR(AND(K30&gt;0,$J30=V2FixedDim),AND($J30=V2FixedDim,K30=0),AND(L30&gt;0,J30&lt;&gt;V2FixedDim))</formula>
    </cfRule>
  </conditionalFormatting>
  <conditionalFormatting sqref="L27:M29">
    <cfRule type="expression" dxfId="737" priority="5">
      <formula>OR(ClassificationTwo=Class5,ClassificationTwo=Class4)</formula>
    </cfRule>
  </conditionalFormatting>
  <conditionalFormatting sqref="L30:M69">
    <cfRule type="expression" dxfId="736" priority="4" stopIfTrue="1">
      <formula>OR(ClassificationTwo=Class5,ClassificationTwo=Class4)</formula>
    </cfRule>
  </conditionalFormatting>
  <conditionalFormatting sqref="M30:M69">
    <cfRule type="expression" dxfId="735" priority="6">
      <formula>OR(AND(M30&gt;0,$J30&lt;&gt;V2LumenDepFactor),AND($J30=V2LumenDepFactor,M30=0))</formula>
    </cfRule>
    <cfRule type="expression" dxfId="734" priority="7">
      <formula>$J30=V2LumenDepFactor</formula>
    </cfRule>
  </conditionalFormatting>
  <conditionalFormatting sqref="N12">
    <cfRule type="expression" dxfId="733" priority="31" stopIfTrue="1">
      <formula>$N$12&lt;&gt;""</formula>
    </cfRule>
  </conditionalFormatting>
  <conditionalFormatting sqref="N30:N69">
    <cfRule type="expression" dxfId="732" priority="49" stopIfTrue="1">
      <formula>$BH30</formula>
    </cfRule>
    <cfRule type="expression" dxfId="731" priority="47" stopIfTrue="1">
      <formula>$DJ30&gt;0</formula>
    </cfRule>
    <cfRule type="expression" dxfId="730" priority="48" stopIfTrue="1">
      <formula>BG30</formula>
    </cfRule>
  </conditionalFormatting>
  <conditionalFormatting sqref="N72">
    <cfRule type="expression" dxfId="729" priority="27" stopIfTrue="1">
      <formula>V72&gt;0</formula>
    </cfRule>
  </conditionalFormatting>
  <conditionalFormatting sqref="N73">
    <cfRule type="expression" dxfId="728" priority="26" stopIfTrue="1">
      <formula>AA72&gt;0</formula>
    </cfRule>
  </conditionalFormatting>
  <conditionalFormatting sqref="N74">
    <cfRule type="expression" dxfId="727" priority="25" stopIfTrue="1">
      <formula>AF72&gt;0</formula>
    </cfRule>
  </conditionalFormatting>
  <conditionalFormatting sqref="N20:P21">
    <cfRule type="expression" dxfId="726" priority="32">
      <formula>$H$120&lt;&gt;""</formula>
    </cfRule>
  </conditionalFormatting>
  <conditionalFormatting sqref="N26:P29">
    <cfRule type="expression" dxfId="725" priority="23" stopIfTrue="1">
      <formula>$J$112="Green"</formula>
    </cfRule>
    <cfRule type="expression" dxfId="724" priority="24" stopIfTrue="1">
      <formula>$J$113="Red"</formula>
    </cfRule>
  </conditionalFormatting>
  <conditionalFormatting sqref="O30:O69">
    <cfRule type="expression" dxfId="723" priority="42" stopIfTrue="1">
      <formula>$DJ30&gt;0</formula>
    </cfRule>
    <cfRule type="expression" dxfId="722" priority="43" stopIfTrue="1">
      <formula>BC30</formula>
    </cfRule>
    <cfRule type="expression" dxfId="721" priority="44" stopIfTrue="1">
      <formula>BD30</formula>
    </cfRule>
    <cfRule type="expression" dxfId="720" priority="45" stopIfTrue="1">
      <formula>BE30</formula>
    </cfRule>
    <cfRule type="expression" dxfId="719" priority="46" stopIfTrue="1">
      <formula>$BF30</formula>
    </cfRule>
  </conditionalFormatting>
  <conditionalFormatting sqref="O72">
    <cfRule type="expression" dxfId="718" priority="33" stopIfTrue="1">
      <formula>AND($N$140,$V$72&gt;0,I114)</formula>
    </cfRule>
    <cfRule type="expression" dxfId="717" priority="34" stopIfTrue="1">
      <formula>AND($N$152,$V$72&gt;0,I114)</formula>
    </cfRule>
  </conditionalFormatting>
  <conditionalFormatting sqref="O73">
    <cfRule type="expression" dxfId="716" priority="38" stopIfTrue="1">
      <formula>AND($N$156,$AA$72&gt;0,I114)</formula>
    </cfRule>
    <cfRule type="expression" dxfId="715" priority="37" stopIfTrue="1">
      <formula>AND($N$144,$AA$72&gt;0,I114)</formula>
    </cfRule>
  </conditionalFormatting>
  <conditionalFormatting sqref="O74">
    <cfRule type="expression" dxfId="714" priority="35" stopIfTrue="1">
      <formula>AND($N$148,$AF$72&gt;0,I114)</formula>
    </cfRule>
    <cfRule type="expression" dxfId="713" priority="36" stopIfTrue="1">
      <formula>AND($N$160,$AF$72&gt;0,I114)</formula>
    </cfRule>
  </conditionalFormatting>
  <conditionalFormatting sqref="O76">
    <cfRule type="expression" dxfId="712" priority="28" stopIfTrue="1">
      <formula>$I$113</formula>
    </cfRule>
    <cfRule type="expression" dxfId="711" priority="29" stopIfTrue="1">
      <formula>$I$112</formula>
    </cfRule>
    <cfRule type="expression" dxfId="710" priority="30" stopIfTrue="1">
      <formula>NOT($I$114)</formula>
    </cfRule>
  </conditionalFormatting>
  <conditionalFormatting sqref="P30:P69">
    <cfRule type="expression" dxfId="709" priority="39" stopIfTrue="1">
      <formula>$DJ30&gt;0</formula>
    </cfRule>
    <cfRule type="expression" dxfId="708" priority="40" stopIfTrue="1">
      <formula>BG30</formula>
    </cfRule>
    <cfRule type="expression" dxfId="707" priority="41" stopIfTrue="1">
      <formula>BH30</formula>
    </cfRule>
  </conditionalFormatting>
  <dataValidations count="10">
    <dataValidation type="list" allowBlank="1" showInputMessage="1" showErrorMessage="1" sqref="L13:M13" xr:uid="{00000000-0002-0000-1500-000000000000}">
      <formula1>ResClassifications</formula1>
    </dataValidation>
    <dataValidation type="list" allowBlank="1" showInputMessage="1" showErrorMessage="1" sqref="J30:J69" xr:uid="{00000000-0002-0000-1500-000001000000}">
      <formula1>IF(OR($E30=$E$91), ValidControlsRes, ValidControlsResParts)</formula1>
    </dataValidation>
    <dataValidation type="custom" operator="greaterThanOrEqual" showInputMessage="1" showErrorMessage="1" errorTitle="Invalid Depreciation Factor" error="Adjustment Factor &quot;(i) Additional lumen depreciation factor&quot; for a Class 1 or Class 10a building must be selected at left to use this cell._x000a_Design Lumen Depreciation Factor must be at least 0.8 and less than 1." promptTitle="Design Lumen Depreciation Factor" prompt="Applies only for Volume Two when a Dynamic Dimming Factor has been selected at left.  The factor cannot be less than 0.9 for fluorescent lights or less than 0.8 for high pressure discharge lights." sqref="M30:M69" xr:uid="{00000000-0002-0000-1500-000002000000}">
      <formula1>IF(J30=V2LumenDepFactor,AND(M30&gt;=0.8,M30&lt;=1),"")</formula1>
    </dataValidation>
    <dataValidation type="custom" operator="greaterThanOrEqual" showInputMessage="1" showErrorMessage="1" errorTitle="Invalid % of full power" error="Adjustment Factor '(j) Fixed dimming' for a Class 1 or Class 10a building must be selected to use this cell._x000a_'% of floor area controlled' must be entered at left and value here must be less than 95%." promptTitle="Dimmed % of full power" prompt="Applies only to Volume Two buildings with the fixed dimming adjustment factor._x000a_Enter the % of full power to which the dimmer is set. (No benefit unless % is less than 95%.)_x000a__x000a_For all other Adjustment Factors, disregard this cell." sqref="L30:L69" xr:uid="{00000000-0002-0000-1500-000003000000}">
      <formula1>IF(J30=V2FixedDim,AND(K30&gt;=0.75,L30&lt;=0.95),"")</formula1>
    </dataValidation>
    <dataValidation type="custom" operator="greaterThanOrEqual" showInputMessage="1" showErrorMessage="1" errorTitle="Invalid % of floor area" error="An appropriate Adjustment Factor must be selected to use this cell._x000a_At least 75% of the floor area must be controlled by dimmers to use this Adjustment Factor._x000a__x000a_Click Cancel and start again. (Do NOT click Retry.)" promptTitle="% of floor area dimmed" prompt="Applies only when an associated Adjustment Factor is selected (at left) and where at least 75% of the floor area is controlled by dimmers." sqref="K30:K69" xr:uid="{00000000-0002-0000-1500-000004000000}">
      <formula1>IF(OR(J30=ProgDim,J30=V2ManualDim,J30=V2ProgDim,J30=V2FixedDim),AND(K30&gt;=0.75,K30&lt;=1),"")</formula1>
    </dataValidation>
    <dataValidation type="whole" allowBlank="1" showErrorMessage="1" errorTitle="Unsuitable number" error="Enter a number no smaller than the number of rows with data already present and no larger than 40." sqref="G20" xr:uid="{00000000-0002-0000-1500-000005000000}">
      <formula1>RowsFilledTwo</formula1>
      <formula2>40</formula2>
    </dataValidation>
    <dataValidation type="list" allowBlank="1" showInputMessage="1" showErrorMessage="1" sqref="E30:E69" xr:uid="{00000000-0002-0000-1500-000006000000}">
      <formula1>$E$88:$E$97</formula1>
    </dataValidation>
    <dataValidation type="list" showInputMessage="1" showErrorMessage="1" sqref="H30:I69" xr:uid="{00000000-0002-0000-1500-000007000000}">
      <formula1>ValidLocationsTwo</formula1>
    </dataValidation>
    <dataValidation type="decimal" operator="greaterThan" allowBlank="1" showInputMessage="1" showErrorMessage="1" errorTitle="Design Illumination Power Load" error="The design illumination power load must be numerical and is measured in Watts.  " sqref="G30:G69" xr:uid="{00000000-0002-0000-1500-000008000000}">
      <formula1>0.1</formula1>
    </dataValidation>
    <dataValidation type="decimal" operator="greaterThan" allowBlank="1" showInputMessage="1" showErrorMessage="1" errorTitle="Floor Area" error="The floor areas must be numerical and is measured in m²" sqref="F30:F69" xr:uid="{00000000-0002-0000-1500-000009000000}">
      <formula1>0.1</formula1>
    </dataValidation>
  </dataValidations>
  <pageMargins left="0.25" right="0.25" top="0.75" bottom="0.75" header="0.3" footer="0.3"/>
  <pageSetup paperSize="9" scale="43" orientation="landscape"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6C1FD-1DC8-47A3-8BD9-C514F20CB1E6}">
  <sheetPr codeName="Sheet10"/>
  <dimension ref="A1:BD570"/>
  <sheetViews>
    <sheetView showGridLines="0" zoomScale="70" zoomScaleNormal="70" workbookViewId="0">
      <selection activeCell="Q12" sqref="Q12"/>
    </sheetView>
  </sheetViews>
  <sheetFormatPr defaultRowHeight="14" x14ac:dyDescent="0.3"/>
  <cols>
    <col min="1" max="1" width="2.58203125" customWidth="1"/>
    <col min="2" max="2" width="136.58203125" customWidth="1"/>
  </cols>
  <sheetData>
    <row r="1" spans="1:56" ht="132" customHeight="1" x14ac:dyDescent="0.3">
      <c r="A1" s="1046"/>
      <c r="B1" s="1046"/>
      <c r="C1" s="1072"/>
      <c r="D1" s="1072"/>
      <c r="E1" s="1072"/>
      <c r="F1" s="1072"/>
      <c r="G1" s="1072"/>
      <c r="H1" s="1072"/>
      <c r="I1" s="1072"/>
      <c r="J1" s="1072"/>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row>
    <row r="2" spans="1:56" ht="24" customHeight="1" x14ac:dyDescent="0.3">
      <c r="A2" s="1046"/>
      <c r="B2" s="1046"/>
      <c r="C2" s="1072"/>
      <c r="D2" s="1072"/>
      <c r="E2" s="1072"/>
      <c r="F2" s="1072"/>
      <c r="G2" s="1072"/>
      <c r="H2" s="1072"/>
      <c r="I2" s="1072"/>
      <c r="J2" s="1072"/>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row>
    <row r="3" spans="1:56" x14ac:dyDescent="0.3">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row>
    <row r="4" spans="1:56" x14ac:dyDescent="0.3">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row>
    <row r="5" spans="1:56" ht="18" x14ac:dyDescent="0.4">
      <c r="A5" s="5"/>
      <c r="B5" s="1124" t="s">
        <v>44</v>
      </c>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row>
    <row r="6" spans="1:56" x14ac:dyDescent="0.3">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row>
    <row r="7" spans="1:56" ht="18" x14ac:dyDescent="0.4">
      <c r="A7" s="5"/>
      <c r="B7" s="1124" t="s">
        <v>101</v>
      </c>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row>
    <row r="8" spans="1:56" x14ac:dyDescent="0.3">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row>
    <row r="9" spans="1:56" x14ac:dyDescent="0.3">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row>
    <row r="10" spans="1:56" x14ac:dyDescent="0.3">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row>
    <row r="11" spans="1:56" x14ac:dyDescent="0.3">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row>
    <row r="12" spans="1:56" x14ac:dyDescent="0.3">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row>
    <row r="13" spans="1:56" x14ac:dyDescent="0.3">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row>
    <row r="14" spans="1:56" x14ac:dyDescent="0.3">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row>
    <row r="15" spans="1:56" x14ac:dyDescent="0.3">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row>
    <row r="16" spans="1:56" x14ac:dyDescent="0.3">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row>
    <row r="17" spans="1:56" x14ac:dyDescent="0.3">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row>
    <row r="18" spans="1:56" x14ac:dyDescent="0.3">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row>
    <row r="19" spans="1:56" x14ac:dyDescent="0.3">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row>
    <row r="20" spans="1:56" x14ac:dyDescent="0.3">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row>
    <row r="21" spans="1:56" x14ac:dyDescent="0.3">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row>
    <row r="22" spans="1:56" x14ac:dyDescent="0.3">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row>
    <row r="23" spans="1:56" x14ac:dyDescent="0.3">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row>
    <row r="24" spans="1:56" x14ac:dyDescent="0.3">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row>
    <row r="25" spans="1:56" x14ac:dyDescent="0.3">
      <c r="A25" s="5"/>
      <c r="B25" s="112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row>
    <row r="26" spans="1:56" x14ac:dyDescent="0.3">
      <c r="A26" s="5"/>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row>
    <row r="27" spans="1:56" ht="18" x14ac:dyDescent="0.4">
      <c r="A27" s="5"/>
      <c r="B27" s="1124" t="s">
        <v>102</v>
      </c>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row>
    <row r="28" spans="1:56" x14ac:dyDescent="0.3">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row>
    <row r="29" spans="1:56" x14ac:dyDescent="0.3">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row>
    <row r="30" spans="1:56" x14ac:dyDescent="0.3">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row>
    <row r="31" spans="1:56" x14ac:dyDescent="0.3">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row>
    <row r="32" spans="1:56" x14ac:dyDescent="0.3">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row>
    <row r="33" spans="1:56" x14ac:dyDescent="0.3">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row>
    <row r="34" spans="1:56" x14ac:dyDescent="0.3">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row>
    <row r="35" spans="1:56" x14ac:dyDescent="0.3">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row>
    <row r="36" spans="1:56" x14ac:dyDescent="0.3">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row>
    <row r="37" spans="1:56" x14ac:dyDescent="0.3">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row>
    <row r="38" spans="1:56" x14ac:dyDescent="0.3">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row>
    <row r="39" spans="1:56" x14ac:dyDescent="0.3">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row>
    <row r="40" spans="1:56" x14ac:dyDescent="0.3">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row>
    <row r="41" spans="1:56" x14ac:dyDescent="0.3">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row>
    <row r="42" spans="1:56" x14ac:dyDescent="0.3">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row>
    <row r="43" spans="1:56" x14ac:dyDescent="0.3">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row>
    <row r="44" spans="1:56" x14ac:dyDescent="0.3">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row>
    <row r="45" spans="1:56" x14ac:dyDescent="0.3">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row>
    <row r="46" spans="1:56" x14ac:dyDescent="0.3">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row>
    <row r="47" spans="1:56" x14ac:dyDescent="0.3">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row>
    <row r="48" spans="1:56" x14ac:dyDescent="0.3">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row>
    <row r="49" spans="1:56" x14ac:dyDescent="0.3">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row>
    <row r="50" spans="1:56" x14ac:dyDescent="0.3">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row>
    <row r="51" spans="1:56" x14ac:dyDescent="0.3">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row>
    <row r="52" spans="1:56" x14ac:dyDescent="0.3">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row>
    <row r="53" spans="1:56" ht="18" x14ac:dyDescent="0.4">
      <c r="A53" s="5"/>
      <c r="B53" s="996" t="s">
        <v>49</v>
      </c>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row>
    <row r="54" spans="1:56" ht="18" x14ac:dyDescent="0.4">
      <c r="A54" s="5"/>
      <c r="B54" s="996"/>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row>
    <row r="55" spans="1:56" ht="18" x14ac:dyDescent="0.4">
      <c r="A55" s="5"/>
      <c r="B55" s="996" t="s">
        <v>101</v>
      </c>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row>
    <row r="56" spans="1:56" x14ac:dyDescent="0.3">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row>
    <row r="57" spans="1:56" x14ac:dyDescent="0.3">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row>
    <row r="58" spans="1:56" x14ac:dyDescent="0.3">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row>
    <row r="59" spans="1:56" x14ac:dyDescent="0.3">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row>
    <row r="60" spans="1:56" x14ac:dyDescent="0.3">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row>
    <row r="61" spans="1:56" x14ac:dyDescent="0.3">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row>
    <row r="62" spans="1:56" x14ac:dyDescent="0.3">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row>
    <row r="63" spans="1:56" x14ac:dyDescent="0.3">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row>
    <row r="64" spans="1:56" x14ac:dyDescent="0.3">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row>
    <row r="65" spans="1:56" x14ac:dyDescent="0.3">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row>
    <row r="66" spans="1:56" x14ac:dyDescent="0.3">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row>
    <row r="67" spans="1:56" x14ac:dyDescent="0.3">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row>
    <row r="68" spans="1:56" x14ac:dyDescent="0.3">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row>
    <row r="69" spans="1:56" x14ac:dyDescent="0.3">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row>
    <row r="70" spans="1:56" x14ac:dyDescent="0.3">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row>
    <row r="71" spans="1:56" x14ac:dyDescent="0.3">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row>
    <row r="72" spans="1:56" x14ac:dyDescent="0.3">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row>
    <row r="73" spans="1:56" x14ac:dyDescent="0.3">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row>
    <row r="74" spans="1:56" x14ac:dyDescent="0.3">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row>
    <row r="75" spans="1:56" x14ac:dyDescent="0.3">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row>
    <row r="76" spans="1:56" x14ac:dyDescent="0.3">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row>
    <row r="77" spans="1:56" x14ac:dyDescent="0.3">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row>
    <row r="78" spans="1:56" x14ac:dyDescent="0.3">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row>
    <row r="79" spans="1:56" x14ac:dyDescent="0.3">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row>
    <row r="80" spans="1:56" x14ac:dyDescent="0.3">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row>
    <row r="81" spans="1:56" x14ac:dyDescent="0.3">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row>
    <row r="82" spans="1:56" x14ac:dyDescent="0.3">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row>
    <row r="83" spans="1:56" ht="18" x14ac:dyDescent="0.4">
      <c r="A83" s="5"/>
      <c r="B83" s="996" t="s">
        <v>102</v>
      </c>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row>
    <row r="84" spans="1:56" x14ac:dyDescent="0.3">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row>
    <row r="85" spans="1:56" x14ac:dyDescent="0.3">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row>
    <row r="86" spans="1:56" x14ac:dyDescent="0.3">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row>
    <row r="87" spans="1:56" x14ac:dyDescent="0.3">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row>
    <row r="88" spans="1:56" x14ac:dyDescent="0.3">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row>
    <row r="89" spans="1:56" x14ac:dyDescent="0.3">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row>
    <row r="90" spans="1:56" x14ac:dyDescent="0.3">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row>
    <row r="91" spans="1:56" x14ac:dyDescent="0.3">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row>
    <row r="92" spans="1:56" x14ac:dyDescent="0.3">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row>
    <row r="93" spans="1:56" x14ac:dyDescent="0.3">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row>
    <row r="94" spans="1:56" x14ac:dyDescent="0.3">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row>
    <row r="95" spans="1:56" x14ac:dyDescent="0.3">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row>
    <row r="96" spans="1:56" x14ac:dyDescent="0.3">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row>
    <row r="97" spans="1:56" x14ac:dyDescent="0.3">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row>
    <row r="98" spans="1:56" x14ac:dyDescent="0.3">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row>
    <row r="99" spans="1:56" x14ac:dyDescent="0.3">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row>
    <row r="100" spans="1:56" x14ac:dyDescent="0.3">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row>
    <row r="101" spans="1:56" x14ac:dyDescent="0.3">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row>
    <row r="102" spans="1:56" x14ac:dyDescent="0.3">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row>
    <row r="103" spans="1:56" x14ac:dyDescent="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row>
    <row r="104" spans="1:56" x14ac:dyDescent="0.3">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row>
    <row r="105" spans="1:56" x14ac:dyDescent="0.3">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row>
    <row r="106" spans="1:56" x14ac:dyDescent="0.3">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row>
    <row r="107" spans="1:56" x14ac:dyDescent="0.3">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row>
    <row r="108" spans="1:56" x14ac:dyDescent="0.3">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row>
    <row r="109" spans="1:56" x14ac:dyDescent="0.3">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row>
    <row r="110" spans="1:56" x14ac:dyDescent="0.3">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row>
    <row r="111" spans="1:56" x14ac:dyDescent="0.3">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row>
    <row r="112" spans="1:56" x14ac:dyDescent="0.3">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row>
    <row r="113" spans="1:56" ht="18" x14ac:dyDescent="0.4">
      <c r="A113" s="5"/>
      <c r="B113" s="996" t="s">
        <v>54</v>
      </c>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row>
    <row r="114" spans="1:56" x14ac:dyDescent="0.3">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row>
    <row r="115" spans="1:56" ht="18" x14ac:dyDescent="0.4">
      <c r="A115" s="5"/>
      <c r="B115" s="996" t="s">
        <v>101</v>
      </c>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row>
    <row r="116" spans="1:56" x14ac:dyDescent="0.3">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row>
    <row r="117" spans="1:56" x14ac:dyDescent="0.3">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row>
    <row r="118" spans="1:56" x14ac:dyDescent="0.3">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row>
    <row r="119" spans="1:56" x14ac:dyDescent="0.3">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row>
    <row r="120" spans="1:56" x14ac:dyDescent="0.3">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row>
    <row r="121" spans="1:56" x14ac:dyDescent="0.3">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row>
    <row r="122" spans="1:56" x14ac:dyDescent="0.3">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row>
    <row r="123" spans="1:56" x14ac:dyDescent="0.3">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row>
    <row r="124" spans="1:56" x14ac:dyDescent="0.3">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row>
    <row r="125" spans="1:56" x14ac:dyDescent="0.3">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row>
    <row r="126" spans="1:56" x14ac:dyDescent="0.3">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row>
    <row r="127" spans="1:56" x14ac:dyDescent="0.3">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row>
    <row r="128" spans="1:56" x14ac:dyDescent="0.3">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row>
    <row r="129" spans="1:56" x14ac:dyDescent="0.3">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row>
    <row r="130" spans="1:56" x14ac:dyDescent="0.3">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row>
    <row r="131" spans="1:56" x14ac:dyDescent="0.3">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row>
    <row r="132" spans="1:56" x14ac:dyDescent="0.3">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row>
    <row r="133" spans="1:56" x14ac:dyDescent="0.3">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row>
    <row r="134" spans="1:56" x14ac:dyDescent="0.3">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row>
    <row r="135" spans="1:56" x14ac:dyDescent="0.3">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row>
    <row r="136" spans="1:56" x14ac:dyDescent="0.3">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row>
    <row r="137" spans="1:56" x14ac:dyDescent="0.3">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row>
    <row r="138" spans="1:56" x14ac:dyDescent="0.3">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row>
    <row r="139" spans="1:56" x14ac:dyDescent="0.3">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row>
    <row r="140" spans="1:56" x14ac:dyDescent="0.3">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row>
    <row r="141" spans="1:56" x14ac:dyDescent="0.3">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row>
    <row r="142" spans="1:56" x14ac:dyDescent="0.3">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row>
    <row r="143" spans="1:56" x14ac:dyDescent="0.3">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row>
    <row r="144" spans="1:56" ht="18" x14ac:dyDescent="0.4">
      <c r="A144" s="5"/>
      <c r="B144" s="996" t="s">
        <v>102</v>
      </c>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row>
    <row r="145" spans="1:56" x14ac:dyDescent="0.3">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row>
    <row r="146" spans="1:56" x14ac:dyDescent="0.3">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row>
    <row r="147" spans="1:56" x14ac:dyDescent="0.3">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row>
    <row r="148" spans="1:56" x14ac:dyDescent="0.3">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row>
    <row r="149" spans="1:56" x14ac:dyDescent="0.3">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row>
    <row r="150" spans="1:56" x14ac:dyDescent="0.3">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row>
    <row r="151" spans="1:56" x14ac:dyDescent="0.3">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row>
    <row r="152" spans="1:56" x14ac:dyDescent="0.3">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row>
    <row r="153" spans="1:56" x14ac:dyDescent="0.3">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row>
    <row r="154" spans="1:56" x14ac:dyDescent="0.3">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row>
    <row r="155" spans="1:56" x14ac:dyDescent="0.3">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row>
    <row r="156" spans="1:56" x14ac:dyDescent="0.3">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row>
    <row r="157" spans="1:56" x14ac:dyDescent="0.3">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row>
    <row r="158" spans="1:56" x14ac:dyDescent="0.3">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row>
    <row r="159" spans="1:56" x14ac:dyDescent="0.3">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row>
    <row r="160" spans="1:56" x14ac:dyDescent="0.3">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row>
    <row r="161" spans="1:56" x14ac:dyDescent="0.3">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row>
    <row r="162" spans="1:56" x14ac:dyDescent="0.3">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row>
    <row r="163" spans="1:56" x14ac:dyDescent="0.3">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row>
    <row r="164" spans="1:56" x14ac:dyDescent="0.3">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row>
    <row r="165" spans="1:56" x14ac:dyDescent="0.3">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row>
    <row r="166" spans="1:56" x14ac:dyDescent="0.3">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row>
    <row r="167" spans="1:56" x14ac:dyDescent="0.3">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row>
    <row r="168" spans="1:56" x14ac:dyDescent="0.3">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row>
    <row r="169" spans="1:56" x14ac:dyDescent="0.3">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row>
    <row r="170" spans="1:56" x14ac:dyDescent="0.3">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row>
    <row r="171" spans="1:56" x14ac:dyDescent="0.3">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row>
    <row r="172" spans="1:56" x14ac:dyDescent="0.3">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row>
    <row r="173" spans="1:56" ht="18" x14ac:dyDescent="0.4">
      <c r="A173" s="5"/>
      <c r="B173" s="996" t="s">
        <v>103</v>
      </c>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row>
    <row r="174" spans="1:56" x14ac:dyDescent="0.3">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row>
    <row r="175" spans="1:56" ht="18" x14ac:dyDescent="0.4">
      <c r="A175" s="5"/>
      <c r="B175" s="996" t="s">
        <v>101</v>
      </c>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row>
    <row r="176" spans="1:56" x14ac:dyDescent="0.3">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row>
    <row r="177" spans="1:56" x14ac:dyDescent="0.3">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row>
    <row r="178" spans="1:56" x14ac:dyDescent="0.3">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row>
    <row r="179" spans="1:56" x14ac:dyDescent="0.3">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row>
    <row r="180" spans="1:56" x14ac:dyDescent="0.3">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row>
    <row r="181" spans="1:56" x14ac:dyDescent="0.3">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row>
    <row r="182" spans="1:56" x14ac:dyDescent="0.3">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row>
    <row r="183" spans="1:56" x14ac:dyDescent="0.3">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row>
    <row r="184" spans="1:56" x14ac:dyDescent="0.3">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row>
    <row r="185" spans="1:56" x14ac:dyDescent="0.3">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row>
    <row r="186" spans="1:56" x14ac:dyDescent="0.3">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row>
    <row r="187" spans="1:56" x14ac:dyDescent="0.3">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row>
    <row r="188" spans="1:56" x14ac:dyDescent="0.3">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row>
    <row r="189" spans="1:56" x14ac:dyDescent="0.3">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row>
    <row r="190" spans="1:56" x14ac:dyDescent="0.3">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row>
    <row r="191" spans="1:56" x14ac:dyDescent="0.3">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row>
    <row r="192" spans="1:56" x14ac:dyDescent="0.3">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row>
    <row r="193" spans="1:56" x14ac:dyDescent="0.3">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row>
    <row r="194" spans="1:56" x14ac:dyDescent="0.3">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row>
    <row r="195" spans="1:56" x14ac:dyDescent="0.3">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row>
    <row r="196" spans="1:56" x14ac:dyDescent="0.3">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row>
    <row r="197" spans="1:56" x14ac:dyDescent="0.3">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row>
    <row r="198" spans="1:56" x14ac:dyDescent="0.3">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row>
    <row r="199" spans="1:56" x14ac:dyDescent="0.3">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row>
    <row r="200" spans="1:56" x14ac:dyDescent="0.3">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row>
    <row r="201" spans="1:56" x14ac:dyDescent="0.3">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row>
    <row r="202" spans="1:56" x14ac:dyDescent="0.3">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row>
    <row r="203" spans="1:56" x14ac:dyDescent="0.3">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row>
    <row r="204" spans="1:56" x14ac:dyDescent="0.3">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row>
    <row r="205" spans="1:56" x14ac:dyDescent="0.3">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row>
    <row r="206" spans="1:56" x14ac:dyDescent="0.3">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row>
    <row r="207" spans="1:56" x14ac:dyDescent="0.3">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row>
    <row r="208" spans="1:56" x14ac:dyDescent="0.3">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row>
    <row r="209" spans="1:56" x14ac:dyDescent="0.3">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row>
    <row r="210" spans="1:56" x14ac:dyDescent="0.3">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row>
    <row r="211" spans="1:56" ht="18" x14ac:dyDescent="0.4">
      <c r="A211" s="5"/>
      <c r="B211" s="996" t="s">
        <v>102</v>
      </c>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row>
    <row r="212" spans="1:56" x14ac:dyDescent="0.3">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row>
    <row r="213" spans="1:56" x14ac:dyDescent="0.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row>
    <row r="214" spans="1:56" x14ac:dyDescent="0.3">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row>
    <row r="215" spans="1:56" x14ac:dyDescent="0.3">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row>
    <row r="216" spans="1:56" x14ac:dyDescent="0.3">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row>
    <row r="217" spans="1:56" x14ac:dyDescent="0.3">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row>
    <row r="218" spans="1:56" x14ac:dyDescent="0.3">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row>
    <row r="219" spans="1:56" x14ac:dyDescent="0.3">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row>
    <row r="220" spans="1:56" x14ac:dyDescent="0.3">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row>
    <row r="221" spans="1:56" x14ac:dyDescent="0.3">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row>
    <row r="222" spans="1:56" x14ac:dyDescent="0.3">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row>
    <row r="223" spans="1:56" x14ac:dyDescent="0.3">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row>
    <row r="224" spans="1:56" x14ac:dyDescent="0.3">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row>
    <row r="225" spans="1:56" x14ac:dyDescent="0.3">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row>
    <row r="226" spans="1:56" x14ac:dyDescent="0.3">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row>
    <row r="227" spans="1:56" x14ac:dyDescent="0.3">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row>
    <row r="228" spans="1:56" x14ac:dyDescent="0.3">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row>
    <row r="229" spans="1:56" x14ac:dyDescent="0.3">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row>
    <row r="230" spans="1:56" x14ac:dyDescent="0.3">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row>
    <row r="231" spans="1:56" x14ac:dyDescent="0.3">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row>
    <row r="232" spans="1:56" x14ac:dyDescent="0.3">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row>
    <row r="233" spans="1:56" x14ac:dyDescent="0.3">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row>
    <row r="234" spans="1:56" x14ac:dyDescent="0.3">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row>
    <row r="235" spans="1:56" x14ac:dyDescent="0.3">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row>
    <row r="236" spans="1:56" x14ac:dyDescent="0.3">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row>
    <row r="237" spans="1:56" x14ac:dyDescent="0.3">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row>
    <row r="238" spans="1:56" x14ac:dyDescent="0.3">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row>
    <row r="239" spans="1:56" x14ac:dyDescent="0.3">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row>
    <row r="240" spans="1:56" x14ac:dyDescent="0.3">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row>
    <row r="241" spans="1:56" x14ac:dyDescent="0.3">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row>
    <row r="242" spans="1:56" x14ac:dyDescent="0.3">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row>
    <row r="243" spans="1:56" x14ac:dyDescent="0.3">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row>
    <row r="244" spans="1:56" x14ac:dyDescent="0.3">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row>
    <row r="245" spans="1:56" x14ac:dyDescent="0.3">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row>
    <row r="246" spans="1:56" x14ac:dyDescent="0.3">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row>
    <row r="247" spans="1:56" x14ac:dyDescent="0.3">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row>
    <row r="248" spans="1:56" x14ac:dyDescent="0.3">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row>
    <row r="249" spans="1:56" x14ac:dyDescent="0.3">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row>
    <row r="250" spans="1:56" x14ac:dyDescent="0.3">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row>
    <row r="251" spans="1:56" x14ac:dyDescent="0.3">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row>
    <row r="252" spans="1:56" x14ac:dyDescent="0.3">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row>
    <row r="253" spans="1:56" x14ac:dyDescent="0.3">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row>
    <row r="254" spans="1:56" x14ac:dyDescent="0.3">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row>
    <row r="255" spans="1:56" x14ac:dyDescent="0.3">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row>
    <row r="256" spans="1:56" x14ac:dyDescent="0.3">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row>
    <row r="257" spans="1:56" x14ac:dyDescent="0.3">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row>
    <row r="258" spans="1:56" x14ac:dyDescent="0.3">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row>
    <row r="259" spans="1:56" hidden="1" x14ac:dyDescent="0.3">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row>
    <row r="260" spans="1:56" hidden="1" x14ac:dyDescent="0.3">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row>
    <row r="261" spans="1:56" hidden="1" x14ac:dyDescent="0.3">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row>
    <row r="262" spans="1:56" ht="18" hidden="1" x14ac:dyDescent="0.4">
      <c r="A262" s="5"/>
      <c r="B262" s="996" t="s">
        <v>104</v>
      </c>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row>
    <row r="263" spans="1:56" ht="18" hidden="1" x14ac:dyDescent="0.4">
      <c r="A263" s="5"/>
      <c r="B263" s="996"/>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row>
    <row r="264" spans="1:56" ht="18" hidden="1" x14ac:dyDescent="0.4">
      <c r="A264" s="5"/>
      <c r="B264" s="996"/>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row>
    <row r="265" spans="1:56" ht="18" hidden="1" x14ac:dyDescent="0.4">
      <c r="A265" s="5"/>
      <c r="B265" s="996" t="s">
        <v>105</v>
      </c>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row>
    <row r="266" spans="1:56" ht="18" hidden="1" x14ac:dyDescent="0.4">
      <c r="A266" s="5"/>
      <c r="B266" s="996"/>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row>
    <row r="267" spans="1:56" ht="18" hidden="1" x14ac:dyDescent="0.4">
      <c r="A267" s="5"/>
      <c r="B267" s="996"/>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row>
    <row r="268" spans="1:56" ht="18" hidden="1" x14ac:dyDescent="0.4">
      <c r="A268" s="5"/>
      <c r="B268" s="996" t="e" vm="1">
        <v>#VALUE!</v>
      </c>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row>
    <row r="269" spans="1:56" ht="18" hidden="1" x14ac:dyDescent="0.4">
      <c r="A269" s="5"/>
      <c r="B269" s="996"/>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row>
    <row r="270" spans="1:56" ht="18" hidden="1" x14ac:dyDescent="0.4">
      <c r="A270" s="5"/>
      <c r="B270" s="996"/>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row>
    <row r="271" spans="1:56" ht="18" hidden="1" x14ac:dyDescent="0.4">
      <c r="A271" s="5"/>
      <c r="B271" s="996"/>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row>
    <row r="272" spans="1:56" ht="18" hidden="1" x14ac:dyDescent="0.4">
      <c r="A272" s="5"/>
      <c r="B272" s="996"/>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row>
    <row r="273" spans="1:56" ht="18" hidden="1" x14ac:dyDescent="0.4">
      <c r="A273" s="5"/>
      <c r="B273" s="996"/>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row>
    <row r="274" spans="1:56" ht="18" hidden="1" x14ac:dyDescent="0.4">
      <c r="A274" s="5"/>
      <c r="B274" s="996"/>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row>
    <row r="275" spans="1:56" ht="18" hidden="1" x14ac:dyDescent="0.4">
      <c r="A275" s="5"/>
      <c r="B275" s="996"/>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row>
    <row r="276" spans="1:56" ht="18" hidden="1" x14ac:dyDescent="0.4">
      <c r="A276" s="5"/>
      <c r="B276" s="996"/>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row>
    <row r="277" spans="1:56" ht="18" hidden="1" x14ac:dyDescent="0.4">
      <c r="A277" s="5"/>
      <c r="B277" s="996"/>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row>
    <row r="278" spans="1:56" ht="18" hidden="1" x14ac:dyDescent="0.4">
      <c r="A278" s="5"/>
      <c r="B278" s="996"/>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row>
    <row r="279" spans="1:56" ht="18" hidden="1" x14ac:dyDescent="0.4">
      <c r="A279" s="5"/>
      <c r="B279" s="996"/>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row>
    <row r="280" spans="1:56" ht="18" hidden="1" x14ac:dyDescent="0.4">
      <c r="A280" s="5"/>
      <c r="B280" s="996"/>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row>
    <row r="281" spans="1:56" ht="18" hidden="1" x14ac:dyDescent="0.4">
      <c r="A281" s="5"/>
      <c r="B281" s="996"/>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row>
    <row r="282" spans="1:56" ht="18" hidden="1" x14ac:dyDescent="0.4">
      <c r="A282" s="5"/>
      <c r="B282" s="996"/>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row>
    <row r="283" spans="1:56" ht="18" hidden="1" x14ac:dyDescent="0.4">
      <c r="B283" s="996"/>
    </row>
    <row r="284" spans="1:56" ht="18" hidden="1" x14ac:dyDescent="0.4">
      <c r="B284" s="996"/>
    </row>
    <row r="285" spans="1:56" ht="18" hidden="1" x14ac:dyDescent="0.4">
      <c r="B285" s="996"/>
    </row>
    <row r="286" spans="1:56" ht="18" hidden="1" x14ac:dyDescent="0.4">
      <c r="B286" s="996"/>
    </row>
    <row r="287" spans="1:56" ht="18" hidden="1" x14ac:dyDescent="0.4">
      <c r="B287" s="996"/>
    </row>
    <row r="288" spans="1:56" ht="18" hidden="1" x14ac:dyDescent="0.4">
      <c r="B288" s="996"/>
    </row>
    <row r="289" spans="1:2" ht="18" hidden="1" x14ac:dyDescent="0.4">
      <c r="B289" s="996"/>
    </row>
    <row r="290" spans="1:2" ht="18" hidden="1" x14ac:dyDescent="0.4">
      <c r="B290" s="996"/>
    </row>
    <row r="291" spans="1:2" ht="18" hidden="1" x14ac:dyDescent="0.4">
      <c r="B291" s="996"/>
    </row>
    <row r="292" spans="1:2" ht="18" hidden="1" x14ac:dyDescent="0.4">
      <c r="B292" s="996"/>
    </row>
    <row r="293" spans="1:2" ht="18" hidden="1" x14ac:dyDescent="0.4">
      <c r="B293" s="996"/>
    </row>
    <row r="294" spans="1:2" ht="18" hidden="1" x14ac:dyDescent="0.4">
      <c r="B294" s="996"/>
    </row>
    <row r="295" spans="1:2" ht="18" hidden="1" x14ac:dyDescent="0.4">
      <c r="B295" s="996"/>
    </row>
    <row r="296" spans="1:2" ht="18" hidden="1" x14ac:dyDescent="0.4">
      <c r="B296" s="996"/>
    </row>
    <row r="297" spans="1:2" ht="18" hidden="1" x14ac:dyDescent="0.4">
      <c r="B297" s="996"/>
    </row>
    <row r="298" spans="1:2" ht="18" hidden="1" x14ac:dyDescent="0.4">
      <c r="B298" s="996"/>
    </row>
    <row r="299" spans="1:2" ht="18" hidden="1" x14ac:dyDescent="0.4">
      <c r="A299" t="e" vm="2">
        <v>#VALUE!</v>
      </c>
      <c r="B299" s="996" t="s">
        <v>106</v>
      </c>
    </row>
    <row r="300" spans="1:2" ht="18" hidden="1" x14ac:dyDescent="0.4">
      <c r="B300" s="996"/>
    </row>
    <row r="301" spans="1:2" ht="18" hidden="1" x14ac:dyDescent="0.4">
      <c r="B301" s="996"/>
    </row>
    <row r="302" spans="1:2" ht="18" hidden="1" x14ac:dyDescent="0.4">
      <c r="B302" s="996"/>
    </row>
    <row r="303" spans="1:2" ht="18" hidden="1" x14ac:dyDescent="0.4">
      <c r="B303" s="996"/>
    </row>
    <row r="304" spans="1:2" ht="18" hidden="1" x14ac:dyDescent="0.4">
      <c r="B304" s="996"/>
    </row>
    <row r="305" spans="2:2" ht="18" hidden="1" x14ac:dyDescent="0.4">
      <c r="B305" s="996"/>
    </row>
    <row r="306" spans="2:2" ht="18" hidden="1" x14ac:dyDescent="0.4">
      <c r="B306" s="996"/>
    </row>
    <row r="307" spans="2:2" ht="18" hidden="1" x14ac:dyDescent="0.4">
      <c r="B307" s="996"/>
    </row>
    <row r="308" spans="2:2" ht="18" hidden="1" x14ac:dyDescent="0.4">
      <c r="B308" s="996"/>
    </row>
    <row r="309" spans="2:2" ht="18" hidden="1" x14ac:dyDescent="0.4">
      <c r="B309" s="996"/>
    </row>
    <row r="310" spans="2:2" ht="18" hidden="1" x14ac:dyDescent="0.4">
      <c r="B310" s="996"/>
    </row>
    <row r="311" spans="2:2" ht="18" hidden="1" x14ac:dyDescent="0.4">
      <c r="B311" s="996"/>
    </row>
    <row r="312" spans="2:2" ht="18" hidden="1" x14ac:dyDescent="0.4">
      <c r="B312" s="996"/>
    </row>
    <row r="313" spans="2:2" ht="18" hidden="1" x14ac:dyDescent="0.4">
      <c r="B313" s="996"/>
    </row>
    <row r="314" spans="2:2" ht="18" hidden="1" x14ac:dyDescent="0.4">
      <c r="B314" s="996"/>
    </row>
    <row r="315" spans="2:2" ht="18" hidden="1" x14ac:dyDescent="0.4">
      <c r="B315" s="996"/>
    </row>
    <row r="316" spans="2:2" ht="18" hidden="1" x14ac:dyDescent="0.4">
      <c r="B316" s="996"/>
    </row>
    <row r="317" spans="2:2" ht="18" hidden="1" x14ac:dyDescent="0.4">
      <c r="B317" s="996"/>
    </row>
    <row r="318" spans="2:2" ht="18" hidden="1" x14ac:dyDescent="0.4">
      <c r="B318" s="996"/>
    </row>
    <row r="319" spans="2:2" ht="18" hidden="1" x14ac:dyDescent="0.4">
      <c r="B319" s="996"/>
    </row>
    <row r="320" spans="2:2" ht="18" hidden="1" x14ac:dyDescent="0.4">
      <c r="B320" s="996"/>
    </row>
    <row r="321" spans="2:2" ht="18" hidden="1" x14ac:dyDescent="0.4">
      <c r="B321" s="996"/>
    </row>
    <row r="322" spans="2:2" ht="18" hidden="1" x14ac:dyDescent="0.4">
      <c r="B322" s="996"/>
    </row>
    <row r="323" spans="2:2" ht="18" hidden="1" x14ac:dyDescent="0.4">
      <c r="B323" s="996"/>
    </row>
    <row r="324" spans="2:2" ht="18" hidden="1" x14ac:dyDescent="0.4">
      <c r="B324" s="996"/>
    </row>
    <row r="325" spans="2:2" ht="18" hidden="1" x14ac:dyDescent="0.4">
      <c r="B325" s="996"/>
    </row>
    <row r="326" spans="2:2" ht="18" hidden="1" x14ac:dyDescent="0.4">
      <c r="B326" s="996"/>
    </row>
    <row r="327" spans="2:2" ht="18" hidden="1" x14ac:dyDescent="0.4">
      <c r="B327" s="996"/>
    </row>
    <row r="328" spans="2:2" ht="18" hidden="1" x14ac:dyDescent="0.4">
      <c r="B328" s="996"/>
    </row>
    <row r="329" spans="2:2" ht="18" hidden="1" x14ac:dyDescent="0.4">
      <c r="B329" s="996"/>
    </row>
    <row r="330" spans="2:2" ht="18" hidden="1" x14ac:dyDescent="0.4">
      <c r="B330" s="996"/>
    </row>
    <row r="331" spans="2:2" ht="18" hidden="1" x14ac:dyDescent="0.4">
      <c r="B331" s="996"/>
    </row>
    <row r="332" spans="2:2" ht="18" hidden="1" x14ac:dyDescent="0.4">
      <c r="B332" s="996"/>
    </row>
    <row r="333" spans="2:2" ht="18" hidden="1" x14ac:dyDescent="0.4">
      <c r="B333" s="996"/>
    </row>
    <row r="334" spans="2:2" ht="18" hidden="1" x14ac:dyDescent="0.4">
      <c r="B334" s="996"/>
    </row>
    <row r="335" spans="2:2" ht="18" hidden="1" x14ac:dyDescent="0.4">
      <c r="B335" s="996"/>
    </row>
    <row r="336" spans="2:2" ht="18" hidden="1" x14ac:dyDescent="0.4">
      <c r="B336" s="996" t="e" vm="3">
        <v>#VALUE!</v>
      </c>
    </row>
    <row r="337" spans="2:2" ht="18" hidden="1" x14ac:dyDescent="0.4">
      <c r="B337" s="996"/>
    </row>
    <row r="338" spans="2:2" ht="18" hidden="1" x14ac:dyDescent="0.4">
      <c r="B338" s="996"/>
    </row>
    <row r="339" spans="2:2" ht="18" hidden="1" x14ac:dyDescent="0.4">
      <c r="B339" s="996"/>
    </row>
    <row r="340" spans="2:2" ht="18" hidden="1" x14ac:dyDescent="0.4">
      <c r="B340" s="996"/>
    </row>
    <row r="341" spans="2:2" ht="18" hidden="1" x14ac:dyDescent="0.4">
      <c r="B341" s="996"/>
    </row>
    <row r="342" spans="2:2" ht="18" hidden="1" x14ac:dyDescent="0.4">
      <c r="B342" s="996"/>
    </row>
    <row r="343" spans="2:2" ht="18" hidden="1" x14ac:dyDescent="0.4">
      <c r="B343" s="996"/>
    </row>
    <row r="344" spans="2:2" ht="18" hidden="1" x14ac:dyDescent="0.4">
      <c r="B344" s="996"/>
    </row>
    <row r="345" spans="2:2" ht="18" hidden="1" x14ac:dyDescent="0.4">
      <c r="B345" s="996"/>
    </row>
    <row r="346" spans="2:2" ht="18" hidden="1" x14ac:dyDescent="0.4">
      <c r="B346" s="996"/>
    </row>
    <row r="347" spans="2:2" ht="18" hidden="1" x14ac:dyDescent="0.4">
      <c r="B347" s="996"/>
    </row>
    <row r="348" spans="2:2" ht="18" hidden="1" x14ac:dyDescent="0.4">
      <c r="B348" s="996"/>
    </row>
    <row r="349" spans="2:2" ht="18" hidden="1" x14ac:dyDescent="0.4">
      <c r="B349" s="996"/>
    </row>
    <row r="350" spans="2:2" ht="18" hidden="1" x14ac:dyDescent="0.4">
      <c r="B350" s="996"/>
    </row>
    <row r="351" spans="2:2" ht="18" hidden="1" x14ac:dyDescent="0.4">
      <c r="B351" s="996"/>
    </row>
    <row r="352" spans="2:2" ht="18" hidden="1" x14ac:dyDescent="0.4">
      <c r="B352" s="996"/>
    </row>
    <row r="353" spans="2:2" ht="18" hidden="1" x14ac:dyDescent="0.4">
      <c r="B353" s="996"/>
    </row>
    <row r="354" spans="2:2" ht="18" hidden="1" x14ac:dyDescent="0.4">
      <c r="B354" s="996"/>
    </row>
    <row r="355" spans="2:2" ht="18" hidden="1" x14ac:dyDescent="0.4">
      <c r="B355" s="996"/>
    </row>
    <row r="356" spans="2:2" ht="18" hidden="1" x14ac:dyDescent="0.4">
      <c r="B356" s="996"/>
    </row>
    <row r="357" spans="2:2" ht="18" hidden="1" x14ac:dyDescent="0.4">
      <c r="B357" s="996"/>
    </row>
    <row r="358" spans="2:2" ht="18" hidden="1" x14ac:dyDescent="0.4">
      <c r="B358" s="996"/>
    </row>
    <row r="359" spans="2:2" ht="18" hidden="1" x14ac:dyDescent="0.4">
      <c r="B359" s="996"/>
    </row>
    <row r="360" spans="2:2" ht="18" hidden="1" x14ac:dyDescent="0.4">
      <c r="B360" s="996"/>
    </row>
    <row r="361" spans="2:2" ht="18" hidden="1" x14ac:dyDescent="0.4">
      <c r="B361" s="996"/>
    </row>
    <row r="362" spans="2:2" ht="18" hidden="1" x14ac:dyDescent="0.4">
      <c r="B362" s="996"/>
    </row>
    <row r="363" spans="2:2" ht="18" hidden="1" x14ac:dyDescent="0.4">
      <c r="B363" s="996"/>
    </row>
    <row r="364" spans="2:2" ht="18" hidden="1" x14ac:dyDescent="0.4">
      <c r="B364" s="996"/>
    </row>
    <row r="365" spans="2:2" ht="18" hidden="1" x14ac:dyDescent="0.4">
      <c r="B365" s="996"/>
    </row>
    <row r="366" spans="2:2" ht="18" hidden="1" x14ac:dyDescent="0.4">
      <c r="B366" s="996"/>
    </row>
    <row r="367" spans="2:2" ht="18" hidden="1" x14ac:dyDescent="0.4">
      <c r="B367" s="996"/>
    </row>
    <row r="368" spans="2:2" ht="18" hidden="1" x14ac:dyDescent="0.4">
      <c r="B368" s="996"/>
    </row>
    <row r="369" spans="2:2" ht="18" hidden="1" x14ac:dyDescent="0.4">
      <c r="B369" s="996"/>
    </row>
    <row r="370" spans="2:2" ht="18" hidden="1" x14ac:dyDescent="0.4">
      <c r="B370" s="996"/>
    </row>
    <row r="371" spans="2:2" ht="18" hidden="1" x14ac:dyDescent="0.4">
      <c r="B371" s="996"/>
    </row>
    <row r="372" spans="2:2" ht="18" hidden="1" x14ac:dyDescent="0.4">
      <c r="B372" s="996"/>
    </row>
    <row r="373" spans="2:2" ht="18" hidden="1" x14ac:dyDescent="0.4">
      <c r="B373" s="996"/>
    </row>
    <row r="374" spans="2:2" ht="18" hidden="1" x14ac:dyDescent="0.4">
      <c r="B374" s="996"/>
    </row>
    <row r="375" spans="2:2" ht="18" hidden="1" x14ac:dyDescent="0.4">
      <c r="B375" s="996"/>
    </row>
    <row r="376" spans="2:2" ht="18" hidden="1" x14ac:dyDescent="0.4">
      <c r="B376" s="996"/>
    </row>
    <row r="377" spans="2:2" ht="18" hidden="1" x14ac:dyDescent="0.4">
      <c r="B377" s="996"/>
    </row>
    <row r="378" spans="2:2" ht="18" hidden="1" x14ac:dyDescent="0.4">
      <c r="B378" s="996"/>
    </row>
    <row r="379" spans="2:2" ht="18" hidden="1" x14ac:dyDescent="0.4">
      <c r="B379" s="996"/>
    </row>
    <row r="380" spans="2:2" ht="18" hidden="1" x14ac:dyDescent="0.4">
      <c r="B380" s="996"/>
    </row>
    <row r="381" spans="2:2" ht="18" hidden="1" x14ac:dyDescent="0.4">
      <c r="B381" s="996"/>
    </row>
    <row r="382" spans="2:2" ht="18" hidden="1" x14ac:dyDescent="0.4">
      <c r="B382" s="996"/>
    </row>
    <row r="383" spans="2:2" ht="18" hidden="1" x14ac:dyDescent="0.4">
      <c r="B383" s="996"/>
    </row>
    <row r="384" spans="2:2" ht="18" hidden="1" x14ac:dyDescent="0.4">
      <c r="B384" s="996"/>
    </row>
    <row r="385" spans="2:2" ht="18" x14ac:dyDescent="0.4">
      <c r="B385" s="996"/>
    </row>
    <row r="386" spans="2:2" ht="18" x14ac:dyDescent="0.4">
      <c r="B386" s="996"/>
    </row>
    <row r="387" spans="2:2" ht="18" x14ac:dyDescent="0.4">
      <c r="B387" s="996"/>
    </row>
    <row r="388" spans="2:2" ht="18" x14ac:dyDescent="0.4">
      <c r="B388" s="996"/>
    </row>
    <row r="389" spans="2:2" ht="18" x14ac:dyDescent="0.4">
      <c r="B389" s="996"/>
    </row>
    <row r="390" spans="2:2" ht="18" x14ac:dyDescent="0.4">
      <c r="B390" s="996"/>
    </row>
    <row r="391" spans="2:2" ht="18" x14ac:dyDescent="0.4">
      <c r="B391" s="996"/>
    </row>
    <row r="392" spans="2:2" ht="18" x14ac:dyDescent="0.4">
      <c r="B392" s="996"/>
    </row>
    <row r="393" spans="2:2" ht="18" x14ac:dyDescent="0.4">
      <c r="B393" s="996"/>
    </row>
    <row r="394" spans="2:2" ht="18" x14ac:dyDescent="0.4">
      <c r="B394" s="996"/>
    </row>
    <row r="395" spans="2:2" ht="18" x14ac:dyDescent="0.4">
      <c r="B395" s="996"/>
    </row>
    <row r="396" spans="2:2" ht="18" x14ac:dyDescent="0.4">
      <c r="B396" s="996"/>
    </row>
    <row r="397" spans="2:2" ht="18" x14ac:dyDescent="0.4">
      <c r="B397" s="996"/>
    </row>
    <row r="398" spans="2:2" ht="18" x14ac:dyDescent="0.4">
      <c r="B398" s="996"/>
    </row>
    <row r="399" spans="2:2" ht="18" x14ac:dyDescent="0.4">
      <c r="B399" s="996"/>
    </row>
    <row r="400" spans="2:2" ht="18" x14ac:dyDescent="0.4">
      <c r="B400" s="996"/>
    </row>
    <row r="401" spans="2:2" ht="18" x14ac:dyDescent="0.4">
      <c r="B401" s="996"/>
    </row>
    <row r="402" spans="2:2" ht="18" x14ac:dyDescent="0.4">
      <c r="B402" s="996"/>
    </row>
    <row r="403" spans="2:2" ht="18" x14ac:dyDescent="0.4">
      <c r="B403" s="996"/>
    </row>
    <row r="404" spans="2:2" ht="18" x14ac:dyDescent="0.4">
      <c r="B404" s="996"/>
    </row>
    <row r="405" spans="2:2" ht="18" x14ac:dyDescent="0.4">
      <c r="B405" s="996"/>
    </row>
    <row r="406" spans="2:2" ht="18" x14ac:dyDescent="0.4">
      <c r="B406" s="996"/>
    </row>
    <row r="407" spans="2:2" ht="18" x14ac:dyDescent="0.4">
      <c r="B407" s="996"/>
    </row>
    <row r="408" spans="2:2" ht="18" x14ac:dyDescent="0.4">
      <c r="B408" s="996"/>
    </row>
    <row r="409" spans="2:2" ht="18" x14ac:dyDescent="0.4">
      <c r="B409" s="996"/>
    </row>
    <row r="410" spans="2:2" ht="18" x14ac:dyDescent="0.4">
      <c r="B410" s="996"/>
    </row>
    <row r="411" spans="2:2" ht="18" x14ac:dyDescent="0.4">
      <c r="B411" s="996"/>
    </row>
    <row r="412" spans="2:2" ht="18" x14ac:dyDescent="0.4">
      <c r="B412" s="996"/>
    </row>
    <row r="413" spans="2:2" ht="18" x14ac:dyDescent="0.4">
      <c r="B413" s="996"/>
    </row>
    <row r="414" spans="2:2" ht="18" x14ac:dyDescent="0.4">
      <c r="B414" s="996"/>
    </row>
    <row r="415" spans="2:2" ht="18" x14ac:dyDescent="0.4">
      <c r="B415" s="996"/>
    </row>
    <row r="416" spans="2:2" ht="18" x14ac:dyDescent="0.4">
      <c r="B416" s="996"/>
    </row>
    <row r="417" spans="2:2" ht="18" x14ac:dyDescent="0.4">
      <c r="B417" s="996"/>
    </row>
    <row r="418" spans="2:2" ht="18" x14ac:dyDescent="0.4">
      <c r="B418" s="996"/>
    </row>
    <row r="419" spans="2:2" ht="18" x14ac:dyDescent="0.4">
      <c r="B419" s="996"/>
    </row>
    <row r="420" spans="2:2" ht="18" x14ac:dyDescent="0.4">
      <c r="B420" s="996"/>
    </row>
    <row r="421" spans="2:2" ht="18" x14ac:dyDescent="0.4">
      <c r="B421" s="996"/>
    </row>
    <row r="422" spans="2:2" ht="18" x14ac:dyDescent="0.4">
      <c r="B422" s="996"/>
    </row>
    <row r="423" spans="2:2" ht="18" x14ac:dyDescent="0.4">
      <c r="B423" s="996"/>
    </row>
    <row r="424" spans="2:2" ht="18" x14ac:dyDescent="0.4">
      <c r="B424" s="996"/>
    </row>
    <row r="425" spans="2:2" ht="18" x14ac:dyDescent="0.4">
      <c r="B425" s="996"/>
    </row>
    <row r="426" spans="2:2" ht="18" x14ac:dyDescent="0.4">
      <c r="B426" s="996"/>
    </row>
    <row r="427" spans="2:2" ht="18" x14ac:dyDescent="0.4">
      <c r="B427" s="996"/>
    </row>
    <row r="428" spans="2:2" ht="18" x14ac:dyDescent="0.4">
      <c r="B428" s="996"/>
    </row>
    <row r="429" spans="2:2" ht="18" x14ac:dyDescent="0.4">
      <c r="B429" s="996"/>
    </row>
    <row r="430" spans="2:2" ht="18" x14ac:dyDescent="0.4">
      <c r="B430" s="996"/>
    </row>
    <row r="431" spans="2:2" ht="18" x14ac:dyDescent="0.4">
      <c r="B431" s="996"/>
    </row>
    <row r="432" spans="2:2" ht="18" x14ac:dyDescent="0.4">
      <c r="B432" s="996"/>
    </row>
    <row r="433" spans="2:2" ht="18" x14ac:dyDescent="0.4">
      <c r="B433" s="996"/>
    </row>
    <row r="434" spans="2:2" ht="18" x14ac:dyDescent="0.4">
      <c r="B434" s="996"/>
    </row>
    <row r="435" spans="2:2" ht="18" x14ac:dyDescent="0.4">
      <c r="B435" s="996"/>
    </row>
    <row r="436" spans="2:2" ht="18" x14ac:dyDescent="0.4">
      <c r="B436" s="996"/>
    </row>
    <row r="437" spans="2:2" ht="18" x14ac:dyDescent="0.4">
      <c r="B437" s="996"/>
    </row>
    <row r="438" spans="2:2" ht="18" x14ac:dyDescent="0.4">
      <c r="B438" s="996"/>
    </row>
    <row r="439" spans="2:2" ht="18" x14ac:dyDescent="0.4">
      <c r="B439" s="996"/>
    </row>
    <row r="440" spans="2:2" ht="18" x14ac:dyDescent="0.4">
      <c r="B440" s="996"/>
    </row>
    <row r="441" spans="2:2" ht="18" x14ac:dyDescent="0.4">
      <c r="B441" s="996"/>
    </row>
    <row r="442" spans="2:2" ht="18" x14ac:dyDescent="0.4">
      <c r="B442" s="996"/>
    </row>
    <row r="443" spans="2:2" ht="18" x14ac:dyDescent="0.4">
      <c r="B443" s="996"/>
    </row>
    <row r="444" spans="2:2" ht="18" x14ac:dyDescent="0.4">
      <c r="B444" s="996"/>
    </row>
    <row r="445" spans="2:2" ht="18" x14ac:dyDescent="0.4">
      <c r="B445" s="996"/>
    </row>
    <row r="446" spans="2:2" ht="18" x14ac:dyDescent="0.4">
      <c r="B446" s="996"/>
    </row>
    <row r="447" spans="2:2" ht="18" x14ac:dyDescent="0.4">
      <c r="B447" s="996"/>
    </row>
    <row r="448" spans="2:2" ht="18" x14ac:dyDescent="0.4">
      <c r="B448" s="996"/>
    </row>
    <row r="449" spans="2:2" ht="18" x14ac:dyDescent="0.4">
      <c r="B449" s="996"/>
    </row>
    <row r="450" spans="2:2" ht="18" x14ac:dyDescent="0.4">
      <c r="B450" s="996"/>
    </row>
    <row r="451" spans="2:2" ht="18" x14ac:dyDescent="0.4">
      <c r="B451" s="996"/>
    </row>
    <row r="452" spans="2:2" ht="18" x14ac:dyDescent="0.4">
      <c r="B452" s="996"/>
    </row>
    <row r="453" spans="2:2" ht="18" x14ac:dyDescent="0.4">
      <c r="B453" s="996"/>
    </row>
    <row r="454" spans="2:2" ht="18" x14ac:dyDescent="0.4">
      <c r="B454" s="996"/>
    </row>
    <row r="455" spans="2:2" ht="18" x14ac:dyDescent="0.4">
      <c r="B455" s="996"/>
    </row>
    <row r="456" spans="2:2" ht="18" x14ac:dyDescent="0.4">
      <c r="B456" s="996"/>
    </row>
    <row r="457" spans="2:2" ht="18" x14ac:dyDescent="0.4">
      <c r="B457" s="996"/>
    </row>
    <row r="458" spans="2:2" ht="18" x14ac:dyDescent="0.4">
      <c r="B458" s="996"/>
    </row>
    <row r="459" spans="2:2" ht="18" x14ac:dyDescent="0.4">
      <c r="B459" s="996"/>
    </row>
    <row r="460" spans="2:2" ht="18" x14ac:dyDescent="0.4">
      <c r="B460" s="996"/>
    </row>
    <row r="461" spans="2:2" ht="18" x14ac:dyDescent="0.4">
      <c r="B461" s="996"/>
    </row>
    <row r="462" spans="2:2" ht="18" x14ac:dyDescent="0.4">
      <c r="B462" s="996"/>
    </row>
    <row r="463" spans="2:2" ht="18" x14ac:dyDescent="0.4">
      <c r="B463" s="996"/>
    </row>
    <row r="464" spans="2:2" ht="18" x14ac:dyDescent="0.4">
      <c r="B464" s="996"/>
    </row>
    <row r="465" spans="2:2" ht="18" x14ac:dyDescent="0.4">
      <c r="B465" s="996"/>
    </row>
    <row r="466" spans="2:2" ht="18" x14ac:dyDescent="0.4">
      <c r="B466" s="996"/>
    </row>
    <row r="467" spans="2:2" ht="18" x14ac:dyDescent="0.4">
      <c r="B467" s="996"/>
    </row>
    <row r="468" spans="2:2" ht="18" x14ac:dyDescent="0.4">
      <c r="B468" s="996"/>
    </row>
    <row r="469" spans="2:2" ht="18" x14ac:dyDescent="0.4">
      <c r="B469" s="996"/>
    </row>
    <row r="470" spans="2:2" ht="18" x14ac:dyDescent="0.4">
      <c r="B470" s="996"/>
    </row>
    <row r="471" spans="2:2" ht="18" x14ac:dyDescent="0.4">
      <c r="B471" s="996"/>
    </row>
    <row r="472" spans="2:2" ht="18" x14ac:dyDescent="0.4">
      <c r="B472" s="996"/>
    </row>
    <row r="473" spans="2:2" ht="18" x14ac:dyDescent="0.4">
      <c r="B473" s="996"/>
    </row>
    <row r="474" spans="2:2" ht="18" x14ac:dyDescent="0.4">
      <c r="B474" s="996"/>
    </row>
    <row r="475" spans="2:2" ht="18" x14ac:dyDescent="0.4">
      <c r="B475" s="996"/>
    </row>
    <row r="476" spans="2:2" ht="18" x14ac:dyDescent="0.4">
      <c r="B476" s="996"/>
    </row>
    <row r="477" spans="2:2" ht="18" x14ac:dyDescent="0.4">
      <c r="B477" s="996"/>
    </row>
    <row r="478" spans="2:2" ht="18" x14ac:dyDescent="0.4">
      <c r="B478" s="996"/>
    </row>
    <row r="479" spans="2:2" ht="18" x14ac:dyDescent="0.4">
      <c r="B479" s="996"/>
    </row>
    <row r="480" spans="2:2" ht="18" x14ac:dyDescent="0.4">
      <c r="B480" s="996"/>
    </row>
    <row r="481" spans="2:2" ht="18" x14ac:dyDescent="0.4">
      <c r="B481" s="996"/>
    </row>
    <row r="482" spans="2:2" ht="18" x14ac:dyDescent="0.4">
      <c r="B482" s="996"/>
    </row>
    <row r="483" spans="2:2" ht="18" x14ac:dyDescent="0.4">
      <c r="B483" s="996"/>
    </row>
    <row r="484" spans="2:2" ht="18" x14ac:dyDescent="0.4">
      <c r="B484" s="996"/>
    </row>
    <row r="485" spans="2:2" ht="18" x14ac:dyDescent="0.4">
      <c r="B485" s="996"/>
    </row>
    <row r="486" spans="2:2" ht="18" x14ac:dyDescent="0.4">
      <c r="B486" s="996"/>
    </row>
    <row r="487" spans="2:2" ht="18" x14ac:dyDescent="0.4">
      <c r="B487" s="996"/>
    </row>
    <row r="488" spans="2:2" ht="18" x14ac:dyDescent="0.4">
      <c r="B488" s="996"/>
    </row>
    <row r="489" spans="2:2" ht="18" x14ac:dyDescent="0.4">
      <c r="B489" s="996"/>
    </row>
    <row r="490" spans="2:2" ht="18" x14ac:dyDescent="0.4">
      <c r="B490" s="996"/>
    </row>
    <row r="491" spans="2:2" ht="18" x14ac:dyDescent="0.4">
      <c r="B491" s="996"/>
    </row>
    <row r="492" spans="2:2" ht="18" x14ac:dyDescent="0.4">
      <c r="B492" s="996"/>
    </row>
    <row r="493" spans="2:2" ht="18" x14ac:dyDescent="0.4">
      <c r="B493" s="996"/>
    </row>
    <row r="494" spans="2:2" ht="18" x14ac:dyDescent="0.4">
      <c r="B494" s="996"/>
    </row>
    <row r="495" spans="2:2" ht="18" x14ac:dyDescent="0.4">
      <c r="B495" s="996"/>
    </row>
    <row r="496" spans="2:2" ht="18" x14ac:dyDescent="0.4">
      <c r="B496" s="996"/>
    </row>
    <row r="497" spans="2:2" ht="18" x14ac:dyDescent="0.4">
      <c r="B497" s="996"/>
    </row>
    <row r="498" spans="2:2" ht="18" x14ac:dyDescent="0.4">
      <c r="B498" s="996"/>
    </row>
    <row r="499" spans="2:2" ht="18" x14ac:dyDescent="0.4">
      <c r="B499" s="996"/>
    </row>
    <row r="500" spans="2:2" ht="18" x14ac:dyDescent="0.4">
      <c r="B500" s="996"/>
    </row>
    <row r="501" spans="2:2" ht="18" x14ac:dyDescent="0.4">
      <c r="B501" s="996"/>
    </row>
    <row r="502" spans="2:2" ht="18" x14ac:dyDescent="0.4">
      <c r="B502" s="996"/>
    </row>
    <row r="503" spans="2:2" ht="18" x14ac:dyDescent="0.4">
      <c r="B503" s="996"/>
    </row>
    <row r="504" spans="2:2" ht="18" x14ac:dyDescent="0.4">
      <c r="B504" s="996"/>
    </row>
    <row r="505" spans="2:2" ht="18" x14ac:dyDescent="0.4">
      <c r="B505" s="996"/>
    </row>
    <row r="506" spans="2:2" ht="18" x14ac:dyDescent="0.4">
      <c r="B506" s="996"/>
    </row>
    <row r="507" spans="2:2" ht="18" x14ac:dyDescent="0.4">
      <c r="B507" s="996"/>
    </row>
    <row r="508" spans="2:2" ht="18" x14ac:dyDescent="0.4">
      <c r="B508" s="996"/>
    </row>
    <row r="509" spans="2:2" ht="18" x14ac:dyDescent="0.4">
      <c r="B509" s="996"/>
    </row>
    <row r="510" spans="2:2" ht="18" x14ac:dyDescent="0.4">
      <c r="B510" s="996"/>
    </row>
    <row r="511" spans="2:2" ht="18" x14ac:dyDescent="0.4">
      <c r="B511" s="996"/>
    </row>
    <row r="512" spans="2:2" ht="18" x14ac:dyDescent="0.4">
      <c r="B512" s="996"/>
    </row>
    <row r="513" spans="2:2" ht="18" x14ac:dyDescent="0.4">
      <c r="B513" s="996"/>
    </row>
    <row r="514" spans="2:2" ht="18" x14ac:dyDescent="0.4">
      <c r="B514" s="996"/>
    </row>
    <row r="515" spans="2:2" ht="18" x14ac:dyDescent="0.4">
      <c r="B515" s="996"/>
    </row>
    <row r="516" spans="2:2" ht="18" x14ac:dyDescent="0.4">
      <c r="B516" s="996"/>
    </row>
    <row r="517" spans="2:2" ht="18" x14ac:dyDescent="0.4">
      <c r="B517" s="996"/>
    </row>
    <row r="518" spans="2:2" ht="18" x14ac:dyDescent="0.4">
      <c r="B518" s="996"/>
    </row>
    <row r="519" spans="2:2" ht="18" x14ac:dyDescent="0.4">
      <c r="B519" s="996"/>
    </row>
    <row r="520" spans="2:2" ht="18" x14ac:dyDescent="0.4">
      <c r="B520" s="996"/>
    </row>
    <row r="521" spans="2:2" ht="18" x14ac:dyDescent="0.4">
      <c r="B521" s="996"/>
    </row>
    <row r="522" spans="2:2" ht="18" x14ac:dyDescent="0.4">
      <c r="B522" s="996"/>
    </row>
    <row r="523" spans="2:2" ht="18" x14ac:dyDescent="0.4">
      <c r="B523" s="996"/>
    </row>
    <row r="524" spans="2:2" ht="18" x14ac:dyDescent="0.4">
      <c r="B524" s="996"/>
    </row>
    <row r="525" spans="2:2" ht="18" x14ac:dyDescent="0.4">
      <c r="B525" s="996"/>
    </row>
    <row r="526" spans="2:2" ht="18" x14ac:dyDescent="0.4">
      <c r="B526" s="996"/>
    </row>
    <row r="527" spans="2:2" ht="18" x14ac:dyDescent="0.4">
      <c r="B527" s="996"/>
    </row>
    <row r="528" spans="2:2" ht="18" x14ac:dyDescent="0.4">
      <c r="B528" s="996"/>
    </row>
    <row r="529" spans="2:2" ht="18" x14ac:dyDescent="0.4">
      <c r="B529" s="996"/>
    </row>
    <row r="530" spans="2:2" ht="18" x14ac:dyDescent="0.4">
      <c r="B530" s="996"/>
    </row>
    <row r="531" spans="2:2" ht="18" x14ac:dyDescent="0.4">
      <c r="B531" s="996"/>
    </row>
    <row r="532" spans="2:2" ht="18" x14ac:dyDescent="0.4">
      <c r="B532" s="996"/>
    </row>
    <row r="533" spans="2:2" ht="18" x14ac:dyDescent="0.4">
      <c r="B533" s="996"/>
    </row>
    <row r="534" spans="2:2" ht="18" x14ac:dyDescent="0.4">
      <c r="B534" s="996"/>
    </row>
    <row r="535" spans="2:2" ht="18" x14ac:dyDescent="0.4">
      <c r="B535" s="996"/>
    </row>
    <row r="536" spans="2:2" ht="18" x14ac:dyDescent="0.4">
      <c r="B536" s="996"/>
    </row>
    <row r="537" spans="2:2" ht="18" x14ac:dyDescent="0.4">
      <c r="B537" s="996"/>
    </row>
    <row r="538" spans="2:2" ht="18" x14ac:dyDescent="0.4">
      <c r="B538" s="996"/>
    </row>
    <row r="539" spans="2:2" ht="18" x14ac:dyDescent="0.4">
      <c r="B539" s="996"/>
    </row>
    <row r="540" spans="2:2" ht="18" x14ac:dyDescent="0.4">
      <c r="B540" s="996"/>
    </row>
    <row r="541" spans="2:2" ht="18" x14ac:dyDescent="0.4">
      <c r="B541" s="996"/>
    </row>
    <row r="542" spans="2:2" ht="18" x14ac:dyDescent="0.4">
      <c r="B542" s="996"/>
    </row>
    <row r="543" spans="2:2" ht="18" x14ac:dyDescent="0.4">
      <c r="B543" s="996"/>
    </row>
    <row r="544" spans="2:2" ht="18" x14ac:dyDescent="0.4">
      <c r="B544" s="996"/>
    </row>
    <row r="545" spans="2:2" ht="18" x14ac:dyDescent="0.4">
      <c r="B545" s="996"/>
    </row>
    <row r="546" spans="2:2" ht="18" x14ac:dyDescent="0.4">
      <c r="B546" s="996"/>
    </row>
    <row r="547" spans="2:2" ht="18" x14ac:dyDescent="0.4">
      <c r="B547" s="996"/>
    </row>
    <row r="548" spans="2:2" ht="18" x14ac:dyDescent="0.4">
      <c r="B548" s="996"/>
    </row>
    <row r="549" spans="2:2" ht="18" x14ac:dyDescent="0.4">
      <c r="B549" s="996"/>
    </row>
    <row r="550" spans="2:2" ht="18" x14ac:dyDescent="0.4">
      <c r="B550" s="996"/>
    </row>
    <row r="551" spans="2:2" ht="18" x14ac:dyDescent="0.4">
      <c r="B551" s="996"/>
    </row>
    <row r="552" spans="2:2" ht="18" x14ac:dyDescent="0.4">
      <c r="B552" s="996"/>
    </row>
    <row r="553" spans="2:2" ht="18" x14ac:dyDescent="0.4">
      <c r="B553" s="996"/>
    </row>
    <row r="554" spans="2:2" ht="18" x14ac:dyDescent="0.4">
      <c r="B554" s="996"/>
    </row>
    <row r="555" spans="2:2" ht="18" x14ac:dyDescent="0.4">
      <c r="B555" s="996"/>
    </row>
    <row r="556" spans="2:2" ht="18" x14ac:dyDescent="0.4">
      <c r="B556" s="996"/>
    </row>
    <row r="557" spans="2:2" ht="18" x14ac:dyDescent="0.4">
      <c r="B557" s="996"/>
    </row>
    <row r="558" spans="2:2" ht="18" x14ac:dyDescent="0.4">
      <c r="B558" s="996"/>
    </row>
    <row r="559" spans="2:2" ht="18" x14ac:dyDescent="0.4">
      <c r="B559" s="996"/>
    </row>
    <row r="560" spans="2:2" ht="18" x14ac:dyDescent="0.4">
      <c r="B560" s="996"/>
    </row>
    <row r="561" spans="2:2" ht="18" x14ac:dyDescent="0.4">
      <c r="B561" s="996"/>
    </row>
    <row r="562" spans="2:2" ht="18" x14ac:dyDescent="0.4">
      <c r="B562" s="996"/>
    </row>
    <row r="563" spans="2:2" ht="18" x14ac:dyDescent="0.4">
      <c r="B563" s="996"/>
    </row>
    <row r="564" spans="2:2" ht="18" x14ac:dyDescent="0.4">
      <c r="B564" s="996"/>
    </row>
    <row r="565" spans="2:2" ht="18" x14ac:dyDescent="0.4">
      <c r="B565" s="996"/>
    </row>
    <row r="566" spans="2:2" ht="18" x14ac:dyDescent="0.4">
      <c r="B566" s="996"/>
    </row>
    <row r="567" spans="2:2" ht="18" x14ac:dyDescent="0.4">
      <c r="B567" s="996"/>
    </row>
    <row r="568" spans="2:2" ht="18" x14ac:dyDescent="0.4">
      <c r="B568" s="996"/>
    </row>
    <row r="569" spans="2:2" ht="18" x14ac:dyDescent="0.4">
      <c r="B569" s="996"/>
    </row>
    <row r="570" spans="2:2" ht="18" x14ac:dyDescent="0.4">
      <c r="B570" s="996"/>
    </row>
  </sheetData>
  <sheetProtection autoFilter="0"/>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C8C92-2610-45F4-B042-34ECB6436E70}">
  <sheetPr codeName="Sheet55">
    <tabColor theme="2" tint="-9.9978637043366805E-2"/>
    <outlinePr summaryBelow="0" summaryRight="0" showOutlineSymbols="0"/>
    <pageSetUpPr autoPageBreaks="0" fitToPage="1"/>
  </sheetPr>
  <dimension ref="A1:K158"/>
  <sheetViews>
    <sheetView showGridLines="0" zoomScale="70" zoomScaleNormal="70" workbookViewId="0">
      <selection activeCell="E8" sqref="E8"/>
    </sheetView>
  </sheetViews>
  <sheetFormatPr defaultColWidth="0" defaultRowHeight="17.5" x14ac:dyDescent="0.35"/>
  <cols>
    <col min="1" max="2" width="1.58203125" style="579" customWidth="1"/>
    <col min="3" max="3" width="5.75" style="579" customWidth="1"/>
    <col min="4" max="4" width="0.75" style="579" customWidth="1"/>
    <col min="5" max="5" width="129.83203125" style="579" customWidth="1"/>
    <col min="6" max="6" width="5" style="579" customWidth="1"/>
    <col min="7" max="9" width="8.33203125" style="579" hidden="1" customWidth="1"/>
    <col min="10" max="11" width="0" style="579" hidden="1" customWidth="1"/>
    <col min="12" max="16384" width="8.33203125" style="579" hidden="1"/>
  </cols>
  <sheetData>
    <row r="1" spans="1:11" ht="97.5" customHeight="1" collapsed="1" x14ac:dyDescent="0.35">
      <c r="A1" s="995"/>
      <c r="B1" s="995"/>
      <c r="C1" s="995"/>
      <c r="D1" s="995"/>
      <c r="E1" s="995"/>
      <c r="F1" s="1074"/>
    </row>
    <row r="2" spans="1:11" ht="40.4" customHeight="1" x14ac:dyDescent="0.35">
      <c r="A2" s="1556"/>
      <c r="B2" s="1556"/>
      <c r="C2" s="1556"/>
      <c r="D2" s="1556"/>
      <c r="E2" s="1556"/>
      <c r="F2" s="1074"/>
    </row>
    <row r="3" spans="1:11" ht="18" x14ac:dyDescent="0.4">
      <c r="D3" s="996"/>
    </row>
    <row r="4" spans="1:11" x14ac:dyDescent="0.35">
      <c r="F4" s="1106"/>
    </row>
    <row r="5" spans="1:11" ht="18" x14ac:dyDescent="0.4">
      <c r="C5" s="1495" t="s">
        <v>1881</v>
      </c>
      <c r="D5" s="1495"/>
      <c r="E5" s="1496"/>
    </row>
    <row r="6" spans="1:11" ht="18" x14ac:dyDescent="0.4">
      <c r="C6" s="996"/>
      <c r="D6" s="996"/>
    </row>
    <row r="7" spans="1:11" ht="18" x14ac:dyDescent="0.4">
      <c r="D7" s="996" t="s">
        <v>1882</v>
      </c>
    </row>
    <row r="8" spans="1:11" ht="43" customHeight="1" x14ac:dyDescent="0.35">
      <c r="C8" s="997">
        <f>IF(AND(ISBLANK(D8),ISBLANK(E8)=FALSE),MAX(C$7:C7)+1,"")</f>
        <v>1</v>
      </c>
      <c r="D8" s="997"/>
      <c r="E8" s="999" t="s">
        <v>1883</v>
      </c>
    </row>
    <row r="9" spans="1:11" ht="43" customHeight="1" x14ac:dyDescent="0.35">
      <c r="C9" s="997">
        <f>IF(AND(ISBLANK(D9),ISBLANK(E9)=FALSE),MAX(C$7:C8)+1,"")</f>
        <v>2</v>
      </c>
      <c r="D9" s="997"/>
      <c r="E9" s="999" t="s">
        <v>740</v>
      </c>
    </row>
    <row r="10" spans="1:11" ht="18" x14ac:dyDescent="0.4">
      <c r="C10" s="997" t="str">
        <f>IF(AND(ISBLANK(D10),ISBLANK(E10)=FALSE),MAX(C$7:C9)+1,"")</f>
        <v/>
      </c>
      <c r="D10" s="996" t="s">
        <v>741</v>
      </c>
    </row>
    <row r="11" spans="1:11" ht="21.65" customHeight="1" x14ac:dyDescent="0.35">
      <c r="C11" s="997">
        <f>IF(AND(ISBLANK(D11),ISBLANK(E11)=FALSE),MAX(C$7:C10)+1,"")</f>
        <v>3</v>
      </c>
      <c r="D11" s="998"/>
      <c r="E11" s="999" t="s">
        <v>742</v>
      </c>
    </row>
    <row r="12" spans="1:11" ht="64.400000000000006" customHeight="1" x14ac:dyDescent="0.35">
      <c r="C12" s="997">
        <f>IF(AND(ISBLANK(D12),ISBLANK(E12)=FALSE),MAX(C$7:C11)+1,"")</f>
        <v>4</v>
      </c>
      <c r="D12" s="998"/>
      <c r="E12" s="999" t="s">
        <v>743</v>
      </c>
      <c r="G12" s="1000"/>
    </row>
    <row r="13" spans="1:11" ht="18" x14ac:dyDescent="0.4">
      <c r="C13" s="997" t="str">
        <f>IF(AND(ISBLANK(D13),ISBLANK(E13)=FALSE),MAX(C$7:C12)+1,"")</f>
        <v/>
      </c>
      <c r="D13" s="996" t="s">
        <v>744</v>
      </c>
      <c r="K13" s="1005"/>
    </row>
    <row r="14" spans="1:11" ht="43" customHeight="1" x14ac:dyDescent="0.35">
      <c r="C14" s="997">
        <f>IF(AND(ISBLANK(D14),ISBLANK(E14)=FALSE),MAX(C$7:C13)+1,"")</f>
        <v>5</v>
      </c>
      <c r="D14" s="998"/>
      <c r="E14" s="999" t="s">
        <v>1884</v>
      </c>
    </row>
    <row r="15" spans="1:11" ht="43" customHeight="1" x14ac:dyDescent="0.35">
      <c r="C15" s="997">
        <f>IF(AND(ISBLANK(D15),ISBLANK(E15)=FALSE),MAX(C$7:C14)+1,"")</f>
        <v>6</v>
      </c>
      <c r="D15" s="998"/>
      <c r="E15" s="999" t="s">
        <v>1885</v>
      </c>
    </row>
    <row r="16" spans="1:11" ht="98.9" customHeight="1" x14ac:dyDescent="0.35">
      <c r="C16" s="997">
        <f>IF(AND(ISBLANK(D16),ISBLANK(E16)=FALSE),MAX(C$7:C15)+1,"")</f>
        <v>7</v>
      </c>
      <c r="D16" s="998"/>
      <c r="E16" s="999" t="s">
        <v>1886</v>
      </c>
    </row>
    <row r="17" spans="3:5" ht="64.400000000000006" customHeight="1" x14ac:dyDescent="0.35">
      <c r="C17" s="997">
        <f>IF(AND(ISBLANK(D17),ISBLANK(E17)=FALSE),MAX(C$7:C16)+1,"")</f>
        <v>8</v>
      </c>
      <c r="D17" s="1001"/>
      <c r="E17" s="999" t="s">
        <v>1887</v>
      </c>
    </row>
    <row r="18" spans="3:5" ht="18" x14ac:dyDescent="0.4">
      <c r="C18" s="997" t="str">
        <f>IF(AND(ISBLANK(D18),ISBLANK(E18)=FALSE),MAX(C$7:C17)+1,"")</f>
        <v/>
      </c>
      <c r="D18" s="996" t="s">
        <v>1888</v>
      </c>
    </row>
    <row r="19" spans="3:5" ht="43" customHeight="1" x14ac:dyDescent="0.35">
      <c r="C19" s="997">
        <f>IF(AND(ISBLANK(D19),ISBLANK(E19)=FALSE),MAX(C$7:C18)+1,"")</f>
        <v>9</v>
      </c>
      <c r="D19" s="998"/>
      <c r="E19" s="999" t="s">
        <v>1889</v>
      </c>
    </row>
    <row r="20" spans="3:5" ht="43" customHeight="1" x14ac:dyDescent="0.35">
      <c r="C20" s="997">
        <f>IF(AND(ISBLANK(D20),ISBLANK(E20)=FALSE),MAX(C$7:C19)+1,"")</f>
        <v>10</v>
      </c>
      <c r="D20" s="998"/>
      <c r="E20" s="999" t="s">
        <v>1890</v>
      </c>
    </row>
    <row r="21" spans="3:5" ht="43" customHeight="1" x14ac:dyDescent="0.35">
      <c r="C21" s="997">
        <f>IF(AND(ISBLANK(D21),ISBLANK(E21)=FALSE),MAX(C$7:C20)+1,"")</f>
        <v>11</v>
      </c>
      <c r="D21" s="998"/>
      <c r="E21" s="999" t="s">
        <v>1891</v>
      </c>
    </row>
    <row r="22" spans="3:5" ht="43" customHeight="1" x14ac:dyDescent="0.35">
      <c r="C22" s="997">
        <f>IF(AND(ISBLANK(D22),ISBLANK(E22)=FALSE),MAX(C$7:C21)+1,"")</f>
        <v>12</v>
      </c>
      <c r="D22" s="998"/>
      <c r="E22" s="999" t="s">
        <v>753</v>
      </c>
    </row>
    <row r="23" spans="3:5" ht="43" customHeight="1" x14ac:dyDescent="0.35">
      <c r="C23" s="997">
        <f>IF(AND(ISBLANK(D23),ISBLANK(E23)=FALSE),MAX(C$7:C22)+1,"")</f>
        <v>13</v>
      </c>
      <c r="D23" s="998"/>
      <c r="E23" s="999" t="s">
        <v>754</v>
      </c>
    </row>
    <row r="24" spans="3:5" ht="43" customHeight="1" x14ac:dyDescent="0.35">
      <c r="C24" s="997">
        <f>IF(AND(ISBLANK(D24),ISBLANK(E24)=FALSE),MAX(C$7:C23)+1,"")</f>
        <v>14</v>
      </c>
      <c r="D24" s="998"/>
      <c r="E24" s="999" t="s">
        <v>755</v>
      </c>
    </row>
    <row r="25" spans="3:5" ht="42.75" customHeight="1" x14ac:dyDescent="0.35">
      <c r="C25" s="997">
        <f>IF(AND(ISBLANK(D25),ISBLANK(E25)=FALSE),MAX(C$7:C24)+1,"")</f>
        <v>15</v>
      </c>
      <c r="D25" s="998"/>
      <c r="E25" s="999" t="s">
        <v>1892</v>
      </c>
    </row>
    <row r="26" spans="3:5" ht="18" x14ac:dyDescent="0.4">
      <c r="C26" s="997" t="str">
        <f>IF(AND(ISBLANK(D26),ISBLANK(E26)=FALSE),MAX(C$7:C25)+1,"")</f>
        <v/>
      </c>
      <c r="D26" s="996" t="s">
        <v>757</v>
      </c>
    </row>
    <row r="27" spans="3:5" ht="21.65" customHeight="1" x14ac:dyDescent="0.35">
      <c r="C27" s="997">
        <f>IF(AND(ISBLANK(D27),ISBLANK(E27)=FALSE),MAX(C$7:C26)+1,"")</f>
        <v>16</v>
      </c>
      <c r="D27" s="998"/>
      <c r="E27" s="999" t="s">
        <v>758</v>
      </c>
    </row>
    <row r="28" spans="3:5" ht="21.65" customHeight="1" x14ac:dyDescent="0.35">
      <c r="C28" s="997">
        <f>IF(AND(ISBLANK(D28),ISBLANK(E28)=FALSE),MAX(C$7:C27)+1,"")</f>
        <v>17</v>
      </c>
      <c r="D28" s="998"/>
      <c r="E28" s="999" t="s">
        <v>1893</v>
      </c>
    </row>
    <row r="29" spans="3:5" ht="43" customHeight="1" x14ac:dyDescent="0.35">
      <c r="C29" s="997">
        <f>IF(AND(ISBLANK(D29),ISBLANK(E29)=FALSE),MAX(C$7:C28)+1,"")</f>
        <v>18</v>
      </c>
      <c r="D29" s="998"/>
      <c r="E29" s="999" t="s">
        <v>1894</v>
      </c>
    </row>
    <row r="30" spans="3:5" ht="52.5" x14ac:dyDescent="0.35">
      <c r="C30" s="997">
        <f>IF(AND(ISBLANK(D30),ISBLANK(E30)=FALSE),MAX(C$7:C29)+1,"")</f>
        <v>19</v>
      </c>
      <c r="D30" s="998"/>
      <c r="E30" s="999" t="s">
        <v>1895</v>
      </c>
    </row>
    <row r="31" spans="3:5" ht="60.75" customHeight="1" x14ac:dyDescent="0.35">
      <c r="C31" s="997">
        <f>IF(AND(ISBLANK(D31),ISBLANK(E31)=FALSE),MAX(C$7:C30)+1,"")</f>
        <v>20</v>
      </c>
      <c r="D31" s="998"/>
      <c r="E31" s="999" t="s">
        <v>762</v>
      </c>
    </row>
    <row r="32" spans="3:5" ht="59.25" customHeight="1" x14ac:dyDescent="0.35">
      <c r="C32" s="997">
        <f>IF(AND(ISBLANK(D32),ISBLANK(E32)=FALSE),MAX(C$7:C31)+1,"")</f>
        <v>21</v>
      </c>
      <c r="D32" s="998"/>
      <c r="E32" s="1002" t="s">
        <v>763</v>
      </c>
    </row>
    <row r="33" spans="3:5" ht="18" x14ac:dyDescent="0.4">
      <c r="C33" s="997" t="str">
        <f>IF(AND(ISBLANK(D33),ISBLANK(E33)=FALSE),MAX(C$7:C32)+1,"")</f>
        <v/>
      </c>
      <c r="D33" s="996" t="s">
        <v>765</v>
      </c>
    </row>
    <row r="34" spans="3:5" ht="46.5" customHeight="1" x14ac:dyDescent="0.35">
      <c r="C34" s="997">
        <f>IF(AND(ISBLANK(D34),ISBLANK(E34)=FALSE),MAX(C$7:C33)+1,"")</f>
        <v>22</v>
      </c>
      <c r="D34" s="998"/>
      <c r="E34" s="999" t="s">
        <v>767</v>
      </c>
    </row>
    <row r="35" spans="3:5" x14ac:dyDescent="0.35">
      <c r="C35" s="997">
        <f>IF(AND(ISBLANK(D35),ISBLANK(E35)=FALSE),MAX(C$7:C34)+1,"")</f>
        <v>23</v>
      </c>
      <c r="D35" s="998"/>
      <c r="E35" s="999" t="s">
        <v>1896</v>
      </c>
    </row>
    <row r="36" spans="3:5" ht="35.25" customHeight="1" x14ac:dyDescent="0.35">
      <c r="C36" s="997">
        <f>IF(AND(ISBLANK(D36),ISBLANK(E36)=FALSE),MAX(C$7:C35)+1,"")</f>
        <v>24</v>
      </c>
      <c r="D36" s="998"/>
      <c r="E36" s="999" t="s">
        <v>769</v>
      </c>
    </row>
    <row r="37" spans="3:5" s="1068" customFormat="1" ht="21.65" customHeight="1" x14ac:dyDescent="0.4">
      <c r="C37" s="1048" t="str">
        <f>IF(AND(ISBLANK(D37),ISBLANK(E37)=FALSE),MAX(C$6:C36)+1,"")</f>
        <v/>
      </c>
      <c r="D37" s="1047" t="s">
        <v>1399</v>
      </c>
      <c r="E37" s="1045"/>
    </row>
    <row r="38" spans="3:5" s="1068" customFormat="1" ht="60.75" customHeight="1" x14ac:dyDescent="0.35">
      <c r="C38" s="1048">
        <f>IF(AND(ISBLANK(D38),ISBLANK(E38)=FALSE),MAX(C$6:C37)+1,"")</f>
        <v>25</v>
      </c>
      <c r="D38" s="1045"/>
      <c r="E38" s="1050" t="s">
        <v>1400</v>
      </c>
    </row>
    <row r="39" spans="3:5" s="1068" customFormat="1" ht="21.65" customHeight="1" x14ac:dyDescent="0.35">
      <c r="C39" s="1048">
        <f>IF(AND(ISBLANK(D39),ISBLANK(E39)=FALSE),MAX(C$6:C38)+1,"")</f>
        <v>26</v>
      </c>
      <c r="D39" s="1045"/>
      <c r="E39" s="1050" t="s">
        <v>1401</v>
      </c>
    </row>
    <row r="40" spans="3:5" ht="18" customHeight="1" x14ac:dyDescent="0.35">
      <c r="C40" s="997" t="str">
        <f>IF(AND(ISBLANK(D40),ISBLANK(E40)=FALSE),MAX(C$7:C36)+1,"")</f>
        <v/>
      </c>
      <c r="D40" s="1106"/>
      <c r="E40" s="1106"/>
    </row>
    <row r="41" spans="3:5" ht="18" x14ac:dyDescent="0.4">
      <c r="D41" s="996" t="s">
        <v>807</v>
      </c>
      <c r="E41" s="996"/>
    </row>
    <row r="42" spans="3:5" ht="18" x14ac:dyDescent="0.4">
      <c r="D42" s="996"/>
      <c r="E42" s="996"/>
    </row>
    <row r="43" spans="3:5" ht="18" x14ac:dyDescent="0.4">
      <c r="D43" s="996"/>
      <c r="E43" s="579" t="s">
        <v>1897</v>
      </c>
    </row>
    <row r="44" spans="3:5" x14ac:dyDescent="0.35">
      <c r="D44" s="1007" t="s">
        <v>809</v>
      </c>
      <c r="E44" s="579" t="s">
        <v>1898</v>
      </c>
    </row>
    <row r="45" spans="3:5" x14ac:dyDescent="0.35">
      <c r="D45" s="1007"/>
    </row>
    <row r="46" spans="3:5" x14ac:dyDescent="0.35">
      <c r="D46" s="579" t="s">
        <v>848</v>
      </c>
    </row>
    <row r="47" spans="3:5" x14ac:dyDescent="0.35">
      <c r="D47" s="1007" t="s">
        <v>809</v>
      </c>
      <c r="E47" s="579" t="s">
        <v>849</v>
      </c>
    </row>
    <row r="48" spans="3:5" x14ac:dyDescent="0.35">
      <c r="C48" s="997" t="str">
        <f>IF(AND(ISBLANK(D48),ISBLANK(E48)=FALSE),MAX(C$7:C47)+1,"")</f>
        <v/>
      </c>
      <c r="D48" s="1106"/>
      <c r="E48" s="1106"/>
    </row>
    <row r="50" spans="4:5" ht="18" x14ac:dyDescent="0.4">
      <c r="D50" s="996" t="s">
        <v>1899</v>
      </c>
      <c r="E50" s="996"/>
    </row>
    <row r="51" spans="4:5" ht="18" x14ac:dyDescent="0.4">
      <c r="D51" s="996"/>
      <c r="E51" s="996"/>
    </row>
    <row r="52" spans="4:5" ht="18" x14ac:dyDescent="0.4">
      <c r="D52" s="996"/>
      <c r="E52" s="579" t="s">
        <v>808</v>
      </c>
    </row>
    <row r="53" spans="4:5" x14ac:dyDescent="0.35">
      <c r="D53" s="1004" t="s">
        <v>809</v>
      </c>
      <c r="E53" s="999" t="s">
        <v>810</v>
      </c>
    </row>
    <row r="54" spans="4:5" ht="18" x14ac:dyDescent="0.4">
      <c r="D54" s="996"/>
      <c r="E54" s="996"/>
    </row>
    <row r="55" spans="4:5" ht="18" x14ac:dyDescent="0.4">
      <c r="D55" s="579" t="s">
        <v>811</v>
      </c>
      <c r="E55" s="996"/>
    </row>
    <row r="56" spans="4:5" x14ac:dyDescent="0.35">
      <c r="D56" s="1004" t="s">
        <v>809</v>
      </c>
      <c r="E56" s="999" t="s">
        <v>812</v>
      </c>
    </row>
    <row r="57" spans="4:5" ht="18" x14ac:dyDescent="0.4">
      <c r="D57" s="996"/>
      <c r="E57" s="996"/>
    </row>
    <row r="58" spans="4:5" ht="18" x14ac:dyDescent="0.4">
      <c r="D58" s="579" t="s">
        <v>813</v>
      </c>
      <c r="E58" s="996"/>
    </row>
    <row r="59" spans="4:5" x14ac:dyDescent="0.35">
      <c r="D59" s="1004" t="s">
        <v>809</v>
      </c>
      <c r="E59" s="999" t="s">
        <v>814</v>
      </c>
    </row>
    <row r="60" spans="4:5" ht="18" x14ac:dyDescent="0.4">
      <c r="D60" s="996"/>
      <c r="E60" s="996"/>
    </row>
    <row r="61" spans="4:5" ht="18" x14ac:dyDescent="0.4">
      <c r="D61" s="579" t="s">
        <v>815</v>
      </c>
      <c r="E61" s="996"/>
    </row>
    <row r="62" spans="4:5" x14ac:dyDescent="0.35">
      <c r="D62" s="1004" t="s">
        <v>809</v>
      </c>
      <c r="E62" s="999" t="s">
        <v>816</v>
      </c>
    </row>
    <row r="63" spans="4:5" x14ac:dyDescent="0.35">
      <c r="D63" s="1004" t="s">
        <v>809</v>
      </c>
      <c r="E63" s="1005" t="s">
        <v>817</v>
      </c>
    </row>
    <row r="64" spans="4:5" x14ac:dyDescent="0.35">
      <c r="D64" s="1004"/>
      <c r="E64" s="1005"/>
    </row>
    <row r="65" spans="3:5" ht="18" x14ac:dyDescent="0.4">
      <c r="D65" s="579" t="s">
        <v>818</v>
      </c>
      <c r="E65" s="996"/>
    </row>
    <row r="66" spans="3:5" x14ac:dyDescent="0.35">
      <c r="D66" s="1004" t="s">
        <v>809</v>
      </c>
      <c r="E66" s="999" t="s">
        <v>819</v>
      </c>
    </row>
    <row r="67" spans="3:5" ht="35" x14ac:dyDescent="0.35">
      <c r="D67" s="1004" t="s">
        <v>809</v>
      </c>
      <c r="E67" s="1005" t="s">
        <v>820</v>
      </c>
    </row>
    <row r="68" spans="3:5" ht="18" x14ac:dyDescent="0.35">
      <c r="D68" s="1006"/>
      <c r="E68" s="1005"/>
    </row>
    <row r="69" spans="3:5" ht="18" x14ac:dyDescent="0.4">
      <c r="D69" s="579" t="s">
        <v>821</v>
      </c>
      <c r="E69" s="996"/>
    </row>
    <row r="70" spans="3:5" ht="35" x14ac:dyDescent="0.35">
      <c r="D70" s="1004" t="s">
        <v>809</v>
      </c>
      <c r="E70" s="1005" t="s">
        <v>822</v>
      </c>
    </row>
    <row r="71" spans="3:5" ht="18" x14ac:dyDescent="0.4">
      <c r="D71" s="996"/>
      <c r="E71" s="996"/>
    </row>
    <row r="72" spans="3:5" ht="18" x14ac:dyDescent="0.4">
      <c r="D72" s="579" t="s">
        <v>823</v>
      </c>
      <c r="E72" s="996"/>
    </row>
    <row r="73" spans="3:5" x14ac:dyDescent="0.35">
      <c r="C73" s="1001"/>
      <c r="D73" s="1004" t="s">
        <v>809</v>
      </c>
      <c r="E73" s="1005" t="s">
        <v>824</v>
      </c>
    </row>
    <row r="74" spans="3:5" x14ac:dyDescent="0.35">
      <c r="D74" s="1007" t="s">
        <v>809</v>
      </c>
      <c r="E74" s="579" t="s">
        <v>825</v>
      </c>
    </row>
    <row r="75" spans="3:5" x14ac:dyDescent="0.35">
      <c r="D75" s="1007" t="s">
        <v>809</v>
      </c>
      <c r="E75" s="579" t="s">
        <v>826</v>
      </c>
    </row>
    <row r="76" spans="3:5" ht="18" x14ac:dyDescent="0.4">
      <c r="D76" s="996"/>
      <c r="E76" s="996"/>
    </row>
    <row r="77" spans="3:5" ht="18" x14ac:dyDescent="0.4">
      <c r="D77" s="579" t="s">
        <v>827</v>
      </c>
      <c r="E77" s="996"/>
    </row>
    <row r="78" spans="3:5" x14ac:dyDescent="0.35">
      <c r="D78" s="1007" t="s">
        <v>809</v>
      </c>
      <c r="E78" s="579" t="s">
        <v>828</v>
      </c>
    </row>
    <row r="79" spans="3:5" ht="18" x14ac:dyDescent="0.4">
      <c r="D79" s="996"/>
      <c r="E79" s="996"/>
    </row>
    <row r="80" spans="3:5" ht="18" x14ac:dyDescent="0.4">
      <c r="D80" s="579" t="s">
        <v>829</v>
      </c>
      <c r="E80" s="996"/>
    </row>
    <row r="81" spans="3:5" x14ac:dyDescent="0.35">
      <c r="D81" s="1007" t="s">
        <v>809</v>
      </c>
      <c r="E81" s="579" t="s">
        <v>830</v>
      </c>
    </row>
    <row r="82" spans="3:5" x14ac:dyDescent="0.35">
      <c r="D82" s="1007"/>
      <c r="E82" s="1008" t="s">
        <v>831</v>
      </c>
    </row>
    <row r="83" spans="3:5" x14ac:dyDescent="0.35">
      <c r="D83" s="1007"/>
    </row>
    <row r="84" spans="3:5" ht="18" x14ac:dyDescent="0.4">
      <c r="D84" s="579" t="s">
        <v>832</v>
      </c>
      <c r="E84" s="996"/>
    </row>
    <row r="85" spans="3:5" x14ac:dyDescent="0.35">
      <c r="D85" s="1007" t="s">
        <v>809</v>
      </c>
      <c r="E85" s="579" t="s">
        <v>833</v>
      </c>
    </row>
    <row r="86" spans="3:5" ht="18" x14ac:dyDescent="0.4">
      <c r="D86" s="996"/>
      <c r="E86" s="996"/>
    </row>
    <row r="87" spans="3:5" ht="18" x14ac:dyDescent="0.4">
      <c r="D87" s="579" t="s">
        <v>834</v>
      </c>
      <c r="E87" s="996"/>
    </row>
    <row r="88" spans="3:5" x14ac:dyDescent="0.35">
      <c r="D88" s="1007" t="s">
        <v>809</v>
      </c>
      <c r="E88" s="579" t="s">
        <v>835</v>
      </c>
    </row>
    <row r="89" spans="3:5" ht="18" x14ac:dyDescent="0.4">
      <c r="C89" s="996"/>
      <c r="D89" s="1007" t="s">
        <v>809</v>
      </c>
      <c r="E89" s="579" t="s">
        <v>836</v>
      </c>
    </row>
    <row r="90" spans="3:5" ht="18" x14ac:dyDescent="0.4">
      <c r="D90" s="996"/>
      <c r="E90" s="996"/>
    </row>
    <row r="91" spans="3:5" ht="18" x14ac:dyDescent="0.4">
      <c r="D91" s="579" t="s">
        <v>837</v>
      </c>
      <c r="E91" s="996"/>
    </row>
    <row r="92" spans="3:5" x14ac:dyDescent="0.35">
      <c r="D92" s="1007" t="s">
        <v>809</v>
      </c>
      <c r="E92" s="579" t="s">
        <v>838</v>
      </c>
    </row>
    <row r="93" spans="3:5" x14ac:dyDescent="0.35">
      <c r="D93" s="1007" t="s">
        <v>809</v>
      </c>
      <c r="E93" s="579" t="s">
        <v>839</v>
      </c>
    </row>
    <row r="94" spans="3:5" x14ac:dyDescent="0.35">
      <c r="D94" s="1007" t="s">
        <v>809</v>
      </c>
      <c r="E94" s="579" t="s">
        <v>840</v>
      </c>
    </row>
    <row r="95" spans="3:5" x14ac:dyDescent="0.35">
      <c r="D95" s="1007" t="s">
        <v>809</v>
      </c>
      <c r="E95" s="579" t="s">
        <v>841</v>
      </c>
    </row>
    <row r="96" spans="3:5" x14ac:dyDescent="0.35">
      <c r="D96" s="1007" t="s">
        <v>809</v>
      </c>
      <c r="E96" s="579" t="s">
        <v>842</v>
      </c>
    </row>
    <row r="97" spans="3:5" x14ac:dyDescent="0.35">
      <c r="D97" s="1007" t="s">
        <v>809</v>
      </c>
      <c r="E97" s="579" t="s">
        <v>843</v>
      </c>
    </row>
    <row r="98" spans="3:5" x14ac:dyDescent="0.35">
      <c r="D98" s="1007"/>
    </row>
    <row r="99" spans="3:5" ht="18" x14ac:dyDescent="0.4">
      <c r="D99" s="579" t="s">
        <v>844</v>
      </c>
      <c r="E99" s="996"/>
    </row>
    <row r="100" spans="3:5" x14ac:dyDescent="0.35">
      <c r="D100" s="1007" t="s">
        <v>809</v>
      </c>
      <c r="E100" s="579" t="s">
        <v>845</v>
      </c>
    </row>
    <row r="101" spans="3:5" x14ac:dyDescent="0.35">
      <c r="D101" s="1007" t="s">
        <v>809</v>
      </c>
      <c r="E101" s="579" t="s">
        <v>846</v>
      </c>
    </row>
    <row r="102" spans="3:5" x14ac:dyDescent="0.35">
      <c r="D102" s="1007" t="s">
        <v>809</v>
      </c>
      <c r="E102" s="579" t="s">
        <v>847</v>
      </c>
    </row>
    <row r="104" spans="3:5" x14ac:dyDescent="0.35">
      <c r="D104" s="579" t="s">
        <v>848</v>
      </c>
    </row>
    <row r="105" spans="3:5" x14ac:dyDescent="0.35">
      <c r="D105" s="1007" t="s">
        <v>809</v>
      </c>
      <c r="E105" s="579" t="s">
        <v>849</v>
      </c>
    </row>
    <row r="106" spans="3:5" x14ac:dyDescent="0.35">
      <c r="C106" s="997" t="str">
        <f>IF(AND(ISBLANK(D106),ISBLANK(E106)=FALSE),MAX(C$7:C105)+1,"")</f>
        <v/>
      </c>
      <c r="D106" s="1106"/>
      <c r="E106" s="1106"/>
    </row>
    <row r="108" spans="3:5" ht="18" x14ac:dyDescent="0.4">
      <c r="C108" s="1045"/>
      <c r="D108" s="1047" t="s">
        <v>1900</v>
      </c>
      <c r="E108" s="1047"/>
    </row>
    <row r="109" spans="3:5" ht="18" x14ac:dyDescent="0.4">
      <c r="C109" s="1045"/>
      <c r="D109" s="1047"/>
      <c r="E109" s="1047"/>
    </row>
    <row r="110" spans="3:5" ht="18" x14ac:dyDescent="0.4">
      <c r="C110" s="1045"/>
      <c r="D110" s="1047"/>
      <c r="E110" s="1047" t="s">
        <v>1402</v>
      </c>
    </row>
    <row r="111" spans="3:5" x14ac:dyDescent="0.35">
      <c r="C111" s="1057" t="s">
        <v>1403</v>
      </c>
      <c r="D111" s="1058"/>
      <c r="E111" s="1052" t="s">
        <v>1404</v>
      </c>
    </row>
    <row r="112" spans="3:5" ht="18" x14ac:dyDescent="0.4">
      <c r="C112" s="1045"/>
      <c r="D112" s="1058"/>
      <c r="E112" s="1059" t="s">
        <v>1405</v>
      </c>
    </row>
    <row r="113" spans="3:5" ht="35" x14ac:dyDescent="0.35">
      <c r="C113" s="1057" t="s">
        <v>1403</v>
      </c>
      <c r="D113" s="1058"/>
      <c r="E113" s="1060" t="s">
        <v>1406</v>
      </c>
    </row>
    <row r="114" spans="3:5" ht="18" x14ac:dyDescent="0.4">
      <c r="C114" s="1045"/>
      <c r="D114" s="1058"/>
      <c r="E114" s="1059" t="s">
        <v>1407</v>
      </c>
    </row>
    <row r="115" spans="3:5" ht="35" x14ac:dyDescent="0.35">
      <c r="C115" s="1057" t="s">
        <v>1403</v>
      </c>
      <c r="D115" s="1058"/>
      <c r="E115" s="1060" t="s">
        <v>1408</v>
      </c>
    </row>
    <row r="116" spans="3:5" x14ac:dyDescent="0.35">
      <c r="C116" s="997" t="str">
        <f>IF(AND(ISBLANK(D116),ISBLANK(E116)=FALSE),MAX(C$7:C115)+1,"")</f>
        <v/>
      </c>
      <c r="D116" s="1106"/>
      <c r="E116" s="1106"/>
    </row>
    <row r="118" spans="3:5" ht="18" x14ac:dyDescent="0.4">
      <c r="C118" s="1016"/>
      <c r="D118" s="1018" t="s">
        <v>1901</v>
      </c>
      <c r="E118" s="1018"/>
    </row>
    <row r="119" spans="3:5" ht="18" x14ac:dyDescent="0.4">
      <c r="C119" s="1016"/>
      <c r="D119" s="1018"/>
      <c r="E119" s="1018"/>
    </row>
    <row r="120" spans="3:5" ht="18" x14ac:dyDescent="0.4">
      <c r="C120" s="1016"/>
      <c r="D120" s="1027" t="s">
        <v>1666</v>
      </c>
      <c r="E120" s="1018"/>
    </row>
    <row r="121" spans="3:5" x14ac:dyDescent="0.35">
      <c r="C121" s="1016"/>
      <c r="D121" s="1028" t="s">
        <v>809</v>
      </c>
      <c r="E121" s="1017" t="s">
        <v>1667</v>
      </c>
    </row>
    <row r="122" spans="3:5" ht="18" x14ac:dyDescent="0.4">
      <c r="C122" s="1016"/>
      <c r="D122" s="1029"/>
      <c r="E122" s="1018"/>
    </row>
    <row r="123" spans="3:5" ht="18" x14ac:dyDescent="0.4">
      <c r="C123" s="1017"/>
      <c r="D123" s="1030" t="s">
        <v>1668</v>
      </c>
      <c r="E123" s="1018"/>
    </row>
    <row r="124" spans="3:5" x14ac:dyDescent="0.35">
      <c r="C124" s="1017"/>
      <c r="D124" s="1028" t="s">
        <v>809</v>
      </c>
      <c r="E124" s="1017" t="s">
        <v>1669</v>
      </c>
    </row>
    <row r="125" spans="3:5" ht="35" x14ac:dyDescent="0.35">
      <c r="C125" s="1017"/>
      <c r="D125" s="1028" t="s">
        <v>809</v>
      </c>
      <c r="E125" s="1031" t="s">
        <v>1670</v>
      </c>
    </row>
    <row r="126" spans="3:5" x14ac:dyDescent="0.35">
      <c r="C126" s="1017"/>
      <c r="D126" s="1028" t="s">
        <v>809</v>
      </c>
      <c r="E126" s="1032" t="s">
        <v>1671</v>
      </c>
    </row>
    <row r="127" spans="3:5" x14ac:dyDescent="0.35">
      <c r="C127" s="1017"/>
      <c r="D127" s="1028" t="s">
        <v>809</v>
      </c>
      <c r="E127" s="1032" t="s">
        <v>1667</v>
      </c>
    </row>
    <row r="128" spans="3:5" x14ac:dyDescent="0.35">
      <c r="C128" s="1017"/>
      <c r="D128" s="1028" t="s">
        <v>809</v>
      </c>
      <c r="E128" s="1017" t="s">
        <v>1672</v>
      </c>
    </row>
    <row r="129" spans="3:5" x14ac:dyDescent="0.35">
      <c r="C129" s="1017"/>
      <c r="D129" s="1028" t="s">
        <v>809</v>
      </c>
      <c r="E129" s="1017" t="s">
        <v>1673</v>
      </c>
    </row>
    <row r="130" spans="3:5" x14ac:dyDescent="0.35">
      <c r="C130" s="1017"/>
      <c r="D130" s="1016"/>
      <c r="E130" s="1017"/>
    </row>
    <row r="131" spans="3:5" ht="18" x14ac:dyDescent="0.4">
      <c r="C131" s="1017"/>
      <c r="D131" s="1033" t="s">
        <v>1674</v>
      </c>
      <c r="E131" s="1018"/>
    </row>
    <row r="132" spans="3:5" x14ac:dyDescent="0.35">
      <c r="C132" s="1017"/>
      <c r="D132" s="1034" t="s">
        <v>809</v>
      </c>
      <c r="E132" s="1035" t="s">
        <v>1675</v>
      </c>
    </row>
    <row r="133" spans="3:5" x14ac:dyDescent="0.35">
      <c r="C133" s="1017"/>
      <c r="D133" s="1034" t="s">
        <v>809</v>
      </c>
      <c r="E133" s="1035" t="s">
        <v>1676</v>
      </c>
    </row>
    <row r="134" spans="3:5" x14ac:dyDescent="0.35">
      <c r="C134" s="1017"/>
      <c r="D134" s="1034" t="s">
        <v>809</v>
      </c>
      <c r="E134" s="1035" t="s">
        <v>1677</v>
      </c>
    </row>
    <row r="135" spans="3:5" x14ac:dyDescent="0.35">
      <c r="C135" s="1017"/>
      <c r="D135" s="1034" t="s">
        <v>809</v>
      </c>
      <c r="E135" s="1036" t="s">
        <v>1678</v>
      </c>
    </row>
    <row r="136" spans="3:5" ht="18" x14ac:dyDescent="0.4">
      <c r="C136" s="1017"/>
      <c r="D136" s="1029"/>
      <c r="E136" s="1018"/>
    </row>
    <row r="137" spans="3:5" x14ac:dyDescent="0.35">
      <c r="C137" s="1017"/>
      <c r="D137" s="1033" t="s">
        <v>1679</v>
      </c>
      <c r="E137" s="1037"/>
    </row>
    <row r="138" spans="3:5" ht="35" x14ac:dyDescent="0.35">
      <c r="C138" s="1017"/>
      <c r="D138" s="1034" t="s">
        <v>809</v>
      </c>
      <c r="E138" s="1035" t="s">
        <v>1680</v>
      </c>
    </row>
    <row r="139" spans="3:5" x14ac:dyDescent="0.35">
      <c r="C139" s="1017"/>
      <c r="D139" s="1034" t="s">
        <v>809</v>
      </c>
      <c r="E139" s="1035" t="s">
        <v>1681</v>
      </c>
    </row>
    <row r="140" spans="3:5" x14ac:dyDescent="0.35">
      <c r="C140" s="1017"/>
      <c r="D140" s="1034" t="s">
        <v>809</v>
      </c>
      <c r="E140" s="1036" t="s">
        <v>1682</v>
      </c>
    </row>
    <row r="141" spans="3:5" x14ac:dyDescent="0.35">
      <c r="C141" s="1017"/>
      <c r="D141" s="1034" t="s">
        <v>809</v>
      </c>
      <c r="E141" s="1035" t="s">
        <v>1683</v>
      </c>
    </row>
    <row r="142" spans="3:5" x14ac:dyDescent="0.35">
      <c r="C142" s="1017"/>
      <c r="D142" s="1034" t="s">
        <v>809</v>
      </c>
      <c r="E142" s="1036" t="s">
        <v>1684</v>
      </c>
    </row>
    <row r="143" spans="3:5" x14ac:dyDescent="0.35">
      <c r="C143" s="1017"/>
      <c r="D143" s="1034" t="s">
        <v>809</v>
      </c>
      <c r="E143" s="1036" t="s">
        <v>1685</v>
      </c>
    </row>
    <row r="144" spans="3:5" x14ac:dyDescent="0.35">
      <c r="C144" s="1017"/>
      <c r="D144" s="1034" t="s">
        <v>809</v>
      </c>
      <c r="E144" s="1036" t="s">
        <v>1678</v>
      </c>
    </row>
    <row r="145" spans="3:5" ht="18" x14ac:dyDescent="0.4">
      <c r="C145" s="1017"/>
      <c r="D145" s="1029"/>
      <c r="E145" s="1018"/>
    </row>
    <row r="146" spans="3:5" ht="18" x14ac:dyDescent="0.4">
      <c r="C146" s="1017"/>
      <c r="D146" s="1038" t="s">
        <v>1686</v>
      </c>
      <c r="E146" s="1018"/>
    </row>
    <row r="147" spans="3:5" x14ac:dyDescent="0.35">
      <c r="C147" s="1017"/>
      <c r="D147" s="1039" t="s">
        <v>809</v>
      </c>
      <c r="E147" s="1032" t="s">
        <v>1687</v>
      </c>
    </row>
    <row r="148" spans="3:5" x14ac:dyDescent="0.35">
      <c r="C148" s="1017"/>
      <c r="D148" s="1039" t="s">
        <v>809</v>
      </c>
      <c r="E148" s="1032" t="s">
        <v>1688</v>
      </c>
    </row>
    <row r="149" spans="3:5" x14ac:dyDescent="0.35">
      <c r="C149" s="1017"/>
      <c r="D149" s="1039" t="s">
        <v>809</v>
      </c>
      <c r="E149" s="1032" t="s">
        <v>1689</v>
      </c>
    </row>
    <row r="150" spans="3:5" ht="18" x14ac:dyDescent="0.4">
      <c r="C150" s="1017"/>
      <c r="D150" s="1029"/>
      <c r="E150" s="1018"/>
    </row>
    <row r="151" spans="3:5" ht="18" x14ac:dyDescent="0.4">
      <c r="C151" s="1017"/>
      <c r="D151" s="1038" t="s">
        <v>1690</v>
      </c>
      <c r="E151" s="1018"/>
    </row>
    <row r="152" spans="3:5" x14ac:dyDescent="0.35">
      <c r="C152" s="1017"/>
      <c r="D152" s="1039" t="s">
        <v>809</v>
      </c>
      <c r="E152" s="1017" t="s">
        <v>1691</v>
      </c>
    </row>
    <row r="153" spans="3:5" x14ac:dyDescent="0.35">
      <c r="C153" s="1017"/>
      <c r="D153" s="1039" t="s">
        <v>809</v>
      </c>
      <c r="E153" s="1032" t="s">
        <v>1692</v>
      </c>
    </row>
    <row r="154" spans="3:5" x14ac:dyDescent="0.35">
      <c r="C154" s="1017"/>
      <c r="D154" s="1039" t="s">
        <v>809</v>
      </c>
      <c r="E154" s="1032" t="s">
        <v>1693</v>
      </c>
    </row>
    <row r="155" spans="3:5" ht="18" x14ac:dyDescent="0.4">
      <c r="C155" s="1017"/>
      <c r="D155" s="1039"/>
      <c r="E155" s="1018"/>
    </row>
    <row r="156" spans="3:5" x14ac:dyDescent="0.35">
      <c r="C156" s="1017"/>
      <c r="D156" s="1016" t="s">
        <v>848</v>
      </c>
      <c r="E156" s="1017"/>
    </row>
    <row r="157" spans="3:5" x14ac:dyDescent="0.35">
      <c r="C157" s="1017"/>
      <c r="D157" s="1039" t="s">
        <v>809</v>
      </c>
      <c r="E157" s="1017" t="s">
        <v>849</v>
      </c>
    </row>
    <row r="158" spans="3:5" x14ac:dyDescent="0.35">
      <c r="C158" s="997" t="str">
        <f>IF(AND(ISBLANK(D158),ISBLANK(E158)=FALSE),MAX(C$7:C157)+1,"")</f>
        <v/>
      </c>
      <c r="D158" s="1106"/>
      <c r="E158" s="1106"/>
    </row>
  </sheetData>
  <sheetProtection algorithmName="SHA-512" hashValue="FMFAkKlKdL8CMd2lG34JmpTD3QJAS+jj/G5onkgtCqm6hIgFs9omUUFipVO9vvm5Dcsx+O/lWdmG65uHFxlQmg==" saltValue="VBf+KRM6qBXQtdORKDGA/w==" spinCount="100000" sheet="1" selectLockedCells="1" autoFilter="0"/>
  <dataConsolidate/>
  <mergeCells count="1">
    <mergeCell ref="A2:E2"/>
  </mergeCells>
  <printOptions horizontalCentered="1"/>
  <pageMargins left="0.23622047244094491" right="0.23622047244094491" top="0.74803149606299213" bottom="0.74803149606299213" header="0.31496062992125984" footer="0.31496062992125984"/>
  <pageSetup paperSize="9" scale="67" fitToHeight="0" orientation="portrait" r:id="rId1"/>
  <headerFooter alignWithMargins="0">
    <oddHeader>&amp;L&amp;"Arial,Italic"ABCB Glazing Calculator • Help sheet&amp;R&amp;"Arial,Italic"printed &amp;D</oddHeader>
    <oddFooter>&amp;L&amp;"Inter,Italic"&amp;F&amp;R&amp;"Inter,Italic"page &amp;P of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3CD9B-136B-4A36-AC34-7CFB2109A22A}">
  <sheetPr codeName="Sheet56">
    <tabColor theme="2" tint="-9.9978637043366805E-2"/>
    <pageSetUpPr fitToPage="1"/>
  </sheetPr>
  <dimension ref="B1:B8"/>
  <sheetViews>
    <sheetView showRowColHeaders="0" zoomScale="70" zoomScaleNormal="70" workbookViewId="0">
      <selection activeCell="B9" sqref="B9"/>
    </sheetView>
  </sheetViews>
  <sheetFormatPr defaultColWidth="8" defaultRowHeight="12.5" x14ac:dyDescent="0.25"/>
  <cols>
    <col min="1" max="1" width="1.5" style="1067" customWidth="1"/>
    <col min="2" max="2" width="7.08203125" style="1067" customWidth="1"/>
    <col min="3" max="3" width="7.33203125" style="1067" customWidth="1"/>
    <col min="4" max="4" width="6.08203125" style="1067" customWidth="1"/>
    <col min="5" max="5" width="5.5" style="1067" customWidth="1"/>
    <col min="6" max="6" width="7.08203125" style="1067" bestFit="1" customWidth="1"/>
    <col min="7" max="16384" width="8" style="1067"/>
  </cols>
  <sheetData>
    <row r="1" spans="2:2" s="168" customFormat="1" ht="13" x14ac:dyDescent="0.3">
      <c r="B1" s="390" t="s">
        <v>1399</v>
      </c>
    </row>
    <row r="2" spans="2:2" s="168" customFormat="1" ht="13" x14ac:dyDescent="0.3">
      <c r="B2" s="1065" t="s">
        <v>1902</v>
      </c>
    </row>
    <row r="3" spans="2:2" s="168" customFormat="1" ht="13" x14ac:dyDescent="0.3">
      <c r="B3" s="1065" t="s">
        <v>1903</v>
      </c>
    </row>
    <row r="4" spans="2:2" s="168" customFormat="1" ht="13" x14ac:dyDescent="0.3">
      <c r="B4" s="1065" t="s">
        <v>1904</v>
      </c>
    </row>
    <row r="5" spans="2:2" s="168" customFormat="1" ht="13" x14ac:dyDescent="0.3">
      <c r="B5" s="1065" t="s">
        <v>1905</v>
      </c>
    </row>
    <row r="6" spans="2:2" s="168" customFormat="1" ht="13" x14ac:dyDescent="0.3">
      <c r="B6" s="1066" t="s">
        <v>1401</v>
      </c>
    </row>
    <row r="7" spans="2:2" s="168" customFormat="1" x14ac:dyDescent="0.25"/>
    <row r="8" spans="2:2" s="168" customFormat="1" x14ac:dyDescent="0.25"/>
  </sheetData>
  <sheetProtection algorithmName="SHA-512" hashValue="d3n8O2fGgb/rsQkxlQsjMZRKkqoJ5PDEZ1qeNQhZFBKQz8S2NnksMDvDO4J0roaNxoGqaq6hGVs+Wj4UKku0hw==" saltValue="1u4GyHybPPmeaAaaakd+eQ==" spinCount="100000" sheet="1" objects="1" scenarios="1" selectLockedCells="1" autoFilter="0"/>
  <pageMargins left="0.25" right="0.25" top="0.75" bottom="0.75" header="0.3" footer="0.3"/>
  <pageSetup paperSize="9" scale="38"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
    <tabColor theme="4"/>
  </sheetPr>
  <dimension ref="A1:W22"/>
  <sheetViews>
    <sheetView showGridLines="0" workbookViewId="0">
      <selection activeCell="I36" sqref="I36"/>
    </sheetView>
  </sheetViews>
  <sheetFormatPr defaultRowHeight="14" x14ac:dyDescent="0.3"/>
  <sheetData>
    <row r="1" spans="1:23" x14ac:dyDescent="0.3">
      <c r="A1" s="1"/>
      <c r="B1" s="1"/>
      <c r="C1" s="1"/>
      <c r="D1" s="1"/>
      <c r="E1" s="1"/>
      <c r="F1" s="1"/>
      <c r="G1" s="1"/>
      <c r="H1" s="1"/>
      <c r="I1" s="1"/>
      <c r="J1" s="1"/>
      <c r="K1" s="1"/>
      <c r="L1" s="1"/>
      <c r="M1" s="1"/>
      <c r="N1" s="1"/>
      <c r="O1" s="1"/>
      <c r="P1" s="1"/>
      <c r="Q1" s="1"/>
      <c r="R1" s="1"/>
      <c r="S1" s="1"/>
      <c r="T1" s="1"/>
      <c r="U1" s="1"/>
      <c r="V1" s="1"/>
      <c r="W1" s="1"/>
    </row>
    <row r="2" spans="1:23" x14ac:dyDescent="0.3">
      <c r="A2" s="1"/>
      <c r="B2" s="1"/>
      <c r="C2" s="1"/>
      <c r="D2" s="1"/>
      <c r="E2" s="1"/>
      <c r="F2" s="1"/>
      <c r="G2" s="1"/>
      <c r="H2" s="1"/>
      <c r="I2" s="1"/>
      <c r="J2" s="1"/>
      <c r="K2" s="1"/>
      <c r="L2" s="1"/>
      <c r="M2" s="1"/>
      <c r="N2" s="1"/>
      <c r="O2" s="1"/>
      <c r="P2" s="1"/>
      <c r="Q2" s="1"/>
      <c r="R2" s="1"/>
      <c r="S2" s="1"/>
      <c r="T2" s="1"/>
      <c r="U2" s="1"/>
      <c r="V2" s="1"/>
      <c r="W2" s="1"/>
    </row>
    <row r="3" spans="1:23" x14ac:dyDescent="0.3">
      <c r="A3" s="1"/>
      <c r="B3" s="1"/>
      <c r="C3" s="1"/>
      <c r="D3" s="1"/>
      <c r="E3" s="1"/>
      <c r="F3" s="1"/>
      <c r="G3" s="1"/>
      <c r="H3" s="1"/>
      <c r="I3" s="1"/>
      <c r="J3" s="1"/>
      <c r="K3" s="1"/>
      <c r="L3" s="1"/>
      <c r="M3" s="1"/>
      <c r="N3" s="1"/>
      <c r="O3" s="1"/>
      <c r="P3" s="1"/>
      <c r="Q3" s="1"/>
      <c r="R3" s="1"/>
      <c r="S3" s="1"/>
      <c r="T3" s="1"/>
      <c r="U3" s="1"/>
      <c r="V3" s="1"/>
      <c r="W3" s="1"/>
    </row>
    <row r="4" spans="1:23" x14ac:dyDescent="0.3">
      <c r="A4" s="1"/>
      <c r="B4" s="1"/>
      <c r="C4" s="1"/>
      <c r="D4" s="1"/>
      <c r="E4" s="1"/>
      <c r="F4" s="1"/>
      <c r="G4" s="1"/>
      <c r="H4" s="1"/>
      <c r="I4" s="1"/>
      <c r="J4" s="1"/>
      <c r="K4" s="1"/>
      <c r="L4" s="1"/>
      <c r="M4" s="1"/>
      <c r="N4" s="1"/>
      <c r="O4" s="1"/>
      <c r="P4" s="1"/>
      <c r="Q4" s="1"/>
      <c r="R4" s="1"/>
      <c r="S4" s="1"/>
      <c r="T4" s="1"/>
      <c r="U4" s="1"/>
      <c r="V4" s="1"/>
      <c r="W4" s="1"/>
    </row>
    <row r="5" spans="1:23" x14ac:dyDescent="0.3">
      <c r="A5" s="1"/>
      <c r="B5" s="1"/>
      <c r="C5" s="1"/>
      <c r="D5" s="1"/>
      <c r="E5" s="1"/>
      <c r="F5" s="1"/>
      <c r="G5" s="1"/>
      <c r="H5" s="1"/>
      <c r="I5" s="1"/>
      <c r="J5" s="1"/>
      <c r="K5" s="1"/>
      <c r="L5" s="1"/>
      <c r="M5" s="1"/>
      <c r="N5" s="1"/>
      <c r="O5" s="1"/>
      <c r="P5" s="1"/>
      <c r="Q5" s="1"/>
      <c r="R5" s="1"/>
      <c r="S5" s="1"/>
      <c r="T5" s="1"/>
      <c r="U5" s="1"/>
      <c r="V5" s="1"/>
      <c r="W5" s="1"/>
    </row>
    <row r="6" spans="1:23" x14ac:dyDescent="0.3">
      <c r="A6" s="1"/>
      <c r="B6" s="1"/>
      <c r="C6" s="1"/>
      <c r="D6" s="1"/>
      <c r="E6" s="1"/>
      <c r="F6" s="1"/>
      <c r="G6" s="1"/>
      <c r="H6" s="1"/>
      <c r="I6" s="1"/>
      <c r="J6" s="1"/>
      <c r="K6" s="1"/>
      <c r="L6" s="1"/>
      <c r="M6" s="1"/>
      <c r="N6" s="1"/>
      <c r="O6" s="1"/>
      <c r="P6" s="1"/>
      <c r="Q6" s="1"/>
      <c r="R6" s="1"/>
      <c r="S6" s="1"/>
      <c r="T6" s="1"/>
      <c r="U6" s="1"/>
      <c r="V6" s="1"/>
      <c r="W6" s="1"/>
    </row>
    <row r="9" spans="1:23" x14ac:dyDescent="0.3">
      <c r="B9" t="s">
        <v>1906</v>
      </c>
    </row>
    <row r="10" spans="1:23" x14ac:dyDescent="0.3">
      <c r="B10" t="s">
        <v>1907</v>
      </c>
    </row>
    <row r="11" spans="1:23" x14ac:dyDescent="0.3">
      <c r="B11" t="s">
        <v>1908</v>
      </c>
    </row>
    <row r="12" spans="1:23" x14ac:dyDescent="0.3">
      <c r="B12" t="s">
        <v>1909</v>
      </c>
    </row>
    <row r="13" spans="1:23" x14ac:dyDescent="0.3">
      <c r="B13" t="s">
        <v>1910</v>
      </c>
    </row>
    <row r="14" spans="1:23" x14ac:dyDescent="0.3">
      <c r="B14" t="s">
        <v>1911</v>
      </c>
    </row>
    <row r="15" spans="1:23" x14ac:dyDescent="0.3">
      <c r="B15" t="s">
        <v>1912</v>
      </c>
    </row>
    <row r="16" spans="1:23" x14ac:dyDescent="0.3">
      <c r="B16" t="s">
        <v>1913</v>
      </c>
    </row>
    <row r="17" spans="2:2" x14ac:dyDescent="0.3">
      <c r="B17" t="s">
        <v>1914</v>
      </c>
    </row>
    <row r="18" spans="2:2" x14ac:dyDescent="0.3">
      <c r="B18" t="s">
        <v>1915</v>
      </c>
    </row>
    <row r="19" spans="2:2" x14ac:dyDescent="0.3">
      <c r="B19" t="s">
        <v>1916</v>
      </c>
    </row>
    <row r="22" spans="2:2" x14ac:dyDescent="0.3">
      <c r="B22" t="s">
        <v>1917</v>
      </c>
    </row>
  </sheetData>
  <sheetProtection algorithmName="SHA-512" hashValue="ezdV3jWZJQuHrVnc2CiOQoCPUnteuaR+rzdpj5dGBUAuGgoMgVSV57HpDTxR67GjpZVHmICD06OMY8hZ/6D87w==" saltValue="IfRhVD1KSdjGQlLr1aFA/Q==" spinCount="100000" sheet="1" objects="1" scenarios="1" autoFilter="0"/>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tabColor theme="7"/>
  </sheetPr>
  <dimension ref="A1:W949"/>
  <sheetViews>
    <sheetView showGridLines="0" zoomScaleNormal="100" workbookViewId="0">
      <selection activeCell="F38" sqref="F38"/>
    </sheetView>
  </sheetViews>
  <sheetFormatPr defaultRowHeight="14" x14ac:dyDescent="0.3"/>
  <cols>
    <col min="1" max="1" width="4.58203125" customWidth="1"/>
    <col min="2" max="2" width="20.58203125" customWidth="1"/>
    <col min="3" max="3" width="40.08203125" customWidth="1"/>
    <col min="4" max="4" width="52.58203125" customWidth="1"/>
    <col min="5" max="5" width="25.5" customWidth="1"/>
    <col min="6" max="9" width="19.33203125" customWidth="1"/>
    <col min="10" max="12" width="16.08203125" customWidth="1"/>
  </cols>
  <sheetData>
    <row r="1" spans="1:23" x14ac:dyDescent="0.3">
      <c r="A1" s="1"/>
      <c r="B1" s="1"/>
      <c r="C1" s="1"/>
      <c r="D1" s="1"/>
      <c r="E1" s="1"/>
      <c r="F1" s="1"/>
      <c r="G1" s="1"/>
      <c r="H1" s="1"/>
      <c r="I1" s="1"/>
      <c r="J1" s="1"/>
      <c r="K1" s="1"/>
      <c r="L1" s="1"/>
      <c r="M1" s="1"/>
      <c r="N1" s="1"/>
      <c r="O1" s="1"/>
      <c r="P1" s="1"/>
      <c r="Q1" s="1"/>
      <c r="R1" s="1"/>
      <c r="S1" s="1"/>
      <c r="T1" s="1"/>
      <c r="U1" s="1"/>
      <c r="V1" s="1"/>
      <c r="W1" s="1"/>
    </row>
    <row r="2" spans="1:23" x14ac:dyDescent="0.3">
      <c r="A2" s="1"/>
      <c r="B2" s="1"/>
      <c r="C2" s="1"/>
      <c r="D2" s="1"/>
      <c r="E2" s="1"/>
      <c r="F2" s="1"/>
      <c r="G2" s="1"/>
      <c r="H2" s="1"/>
      <c r="I2" s="1"/>
      <c r="J2" s="1"/>
      <c r="K2" s="1"/>
      <c r="L2" s="1"/>
      <c r="M2" s="1"/>
      <c r="N2" s="1"/>
      <c r="O2" s="1"/>
      <c r="P2" s="1"/>
      <c r="Q2" s="1"/>
      <c r="R2" s="1"/>
      <c r="S2" s="1"/>
      <c r="T2" s="1"/>
      <c r="U2" s="1"/>
      <c r="V2" s="1"/>
      <c r="W2" s="1"/>
    </row>
    <row r="3" spans="1:23" x14ac:dyDescent="0.3">
      <c r="A3" s="1"/>
      <c r="B3" s="1"/>
      <c r="C3" s="1"/>
      <c r="D3" s="1"/>
      <c r="E3" s="1"/>
      <c r="F3" s="1"/>
      <c r="G3" s="1"/>
      <c r="H3" s="1"/>
      <c r="I3" s="1"/>
      <c r="J3" s="1"/>
      <c r="K3" s="1"/>
      <c r="L3" s="1"/>
      <c r="M3" s="1"/>
      <c r="N3" s="1"/>
      <c r="O3" s="1"/>
      <c r="P3" s="1"/>
      <c r="Q3" s="1"/>
      <c r="R3" s="1"/>
      <c r="S3" s="1"/>
      <c r="T3" s="1"/>
      <c r="U3" s="1"/>
      <c r="V3" s="1"/>
      <c r="W3" s="1"/>
    </row>
    <row r="4" spans="1:23" x14ac:dyDescent="0.3">
      <c r="A4" s="1"/>
      <c r="B4" s="1"/>
      <c r="C4" s="1"/>
      <c r="D4" s="1"/>
      <c r="E4" s="1"/>
      <c r="F4" s="1"/>
      <c r="G4" s="1"/>
      <c r="H4" s="1"/>
      <c r="I4" s="1"/>
      <c r="J4" s="1"/>
      <c r="K4" s="1"/>
      <c r="L4" s="1"/>
      <c r="M4" s="1"/>
      <c r="N4" s="1"/>
      <c r="O4" s="1"/>
      <c r="P4" s="1"/>
      <c r="Q4" s="1"/>
      <c r="R4" s="1"/>
      <c r="S4" s="1"/>
      <c r="T4" s="1"/>
      <c r="U4" s="1"/>
      <c r="V4" s="1"/>
      <c r="W4" s="1"/>
    </row>
    <row r="5" spans="1:23" x14ac:dyDescent="0.3">
      <c r="A5" s="1"/>
      <c r="B5" s="1"/>
      <c r="C5" s="1"/>
      <c r="D5" s="1"/>
      <c r="E5" s="1"/>
      <c r="F5" s="1"/>
      <c r="G5" s="1"/>
      <c r="H5" s="1"/>
      <c r="I5" s="1"/>
      <c r="J5" s="1"/>
      <c r="K5" s="1"/>
      <c r="L5" s="1"/>
      <c r="M5" s="1"/>
      <c r="N5" s="1"/>
      <c r="O5" s="1"/>
      <c r="P5" s="1"/>
      <c r="Q5" s="1"/>
      <c r="R5" s="1"/>
      <c r="S5" s="1"/>
      <c r="T5" s="1"/>
      <c r="U5" s="1"/>
      <c r="V5" s="1"/>
      <c r="W5" s="1"/>
    </row>
    <row r="6" spans="1:23" x14ac:dyDescent="0.3">
      <c r="A6" s="1"/>
      <c r="B6" s="1"/>
      <c r="C6" s="1"/>
      <c r="D6" s="1"/>
      <c r="E6" s="1"/>
      <c r="F6" s="1"/>
      <c r="G6" s="1"/>
      <c r="H6" s="1"/>
      <c r="I6" s="1"/>
      <c r="J6" s="1"/>
      <c r="K6" s="1"/>
      <c r="L6" s="1"/>
      <c r="M6" s="1"/>
      <c r="N6" s="1"/>
      <c r="O6" s="1"/>
      <c r="P6" s="1"/>
      <c r="Q6" s="1"/>
      <c r="R6" s="1"/>
      <c r="S6" s="1"/>
      <c r="T6" s="1"/>
      <c r="U6" s="1"/>
      <c r="V6" s="1"/>
      <c r="W6" s="1"/>
    </row>
    <row r="9" spans="1:23" x14ac:dyDescent="0.3">
      <c r="B9" s="2" t="s">
        <v>1918</v>
      </c>
      <c r="C9" s="2" t="s">
        <v>1919</v>
      </c>
    </row>
    <row r="11" spans="1:23" x14ac:dyDescent="0.3">
      <c r="B11" s="5" t="s">
        <v>1920</v>
      </c>
    </row>
    <row r="12" spans="1:23" x14ac:dyDescent="0.3">
      <c r="B12" s="5" t="s">
        <v>1921</v>
      </c>
    </row>
    <row r="13" spans="1:23" ht="42" x14ac:dyDescent="0.3">
      <c r="B13" t="s">
        <v>83</v>
      </c>
      <c r="C13" s="9" t="s">
        <v>1922</v>
      </c>
      <c r="D13" s="9" t="s">
        <v>1923</v>
      </c>
      <c r="F13" s="1497" t="s">
        <v>454</v>
      </c>
      <c r="G13" s="1497" t="s">
        <v>455</v>
      </c>
    </row>
    <row r="14" spans="1:23" x14ac:dyDescent="0.3">
      <c r="B14" s="7" t="s">
        <v>1924</v>
      </c>
      <c r="C14" t="s">
        <v>1925</v>
      </c>
      <c r="D14" t="s">
        <v>1925</v>
      </c>
      <c r="E14" s="6"/>
      <c r="F14" s="1498">
        <v>0</v>
      </c>
      <c r="G14" s="1498">
        <v>15</v>
      </c>
      <c r="H14" s="6"/>
      <c r="I14" s="6"/>
    </row>
    <row r="15" spans="1:23" x14ac:dyDescent="0.3">
      <c r="B15" s="7" t="s">
        <v>1926</v>
      </c>
      <c r="C15" t="s">
        <v>1927</v>
      </c>
      <c r="D15" t="s">
        <v>1927</v>
      </c>
      <c r="E15" s="6"/>
      <c r="F15" s="1498">
        <f>G14</f>
        <v>15</v>
      </c>
      <c r="G15" s="1498">
        <v>20</v>
      </c>
      <c r="H15" s="6"/>
      <c r="I15" s="6"/>
    </row>
    <row r="16" spans="1:23" x14ac:dyDescent="0.3">
      <c r="B16" s="7" t="s">
        <v>1928</v>
      </c>
      <c r="C16" t="s">
        <v>1927</v>
      </c>
      <c r="D16" t="s">
        <v>1929</v>
      </c>
      <c r="E16" s="6"/>
      <c r="F16" s="1498">
        <f t="shared" ref="F16:F20" si="0">G15</f>
        <v>20</v>
      </c>
      <c r="G16" s="1498">
        <v>25</v>
      </c>
      <c r="H16" s="6"/>
      <c r="I16" s="6"/>
    </row>
    <row r="17" spans="2:9" x14ac:dyDescent="0.3">
      <c r="B17" s="7" t="s">
        <v>1930</v>
      </c>
      <c r="C17" t="s">
        <v>1929</v>
      </c>
      <c r="D17" t="s">
        <v>1931</v>
      </c>
      <c r="E17" s="6"/>
      <c r="F17" s="1498">
        <f t="shared" si="0"/>
        <v>25</v>
      </c>
      <c r="G17" s="1498">
        <v>30</v>
      </c>
      <c r="H17" s="6"/>
      <c r="I17" s="6"/>
    </row>
    <row r="18" spans="2:9" x14ac:dyDescent="0.3">
      <c r="B18" s="7" t="s">
        <v>1932</v>
      </c>
      <c r="C18" t="s">
        <v>1929</v>
      </c>
      <c r="D18" t="s">
        <v>1933</v>
      </c>
      <c r="E18" s="6"/>
      <c r="F18" s="1498">
        <f t="shared" si="0"/>
        <v>30</v>
      </c>
      <c r="G18" s="1498">
        <v>45</v>
      </c>
      <c r="H18" s="6"/>
      <c r="I18" s="6"/>
    </row>
    <row r="19" spans="2:9" x14ac:dyDescent="0.3">
      <c r="B19" s="7" t="s">
        <v>1934</v>
      </c>
      <c r="C19" t="s">
        <v>1933</v>
      </c>
      <c r="D19" t="s">
        <v>1935</v>
      </c>
      <c r="E19" s="6"/>
      <c r="F19" s="1498">
        <f t="shared" si="0"/>
        <v>45</v>
      </c>
      <c r="G19" s="1498">
        <v>50</v>
      </c>
      <c r="H19" s="6"/>
      <c r="I19" s="6"/>
    </row>
    <row r="20" spans="2:9" x14ac:dyDescent="0.3">
      <c r="B20" s="7" t="s">
        <v>1936</v>
      </c>
      <c r="C20" t="s">
        <v>1933</v>
      </c>
      <c r="D20" t="s">
        <v>1937</v>
      </c>
      <c r="E20" s="6"/>
      <c r="F20" s="1498">
        <f t="shared" si="0"/>
        <v>50</v>
      </c>
      <c r="G20" s="1498">
        <v>100000000</v>
      </c>
      <c r="H20" s="6"/>
      <c r="I20" s="6"/>
    </row>
    <row r="21" spans="2:9" x14ac:dyDescent="0.3">
      <c r="E21" s="6"/>
      <c r="F21" s="6"/>
      <c r="G21" s="6"/>
      <c r="H21" s="6"/>
      <c r="I21" s="6"/>
    </row>
    <row r="22" spans="2:9" x14ac:dyDescent="0.3">
      <c r="E22" s="6"/>
      <c r="F22" s="6"/>
      <c r="G22" s="6"/>
      <c r="H22" s="6"/>
      <c r="I22" s="6"/>
    </row>
    <row r="23" spans="2:9" x14ac:dyDescent="0.3">
      <c r="E23" s="6"/>
      <c r="F23" s="6"/>
      <c r="G23" s="6"/>
      <c r="H23" s="6"/>
      <c r="I23" s="6"/>
    </row>
    <row r="24" spans="2:9" x14ac:dyDescent="0.3">
      <c r="E24" s="6"/>
      <c r="F24" s="6"/>
      <c r="G24" s="6"/>
      <c r="H24" s="6"/>
      <c r="I24" s="6"/>
    </row>
    <row r="25" spans="2:9" x14ac:dyDescent="0.3">
      <c r="E25" s="6"/>
      <c r="F25" s="6"/>
      <c r="G25" s="6"/>
      <c r="H25" s="6"/>
      <c r="I25" s="6"/>
    </row>
    <row r="27" spans="2:9" x14ac:dyDescent="0.3">
      <c r="B27" s="5"/>
    </row>
    <row r="28" spans="2:9" x14ac:dyDescent="0.3">
      <c r="B28" s="5"/>
    </row>
    <row r="30" spans="2:9" x14ac:dyDescent="0.3">
      <c r="E30" s="6"/>
      <c r="F30" s="6"/>
      <c r="G30" s="6"/>
      <c r="H30" s="6"/>
      <c r="I30" s="6"/>
    </row>
    <row r="31" spans="2:9" x14ac:dyDescent="0.3">
      <c r="E31" s="6"/>
      <c r="F31" s="6"/>
      <c r="G31" s="6"/>
      <c r="H31" s="6"/>
      <c r="I31" s="6"/>
    </row>
    <row r="32" spans="2:9" x14ac:dyDescent="0.3">
      <c r="E32" s="6"/>
      <c r="F32" s="6"/>
      <c r="G32" s="6"/>
      <c r="H32" s="6"/>
      <c r="I32" s="6"/>
    </row>
    <row r="33" spans="2:9" x14ac:dyDescent="0.3">
      <c r="E33" s="6"/>
      <c r="F33" s="6"/>
      <c r="G33" s="6"/>
      <c r="H33" s="6"/>
      <c r="I33" s="6"/>
    </row>
    <row r="34" spans="2:9" x14ac:dyDescent="0.3">
      <c r="E34" s="6"/>
      <c r="F34" s="6"/>
      <c r="G34" s="6"/>
      <c r="H34" s="6"/>
      <c r="I34" s="6"/>
    </row>
    <row r="35" spans="2:9" x14ac:dyDescent="0.3">
      <c r="E35" s="6"/>
      <c r="F35" s="6"/>
      <c r="G35" s="6"/>
      <c r="H35" s="6"/>
      <c r="I35" s="6"/>
    </row>
    <row r="36" spans="2:9" x14ac:dyDescent="0.3">
      <c r="E36" s="6"/>
      <c r="F36" s="6"/>
      <c r="G36" s="6"/>
      <c r="H36" s="6"/>
      <c r="I36" s="6"/>
    </row>
    <row r="37" spans="2:9" x14ac:dyDescent="0.3">
      <c r="E37" s="6"/>
      <c r="F37" s="6"/>
      <c r="G37" s="6"/>
      <c r="H37" s="6"/>
      <c r="I37" s="6"/>
    </row>
    <row r="38" spans="2:9" x14ac:dyDescent="0.3">
      <c r="E38" s="6"/>
      <c r="F38" s="6"/>
      <c r="G38" s="6"/>
      <c r="H38" s="6"/>
      <c r="I38" s="6"/>
    </row>
    <row r="39" spans="2:9" x14ac:dyDescent="0.3">
      <c r="E39" s="6"/>
      <c r="F39" s="6"/>
      <c r="G39" s="6"/>
      <c r="H39" s="6"/>
      <c r="I39" s="6"/>
    </row>
    <row r="40" spans="2:9" x14ac:dyDescent="0.3">
      <c r="E40" s="6"/>
      <c r="F40" s="6"/>
      <c r="G40" s="6"/>
      <c r="H40" s="6"/>
      <c r="I40" s="6"/>
    </row>
    <row r="41" spans="2:9" x14ac:dyDescent="0.3">
      <c r="E41" s="6"/>
      <c r="F41" s="6"/>
      <c r="G41" s="6"/>
      <c r="H41" s="6"/>
      <c r="I41" s="6"/>
    </row>
    <row r="42" spans="2:9" x14ac:dyDescent="0.3">
      <c r="E42" s="6"/>
      <c r="F42" s="6"/>
      <c r="G42" s="6"/>
      <c r="H42" s="6"/>
      <c r="I42" s="6"/>
    </row>
    <row r="43" spans="2:9" x14ac:dyDescent="0.3">
      <c r="E43" s="6"/>
      <c r="F43" s="6"/>
      <c r="G43" s="6"/>
      <c r="H43" s="6"/>
      <c r="I43" s="6"/>
    </row>
    <row r="44" spans="2:9" x14ac:dyDescent="0.3">
      <c r="E44" s="6"/>
      <c r="F44" s="6"/>
      <c r="G44" s="6"/>
      <c r="H44" s="6"/>
      <c r="I44" s="6"/>
    </row>
    <row r="45" spans="2:9" x14ac:dyDescent="0.3">
      <c r="E45" s="6"/>
      <c r="F45" s="6"/>
      <c r="G45" s="6"/>
      <c r="H45" s="6"/>
      <c r="I45" s="6"/>
    </row>
    <row r="47" spans="2:9" x14ac:dyDescent="0.3">
      <c r="B47" s="5"/>
    </row>
    <row r="48" spans="2:9" x14ac:dyDescent="0.3">
      <c r="B48" s="5"/>
    </row>
    <row r="50" spans="2:9" x14ac:dyDescent="0.3">
      <c r="E50" s="6"/>
      <c r="F50" s="6"/>
      <c r="G50" s="6"/>
      <c r="H50" s="6"/>
    </row>
    <row r="51" spans="2:9" x14ac:dyDescent="0.3">
      <c r="E51" s="6"/>
      <c r="F51" s="6"/>
      <c r="G51" s="6"/>
      <c r="H51" s="6"/>
    </row>
    <row r="52" spans="2:9" x14ac:dyDescent="0.3">
      <c r="E52" s="6"/>
      <c r="F52" s="6"/>
      <c r="G52" s="6"/>
      <c r="H52" s="6"/>
    </row>
    <row r="53" spans="2:9" x14ac:dyDescent="0.3">
      <c r="E53" s="6"/>
      <c r="F53" s="6"/>
      <c r="G53" s="6"/>
      <c r="H53" s="6"/>
    </row>
    <row r="54" spans="2:9" x14ac:dyDescent="0.3">
      <c r="E54" s="6"/>
      <c r="F54" s="6"/>
      <c r="G54" s="6"/>
      <c r="H54" s="6"/>
    </row>
    <row r="55" spans="2:9" x14ac:dyDescent="0.3">
      <c r="E55" s="6"/>
      <c r="F55" s="6"/>
      <c r="G55" s="6"/>
      <c r="H55" s="6"/>
    </row>
    <row r="56" spans="2:9" x14ac:dyDescent="0.3">
      <c r="E56" s="6"/>
      <c r="F56" s="6"/>
      <c r="G56" s="6"/>
      <c r="H56" s="6"/>
    </row>
    <row r="58" spans="2:9" x14ac:dyDescent="0.3">
      <c r="B58" s="5"/>
    </row>
    <row r="59" spans="2:9" x14ac:dyDescent="0.3">
      <c r="B59" s="5"/>
    </row>
    <row r="61" spans="2:9" x14ac:dyDescent="0.3">
      <c r="E61" s="6"/>
      <c r="F61" s="6"/>
      <c r="G61" s="6"/>
      <c r="H61" s="6"/>
      <c r="I61" s="6"/>
    </row>
    <row r="62" spans="2:9" x14ac:dyDescent="0.3">
      <c r="E62" s="6"/>
      <c r="F62" s="6"/>
      <c r="G62" s="6"/>
      <c r="H62" s="6"/>
      <c r="I62" s="6"/>
    </row>
    <row r="63" spans="2:9" x14ac:dyDescent="0.3">
      <c r="E63" s="6"/>
      <c r="F63" s="6"/>
      <c r="G63" s="6"/>
      <c r="H63" s="6"/>
      <c r="I63" s="6"/>
    </row>
    <row r="64" spans="2:9" x14ac:dyDescent="0.3">
      <c r="E64" s="6"/>
      <c r="F64" s="6"/>
      <c r="G64" s="6"/>
      <c r="H64" s="6"/>
      <c r="I64" s="6"/>
    </row>
    <row r="65" spans="5:9" x14ac:dyDescent="0.3">
      <c r="E65" s="6"/>
      <c r="F65" s="6"/>
      <c r="G65" s="6"/>
      <c r="H65" s="6"/>
      <c r="I65" s="6"/>
    </row>
    <row r="66" spans="5:9" x14ac:dyDescent="0.3">
      <c r="E66" s="6"/>
      <c r="F66" s="6"/>
      <c r="G66" s="6"/>
      <c r="H66" s="6"/>
      <c r="I66" s="6"/>
    </row>
    <row r="67" spans="5:9" x14ac:dyDescent="0.3">
      <c r="E67" s="6"/>
      <c r="F67" s="6"/>
      <c r="G67" s="6"/>
      <c r="H67" s="6"/>
      <c r="I67" s="6"/>
    </row>
    <row r="68" spans="5:9" x14ac:dyDescent="0.3">
      <c r="E68" s="6"/>
      <c r="F68" s="6"/>
      <c r="G68" s="6"/>
      <c r="H68" s="6"/>
      <c r="I68" s="6"/>
    </row>
    <row r="69" spans="5:9" x14ac:dyDescent="0.3">
      <c r="E69" s="6"/>
      <c r="F69" s="6"/>
      <c r="G69" s="6"/>
      <c r="H69" s="6"/>
      <c r="I69" s="6"/>
    </row>
    <row r="70" spans="5:9" x14ac:dyDescent="0.3">
      <c r="E70" s="6"/>
      <c r="F70" s="6"/>
      <c r="G70" s="6"/>
      <c r="H70" s="6"/>
      <c r="I70" s="6"/>
    </row>
    <row r="71" spans="5:9" x14ac:dyDescent="0.3">
      <c r="E71" s="6"/>
      <c r="F71" s="6"/>
      <c r="G71" s="6"/>
      <c r="H71" s="6"/>
      <c r="I71" s="6"/>
    </row>
    <row r="72" spans="5:9" x14ac:dyDescent="0.3">
      <c r="E72" s="6"/>
      <c r="F72" s="6"/>
      <c r="G72" s="6"/>
      <c r="H72" s="6"/>
      <c r="I72" s="6"/>
    </row>
    <row r="73" spans="5:9" x14ac:dyDescent="0.3">
      <c r="E73" s="6"/>
      <c r="F73" s="6"/>
      <c r="G73" s="6"/>
      <c r="H73" s="6"/>
      <c r="I73" s="6"/>
    </row>
    <row r="74" spans="5:9" x14ac:dyDescent="0.3">
      <c r="E74" s="6"/>
      <c r="F74" s="6"/>
      <c r="G74" s="6"/>
      <c r="H74" s="6"/>
      <c r="I74" s="6"/>
    </row>
    <row r="75" spans="5:9" x14ac:dyDescent="0.3">
      <c r="E75" s="6"/>
      <c r="F75" s="6"/>
      <c r="G75" s="6"/>
      <c r="H75" s="6"/>
      <c r="I75" s="6"/>
    </row>
    <row r="76" spans="5:9" x14ac:dyDescent="0.3">
      <c r="E76" s="6"/>
      <c r="F76" s="6"/>
      <c r="G76" s="6"/>
      <c r="H76" s="6"/>
      <c r="I76" s="6"/>
    </row>
    <row r="77" spans="5:9" x14ac:dyDescent="0.3">
      <c r="E77" s="6"/>
      <c r="F77" s="6"/>
      <c r="G77" s="6"/>
      <c r="H77" s="6"/>
      <c r="I77" s="6"/>
    </row>
    <row r="78" spans="5:9" x14ac:dyDescent="0.3">
      <c r="E78" s="6"/>
      <c r="F78" s="6"/>
      <c r="G78" s="6"/>
      <c r="H78" s="6"/>
      <c r="I78" s="6"/>
    </row>
    <row r="79" spans="5:9" x14ac:dyDescent="0.3">
      <c r="E79" s="6"/>
      <c r="F79" s="6"/>
      <c r="G79" s="6"/>
      <c r="H79" s="6"/>
      <c r="I79" s="6"/>
    </row>
    <row r="80" spans="5:9" x14ac:dyDescent="0.3">
      <c r="E80" s="6"/>
      <c r="F80" s="6"/>
      <c r="G80" s="6"/>
      <c r="H80" s="6"/>
      <c r="I80" s="6"/>
    </row>
    <row r="82" spans="2:6" x14ac:dyDescent="0.3">
      <c r="B82" s="5"/>
    </row>
    <row r="83" spans="2:6" x14ac:dyDescent="0.3">
      <c r="B83" s="5"/>
    </row>
    <row r="85" spans="2:6" x14ac:dyDescent="0.3">
      <c r="E85" s="6"/>
      <c r="F85" s="6"/>
    </row>
    <row r="86" spans="2:6" x14ac:dyDescent="0.3">
      <c r="E86" s="6"/>
      <c r="F86" s="6"/>
    </row>
    <row r="87" spans="2:6" x14ac:dyDescent="0.3">
      <c r="E87" s="6"/>
      <c r="F87" s="6"/>
    </row>
    <row r="88" spans="2:6" x14ac:dyDescent="0.3">
      <c r="E88" s="6"/>
      <c r="F88" s="6"/>
    </row>
    <row r="89" spans="2:6" x14ac:dyDescent="0.3">
      <c r="E89" s="6"/>
      <c r="F89" s="6"/>
    </row>
    <row r="90" spans="2:6" x14ac:dyDescent="0.3">
      <c r="E90" s="6"/>
      <c r="F90" s="6"/>
    </row>
    <row r="91" spans="2:6" x14ac:dyDescent="0.3">
      <c r="E91" s="6"/>
      <c r="F91" s="6"/>
    </row>
    <row r="92" spans="2:6" x14ac:dyDescent="0.3">
      <c r="B92" s="5"/>
      <c r="E92" s="6"/>
      <c r="F92" s="6"/>
    </row>
    <row r="93" spans="2:6" x14ac:dyDescent="0.3">
      <c r="B93" s="5"/>
      <c r="E93" s="6"/>
      <c r="F93" s="6"/>
    </row>
    <row r="95" spans="2:6" x14ac:dyDescent="0.3">
      <c r="E95" s="6"/>
      <c r="F95" s="6"/>
    </row>
    <row r="96" spans="2:6" x14ac:dyDescent="0.3">
      <c r="E96" s="6"/>
      <c r="F96" s="6"/>
    </row>
    <row r="97" spans="2:6" x14ac:dyDescent="0.3">
      <c r="E97" s="6"/>
      <c r="F97" s="6"/>
    </row>
    <row r="98" spans="2:6" x14ac:dyDescent="0.3">
      <c r="E98" s="6"/>
      <c r="F98" s="6"/>
    </row>
    <row r="99" spans="2:6" x14ac:dyDescent="0.3">
      <c r="E99" s="6"/>
      <c r="F99" s="6"/>
    </row>
    <row r="100" spans="2:6" x14ac:dyDescent="0.3">
      <c r="E100" s="6"/>
      <c r="F100" s="6"/>
    </row>
    <row r="102" spans="2:6" x14ac:dyDescent="0.3">
      <c r="E102" s="6"/>
      <c r="F102" s="6"/>
    </row>
    <row r="104" spans="2:6" x14ac:dyDescent="0.3">
      <c r="B104" s="5"/>
    </row>
    <row r="105" spans="2:6" x14ac:dyDescent="0.3">
      <c r="B105" s="5"/>
    </row>
    <row r="107" spans="2:6" x14ac:dyDescent="0.3">
      <c r="E107" s="6"/>
      <c r="F107" s="6"/>
    </row>
    <row r="108" spans="2:6" x14ac:dyDescent="0.3">
      <c r="E108" s="6"/>
      <c r="F108" s="6"/>
    </row>
    <row r="109" spans="2:6" x14ac:dyDescent="0.3">
      <c r="E109" s="6"/>
      <c r="F109" s="6"/>
    </row>
    <row r="110" spans="2:6" x14ac:dyDescent="0.3">
      <c r="E110" s="6"/>
      <c r="F110" s="6"/>
    </row>
    <row r="111" spans="2:6" x14ac:dyDescent="0.3">
      <c r="E111" s="6"/>
      <c r="F111" s="6"/>
    </row>
    <row r="112" spans="2:6" x14ac:dyDescent="0.3">
      <c r="E112" s="6"/>
      <c r="F112" s="6"/>
    </row>
    <row r="114" spans="2:11" x14ac:dyDescent="0.3">
      <c r="E114" s="6"/>
      <c r="F114" s="6"/>
    </row>
    <row r="116" spans="2:11" x14ac:dyDescent="0.3">
      <c r="B116" s="5"/>
    </row>
    <row r="117" spans="2:11" x14ac:dyDescent="0.3">
      <c r="B117" s="5"/>
    </row>
    <row r="119" spans="2:11" x14ac:dyDescent="0.3">
      <c r="E119" s="6"/>
      <c r="F119" s="6"/>
      <c r="J119" s="6"/>
      <c r="K119" s="6"/>
    </row>
    <row r="120" spans="2:11" x14ac:dyDescent="0.3">
      <c r="E120" s="6"/>
      <c r="F120" s="6"/>
      <c r="J120" s="6"/>
      <c r="K120" s="6"/>
    </row>
    <row r="121" spans="2:11" x14ac:dyDescent="0.3">
      <c r="E121" s="6"/>
      <c r="F121" s="6"/>
      <c r="J121" s="6"/>
      <c r="K121" s="6"/>
    </row>
    <row r="122" spans="2:11" x14ac:dyDescent="0.3">
      <c r="E122" s="6"/>
      <c r="F122" s="6"/>
      <c r="J122" s="6"/>
      <c r="K122" s="6"/>
    </row>
    <row r="123" spans="2:11" x14ac:dyDescent="0.3">
      <c r="E123" s="6"/>
      <c r="F123" s="6"/>
      <c r="J123" s="6"/>
      <c r="K123" s="6"/>
    </row>
    <row r="124" spans="2:11" x14ac:dyDescent="0.3">
      <c r="E124" s="6"/>
      <c r="F124" s="6"/>
      <c r="J124" s="6"/>
      <c r="K124" s="6"/>
    </row>
    <row r="125" spans="2:11" x14ac:dyDescent="0.3">
      <c r="E125" s="6"/>
      <c r="F125" s="6"/>
      <c r="J125" s="6"/>
      <c r="K125" s="6"/>
    </row>
    <row r="126" spans="2:11" x14ac:dyDescent="0.3">
      <c r="E126" s="6"/>
      <c r="F126" s="6"/>
      <c r="J126" s="6"/>
      <c r="K126" s="6"/>
    </row>
    <row r="127" spans="2:11" x14ac:dyDescent="0.3">
      <c r="E127" s="6"/>
      <c r="F127" s="6"/>
      <c r="J127" s="6"/>
      <c r="K127" s="6"/>
    </row>
    <row r="128" spans="2:11" x14ac:dyDescent="0.3">
      <c r="E128" s="6"/>
      <c r="F128" s="6"/>
      <c r="J128" s="6"/>
      <c r="K128" s="6"/>
    </row>
    <row r="129" spans="2:11" x14ac:dyDescent="0.3">
      <c r="E129" s="6"/>
      <c r="F129" s="6"/>
      <c r="J129" s="6"/>
      <c r="K129" s="6"/>
    </row>
    <row r="131" spans="2:11" x14ac:dyDescent="0.3">
      <c r="B131" s="5"/>
    </row>
    <row r="132" spans="2:11" x14ac:dyDescent="0.3">
      <c r="B132" s="5"/>
    </row>
    <row r="134" spans="2:11" x14ac:dyDescent="0.3">
      <c r="E134" s="6"/>
      <c r="F134" s="6"/>
      <c r="J134" s="6"/>
      <c r="K134" s="6"/>
    </row>
    <row r="135" spans="2:11" x14ac:dyDescent="0.3">
      <c r="E135" s="6"/>
      <c r="F135" s="6"/>
      <c r="J135" s="6"/>
      <c r="K135" s="6"/>
    </row>
    <row r="136" spans="2:11" x14ac:dyDescent="0.3">
      <c r="E136" s="6"/>
      <c r="F136" s="6"/>
      <c r="J136" s="6"/>
      <c r="K136" s="6"/>
    </row>
    <row r="137" spans="2:11" x14ac:dyDescent="0.3">
      <c r="E137" s="6"/>
      <c r="F137" s="6"/>
      <c r="J137" s="6"/>
      <c r="K137" s="6"/>
    </row>
    <row r="138" spans="2:11" x14ac:dyDescent="0.3">
      <c r="E138" s="6"/>
      <c r="F138" s="6"/>
      <c r="J138" s="6"/>
      <c r="K138" s="6"/>
    </row>
    <row r="139" spans="2:11" x14ac:dyDescent="0.3">
      <c r="E139" s="6"/>
      <c r="F139" s="6"/>
      <c r="J139" s="6"/>
      <c r="K139" s="6"/>
    </row>
    <row r="140" spans="2:11" x14ac:dyDescent="0.3">
      <c r="E140" s="6"/>
      <c r="F140" s="6"/>
      <c r="J140" s="6"/>
      <c r="K140" s="6"/>
    </row>
    <row r="141" spans="2:11" x14ac:dyDescent="0.3">
      <c r="E141" s="6"/>
      <c r="F141" s="6"/>
      <c r="J141" s="6"/>
      <c r="K141" s="6"/>
    </row>
    <row r="142" spans="2:11" x14ac:dyDescent="0.3">
      <c r="E142" s="6"/>
      <c r="F142" s="6"/>
      <c r="J142" s="6"/>
      <c r="K142" s="6"/>
    </row>
    <row r="143" spans="2:11" x14ac:dyDescent="0.3">
      <c r="E143" s="6"/>
      <c r="F143" s="6"/>
      <c r="J143" s="6"/>
      <c r="K143" s="6"/>
    </row>
    <row r="144" spans="2:11" x14ac:dyDescent="0.3">
      <c r="E144" s="6"/>
      <c r="F144" s="6"/>
      <c r="J144" s="6"/>
      <c r="K144" s="6"/>
    </row>
    <row r="146" spans="2:11" x14ac:dyDescent="0.3">
      <c r="E146" s="6"/>
      <c r="F146" s="6"/>
      <c r="J146" s="6"/>
      <c r="K146" s="6"/>
    </row>
    <row r="147" spans="2:11" x14ac:dyDescent="0.3">
      <c r="E147" s="6"/>
      <c r="F147" s="6"/>
      <c r="J147" s="6"/>
      <c r="K147" s="6"/>
    </row>
    <row r="149" spans="2:11" x14ac:dyDescent="0.3">
      <c r="B149" s="5"/>
    </row>
    <row r="150" spans="2:11" x14ac:dyDescent="0.3">
      <c r="B150" s="5"/>
    </row>
    <row r="152" spans="2:11" x14ac:dyDescent="0.3">
      <c r="D152" s="6"/>
      <c r="E152" s="6"/>
      <c r="F152" s="6"/>
      <c r="G152" s="6"/>
    </row>
    <row r="153" spans="2:11" x14ac:dyDescent="0.3">
      <c r="D153" s="6"/>
      <c r="E153" s="6"/>
      <c r="F153" s="6"/>
      <c r="G153" s="6"/>
    </row>
    <row r="155" spans="2:11" x14ac:dyDescent="0.3">
      <c r="B155" s="5"/>
    </row>
    <row r="156" spans="2:11" x14ac:dyDescent="0.3">
      <c r="B156" s="5"/>
    </row>
    <row r="158" spans="2:11" x14ac:dyDescent="0.3">
      <c r="D158" s="6"/>
      <c r="E158" s="6"/>
      <c r="F158" s="6"/>
      <c r="G158" s="6"/>
    </row>
    <row r="159" spans="2:11" x14ac:dyDescent="0.3">
      <c r="D159" s="6"/>
      <c r="E159" s="6"/>
      <c r="F159" s="6"/>
      <c r="G159" s="6"/>
    </row>
    <row r="161" spans="2:7" x14ac:dyDescent="0.3">
      <c r="B161" s="5"/>
    </row>
    <row r="162" spans="2:7" x14ac:dyDescent="0.3">
      <c r="B162" s="5"/>
    </row>
    <row r="164" spans="2:7" x14ac:dyDescent="0.3">
      <c r="D164" s="6"/>
      <c r="E164" s="6"/>
      <c r="F164" s="6"/>
      <c r="G164" s="6"/>
    </row>
    <row r="165" spans="2:7" x14ac:dyDescent="0.3">
      <c r="D165" s="6"/>
      <c r="E165" s="6"/>
      <c r="F165" s="6"/>
      <c r="G165" s="6"/>
    </row>
    <row r="167" spans="2:7" x14ac:dyDescent="0.3">
      <c r="B167" s="5"/>
    </row>
    <row r="168" spans="2:7" x14ac:dyDescent="0.3">
      <c r="B168" s="5"/>
    </row>
    <row r="170" spans="2:7" x14ac:dyDescent="0.3">
      <c r="D170" s="6"/>
      <c r="E170" s="6"/>
      <c r="F170" s="6"/>
      <c r="G170" s="6"/>
    </row>
    <row r="171" spans="2:7" x14ac:dyDescent="0.3">
      <c r="D171" s="6"/>
      <c r="E171" s="6"/>
      <c r="F171" s="6"/>
      <c r="G171" s="6"/>
    </row>
    <row r="173" spans="2:7" x14ac:dyDescent="0.3">
      <c r="B173" s="5"/>
    </row>
    <row r="174" spans="2:7" x14ac:dyDescent="0.3">
      <c r="B174" s="5"/>
    </row>
    <row r="179" spans="2:2" x14ac:dyDescent="0.3">
      <c r="B179" s="5"/>
    </row>
    <row r="180" spans="2:2" x14ac:dyDescent="0.3">
      <c r="B180" s="5"/>
    </row>
    <row r="185" spans="2:2" x14ac:dyDescent="0.3">
      <c r="B185" s="5"/>
    </row>
    <row r="186" spans="2:2" x14ac:dyDescent="0.3">
      <c r="B186" s="5"/>
    </row>
    <row r="191" spans="2:2" x14ac:dyDescent="0.3">
      <c r="B191" s="5"/>
    </row>
    <row r="192" spans="2:2" x14ac:dyDescent="0.3">
      <c r="B192" s="5"/>
    </row>
    <row r="197" spans="2:3" x14ac:dyDescent="0.3">
      <c r="B197" s="5"/>
    </row>
    <row r="198" spans="2:3" x14ac:dyDescent="0.3">
      <c r="B198" s="5"/>
    </row>
    <row r="203" spans="2:3" x14ac:dyDescent="0.3">
      <c r="B203" s="5"/>
    </row>
    <row r="204" spans="2:3" x14ac:dyDescent="0.3">
      <c r="B204" s="5"/>
    </row>
    <row r="205" spans="2:3" x14ac:dyDescent="0.3">
      <c r="B205" s="8"/>
      <c r="C205" s="6"/>
    </row>
    <row r="217" spans="2:4" x14ac:dyDescent="0.3">
      <c r="B217" s="5"/>
    </row>
    <row r="218" spans="2:4" x14ac:dyDescent="0.3">
      <c r="B218" s="5"/>
    </row>
    <row r="219" spans="2:4" ht="37.5" customHeight="1" x14ac:dyDescent="0.3">
      <c r="B219" s="8"/>
      <c r="C219" s="8"/>
      <c r="D219" s="8"/>
    </row>
    <row r="220" spans="2:4" x14ac:dyDescent="0.3">
      <c r="D220" s="8"/>
    </row>
    <row r="221" spans="2:4" x14ac:dyDescent="0.3">
      <c r="D221" s="8"/>
    </row>
    <row r="222" spans="2:4" x14ac:dyDescent="0.3">
      <c r="D222" s="8"/>
    </row>
    <row r="223" spans="2:4" x14ac:dyDescent="0.3">
      <c r="D223" s="8"/>
    </row>
    <row r="224" spans="2:4" x14ac:dyDescent="0.3">
      <c r="D224" s="8"/>
    </row>
    <row r="225" spans="2:4" x14ac:dyDescent="0.3">
      <c r="D225" s="8"/>
    </row>
    <row r="226" spans="2:4" x14ac:dyDescent="0.3">
      <c r="D226" s="8"/>
    </row>
    <row r="227" spans="2:4" x14ac:dyDescent="0.3">
      <c r="D227" s="8"/>
    </row>
    <row r="228" spans="2:4" x14ac:dyDescent="0.3">
      <c r="D228" s="8"/>
    </row>
    <row r="229" spans="2:4" x14ac:dyDescent="0.3">
      <c r="D229" s="8"/>
    </row>
    <row r="230" spans="2:4" x14ac:dyDescent="0.3">
      <c r="D230" s="8"/>
    </row>
    <row r="232" spans="2:4" x14ac:dyDescent="0.3">
      <c r="B232" s="5"/>
    </row>
    <row r="233" spans="2:4" x14ac:dyDescent="0.3">
      <c r="B233" s="5"/>
    </row>
    <row r="234" spans="2:4" ht="55.5" customHeight="1" x14ac:dyDescent="0.3">
      <c r="B234" s="8"/>
      <c r="C234" s="8"/>
      <c r="D234" s="9"/>
    </row>
    <row r="235" spans="2:4" x14ac:dyDescent="0.3">
      <c r="D235" s="8"/>
    </row>
    <row r="236" spans="2:4" x14ac:dyDescent="0.3">
      <c r="D236" s="8"/>
    </row>
    <row r="237" spans="2:4" x14ac:dyDescent="0.3">
      <c r="D237" s="8"/>
    </row>
    <row r="238" spans="2:4" x14ac:dyDescent="0.3">
      <c r="D238" s="8"/>
    </row>
    <row r="239" spans="2:4" x14ac:dyDescent="0.3">
      <c r="D239" s="8"/>
    </row>
    <row r="240" spans="2:4" x14ac:dyDescent="0.3">
      <c r="C240" s="6"/>
      <c r="D240" s="8"/>
    </row>
    <row r="241" spans="2:4" x14ac:dyDescent="0.3">
      <c r="C241" s="6"/>
      <c r="D241" s="8"/>
    </row>
    <row r="242" spans="2:4" x14ac:dyDescent="0.3">
      <c r="C242" s="6"/>
      <c r="D242" s="8"/>
    </row>
    <row r="243" spans="2:4" x14ac:dyDescent="0.3">
      <c r="C243" s="6"/>
      <c r="D243" s="8"/>
    </row>
    <row r="244" spans="2:4" x14ac:dyDescent="0.3">
      <c r="C244" s="6"/>
      <c r="D244" s="8"/>
    </row>
    <row r="245" spans="2:4" x14ac:dyDescent="0.3">
      <c r="C245" s="6"/>
      <c r="D245" s="8"/>
    </row>
    <row r="247" spans="2:4" x14ac:dyDescent="0.3">
      <c r="B247" s="5"/>
    </row>
    <row r="248" spans="2:4" x14ac:dyDescent="0.3">
      <c r="B248" s="5"/>
    </row>
    <row r="249" spans="2:4" x14ac:dyDescent="0.3">
      <c r="B249" s="8"/>
      <c r="C249" s="8"/>
    </row>
    <row r="250" spans="2:4" x14ac:dyDescent="0.3">
      <c r="B250" s="7"/>
    </row>
    <row r="251" spans="2:4" x14ac:dyDescent="0.3">
      <c r="B251" s="7"/>
    </row>
    <row r="252" spans="2:4" x14ac:dyDescent="0.3">
      <c r="B252" s="7"/>
    </row>
    <row r="253" spans="2:4" x14ac:dyDescent="0.3">
      <c r="B253" s="7"/>
    </row>
    <row r="254" spans="2:4" x14ac:dyDescent="0.3">
      <c r="B254" s="7"/>
    </row>
    <row r="255" spans="2:4" x14ac:dyDescent="0.3">
      <c r="B255" s="7"/>
    </row>
    <row r="256" spans="2:4" x14ac:dyDescent="0.3">
      <c r="B256" s="7"/>
    </row>
    <row r="257" spans="2:12" x14ac:dyDescent="0.3">
      <c r="B257" s="7"/>
    </row>
    <row r="258" spans="2:12" x14ac:dyDescent="0.3">
      <c r="B258" s="7"/>
    </row>
    <row r="260" spans="2:12" x14ac:dyDescent="0.3">
      <c r="B260" s="5"/>
    </row>
    <row r="261" spans="2:12" x14ac:dyDescent="0.3">
      <c r="B261" s="5"/>
    </row>
    <row r="262" spans="2:12" x14ac:dyDescent="0.3">
      <c r="B262" s="10"/>
      <c r="C262" s="10"/>
      <c r="D262" s="10"/>
      <c r="E262" s="10"/>
      <c r="F262" s="10"/>
      <c r="G262" s="10"/>
      <c r="H262" s="10"/>
      <c r="I262" s="10"/>
      <c r="J262" s="10"/>
      <c r="K262" s="10"/>
      <c r="L262" s="10"/>
    </row>
    <row r="263" spans="2:12" x14ac:dyDescent="0.3">
      <c r="B263" s="10"/>
      <c r="C263" s="10"/>
      <c r="D263" s="11"/>
      <c r="E263" s="11"/>
      <c r="F263" s="11"/>
      <c r="G263" s="11"/>
      <c r="H263" s="11"/>
      <c r="I263" s="11"/>
      <c r="J263" s="11"/>
      <c r="K263" s="11"/>
      <c r="L263" s="11"/>
    </row>
    <row r="264" spans="2:12" x14ac:dyDescent="0.3">
      <c r="D264" s="6"/>
      <c r="E264" s="6"/>
      <c r="F264" s="6"/>
      <c r="G264" s="6"/>
      <c r="H264" s="6"/>
      <c r="I264" s="6"/>
      <c r="J264" s="6"/>
      <c r="K264" s="6"/>
      <c r="L264" s="6"/>
    </row>
    <row r="265" spans="2:12" x14ac:dyDescent="0.3">
      <c r="D265" s="6"/>
      <c r="E265" s="6"/>
      <c r="F265" s="6"/>
      <c r="G265" s="6"/>
      <c r="H265" s="6"/>
      <c r="I265" s="6"/>
      <c r="J265" s="6"/>
      <c r="K265" s="6"/>
      <c r="L265" s="6"/>
    </row>
    <row r="266" spans="2:12" x14ac:dyDescent="0.3">
      <c r="D266" s="6"/>
      <c r="E266" s="6"/>
      <c r="F266" s="6"/>
      <c r="G266" s="6"/>
      <c r="H266" s="6"/>
      <c r="I266" s="6"/>
      <c r="J266" s="6"/>
      <c r="K266" s="6"/>
      <c r="L266" s="6"/>
    </row>
    <row r="267" spans="2:12" x14ac:dyDescent="0.3">
      <c r="D267" s="6"/>
      <c r="E267" s="6"/>
      <c r="F267" s="6"/>
      <c r="G267" s="6"/>
      <c r="H267" s="6"/>
      <c r="I267" s="6"/>
      <c r="J267" s="6"/>
      <c r="K267" s="6"/>
      <c r="L267" s="6"/>
    </row>
    <row r="268" spans="2:12" x14ac:dyDescent="0.3">
      <c r="D268" s="6"/>
      <c r="E268" s="6"/>
      <c r="F268" s="6"/>
      <c r="G268" s="6"/>
      <c r="H268" s="6"/>
      <c r="I268" s="6"/>
      <c r="J268" s="6"/>
      <c r="K268" s="6"/>
      <c r="L268" s="6"/>
    </row>
    <row r="269" spans="2:12" x14ac:dyDescent="0.3">
      <c r="D269" s="6"/>
      <c r="E269" s="6"/>
      <c r="F269" s="6"/>
      <c r="G269" s="6"/>
      <c r="H269" s="6"/>
      <c r="I269" s="6"/>
      <c r="J269" s="6"/>
      <c r="K269" s="6"/>
      <c r="L269" s="6"/>
    </row>
    <row r="270" spans="2:12" x14ac:dyDescent="0.3">
      <c r="D270" s="6"/>
      <c r="E270" s="6"/>
      <c r="F270" s="6"/>
      <c r="G270" s="6"/>
      <c r="H270" s="6"/>
      <c r="I270" s="6"/>
      <c r="J270" s="6"/>
      <c r="K270" s="6"/>
      <c r="L270" s="6"/>
    </row>
    <row r="272" spans="2:12" x14ac:dyDescent="0.3">
      <c r="B272" s="5"/>
    </row>
    <row r="273" spans="2:10" x14ac:dyDescent="0.3">
      <c r="B273" s="5"/>
    </row>
    <row r="274" spans="2:10" x14ac:dyDescent="0.3">
      <c r="B274" s="8"/>
      <c r="C274" s="8"/>
      <c r="D274" s="8"/>
      <c r="E274" s="8"/>
      <c r="F274" s="8"/>
      <c r="G274" s="8"/>
      <c r="H274" s="8"/>
      <c r="I274" s="8"/>
      <c r="J274" s="8"/>
    </row>
    <row r="275" spans="2:10" x14ac:dyDescent="0.3">
      <c r="B275" s="7"/>
      <c r="C275" s="6"/>
      <c r="D275" s="6"/>
      <c r="E275" s="6"/>
      <c r="F275" s="6"/>
      <c r="G275" s="6"/>
      <c r="H275" s="6"/>
      <c r="I275" s="6"/>
      <c r="J275" s="6"/>
    </row>
    <row r="276" spans="2:10" x14ac:dyDescent="0.3">
      <c r="B276" s="7"/>
      <c r="C276" s="6"/>
      <c r="D276" s="6"/>
      <c r="E276" s="6"/>
      <c r="F276" s="6"/>
      <c r="G276" s="6"/>
      <c r="H276" s="6"/>
      <c r="I276" s="6"/>
      <c r="J276" s="6"/>
    </row>
    <row r="277" spans="2:10" x14ac:dyDescent="0.3">
      <c r="B277" s="7"/>
      <c r="C277" s="6"/>
      <c r="D277" s="6"/>
      <c r="E277" s="6"/>
      <c r="F277" s="6"/>
      <c r="G277" s="6"/>
      <c r="H277" s="6"/>
      <c r="I277" s="6"/>
      <c r="J277" s="6"/>
    </row>
    <row r="278" spans="2:10" x14ac:dyDescent="0.3">
      <c r="B278" s="7"/>
      <c r="C278" s="6"/>
      <c r="D278" s="6"/>
      <c r="E278" s="6"/>
      <c r="F278" s="6"/>
      <c r="G278" s="6"/>
      <c r="H278" s="6"/>
      <c r="I278" s="6"/>
      <c r="J278" s="6"/>
    </row>
    <row r="279" spans="2:10" x14ac:dyDescent="0.3">
      <c r="B279" s="7"/>
      <c r="C279" s="6"/>
      <c r="D279" s="6"/>
      <c r="E279" s="6"/>
      <c r="F279" s="6"/>
      <c r="G279" s="6"/>
      <c r="H279" s="6"/>
      <c r="I279" s="6"/>
      <c r="J279" s="6"/>
    </row>
    <row r="280" spans="2:10" x14ac:dyDescent="0.3">
      <c r="B280" s="7"/>
      <c r="C280" s="6"/>
      <c r="D280" s="6"/>
      <c r="E280" s="6"/>
      <c r="F280" s="6"/>
      <c r="G280" s="6"/>
      <c r="H280" s="6"/>
      <c r="I280" s="6"/>
      <c r="J280" s="6"/>
    </row>
    <row r="281" spans="2:10" x14ac:dyDescent="0.3">
      <c r="B281" s="7"/>
      <c r="C281" s="6"/>
      <c r="D281" s="6"/>
      <c r="E281" s="6"/>
      <c r="F281" s="6"/>
      <c r="G281" s="6"/>
      <c r="H281" s="6"/>
      <c r="I281" s="6"/>
      <c r="J281" s="6"/>
    </row>
    <row r="282" spans="2:10" x14ac:dyDescent="0.3">
      <c r="B282" s="7"/>
      <c r="C282" s="6"/>
      <c r="D282" s="6"/>
      <c r="E282" s="6"/>
      <c r="F282" s="6"/>
      <c r="G282" s="6"/>
      <c r="H282" s="6"/>
      <c r="I282" s="6"/>
      <c r="J282" s="6"/>
    </row>
    <row r="283" spans="2:10" x14ac:dyDescent="0.3">
      <c r="B283" s="7"/>
      <c r="C283" s="6"/>
      <c r="D283" s="6"/>
      <c r="E283" s="6"/>
      <c r="F283" s="6"/>
      <c r="G283" s="6"/>
      <c r="H283" s="6"/>
      <c r="I283" s="6"/>
      <c r="J283" s="6"/>
    </row>
    <row r="284" spans="2:10" x14ac:dyDescent="0.3">
      <c r="B284" s="15"/>
      <c r="C284" s="12"/>
      <c r="D284" s="12"/>
      <c r="E284" s="12"/>
      <c r="F284" s="12"/>
      <c r="G284" s="12"/>
      <c r="H284" s="12"/>
      <c r="I284" s="12"/>
      <c r="J284" s="12"/>
    </row>
    <row r="285" spans="2:10" x14ac:dyDescent="0.3">
      <c r="B285" s="7"/>
      <c r="C285" s="6"/>
      <c r="D285" s="6"/>
      <c r="E285" s="6"/>
      <c r="F285" s="6"/>
      <c r="G285" s="6"/>
      <c r="H285" s="6"/>
      <c r="I285" s="6"/>
      <c r="J285" s="6"/>
    </row>
    <row r="287" spans="2:10" x14ac:dyDescent="0.3">
      <c r="B287" s="2"/>
      <c r="C287" s="2"/>
    </row>
    <row r="289" spans="2:7" x14ac:dyDescent="0.3">
      <c r="B289" s="5"/>
    </row>
    <row r="290" spans="2:7" x14ac:dyDescent="0.3">
      <c r="B290" s="5"/>
    </row>
    <row r="291" spans="2:7" ht="39.75" customHeight="1" x14ac:dyDescent="0.3">
      <c r="B291" s="8"/>
      <c r="C291" s="8"/>
      <c r="D291" s="8"/>
    </row>
    <row r="292" spans="2:7" x14ac:dyDescent="0.3">
      <c r="B292" s="6"/>
      <c r="C292" s="6"/>
      <c r="D292" s="6"/>
    </row>
    <row r="293" spans="2:7" x14ac:dyDescent="0.3">
      <c r="B293" s="6"/>
      <c r="C293" s="6"/>
      <c r="D293" s="6"/>
    </row>
    <row r="294" spans="2:7" x14ac:dyDescent="0.3">
      <c r="B294" s="6"/>
      <c r="C294" s="6"/>
      <c r="D294" s="6"/>
    </row>
    <row r="296" spans="2:7" x14ac:dyDescent="0.3">
      <c r="B296" s="2"/>
      <c r="C296" s="2"/>
    </row>
    <row r="298" spans="2:7" x14ac:dyDescent="0.3">
      <c r="B298" s="5"/>
    </row>
    <row r="299" spans="2:7" x14ac:dyDescent="0.3">
      <c r="B299" s="5"/>
    </row>
    <row r="300" spans="2:7" x14ac:dyDescent="0.3">
      <c r="B300" s="10"/>
      <c r="C300" s="10"/>
      <c r="D300" s="10"/>
      <c r="E300" s="10"/>
      <c r="F300" s="10"/>
      <c r="G300" s="10"/>
    </row>
    <row r="301" spans="2:7" x14ac:dyDescent="0.3">
      <c r="B301" s="10"/>
      <c r="C301" s="10"/>
      <c r="D301" s="10"/>
      <c r="E301" s="10"/>
      <c r="F301" s="10"/>
      <c r="G301" s="10"/>
    </row>
    <row r="302" spans="2:7" x14ac:dyDescent="0.3">
      <c r="B302" s="6"/>
      <c r="C302" s="6"/>
      <c r="D302" s="6"/>
      <c r="E302" s="6"/>
      <c r="F302" s="6"/>
      <c r="G302" s="6"/>
    </row>
    <row r="303" spans="2:7" x14ac:dyDescent="0.3">
      <c r="B303" s="6"/>
      <c r="C303" s="6"/>
      <c r="D303" s="6"/>
      <c r="E303" s="6"/>
      <c r="F303" s="6"/>
      <c r="G303" s="6"/>
    </row>
    <row r="304" spans="2:7" x14ac:dyDescent="0.3">
      <c r="B304" s="6"/>
      <c r="C304" s="6"/>
      <c r="D304" s="6"/>
      <c r="E304" s="6"/>
      <c r="F304" s="6"/>
      <c r="G304" s="6"/>
    </row>
    <row r="305" spans="2:7" x14ac:dyDescent="0.3">
      <c r="B305" s="6"/>
      <c r="C305" s="6"/>
      <c r="D305" s="6"/>
      <c r="E305" s="6"/>
      <c r="F305" s="6"/>
      <c r="G305" s="6"/>
    </row>
    <row r="306" spans="2:7" x14ac:dyDescent="0.3">
      <c r="B306" s="6"/>
      <c r="C306" s="6"/>
      <c r="D306" s="6"/>
      <c r="E306" s="6"/>
      <c r="F306" s="6"/>
      <c r="G306" s="6"/>
    </row>
    <row r="307" spans="2:7" x14ac:dyDescent="0.3">
      <c r="B307" s="6"/>
      <c r="C307" s="6"/>
      <c r="D307" s="6"/>
      <c r="E307" s="6"/>
      <c r="F307" s="6"/>
      <c r="G307" s="6"/>
    </row>
    <row r="308" spans="2:7" x14ac:dyDescent="0.3">
      <c r="B308" s="6"/>
      <c r="C308" s="6"/>
      <c r="D308" s="6"/>
      <c r="E308" s="6"/>
      <c r="F308" s="6"/>
      <c r="G308" s="6"/>
    </row>
    <row r="309" spans="2:7" x14ac:dyDescent="0.3">
      <c r="B309" s="6"/>
      <c r="C309" s="6"/>
      <c r="D309" s="6"/>
      <c r="E309" s="6"/>
      <c r="F309" s="6"/>
      <c r="G309" s="6"/>
    </row>
    <row r="310" spans="2:7" x14ac:dyDescent="0.3">
      <c r="B310" s="6"/>
      <c r="C310" s="6"/>
      <c r="D310" s="6"/>
      <c r="E310" s="6"/>
      <c r="F310" s="6"/>
      <c r="G310" s="6"/>
    </row>
    <row r="311" spans="2:7" x14ac:dyDescent="0.3">
      <c r="B311" s="6"/>
      <c r="C311" s="6"/>
      <c r="D311" s="6"/>
      <c r="E311" s="6"/>
      <c r="F311" s="6"/>
      <c r="G311" s="6"/>
    </row>
    <row r="312" spans="2:7" x14ac:dyDescent="0.3">
      <c r="B312" s="6"/>
      <c r="C312" s="6"/>
      <c r="D312" s="6"/>
      <c r="E312" s="6"/>
      <c r="F312" s="6"/>
      <c r="G312" s="6"/>
    </row>
    <row r="313" spans="2:7" x14ac:dyDescent="0.3">
      <c r="B313" s="6"/>
      <c r="C313" s="6"/>
      <c r="D313" s="6"/>
      <c r="E313" s="6"/>
      <c r="F313" s="6"/>
      <c r="G313" s="6"/>
    </row>
    <row r="314" spans="2:7" x14ac:dyDescent="0.3">
      <c r="B314" s="6"/>
      <c r="C314" s="6"/>
      <c r="D314" s="6"/>
      <c r="E314" s="6"/>
      <c r="F314" s="6"/>
      <c r="G314" s="6"/>
    </row>
    <row r="315" spans="2:7" x14ac:dyDescent="0.3">
      <c r="B315" s="6"/>
      <c r="C315" s="6"/>
      <c r="D315" s="6"/>
      <c r="E315" s="6"/>
      <c r="F315" s="6"/>
      <c r="G315" s="6"/>
    </row>
    <row r="316" spans="2:7" x14ac:dyDescent="0.3">
      <c r="B316" s="6"/>
      <c r="C316" s="6"/>
      <c r="D316" s="6"/>
      <c r="E316" s="6"/>
      <c r="F316" s="6"/>
      <c r="G316" s="6"/>
    </row>
    <row r="317" spans="2:7" x14ac:dyDescent="0.3">
      <c r="B317" s="6"/>
      <c r="C317" s="6"/>
      <c r="D317" s="6"/>
      <c r="E317" s="6"/>
      <c r="F317" s="6"/>
      <c r="G317" s="6"/>
    </row>
    <row r="318" spans="2:7" x14ac:dyDescent="0.3">
      <c r="B318" s="6"/>
      <c r="C318" s="6"/>
      <c r="D318" s="6"/>
      <c r="E318" s="6"/>
      <c r="F318" s="6"/>
      <c r="G318" s="6"/>
    </row>
    <row r="319" spans="2:7" x14ac:dyDescent="0.3">
      <c r="B319" s="6"/>
      <c r="C319" s="6"/>
      <c r="D319" s="6"/>
      <c r="E319" s="6"/>
      <c r="F319" s="6"/>
      <c r="G319" s="6"/>
    </row>
    <row r="320" spans="2:7" x14ac:dyDescent="0.3">
      <c r="B320" s="6"/>
      <c r="C320" s="6"/>
      <c r="D320" s="6"/>
      <c r="E320" s="6"/>
      <c r="F320" s="6"/>
      <c r="G320" s="6"/>
    </row>
    <row r="321" spans="2:7" x14ac:dyDescent="0.3">
      <c r="B321" s="6"/>
      <c r="C321" s="6"/>
      <c r="D321" s="6"/>
      <c r="E321" s="6"/>
      <c r="F321" s="6"/>
      <c r="G321" s="6"/>
    </row>
    <row r="322" spans="2:7" x14ac:dyDescent="0.3">
      <c r="B322" s="6"/>
      <c r="C322" s="6"/>
      <c r="D322" s="6"/>
      <c r="E322" s="6"/>
      <c r="F322" s="6"/>
      <c r="G322" s="6"/>
    </row>
    <row r="323" spans="2:7" x14ac:dyDescent="0.3">
      <c r="B323" s="6"/>
      <c r="C323" s="6"/>
      <c r="D323" s="6"/>
      <c r="E323" s="6"/>
      <c r="F323" s="6"/>
      <c r="G323" s="6"/>
    </row>
    <row r="324" spans="2:7" x14ac:dyDescent="0.3">
      <c r="B324" s="6"/>
      <c r="C324" s="6"/>
      <c r="D324" s="6"/>
      <c r="E324" s="6"/>
      <c r="F324" s="6"/>
      <c r="G324" s="6"/>
    </row>
    <row r="325" spans="2:7" x14ac:dyDescent="0.3">
      <c r="B325" s="6"/>
      <c r="C325" s="6"/>
      <c r="D325" s="6"/>
      <c r="E325" s="6"/>
      <c r="F325" s="6"/>
      <c r="G325" s="6"/>
    </row>
    <row r="326" spans="2:7" x14ac:dyDescent="0.3">
      <c r="B326" s="6"/>
      <c r="C326" s="6"/>
      <c r="D326" s="6"/>
      <c r="E326" s="6"/>
      <c r="F326" s="6"/>
      <c r="G326" s="6"/>
    </row>
    <row r="327" spans="2:7" x14ac:dyDescent="0.3">
      <c r="B327" s="6"/>
      <c r="C327" s="6"/>
      <c r="D327" s="6"/>
      <c r="E327" s="6"/>
      <c r="F327" s="6"/>
      <c r="G327" s="6"/>
    </row>
    <row r="328" spans="2:7" x14ac:dyDescent="0.3">
      <c r="B328" s="6"/>
      <c r="C328" s="6"/>
      <c r="D328" s="6"/>
      <c r="E328" s="6"/>
      <c r="F328" s="6"/>
      <c r="G328" s="6"/>
    </row>
    <row r="329" spans="2:7" x14ac:dyDescent="0.3">
      <c r="B329" s="6"/>
      <c r="C329" s="6"/>
      <c r="D329" s="6"/>
      <c r="E329" s="6"/>
      <c r="F329" s="6"/>
      <c r="G329" s="6"/>
    </row>
    <row r="330" spans="2:7" x14ac:dyDescent="0.3">
      <c r="B330" s="6"/>
      <c r="C330" s="6"/>
      <c r="D330" s="6"/>
      <c r="E330" s="6"/>
      <c r="F330" s="6"/>
      <c r="G330" s="6"/>
    </row>
    <row r="331" spans="2:7" x14ac:dyDescent="0.3">
      <c r="B331" s="6"/>
      <c r="C331" s="6"/>
      <c r="D331" s="6"/>
      <c r="E331" s="6"/>
      <c r="F331" s="6"/>
      <c r="G331" s="6"/>
    </row>
    <row r="332" spans="2:7" x14ac:dyDescent="0.3">
      <c r="B332" s="6"/>
      <c r="C332" s="6"/>
      <c r="D332" s="6"/>
      <c r="E332" s="6"/>
      <c r="F332" s="6"/>
      <c r="G332" s="6"/>
    </row>
    <row r="333" spans="2:7" x14ac:dyDescent="0.3">
      <c r="B333" s="6"/>
      <c r="C333" s="6"/>
      <c r="D333" s="6"/>
      <c r="E333" s="6"/>
      <c r="F333" s="6"/>
      <c r="G333" s="6"/>
    </row>
    <row r="334" spans="2:7" x14ac:dyDescent="0.3">
      <c r="B334" s="6"/>
      <c r="C334" s="6"/>
      <c r="D334" s="6"/>
      <c r="E334" s="6"/>
      <c r="F334" s="6"/>
      <c r="G334" s="6"/>
    </row>
    <row r="335" spans="2:7" x14ac:dyDescent="0.3">
      <c r="B335" s="6"/>
      <c r="C335" s="6"/>
      <c r="D335" s="6"/>
      <c r="E335" s="6"/>
      <c r="F335" s="6"/>
      <c r="G335" s="6"/>
    </row>
    <row r="336" spans="2:7" x14ac:dyDescent="0.3">
      <c r="B336" s="6"/>
      <c r="C336" s="6"/>
      <c r="D336" s="6"/>
      <c r="E336" s="6"/>
      <c r="F336" s="6"/>
      <c r="G336" s="6"/>
    </row>
    <row r="337" spans="2:7" x14ac:dyDescent="0.3">
      <c r="B337" s="6"/>
      <c r="C337" s="6"/>
      <c r="D337" s="6"/>
      <c r="E337" s="6"/>
      <c r="F337" s="6"/>
      <c r="G337" s="6"/>
    </row>
    <row r="338" spans="2:7" x14ac:dyDescent="0.3">
      <c r="B338" s="6"/>
      <c r="C338" s="6"/>
      <c r="D338" s="6"/>
      <c r="E338" s="6"/>
      <c r="F338" s="6"/>
      <c r="G338" s="6"/>
    </row>
    <row r="339" spans="2:7" x14ac:dyDescent="0.3">
      <c r="B339" s="6"/>
      <c r="C339" s="6"/>
      <c r="D339" s="6"/>
      <c r="E339" s="6"/>
      <c r="F339" s="6"/>
      <c r="G339" s="6"/>
    </row>
    <row r="340" spans="2:7" x14ac:dyDescent="0.3">
      <c r="B340" s="6"/>
      <c r="C340" s="6"/>
      <c r="D340" s="6"/>
      <c r="E340" s="6"/>
      <c r="F340" s="6"/>
      <c r="G340" s="6"/>
    </row>
    <row r="341" spans="2:7" x14ac:dyDescent="0.3">
      <c r="B341" s="6"/>
      <c r="C341" s="6"/>
      <c r="D341" s="6"/>
      <c r="E341" s="6"/>
      <c r="F341" s="6"/>
      <c r="G341" s="6"/>
    </row>
    <row r="342" spans="2:7" x14ac:dyDescent="0.3">
      <c r="B342" s="6"/>
      <c r="C342" s="6"/>
      <c r="D342" s="6"/>
      <c r="E342" s="6"/>
      <c r="F342" s="6"/>
      <c r="G342" s="6"/>
    </row>
    <row r="343" spans="2:7" x14ac:dyDescent="0.3">
      <c r="B343" s="6"/>
      <c r="C343" s="6"/>
      <c r="D343" s="6"/>
      <c r="E343" s="6"/>
      <c r="F343" s="6"/>
      <c r="G343" s="6"/>
    </row>
    <row r="344" spans="2:7" x14ac:dyDescent="0.3">
      <c r="B344" s="6"/>
      <c r="C344" s="6"/>
      <c r="D344" s="6"/>
      <c r="E344" s="6"/>
      <c r="F344" s="6"/>
      <c r="G344" s="6"/>
    </row>
    <row r="345" spans="2:7" x14ac:dyDescent="0.3">
      <c r="B345" s="6"/>
      <c r="C345" s="6"/>
      <c r="D345" s="6"/>
      <c r="E345" s="6"/>
      <c r="F345" s="6"/>
      <c r="G345" s="6"/>
    </row>
    <row r="346" spans="2:7" x14ac:dyDescent="0.3">
      <c r="B346" s="6"/>
      <c r="C346" s="6"/>
      <c r="D346" s="6"/>
      <c r="E346" s="6"/>
      <c r="F346" s="6"/>
      <c r="G346" s="6"/>
    </row>
    <row r="348" spans="2:7" x14ac:dyDescent="0.3">
      <c r="B348" s="5"/>
    </row>
    <row r="349" spans="2:7" x14ac:dyDescent="0.3">
      <c r="B349" s="5"/>
    </row>
    <row r="350" spans="2:7" x14ac:dyDescent="0.3">
      <c r="B350" s="10"/>
      <c r="C350" s="10"/>
      <c r="D350" s="10"/>
      <c r="E350" s="10"/>
      <c r="F350" s="10"/>
      <c r="G350" s="10"/>
    </row>
    <row r="351" spans="2:7" x14ac:dyDescent="0.3">
      <c r="B351" s="10"/>
      <c r="C351" s="10"/>
      <c r="D351" s="10"/>
      <c r="E351" s="10"/>
      <c r="F351" s="10"/>
      <c r="G351" s="10"/>
    </row>
    <row r="352" spans="2:7" x14ac:dyDescent="0.3">
      <c r="B352" s="6"/>
      <c r="C352" s="6"/>
      <c r="D352" s="6"/>
      <c r="E352" s="6"/>
      <c r="F352" s="6"/>
      <c r="G352" s="6"/>
    </row>
    <row r="353" spans="2:7" x14ac:dyDescent="0.3">
      <c r="B353" s="6"/>
      <c r="C353" s="6"/>
      <c r="D353" s="6"/>
      <c r="E353" s="6"/>
      <c r="F353" s="6"/>
      <c r="G353" s="6"/>
    </row>
    <row r="354" spans="2:7" x14ac:dyDescent="0.3">
      <c r="B354" s="6"/>
      <c r="C354" s="6"/>
      <c r="D354" s="6"/>
      <c r="E354" s="6"/>
      <c r="F354" s="6"/>
      <c r="G354" s="6"/>
    </row>
    <row r="355" spans="2:7" x14ac:dyDescent="0.3">
      <c r="B355" s="6"/>
      <c r="C355" s="6"/>
      <c r="D355" s="6"/>
      <c r="E355" s="6"/>
      <c r="F355" s="6"/>
      <c r="G355" s="6"/>
    </row>
    <row r="356" spans="2:7" x14ac:dyDescent="0.3">
      <c r="B356" s="6"/>
      <c r="C356" s="6"/>
      <c r="D356" s="6"/>
      <c r="E356" s="6"/>
      <c r="F356" s="6"/>
      <c r="G356" s="6"/>
    </row>
    <row r="357" spans="2:7" x14ac:dyDescent="0.3">
      <c r="B357" s="6"/>
      <c r="C357" s="6"/>
      <c r="D357" s="6"/>
      <c r="E357" s="6"/>
      <c r="F357" s="6"/>
      <c r="G357" s="6"/>
    </row>
    <row r="358" spans="2:7" x14ac:dyDescent="0.3">
      <c r="B358" s="6"/>
      <c r="C358" s="6"/>
      <c r="D358" s="6"/>
      <c r="E358" s="6"/>
      <c r="F358" s="6"/>
      <c r="G358" s="6"/>
    </row>
    <row r="359" spans="2:7" x14ac:dyDescent="0.3">
      <c r="B359" s="6"/>
      <c r="C359" s="6"/>
      <c r="D359" s="6"/>
      <c r="E359" s="6"/>
      <c r="F359" s="6"/>
      <c r="G359" s="6"/>
    </row>
    <row r="360" spans="2:7" x14ac:dyDescent="0.3">
      <c r="B360" s="6"/>
      <c r="C360" s="6"/>
      <c r="D360" s="6"/>
      <c r="E360" s="6"/>
      <c r="F360" s="6"/>
      <c r="G360" s="6"/>
    </row>
    <row r="361" spans="2:7" x14ac:dyDescent="0.3">
      <c r="B361" s="6"/>
      <c r="C361" s="6"/>
      <c r="D361" s="6"/>
      <c r="E361" s="6"/>
      <c r="F361" s="6"/>
      <c r="G361" s="6"/>
    </row>
    <row r="362" spans="2:7" x14ac:dyDescent="0.3">
      <c r="B362" s="6"/>
      <c r="C362" s="6"/>
      <c r="D362" s="6"/>
      <c r="E362" s="6"/>
      <c r="F362" s="6"/>
      <c r="G362" s="6"/>
    </row>
    <row r="363" spans="2:7" x14ac:dyDescent="0.3">
      <c r="B363" s="6"/>
      <c r="C363" s="6"/>
      <c r="D363" s="6"/>
      <c r="E363" s="6"/>
      <c r="F363" s="6"/>
      <c r="G363" s="6"/>
    </row>
    <row r="364" spans="2:7" x14ac:dyDescent="0.3">
      <c r="B364" s="6"/>
      <c r="C364" s="6"/>
      <c r="D364" s="6"/>
      <c r="E364" s="6"/>
      <c r="F364" s="6"/>
      <c r="G364" s="6"/>
    </row>
    <row r="365" spans="2:7" x14ac:dyDescent="0.3">
      <c r="B365" s="6"/>
      <c r="C365" s="6"/>
      <c r="D365" s="6"/>
      <c r="E365" s="6"/>
      <c r="F365" s="6"/>
      <c r="G365" s="6"/>
    </row>
    <row r="366" spans="2:7" x14ac:dyDescent="0.3">
      <c r="B366" s="6"/>
      <c r="C366" s="6"/>
      <c r="D366" s="6"/>
      <c r="E366" s="6"/>
      <c r="F366" s="6"/>
      <c r="G366" s="6"/>
    </row>
    <row r="367" spans="2:7" x14ac:dyDescent="0.3">
      <c r="B367" s="6"/>
      <c r="C367" s="6"/>
      <c r="D367" s="6"/>
      <c r="E367" s="6"/>
      <c r="F367" s="6"/>
      <c r="G367" s="6"/>
    </row>
    <row r="368" spans="2:7" x14ac:dyDescent="0.3">
      <c r="B368" s="6"/>
      <c r="C368" s="6"/>
      <c r="D368" s="6"/>
      <c r="E368" s="6"/>
      <c r="F368" s="6"/>
      <c r="G368" s="6"/>
    </row>
    <row r="369" spans="2:7" x14ac:dyDescent="0.3">
      <c r="B369" s="6"/>
      <c r="C369" s="6"/>
      <c r="D369" s="6"/>
      <c r="E369" s="6"/>
      <c r="F369" s="6"/>
      <c r="G369" s="6"/>
    </row>
    <row r="370" spans="2:7" x14ac:dyDescent="0.3">
      <c r="B370" s="6"/>
      <c r="C370" s="6"/>
      <c r="D370" s="6"/>
      <c r="E370" s="6"/>
      <c r="F370" s="6"/>
      <c r="G370" s="6"/>
    </row>
    <row r="371" spans="2:7" x14ac:dyDescent="0.3">
      <c r="B371" s="6"/>
      <c r="C371" s="6"/>
      <c r="D371" s="6"/>
      <c r="E371" s="6"/>
      <c r="F371" s="6"/>
      <c r="G371" s="6"/>
    </row>
    <row r="372" spans="2:7" x14ac:dyDescent="0.3">
      <c r="B372" s="6"/>
      <c r="C372" s="6"/>
      <c r="D372" s="6"/>
      <c r="E372" s="6"/>
      <c r="F372" s="6"/>
      <c r="G372" s="6"/>
    </row>
    <row r="373" spans="2:7" x14ac:dyDescent="0.3">
      <c r="B373" s="6"/>
      <c r="C373" s="6"/>
      <c r="D373" s="6"/>
      <c r="E373" s="6"/>
      <c r="F373" s="6"/>
      <c r="G373" s="6"/>
    </row>
    <row r="374" spans="2:7" x14ac:dyDescent="0.3">
      <c r="B374" s="6"/>
      <c r="C374" s="6"/>
      <c r="D374" s="6"/>
      <c r="E374" s="6"/>
      <c r="F374" s="6"/>
      <c r="G374" s="6"/>
    </row>
    <row r="375" spans="2:7" x14ac:dyDescent="0.3">
      <c r="B375" s="6"/>
      <c r="C375" s="6"/>
      <c r="D375" s="6"/>
      <c r="E375" s="6"/>
      <c r="F375" s="6"/>
      <c r="G375" s="6"/>
    </row>
    <row r="376" spans="2:7" x14ac:dyDescent="0.3">
      <c r="B376" s="6"/>
      <c r="C376" s="6"/>
      <c r="D376" s="6"/>
      <c r="E376" s="6"/>
      <c r="F376" s="6"/>
      <c r="G376" s="6"/>
    </row>
    <row r="377" spans="2:7" x14ac:dyDescent="0.3">
      <c r="B377" s="6"/>
      <c r="C377" s="6"/>
      <c r="D377" s="6"/>
      <c r="E377" s="6"/>
      <c r="F377" s="6"/>
      <c r="G377" s="6"/>
    </row>
    <row r="378" spans="2:7" x14ac:dyDescent="0.3">
      <c r="B378" s="6"/>
      <c r="C378" s="6"/>
      <c r="D378" s="6"/>
      <c r="E378" s="6"/>
      <c r="F378" s="6"/>
      <c r="G378" s="6"/>
    </row>
    <row r="379" spans="2:7" x14ac:dyDescent="0.3">
      <c r="B379" s="6"/>
      <c r="C379" s="6"/>
      <c r="D379" s="6"/>
      <c r="E379" s="6"/>
      <c r="F379" s="6"/>
      <c r="G379" s="6"/>
    </row>
    <row r="380" spans="2:7" x14ac:dyDescent="0.3">
      <c r="B380" s="6"/>
      <c r="C380" s="6"/>
      <c r="D380" s="6"/>
      <c r="E380" s="6"/>
      <c r="F380" s="6"/>
      <c r="G380" s="6"/>
    </row>
    <row r="381" spans="2:7" x14ac:dyDescent="0.3">
      <c r="B381" s="6"/>
      <c r="C381" s="6"/>
      <c r="D381" s="6"/>
      <c r="E381" s="6"/>
      <c r="F381" s="6"/>
      <c r="G381" s="6"/>
    </row>
    <row r="382" spans="2:7" x14ac:dyDescent="0.3">
      <c r="B382" s="6"/>
      <c r="C382" s="6"/>
      <c r="D382" s="6"/>
      <c r="E382" s="6"/>
      <c r="F382" s="6"/>
      <c r="G382" s="6"/>
    </row>
    <row r="383" spans="2:7" x14ac:dyDescent="0.3">
      <c r="B383" s="6"/>
      <c r="C383" s="6"/>
      <c r="D383" s="6"/>
      <c r="E383" s="6"/>
      <c r="F383" s="6"/>
      <c r="G383" s="6"/>
    </row>
    <row r="384" spans="2:7" x14ac:dyDescent="0.3">
      <c r="B384" s="6"/>
      <c r="C384" s="6"/>
      <c r="D384" s="6"/>
      <c r="E384" s="6"/>
      <c r="F384" s="6"/>
      <c r="G384" s="6"/>
    </row>
    <row r="385" spans="2:7" x14ac:dyDescent="0.3">
      <c r="B385" s="6"/>
      <c r="C385" s="6"/>
      <c r="D385" s="6"/>
      <c r="E385" s="6"/>
      <c r="F385" s="6"/>
      <c r="G385" s="6"/>
    </row>
    <row r="386" spans="2:7" x14ac:dyDescent="0.3">
      <c r="B386" s="6"/>
      <c r="C386" s="6"/>
      <c r="D386" s="6"/>
      <c r="E386" s="6"/>
      <c r="F386" s="6"/>
      <c r="G386" s="6"/>
    </row>
    <row r="387" spans="2:7" x14ac:dyDescent="0.3">
      <c r="B387" s="6"/>
      <c r="C387" s="6"/>
      <c r="D387" s="6"/>
      <c r="E387" s="6"/>
      <c r="F387" s="6"/>
      <c r="G387" s="6"/>
    </row>
    <row r="388" spans="2:7" x14ac:dyDescent="0.3">
      <c r="B388" s="6"/>
      <c r="C388" s="6"/>
      <c r="D388" s="6"/>
      <c r="E388" s="6"/>
      <c r="F388" s="6"/>
      <c r="G388" s="6"/>
    </row>
    <row r="389" spans="2:7" x14ac:dyDescent="0.3">
      <c r="B389" s="6"/>
      <c r="C389" s="6"/>
      <c r="D389" s="6"/>
      <c r="E389" s="6"/>
      <c r="F389" s="6"/>
      <c r="G389" s="6"/>
    </row>
    <row r="390" spans="2:7" x14ac:dyDescent="0.3">
      <c r="B390" s="6"/>
      <c r="C390" s="6"/>
      <c r="D390" s="6"/>
      <c r="E390" s="6"/>
      <c r="F390" s="6"/>
      <c r="G390" s="6"/>
    </row>
    <row r="391" spans="2:7" x14ac:dyDescent="0.3">
      <c r="B391" s="6"/>
      <c r="C391" s="6"/>
      <c r="D391" s="6"/>
      <c r="E391" s="6"/>
      <c r="F391" s="6"/>
      <c r="G391" s="6"/>
    </row>
    <row r="392" spans="2:7" x14ac:dyDescent="0.3">
      <c r="B392" s="6"/>
      <c r="C392" s="6"/>
      <c r="D392" s="6"/>
      <c r="E392" s="6"/>
      <c r="F392" s="6"/>
      <c r="G392" s="6"/>
    </row>
    <row r="393" spans="2:7" x14ac:dyDescent="0.3">
      <c r="B393" s="6"/>
      <c r="C393" s="6"/>
      <c r="D393" s="6"/>
      <c r="E393" s="6"/>
      <c r="F393" s="6"/>
      <c r="G393" s="6"/>
    </row>
    <row r="394" spans="2:7" x14ac:dyDescent="0.3">
      <c r="B394" s="6"/>
      <c r="C394" s="6"/>
      <c r="D394" s="6"/>
      <c r="E394" s="6"/>
      <c r="F394" s="6"/>
      <c r="G394" s="6"/>
    </row>
    <row r="395" spans="2:7" x14ac:dyDescent="0.3">
      <c r="B395" s="6"/>
      <c r="C395" s="6"/>
      <c r="D395" s="6"/>
      <c r="E395" s="6"/>
      <c r="F395" s="6"/>
      <c r="G395" s="6"/>
    </row>
    <row r="396" spans="2:7" x14ac:dyDescent="0.3">
      <c r="B396" s="6"/>
      <c r="C396" s="6"/>
      <c r="D396" s="6"/>
      <c r="E396" s="6"/>
      <c r="F396" s="6"/>
      <c r="G396" s="6"/>
    </row>
    <row r="398" spans="2:7" x14ac:dyDescent="0.3">
      <c r="B398" s="5"/>
    </row>
    <row r="399" spans="2:7" x14ac:dyDescent="0.3">
      <c r="B399" s="5"/>
    </row>
    <row r="400" spans="2:7" x14ac:dyDescent="0.3">
      <c r="B400" s="10"/>
      <c r="C400" s="10"/>
      <c r="D400" s="10"/>
      <c r="E400" s="10"/>
      <c r="F400" s="10"/>
      <c r="G400" s="10"/>
    </row>
    <row r="401" spans="2:7" x14ac:dyDescent="0.3">
      <c r="B401" s="10"/>
      <c r="C401" s="10"/>
      <c r="D401" s="10"/>
      <c r="E401" s="10"/>
      <c r="F401" s="10"/>
      <c r="G401" s="10"/>
    </row>
    <row r="402" spans="2:7" x14ac:dyDescent="0.3">
      <c r="B402" s="6"/>
      <c r="C402" s="6"/>
      <c r="D402" s="6"/>
      <c r="E402" s="6"/>
      <c r="F402" s="6"/>
      <c r="G402" s="6"/>
    </row>
    <row r="403" spans="2:7" x14ac:dyDescent="0.3">
      <c r="B403" s="6"/>
      <c r="C403" s="6"/>
      <c r="D403" s="6"/>
      <c r="E403" s="6"/>
      <c r="F403" s="6"/>
      <c r="G403" s="6"/>
    </row>
    <row r="404" spans="2:7" x14ac:dyDescent="0.3">
      <c r="B404" s="6"/>
      <c r="C404" s="6"/>
      <c r="D404" s="6"/>
      <c r="E404" s="6"/>
      <c r="F404" s="6"/>
      <c r="G404" s="6"/>
    </row>
    <row r="405" spans="2:7" x14ac:dyDescent="0.3">
      <c r="B405" s="6"/>
      <c r="C405" s="6"/>
      <c r="D405" s="6"/>
      <c r="E405" s="6"/>
      <c r="F405" s="6"/>
      <c r="G405" s="6"/>
    </row>
    <row r="406" spans="2:7" x14ac:dyDescent="0.3">
      <c r="B406" s="6"/>
      <c r="C406" s="6"/>
      <c r="D406" s="6"/>
      <c r="E406" s="6"/>
      <c r="F406" s="6"/>
      <c r="G406" s="6"/>
    </row>
    <row r="407" spans="2:7" x14ac:dyDescent="0.3">
      <c r="B407" s="6"/>
      <c r="C407" s="6"/>
      <c r="D407" s="6"/>
      <c r="E407" s="6"/>
      <c r="F407" s="6"/>
      <c r="G407" s="6"/>
    </row>
    <row r="408" spans="2:7" x14ac:dyDescent="0.3">
      <c r="B408" s="6"/>
      <c r="C408" s="6"/>
      <c r="D408" s="6"/>
      <c r="E408" s="6"/>
      <c r="F408" s="6"/>
      <c r="G408" s="6"/>
    </row>
    <row r="409" spans="2:7" x14ac:dyDescent="0.3">
      <c r="B409" s="6"/>
      <c r="C409" s="6"/>
      <c r="D409" s="6"/>
      <c r="E409" s="6"/>
      <c r="F409" s="6"/>
      <c r="G409" s="6"/>
    </row>
    <row r="410" spans="2:7" x14ac:dyDescent="0.3">
      <c r="B410" s="6"/>
      <c r="C410" s="6"/>
      <c r="D410" s="6"/>
      <c r="E410" s="6"/>
      <c r="F410" s="6"/>
      <c r="G410" s="6"/>
    </row>
    <row r="411" spans="2:7" x14ac:dyDescent="0.3">
      <c r="B411" s="6"/>
      <c r="C411" s="6"/>
      <c r="D411" s="6"/>
      <c r="E411" s="6"/>
      <c r="F411" s="6"/>
      <c r="G411" s="6"/>
    </row>
    <row r="412" spans="2:7" x14ac:dyDescent="0.3">
      <c r="B412" s="6"/>
      <c r="C412" s="6"/>
      <c r="D412" s="6"/>
      <c r="E412" s="6"/>
      <c r="F412" s="6"/>
      <c r="G412" s="6"/>
    </row>
    <row r="413" spans="2:7" x14ac:dyDescent="0.3">
      <c r="B413" s="6"/>
      <c r="C413" s="6"/>
      <c r="D413" s="6"/>
      <c r="E413" s="6"/>
      <c r="F413" s="6"/>
      <c r="G413" s="6"/>
    </row>
    <row r="414" spans="2:7" x14ac:dyDescent="0.3">
      <c r="B414" s="6"/>
      <c r="C414" s="6"/>
      <c r="D414" s="6"/>
      <c r="E414" s="6"/>
      <c r="F414" s="6"/>
      <c r="G414" s="6"/>
    </row>
    <row r="415" spans="2:7" x14ac:dyDescent="0.3">
      <c r="B415" s="6"/>
      <c r="C415" s="6"/>
      <c r="D415" s="6"/>
      <c r="E415" s="6"/>
      <c r="F415" s="6"/>
      <c r="G415" s="6"/>
    </row>
    <row r="416" spans="2:7" x14ac:dyDescent="0.3">
      <c r="B416" s="6"/>
      <c r="C416" s="6"/>
      <c r="D416" s="6"/>
      <c r="E416" s="6"/>
      <c r="F416" s="6"/>
      <c r="G416" s="6"/>
    </row>
    <row r="417" spans="2:7" x14ac:dyDescent="0.3">
      <c r="B417" s="6"/>
      <c r="C417" s="6"/>
      <c r="D417" s="6"/>
      <c r="E417" s="6"/>
      <c r="F417" s="6"/>
      <c r="G417" s="6"/>
    </row>
    <row r="418" spans="2:7" x14ac:dyDescent="0.3">
      <c r="B418" s="6"/>
      <c r="C418" s="6"/>
      <c r="D418" s="6"/>
      <c r="E418" s="6"/>
      <c r="F418" s="6"/>
      <c r="G418" s="6"/>
    </row>
    <row r="419" spans="2:7" x14ac:dyDescent="0.3">
      <c r="B419" s="6"/>
      <c r="C419" s="6"/>
      <c r="D419" s="6"/>
      <c r="E419" s="6"/>
      <c r="F419" s="6"/>
      <c r="G419" s="6"/>
    </row>
    <row r="420" spans="2:7" x14ac:dyDescent="0.3">
      <c r="B420" s="6"/>
      <c r="C420" s="6"/>
      <c r="D420" s="6"/>
      <c r="E420" s="6"/>
      <c r="F420" s="6"/>
      <c r="G420" s="6"/>
    </row>
    <row r="421" spans="2:7" x14ac:dyDescent="0.3">
      <c r="B421" s="6"/>
      <c r="C421" s="6"/>
      <c r="D421" s="6"/>
      <c r="E421" s="6"/>
      <c r="F421" s="6"/>
      <c r="G421" s="6"/>
    </row>
    <row r="422" spans="2:7" x14ac:dyDescent="0.3">
      <c r="B422" s="6"/>
      <c r="C422" s="6"/>
      <c r="D422" s="6"/>
      <c r="E422" s="6"/>
      <c r="F422" s="6"/>
      <c r="G422" s="6"/>
    </row>
    <row r="423" spans="2:7" x14ac:dyDescent="0.3">
      <c r="B423" s="6"/>
      <c r="C423" s="6"/>
      <c r="D423" s="6"/>
      <c r="E423" s="6"/>
      <c r="F423" s="6"/>
      <c r="G423" s="6"/>
    </row>
    <row r="424" spans="2:7" x14ac:dyDescent="0.3">
      <c r="B424" s="6"/>
      <c r="C424" s="6"/>
      <c r="D424" s="6"/>
      <c r="E424" s="6"/>
      <c r="F424" s="6"/>
      <c r="G424" s="6"/>
    </row>
    <row r="425" spans="2:7" x14ac:dyDescent="0.3">
      <c r="B425" s="6"/>
      <c r="C425" s="6"/>
      <c r="D425" s="6"/>
      <c r="E425" s="6"/>
      <c r="F425" s="6"/>
      <c r="G425" s="6"/>
    </row>
    <row r="427" spans="2:7" x14ac:dyDescent="0.3">
      <c r="B427" s="5"/>
    </row>
    <row r="428" spans="2:7" x14ac:dyDescent="0.3">
      <c r="B428" s="5"/>
    </row>
    <row r="429" spans="2:7" x14ac:dyDescent="0.3">
      <c r="B429" s="10"/>
      <c r="C429" s="10"/>
      <c r="D429" s="10"/>
      <c r="E429" s="10"/>
      <c r="F429" s="10"/>
      <c r="G429" s="10"/>
    </row>
    <row r="430" spans="2:7" x14ac:dyDescent="0.3">
      <c r="B430" s="10"/>
      <c r="C430" s="10"/>
      <c r="D430" s="10"/>
      <c r="E430" s="10"/>
      <c r="F430" s="10"/>
      <c r="G430" s="10"/>
    </row>
    <row r="431" spans="2:7" x14ac:dyDescent="0.3">
      <c r="B431" s="6"/>
      <c r="C431" s="6"/>
      <c r="D431" s="6"/>
      <c r="E431" s="6"/>
      <c r="F431" s="6"/>
      <c r="G431" s="6"/>
    </row>
    <row r="432" spans="2:7" x14ac:dyDescent="0.3">
      <c r="B432" s="6"/>
      <c r="C432" s="6"/>
      <c r="D432" s="6"/>
      <c r="E432" s="6"/>
      <c r="F432" s="6"/>
      <c r="G432" s="6"/>
    </row>
    <row r="433" spans="2:7" x14ac:dyDescent="0.3">
      <c r="B433" s="6"/>
      <c r="C433" s="6"/>
      <c r="D433" s="6"/>
      <c r="E433" s="6"/>
      <c r="F433" s="6"/>
      <c r="G433" s="6"/>
    </row>
    <row r="434" spans="2:7" x14ac:dyDescent="0.3">
      <c r="B434" s="6"/>
      <c r="C434" s="6"/>
      <c r="D434" s="6"/>
      <c r="E434" s="6"/>
      <c r="F434" s="6"/>
      <c r="G434" s="6"/>
    </row>
    <row r="435" spans="2:7" x14ac:dyDescent="0.3">
      <c r="B435" s="6"/>
      <c r="C435" s="6"/>
      <c r="D435" s="6"/>
      <c r="E435" s="6"/>
      <c r="F435" s="6"/>
      <c r="G435" s="6"/>
    </row>
    <row r="436" spans="2:7" x14ac:dyDescent="0.3">
      <c r="B436" s="6"/>
      <c r="C436" s="6"/>
      <c r="D436" s="6"/>
      <c r="E436" s="6"/>
      <c r="F436" s="6"/>
      <c r="G436" s="6"/>
    </row>
    <row r="437" spans="2:7" x14ac:dyDescent="0.3">
      <c r="B437" s="6"/>
      <c r="C437" s="6"/>
      <c r="D437" s="6"/>
      <c r="E437" s="6"/>
      <c r="F437" s="6"/>
      <c r="G437" s="6"/>
    </row>
    <row r="438" spans="2:7" x14ac:dyDescent="0.3">
      <c r="B438" s="6"/>
      <c r="C438" s="6"/>
      <c r="D438" s="6"/>
      <c r="E438" s="6"/>
      <c r="F438" s="6"/>
      <c r="G438" s="6"/>
    </row>
    <row r="439" spans="2:7" x14ac:dyDescent="0.3">
      <c r="B439" s="6"/>
      <c r="C439" s="6"/>
      <c r="D439" s="6"/>
      <c r="E439" s="6"/>
      <c r="F439" s="6"/>
      <c r="G439" s="6"/>
    </row>
    <row r="440" spans="2:7" x14ac:dyDescent="0.3">
      <c r="B440" s="6"/>
      <c r="C440" s="6"/>
      <c r="D440" s="6"/>
      <c r="E440" s="6"/>
      <c r="F440" s="6"/>
      <c r="G440" s="6"/>
    </row>
    <row r="441" spans="2:7" x14ac:dyDescent="0.3">
      <c r="B441" s="6"/>
      <c r="C441" s="6"/>
      <c r="D441" s="6"/>
      <c r="E441" s="6"/>
      <c r="F441" s="6"/>
      <c r="G441" s="6"/>
    </row>
    <row r="442" spans="2:7" x14ac:dyDescent="0.3">
      <c r="B442" s="6"/>
      <c r="C442" s="6"/>
      <c r="D442" s="6"/>
      <c r="E442" s="6"/>
      <c r="F442" s="6"/>
      <c r="G442" s="6"/>
    </row>
    <row r="443" spans="2:7" x14ac:dyDescent="0.3">
      <c r="B443" s="6"/>
      <c r="C443" s="6"/>
      <c r="D443" s="6"/>
      <c r="E443" s="6"/>
      <c r="F443" s="6"/>
      <c r="G443" s="6"/>
    </row>
    <row r="444" spans="2:7" x14ac:dyDescent="0.3">
      <c r="B444" s="6"/>
      <c r="C444" s="6"/>
      <c r="D444" s="6"/>
      <c r="E444" s="6"/>
      <c r="F444" s="6"/>
      <c r="G444" s="6"/>
    </row>
    <row r="445" spans="2:7" x14ac:dyDescent="0.3">
      <c r="B445" s="6"/>
      <c r="C445" s="6"/>
      <c r="D445" s="6"/>
      <c r="E445" s="6"/>
      <c r="F445" s="6"/>
      <c r="G445" s="6"/>
    </row>
    <row r="446" spans="2:7" x14ac:dyDescent="0.3">
      <c r="B446" s="6"/>
      <c r="C446" s="6"/>
      <c r="D446" s="6"/>
      <c r="E446" s="6"/>
      <c r="F446" s="6"/>
      <c r="G446" s="6"/>
    </row>
    <row r="447" spans="2:7" x14ac:dyDescent="0.3">
      <c r="B447" s="6"/>
      <c r="C447" s="6"/>
      <c r="D447" s="6"/>
      <c r="E447" s="6"/>
      <c r="F447" s="6"/>
      <c r="G447" s="6"/>
    </row>
    <row r="448" spans="2:7" x14ac:dyDescent="0.3">
      <c r="B448" s="6"/>
      <c r="C448" s="6"/>
      <c r="D448" s="6"/>
      <c r="E448" s="6"/>
      <c r="F448" s="6"/>
      <c r="G448" s="6"/>
    </row>
    <row r="449" spans="2:7" x14ac:dyDescent="0.3">
      <c r="B449" s="6"/>
      <c r="C449" s="6"/>
      <c r="D449" s="6"/>
      <c r="E449" s="6"/>
      <c r="F449" s="6"/>
      <c r="G449" s="6"/>
    </row>
    <row r="450" spans="2:7" x14ac:dyDescent="0.3">
      <c r="B450" s="6"/>
      <c r="C450" s="6"/>
      <c r="D450" s="6"/>
      <c r="E450" s="6"/>
      <c r="F450" s="6"/>
      <c r="G450" s="6"/>
    </row>
    <row r="451" spans="2:7" x14ac:dyDescent="0.3">
      <c r="B451" s="6"/>
      <c r="C451" s="6"/>
      <c r="D451" s="6"/>
      <c r="E451" s="6"/>
      <c r="F451" s="6"/>
      <c r="G451" s="6"/>
    </row>
    <row r="452" spans="2:7" x14ac:dyDescent="0.3">
      <c r="B452" s="6"/>
      <c r="C452" s="6"/>
      <c r="D452" s="6"/>
      <c r="E452" s="6"/>
      <c r="F452" s="6"/>
      <c r="G452" s="6"/>
    </row>
    <row r="453" spans="2:7" x14ac:dyDescent="0.3">
      <c r="B453" s="6"/>
      <c r="C453" s="6"/>
      <c r="D453" s="6"/>
      <c r="E453" s="6"/>
      <c r="F453" s="6"/>
      <c r="G453" s="6"/>
    </row>
    <row r="454" spans="2:7" x14ac:dyDescent="0.3">
      <c r="B454" s="6"/>
      <c r="C454" s="6"/>
      <c r="D454" s="6"/>
      <c r="E454" s="6"/>
      <c r="F454" s="6"/>
      <c r="G454" s="6"/>
    </row>
    <row r="456" spans="2:7" x14ac:dyDescent="0.3">
      <c r="B456" s="5"/>
    </row>
    <row r="457" spans="2:7" x14ac:dyDescent="0.3">
      <c r="B457" s="5"/>
    </row>
    <row r="458" spans="2:7" x14ac:dyDescent="0.3">
      <c r="B458" s="10"/>
      <c r="C458" s="10"/>
    </row>
    <row r="459" spans="2:7" x14ac:dyDescent="0.3">
      <c r="B459" s="6"/>
      <c r="C459" s="6"/>
    </row>
    <row r="461" spans="2:7" x14ac:dyDescent="0.3">
      <c r="B461" s="5"/>
    </row>
    <row r="462" spans="2:7" x14ac:dyDescent="0.3">
      <c r="B462" s="5"/>
    </row>
    <row r="463" spans="2:7" x14ac:dyDescent="0.3">
      <c r="B463" s="10"/>
      <c r="C463" s="10"/>
      <c r="D463" s="10"/>
      <c r="E463" s="10"/>
      <c r="F463" s="10"/>
      <c r="G463" s="10"/>
    </row>
    <row r="464" spans="2:7" x14ac:dyDescent="0.3">
      <c r="B464" s="10"/>
      <c r="C464" s="10"/>
      <c r="D464" s="10"/>
      <c r="E464" s="10"/>
      <c r="F464" s="10"/>
      <c r="G464" s="10"/>
    </row>
    <row r="465" spans="2:7" x14ac:dyDescent="0.3">
      <c r="B465" s="6"/>
      <c r="C465" s="6"/>
      <c r="D465" s="6"/>
      <c r="E465" s="6"/>
      <c r="F465" s="6"/>
      <c r="G465" s="6"/>
    </row>
    <row r="466" spans="2:7" x14ac:dyDescent="0.3">
      <c r="B466" s="6"/>
      <c r="C466" s="6"/>
      <c r="D466" s="6"/>
      <c r="E466" s="6"/>
      <c r="F466" s="6"/>
      <c r="G466" s="6"/>
    </row>
    <row r="467" spans="2:7" x14ac:dyDescent="0.3">
      <c r="B467" s="6"/>
      <c r="C467" s="6"/>
      <c r="D467" s="6"/>
      <c r="E467" s="6"/>
      <c r="F467" s="6"/>
      <c r="G467" s="6"/>
    </row>
    <row r="468" spans="2:7" x14ac:dyDescent="0.3">
      <c r="B468" s="6"/>
      <c r="C468" s="6"/>
      <c r="D468" s="6"/>
      <c r="E468" s="6"/>
      <c r="F468" s="6"/>
      <c r="G468" s="6"/>
    </row>
    <row r="469" spans="2:7" x14ac:dyDescent="0.3">
      <c r="B469" s="6"/>
      <c r="C469" s="6"/>
      <c r="D469" s="6"/>
      <c r="E469" s="6"/>
      <c r="F469" s="6"/>
      <c r="G469" s="6"/>
    </row>
    <row r="470" spans="2:7" x14ac:dyDescent="0.3">
      <c r="B470" s="6"/>
      <c r="C470" s="6"/>
      <c r="D470" s="6"/>
      <c r="E470" s="6"/>
      <c r="F470" s="6"/>
      <c r="G470" s="6"/>
    </row>
    <row r="471" spans="2:7" x14ac:dyDescent="0.3">
      <c r="B471" s="6"/>
      <c r="C471" s="6"/>
      <c r="D471" s="6"/>
      <c r="E471" s="6"/>
      <c r="F471" s="6"/>
      <c r="G471" s="6"/>
    </row>
    <row r="472" spans="2:7" x14ac:dyDescent="0.3">
      <c r="B472" s="6"/>
      <c r="C472" s="6"/>
      <c r="D472" s="6"/>
      <c r="E472" s="6"/>
      <c r="F472" s="6"/>
      <c r="G472" s="6"/>
    </row>
    <row r="473" spans="2:7" x14ac:dyDescent="0.3">
      <c r="B473" s="6"/>
      <c r="C473" s="6"/>
      <c r="D473" s="6"/>
      <c r="E473" s="6"/>
      <c r="F473" s="6"/>
      <c r="G473" s="6"/>
    </row>
    <row r="474" spans="2:7" x14ac:dyDescent="0.3">
      <c r="B474" s="6"/>
      <c r="C474" s="6"/>
      <c r="D474" s="6"/>
      <c r="E474" s="6"/>
      <c r="F474" s="6"/>
      <c r="G474" s="6"/>
    </row>
    <row r="475" spans="2:7" x14ac:dyDescent="0.3">
      <c r="B475" s="6"/>
      <c r="C475" s="6"/>
      <c r="D475" s="6"/>
      <c r="E475" s="6"/>
      <c r="F475" s="6"/>
      <c r="G475" s="6"/>
    </row>
    <row r="476" spans="2:7" x14ac:dyDescent="0.3">
      <c r="B476" s="6"/>
      <c r="C476" s="6"/>
      <c r="D476" s="6"/>
      <c r="E476" s="6"/>
      <c r="F476" s="6"/>
      <c r="G476" s="6"/>
    </row>
    <row r="477" spans="2:7" x14ac:dyDescent="0.3">
      <c r="B477" s="6"/>
      <c r="C477" s="6"/>
      <c r="D477" s="6"/>
      <c r="E477" s="6"/>
      <c r="F477" s="6"/>
      <c r="G477" s="6"/>
    </row>
    <row r="478" spans="2:7" x14ac:dyDescent="0.3">
      <c r="B478" s="6"/>
      <c r="C478" s="6"/>
      <c r="D478" s="6"/>
      <c r="E478" s="6"/>
      <c r="F478" s="6"/>
      <c r="G478" s="6"/>
    </row>
    <row r="479" spans="2:7" x14ac:dyDescent="0.3">
      <c r="B479" s="6"/>
      <c r="C479" s="6"/>
      <c r="D479" s="6"/>
      <c r="E479" s="6"/>
      <c r="F479" s="6"/>
      <c r="G479" s="6"/>
    </row>
    <row r="480" spans="2:7" x14ac:dyDescent="0.3">
      <c r="B480" s="6"/>
      <c r="C480" s="6"/>
      <c r="D480" s="6"/>
      <c r="E480" s="6"/>
      <c r="F480" s="6"/>
      <c r="G480" s="6"/>
    </row>
    <row r="481" spans="2:7" x14ac:dyDescent="0.3">
      <c r="B481" s="6"/>
      <c r="C481" s="6"/>
      <c r="D481" s="6"/>
      <c r="E481" s="6"/>
      <c r="F481" s="6"/>
      <c r="G481" s="6"/>
    </row>
    <row r="482" spans="2:7" x14ac:dyDescent="0.3">
      <c r="B482" s="6"/>
      <c r="C482" s="6"/>
      <c r="D482" s="6"/>
      <c r="E482" s="6"/>
      <c r="F482" s="6"/>
      <c r="G482" s="6"/>
    </row>
    <row r="483" spans="2:7" x14ac:dyDescent="0.3">
      <c r="B483" s="6"/>
      <c r="C483" s="6"/>
      <c r="D483" s="6"/>
      <c r="E483" s="6"/>
      <c r="F483" s="6"/>
      <c r="G483" s="6"/>
    </row>
    <row r="484" spans="2:7" x14ac:dyDescent="0.3">
      <c r="B484" s="6"/>
      <c r="C484" s="6"/>
      <c r="D484" s="6"/>
      <c r="E484" s="6"/>
      <c r="F484" s="6"/>
      <c r="G484" s="6"/>
    </row>
    <row r="485" spans="2:7" x14ac:dyDescent="0.3">
      <c r="B485" s="6"/>
      <c r="C485" s="6"/>
      <c r="D485" s="6"/>
      <c r="E485" s="6"/>
      <c r="F485" s="6"/>
      <c r="G485" s="6"/>
    </row>
    <row r="486" spans="2:7" x14ac:dyDescent="0.3">
      <c r="B486" s="6"/>
      <c r="C486" s="6"/>
      <c r="D486" s="6"/>
      <c r="E486" s="6"/>
      <c r="F486" s="6"/>
      <c r="G486" s="6"/>
    </row>
    <row r="487" spans="2:7" x14ac:dyDescent="0.3">
      <c r="B487" s="6"/>
      <c r="C487" s="6"/>
      <c r="D487" s="6"/>
      <c r="E487" s="6"/>
      <c r="F487" s="6"/>
      <c r="G487" s="6"/>
    </row>
    <row r="488" spans="2:7" x14ac:dyDescent="0.3">
      <c r="B488" s="6"/>
      <c r="C488" s="6"/>
      <c r="D488" s="6"/>
      <c r="E488" s="6"/>
      <c r="F488" s="6"/>
      <c r="G488" s="6"/>
    </row>
    <row r="489" spans="2:7" x14ac:dyDescent="0.3">
      <c r="B489" s="6"/>
      <c r="C489" s="6"/>
      <c r="D489" s="6"/>
      <c r="E489" s="6"/>
      <c r="F489" s="6"/>
      <c r="G489" s="6"/>
    </row>
    <row r="490" spans="2:7" x14ac:dyDescent="0.3">
      <c r="B490" s="6"/>
      <c r="C490" s="6"/>
      <c r="D490" s="6"/>
      <c r="E490" s="6"/>
      <c r="F490" s="6"/>
      <c r="G490" s="6"/>
    </row>
    <row r="491" spans="2:7" x14ac:dyDescent="0.3">
      <c r="B491" s="6"/>
      <c r="C491" s="6"/>
      <c r="D491" s="6"/>
      <c r="E491" s="6"/>
      <c r="F491" s="6"/>
      <c r="G491" s="6"/>
    </row>
    <row r="492" spans="2:7" x14ac:dyDescent="0.3">
      <c r="B492" s="6"/>
      <c r="C492" s="6"/>
      <c r="D492" s="6"/>
      <c r="E492" s="6"/>
      <c r="F492" s="6"/>
      <c r="G492" s="6"/>
    </row>
    <row r="493" spans="2:7" x14ac:dyDescent="0.3">
      <c r="B493" s="6"/>
      <c r="C493" s="6"/>
      <c r="D493" s="6"/>
      <c r="E493" s="6"/>
      <c r="F493" s="6"/>
      <c r="G493" s="6"/>
    </row>
    <row r="494" spans="2:7" x14ac:dyDescent="0.3">
      <c r="B494" s="6"/>
      <c r="C494" s="6"/>
      <c r="D494" s="6"/>
      <c r="E494" s="6"/>
      <c r="F494" s="6"/>
      <c r="G494" s="6"/>
    </row>
    <row r="495" spans="2:7" x14ac:dyDescent="0.3">
      <c r="B495" s="6"/>
      <c r="C495" s="6"/>
      <c r="D495" s="6"/>
      <c r="E495" s="6"/>
      <c r="F495" s="6"/>
      <c r="G495" s="6"/>
    </row>
    <row r="496" spans="2:7" x14ac:dyDescent="0.3">
      <c r="B496" s="6"/>
      <c r="C496" s="6"/>
      <c r="D496" s="6"/>
      <c r="E496" s="6"/>
      <c r="F496" s="6"/>
      <c r="G496" s="6"/>
    </row>
    <row r="497" spans="2:7" x14ac:dyDescent="0.3">
      <c r="B497" s="6"/>
      <c r="C497" s="6"/>
      <c r="D497" s="6"/>
      <c r="E497" s="6"/>
      <c r="F497" s="6"/>
      <c r="G497" s="6"/>
    </row>
    <row r="498" spans="2:7" x14ac:dyDescent="0.3">
      <c r="B498" s="6"/>
      <c r="C498" s="6"/>
      <c r="D498" s="6"/>
      <c r="E498" s="6"/>
      <c r="F498" s="6"/>
      <c r="G498" s="6"/>
    </row>
    <row r="499" spans="2:7" x14ac:dyDescent="0.3">
      <c r="B499" s="6"/>
      <c r="C499" s="6"/>
      <c r="D499" s="6"/>
      <c r="E499" s="6"/>
      <c r="F499" s="6"/>
      <c r="G499" s="6"/>
    </row>
    <row r="500" spans="2:7" x14ac:dyDescent="0.3">
      <c r="B500" s="6"/>
      <c r="C500" s="6"/>
      <c r="D500" s="6"/>
      <c r="E500" s="6"/>
      <c r="F500" s="6"/>
      <c r="G500" s="6"/>
    </row>
    <row r="501" spans="2:7" x14ac:dyDescent="0.3">
      <c r="B501" s="6"/>
      <c r="C501" s="6"/>
      <c r="D501" s="6"/>
      <c r="E501" s="6"/>
      <c r="F501" s="6"/>
      <c r="G501" s="6"/>
    </row>
    <row r="502" spans="2:7" x14ac:dyDescent="0.3">
      <c r="B502" s="6"/>
      <c r="C502" s="6"/>
      <c r="D502" s="6"/>
      <c r="E502" s="6"/>
      <c r="F502" s="6"/>
      <c r="G502" s="6"/>
    </row>
    <row r="503" spans="2:7" x14ac:dyDescent="0.3">
      <c r="B503" s="6"/>
      <c r="C503" s="6"/>
      <c r="D503" s="6"/>
      <c r="E503" s="6"/>
      <c r="F503" s="6"/>
      <c r="G503" s="6"/>
    </row>
    <row r="504" spans="2:7" x14ac:dyDescent="0.3">
      <c r="B504" s="6"/>
      <c r="C504" s="6"/>
      <c r="D504" s="6"/>
      <c r="E504" s="6"/>
      <c r="F504" s="6"/>
      <c r="G504" s="6"/>
    </row>
    <row r="505" spans="2:7" x14ac:dyDescent="0.3">
      <c r="B505" s="6"/>
      <c r="C505" s="6"/>
      <c r="D505" s="6"/>
      <c r="E505" s="6"/>
      <c r="F505" s="6"/>
      <c r="G505" s="6"/>
    </row>
    <row r="506" spans="2:7" x14ac:dyDescent="0.3">
      <c r="B506" s="6"/>
      <c r="C506" s="6"/>
      <c r="D506" s="6"/>
      <c r="E506" s="6"/>
      <c r="F506" s="6"/>
      <c r="G506" s="6"/>
    </row>
    <row r="507" spans="2:7" x14ac:dyDescent="0.3">
      <c r="B507" s="6"/>
      <c r="C507" s="6"/>
      <c r="D507" s="6"/>
      <c r="E507" s="6"/>
      <c r="F507" s="6"/>
      <c r="G507" s="6"/>
    </row>
    <row r="508" spans="2:7" x14ac:dyDescent="0.3">
      <c r="B508" s="6"/>
      <c r="C508" s="6"/>
      <c r="D508" s="6"/>
      <c r="E508" s="6"/>
      <c r="F508" s="6"/>
      <c r="G508" s="6"/>
    </row>
    <row r="509" spans="2:7" x14ac:dyDescent="0.3">
      <c r="B509" s="6"/>
      <c r="C509" s="6"/>
      <c r="D509" s="6"/>
      <c r="E509" s="6"/>
      <c r="F509" s="6"/>
      <c r="G509" s="6"/>
    </row>
    <row r="511" spans="2:7" x14ac:dyDescent="0.3">
      <c r="B511" s="5"/>
    </row>
    <row r="512" spans="2:7" x14ac:dyDescent="0.3">
      <c r="B512" s="5"/>
    </row>
    <row r="513" spans="2:7" x14ac:dyDescent="0.3">
      <c r="B513" s="10"/>
      <c r="C513" s="10"/>
      <c r="D513" s="10"/>
      <c r="E513" s="10"/>
      <c r="F513" s="10"/>
      <c r="G513" s="10"/>
    </row>
    <row r="514" spans="2:7" x14ac:dyDescent="0.3">
      <c r="B514" s="10"/>
      <c r="C514" s="10"/>
      <c r="D514" s="10"/>
      <c r="E514" s="10"/>
      <c r="F514" s="10"/>
      <c r="G514" s="10"/>
    </row>
    <row r="515" spans="2:7" x14ac:dyDescent="0.3">
      <c r="B515" s="6"/>
      <c r="C515" s="6"/>
      <c r="D515" s="6"/>
      <c r="E515" s="6"/>
      <c r="F515" s="6"/>
      <c r="G515" s="6"/>
    </row>
    <row r="516" spans="2:7" x14ac:dyDescent="0.3">
      <c r="B516" s="6"/>
      <c r="C516" s="6"/>
      <c r="D516" s="6"/>
      <c r="E516" s="6"/>
      <c r="F516" s="6"/>
      <c r="G516" s="6"/>
    </row>
    <row r="517" spans="2:7" x14ac:dyDescent="0.3">
      <c r="B517" s="6"/>
      <c r="C517" s="6"/>
      <c r="D517" s="6"/>
      <c r="E517" s="6"/>
      <c r="F517" s="6"/>
      <c r="G517" s="6"/>
    </row>
    <row r="518" spans="2:7" x14ac:dyDescent="0.3">
      <c r="B518" s="6"/>
      <c r="C518" s="6"/>
      <c r="D518" s="6"/>
      <c r="E518" s="6"/>
      <c r="F518" s="6"/>
      <c r="G518" s="6"/>
    </row>
    <row r="519" spans="2:7" x14ac:dyDescent="0.3">
      <c r="B519" s="6"/>
      <c r="C519" s="6"/>
      <c r="D519" s="6"/>
      <c r="E519" s="6"/>
      <c r="F519" s="6"/>
      <c r="G519" s="6"/>
    </row>
    <row r="520" spans="2:7" x14ac:dyDescent="0.3">
      <c r="B520" s="6"/>
      <c r="C520" s="6"/>
      <c r="D520" s="6"/>
      <c r="E520" s="6"/>
      <c r="F520" s="6"/>
      <c r="G520" s="6"/>
    </row>
    <row r="521" spans="2:7" x14ac:dyDescent="0.3">
      <c r="B521" s="6"/>
      <c r="C521" s="6"/>
      <c r="D521" s="6"/>
      <c r="E521" s="6"/>
      <c r="F521" s="6"/>
      <c r="G521" s="6"/>
    </row>
    <row r="522" spans="2:7" x14ac:dyDescent="0.3">
      <c r="B522" s="6"/>
      <c r="C522" s="6"/>
      <c r="D522" s="6"/>
      <c r="E522" s="6"/>
      <c r="F522" s="6"/>
      <c r="G522" s="6"/>
    </row>
    <row r="523" spans="2:7" x14ac:dyDescent="0.3">
      <c r="B523" s="6"/>
      <c r="C523" s="6"/>
      <c r="D523" s="6"/>
      <c r="E523" s="6"/>
      <c r="F523" s="6"/>
      <c r="G523" s="6"/>
    </row>
    <row r="524" spans="2:7" x14ac:dyDescent="0.3">
      <c r="B524" s="6"/>
      <c r="C524" s="6"/>
      <c r="D524" s="6"/>
      <c r="E524" s="6"/>
      <c r="F524" s="6"/>
      <c r="G524" s="6"/>
    </row>
    <row r="525" spans="2:7" x14ac:dyDescent="0.3">
      <c r="B525" s="6"/>
      <c r="C525" s="6"/>
      <c r="D525" s="6"/>
      <c r="E525" s="6"/>
      <c r="F525" s="6"/>
      <c r="G525" s="6"/>
    </row>
    <row r="526" spans="2:7" x14ac:dyDescent="0.3">
      <c r="B526" s="6"/>
      <c r="C526" s="6"/>
      <c r="D526" s="6"/>
      <c r="E526" s="6"/>
      <c r="F526" s="6"/>
      <c r="G526" s="6"/>
    </row>
    <row r="527" spans="2:7" x14ac:dyDescent="0.3">
      <c r="B527" s="6"/>
      <c r="C527" s="6"/>
      <c r="D527" s="6"/>
      <c r="E527" s="6"/>
      <c r="F527" s="6"/>
      <c r="G527" s="6"/>
    </row>
    <row r="528" spans="2:7" x14ac:dyDescent="0.3">
      <c r="B528" s="6"/>
      <c r="C528" s="6"/>
      <c r="D528" s="6"/>
      <c r="E528" s="6"/>
      <c r="F528" s="6"/>
      <c r="G528" s="6"/>
    </row>
    <row r="529" spans="2:7" x14ac:dyDescent="0.3">
      <c r="B529" s="6"/>
      <c r="C529" s="6"/>
      <c r="D529" s="6"/>
      <c r="E529" s="6"/>
      <c r="F529" s="6"/>
      <c r="G529" s="6"/>
    </row>
    <row r="530" spans="2:7" x14ac:dyDescent="0.3">
      <c r="B530" s="6"/>
      <c r="C530" s="6"/>
      <c r="D530" s="6"/>
      <c r="E530" s="6"/>
      <c r="F530" s="6"/>
      <c r="G530" s="6"/>
    </row>
    <row r="531" spans="2:7" x14ac:dyDescent="0.3">
      <c r="B531" s="6"/>
      <c r="C531" s="6"/>
      <c r="D531" s="6"/>
      <c r="E531" s="6"/>
      <c r="F531" s="6"/>
      <c r="G531" s="6"/>
    </row>
    <row r="532" spans="2:7" x14ac:dyDescent="0.3">
      <c r="B532" s="6"/>
      <c r="C532" s="6"/>
      <c r="D532" s="6"/>
      <c r="E532" s="6"/>
      <c r="F532" s="6"/>
      <c r="G532" s="6"/>
    </row>
    <row r="533" spans="2:7" x14ac:dyDescent="0.3">
      <c r="B533" s="6"/>
      <c r="C533" s="6"/>
      <c r="D533" s="6"/>
      <c r="E533" s="6"/>
      <c r="F533" s="6"/>
      <c r="G533" s="6"/>
    </row>
    <row r="534" spans="2:7" x14ac:dyDescent="0.3">
      <c r="B534" s="6"/>
      <c r="C534" s="6"/>
      <c r="D534" s="6"/>
      <c r="E534" s="6"/>
      <c r="F534" s="6"/>
      <c r="G534" s="6"/>
    </row>
    <row r="535" spans="2:7" x14ac:dyDescent="0.3">
      <c r="B535" s="6"/>
      <c r="C535" s="6"/>
      <c r="D535" s="6"/>
      <c r="E535" s="6"/>
      <c r="F535" s="6"/>
      <c r="G535" s="6"/>
    </row>
    <row r="537" spans="2:7" x14ac:dyDescent="0.3">
      <c r="B537" s="5"/>
    </row>
    <row r="538" spans="2:7" x14ac:dyDescent="0.3">
      <c r="B538" s="5"/>
    </row>
    <row r="539" spans="2:7" x14ac:dyDescent="0.3">
      <c r="B539" s="10"/>
      <c r="C539" s="10"/>
      <c r="D539" s="10"/>
      <c r="E539" s="10"/>
      <c r="F539" s="10"/>
      <c r="G539" s="10"/>
    </row>
    <row r="540" spans="2:7" x14ac:dyDescent="0.3">
      <c r="B540" s="10"/>
      <c r="C540" s="10"/>
      <c r="D540" s="10"/>
      <c r="E540" s="10"/>
      <c r="F540" s="10"/>
      <c r="G540" s="10"/>
    </row>
    <row r="541" spans="2:7" x14ac:dyDescent="0.3">
      <c r="B541" s="6"/>
      <c r="C541" s="6"/>
      <c r="D541" s="6"/>
      <c r="E541" s="6"/>
      <c r="F541" s="6"/>
      <c r="G541" s="6"/>
    </row>
    <row r="542" spans="2:7" x14ac:dyDescent="0.3">
      <c r="B542" s="6"/>
      <c r="C542" s="6"/>
      <c r="D542" s="6"/>
      <c r="E542" s="6"/>
      <c r="F542" s="6"/>
      <c r="G542" s="6"/>
    </row>
    <row r="543" spans="2:7" x14ac:dyDescent="0.3">
      <c r="B543" s="6"/>
      <c r="C543" s="6"/>
      <c r="D543" s="6"/>
      <c r="E543" s="6"/>
      <c r="F543" s="6"/>
      <c r="G543" s="6"/>
    </row>
    <row r="544" spans="2:7" x14ac:dyDescent="0.3">
      <c r="B544" s="6"/>
      <c r="C544" s="6"/>
      <c r="D544" s="6"/>
      <c r="E544" s="6"/>
      <c r="F544" s="6"/>
      <c r="G544" s="6"/>
    </row>
    <row r="545" spans="2:7" x14ac:dyDescent="0.3">
      <c r="B545" s="6"/>
      <c r="C545" s="6"/>
      <c r="D545" s="6"/>
      <c r="E545" s="6"/>
      <c r="F545" s="6"/>
      <c r="G545" s="6"/>
    </row>
    <row r="546" spans="2:7" x14ac:dyDescent="0.3">
      <c r="B546" s="6"/>
      <c r="C546" s="6"/>
      <c r="D546" s="6"/>
      <c r="E546" s="6"/>
      <c r="F546" s="6"/>
      <c r="G546" s="6"/>
    </row>
    <row r="547" spans="2:7" x14ac:dyDescent="0.3">
      <c r="B547" s="6"/>
      <c r="C547" s="6"/>
      <c r="D547" s="6"/>
      <c r="E547" s="6"/>
      <c r="F547" s="6"/>
      <c r="G547" s="6"/>
    </row>
    <row r="548" spans="2:7" x14ac:dyDescent="0.3">
      <c r="B548" s="6"/>
      <c r="C548" s="6"/>
      <c r="D548" s="6"/>
      <c r="E548" s="6"/>
      <c r="F548" s="6"/>
      <c r="G548" s="6"/>
    </row>
    <row r="549" spans="2:7" x14ac:dyDescent="0.3">
      <c r="B549" s="6"/>
      <c r="C549" s="6"/>
      <c r="D549" s="6"/>
      <c r="E549" s="6"/>
      <c r="F549" s="6"/>
      <c r="G549" s="6"/>
    </row>
    <row r="550" spans="2:7" x14ac:dyDescent="0.3">
      <c r="B550" s="6"/>
      <c r="C550" s="6"/>
      <c r="D550" s="6"/>
      <c r="E550" s="6"/>
      <c r="F550" s="6"/>
      <c r="G550" s="6"/>
    </row>
    <row r="551" spans="2:7" x14ac:dyDescent="0.3">
      <c r="B551" s="6"/>
      <c r="C551" s="6"/>
      <c r="D551" s="6"/>
      <c r="E551" s="6"/>
      <c r="F551" s="6"/>
      <c r="G551" s="6"/>
    </row>
    <row r="552" spans="2:7" x14ac:dyDescent="0.3">
      <c r="B552" s="6"/>
      <c r="C552" s="6"/>
      <c r="D552" s="6"/>
      <c r="E552" s="6"/>
      <c r="F552" s="6"/>
      <c r="G552" s="6"/>
    </row>
    <row r="553" spans="2:7" x14ac:dyDescent="0.3">
      <c r="B553" s="6"/>
      <c r="C553" s="6"/>
      <c r="D553" s="6"/>
      <c r="E553" s="6"/>
      <c r="F553" s="6"/>
      <c r="G553" s="6"/>
    </row>
    <row r="554" spans="2:7" x14ac:dyDescent="0.3">
      <c r="B554" s="6"/>
      <c r="C554" s="6"/>
      <c r="D554" s="6"/>
      <c r="E554" s="6"/>
      <c r="F554" s="6"/>
      <c r="G554" s="6"/>
    </row>
    <row r="555" spans="2:7" x14ac:dyDescent="0.3">
      <c r="B555" s="6"/>
      <c r="C555" s="6"/>
      <c r="D555" s="6"/>
      <c r="E555" s="6"/>
      <c r="F555" s="6"/>
      <c r="G555" s="6"/>
    </row>
    <row r="556" spans="2:7" x14ac:dyDescent="0.3">
      <c r="B556" s="6"/>
      <c r="C556" s="6"/>
      <c r="D556" s="6"/>
      <c r="E556" s="6"/>
      <c r="F556" s="6"/>
      <c r="G556" s="6"/>
    </row>
    <row r="557" spans="2:7" x14ac:dyDescent="0.3">
      <c r="B557" s="6"/>
      <c r="C557" s="6"/>
      <c r="D557" s="6"/>
      <c r="E557" s="6"/>
      <c r="F557" s="6"/>
      <c r="G557" s="6"/>
    </row>
    <row r="558" spans="2:7" x14ac:dyDescent="0.3">
      <c r="B558" s="6"/>
      <c r="C558" s="6"/>
      <c r="D558" s="6"/>
      <c r="E558" s="6"/>
      <c r="F558" s="6"/>
      <c r="G558" s="6"/>
    </row>
    <row r="559" spans="2:7" x14ac:dyDescent="0.3">
      <c r="B559" s="6"/>
      <c r="C559" s="6"/>
      <c r="D559" s="6"/>
      <c r="E559" s="6"/>
      <c r="F559" s="6"/>
      <c r="G559" s="6"/>
    </row>
    <row r="560" spans="2:7" x14ac:dyDescent="0.3">
      <c r="B560" s="6"/>
      <c r="C560" s="6"/>
      <c r="D560" s="6"/>
      <c r="E560" s="6"/>
      <c r="F560" s="6"/>
      <c r="G560" s="6"/>
    </row>
    <row r="561" spans="2:7" x14ac:dyDescent="0.3">
      <c r="B561" s="6"/>
      <c r="C561" s="6"/>
      <c r="D561" s="6"/>
      <c r="E561" s="6"/>
      <c r="F561" s="6"/>
      <c r="G561" s="6"/>
    </row>
    <row r="562" spans="2:7" x14ac:dyDescent="0.3">
      <c r="B562" s="6"/>
      <c r="C562" s="6"/>
      <c r="D562" s="6"/>
      <c r="E562" s="6"/>
      <c r="F562" s="6"/>
      <c r="G562" s="6"/>
    </row>
    <row r="563" spans="2:7" x14ac:dyDescent="0.3">
      <c r="B563" s="6"/>
      <c r="C563" s="6"/>
      <c r="D563" s="6"/>
      <c r="E563" s="6"/>
      <c r="F563" s="6"/>
      <c r="G563" s="6"/>
    </row>
    <row r="564" spans="2:7" x14ac:dyDescent="0.3">
      <c r="B564" s="6"/>
      <c r="C564" s="6"/>
      <c r="D564" s="6"/>
      <c r="E564" s="6"/>
      <c r="F564" s="6"/>
      <c r="G564" s="6"/>
    </row>
    <row r="566" spans="2:7" x14ac:dyDescent="0.3">
      <c r="B566" s="5"/>
    </row>
    <row r="567" spans="2:7" x14ac:dyDescent="0.3">
      <c r="B567" s="5"/>
    </row>
    <row r="568" spans="2:7" x14ac:dyDescent="0.3">
      <c r="B568" s="10"/>
      <c r="C568" s="10"/>
      <c r="D568" s="10"/>
      <c r="E568" s="10"/>
      <c r="F568" s="10"/>
      <c r="G568" s="10"/>
    </row>
    <row r="569" spans="2:7" x14ac:dyDescent="0.3">
      <c r="B569" s="10"/>
      <c r="C569" s="10"/>
      <c r="D569" s="10"/>
      <c r="E569" s="10"/>
      <c r="F569" s="10"/>
      <c r="G569" s="10"/>
    </row>
    <row r="570" spans="2:7" x14ac:dyDescent="0.3">
      <c r="B570" s="6"/>
      <c r="C570" s="6"/>
      <c r="D570" s="6"/>
      <c r="E570" s="6"/>
      <c r="F570" s="6"/>
      <c r="G570" s="6"/>
    </row>
    <row r="571" spans="2:7" x14ac:dyDescent="0.3">
      <c r="B571" s="6"/>
      <c r="C571" s="6"/>
      <c r="D571" s="6"/>
      <c r="E571" s="6"/>
      <c r="F571" s="6"/>
      <c r="G571" s="6"/>
    </row>
    <row r="572" spans="2:7" x14ac:dyDescent="0.3">
      <c r="B572" s="6"/>
      <c r="C572" s="6"/>
      <c r="D572" s="6"/>
      <c r="E572" s="6"/>
      <c r="F572" s="6"/>
      <c r="G572" s="6"/>
    </row>
    <row r="573" spans="2:7" x14ac:dyDescent="0.3">
      <c r="B573" s="6"/>
      <c r="C573" s="6"/>
      <c r="D573" s="6"/>
      <c r="E573" s="6"/>
      <c r="F573" s="6"/>
      <c r="G573" s="6"/>
    </row>
    <row r="574" spans="2:7" x14ac:dyDescent="0.3">
      <c r="B574" s="6"/>
      <c r="C574" s="6"/>
      <c r="D574" s="6"/>
      <c r="E574" s="6"/>
      <c r="F574" s="6"/>
      <c r="G574" s="6"/>
    </row>
    <row r="575" spans="2:7" x14ac:dyDescent="0.3">
      <c r="B575" s="6"/>
      <c r="C575" s="6"/>
      <c r="D575" s="6"/>
      <c r="E575" s="6"/>
      <c r="F575" s="6"/>
      <c r="G575" s="6"/>
    </row>
    <row r="576" spans="2:7" x14ac:dyDescent="0.3">
      <c r="B576" s="6"/>
      <c r="C576" s="6"/>
      <c r="D576" s="6"/>
      <c r="E576" s="6"/>
      <c r="F576" s="6"/>
      <c r="G576" s="6"/>
    </row>
    <row r="577" spans="2:7" x14ac:dyDescent="0.3">
      <c r="B577" s="6"/>
      <c r="C577" s="6"/>
      <c r="D577" s="6"/>
      <c r="E577" s="6"/>
      <c r="F577" s="6"/>
      <c r="G577" s="6"/>
    </row>
    <row r="578" spans="2:7" x14ac:dyDescent="0.3">
      <c r="B578" s="6"/>
      <c r="C578" s="6"/>
      <c r="D578" s="6"/>
      <c r="E578" s="6"/>
      <c r="F578" s="6"/>
      <c r="G578" s="6"/>
    </row>
    <row r="579" spans="2:7" x14ac:dyDescent="0.3">
      <c r="B579" s="6"/>
      <c r="C579" s="6"/>
      <c r="D579" s="6"/>
      <c r="E579" s="6"/>
      <c r="F579" s="6"/>
      <c r="G579" s="6"/>
    </row>
    <row r="580" spans="2:7" x14ac:dyDescent="0.3">
      <c r="B580" s="6"/>
      <c r="C580" s="6"/>
      <c r="D580" s="6"/>
      <c r="E580" s="6"/>
      <c r="F580" s="6"/>
      <c r="G580" s="6"/>
    </row>
    <row r="581" spans="2:7" x14ac:dyDescent="0.3">
      <c r="B581" s="6"/>
      <c r="C581" s="6"/>
      <c r="D581" s="6"/>
      <c r="E581" s="6"/>
      <c r="F581" s="6"/>
      <c r="G581" s="6"/>
    </row>
    <row r="582" spans="2:7" x14ac:dyDescent="0.3">
      <c r="B582" s="6"/>
      <c r="C582" s="6"/>
      <c r="D582" s="6"/>
      <c r="E582" s="6"/>
      <c r="F582" s="6"/>
      <c r="G582" s="6"/>
    </row>
    <row r="583" spans="2:7" x14ac:dyDescent="0.3">
      <c r="B583" s="6"/>
      <c r="C583" s="6"/>
      <c r="D583" s="6"/>
      <c r="E583" s="6"/>
      <c r="F583" s="6"/>
      <c r="G583" s="6"/>
    </row>
    <row r="584" spans="2:7" x14ac:dyDescent="0.3">
      <c r="B584" s="6"/>
      <c r="C584" s="6"/>
      <c r="D584" s="6"/>
      <c r="E584" s="6"/>
      <c r="F584" s="6"/>
      <c r="G584" s="6"/>
    </row>
    <row r="585" spans="2:7" x14ac:dyDescent="0.3">
      <c r="B585" s="6"/>
      <c r="C585" s="6"/>
      <c r="D585" s="6"/>
      <c r="E585" s="6"/>
      <c r="F585" s="6"/>
      <c r="G585" s="6"/>
    </row>
    <row r="586" spans="2:7" x14ac:dyDescent="0.3">
      <c r="B586" s="6"/>
      <c r="C586" s="6"/>
      <c r="D586" s="6"/>
      <c r="E586" s="6"/>
      <c r="F586" s="6"/>
      <c r="G586" s="6"/>
    </row>
    <row r="587" spans="2:7" x14ac:dyDescent="0.3">
      <c r="B587" s="6"/>
      <c r="C587" s="6"/>
      <c r="D587" s="6"/>
      <c r="E587" s="6"/>
      <c r="F587" s="6"/>
      <c r="G587" s="6"/>
    </row>
    <row r="588" spans="2:7" x14ac:dyDescent="0.3">
      <c r="B588" s="6"/>
      <c r="C588" s="6"/>
      <c r="D588" s="6"/>
      <c r="E588" s="6"/>
      <c r="F588" s="6"/>
      <c r="G588" s="6"/>
    </row>
    <row r="589" spans="2:7" x14ac:dyDescent="0.3">
      <c r="B589" s="6"/>
      <c r="C589" s="6"/>
      <c r="D589" s="6"/>
      <c r="E589" s="6"/>
      <c r="F589" s="6"/>
      <c r="G589" s="6"/>
    </row>
    <row r="590" spans="2:7" x14ac:dyDescent="0.3">
      <c r="B590" s="6"/>
      <c r="C590" s="6"/>
      <c r="D590" s="6"/>
      <c r="E590" s="6"/>
      <c r="F590" s="6"/>
      <c r="G590" s="6"/>
    </row>
    <row r="592" spans="2:7" x14ac:dyDescent="0.3">
      <c r="B592" s="5"/>
    </row>
    <row r="593" spans="2:7" x14ac:dyDescent="0.3">
      <c r="B593" s="5"/>
    </row>
    <row r="594" spans="2:7" x14ac:dyDescent="0.3">
      <c r="B594" s="10"/>
      <c r="C594" s="10"/>
      <c r="D594" s="10"/>
      <c r="E594" s="10"/>
      <c r="F594" s="10"/>
      <c r="G594" s="10"/>
    </row>
    <row r="595" spans="2:7" x14ac:dyDescent="0.3">
      <c r="B595" s="10"/>
      <c r="C595" s="10"/>
      <c r="D595" s="10"/>
      <c r="E595" s="10"/>
      <c r="F595" s="10"/>
      <c r="G595" s="10"/>
    </row>
    <row r="596" spans="2:7" x14ac:dyDescent="0.3">
      <c r="B596" s="6"/>
      <c r="C596" s="6"/>
      <c r="D596" s="6"/>
      <c r="E596" s="6"/>
      <c r="F596" s="6"/>
      <c r="G596" s="6"/>
    </row>
    <row r="597" spans="2:7" x14ac:dyDescent="0.3">
      <c r="B597" s="6"/>
      <c r="C597" s="6"/>
      <c r="D597" s="6"/>
      <c r="E597" s="6"/>
      <c r="F597" s="6"/>
      <c r="G597" s="6"/>
    </row>
    <row r="598" spans="2:7" x14ac:dyDescent="0.3">
      <c r="B598" s="6"/>
      <c r="C598" s="6"/>
      <c r="D598" s="6"/>
      <c r="E598" s="6"/>
      <c r="F598" s="6"/>
      <c r="G598" s="6"/>
    </row>
    <row r="599" spans="2:7" x14ac:dyDescent="0.3">
      <c r="B599" s="6"/>
      <c r="C599" s="6"/>
      <c r="D599" s="6"/>
      <c r="E599" s="6"/>
      <c r="F599" s="6"/>
      <c r="G599" s="6"/>
    </row>
    <row r="600" spans="2:7" x14ac:dyDescent="0.3">
      <c r="B600" s="6"/>
      <c r="C600" s="6"/>
      <c r="D600" s="6"/>
      <c r="E600" s="6"/>
      <c r="F600" s="6"/>
      <c r="G600" s="6"/>
    </row>
    <row r="601" spans="2:7" x14ac:dyDescent="0.3">
      <c r="B601" s="6"/>
      <c r="C601" s="6"/>
      <c r="D601" s="6"/>
      <c r="E601" s="6"/>
      <c r="F601" s="6"/>
      <c r="G601" s="6"/>
    </row>
    <row r="602" spans="2:7" x14ac:dyDescent="0.3">
      <c r="B602" s="6"/>
      <c r="C602" s="6"/>
      <c r="D602" s="6"/>
      <c r="E602" s="6"/>
      <c r="F602" s="6"/>
      <c r="G602" s="6"/>
    </row>
    <row r="603" spans="2:7" x14ac:dyDescent="0.3">
      <c r="B603" s="6"/>
      <c r="C603" s="6"/>
      <c r="D603" s="6"/>
      <c r="E603" s="6"/>
      <c r="F603" s="6"/>
      <c r="G603" s="6"/>
    </row>
    <row r="604" spans="2:7" x14ac:dyDescent="0.3">
      <c r="B604" s="6"/>
      <c r="C604" s="6"/>
      <c r="D604" s="6"/>
      <c r="E604" s="6"/>
      <c r="F604" s="6"/>
      <c r="G604" s="6"/>
    </row>
    <row r="605" spans="2:7" x14ac:dyDescent="0.3">
      <c r="B605" s="6"/>
      <c r="C605" s="6"/>
      <c r="D605" s="6"/>
      <c r="E605" s="6"/>
      <c r="F605" s="6"/>
      <c r="G605" s="6"/>
    </row>
    <row r="606" spans="2:7" x14ac:dyDescent="0.3">
      <c r="B606" s="6"/>
      <c r="C606" s="6"/>
      <c r="D606" s="6"/>
      <c r="E606" s="6"/>
      <c r="F606" s="6"/>
      <c r="G606" s="6"/>
    </row>
    <row r="607" spans="2:7" x14ac:dyDescent="0.3">
      <c r="B607" s="6"/>
      <c r="C607" s="6"/>
      <c r="D607" s="6"/>
      <c r="E607" s="6"/>
      <c r="F607" s="6"/>
      <c r="G607" s="6"/>
    </row>
    <row r="608" spans="2:7" x14ac:dyDescent="0.3">
      <c r="B608" s="6"/>
      <c r="C608" s="6"/>
      <c r="D608" s="6"/>
      <c r="E608" s="6"/>
      <c r="F608" s="6"/>
      <c r="G608" s="6"/>
    </row>
    <row r="609" spans="2:7" x14ac:dyDescent="0.3">
      <c r="B609" s="6"/>
      <c r="C609" s="6"/>
      <c r="D609" s="6"/>
      <c r="E609" s="6"/>
      <c r="F609" s="6"/>
      <c r="G609" s="6"/>
    </row>
    <row r="610" spans="2:7" x14ac:dyDescent="0.3">
      <c r="B610" s="6"/>
      <c r="C610" s="6"/>
      <c r="D610" s="6"/>
      <c r="E610" s="6"/>
      <c r="F610" s="6"/>
      <c r="G610" s="6"/>
    </row>
    <row r="611" spans="2:7" x14ac:dyDescent="0.3">
      <c r="B611" s="6"/>
      <c r="C611" s="6"/>
      <c r="D611" s="6"/>
      <c r="E611" s="6"/>
      <c r="F611" s="6"/>
      <c r="G611" s="6"/>
    </row>
    <row r="612" spans="2:7" x14ac:dyDescent="0.3">
      <c r="B612" s="6"/>
      <c r="C612" s="6"/>
      <c r="D612" s="6"/>
      <c r="E612" s="6"/>
      <c r="F612" s="6"/>
      <c r="G612" s="6"/>
    </row>
    <row r="613" spans="2:7" x14ac:dyDescent="0.3">
      <c r="B613" s="6"/>
      <c r="C613" s="6"/>
      <c r="D613" s="6"/>
      <c r="E613" s="6"/>
      <c r="F613" s="6"/>
      <c r="G613" s="6"/>
    </row>
    <row r="614" spans="2:7" x14ac:dyDescent="0.3">
      <c r="B614" s="6"/>
      <c r="C614" s="6"/>
      <c r="D614" s="6"/>
      <c r="E614" s="6"/>
      <c r="F614" s="6"/>
      <c r="G614" s="6"/>
    </row>
    <row r="615" spans="2:7" x14ac:dyDescent="0.3">
      <c r="B615" s="6"/>
      <c r="C615" s="6"/>
      <c r="D615" s="6"/>
      <c r="E615" s="6"/>
      <c r="F615" s="6"/>
      <c r="G615" s="6"/>
    </row>
    <row r="616" spans="2:7" x14ac:dyDescent="0.3">
      <c r="B616" s="6"/>
      <c r="C616" s="6"/>
      <c r="D616" s="6"/>
      <c r="E616" s="6"/>
      <c r="F616" s="6"/>
      <c r="G616" s="6"/>
    </row>
    <row r="618" spans="2:7" x14ac:dyDescent="0.3">
      <c r="B618" s="5"/>
    </row>
    <row r="619" spans="2:7" x14ac:dyDescent="0.3">
      <c r="B619" s="5"/>
    </row>
    <row r="620" spans="2:7" x14ac:dyDescent="0.3">
      <c r="B620" s="10"/>
      <c r="C620" s="10"/>
      <c r="D620" s="10"/>
      <c r="E620" s="10"/>
      <c r="F620" s="10"/>
      <c r="G620" s="10"/>
    </row>
    <row r="621" spans="2:7" x14ac:dyDescent="0.3">
      <c r="B621" s="10"/>
      <c r="C621" s="10"/>
      <c r="D621" s="10"/>
      <c r="E621" s="10"/>
      <c r="F621" s="10"/>
      <c r="G621" s="10"/>
    </row>
    <row r="622" spans="2:7" x14ac:dyDescent="0.3">
      <c r="B622" s="6"/>
      <c r="C622" s="6"/>
      <c r="D622" s="6"/>
      <c r="E622" s="6"/>
      <c r="F622" s="6"/>
      <c r="G622" s="6"/>
    </row>
    <row r="623" spans="2:7" x14ac:dyDescent="0.3">
      <c r="B623" s="6"/>
      <c r="C623" s="6"/>
      <c r="D623" s="6"/>
      <c r="E623" s="6"/>
      <c r="F623" s="6"/>
      <c r="G623" s="6"/>
    </row>
    <row r="624" spans="2:7" x14ac:dyDescent="0.3">
      <c r="B624" s="6"/>
      <c r="C624" s="6"/>
      <c r="D624" s="6"/>
      <c r="E624" s="6"/>
      <c r="F624" s="6"/>
      <c r="G624" s="6"/>
    </row>
    <row r="625" spans="2:7" x14ac:dyDescent="0.3">
      <c r="B625" s="6"/>
      <c r="C625" s="6"/>
      <c r="D625" s="6"/>
      <c r="E625" s="6"/>
      <c r="F625" s="6"/>
      <c r="G625" s="6"/>
    </row>
    <row r="626" spans="2:7" x14ac:dyDescent="0.3">
      <c r="B626" s="6"/>
      <c r="C626" s="6"/>
      <c r="D626" s="6"/>
      <c r="E626" s="6"/>
      <c r="F626" s="6"/>
      <c r="G626" s="6"/>
    </row>
    <row r="627" spans="2:7" x14ac:dyDescent="0.3">
      <c r="B627" s="6"/>
      <c r="C627" s="6"/>
      <c r="D627" s="6"/>
      <c r="E627" s="6"/>
      <c r="F627" s="6"/>
      <c r="G627" s="6"/>
    </row>
    <row r="628" spans="2:7" x14ac:dyDescent="0.3">
      <c r="B628" s="6"/>
      <c r="C628" s="6"/>
      <c r="D628" s="6"/>
      <c r="E628" s="6"/>
      <c r="F628" s="6"/>
      <c r="G628" s="6"/>
    </row>
    <row r="629" spans="2:7" x14ac:dyDescent="0.3">
      <c r="B629" s="6"/>
      <c r="C629" s="6"/>
      <c r="D629" s="6"/>
      <c r="E629" s="6"/>
      <c r="F629" s="6"/>
      <c r="G629" s="6"/>
    </row>
    <row r="630" spans="2:7" x14ac:dyDescent="0.3">
      <c r="B630" s="6"/>
      <c r="C630" s="6"/>
      <c r="D630" s="6"/>
      <c r="E630" s="6"/>
      <c r="F630" s="6"/>
      <c r="G630" s="6"/>
    </row>
    <row r="631" spans="2:7" x14ac:dyDescent="0.3">
      <c r="B631" s="6"/>
      <c r="C631" s="6"/>
      <c r="D631" s="6"/>
      <c r="E631" s="6"/>
      <c r="F631" s="6"/>
      <c r="G631" s="6"/>
    </row>
    <row r="632" spans="2:7" x14ac:dyDescent="0.3">
      <c r="B632" s="6"/>
      <c r="C632" s="6"/>
      <c r="D632" s="6"/>
      <c r="E632" s="6"/>
      <c r="F632" s="6"/>
      <c r="G632" s="6"/>
    </row>
    <row r="633" spans="2:7" x14ac:dyDescent="0.3">
      <c r="B633" s="6"/>
      <c r="C633" s="6"/>
      <c r="D633" s="6"/>
      <c r="E633" s="6"/>
      <c r="F633" s="6"/>
      <c r="G633" s="6"/>
    </row>
    <row r="634" spans="2:7" x14ac:dyDescent="0.3">
      <c r="B634" s="6"/>
      <c r="C634" s="6"/>
      <c r="D634" s="6"/>
      <c r="E634" s="6"/>
      <c r="F634" s="6"/>
      <c r="G634" s="6"/>
    </row>
    <row r="635" spans="2:7" x14ac:dyDescent="0.3">
      <c r="B635" s="6"/>
      <c r="C635" s="6"/>
      <c r="D635" s="6"/>
      <c r="E635" s="6"/>
      <c r="F635" s="6"/>
      <c r="G635" s="6"/>
    </row>
    <row r="636" spans="2:7" x14ac:dyDescent="0.3">
      <c r="B636" s="6"/>
      <c r="C636" s="6"/>
      <c r="D636" s="6"/>
      <c r="E636" s="6"/>
      <c r="F636" s="6"/>
      <c r="G636" s="6"/>
    </row>
    <row r="637" spans="2:7" x14ac:dyDescent="0.3">
      <c r="B637" s="6"/>
      <c r="C637" s="6"/>
      <c r="D637" s="6"/>
      <c r="E637" s="6"/>
      <c r="F637" s="6"/>
      <c r="G637" s="6"/>
    </row>
    <row r="638" spans="2:7" x14ac:dyDescent="0.3">
      <c r="B638" s="6"/>
      <c r="C638" s="6"/>
      <c r="D638" s="6"/>
      <c r="E638" s="6"/>
      <c r="F638" s="6"/>
      <c r="G638" s="6"/>
    </row>
    <row r="639" spans="2:7" x14ac:dyDescent="0.3">
      <c r="B639" s="6"/>
      <c r="C639" s="6"/>
      <c r="D639" s="6"/>
      <c r="E639" s="6"/>
      <c r="F639" s="6"/>
      <c r="G639" s="6"/>
    </row>
    <row r="640" spans="2:7" x14ac:dyDescent="0.3">
      <c r="B640" s="6"/>
      <c r="C640" s="6"/>
      <c r="D640" s="6"/>
      <c r="E640" s="6"/>
      <c r="F640" s="6"/>
      <c r="G640" s="6"/>
    </row>
    <row r="641" spans="2:7" x14ac:dyDescent="0.3">
      <c r="B641" s="6"/>
      <c r="C641" s="6"/>
      <c r="D641" s="6"/>
      <c r="E641" s="6"/>
      <c r="F641" s="6"/>
      <c r="G641" s="6"/>
    </row>
    <row r="643" spans="2:7" x14ac:dyDescent="0.3">
      <c r="B643" s="5"/>
    </row>
    <row r="644" spans="2:7" x14ac:dyDescent="0.3">
      <c r="B644" s="5"/>
    </row>
    <row r="645" spans="2:7" x14ac:dyDescent="0.3">
      <c r="B645" s="10"/>
      <c r="C645" s="10"/>
      <c r="D645" s="10"/>
      <c r="E645" s="10"/>
      <c r="F645" s="10"/>
      <c r="G645" s="10"/>
    </row>
    <row r="646" spans="2:7" x14ac:dyDescent="0.3">
      <c r="B646" s="10"/>
      <c r="C646" s="10"/>
      <c r="D646" s="10"/>
      <c r="E646" s="10"/>
      <c r="F646" s="10"/>
      <c r="G646" s="10"/>
    </row>
    <row r="647" spans="2:7" x14ac:dyDescent="0.3">
      <c r="B647" s="6"/>
      <c r="C647" s="6"/>
      <c r="D647" s="6"/>
      <c r="E647" s="6"/>
      <c r="F647" s="6"/>
      <c r="G647" s="6"/>
    </row>
    <row r="648" spans="2:7" x14ac:dyDescent="0.3">
      <c r="B648" s="6"/>
      <c r="C648" s="6"/>
      <c r="D648" s="6"/>
      <c r="E648" s="6"/>
      <c r="F648" s="6"/>
      <c r="G648" s="6"/>
    </row>
    <row r="649" spans="2:7" x14ac:dyDescent="0.3">
      <c r="B649" s="6"/>
      <c r="C649" s="6"/>
      <c r="D649" s="6"/>
      <c r="E649" s="6"/>
      <c r="F649" s="6"/>
      <c r="G649" s="6"/>
    </row>
    <row r="650" spans="2:7" x14ac:dyDescent="0.3">
      <c r="B650" s="6"/>
      <c r="C650" s="6"/>
      <c r="D650" s="6"/>
      <c r="E650" s="6"/>
      <c r="F650" s="6"/>
      <c r="G650" s="6"/>
    </row>
    <row r="651" spans="2:7" x14ac:dyDescent="0.3">
      <c r="B651" s="6"/>
      <c r="C651" s="6"/>
      <c r="D651" s="6"/>
      <c r="E651" s="6"/>
      <c r="F651" s="6"/>
      <c r="G651" s="6"/>
    </row>
    <row r="652" spans="2:7" x14ac:dyDescent="0.3">
      <c r="B652" s="6"/>
      <c r="C652" s="6"/>
      <c r="D652" s="6"/>
      <c r="E652" s="6"/>
      <c r="F652" s="6"/>
      <c r="G652" s="6"/>
    </row>
    <row r="653" spans="2:7" x14ac:dyDescent="0.3">
      <c r="B653" s="6"/>
      <c r="C653" s="6"/>
      <c r="D653" s="6"/>
      <c r="E653" s="6"/>
      <c r="F653" s="6"/>
      <c r="G653" s="6"/>
    </row>
    <row r="654" spans="2:7" x14ac:dyDescent="0.3">
      <c r="B654" s="6"/>
      <c r="C654" s="6"/>
      <c r="D654" s="6"/>
      <c r="E654" s="6"/>
      <c r="F654" s="6"/>
      <c r="G654" s="6"/>
    </row>
    <row r="655" spans="2:7" x14ac:dyDescent="0.3">
      <c r="B655" s="6"/>
      <c r="C655" s="6"/>
      <c r="D655" s="6"/>
      <c r="E655" s="6"/>
      <c r="F655" s="6"/>
      <c r="G655" s="6"/>
    </row>
    <row r="656" spans="2:7" x14ac:dyDescent="0.3">
      <c r="B656" s="6"/>
      <c r="C656" s="6"/>
      <c r="D656" s="6"/>
      <c r="E656" s="6"/>
      <c r="F656" s="6"/>
      <c r="G656" s="6"/>
    </row>
    <row r="657" spans="2:7" x14ac:dyDescent="0.3">
      <c r="B657" s="6"/>
      <c r="C657" s="6"/>
      <c r="D657" s="6"/>
      <c r="E657" s="6"/>
      <c r="F657" s="6"/>
      <c r="G657" s="6"/>
    </row>
    <row r="658" spans="2:7" x14ac:dyDescent="0.3">
      <c r="B658" s="6"/>
      <c r="C658" s="6"/>
      <c r="D658" s="6"/>
      <c r="E658" s="6"/>
      <c r="F658" s="6"/>
      <c r="G658" s="6"/>
    </row>
    <row r="659" spans="2:7" x14ac:dyDescent="0.3">
      <c r="B659" s="6"/>
      <c r="C659" s="6"/>
      <c r="D659" s="6"/>
      <c r="E659" s="6"/>
      <c r="F659" s="6"/>
      <c r="G659" s="6"/>
    </row>
    <row r="660" spans="2:7" x14ac:dyDescent="0.3">
      <c r="B660" s="6"/>
      <c r="C660" s="6"/>
      <c r="D660" s="6"/>
      <c r="E660" s="6"/>
      <c r="F660" s="6"/>
      <c r="G660" s="6"/>
    </row>
    <row r="661" spans="2:7" x14ac:dyDescent="0.3">
      <c r="B661" s="6"/>
      <c r="C661" s="6"/>
      <c r="D661" s="6"/>
      <c r="E661" s="6"/>
      <c r="F661" s="6"/>
      <c r="G661" s="6"/>
    </row>
    <row r="662" spans="2:7" x14ac:dyDescent="0.3">
      <c r="B662" s="6"/>
      <c r="C662" s="6"/>
      <c r="D662" s="6"/>
      <c r="E662" s="6"/>
      <c r="F662" s="6"/>
      <c r="G662" s="6"/>
    </row>
    <row r="663" spans="2:7" x14ac:dyDescent="0.3">
      <c r="B663" s="6"/>
      <c r="C663" s="6"/>
      <c r="D663" s="6"/>
      <c r="E663" s="6"/>
      <c r="F663" s="6"/>
      <c r="G663" s="6"/>
    </row>
    <row r="664" spans="2:7" x14ac:dyDescent="0.3">
      <c r="B664" s="6"/>
      <c r="C664" s="6"/>
      <c r="D664" s="6"/>
      <c r="E664" s="6"/>
      <c r="F664" s="6"/>
      <c r="G664" s="6"/>
    </row>
    <row r="665" spans="2:7" x14ac:dyDescent="0.3">
      <c r="B665" s="6"/>
      <c r="C665" s="6"/>
      <c r="D665" s="6"/>
      <c r="E665" s="6"/>
      <c r="F665" s="6"/>
      <c r="G665" s="6"/>
    </row>
    <row r="666" spans="2:7" x14ac:dyDescent="0.3">
      <c r="B666" s="6"/>
      <c r="C666" s="6"/>
      <c r="D666" s="6"/>
      <c r="E666" s="6"/>
      <c r="F666" s="6"/>
      <c r="G666" s="6"/>
    </row>
    <row r="667" spans="2:7" x14ac:dyDescent="0.3">
      <c r="B667" s="6"/>
      <c r="C667" s="6"/>
      <c r="D667" s="6"/>
      <c r="E667" s="6"/>
      <c r="F667" s="6"/>
      <c r="G667" s="6"/>
    </row>
    <row r="668" spans="2:7" x14ac:dyDescent="0.3">
      <c r="B668" s="6"/>
      <c r="C668" s="6"/>
      <c r="D668" s="6"/>
      <c r="E668" s="6"/>
      <c r="F668" s="6"/>
      <c r="G668" s="6"/>
    </row>
    <row r="669" spans="2:7" x14ac:dyDescent="0.3">
      <c r="B669" s="6"/>
      <c r="C669" s="6"/>
      <c r="D669" s="6"/>
      <c r="E669" s="6"/>
      <c r="F669" s="6"/>
      <c r="G669" s="6"/>
    </row>
    <row r="670" spans="2:7" x14ac:dyDescent="0.3">
      <c r="B670" s="6"/>
      <c r="C670" s="6"/>
      <c r="D670" s="6"/>
      <c r="E670" s="6"/>
      <c r="F670" s="6"/>
      <c r="G670" s="6"/>
    </row>
    <row r="672" spans="2:7" x14ac:dyDescent="0.3">
      <c r="B672" s="5"/>
    </row>
    <row r="673" spans="2:7" x14ac:dyDescent="0.3">
      <c r="B673" s="5"/>
    </row>
    <row r="674" spans="2:7" x14ac:dyDescent="0.3">
      <c r="B674" s="10"/>
      <c r="C674" s="10"/>
      <c r="D674" s="10"/>
      <c r="E674" s="10"/>
      <c r="F674" s="10"/>
      <c r="G674" s="10"/>
    </row>
    <row r="675" spans="2:7" x14ac:dyDescent="0.3">
      <c r="B675" s="10"/>
      <c r="C675" s="10"/>
      <c r="D675" s="10"/>
      <c r="E675" s="10"/>
      <c r="F675" s="10"/>
      <c r="G675" s="10"/>
    </row>
    <row r="676" spans="2:7" x14ac:dyDescent="0.3">
      <c r="B676" s="6"/>
      <c r="C676" s="6"/>
      <c r="D676" s="6"/>
      <c r="E676" s="6"/>
      <c r="F676" s="6"/>
      <c r="G676" s="6"/>
    </row>
    <row r="677" spans="2:7" x14ac:dyDescent="0.3">
      <c r="B677" s="6"/>
      <c r="C677" s="6"/>
      <c r="D677" s="6"/>
      <c r="E677" s="6"/>
      <c r="F677" s="6"/>
      <c r="G677" s="6"/>
    </row>
    <row r="678" spans="2:7" x14ac:dyDescent="0.3">
      <c r="B678" s="6"/>
      <c r="C678" s="6"/>
      <c r="D678" s="6"/>
      <c r="E678" s="6"/>
      <c r="F678" s="6"/>
      <c r="G678" s="6"/>
    </row>
    <row r="679" spans="2:7" x14ac:dyDescent="0.3">
      <c r="B679" s="6"/>
      <c r="C679" s="6"/>
      <c r="D679" s="6"/>
      <c r="E679" s="6"/>
      <c r="F679" s="6"/>
      <c r="G679" s="6"/>
    </row>
    <row r="680" spans="2:7" x14ac:dyDescent="0.3">
      <c r="B680" s="6"/>
      <c r="C680" s="6"/>
      <c r="D680" s="6"/>
      <c r="E680" s="6"/>
      <c r="F680" s="6"/>
      <c r="G680" s="6"/>
    </row>
    <row r="681" spans="2:7" x14ac:dyDescent="0.3">
      <c r="B681" s="6"/>
      <c r="C681" s="6"/>
      <c r="D681" s="6"/>
      <c r="E681" s="6"/>
      <c r="F681" s="6"/>
      <c r="G681" s="6"/>
    </row>
    <row r="682" spans="2:7" x14ac:dyDescent="0.3">
      <c r="B682" s="6"/>
      <c r="C682" s="6"/>
      <c r="D682" s="6"/>
      <c r="E682" s="6"/>
      <c r="F682" s="6"/>
      <c r="G682" s="6"/>
    </row>
    <row r="683" spans="2:7" x14ac:dyDescent="0.3">
      <c r="B683" s="6"/>
      <c r="C683" s="6"/>
      <c r="D683" s="6"/>
      <c r="E683" s="6"/>
      <c r="F683" s="6"/>
      <c r="G683" s="6"/>
    </row>
    <row r="684" spans="2:7" x14ac:dyDescent="0.3">
      <c r="B684" s="6"/>
      <c r="C684" s="6"/>
      <c r="D684" s="6"/>
      <c r="E684" s="6"/>
      <c r="F684" s="6"/>
      <c r="G684" s="6"/>
    </row>
    <row r="685" spans="2:7" x14ac:dyDescent="0.3">
      <c r="B685" s="6"/>
      <c r="C685" s="6"/>
      <c r="D685" s="6"/>
      <c r="E685" s="6"/>
      <c r="F685" s="6"/>
      <c r="G685" s="6"/>
    </row>
    <row r="686" spans="2:7" x14ac:dyDescent="0.3">
      <c r="B686" s="6"/>
      <c r="C686" s="6"/>
      <c r="D686" s="6"/>
      <c r="E686" s="6"/>
      <c r="F686" s="6"/>
      <c r="G686" s="6"/>
    </row>
    <row r="687" spans="2:7" x14ac:dyDescent="0.3">
      <c r="B687" s="6"/>
      <c r="C687" s="6"/>
      <c r="D687" s="6"/>
      <c r="E687" s="6"/>
      <c r="F687" s="6"/>
      <c r="G687" s="6"/>
    </row>
    <row r="688" spans="2:7" x14ac:dyDescent="0.3">
      <c r="B688" s="6"/>
      <c r="C688" s="6"/>
      <c r="D688" s="6"/>
      <c r="E688" s="6"/>
      <c r="F688" s="6"/>
      <c r="G688" s="6"/>
    </row>
    <row r="689" spans="2:7" x14ac:dyDescent="0.3">
      <c r="B689" s="6"/>
      <c r="C689" s="6"/>
      <c r="D689" s="6"/>
      <c r="E689" s="6"/>
      <c r="F689" s="6"/>
      <c r="G689" s="6"/>
    </row>
    <row r="690" spans="2:7" x14ac:dyDescent="0.3">
      <c r="B690" s="6"/>
      <c r="C690" s="6"/>
      <c r="D690" s="6"/>
      <c r="E690" s="6"/>
      <c r="F690" s="6"/>
      <c r="G690" s="6"/>
    </row>
    <row r="691" spans="2:7" x14ac:dyDescent="0.3">
      <c r="B691" s="6"/>
      <c r="C691" s="6"/>
      <c r="D691" s="6"/>
      <c r="E691" s="6"/>
      <c r="F691" s="6"/>
      <c r="G691" s="6"/>
    </row>
    <row r="692" spans="2:7" x14ac:dyDescent="0.3">
      <c r="B692" s="6"/>
      <c r="C692" s="6"/>
      <c r="D692" s="6"/>
      <c r="E692" s="6"/>
      <c r="F692" s="6"/>
      <c r="G692" s="6"/>
    </row>
    <row r="693" spans="2:7" x14ac:dyDescent="0.3">
      <c r="B693" s="6"/>
      <c r="C693" s="6"/>
      <c r="D693" s="6"/>
      <c r="E693" s="6"/>
      <c r="F693" s="6"/>
      <c r="G693" s="6"/>
    </row>
    <row r="694" spans="2:7" x14ac:dyDescent="0.3">
      <c r="B694" s="6"/>
      <c r="C694" s="6"/>
      <c r="D694" s="6"/>
      <c r="E694" s="6"/>
      <c r="F694" s="6"/>
      <c r="G694" s="6"/>
    </row>
    <row r="695" spans="2:7" x14ac:dyDescent="0.3">
      <c r="B695" s="6"/>
      <c r="C695" s="6"/>
      <c r="D695" s="6"/>
      <c r="E695" s="6"/>
      <c r="F695" s="6"/>
      <c r="G695" s="6"/>
    </row>
    <row r="696" spans="2:7" x14ac:dyDescent="0.3">
      <c r="B696" s="6"/>
      <c r="C696" s="6"/>
      <c r="D696" s="6"/>
      <c r="E696" s="6"/>
      <c r="F696" s="6"/>
      <c r="G696" s="6"/>
    </row>
    <row r="697" spans="2:7" x14ac:dyDescent="0.3">
      <c r="B697" s="6"/>
      <c r="C697" s="6"/>
      <c r="D697" s="6"/>
      <c r="E697" s="6"/>
      <c r="F697" s="6"/>
      <c r="G697" s="6"/>
    </row>
    <row r="698" spans="2:7" x14ac:dyDescent="0.3">
      <c r="B698" s="6"/>
      <c r="C698" s="6"/>
      <c r="D698" s="6"/>
      <c r="E698" s="6"/>
      <c r="F698" s="6"/>
      <c r="G698" s="6"/>
    </row>
    <row r="699" spans="2:7" x14ac:dyDescent="0.3">
      <c r="B699" s="6"/>
      <c r="C699" s="6"/>
      <c r="D699" s="6"/>
      <c r="E699" s="6"/>
      <c r="F699" s="6"/>
      <c r="G699" s="6"/>
    </row>
    <row r="701" spans="2:7" x14ac:dyDescent="0.3">
      <c r="B701" s="5"/>
    </row>
    <row r="702" spans="2:7" x14ac:dyDescent="0.3">
      <c r="B702" s="5"/>
    </row>
    <row r="703" spans="2:7" x14ac:dyDescent="0.3">
      <c r="B703" s="10"/>
      <c r="C703" s="10"/>
      <c r="D703" s="10"/>
      <c r="E703" s="10"/>
      <c r="F703" s="10"/>
      <c r="G703" s="10"/>
    </row>
    <row r="704" spans="2:7" x14ac:dyDescent="0.3">
      <c r="B704" s="10"/>
      <c r="C704" s="10"/>
      <c r="D704" s="10"/>
      <c r="E704" s="10"/>
      <c r="F704" s="10"/>
      <c r="G704" s="10"/>
    </row>
    <row r="705" spans="2:7" x14ac:dyDescent="0.3">
      <c r="B705" s="6"/>
      <c r="C705" s="6"/>
      <c r="D705" s="6"/>
      <c r="E705" s="6"/>
      <c r="F705" s="6"/>
      <c r="G705" s="6"/>
    </row>
    <row r="706" spans="2:7" x14ac:dyDescent="0.3">
      <c r="B706" s="6"/>
      <c r="C706" s="6"/>
      <c r="D706" s="6"/>
      <c r="E706" s="6"/>
      <c r="F706" s="6"/>
      <c r="G706" s="6"/>
    </row>
    <row r="707" spans="2:7" x14ac:dyDescent="0.3">
      <c r="B707" s="6"/>
      <c r="C707" s="6"/>
      <c r="D707" s="6"/>
      <c r="E707" s="6"/>
      <c r="F707" s="6"/>
      <c r="G707" s="6"/>
    </row>
    <row r="708" spans="2:7" x14ac:dyDescent="0.3">
      <c r="B708" s="6"/>
      <c r="C708" s="6"/>
      <c r="D708" s="6"/>
      <c r="E708" s="6"/>
      <c r="F708" s="6"/>
      <c r="G708" s="6"/>
    </row>
    <row r="709" spans="2:7" x14ac:dyDescent="0.3">
      <c r="B709" s="6"/>
      <c r="C709" s="6"/>
      <c r="D709" s="6"/>
      <c r="E709" s="6"/>
      <c r="F709" s="6"/>
      <c r="G709" s="6"/>
    </row>
    <row r="710" spans="2:7" x14ac:dyDescent="0.3">
      <c r="B710" s="6"/>
      <c r="C710" s="6"/>
      <c r="D710" s="6"/>
      <c r="E710" s="6"/>
      <c r="F710" s="6"/>
      <c r="G710" s="6"/>
    </row>
    <row r="712" spans="2:7" x14ac:dyDescent="0.3">
      <c r="B712" s="5"/>
    </row>
    <row r="713" spans="2:7" x14ac:dyDescent="0.3">
      <c r="B713" s="5"/>
    </row>
    <row r="714" spans="2:7" x14ac:dyDescent="0.3">
      <c r="B714" s="10"/>
      <c r="C714" s="10"/>
      <c r="D714" s="10"/>
      <c r="E714" s="10"/>
      <c r="F714" s="10"/>
      <c r="G714" s="10"/>
    </row>
    <row r="715" spans="2:7" x14ac:dyDescent="0.3">
      <c r="B715" s="10"/>
      <c r="C715" s="10"/>
      <c r="D715" s="10"/>
      <c r="E715" s="10"/>
      <c r="F715" s="10"/>
      <c r="G715" s="10"/>
    </row>
    <row r="716" spans="2:7" x14ac:dyDescent="0.3">
      <c r="B716" s="6"/>
      <c r="C716" s="6"/>
      <c r="D716" s="6"/>
      <c r="E716" s="6"/>
      <c r="F716" s="6"/>
      <c r="G716" s="6"/>
    </row>
    <row r="717" spans="2:7" x14ac:dyDescent="0.3">
      <c r="B717" s="6"/>
      <c r="C717" s="6"/>
      <c r="D717" s="6"/>
      <c r="E717" s="6"/>
      <c r="F717" s="6"/>
      <c r="G717" s="6"/>
    </row>
    <row r="718" spans="2:7" x14ac:dyDescent="0.3">
      <c r="B718" s="6"/>
      <c r="C718" s="6"/>
      <c r="D718" s="6"/>
      <c r="E718" s="6"/>
      <c r="F718" s="6"/>
      <c r="G718" s="6"/>
    </row>
    <row r="719" spans="2:7" x14ac:dyDescent="0.3">
      <c r="B719" s="6"/>
      <c r="C719" s="6"/>
      <c r="D719" s="6"/>
      <c r="E719" s="6"/>
      <c r="F719" s="6"/>
      <c r="G719" s="6"/>
    </row>
    <row r="720" spans="2:7" x14ac:dyDescent="0.3">
      <c r="B720" s="6"/>
      <c r="C720" s="6"/>
      <c r="D720" s="6"/>
      <c r="E720" s="6"/>
      <c r="F720" s="6"/>
      <c r="G720" s="6"/>
    </row>
    <row r="721" spans="2:7" x14ac:dyDescent="0.3">
      <c r="B721" s="6"/>
      <c r="C721" s="6"/>
      <c r="D721" s="6"/>
      <c r="E721" s="6"/>
      <c r="F721" s="6"/>
      <c r="G721" s="6"/>
    </row>
    <row r="722" spans="2:7" x14ac:dyDescent="0.3">
      <c r="B722" s="6"/>
      <c r="C722" s="6"/>
      <c r="D722" s="6"/>
      <c r="E722" s="6"/>
      <c r="F722" s="6"/>
      <c r="G722" s="6"/>
    </row>
    <row r="723" spans="2:7" x14ac:dyDescent="0.3">
      <c r="B723" s="6"/>
      <c r="C723" s="6"/>
      <c r="D723" s="6"/>
      <c r="E723" s="6"/>
      <c r="F723" s="6"/>
      <c r="G723" s="6"/>
    </row>
    <row r="724" spans="2:7" x14ac:dyDescent="0.3">
      <c r="B724" s="6"/>
      <c r="C724" s="6"/>
      <c r="D724" s="6"/>
      <c r="E724" s="6"/>
      <c r="F724" s="6"/>
      <c r="G724" s="6"/>
    </row>
    <row r="725" spans="2:7" x14ac:dyDescent="0.3">
      <c r="B725" s="6"/>
      <c r="C725" s="6"/>
      <c r="D725" s="6"/>
      <c r="E725" s="6"/>
      <c r="F725" s="6"/>
      <c r="G725" s="6"/>
    </row>
    <row r="726" spans="2:7" x14ac:dyDescent="0.3">
      <c r="B726" s="6"/>
      <c r="C726" s="6"/>
      <c r="D726" s="6"/>
      <c r="E726" s="6"/>
      <c r="F726" s="6"/>
      <c r="G726" s="6"/>
    </row>
    <row r="727" spans="2:7" x14ac:dyDescent="0.3">
      <c r="B727" s="6"/>
      <c r="C727" s="6"/>
      <c r="D727" s="6"/>
      <c r="E727" s="6"/>
      <c r="F727" s="6"/>
      <c r="G727" s="6"/>
    </row>
    <row r="728" spans="2:7" x14ac:dyDescent="0.3">
      <c r="B728" s="6"/>
      <c r="C728" s="6"/>
      <c r="D728" s="6"/>
      <c r="E728" s="6"/>
      <c r="F728" s="6"/>
      <c r="G728" s="6"/>
    </row>
    <row r="729" spans="2:7" x14ac:dyDescent="0.3">
      <c r="B729" s="6"/>
      <c r="C729" s="6"/>
      <c r="D729" s="6"/>
      <c r="E729" s="6"/>
      <c r="F729" s="6"/>
      <c r="G729" s="6"/>
    </row>
    <row r="730" spans="2:7" x14ac:dyDescent="0.3">
      <c r="B730" s="6"/>
      <c r="C730" s="6"/>
      <c r="D730" s="6"/>
      <c r="E730" s="6"/>
      <c r="F730" s="6"/>
      <c r="G730" s="6"/>
    </row>
    <row r="731" spans="2:7" x14ac:dyDescent="0.3">
      <c r="B731" s="6"/>
      <c r="C731" s="6"/>
      <c r="D731" s="6"/>
      <c r="E731" s="6"/>
      <c r="F731" s="6"/>
      <c r="G731" s="6"/>
    </row>
    <row r="732" spans="2:7" x14ac:dyDescent="0.3">
      <c r="B732" s="6"/>
      <c r="C732" s="6"/>
      <c r="D732" s="6"/>
      <c r="E732" s="6"/>
      <c r="F732" s="6"/>
      <c r="G732" s="6"/>
    </row>
    <row r="733" spans="2:7" x14ac:dyDescent="0.3">
      <c r="B733" s="6"/>
      <c r="C733" s="6"/>
      <c r="D733" s="6"/>
      <c r="E733" s="6"/>
      <c r="F733" s="6"/>
      <c r="G733" s="6"/>
    </row>
    <row r="734" spans="2:7" x14ac:dyDescent="0.3">
      <c r="B734" s="6"/>
      <c r="C734" s="6"/>
      <c r="D734" s="6"/>
      <c r="E734" s="6"/>
      <c r="F734" s="6"/>
      <c r="G734" s="6"/>
    </row>
    <row r="735" spans="2:7" x14ac:dyDescent="0.3">
      <c r="B735" s="6"/>
      <c r="C735" s="6"/>
      <c r="D735" s="6"/>
      <c r="E735" s="6"/>
      <c r="F735" s="6"/>
      <c r="G735" s="6"/>
    </row>
    <row r="736" spans="2:7" x14ac:dyDescent="0.3">
      <c r="B736" s="6"/>
      <c r="C736" s="6"/>
      <c r="D736" s="6"/>
      <c r="E736" s="6"/>
      <c r="F736" s="6"/>
      <c r="G736" s="6"/>
    </row>
    <row r="737" spans="2:7" x14ac:dyDescent="0.3">
      <c r="B737" s="6"/>
      <c r="C737" s="6"/>
      <c r="D737" s="6"/>
      <c r="E737" s="6"/>
      <c r="F737" s="6"/>
      <c r="G737" s="6"/>
    </row>
    <row r="738" spans="2:7" x14ac:dyDescent="0.3">
      <c r="B738" s="6"/>
      <c r="C738" s="6"/>
      <c r="D738" s="6"/>
      <c r="E738" s="6"/>
      <c r="F738" s="6"/>
      <c r="G738" s="6"/>
    </row>
    <row r="739" spans="2:7" x14ac:dyDescent="0.3">
      <c r="B739" s="6"/>
      <c r="C739" s="6"/>
      <c r="D739" s="6"/>
      <c r="E739" s="6"/>
      <c r="F739" s="6"/>
      <c r="G739" s="6"/>
    </row>
    <row r="741" spans="2:7" x14ac:dyDescent="0.3">
      <c r="B741" s="5"/>
    </row>
    <row r="742" spans="2:7" x14ac:dyDescent="0.3">
      <c r="B742" s="5"/>
    </row>
    <row r="743" spans="2:7" x14ac:dyDescent="0.3">
      <c r="B743" s="10"/>
      <c r="C743" s="10"/>
    </row>
    <row r="744" spans="2:7" x14ac:dyDescent="0.3">
      <c r="B744" s="6"/>
      <c r="C744" s="6"/>
    </row>
    <row r="745" spans="2:7" x14ac:dyDescent="0.3">
      <c r="B745" s="6"/>
      <c r="C745" s="6"/>
    </row>
    <row r="746" spans="2:7" x14ac:dyDescent="0.3">
      <c r="B746" s="6"/>
      <c r="C746" s="6"/>
    </row>
    <row r="747" spans="2:7" x14ac:dyDescent="0.3">
      <c r="B747" s="6"/>
      <c r="C747" s="6"/>
    </row>
    <row r="748" spans="2:7" x14ac:dyDescent="0.3">
      <c r="B748" s="6"/>
      <c r="C748" s="6"/>
    </row>
    <row r="749" spans="2:7" x14ac:dyDescent="0.3">
      <c r="B749" s="6"/>
      <c r="C749" s="6"/>
    </row>
    <row r="750" spans="2:7" x14ac:dyDescent="0.3">
      <c r="B750" s="6"/>
      <c r="C750" s="6"/>
    </row>
    <row r="752" spans="2:7" x14ac:dyDescent="0.3">
      <c r="B752" s="5"/>
    </row>
    <row r="753" spans="2:3" x14ac:dyDescent="0.3">
      <c r="B753" s="5"/>
    </row>
    <row r="754" spans="2:3" x14ac:dyDescent="0.3">
      <c r="B754" s="13"/>
      <c r="C754" s="10"/>
    </row>
    <row r="755" spans="2:3" x14ac:dyDescent="0.3">
      <c r="B755" s="6"/>
      <c r="C755" s="6"/>
    </row>
    <row r="756" spans="2:3" x14ac:dyDescent="0.3">
      <c r="B756" s="6"/>
      <c r="C756" s="6"/>
    </row>
    <row r="757" spans="2:3" x14ac:dyDescent="0.3">
      <c r="B757" s="6"/>
      <c r="C757" s="6"/>
    </row>
    <row r="758" spans="2:3" x14ac:dyDescent="0.3">
      <c r="B758" s="6"/>
      <c r="C758" s="6"/>
    </row>
    <row r="759" spans="2:3" x14ac:dyDescent="0.3">
      <c r="B759" s="6"/>
      <c r="C759" s="6"/>
    </row>
    <row r="760" spans="2:3" x14ac:dyDescent="0.3">
      <c r="B760" s="6"/>
      <c r="C760" s="6"/>
    </row>
    <row r="762" spans="2:3" x14ac:dyDescent="0.3">
      <c r="B762" s="5"/>
    </row>
    <row r="763" spans="2:3" x14ac:dyDescent="0.3">
      <c r="B763" s="5"/>
    </row>
    <row r="764" spans="2:3" x14ac:dyDescent="0.3">
      <c r="B764" s="13"/>
      <c r="C764" s="13"/>
    </row>
    <row r="765" spans="2:3" x14ac:dyDescent="0.3">
      <c r="B765" s="6"/>
      <c r="C765" s="6"/>
    </row>
    <row r="766" spans="2:3" x14ac:dyDescent="0.3">
      <c r="B766" s="6"/>
      <c r="C766" s="6"/>
    </row>
    <row r="767" spans="2:3" x14ac:dyDescent="0.3">
      <c r="B767" s="6"/>
      <c r="C767" s="6"/>
    </row>
    <row r="768" spans="2:3" x14ac:dyDescent="0.3">
      <c r="B768" s="6"/>
      <c r="C768" s="6"/>
    </row>
    <row r="769" spans="2:4" x14ac:dyDescent="0.3">
      <c r="B769" s="6"/>
      <c r="C769" s="6"/>
    </row>
    <row r="771" spans="2:4" x14ac:dyDescent="0.3">
      <c r="B771" s="5"/>
    </row>
    <row r="772" spans="2:4" x14ac:dyDescent="0.3">
      <c r="B772" s="5"/>
    </row>
    <row r="773" spans="2:4" x14ac:dyDescent="0.3">
      <c r="B773" s="13"/>
      <c r="C773" s="13"/>
      <c r="D773" s="13"/>
    </row>
    <row r="774" spans="2:4" x14ac:dyDescent="0.3">
      <c r="B774" s="6"/>
      <c r="C774" s="6"/>
      <c r="D774" s="6"/>
    </row>
    <row r="775" spans="2:4" x14ac:dyDescent="0.3">
      <c r="B775" s="6"/>
      <c r="C775" s="6"/>
      <c r="D775" s="6"/>
    </row>
    <row r="776" spans="2:4" x14ac:dyDescent="0.3">
      <c r="B776" s="6"/>
      <c r="C776" s="6"/>
      <c r="D776" s="6"/>
    </row>
    <row r="778" spans="2:4" x14ac:dyDescent="0.3">
      <c r="B778" s="5"/>
    </row>
    <row r="779" spans="2:4" x14ac:dyDescent="0.3">
      <c r="B779" s="5"/>
    </row>
    <row r="780" spans="2:4" x14ac:dyDescent="0.3">
      <c r="B780" s="13"/>
      <c r="C780" s="13"/>
    </row>
    <row r="781" spans="2:4" x14ac:dyDescent="0.3">
      <c r="B781" s="6"/>
      <c r="C781" s="6"/>
    </row>
    <row r="782" spans="2:4" x14ac:dyDescent="0.3">
      <c r="B782" s="6"/>
      <c r="C782" s="12"/>
    </row>
    <row r="783" spans="2:4" x14ac:dyDescent="0.3">
      <c r="B783" s="6"/>
      <c r="C783" s="12"/>
    </row>
    <row r="785" spans="2:3" x14ac:dyDescent="0.3">
      <c r="B785" s="5"/>
      <c r="C785" s="5"/>
    </row>
    <row r="786" spans="2:3" x14ac:dyDescent="0.3">
      <c r="B786" s="5"/>
      <c r="C786" s="5"/>
    </row>
    <row r="787" spans="2:3" ht="37.5" customHeight="1" x14ac:dyDescent="0.3">
      <c r="B787" s="13"/>
      <c r="C787" s="13"/>
    </row>
    <row r="788" spans="2:3" x14ac:dyDescent="0.3">
      <c r="B788" s="6"/>
      <c r="C788" s="12"/>
    </row>
    <row r="790" spans="2:3" x14ac:dyDescent="0.3">
      <c r="B790" s="2"/>
      <c r="C790" s="2"/>
    </row>
    <row r="792" spans="2:3" x14ac:dyDescent="0.3">
      <c r="B792" s="5"/>
    </row>
    <row r="793" spans="2:3" x14ac:dyDescent="0.3">
      <c r="B793" s="5"/>
    </row>
    <row r="794" spans="2:3" x14ac:dyDescent="0.3">
      <c r="B794" s="13"/>
      <c r="C794" s="13"/>
    </row>
    <row r="795" spans="2:3" x14ac:dyDescent="0.3">
      <c r="B795" s="7"/>
      <c r="C795" s="12"/>
    </row>
    <row r="796" spans="2:3" x14ac:dyDescent="0.3">
      <c r="B796" s="7"/>
      <c r="C796" s="6"/>
    </row>
    <row r="797" spans="2:3" x14ac:dyDescent="0.3">
      <c r="B797" s="7"/>
      <c r="C797" s="6"/>
    </row>
    <row r="798" spans="2:3" x14ac:dyDescent="0.3">
      <c r="B798" s="7"/>
      <c r="C798" s="6"/>
    </row>
    <row r="799" spans="2:3" x14ac:dyDescent="0.3">
      <c r="B799" s="7"/>
      <c r="C799" s="6"/>
    </row>
    <row r="800" spans="2:3" x14ac:dyDescent="0.3">
      <c r="B800" s="7"/>
      <c r="C800" s="12"/>
    </row>
    <row r="801" spans="2:3" x14ac:dyDescent="0.3">
      <c r="B801" s="7"/>
      <c r="C801" s="12"/>
    </row>
    <row r="802" spans="2:3" x14ac:dyDescent="0.3">
      <c r="B802" s="7"/>
      <c r="C802" s="12"/>
    </row>
    <row r="804" spans="2:3" x14ac:dyDescent="0.3">
      <c r="B804" s="5"/>
    </row>
    <row r="805" spans="2:3" x14ac:dyDescent="0.3">
      <c r="B805" s="5"/>
    </row>
    <row r="806" spans="2:3" ht="22.5" customHeight="1" x14ac:dyDescent="0.3">
      <c r="B806" s="13"/>
      <c r="C806" s="13"/>
    </row>
    <row r="807" spans="2:3" x14ac:dyDescent="0.3">
      <c r="B807" s="6"/>
      <c r="C807" s="12"/>
    </row>
    <row r="808" spans="2:3" x14ac:dyDescent="0.3">
      <c r="B808" s="6"/>
      <c r="C808" s="6"/>
    </row>
    <row r="809" spans="2:3" x14ac:dyDescent="0.3">
      <c r="B809" s="6"/>
      <c r="C809" s="6"/>
    </row>
    <row r="810" spans="2:3" x14ac:dyDescent="0.3">
      <c r="B810" s="6"/>
      <c r="C810" s="6"/>
    </row>
    <row r="811" spans="2:3" x14ac:dyDescent="0.3">
      <c r="B811" s="6"/>
      <c r="C811" s="6"/>
    </row>
    <row r="813" spans="2:3" x14ac:dyDescent="0.3">
      <c r="B813" s="5"/>
    </row>
    <row r="814" spans="2:3" x14ac:dyDescent="0.3">
      <c r="B814" s="5"/>
    </row>
    <row r="815" spans="2:3" x14ac:dyDescent="0.3">
      <c r="B815" s="13"/>
      <c r="C815" s="13"/>
    </row>
    <row r="816" spans="2:3" x14ac:dyDescent="0.3">
      <c r="B816" s="6"/>
      <c r="C816" s="12"/>
    </row>
    <row r="817" spans="2:5" x14ac:dyDescent="0.3">
      <c r="B817" s="6"/>
      <c r="C817" s="6"/>
    </row>
    <row r="818" spans="2:5" x14ac:dyDescent="0.3">
      <c r="B818" s="6"/>
      <c r="C818" s="6"/>
    </row>
    <row r="819" spans="2:5" x14ac:dyDescent="0.3">
      <c r="B819" s="6"/>
      <c r="C819" s="6"/>
    </row>
    <row r="820" spans="2:5" x14ac:dyDescent="0.3">
      <c r="B820" s="6"/>
      <c r="C820" s="6"/>
    </row>
    <row r="822" spans="2:5" x14ac:dyDescent="0.3">
      <c r="B822" s="5"/>
    </row>
    <row r="823" spans="2:5" x14ac:dyDescent="0.3">
      <c r="B823" s="5"/>
    </row>
    <row r="824" spans="2:5" ht="39" customHeight="1" x14ac:dyDescent="0.3">
      <c r="B824" s="13"/>
      <c r="C824" s="13"/>
      <c r="D824" s="13"/>
      <c r="E824" s="13"/>
    </row>
    <row r="825" spans="2:5" x14ac:dyDescent="0.3">
      <c r="B825" s="6"/>
      <c r="C825" s="12"/>
      <c r="D825" s="6"/>
      <c r="E825" s="12"/>
    </row>
    <row r="826" spans="2:5" x14ac:dyDescent="0.3">
      <c r="B826" s="6"/>
      <c r="C826" s="6"/>
      <c r="D826" s="6"/>
      <c r="E826" s="6"/>
    </row>
    <row r="827" spans="2:5" x14ac:dyDescent="0.3">
      <c r="B827" s="6"/>
      <c r="C827" s="6"/>
      <c r="D827" s="6"/>
      <c r="E827" s="6"/>
    </row>
    <row r="828" spans="2:5" x14ac:dyDescent="0.3">
      <c r="B828" s="6"/>
      <c r="C828" s="12"/>
      <c r="D828" s="6"/>
      <c r="E828" s="12"/>
    </row>
    <row r="829" spans="2:5" x14ac:dyDescent="0.3">
      <c r="B829" s="6"/>
      <c r="C829" s="12"/>
      <c r="D829" s="6"/>
      <c r="E829" s="12"/>
    </row>
    <row r="830" spans="2:5" x14ac:dyDescent="0.3">
      <c r="B830" s="6"/>
      <c r="C830" s="12"/>
      <c r="D830" s="6"/>
      <c r="E830" s="12"/>
    </row>
    <row r="831" spans="2:5" x14ac:dyDescent="0.3">
      <c r="B831" s="6"/>
      <c r="C831" s="12"/>
      <c r="D831" s="6"/>
      <c r="E831" s="12"/>
    </row>
    <row r="832" spans="2:5" x14ac:dyDescent="0.3">
      <c r="B832" s="6"/>
      <c r="C832" s="12"/>
      <c r="D832" s="6"/>
      <c r="E832" s="12"/>
    </row>
    <row r="833" spans="2:5" x14ac:dyDescent="0.3">
      <c r="B833" s="6"/>
      <c r="C833" s="12"/>
      <c r="D833" s="6"/>
      <c r="E833" s="12"/>
    </row>
    <row r="834" spans="2:5" x14ac:dyDescent="0.3">
      <c r="B834" s="6"/>
      <c r="C834" s="12"/>
      <c r="D834" s="6"/>
      <c r="E834" s="12"/>
    </row>
    <row r="835" spans="2:5" x14ac:dyDescent="0.3">
      <c r="B835" s="6"/>
      <c r="C835" s="12"/>
      <c r="D835" s="6"/>
      <c r="E835" s="12"/>
    </row>
    <row r="836" spans="2:5" x14ac:dyDescent="0.3">
      <c r="B836" s="6"/>
      <c r="C836" s="12"/>
      <c r="D836" s="6"/>
      <c r="E836" s="12"/>
    </row>
    <row r="837" spans="2:5" x14ac:dyDescent="0.3">
      <c r="B837" s="6"/>
      <c r="C837" s="12"/>
      <c r="D837" s="6"/>
      <c r="E837" s="12"/>
    </row>
    <row r="838" spans="2:5" x14ac:dyDescent="0.3">
      <c r="B838" s="6"/>
      <c r="C838" s="12"/>
      <c r="D838" s="6"/>
      <c r="E838" s="12"/>
    </row>
    <row r="839" spans="2:5" x14ac:dyDescent="0.3">
      <c r="B839" s="6"/>
      <c r="C839" s="12"/>
      <c r="D839" s="6"/>
      <c r="E839" s="12"/>
    </row>
    <row r="840" spans="2:5" x14ac:dyDescent="0.3">
      <c r="B840" s="6"/>
      <c r="C840" s="12"/>
      <c r="D840" s="6"/>
      <c r="E840" s="12"/>
    </row>
    <row r="841" spans="2:5" x14ac:dyDescent="0.3">
      <c r="B841" s="6"/>
      <c r="C841" s="12"/>
      <c r="D841" s="6"/>
      <c r="E841" s="12"/>
    </row>
    <row r="842" spans="2:5" x14ac:dyDescent="0.3">
      <c r="B842" s="6"/>
      <c r="C842" s="12"/>
      <c r="D842" s="6"/>
      <c r="E842" s="12"/>
    </row>
    <row r="843" spans="2:5" x14ac:dyDescent="0.3">
      <c r="B843" s="6"/>
      <c r="C843" s="12"/>
      <c r="D843" s="6"/>
      <c r="E843" s="12"/>
    </row>
    <row r="845" spans="2:5" x14ac:dyDescent="0.3">
      <c r="B845" s="5"/>
    </row>
    <row r="846" spans="2:5" x14ac:dyDescent="0.3">
      <c r="B846" s="5"/>
    </row>
    <row r="847" spans="2:5" x14ac:dyDescent="0.3">
      <c r="B847" s="13"/>
      <c r="C847" s="13"/>
      <c r="D847" s="13"/>
      <c r="E847" s="13"/>
    </row>
    <row r="848" spans="2:5" x14ac:dyDescent="0.3">
      <c r="B848" s="6"/>
      <c r="C848" s="12"/>
      <c r="D848" s="6"/>
      <c r="E848" s="12"/>
    </row>
    <row r="849" spans="2:5" x14ac:dyDescent="0.3">
      <c r="B849" s="6"/>
      <c r="C849" s="6"/>
      <c r="D849" s="6"/>
      <c r="E849" s="6"/>
    </row>
    <row r="850" spans="2:5" x14ac:dyDescent="0.3">
      <c r="B850" s="6"/>
      <c r="C850" s="6"/>
      <c r="D850" s="6"/>
      <c r="E850" s="6"/>
    </row>
    <row r="851" spans="2:5" x14ac:dyDescent="0.3">
      <c r="B851" s="6"/>
      <c r="C851" s="12"/>
      <c r="D851" s="6"/>
      <c r="E851" s="12"/>
    </row>
    <row r="852" spans="2:5" x14ac:dyDescent="0.3">
      <c r="B852" s="6"/>
      <c r="C852" s="12"/>
      <c r="D852" s="6"/>
      <c r="E852" s="12"/>
    </row>
    <row r="853" spans="2:5" x14ac:dyDescent="0.3">
      <c r="B853" s="6"/>
      <c r="C853" s="12"/>
      <c r="D853" s="6"/>
      <c r="E853" s="12"/>
    </row>
    <row r="854" spans="2:5" x14ac:dyDescent="0.3">
      <c r="B854" s="6"/>
      <c r="C854" s="12"/>
      <c r="D854" s="6"/>
      <c r="E854" s="12"/>
    </row>
    <row r="855" spans="2:5" x14ac:dyDescent="0.3">
      <c r="B855" s="6"/>
      <c r="C855" s="12"/>
      <c r="D855" s="6"/>
      <c r="E855" s="12"/>
    </row>
    <row r="856" spans="2:5" x14ac:dyDescent="0.3">
      <c r="B856" s="6"/>
      <c r="C856" s="12"/>
      <c r="D856" s="6"/>
      <c r="E856" s="12"/>
    </row>
    <row r="857" spans="2:5" x14ac:dyDescent="0.3">
      <c r="B857" s="6"/>
      <c r="C857" s="12"/>
      <c r="D857" s="6"/>
      <c r="E857" s="12"/>
    </row>
    <row r="858" spans="2:5" x14ac:dyDescent="0.3">
      <c r="B858" s="6"/>
      <c r="C858" s="12"/>
      <c r="D858" s="6"/>
      <c r="E858" s="12"/>
    </row>
    <row r="859" spans="2:5" x14ac:dyDescent="0.3">
      <c r="B859" s="6"/>
      <c r="C859" s="12"/>
      <c r="D859" s="6"/>
      <c r="E859" s="12"/>
    </row>
    <row r="861" spans="2:5" x14ac:dyDescent="0.3">
      <c r="B861" s="5"/>
    </row>
    <row r="862" spans="2:5" x14ac:dyDescent="0.3">
      <c r="B862" s="5"/>
    </row>
    <row r="863" spans="2:5" x14ac:dyDescent="0.3">
      <c r="B863" s="13"/>
      <c r="C863" s="13"/>
      <c r="D863" s="13"/>
      <c r="E863" s="13"/>
    </row>
    <row r="864" spans="2:5" x14ac:dyDescent="0.3">
      <c r="B864" s="6"/>
      <c r="C864" s="12"/>
      <c r="D864" s="6"/>
      <c r="E864" s="12"/>
    </row>
    <row r="865" spans="2:5" x14ac:dyDescent="0.3">
      <c r="B865" s="6"/>
      <c r="C865" s="6"/>
      <c r="D865" s="6"/>
      <c r="E865" s="6"/>
    </row>
    <row r="866" spans="2:5" x14ac:dyDescent="0.3">
      <c r="B866" s="6"/>
      <c r="C866" s="6"/>
      <c r="D866" s="6"/>
      <c r="E866" s="6"/>
    </row>
    <row r="867" spans="2:5" x14ac:dyDescent="0.3">
      <c r="B867" s="6"/>
      <c r="C867" s="12"/>
      <c r="D867" s="6"/>
      <c r="E867" s="12"/>
    </row>
    <row r="868" spans="2:5" x14ac:dyDescent="0.3">
      <c r="B868" s="6"/>
      <c r="C868" s="12"/>
      <c r="D868" s="6"/>
      <c r="E868" s="12"/>
    </row>
    <row r="869" spans="2:5" x14ac:dyDescent="0.3">
      <c r="B869" s="6"/>
      <c r="C869" s="12"/>
      <c r="D869" s="6"/>
      <c r="E869" s="12"/>
    </row>
    <row r="870" spans="2:5" x14ac:dyDescent="0.3">
      <c r="B870" s="6"/>
      <c r="C870" s="12"/>
      <c r="D870" s="6"/>
      <c r="E870" s="12"/>
    </row>
    <row r="871" spans="2:5" x14ac:dyDescent="0.3">
      <c r="B871" s="6"/>
      <c r="C871" s="12"/>
      <c r="D871" s="6"/>
      <c r="E871" s="12"/>
    </row>
    <row r="872" spans="2:5" x14ac:dyDescent="0.3">
      <c r="B872" s="6"/>
      <c r="C872" s="12"/>
      <c r="D872" s="6"/>
      <c r="E872" s="12"/>
    </row>
    <row r="873" spans="2:5" x14ac:dyDescent="0.3">
      <c r="B873" s="6"/>
      <c r="C873" s="12"/>
      <c r="D873" s="6"/>
      <c r="E873" s="12"/>
    </row>
    <row r="874" spans="2:5" x14ac:dyDescent="0.3">
      <c r="B874" s="6"/>
      <c r="C874" s="12"/>
      <c r="D874" s="6"/>
      <c r="E874" s="12"/>
    </row>
    <row r="875" spans="2:5" x14ac:dyDescent="0.3">
      <c r="B875" s="6"/>
      <c r="C875" s="12"/>
      <c r="D875" s="6"/>
      <c r="E875" s="12"/>
    </row>
    <row r="877" spans="2:5" x14ac:dyDescent="0.3">
      <c r="B877" s="5"/>
    </row>
    <row r="878" spans="2:5" x14ac:dyDescent="0.3">
      <c r="B878" s="5"/>
    </row>
    <row r="879" spans="2:5" x14ac:dyDescent="0.3">
      <c r="B879" s="13"/>
      <c r="C879" s="13"/>
      <c r="D879" s="13"/>
      <c r="E879" s="13"/>
    </row>
    <row r="880" spans="2:5" x14ac:dyDescent="0.3">
      <c r="B880" s="6"/>
      <c r="C880" s="12"/>
      <c r="D880" s="6"/>
      <c r="E880" s="12"/>
    </row>
    <row r="881" spans="2:5" x14ac:dyDescent="0.3">
      <c r="B881" s="6"/>
      <c r="C881" s="6"/>
      <c r="D881" s="6"/>
      <c r="E881" s="6"/>
    </row>
    <row r="882" spans="2:5" x14ac:dyDescent="0.3">
      <c r="B882" s="6"/>
      <c r="C882" s="6"/>
      <c r="D882" s="6"/>
      <c r="E882" s="6"/>
    </row>
    <row r="883" spans="2:5" x14ac:dyDescent="0.3">
      <c r="B883" s="6"/>
      <c r="C883" s="12"/>
      <c r="D883" s="6"/>
      <c r="E883" s="12"/>
    </row>
    <row r="884" spans="2:5" x14ac:dyDescent="0.3">
      <c r="B884" s="6"/>
      <c r="C884" s="12"/>
      <c r="D884" s="6"/>
      <c r="E884" s="12"/>
    </row>
    <row r="885" spans="2:5" x14ac:dyDescent="0.3">
      <c r="B885" s="6"/>
      <c r="C885" s="12"/>
      <c r="D885" s="6"/>
      <c r="E885" s="12"/>
    </row>
    <row r="886" spans="2:5" x14ac:dyDescent="0.3">
      <c r="B886" s="6"/>
      <c r="C886" s="12"/>
      <c r="D886" s="6"/>
      <c r="E886" s="12"/>
    </row>
    <row r="887" spans="2:5" x14ac:dyDescent="0.3">
      <c r="B887" s="6"/>
      <c r="C887" s="12"/>
      <c r="D887" s="6"/>
      <c r="E887" s="12"/>
    </row>
    <row r="888" spans="2:5" x14ac:dyDescent="0.3">
      <c r="B888" s="6"/>
      <c r="C888" s="12"/>
      <c r="D888" s="6"/>
      <c r="E888" s="12"/>
    </row>
    <row r="889" spans="2:5" x14ac:dyDescent="0.3">
      <c r="B889" s="6"/>
      <c r="C889" s="12"/>
      <c r="D889" s="6"/>
      <c r="E889" s="12"/>
    </row>
    <row r="890" spans="2:5" x14ac:dyDescent="0.3">
      <c r="B890" s="6"/>
      <c r="C890" s="12"/>
      <c r="D890" s="6"/>
      <c r="E890" s="12"/>
    </row>
    <row r="892" spans="2:5" x14ac:dyDescent="0.3">
      <c r="B892" s="5"/>
    </row>
    <row r="893" spans="2:5" x14ac:dyDescent="0.3">
      <c r="B893" s="5"/>
    </row>
    <row r="894" spans="2:5" x14ac:dyDescent="0.3">
      <c r="B894" s="13"/>
      <c r="C894" s="13"/>
      <c r="D894" s="13"/>
      <c r="E894" s="13"/>
    </row>
    <row r="895" spans="2:5" x14ac:dyDescent="0.3">
      <c r="B895" s="6"/>
      <c r="C895" s="12"/>
      <c r="D895" s="6"/>
      <c r="E895" s="12"/>
    </row>
    <row r="896" spans="2:5" x14ac:dyDescent="0.3">
      <c r="B896" s="6"/>
      <c r="C896" s="6"/>
      <c r="D896" s="6"/>
      <c r="E896" s="6"/>
    </row>
    <row r="897" spans="2:5" x14ac:dyDescent="0.3">
      <c r="B897" s="6"/>
      <c r="C897" s="6"/>
      <c r="D897" s="6"/>
      <c r="E897" s="6"/>
    </row>
    <row r="898" spans="2:5" x14ac:dyDescent="0.3">
      <c r="B898" s="6"/>
      <c r="C898" s="12"/>
      <c r="D898" s="6"/>
      <c r="E898" s="12"/>
    </row>
    <row r="899" spans="2:5" x14ac:dyDescent="0.3">
      <c r="B899" s="6"/>
      <c r="C899" s="12"/>
      <c r="D899" s="6"/>
      <c r="E899" s="12"/>
    </row>
    <row r="900" spans="2:5" x14ac:dyDescent="0.3">
      <c r="B900" s="6"/>
      <c r="C900" s="12"/>
      <c r="D900" s="6"/>
      <c r="E900" s="12"/>
    </row>
    <row r="901" spans="2:5" x14ac:dyDescent="0.3">
      <c r="B901" s="6"/>
      <c r="C901" s="12"/>
      <c r="D901" s="6"/>
      <c r="E901" s="12"/>
    </row>
    <row r="902" spans="2:5" x14ac:dyDescent="0.3">
      <c r="B902" s="6"/>
      <c r="C902" s="12"/>
      <c r="D902" s="6"/>
      <c r="E902" s="12"/>
    </row>
    <row r="903" spans="2:5" x14ac:dyDescent="0.3">
      <c r="B903" s="6"/>
      <c r="C903" s="12"/>
      <c r="D903" s="6"/>
      <c r="E903" s="12"/>
    </row>
    <row r="904" spans="2:5" x14ac:dyDescent="0.3">
      <c r="B904" s="6"/>
      <c r="C904" s="12"/>
      <c r="D904" s="6"/>
      <c r="E904" s="12"/>
    </row>
    <row r="905" spans="2:5" x14ac:dyDescent="0.3">
      <c r="B905" s="6"/>
      <c r="C905" s="12"/>
      <c r="D905" s="6"/>
      <c r="E905" s="12"/>
    </row>
    <row r="907" spans="2:5" x14ac:dyDescent="0.3">
      <c r="B907" s="5"/>
    </row>
    <row r="908" spans="2:5" x14ac:dyDescent="0.3">
      <c r="B908" s="5"/>
    </row>
    <row r="909" spans="2:5" x14ac:dyDescent="0.3">
      <c r="B909" s="13"/>
      <c r="C909" s="13"/>
      <c r="D909" s="13"/>
    </row>
    <row r="910" spans="2:5" x14ac:dyDescent="0.3">
      <c r="B910" s="6"/>
      <c r="C910" s="12"/>
      <c r="D910" s="6"/>
    </row>
    <row r="911" spans="2:5" x14ac:dyDescent="0.3">
      <c r="B911" s="6"/>
      <c r="C911" s="6"/>
      <c r="D911" s="6"/>
    </row>
    <row r="912" spans="2:5" x14ac:dyDescent="0.3">
      <c r="B912" s="6"/>
      <c r="C912" s="6"/>
      <c r="D912" s="6"/>
    </row>
    <row r="913" spans="2:4" x14ac:dyDescent="0.3">
      <c r="B913" s="6"/>
      <c r="C913" s="12"/>
      <c r="D913" s="6"/>
    </row>
    <row r="914" spans="2:4" x14ac:dyDescent="0.3">
      <c r="B914" s="6"/>
      <c r="C914" s="12"/>
      <c r="D914" s="6"/>
    </row>
    <row r="915" spans="2:4" x14ac:dyDescent="0.3">
      <c r="B915" s="6"/>
      <c r="C915" s="12"/>
      <c r="D915" s="6"/>
    </row>
    <row r="916" spans="2:4" x14ac:dyDescent="0.3">
      <c r="B916" s="6"/>
      <c r="C916" s="12"/>
      <c r="D916" s="6"/>
    </row>
    <row r="917" spans="2:4" x14ac:dyDescent="0.3">
      <c r="B917" s="6"/>
      <c r="C917" s="12"/>
      <c r="D917" s="6"/>
    </row>
    <row r="918" spans="2:4" x14ac:dyDescent="0.3">
      <c r="B918" s="6"/>
      <c r="C918" s="12"/>
      <c r="D918" s="6"/>
    </row>
    <row r="919" spans="2:4" x14ac:dyDescent="0.3">
      <c r="B919" s="6"/>
      <c r="C919" s="12"/>
      <c r="D919" s="6"/>
    </row>
    <row r="920" spans="2:4" x14ac:dyDescent="0.3">
      <c r="B920" s="6"/>
      <c r="C920" s="12"/>
      <c r="D920" s="6"/>
    </row>
    <row r="921" spans="2:4" x14ac:dyDescent="0.3">
      <c r="B921" s="6"/>
      <c r="C921" s="12"/>
      <c r="D921" s="6"/>
    </row>
    <row r="922" spans="2:4" x14ac:dyDescent="0.3">
      <c r="B922" s="6"/>
      <c r="C922" s="6"/>
      <c r="D922" s="6"/>
    </row>
    <row r="923" spans="2:4" x14ac:dyDescent="0.3">
      <c r="B923" s="6"/>
      <c r="C923" s="6"/>
      <c r="D923" s="6"/>
    </row>
    <row r="924" spans="2:4" x14ac:dyDescent="0.3">
      <c r="B924" s="6"/>
      <c r="C924" s="12"/>
      <c r="D924" s="6"/>
    </row>
    <row r="925" spans="2:4" x14ac:dyDescent="0.3">
      <c r="B925" s="6"/>
      <c r="C925" s="12"/>
      <c r="D925" s="6"/>
    </row>
    <row r="926" spans="2:4" x14ac:dyDescent="0.3">
      <c r="B926" s="6"/>
      <c r="C926" s="12"/>
      <c r="D926" s="6"/>
    </row>
    <row r="927" spans="2:4" x14ac:dyDescent="0.3">
      <c r="B927" s="6"/>
      <c r="C927" s="12"/>
      <c r="D927" s="6"/>
    </row>
    <row r="929" spans="2:4" x14ac:dyDescent="0.3">
      <c r="B929" s="5"/>
    </row>
    <row r="930" spans="2:4" x14ac:dyDescent="0.3">
      <c r="B930" s="5"/>
    </row>
    <row r="931" spans="2:4" x14ac:dyDescent="0.3">
      <c r="B931" s="13"/>
      <c r="C931" s="13"/>
      <c r="D931" s="13"/>
    </row>
    <row r="932" spans="2:4" x14ac:dyDescent="0.3">
      <c r="B932" s="6"/>
      <c r="C932" s="12"/>
      <c r="D932" s="6"/>
    </row>
    <row r="933" spans="2:4" x14ac:dyDescent="0.3">
      <c r="B933" s="6"/>
      <c r="C933" s="6"/>
      <c r="D933" s="6"/>
    </row>
    <row r="934" spans="2:4" x14ac:dyDescent="0.3">
      <c r="B934" s="6"/>
      <c r="C934" s="6"/>
      <c r="D934" s="6"/>
    </row>
    <row r="935" spans="2:4" x14ac:dyDescent="0.3">
      <c r="B935" s="6"/>
      <c r="C935" s="12"/>
      <c r="D935" s="6"/>
    </row>
    <row r="936" spans="2:4" x14ac:dyDescent="0.3">
      <c r="B936" s="6"/>
      <c r="C936" s="12"/>
      <c r="D936" s="6"/>
    </row>
    <row r="937" spans="2:4" x14ac:dyDescent="0.3">
      <c r="B937" s="6"/>
      <c r="C937" s="12"/>
      <c r="D937" s="6"/>
    </row>
    <row r="939" spans="2:4" x14ac:dyDescent="0.3">
      <c r="B939" s="5"/>
    </row>
    <row r="940" spans="2:4" x14ac:dyDescent="0.3">
      <c r="B940" s="5"/>
    </row>
    <row r="941" spans="2:4" x14ac:dyDescent="0.3">
      <c r="B941" s="13"/>
      <c r="C941" s="13"/>
    </row>
    <row r="942" spans="2:4" x14ac:dyDescent="0.3">
      <c r="B942" s="7"/>
      <c r="C942" s="12"/>
    </row>
    <row r="943" spans="2:4" x14ac:dyDescent="0.3">
      <c r="B943" s="7"/>
      <c r="C943" s="6"/>
    </row>
    <row r="944" spans="2:4" x14ac:dyDescent="0.3">
      <c r="B944" s="7"/>
      <c r="C944" s="6"/>
    </row>
    <row r="945" spans="2:3" x14ac:dyDescent="0.3">
      <c r="B945" s="7"/>
      <c r="C945" s="12"/>
    </row>
    <row r="946" spans="2:3" x14ac:dyDescent="0.3">
      <c r="B946" s="7"/>
      <c r="C946" s="12"/>
    </row>
    <row r="947" spans="2:3" x14ac:dyDescent="0.3">
      <c r="B947" s="7"/>
      <c r="C947" s="12"/>
    </row>
    <row r="948" spans="2:3" x14ac:dyDescent="0.3">
      <c r="B948" s="7"/>
      <c r="C948" s="6"/>
    </row>
    <row r="949" spans="2:3" x14ac:dyDescent="0.3">
      <c r="B949" s="7"/>
      <c r="C949" s="6"/>
    </row>
  </sheetData>
  <sheetProtection algorithmName="SHA-512" hashValue="Camiulm8fvu2KkovtYJ6GiVPcK2En5XpqFSNRX5OESx+8oobI3irXVAratGokZIlkdpOxt2ZB+AFQqeKGyCVBg==" saltValue="USYIYRjqw3OjHu78SiBh/w==" spinCount="100000" sheet="1" objects="1" scenarios="1" autoFilter="0"/>
  <pageMargins left="0.7" right="0.7" top="0.75" bottom="0.75" header="0.3" footer="0.3"/>
  <drawing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1"/>
  <dimension ref="A1:Q25"/>
  <sheetViews>
    <sheetView workbookViewId="0">
      <selection activeCell="A10" sqref="A10"/>
    </sheetView>
  </sheetViews>
  <sheetFormatPr defaultRowHeight="14" x14ac:dyDescent="0.3"/>
  <sheetData>
    <row r="1" spans="1:17" ht="17.5" x14ac:dyDescent="0.35">
      <c r="A1" s="86" t="s">
        <v>1938</v>
      </c>
    </row>
    <row r="5" spans="1:17" x14ac:dyDescent="0.3">
      <c r="A5" t="s">
        <v>1939</v>
      </c>
    </row>
    <row r="7" spans="1:17" x14ac:dyDescent="0.3">
      <c r="B7" t="s">
        <v>1940</v>
      </c>
    </row>
    <row r="8" spans="1:17" x14ac:dyDescent="0.3">
      <c r="A8" s="87">
        <f>'13.6 Whole-of-Home Energy Usage'!T15</f>
        <v>0</v>
      </c>
      <c r="B8" t="s">
        <v>1941</v>
      </c>
      <c r="C8" t="s">
        <v>1942</v>
      </c>
      <c r="Q8" t="s">
        <v>1589</v>
      </c>
    </row>
    <row r="9" spans="1:17" x14ac:dyDescent="0.3">
      <c r="A9" s="87" t="e">
        <f ca="1">'13.6 Whole-of-Home Energy Usage'!W11</f>
        <v>#N/A</v>
      </c>
      <c r="B9" t="s">
        <v>1424</v>
      </c>
      <c r="C9" t="s">
        <v>1943</v>
      </c>
      <c r="Q9" t="s">
        <v>1944</v>
      </c>
    </row>
    <row r="10" spans="1:17" x14ac:dyDescent="0.3">
      <c r="A10" s="87" t="e">
        <f>(MROUND('13.6 Whole-of-Home Energy Usage'!K18, 1000) *'13.6 Whole-of-Home Energy Usage'!X18)/1000</f>
        <v>#N/A</v>
      </c>
      <c r="B10" t="s">
        <v>1945</v>
      </c>
      <c r="C10" t="s">
        <v>1946</v>
      </c>
      <c r="Q10" t="s">
        <v>1947</v>
      </c>
    </row>
    <row r="11" spans="1:17" x14ac:dyDescent="0.3">
      <c r="A11" s="87" t="e">
        <f>(MROUND('13.6 Whole-of-Home Energy Usage'!K22, 100) *'13.6 Whole-of-Home Energy Usage'!T21)/100</f>
        <v>#N/A</v>
      </c>
      <c r="B11" t="s">
        <v>1174</v>
      </c>
      <c r="C11" t="s">
        <v>1948</v>
      </c>
      <c r="Q11" t="s">
        <v>1589</v>
      </c>
    </row>
    <row r="12" spans="1:17" x14ac:dyDescent="0.3">
      <c r="A12" s="87">
        <f>'13.6 Whole-of-Home Energy Usage'!K26</f>
        <v>0</v>
      </c>
      <c r="B12" t="s">
        <v>1949</v>
      </c>
      <c r="C12" t="s">
        <v>1950</v>
      </c>
      <c r="Q12" t="s">
        <v>1589</v>
      </c>
    </row>
    <row r="13" spans="1:17" x14ac:dyDescent="0.3">
      <c r="A13" s="87" t="str">
        <f>'13.6 Whole-of-Home Energy Usage'!S11</f>
        <v/>
      </c>
      <c r="B13" t="s">
        <v>1951</v>
      </c>
      <c r="C13" t="s">
        <v>1952</v>
      </c>
      <c r="Q13" t="s">
        <v>1589</v>
      </c>
    </row>
    <row r="16" spans="1:17" x14ac:dyDescent="0.3">
      <c r="B16" t="s">
        <v>1953</v>
      </c>
      <c r="F16" t="s">
        <v>1589</v>
      </c>
    </row>
    <row r="17" spans="1:6" x14ac:dyDescent="0.3">
      <c r="B17" t="s">
        <v>1954</v>
      </c>
      <c r="F17" t="s">
        <v>1589</v>
      </c>
    </row>
    <row r="20" spans="1:6" x14ac:dyDescent="0.3">
      <c r="A20" s="87" t="e">
        <f>A8*A13</f>
        <v>#VALUE!</v>
      </c>
      <c r="B20" t="s">
        <v>1955</v>
      </c>
    </row>
    <row r="21" spans="1:6" x14ac:dyDescent="0.3">
      <c r="A21" s="87" t="e">
        <f ca="1">(A8*A9)+A10+A11-A12</f>
        <v>#N/A</v>
      </c>
      <c r="B21" t="s">
        <v>1956</v>
      </c>
    </row>
    <row r="23" spans="1:6" x14ac:dyDescent="0.3">
      <c r="A23" t="s">
        <v>1957</v>
      </c>
    </row>
    <row r="24" spans="1:6" x14ac:dyDescent="0.3">
      <c r="A24" t="s">
        <v>1958</v>
      </c>
    </row>
    <row r="25" spans="1:6" x14ac:dyDescent="0.3">
      <c r="A25" t="s">
        <v>1959</v>
      </c>
    </row>
  </sheetData>
  <sheetProtection algorithmName="SHA-512" hashValue="XQEoxY2aFbj+HSyGNbE6789kQaLqspVGPREi/8jUERA7lhyEeD4ViPjQjQZDdNwiU0B2VYyqGuLZitqa44lV1w==" saltValue="MDRdFG0cBZbIb54DrXdcng==" spinCount="100000" sheet="1" objects="1" scenarios="1" autoFilter="0"/>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
  <dimension ref="B1:K247"/>
  <sheetViews>
    <sheetView zoomScaleNormal="100" workbookViewId="0">
      <selection activeCell="S12" sqref="R12:S12"/>
    </sheetView>
  </sheetViews>
  <sheetFormatPr defaultColWidth="7.58203125" defaultRowHeight="14" x14ac:dyDescent="0.3"/>
  <cols>
    <col min="2" max="2" width="16.58203125" customWidth="1"/>
    <col min="3" max="3" width="26.33203125" customWidth="1"/>
  </cols>
  <sheetData>
    <row r="1" spans="2:11" ht="14.5" thickBot="1" x14ac:dyDescent="0.35"/>
    <row r="2" spans="2:11" ht="25.5" thickBot="1" x14ac:dyDescent="0.55000000000000004">
      <c r="B2" s="88" t="s">
        <v>1960</v>
      </c>
      <c r="C2" s="89"/>
      <c r="D2" s="90">
        <v>1</v>
      </c>
      <c r="E2" s="91" t="s">
        <v>1961</v>
      </c>
      <c r="F2" s="92"/>
      <c r="G2" s="92"/>
      <c r="H2" s="92"/>
      <c r="I2" s="93"/>
      <c r="J2" s="89" t="s">
        <v>176</v>
      </c>
      <c r="K2" s="94" t="s">
        <v>230</v>
      </c>
    </row>
    <row r="3" spans="2:11" ht="14.5" thickBot="1" x14ac:dyDescent="0.35">
      <c r="B3" s="95" t="s">
        <v>1962</v>
      </c>
      <c r="C3" s="96" t="s">
        <v>1963</v>
      </c>
      <c r="D3" s="95" t="s">
        <v>1964</v>
      </c>
      <c r="E3" s="97" t="s">
        <v>1965</v>
      </c>
      <c r="F3" s="97" t="s">
        <v>1966</v>
      </c>
      <c r="G3" s="97" t="s">
        <v>1967</v>
      </c>
      <c r="H3" s="97" t="s">
        <v>1968</v>
      </c>
      <c r="I3" s="97" t="s">
        <v>1969</v>
      </c>
      <c r="J3" s="97" t="s">
        <v>1970</v>
      </c>
      <c r="K3" s="98" t="s">
        <v>1971</v>
      </c>
    </row>
    <row r="4" spans="2:11" ht="18.5" thickBot="1" x14ac:dyDescent="0.45">
      <c r="B4" s="99" t="s">
        <v>34</v>
      </c>
      <c r="C4" s="100" t="s">
        <v>34</v>
      </c>
      <c r="D4" s="101" t="s">
        <v>34</v>
      </c>
      <c r="E4" s="944"/>
      <c r="F4" s="944"/>
      <c r="G4" s="944"/>
      <c r="H4" s="944"/>
      <c r="I4" s="944" t="s">
        <v>34</v>
      </c>
      <c r="J4" s="944" t="s">
        <v>34</v>
      </c>
      <c r="K4" s="102"/>
    </row>
    <row r="5" spans="2:11" ht="86.5" thickBot="1" x14ac:dyDescent="0.45">
      <c r="B5" s="103" t="s">
        <v>1972</v>
      </c>
      <c r="C5" s="104" t="s">
        <v>1973</v>
      </c>
      <c r="D5" s="105" t="s">
        <v>1974</v>
      </c>
      <c r="E5" s="105" t="s">
        <v>1525</v>
      </c>
      <c r="F5" s="105" t="s">
        <v>1527</v>
      </c>
      <c r="G5" s="105" t="s">
        <v>1975</v>
      </c>
      <c r="H5" s="105" t="s">
        <v>1976</v>
      </c>
      <c r="I5" s="105" t="s">
        <v>1445</v>
      </c>
      <c r="J5" s="105" t="s">
        <v>1538</v>
      </c>
      <c r="K5" s="106" t="s">
        <v>1541</v>
      </c>
    </row>
    <row r="6" spans="2:11" x14ac:dyDescent="0.3">
      <c r="B6" s="107" t="s">
        <v>1977</v>
      </c>
      <c r="C6" s="108" t="s">
        <v>1416</v>
      </c>
      <c r="D6" s="109">
        <v>2.2921275601675197</v>
      </c>
      <c r="E6" s="109">
        <v>1.8600114944844084</v>
      </c>
      <c r="F6" s="109">
        <v>1.07852940892497</v>
      </c>
      <c r="G6" s="109">
        <v>0.94382462693280456</v>
      </c>
      <c r="H6" s="109">
        <v>0.90560265611899438</v>
      </c>
      <c r="I6" s="109">
        <v>3.1372324053979499</v>
      </c>
      <c r="J6" s="109">
        <v>2.6864929078658997</v>
      </c>
      <c r="K6" s="110">
        <v>0.75193635316642138</v>
      </c>
    </row>
    <row r="7" spans="2:11" x14ac:dyDescent="0.3">
      <c r="B7" s="111" t="s">
        <v>1978</v>
      </c>
      <c r="C7" s="112" t="s">
        <v>1483</v>
      </c>
      <c r="D7" s="1499">
        <v>3.9523569590444798</v>
      </c>
      <c r="E7" s="1499">
        <v>3.6179750502662031</v>
      </c>
      <c r="F7" s="1499">
        <v>2.7194050730854795</v>
      </c>
      <c r="G7" s="1499">
        <v>2.6443030485213348</v>
      </c>
      <c r="H7" s="1499">
        <v>2.5375385476140755</v>
      </c>
      <c r="I7" s="1499">
        <v>4.883056238502105</v>
      </c>
      <c r="J7" s="1499">
        <v>4.4420006455059466</v>
      </c>
      <c r="K7" s="113">
        <v>2.4273044623610764</v>
      </c>
    </row>
    <row r="8" spans="2:11" x14ac:dyDescent="0.3">
      <c r="B8" s="111" t="s">
        <v>1979</v>
      </c>
      <c r="C8" s="112" t="s">
        <v>1489</v>
      </c>
      <c r="D8" s="1499">
        <v>3.7566524268545627</v>
      </c>
      <c r="E8" s="1499">
        <v>3.4222705180762865</v>
      </c>
      <c r="F8" s="1499">
        <v>2.5237005408955628</v>
      </c>
      <c r="G8" s="1499">
        <v>2.4485985163314181</v>
      </c>
      <c r="H8" s="1499">
        <v>2.3418340154241588</v>
      </c>
      <c r="I8" s="1499">
        <v>4.6873517063121879</v>
      </c>
      <c r="J8" s="1499">
        <v>4.2462961133160295</v>
      </c>
      <c r="K8" s="113">
        <v>2.2315999301711598</v>
      </c>
    </row>
    <row r="9" spans="2:11" x14ac:dyDescent="0.3">
      <c r="B9" s="114">
        <v>0</v>
      </c>
      <c r="C9" s="112" t="s">
        <v>1496</v>
      </c>
      <c r="D9" s="1499">
        <v>3.4630956285696879</v>
      </c>
      <c r="E9" s="1499">
        <v>3.1287137197914117</v>
      </c>
      <c r="F9" s="1499">
        <v>2.2301437426106876</v>
      </c>
      <c r="G9" s="1499">
        <v>2.1550417180465429</v>
      </c>
      <c r="H9" s="1499">
        <v>2.0482772171392836</v>
      </c>
      <c r="I9" s="1499">
        <v>4.3937949080273135</v>
      </c>
      <c r="J9" s="1499">
        <v>3.9527393150311552</v>
      </c>
      <c r="K9" s="113">
        <v>1.9380431318862845</v>
      </c>
    </row>
    <row r="10" spans="2:11" x14ac:dyDescent="0.3">
      <c r="B10" s="115"/>
      <c r="C10" s="112" t="s">
        <v>1500</v>
      </c>
      <c r="D10" s="1499">
        <v>3.1695388302848126</v>
      </c>
      <c r="E10" s="1499">
        <v>2.8351569215065364</v>
      </c>
      <c r="F10" s="1499">
        <v>1.9365869443258126</v>
      </c>
      <c r="G10" s="1499">
        <v>1.8614849197616679</v>
      </c>
      <c r="H10" s="1499">
        <v>1.7547204188544083</v>
      </c>
      <c r="I10" s="1499">
        <v>4.1002381097424383</v>
      </c>
      <c r="J10" s="1499">
        <v>3.6591825167462799</v>
      </c>
      <c r="K10" s="113">
        <v>1.6444863336014095</v>
      </c>
    </row>
    <row r="11" spans="2:11" x14ac:dyDescent="0.3">
      <c r="B11" s="115"/>
      <c r="C11" s="112" t="s">
        <v>1504</v>
      </c>
      <c r="D11" s="1499">
        <v>3.6157723624577627</v>
      </c>
      <c r="E11" s="1499">
        <v>3.2710122496209513</v>
      </c>
      <c r="F11" s="1499">
        <v>2.3822224336770943</v>
      </c>
      <c r="G11" s="1499">
        <v>2.295975131349318</v>
      </c>
      <c r="H11" s="1499">
        <v>2.1982516525671931</v>
      </c>
      <c r="I11" s="1499">
        <v>4.5374414647391852</v>
      </c>
      <c r="J11" s="1499">
        <v>4.0954640432535552</v>
      </c>
      <c r="K11" s="113">
        <v>2.0863588795282149</v>
      </c>
    </row>
    <row r="12" spans="2:11" x14ac:dyDescent="0.3">
      <c r="B12" s="115"/>
      <c r="C12" s="112" t="s">
        <v>1508</v>
      </c>
      <c r="D12" s="1499">
        <v>3.4514379473377876</v>
      </c>
      <c r="E12" s="1499">
        <v>3.1066778345009758</v>
      </c>
      <c r="F12" s="1499">
        <v>2.2178880185571193</v>
      </c>
      <c r="G12" s="1499">
        <v>2.1316407162293425</v>
      </c>
      <c r="H12" s="1499">
        <v>2.0339172374472181</v>
      </c>
      <c r="I12" s="1499">
        <v>4.3731070496192093</v>
      </c>
      <c r="J12" s="1499">
        <v>3.9311296281335792</v>
      </c>
      <c r="K12" s="113">
        <v>1.9220244644082396</v>
      </c>
    </row>
    <row r="13" spans="2:11" x14ac:dyDescent="0.3">
      <c r="B13" s="115"/>
      <c r="C13" s="112" t="s">
        <v>1513</v>
      </c>
      <c r="D13" s="1499">
        <v>3.2049363246578251</v>
      </c>
      <c r="E13" s="1499">
        <v>2.8601762118210132</v>
      </c>
      <c r="F13" s="1499">
        <v>1.9713863958771563</v>
      </c>
      <c r="G13" s="1499">
        <v>1.8851390935493799</v>
      </c>
      <c r="H13" s="1499">
        <v>1.7874156147672551</v>
      </c>
      <c r="I13" s="1499">
        <v>4.1266054269392471</v>
      </c>
      <c r="J13" s="1499">
        <v>3.6846280054536167</v>
      </c>
      <c r="K13" s="113">
        <v>1.6755228417282766</v>
      </c>
    </row>
    <row r="14" spans="2:11" x14ac:dyDescent="0.3">
      <c r="B14" s="115"/>
      <c r="C14" s="112" t="s">
        <v>1517</v>
      </c>
      <c r="D14" s="1499">
        <v>2.9584347019778621</v>
      </c>
      <c r="E14" s="1499">
        <v>2.6136745891410507</v>
      </c>
      <c r="F14" s="1499">
        <v>1.7248847731971937</v>
      </c>
      <c r="G14" s="1499">
        <v>1.6386374708694169</v>
      </c>
      <c r="H14" s="1499">
        <v>1.5409139920872925</v>
      </c>
      <c r="I14" s="1499">
        <v>3.8801038042592841</v>
      </c>
      <c r="J14" s="1499">
        <v>3.4381263827736541</v>
      </c>
      <c r="K14" s="113">
        <v>1.4290212190483138</v>
      </c>
    </row>
    <row r="15" spans="2:11" ht="14.5" thickBot="1" x14ac:dyDescent="0.35">
      <c r="B15" s="1233"/>
      <c r="C15" s="116" t="s">
        <v>1519</v>
      </c>
      <c r="D15" s="117">
        <v>3.9523569590444798</v>
      </c>
      <c r="E15" s="117">
        <v>3.6179750502662031</v>
      </c>
      <c r="F15" s="117">
        <v>2.7194050730854795</v>
      </c>
      <c r="G15" s="117">
        <v>2.6443030485213348</v>
      </c>
      <c r="H15" s="117">
        <v>2.5375385476140755</v>
      </c>
      <c r="I15" s="117">
        <v>4.883056238502105</v>
      </c>
      <c r="J15" s="117">
        <v>4.4420006455059466</v>
      </c>
      <c r="K15" s="118">
        <v>2.4273044623610764</v>
      </c>
    </row>
    <row r="16" spans="2:11" x14ac:dyDescent="0.3">
      <c r="B16" s="107" t="s">
        <v>1977</v>
      </c>
      <c r="C16" s="108" t="s">
        <v>1416</v>
      </c>
      <c r="D16" s="109">
        <v>2.2921201524779224</v>
      </c>
      <c r="E16" s="109">
        <v>1.8600040867948113</v>
      </c>
      <c r="F16" s="109">
        <v>1.0785220012353729</v>
      </c>
      <c r="G16" s="109">
        <v>0.94381721924320738</v>
      </c>
      <c r="H16" s="109">
        <v>0.9055952484293972</v>
      </c>
      <c r="I16" s="109">
        <v>3.1372249977083526</v>
      </c>
      <c r="J16" s="109">
        <v>2.6864855001763024</v>
      </c>
      <c r="K16" s="110">
        <v>0.7519289454768241</v>
      </c>
    </row>
    <row r="17" spans="2:11" x14ac:dyDescent="0.3">
      <c r="B17" s="111" t="s">
        <v>1978</v>
      </c>
      <c r="C17" s="112" t="s">
        <v>1483</v>
      </c>
      <c r="D17" s="1499">
        <v>3.9523495513548825</v>
      </c>
      <c r="E17" s="1499">
        <v>3.6179676425766063</v>
      </c>
      <c r="F17" s="1499">
        <v>2.7193976653958827</v>
      </c>
      <c r="G17" s="1499">
        <v>2.644295640831738</v>
      </c>
      <c r="H17" s="1499">
        <v>2.5375311399244782</v>
      </c>
      <c r="I17" s="1499">
        <v>4.8830488308125073</v>
      </c>
      <c r="J17" s="1499">
        <v>4.4419932378163498</v>
      </c>
      <c r="K17" s="113">
        <v>2.4272970546714796</v>
      </c>
    </row>
    <row r="18" spans="2:11" x14ac:dyDescent="0.3">
      <c r="B18" s="111" t="s">
        <v>1980</v>
      </c>
      <c r="C18" s="112" t="s">
        <v>1489</v>
      </c>
      <c r="D18" s="1499">
        <v>3.7566450191649658</v>
      </c>
      <c r="E18" s="1499">
        <v>3.4222631103866896</v>
      </c>
      <c r="F18" s="1499">
        <v>2.523693133205966</v>
      </c>
      <c r="G18" s="1499">
        <v>2.4485911086418213</v>
      </c>
      <c r="H18" s="1499">
        <v>2.3418266077345615</v>
      </c>
      <c r="I18" s="1499">
        <v>4.6873442986225911</v>
      </c>
      <c r="J18" s="1499">
        <v>4.2462887056264327</v>
      </c>
      <c r="K18" s="113">
        <v>2.2315925224815625</v>
      </c>
    </row>
    <row r="19" spans="2:11" x14ac:dyDescent="0.3">
      <c r="B19" s="114">
        <v>0</v>
      </c>
      <c r="C19" s="112" t="s">
        <v>1496</v>
      </c>
      <c r="D19" s="1499">
        <v>3.4630882208800906</v>
      </c>
      <c r="E19" s="1499">
        <v>3.1287063121018144</v>
      </c>
      <c r="F19" s="1499">
        <v>2.2301363349210908</v>
      </c>
      <c r="G19" s="1499">
        <v>2.1550343103569456</v>
      </c>
      <c r="H19" s="1499">
        <v>2.0482698094496863</v>
      </c>
      <c r="I19" s="1499">
        <v>4.3937875003377158</v>
      </c>
      <c r="J19" s="1499">
        <v>3.9527319073415579</v>
      </c>
      <c r="K19" s="113">
        <v>1.9380357241966872</v>
      </c>
    </row>
    <row r="20" spans="2:11" x14ac:dyDescent="0.3">
      <c r="B20" s="115"/>
      <c r="C20" s="112" t="s">
        <v>1500</v>
      </c>
      <c r="D20" s="1499">
        <v>3.1695314225952154</v>
      </c>
      <c r="E20" s="1499">
        <v>2.8351495138169387</v>
      </c>
      <c r="F20" s="1499">
        <v>1.9365795366362155</v>
      </c>
      <c r="G20" s="1499">
        <v>1.8614775120720706</v>
      </c>
      <c r="H20" s="1499">
        <v>1.7547130111648113</v>
      </c>
      <c r="I20" s="1499">
        <v>4.1002307020528406</v>
      </c>
      <c r="J20" s="1499">
        <v>3.6591751090566822</v>
      </c>
      <c r="K20" s="113">
        <v>1.6444789259118122</v>
      </c>
    </row>
    <row r="21" spans="2:11" x14ac:dyDescent="0.3">
      <c r="B21" s="115"/>
      <c r="C21" s="112" t="s">
        <v>1504</v>
      </c>
      <c r="D21" s="1499">
        <v>3.6157649547681658</v>
      </c>
      <c r="E21" s="1499">
        <v>3.2710048419313544</v>
      </c>
      <c r="F21" s="1499">
        <v>2.3822150259874975</v>
      </c>
      <c r="G21" s="1499">
        <v>2.2959677236597207</v>
      </c>
      <c r="H21" s="1499">
        <v>2.1982442448775958</v>
      </c>
      <c r="I21" s="1499">
        <v>4.5374340570495875</v>
      </c>
      <c r="J21" s="1499">
        <v>4.0954566355639583</v>
      </c>
      <c r="K21" s="113">
        <v>2.0863514718386176</v>
      </c>
    </row>
    <row r="22" spans="2:11" x14ac:dyDescent="0.3">
      <c r="B22" s="115"/>
      <c r="C22" s="112" t="s">
        <v>1508</v>
      </c>
      <c r="D22" s="1499">
        <v>3.4514305396481904</v>
      </c>
      <c r="E22" s="1499">
        <v>3.1066704268113789</v>
      </c>
      <c r="F22" s="1499">
        <v>2.217880610867522</v>
      </c>
      <c r="G22" s="1499">
        <v>2.1316333085397456</v>
      </c>
      <c r="H22" s="1499">
        <v>2.0339098297576208</v>
      </c>
      <c r="I22" s="1499">
        <v>4.3730996419296124</v>
      </c>
      <c r="J22" s="1499">
        <v>3.9311222204439824</v>
      </c>
      <c r="K22" s="113">
        <v>1.9220170567186423</v>
      </c>
    </row>
    <row r="23" spans="2:11" x14ac:dyDescent="0.3">
      <c r="B23" s="115"/>
      <c r="C23" s="112" t="s">
        <v>1513</v>
      </c>
      <c r="D23" s="1499">
        <v>3.2049289169682278</v>
      </c>
      <c r="E23" s="1499">
        <v>2.8601688041314164</v>
      </c>
      <c r="F23" s="1499">
        <v>1.971378988187559</v>
      </c>
      <c r="G23" s="1499">
        <v>1.8851316858597826</v>
      </c>
      <c r="H23" s="1499">
        <v>1.787408207077658</v>
      </c>
      <c r="I23" s="1499">
        <v>4.1265980192496494</v>
      </c>
      <c r="J23" s="1499">
        <v>3.6846205977640198</v>
      </c>
      <c r="K23" s="113">
        <v>1.6755154340386795</v>
      </c>
    </row>
    <row r="24" spans="2:11" x14ac:dyDescent="0.3">
      <c r="B24" s="115"/>
      <c r="C24" s="112" t="s">
        <v>1517</v>
      </c>
      <c r="D24" s="1499">
        <v>2.9584272942882648</v>
      </c>
      <c r="E24" s="1499">
        <v>2.6136671814514529</v>
      </c>
      <c r="F24" s="1499">
        <v>1.7248773655075962</v>
      </c>
      <c r="G24" s="1499">
        <v>1.6386300631798201</v>
      </c>
      <c r="H24" s="1499">
        <v>1.540906584397695</v>
      </c>
      <c r="I24" s="1499">
        <v>3.8800963965696869</v>
      </c>
      <c r="J24" s="1499">
        <v>3.4381189750840568</v>
      </c>
      <c r="K24" s="113">
        <v>1.429013811358717</v>
      </c>
    </row>
    <row r="25" spans="2:11" ht="14.5" thickBot="1" x14ac:dyDescent="0.35">
      <c r="B25" s="1233"/>
      <c r="C25" s="116" t="s">
        <v>1519</v>
      </c>
      <c r="D25" s="117">
        <v>3.9523495513548825</v>
      </c>
      <c r="E25" s="117">
        <v>3.6179676425766063</v>
      </c>
      <c r="F25" s="117">
        <v>2.7193976653958827</v>
      </c>
      <c r="G25" s="117">
        <v>2.644295640831738</v>
      </c>
      <c r="H25" s="117">
        <v>2.5375311399244782</v>
      </c>
      <c r="I25" s="117">
        <v>4.8830488308125073</v>
      </c>
      <c r="J25" s="117">
        <v>4.4419932378163498</v>
      </c>
      <c r="K25" s="118">
        <v>2.4272970546714796</v>
      </c>
    </row>
    <row r="26" spans="2:11" x14ac:dyDescent="0.3">
      <c r="B26" s="107" t="s">
        <v>1977</v>
      </c>
      <c r="C26" s="108" t="s">
        <v>1416</v>
      </c>
      <c r="D26" s="109">
        <v>2.2921090409435267</v>
      </c>
      <c r="E26" s="109">
        <v>1.8599929752604156</v>
      </c>
      <c r="F26" s="109">
        <v>1.0785108897009772</v>
      </c>
      <c r="G26" s="109">
        <v>0.94380610770881157</v>
      </c>
      <c r="H26" s="109">
        <v>0.90558413689500139</v>
      </c>
      <c r="I26" s="109">
        <v>3.1372138861739569</v>
      </c>
      <c r="J26" s="109">
        <v>2.6864743886419067</v>
      </c>
      <c r="K26" s="110">
        <v>0.75191783394242839</v>
      </c>
    </row>
    <row r="27" spans="2:11" x14ac:dyDescent="0.3">
      <c r="B27" s="111" t="s">
        <v>1978</v>
      </c>
      <c r="C27" s="112" t="s">
        <v>1483</v>
      </c>
      <c r="D27" s="1499">
        <v>3.9523384398204868</v>
      </c>
      <c r="E27" s="1499">
        <v>3.6179565310422106</v>
      </c>
      <c r="F27" s="1499">
        <v>2.719386553861487</v>
      </c>
      <c r="G27" s="1499">
        <v>2.6442845292973418</v>
      </c>
      <c r="H27" s="1499">
        <v>2.5375200283900825</v>
      </c>
      <c r="I27" s="1499">
        <v>4.8830377192781125</v>
      </c>
      <c r="J27" s="1499">
        <v>4.4419821262819541</v>
      </c>
      <c r="K27" s="113">
        <v>2.4272859431370835</v>
      </c>
    </row>
    <row r="28" spans="2:11" x14ac:dyDescent="0.3">
      <c r="B28" s="111" t="s">
        <v>1981</v>
      </c>
      <c r="C28" s="112" t="s">
        <v>1489</v>
      </c>
      <c r="D28" s="1499">
        <v>3.7566339076305701</v>
      </c>
      <c r="E28" s="1499">
        <v>3.4222519988522935</v>
      </c>
      <c r="F28" s="1499">
        <v>2.5236820216715699</v>
      </c>
      <c r="G28" s="1499">
        <v>2.4485799971074251</v>
      </c>
      <c r="H28" s="1499">
        <v>2.3418154962001658</v>
      </c>
      <c r="I28" s="1499">
        <v>4.6873331870881954</v>
      </c>
      <c r="J28" s="1499">
        <v>4.246277594092037</v>
      </c>
      <c r="K28" s="113">
        <v>2.2315814109471668</v>
      </c>
    </row>
    <row r="29" spans="2:11" x14ac:dyDescent="0.3">
      <c r="B29" s="114">
        <v>0</v>
      </c>
      <c r="C29" s="112" t="s">
        <v>1496</v>
      </c>
      <c r="D29" s="1499">
        <v>3.4630771093456953</v>
      </c>
      <c r="E29" s="1499">
        <v>3.1286952005674182</v>
      </c>
      <c r="F29" s="1499">
        <v>2.2301252233866951</v>
      </c>
      <c r="G29" s="1499">
        <v>2.1550231988225499</v>
      </c>
      <c r="H29" s="1499">
        <v>2.0482586979152906</v>
      </c>
      <c r="I29" s="1499">
        <v>4.3937763888033201</v>
      </c>
      <c r="J29" s="1499">
        <v>3.9527207958071617</v>
      </c>
      <c r="K29" s="113">
        <v>1.9380246126622915</v>
      </c>
    </row>
    <row r="30" spans="2:11" x14ac:dyDescent="0.3">
      <c r="B30" s="115"/>
      <c r="C30" s="112" t="s">
        <v>1500</v>
      </c>
      <c r="D30" s="1499">
        <v>3.1695203110608197</v>
      </c>
      <c r="E30" s="1499">
        <v>2.8351384022825434</v>
      </c>
      <c r="F30" s="1499">
        <v>1.9365684251018196</v>
      </c>
      <c r="G30" s="1499">
        <v>1.8614664005376749</v>
      </c>
      <c r="H30" s="1499">
        <v>1.7547018996304153</v>
      </c>
      <c r="I30" s="1499">
        <v>4.1002195905184449</v>
      </c>
      <c r="J30" s="1499">
        <v>3.6591639975222869</v>
      </c>
      <c r="K30" s="113">
        <v>1.6444678143774163</v>
      </c>
    </row>
    <row r="31" spans="2:11" x14ac:dyDescent="0.3">
      <c r="B31" s="115"/>
      <c r="C31" s="112" t="s">
        <v>1504</v>
      </c>
      <c r="D31" s="1499">
        <v>3.6157538432337701</v>
      </c>
      <c r="E31" s="1499">
        <v>3.2709937303969583</v>
      </c>
      <c r="F31" s="1499">
        <v>2.3822039144531013</v>
      </c>
      <c r="G31" s="1499">
        <v>2.295956612125325</v>
      </c>
      <c r="H31" s="1499">
        <v>2.1982331333432001</v>
      </c>
      <c r="I31" s="1499">
        <v>4.5374229455151918</v>
      </c>
      <c r="J31" s="1499">
        <v>4.0954455240295617</v>
      </c>
      <c r="K31" s="113">
        <v>2.0863403603042219</v>
      </c>
    </row>
    <row r="32" spans="2:11" x14ac:dyDescent="0.3">
      <c r="B32" s="115"/>
      <c r="C32" s="112" t="s">
        <v>1508</v>
      </c>
      <c r="D32" s="1499">
        <v>3.4514194281137947</v>
      </c>
      <c r="E32" s="1499">
        <v>3.1066593152769828</v>
      </c>
      <c r="F32" s="1499">
        <v>2.2178694993331263</v>
      </c>
      <c r="G32" s="1499">
        <v>2.1316221970053499</v>
      </c>
      <c r="H32" s="1499">
        <v>2.0338987182232251</v>
      </c>
      <c r="I32" s="1499">
        <v>4.3730885303952167</v>
      </c>
      <c r="J32" s="1499">
        <v>3.9311111089095867</v>
      </c>
      <c r="K32" s="113">
        <v>1.9220059451842466</v>
      </c>
    </row>
    <row r="33" spans="2:11" x14ac:dyDescent="0.3">
      <c r="B33" s="115"/>
      <c r="C33" s="112" t="s">
        <v>1513</v>
      </c>
      <c r="D33" s="1499">
        <v>3.2049178054338321</v>
      </c>
      <c r="E33" s="1499">
        <v>2.8601576925970202</v>
      </c>
      <c r="F33" s="1499">
        <v>1.9713678766531635</v>
      </c>
      <c r="G33" s="1499">
        <v>1.8851205743253869</v>
      </c>
      <c r="H33" s="1499">
        <v>1.7873970955432623</v>
      </c>
      <c r="I33" s="1499">
        <v>4.1265869077152537</v>
      </c>
      <c r="J33" s="1499">
        <v>3.6846094862296241</v>
      </c>
      <c r="K33" s="113">
        <v>1.6755043225042838</v>
      </c>
    </row>
    <row r="34" spans="2:11" x14ac:dyDescent="0.3">
      <c r="B34" s="115"/>
      <c r="C34" s="112" t="s">
        <v>1517</v>
      </c>
      <c r="D34" s="1499">
        <v>2.9584161827538691</v>
      </c>
      <c r="E34" s="1499">
        <v>2.6136560699170572</v>
      </c>
      <c r="F34" s="1499">
        <v>1.7248662539732005</v>
      </c>
      <c r="G34" s="1499">
        <v>1.6386189516454241</v>
      </c>
      <c r="H34" s="1499">
        <v>1.5408954728632995</v>
      </c>
      <c r="I34" s="1499">
        <v>3.8800852850352912</v>
      </c>
      <c r="J34" s="1499">
        <v>3.4381078635496616</v>
      </c>
      <c r="K34" s="113">
        <v>1.429002699824321</v>
      </c>
    </row>
    <row r="35" spans="2:11" ht="14.5" thickBot="1" x14ac:dyDescent="0.35">
      <c r="B35" s="1233"/>
      <c r="C35" s="116" t="s">
        <v>1519</v>
      </c>
      <c r="D35" s="117">
        <v>3.9523384398204868</v>
      </c>
      <c r="E35" s="117">
        <v>3.6179565310422106</v>
      </c>
      <c r="F35" s="117">
        <v>2.719386553861487</v>
      </c>
      <c r="G35" s="117">
        <v>2.6442845292973418</v>
      </c>
      <c r="H35" s="117">
        <v>2.5375200283900825</v>
      </c>
      <c r="I35" s="117">
        <v>4.8830377192781125</v>
      </c>
      <c r="J35" s="117">
        <v>4.4419821262819541</v>
      </c>
      <c r="K35" s="118">
        <v>2.4272859431370835</v>
      </c>
    </row>
    <row r="36" spans="2:11" x14ac:dyDescent="0.3">
      <c r="B36" s="107" t="s">
        <v>1977</v>
      </c>
      <c r="C36" s="108" t="s">
        <v>1416</v>
      </c>
      <c r="D36" s="109">
        <v>2.292097929409131</v>
      </c>
      <c r="E36" s="109">
        <v>1.8599818637260197</v>
      </c>
      <c r="F36" s="109">
        <v>1.0784997781665813</v>
      </c>
      <c r="G36" s="109">
        <v>0.94379499617441576</v>
      </c>
      <c r="H36" s="109">
        <v>0.90557302536060558</v>
      </c>
      <c r="I36" s="109">
        <v>3.1372027746395617</v>
      </c>
      <c r="J36" s="109">
        <v>2.6864632771075114</v>
      </c>
      <c r="K36" s="110">
        <v>0.75190672240803258</v>
      </c>
    </row>
    <row r="37" spans="2:11" x14ac:dyDescent="0.3">
      <c r="B37" s="111" t="s">
        <v>1978</v>
      </c>
      <c r="C37" s="112" t="s">
        <v>1483</v>
      </c>
      <c r="D37" s="1499">
        <v>3.9523273282860911</v>
      </c>
      <c r="E37" s="1499">
        <v>3.6179454195078149</v>
      </c>
      <c r="F37" s="1499">
        <v>2.7193754423270908</v>
      </c>
      <c r="G37" s="1499">
        <v>2.6442734177629461</v>
      </c>
      <c r="H37" s="1499">
        <v>2.5375089168556868</v>
      </c>
      <c r="I37" s="1499">
        <v>4.8830266077437168</v>
      </c>
      <c r="J37" s="1499">
        <v>4.4419710147475584</v>
      </c>
      <c r="K37" s="113">
        <v>2.4272748316026882</v>
      </c>
    </row>
    <row r="38" spans="2:11" x14ac:dyDescent="0.3">
      <c r="B38" s="111" t="s">
        <v>1982</v>
      </c>
      <c r="C38" s="112" t="s">
        <v>1489</v>
      </c>
      <c r="D38" s="1499">
        <v>3.7566227960961744</v>
      </c>
      <c r="E38" s="1499">
        <v>3.4222408873178982</v>
      </c>
      <c r="F38" s="1499">
        <v>2.5236709101371746</v>
      </c>
      <c r="G38" s="1499">
        <v>2.4485688855730299</v>
      </c>
      <c r="H38" s="1499">
        <v>2.3418043846657701</v>
      </c>
      <c r="I38" s="1499">
        <v>4.6873220755537996</v>
      </c>
      <c r="J38" s="1499">
        <v>4.2462664825576413</v>
      </c>
      <c r="K38" s="113">
        <v>2.2315702994127711</v>
      </c>
    </row>
    <row r="39" spans="2:11" x14ac:dyDescent="0.3">
      <c r="B39" s="114">
        <v>0</v>
      </c>
      <c r="C39" s="112" t="s">
        <v>1496</v>
      </c>
      <c r="D39" s="1499">
        <v>3.4630659978112992</v>
      </c>
      <c r="E39" s="1499">
        <v>3.128684089033023</v>
      </c>
      <c r="F39" s="1499">
        <v>2.2301141118522994</v>
      </c>
      <c r="G39" s="1499">
        <v>2.1550120872881546</v>
      </c>
      <c r="H39" s="1499">
        <v>2.0482475863808949</v>
      </c>
      <c r="I39" s="1499">
        <v>4.3937652772689244</v>
      </c>
      <c r="J39" s="1499">
        <v>3.9527096842727665</v>
      </c>
      <c r="K39" s="113">
        <v>1.9380135011278961</v>
      </c>
    </row>
    <row r="40" spans="2:11" x14ac:dyDescent="0.3">
      <c r="B40" s="115"/>
      <c r="C40" s="112" t="s">
        <v>1500</v>
      </c>
      <c r="D40" s="1499">
        <v>3.169509199526424</v>
      </c>
      <c r="E40" s="1499">
        <v>2.8351272907481477</v>
      </c>
      <c r="F40" s="1499">
        <v>1.9365573135674239</v>
      </c>
      <c r="G40" s="1499">
        <v>1.8614552890032792</v>
      </c>
      <c r="H40" s="1499">
        <v>1.7546907880960196</v>
      </c>
      <c r="I40" s="1499">
        <v>4.1002084789840492</v>
      </c>
      <c r="J40" s="1499">
        <v>3.6591528859878912</v>
      </c>
      <c r="K40" s="113">
        <v>1.6444567028430206</v>
      </c>
    </row>
    <row r="41" spans="2:11" x14ac:dyDescent="0.3">
      <c r="B41" s="115"/>
      <c r="C41" s="112" t="s">
        <v>1504</v>
      </c>
      <c r="D41" s="1499">
        <v>3.615742731699374</v>
      </c>
      <c r="E41" s="1499">
        <v>3.2709826188625626</v>
      </c>
      <c r="F41" s="1499">
        <v>2.3821928029187056</v>
      </c>
      <c r="G41" s="1499">
        <v>2.2959455005909293</v>
      </c>
      <c r="H41" s="1499">
        <v>2.1982220218088044</v>
      </c>
      <c r="I41" s="1499">
        <v>4.5374118339807961</v>
      </c>
      <c r="J41" s="1499">
        <v>4.095434412495166</v>
      </c>
      <c r="K41" s="113">
        <v>2.0863292487698257</v>
      </c>
    </row>
    <row r="42" spans="2:11" x14ac:dyDescent="0.3">
      <c r="B42" s="115"/>
      <c r="C42" s="112" t="s">
        <v>1508</v>
      </c>
      <c r="D42" s="1499">
        <v>3.4514083165793994</v>
      </c>
      <c r="E42" s="1499">
        <v>3.1066482037425875</v>
      </c>
      <c r="F42" s="1499">
        <v>2.2178583877987306</v>
      </c>
      <c r="G42" s="1499">
        <v>2.1316110854709538</v>
      </c>
      <c r="H42" s="1499">
        <v>2.0338876066888294</v>
      </c>
      <c r="I42" s="1499">
        <v>4.373077418860821</v>
      </c>
      <c r="J42" s="1499">
        <v>3.931099997375191</v>
      </c>
      <c r="K42" s="113">
        <v>1.9219948336498507</v>
      </c>
    </row>
    <row r="43" spans="2:11" x14ac:dyDescent="0.3">
      <c r="B43" s="115"/>
      <c r="C43" s="112" t="s">
        <v>1513</v>
      </c>
      <c r="D43" s="1499">
        <v>3.2049066938994359</v>
      </c>
      <c r="E43" s="1499">
        <v>2.8601465810626245</v>
      </c>
      <c r="F43" s="1499">
        <v>1.9713567651187676</v>
      </c>
      <c r="G43" s="1499">
        <v>1.8851094627909912</v>
      </c>
      <c r="H43" s="1499">
        <v>1.7873859840088664</v>
      </c>
      <c r="I43" s="1499">
        <v>4.126575796180858</v>
      </c>
      <c r="J43" s="1499">
        <v>3.684598374695228</v>
      </c>
      <c r="K43" s="113">
        <v>1.6754932109698881</v>
      </c>
    </row>
    <row r="44" spans="2:11" x14ac:dyDescent="0.3">
      <c r="B44" s="115"/>
      <c r="C44" s="112" t="s">
        <v>1517</v>
      </c>
      <c r="D44" s="1499">
        <v>2.9584050712194734</v>
      </c>
      <c r="E44" s="1499">
        <v>2.613644958382662</v>
      </c>
      <c r="F44" s="1499">
        <v>1.724855142438805</v>
      </c>
      <c r="G44" s="1499">
        <v>1.6386078401110284</v>
      </c>
      <c r="H44" s="1499">
        <v>1.5408843613289038</v>
      </c>
      <c r="I44" s="1499">
        <v>3.8800741735008955</v>
      </c>
      <c r="J44" s="1499">
        <v>3.4380967520152654</v>
      </c>
      <c r="K44" s="113">
        <v>1.4289915882899253</v>
      </c>
    </row>
    <row r="45" spans="2:11" ht="14.5" thickBot="1" x14ac:dyDescent="0.35">
      <c r="B45" s="1233"/>
      <c r="C45" s="116" t="s">
        <v>1519</v>
      </c>
      <c r="D45" s="117">
        <v>3.9523273282860911</v>
      </c>
      <c r="E45" s="117">
        <v>3.6179454195078149</v>
      </c>
      <c r="F45" s="117">
        <v>2.7193754423270908</v>
      </c>
      <c r="G45" s="117">
        <v>2.6442734177629461</v>
      </c>
      <c r="H45" s="117">
        <v>2.5375089168556868</v>
      </c>
      <c r="I45" s="117">
        <v>4.8830266077437168</v>
      </c>
      <c r="J45" s="117">
        <v>4.4419710147475584</v>
      </c>
      <c r="K45" s="118">
        <v>2.4272748316026882</v>
      </c>
    </row>
    <row r="46" spans="2:11" x14ac:dyDescent="0.3">
      <c r="B46" s="119" t="s">
        <v>1983</v>
      </c>
      <c r="C46" s="108" t="s">
        <v>1416</v>
      </c>
      <c r="D46" s="109">
        <v>2.2921076156047664</v>
      </c>
      <c r="E46" s="109">
        <v>1.8599897916479216</v>
      </c>
      <c r="F46" s="109">
        <v>1.0785112914875858</v>
      </c>
      <c r="G46" s="109">
        <v>0.94380511049203908</v>
      </c>
      <c r="H46" s="109">
        <v>0.90558410613370011</v>
      </c>
      <c r="I46" s="109">
        <v>3.1372092197090482</v>
      </c>
      <c r="J46" s="109">
        <v>2.6864700005048459</v>
      </c>
      <c r="K46" s="110">
        <v>0.75191692471470006</v>
      </c>
    </row>
    <row r="47" spans="2:11" x14ac:dyDescent="0.3">
      <c r="B47" s="111"/>
      <c r="C47" s="112" t="s">
        <v>1483</v>
      </c>
      <c r="D47" s="1499">
        <v>3.9523359449361317</v>
      </c>
      <c r="E47" s="1499">
        <v>3.6179531052728087</v>
      </c>
      <c r="F47" s="1499">
        <v>2.7193846111755184</v>
      </c>
      <c r="G47" s="1499">
        <v>2.6442818986324452</v>
      </c>
      <c r="H47" s="1499">
        <v>2.5375179066224018</v>
      </c>
      <c r="I47" s="1499">
        <v>4.8830335299931154</v>
      </c>
      <c r="J47" s="1499">
        <v>4.4419779541327813</v>
      </c>
      <c r="K47" s="113">
        <v>2.4272833211256706</v>
      </c>
    </row>
    <row r="48" spans="2:11" x14ac:dyDescent="0.3">
      <c r="B48" s="111" t="s">
        <v>1979</v>
      </c>
      <c r="C48" s="112" t="s">
        <v>1489</v>
      </c>
      <c r="D48" s="1499">
        <v>3.7566314127462146</v>
      </c>
      <c r="E48" s="1499">
        <v>3.4222485730828915</v>
      </c>
      <c r="F48" s="1499">
        <v>2.5236800789856018</v>
      </c>
      <c r="G48" s="1499">
        <v>2.4485773664425281</v>
      </c>
      <c r="H48" s="1499">
        <v>2.3418133744324847</v>
      </c>
      <c r="I48" s="1499">
        <v>4.6873289978031991</v>
      </c>
      <c r="J48" s="1499">
        <v>4.2462734219428651</v>
      </c>
      <c r="K48" s="113">
        <v>2.231578788935753</v>
      </c>
    </row>
    <row r="49" spans="2:11" x14ac:dyDescent="0.3">
      <c r="B49" s="114">
        <v>0</v>
      </c>
      <c r="C49" s="112" t="s">
        <v>1496</v>
      </c>
      <c r="D49" s="1499">
        <v>3.4630746144613394</v>
      </c>
      <c r="E49" s="1499">
        <v>3.1286917747980163</v>
      </c>
      <c r="F49" s="1499">
        <v>2.2301232807007265</v>
      </c>
      <c r="G49" s="1499">
        <v>2.1550205681576533</v>
      </c>
      <c r="H49" s="1499">
        <v>2.0482565761476095</v>
      </c>
      <c r="I49" s="1499">
        <v>4.393772199518323</v>
      </c>
      <c r="J49" s="1499">
        <v>3.9527166236579894</v>
      </c>
      <c r="K49" s="113">
        <v>1.9380219906508782</v>
      </c>
    </row>
    <row r="50" spans="2:11" x14ac:dyDescent="0.3">
      <c r="B50" s="115"/>
      <c r="C50" s="112" t="s">
        <v>1500</v>
      </c>
      <c r="D50" s="1499">
        <v>3.1695178161764641</v>
      </c>
      <c r="E50" s="1499">
        <v>2.8351349765131415</v>
      </c>
      <c r="F50" s="1499">
        <v>1.9365664824158513</v>
      </c>
      <c r="G50" s="1499">
        <v>1.8614637698727778</v>
      </c>
      <c r="H50" s="1499">
        <v>1.754699777862734</v>
      </c>
      <c r="I50" s="1499">
        <v>4.1002154012334477</v>
      </c>
      <c r="J50" s="1499">
        <v>3.6591598253731141</v>
      </c>
      <c r="K50" s="113">
        <v>1.6444651923660027</v>
      </c>
    </row>
    <row r="51" spans="2:11" x14ac:dyDescent="0.3">
      <c r="B51" s="115"/>
      <c r="C51" s="112" t="s">
        <v>1504</v>
      </c>
      <c r="D51" s="1499">
        <v>3.6157511905398376</v>
      </c>
      <c r="E51" s="1499">
        <v>3.270990127079048</v>
      </c>
      <c r="F51" s="1499">
        <v>2.3822017111141411</v>
      </c>
      <c r="G51" s="1499">
        <v>2.295953686834094</v>
      </c>
      <c r="H51" s="1499">
        <v>2.198232088575037</v>
      </c>
      <c r="I51" s="1499">
        <v>4.5374185754767193</v>
      </c>
      <c r="J51" s="1499">
        <v>4.0954414606040555</v>
      </c>
      <c r="K51" s="113">
        <v>2.0863387655702801</v>
      </c>
    </row>
    <row r="52" spans="2:11" x14ac:dyDescent="0.3">
      <c r="B52" s="115"/>
      <c r="C52" s="112" t="s">
        <v>1508</v>
      </c>
      <c r="D52" s="1499">
        <v>3.4514167754198621</v>
      </c>
      <c r="E52" s="1499">
        <v>3.1066557119590725</v>
      </c>
      <c r="F52" s="1499">
        <v>2.2178672959941661</v>
      </c>
      <c r="G52" s="1499">
        <v>2.1316192717141189</v>
      </c>
      <c r="H52" s="1499">
        <v>2.033897673455062</v>
      </c>
      <c r="I52" s="1499">
        <v>4.3730841603567443</v>
      </c>
      <c r="J52" s="1499">
        <v>3.9311070454840795</v>
      </c>
      <c r="K52" s="113">
        <v>1.9220043504503048</v>
      </c>
    </row>
    <row r="53" spans="2:11" x14ac:dyDescent="0.3">
      <c r="B53" s="115"/>
      <c r="C53" s="112" t="s">
        <v>1513</v>
      </c>
      <c r="D53" s="1499">
        <v>3.2049151527398996</v>
      </c>
      <c r="E53" s="1499">
        <v>2.86015408927911</v>
      </c>
      <c r="F53" s="1499">
        <v>1.9713656733142031</v>
      </c>
      <c r="G53" s="1499">
        <v>1.8851176490341559</v>
      </c>
      <c r="H53" s="1499">
        <v>1.787396050775099</v>
      </c>
      <c r="I53" s="1499">
        <v>4.1265825376767813</v>
      </c>
      <c r="J53" s="1499">
        <v>3.684605422804117</v>
      </c>
      <c r="K53" s="113">
        <v>1.675502727770342</v>
      </c>
    </row>
    <row r="54" spans="2:11" x14ac:dyDescent="0.3">
      <c r="B54" s="115"/>
      <c r="C54" s="112" t="s">
        <v>1517</v>
      </c>
      <c r="D54" s="1499">
        <v>2.9584135300599366</v>
      </c>
      <c r="E54" s="1499">
        <v>2.613652466599147</v>
      </c>
      <c r="F54" s="1499">
        <v>1.7248640506342405</v>
      </c>
      <c r="G54" s="1499">
        <v>1.6386160263541933</v>
      </c>
      <c r="H54" s="1499">
        <v>1.5408944280951364</v>
      </c>
      <c r="I54" s="1499">
        <v>3.8800809149968183</v>
      </c>
      <c r="J54" s="1499">
        <v>3.438103800124154</v>
      </c>
      <c r="K54" s="113">
        <v>1.4290011050903795</v>
      </c>
    </row>
    <row r="55" spans="2:11" ht="14.5" thickBot="1" x14ac:dyDescent="0.35">
      <c r="B55" s="1233"/>
      <c r="C55" s="116" t="s">
        <v>1519</v>
      </c>
      <c r="D55" s="117">
        <v>3.9523359449361317</v>
      </c>
      <c r="E55" s="117">
        <v>3.6179531052728087</v>
      </c>
      <c r="F55" s="117">
        <v>2.7193846111755184</v>
      </c>
      <c r="G55" s="117">
        <v>2.6442818986324452</v>
      </c>
      <c r="H55" s="117">
        <v>2.5375179066224018</v>
      </c>
      <c r="I55" s="117">
        <v>4.8830335299931154</v>
      </c>
      <c r="J55" s="117">
        <v>4.4419779541327813</v>
      </c>
      <c r="K55" s="118">
        <v>2.4272833211256706</v>
      </c>
    </row>
    <row r="56" spans="2:11" x14ac:dyDescent="0.3">
      <c r="B56" s="119" t="s">
        <v>1983</v>
      </c>
      <c r="C56" s="108" t="s">
        <v>1416</v>
      </c>
      <c r="D56" s="109">
        <v>2.2921036909645376</v>
      </c>
      <c r="E56" s="109">
        <v>1.8599858670076928</v>
      </c>
      <c r="F56" s="109">
        <v>1.078507366847357</v>
      </c>
      <c r="G56" s="109">
        <v>0.94380118585181016</v>
      </c>
      <c r="H56" s="109">
        <v>0.90558018149347108</v>
      </c>
      <c r="I56" s="109">
        <v>3.1372052950688194</v>
      </c>
      <c r="J56" s="109">
        <v>2.6864660758646171</v>
      </c>
      <c r="K56" s="110">
        <v>0.75191300007447115</v>
      </c>
    </row>
    <row r="57" spans="2:11" x14ac:dyDescent="0.3">
      <c r="B57" s="111"/>
      <c r="C57" s="112" t="s">
        <v>1483</v>
      </c>
      <c r="D57" s="1499">
        <v>3.9523320202959029</v>
      </c>
      <c r="E57" s="1499">
        <v>3.6179491806325799</v>
      </c>
      <c r="F57" s="1499">
        <v>2.7193806865352896</v>
      </c>
      <c r="G57" s="1499">
        <v>2.6442779739922164</v>
      </c>
      <c r="H57" s="1499">
        <v>2.5375139819821722</v>
      </c>
      <c r="I57" s="1499">
        <v>4.8830296053528865</v>
      </c>
      <c r="J57" s="1499">
        <v>4.4419740294925525</v>
      </c>
      <c r="K57" s="113">
        <v>2.4272793964854409</v>
      </c>
    </row>
    <row r="58" spans="2:11" x14ac:dyDescent="0.3">
      <c r="B58" s="111" t="s">
        <v>1980</v>
      </c>
      <c r="C58" s="112" t="s">
        <v>1489</v>
      </c>
      <c r="D58" s="1499">
        <v>3.7566274881059858</v>
      </c>
      <c r="E58" s="1499">
        <v>3.4222446484426627</v>
      </c>
      <c r="F58" s="1499">
        <v>2.523676154345373</v>
      </c>
      <c r="G58" s="1499">
        <v>2.4485734418022993</v>
      </c>
      <c r="H58" s="1499">
        <v>2.3418094497922559</v>
      </c>
      <c r="I58" s="1499">
        <v>4.6873250731629703</v>
      </c>
      <c r="J58" s="1499">
        <v>4.2462694973026363</v>
      </c>
      <c r="K58" s="113">
        <v>2.2315748642955247</v>
      </c>
    </row>
    <row r="59" spans="2:11" x14ac:dyDescent="0.3">
      <c r="B59" s="114">
        <v>0</v>
      </c>
      <c r="C59" s="112" t="s">
        <v>1496</v>
      </c>
      <c r="D59" s="1499">
        <v>3.4630706898211105</v>
      </c>
      <c r="E59" s="1499">
        <v>3.1286878501577875</v>
      </c>
      <c r="F59" s="1499">
        <v>2.2301193560604977</v>
      </c>
      <c r="G59" s="1499">
        <v>2.1550166435174241</v>
      </c>
      <c r="H59" s="1499">
        <v>2.0482526515073802</v>
      </c>
      <c r="I59" s="1499">
        <v>4.3937682748780942</v>
      </c>
      <c r="J59" s="1499">
        <v>3.9527126990177606</v>
      </c>
      <c r="K59" s="113">
        <v>1.9380180660106492</v>
      </c>
    </row>
    <row r="60" spans="2:11" x14ac:dyDescent="0.3">
      <c r="B60" s="115"/>
      <c r="C60" s="112" t="s">
        <v>1500</v>
      </c>
      <c r="D60" s="1499">
        <v>3.1695138915362353</v>
      </c>
      <c r="E60" s="1499">
        <v>2.8351310518729123</v>
      </c>
      <c r="F60" s="1499">
        <v>1.9365625577756225</v>
      </c>
      <c r="G60" s="1499">
        <v>1.861459845232549</v>
      </c>
      <c r="H60" s="1499">
        <v>1.7546958532225052</v>
      </c>
      <c r="I60" s="1499">
        <v>4.1002114765932189</v>
      </c>
      <c r="J60" s="1499">
        <v>3.6591559007328853</v>
      </c>
      <c r="K60" s="113">
        <v>1.6444612677257739</v>
      </c>
    </row>
    <row r="61" spans="2:11" x14ac:dyDescent="0.3">
      <c r="B61" s="115"/>
      <c r="C61" s="112" t="s">
        <v>1504</v>
      </c>
      <c r="D61" s="1499">
        <v>3.6157472658996088</v>
      </c>
      <c r="E61" s="1499">
        <v>3.2709862024388192</v>
      </c>
      <c r="F61" s="1499">
        <v>2.3821977864739123</v>
      </c>
      <c r="G61" s="1499">
        <v>2.2959497621938652</v>
      </c>
      <c r="H61" s="1499">
        <v>2.1982281639348082</v>
      </c>
      <c r="I61" s="1499">
        <v>4.5374146508364905</v>
      </c>
      <c r="J61" s="1499">
        <v>4.0954375359638266</v>
      </c>
      <c r="K61" s="113">
        <v>2.0863348409300513</v>
      </c>
    </row>
    <row r="62" spans="2:11" x14ac:dyDescent="0.3">
      <c r="B62" s="115"/>
      <c r="C62" s="112" t="s">
        <v>1508</v>
      </c>
      <c r="D62" s="1499">
        <v>3.4514128507796333</v>
      </c>
      <c r="E62" s="1499">
        <v>3.1066517873188437</v>
      </c>
      <c r="F62" s="1499">
        <v>2.2178633713539373</v>
      </c>
      <c r="G62" s="1499">
        <v>2.1316153470738901</v>
      </c>
      <c r="H62" s="1499">
        <v>2.0338937488148332</v>
      </c>
      <c r="I62" s="1499">
        <v>4.3730802357165155</v>
      </c>
      <c r="J62" s="1499">
        <v>3.9311031208438507</v>
      </c>
      <c r="K62" s="113">
        <v>1.922000425810076</v>
      </c>
    </row>
    <row r="63" spans="2:11" x14ac:dyDescent="0.3">
      <c r="B63" s="115"/>
      <c r="C63" s="112" t="s">
        <v>1513</v>
      </c>
      <c r="D63" s="1499">
        <v>3.2049112280996708</v>
      </c>
      <c r="E63" s="1499">
        <v>2.8601501646388812</v>
      </c>
      <c r="F63" s="1499">
        <v>1.9713617486739743</v>
      </c>
      <c r="G63" s="1499">
        <v>1.8851137243939271</v>
      </c>
      <c r="H63" s="1499">
        <v>1.7873921261348702</v>
      </c>
      <c r="I63" s="1499">
        <v>4.1265786130365525</v>
      </c>
      <c r="J63" s="1499">
        <v>3.6846014981638882</v>
      </c>
      <c r="K63" s="113">
        <v>1.6754988031301132</v>
      </c>
    </row>
    <row r="64" spans="2:11" x14ac:dyDescent="0.3">
      <c r="B64" s="115"/>
      <c r="C64" s="112" t="s">
        <v>1517</v>
      </c>
      <c r="D64" s="1499">
        <v>2.9584096054197078</v>
      </c>
      <c r="E64" s="1499">
        <v>2.6136485419589182</v>
      </c>
      <c r="F64" s="1499">
        <v>1.7248601259940117</v>
      </c>
      <c r="G64" s="1499">
        <v>1.6386121017139645</v>
      </c>
      <c r="H64" s="1499">
        <v>1.5408905034549076</v>
      </c>
      <c r="I64" s="1499">
        <v>3.8800769903565895</v>
      </c>
      <c r="J64" s="1499">
        <v>3.4380998754839251</v>
      </c>
      <c r="K64" s="113">
        <v>1.4289971804501507</v>
      </c>
    </row>
    <row r="65" spans="2:11" ht="14.5" thickBot="1" x14ac:dyDescent="0.35">
      <c r="B65" s="1233"/>
      <c r="C65" s="116" t="s">
        <v>1519</v>
      </c>
      <c r="D65" s="117">
        <v>3.9523320202959029</v>
      </c>
      <c r="E65" s="117">
        <v>3.6179491806325799</v>
      </c>
      <c r="F65" s="117">
        <v>2.7193806865352896</v>
      </c>
      <c r="G65" s="117">
        <v>2.6442779739922164</v>
      </c>
      <c r="H65" s="117">
        <v>2.5375139819821722</v>
      </c>
      <c r="I65" s="117">
        <v>4.8830296053528865</v>
      </c>
      <c r="J65" s="117">
        <v>4.4419740294925525</v>
      </c>
      <c r="K65" s="118">
        <v>2.4272793964854409</v>
      </c>
    </row>
    <row r="66" spans="2:11" x14ac:dyDescent="0.3">
      <c r="B66" s="119" t="s">
        <v>1983</v>
      </c>
      <c r="C66" s="108" t="s">
        <v>1416</v>
      </c>
      <c r="D66" s="109">
        <v>2.2920978040041944</v>
      </c>
      <c r="E66" s="109">
        <v>1.8599799800473495</v>
      </c>
      <c r="F66" s="109">
        <v>1.0785014798870136</v>
      </c>
      <c r="G66" s="109">
        <v>0.94379529889146685</v>
      </c>
      <c r="H66" s="109">
        <v>0.90557429453312777</v>
      </c>
      <c r="I66" s="109">
        <v>3.1371994081084762</v>
      </c>
      <c r="J66" s="109">
        <v>2.6864601889042738</v>
      </c>
      <c r="K66" s="110">
        <v>0.75190711311412783</v>
      </c>
    </row>
    <row r="67" spans="2:11" x14ac:dyDescent="0.3">
      <c r="B67" s="111"/>
      <c r="C67" s="112" t="s">
        <v>1483</v>
      </c>
      <c r="D67" s="1499">
        <v>3.9523261333355597</v>
      </c>
      <c r="E67" s="1499">
        <v>3.6179432936722367</v>
      </c>
      <c r="F67" s="1499">
        <v>2.7193747995749464</v>
      </c>
      <c r="G67" s="1499">
        <v>2.6442720870318732</v>
      </c>
      <c r="H67" s="1499">
        <v>2.5375080950218289</v>
      </c>
      <c r="I67" s="1499">
        <v>4.8830237183925433</v>
      </c>
      <c r="J67" s="1499">
        <v>4.4419681425322093</v>
      </c>
      <c r="K67" s="113">
        <v>2.4272735095250977</v>
      </c>
    </row>
    <row r="68" spans="2:11" x14ac:dyDescent="0.3">
      <c r="B68" s="111" t="s">
        <v>1981</v>
      </c>
      <c r="C68" s="112" t="s">
        <v>1489</v>
      </c>
      <c r="D68" s="1499">
        <v>3.7566216011456426</v>
      </c>
      <c r="E68" s="1499">
        <v>3.4222387614823195</v>
      </c>
      <c r="F68" s="1499">
        <v>2.5236702673850298</v>
      </c>
      <c r="G68" s="1499">
        <v>2.4485675548419561</v>
      </c>
      <c r="H68" s="1499">
        <v>2.3418035628319127</v>
      </c>
      <c r="I68" s="1499">
        <v>4.6873191862026271</v>
      </c>
      <c r="J68" s="1499">
        <v>4.246263610342293</v>
      </c>
      <c r="K68" s="113">
        <v>2.2315689773351814</v>
      </c>
    </row>
    <row r="69" spans="2:11" x14ac:dyDescent="0.3">
      <c r="B69" s="114">
        <v>0</v>
      </c>
      <c r="C69" s="112" t="s">
        <v>1496</v>
      </c>
      <c r="D69" s="1499">
        <v>3.4630648028607673</v>
      </c>
      <c r="E69" s="1499">
        <v>3.1286819631974443</v>
      </c>
      <c r="F69" s="1499">
        <v>2.2301134691001545</v>
      </c>
      <c r="G69" s="1499">
        <v>2.1550107565570809</v>
      </c>
      <c r="H69" s="1499">
        <v>2.048246764547037</v>
      </c>
      <c r="I69" s="1499">
        <v>4.393762387917751</v>
      </c>
      <c r="J69" s="1499">
        <v>3.9527068120574174</v>
      </c>
      <c r="K69" s="113">
        <v>1.938012179050306</v>
      </c>
    </row>
    <row r="70" spans="2:11" x14ac:dyDescent="0.3">
      <c r="B70" s="115"/>
      <c r="C70" s="112" t="s">
        <v>1500</v>
      </c>
      <c r="D70" s="1499">
        <v>3.1695080045758921</v>
      </c>
      <c r="E70" s="1499">
        <v>2.8351251649125691</v>
      </c>
      <c r="F70" s="1499">
        <v>1.936556670815279</v>
      </c>
      <c r="G70" s="1499">
        <v>1.8614539582722056</v>
      </c>
      <c r="H70" s="1499">
        <v>1.7546899662621618</v>
      </c>
      <c r="I70" s="1499">
        <v>4.1002055896328757</v>
      </c>
      <c r="J70" s="1499">
        <v>3.6591500137725421</v>
      </c>
      <c r="K70" s="113">
        <v>1.6444553807654305</v>
      </c>
    </row>
    <row r="71" spans="2:11" x14ac:dyDescent="0.3">
      <c r="B71" s="115"/>
      <c r="C71" s="112" t="s">
        <v>1504</v>
      </c>
      <c r="D71" s="1499">
        <v>3.6157413789392652</v>
      </c>
      <c r="E71" s="1499">
        <v>3.2709803154784756</v>
      </c>
      <c r="F71" s="1499">
        <v>2.3821918995135691</v>
      </c>
      <c r="G71" s="1499">
        <v>2.2959438752335219</v>
      </c>
      <c r="H71" s="1499">
        <v>2.198222276974465</v>
      </c>
      <c r="I71" s="1499">
        <v>4.5374087638761473</v>
      </c>
      <c r="J71" s="1499">
        <v>4.0954316490034826</v>
      </c>
      <c r="K71" s="113">
        <v>2.0863289539697081</v>
      </c>
    </row>
    <row r="72" spans="2:11" x14ac:dyDescent="0.3">
      <c r="B72" s="115"/>
      <c r="C72" s="112" t="s">
        <v>1508</v>
      </c>
      <c r="D72" s="1499">
        <v>3.4514069638192906</v>
      </c>
      <c r="E72" s="1499">
        <v>3.1066459003585005</v>
      </c>
      <c r="F72" s="1499">
        <v>2.2178574843935941</v>
      </c>
      <c r="G72" s="1499">
        <v>2.1316094601135469</v>
      </c>
      <c r="H72" s="1499">
        <v>2.03388786185449</v>
      </c>
      <c r="I72" s="1499">
        <v>4.3730743487561723</v>
      </c>
      <c r="J72" s="1499">
        <v>3.9310972338835075</v>
      </c>
      <c r="K72" s="113">
        <v>1.9219945388497328</v>
      </c>
    </row>
    <row r="73" spans="2:11" x14ac:dyDescent="0.3">
      <c r="B73" s="115"/>
      <c r="C73" s="112" t="s">
        <v>1513</v>
      </c>
      <c r="D73" s="1499">
        <v>3.2049053411393271</v>
      </c>
      <c r="E73" s="1499">
        <v>2.8601442776785375</v>
      </c>
      <c r="F73" s="1499">
        <v>1.9713558617136311</v>
      </c>
      <c r="G73" s="1499">
        <v>1.8851078374335839</v>
      </c>
      <c r="H73" s="1499">
        <v>1.787386239174527</v>
      </c>
      <c r="I73" s="1499">
        <v>4.1265727260762093</v>
      </c>
      <c r="J73" s="1499">
        <v>3.6845956112035445</v>
      </c>
      <c r="K73" s="113">
        <v>1.67549291616977</v>
      </c>
    </row>
    <row r="74" spans="2:11" x14ac:dyDescent="0.3">
      <c r="B74" s="115"/>
      <c r="C74" s="112" t="s">
        <v>1517</v>
      </c>
      <c r="D74" s="1499">
        <v>2.9584037184593646</v>
      </c>
      <c r="E74" s="1499">
        <v>2.613642654998575</v>
      </c>
      <c r="F74" s="1499">
        <v>1.7248542390336681</v>
      </c>
      <c r="G74" s="1499">
        <v>1.6386062147536211</v>
      </c>
      <c r="H74" s="1499">
        <v>1.5408846164945642</v>
      </c>
      <c r="I74" s="1499">
        <v>3.8800711033962463</v>
      </c>
      <c r="J74" s="1499">
        <v>3.4380939885235819</v>
      </c>
      <c r="K74" s="113">
        <v>1.4289912934898072</v>
      </c>
    </row>
    <row r="75" spans="2:11" ht="14.5" thickBot="1" x14ac:dyDescent="0.35">
      <c r="B75" s="1233"/>
      <c r="C75" s="116" t="s">
        <v>1519</v>
      </c>
      <c r="D75" s="117">
        <v>3.9523261333355597</v>
      </c>
      <c r="E75" s="117">
        <v>3.6179432936722367</v>
      </c>
      <c r="F75" s="117">
        <v>2.7193747995749464</v>
      </c>
      <c r="G75" s="117">
        <v>2.6442720870318732</v>
      </c>
      <c r="H75" s="117">
        <v>2.5375080950218289</v>
      </c>
      <c r="I75" s="117">
        <v>4.8830237183925433</v>
      </c>
      <c r="J75" s="117">
        <v>4.4419681425322093</v>
      </c>
      <c r="K75" s="118">
        <v>2.4272735095250977</v>
      </c>
    </row>
    <row r="76" spans="2:11" x14ac:dyDescent="0.3">
      <c r="B76" s="119" t="s">
        <v>1983</v>
      </c>
      <c r="C76" s="108" t="s">
        <v>1416</v>
      </c>
      <c r="D76" s="109">
        <v>2.2920919170438507</v>
      </c>
      <c r="E76" s="109">
        <v>1.8599740930870061</v>
      </c>
      <c r="F76" s="109">
        <v>1.0784955929266704</v>
      </c>
      <c r="G76" s="109">
        <v>0.94378941193112342</v>
      </c>
      <c r="H76" s="109">
        <v>0.90556840757278445</v>
      </c>
      <c r="I76" s="109">
        <v>3.137193521148133</v>
      </c>
      <c r="J76" s="109">
        <v>2.6864543019439306</v>
      </c>
      <c r="K76" s="110">
        <v>0.75190122615378452</v>
      </c>
    </row>
    <row r="77" spans="2:11" x14ac:dyDescent="0.3">
      <c r="B77" s="111"/>
      <c r="C77" s="112" t="s">
        <v>1483</v>
      </c>
      <c r="D77" s="1499">
        <v>3.9523202463752161</v>
      </c>
      <c r="E77" s="1499">
        <v>3.6179374067118926</v>
      </c>
      <c r="F77" s="1499">
        <v>2.7193689126146028</v>
      </c>
      <c r="G77" s="1499">
        <v>2.6442662000715296</v>
      </c>
      <c r="H77" s="1499">
        <v>2.5375022080614857</v>
      </c>
      <c r="I77" s="1499">
        <v>4.8830178314322001</v>
      </c>
      <c r="J77" s="1499">
        <v>4.4419622555718661</v>
      </c>
      <c r="K77" s="113">
        <v>2.4272676225647545</v>
      </c>
    </row>
    <row r="78" spans="2:11" x14ac:dyDescent="0.3">
      <c r="B78" s="111" t="s">
        <v>1982</v>
      </c>
      <c r="C78" s="112" t="s">
        <v>1489</v>
      </c>
      <c r="D78" s="1499">
        <v>3.7566157141852998</v>
      </c>
      <c r="E78" s="1499">
        <v>3.4222328745219763</v>
      </c>
      <c r="F78" s="1499">
        <v>2.5236643804246865</v>
      </c>
      <c r="G78" s="1499">
        <v>2.4485616678816133</v>
      </c>
      <c r="H78" s="1499">
        <v>2.3417976758715691</v>
      </c>
      <c r="I78" s="1499">
        <v>4.6873132992422839</v>
      </c>
      <c r="J78" s="1499">
        <v>4.2462577233819498</v>
      </c>
      <c r="K78" s="113">
        <v>2.2315630903748378</v>
      </c>
    </row>
    <row r="79" spans="2:11" x14ac:dyDescent="0.3">
      <c r="B79" s="114">
        <v>0</v>
      </c>
      <c r="C79" s="112" t="s">
        <v>1496</v>
      </c>
      <c r="D79" s="1499">
        <v>3.4630589159004241</v>
      </c>
      <c r="E79" s="1499">
        <v>3.1286760762371011</v>
      </c>
      <c r="F79" s="1499">
        <v>2.2301075821398113</v>
      </c>
      <c r="G79" s="1499">
        <v>2.1550048695967376</v>
      </c>
      <c r="H79" s="1499">
        <v>2.0482408775866938</v>
      </c>
      <c r="I79" s="1499">
        <v>4.3937565009574078</v>
      </c>
      <c r="J79" s="1499">
        <v>3.9527009250970742</v>
      </c>
      <c r="K79" s="113">
        <v>1.9380062920899626</v>
      </c>
    </row>
    <row r="80" spans="2:11" x14ac:dyDescent="0.3">
      <c r="B80" s="115"/>
      <c r="C80" s="112" t="s">
        <v>1500</v>
      </c>
      <c r="D80" s="1499">
        <v>3.1695021176155489</v>
      </c>
      <c r="E80" s="1499">
        <v>2.8351192779522258</v>
      </c>
      <c r="F80" s="1499">
        <v>1.9365507838549358</v>
      </c>
      <c r="G80" s="1499">
        <v>1.8614480713118624</v>
      </c>
      <c r="H80" s="1499">
        <v>1.7546840793018186</v>
      </c>
      <c r="I80" s="1499">
        <v>4.1001997026725325</v>
      </c>
      <c r="J80" s="1499">
        <v>3.6591441268121989</v>
      </c>
      <c r="K80" s="113">
        <v>1.6444494938050873</v>
      </c>
    </row>
    <row r="81" spans="2:11" x14ac:dyDescent="0.3">
      <c r="B81" s="115"/>
      <c r="C81" s="112" t="s">
        <v>1504</v>
      </c>
      <c r="D81" s="1499">
        <v>3.615735491978922</v>
      </c>
      <c r="E81" s="1499">
        <v>3.2709744285181324</v>
      </c>
      <c r="F81" s="1499">
        <v>2.3821860125532259</v>
      </c>
      <c r="G81" s="1499">
        <v>2.2959379882731783</v>
      </c>
      <c r="H81" s="1499">
        <v>2.1982163900141214</v>
      </c>
      <c r="I81" s="1499">
        <v>4.5374028769158041</v>
      </c>
      <c r="J81" s="1499">
        <v>4.0954257620431394</v>
      </c>
      <c r="K81" s="113">
        <v>2.0863230670093644</v>
      </c>
    </row>
    <row r="82" spans="2:11" x14ac:dyDescent="0.3">
      <c r="B82" s="115"/>
      <c r="C82" s="112" t="s">
        <v>1508</v>
      </c>
      <c r="D82" s="1499">
        <v>3.4514010768589474</v>
      </c>
      <c r="E82" s="1499">
        <v>3.1066400133981573</v>
      </c>
      <c r="F82" s="1499">
        <v>2.2178515974332504</v>
      </c>
      <c r="G82" s="1499">
        <v>2.1316035731532033</v>
      </c>
      <c r="H82" s="1499">
        <v>2.0338819748941463</v>
      </c>
      <c r="I82" s="1499">
        <v>4.3730684617958291</v>
      </c>
      <c r="J82" s="1499">
        <v>3.9310913469231643</v>
      </c>
      <c r="K82" s="113">
        <v>1.9219886518893894</v>
      </c>
    </row>
    <row r="83" spans="2:11" x14ac:dyDescent="0.3">
      <c r="B83" s="115"/>
      <c r="C83" s="112" t="s">
        <v>1513</v>
      </c>
      <c r="D83" s="1499">
        <v>3.2048994541789839</v>
      </c>
      <c r="E83" s="1499">
        <v>2.8601383907181943</v>
      </c>
      <c r="F83" s="1499">
        <v>1.9713499747532877</v>
      </c>
      <c r="G83" s="1499">
        <v>1.8851019504732405</v>
      </c>
      <c r="H83" s="1499">
        <v>1.7873803522141836</v>
      </c>
      <c r="I83" s="1499">
        <v>4.1265668391158661</v>
      </c>
      <c r="J83" s="1499">
        <v>3.6845897242432013</v>
      </c>
      <c r="K83" s="113">
        <v>1.6754870292094266</v>
      </c>
    </row>
    <row r="84" spans="2:11" x14ac:dyDescent="0.3">
      <c r="B84" s="115"/>
      <c r="C84" s="112" t="s">
        <v>1517</v>
      </c>
      <c r="D84" s="1499">
        <v>2.9583978314990214</v>
      </c>
      <c r="E84" s="1499">
        <v>2.6136367680382318</v>
      </c>
      <c r="F84" s="1499">
        <v>1.7248483520733251</v>
      </c>
      <c r="G84" s="1499">
        <v>1.6386003277932779</v>
      </c>
      <c r="H84" s="1499">
        <v>1.540878729534221</v>
      </c>
      <c r="I84" s="1499">
        <v>3.8800652164359031</v>
      </c>
      <c r="J84" s="1499">
        <v>3.4380881015632387</v>
      </c>
      <c r="K84" s="113">
        <v>1.428985406529464</v>
      </c>
    </row>
    <row r="85" spans="2:11" ht="14.5" thickBot="1" x14ac:dyDescent="0.35">
      <c r="B85" s="1233"/>
      <c r="C85" s="116" t="s">
        <v>1519</v>
      </c>
      <c r="D85" s="117">
        <v>3.9523202463752161</v>
      </c>
      <c r="E85" s="117">
        <v>3.6179374067118926</v>
      </c>
      <c r="F85" s="117">
        <v>2.7193689126146028</v>
      </c>
      <c r="G85" s="117">
        <v>2.6442662000715296</v>
      </c>
      <c r="H85" s="117">
        <v>2.5375022080614857</v>
      </c>
      <c r="I85" s="117">
        <v>4.8830178314322001</v>
      </c>
      <c r="J85" s="117">
        <v>4.4419622555718661</v>
      </c>
      <c r="K85" s="118">
        <v>2.4272676225647545</v>
      </c>
    </row>
    <row r="87" spans="2:11" ht="14.5" thickBot="1" x14ac:dyDescent="0.35"/>
    <row r="88" spans="2:11" ht="25.5" thickBot="1" x14ac:dyDescent="0.55000000000000004">
      <c r="B88" s="88" t="s">
        <v>1960</v>
      </c>
      <c r="C88" s="89"/>
      <c r="D88" s="90">
        <v>1</v>
      </c>
      <c r="E88" s="91" t="s">
        <v>1984</v>
      </c>
      <c r="F88" s="92"/>
      <c r="G88" s="92"/>
      <c r="H88" s="92"/>
      <c r="I88" s="93"/>
      <c r="J88" s="89" t="s">
        <v>176</v>
      </c>
      <c r="K88" s="94" t="s">
        <v>230</v>
      </c>
    </row>
    <row r="89" spans="2:11" ht="14.5" thickBot="1" x14ac:dyDescent="0.35">
      <c r="B89" s="95" t="s">
        <v>1962</v>
      </c>
      <c r="C89" s="96" t="s">
        <v>1963</v>
      </c>
      <c r="D89" s="95" t="s">
        <v>1964</v>
      </c>
      <c r="E89" s="97" t="s">
        <v>1965</v>
      </c>
      <c r="F89" s="97" t="s">
        <v>1966</v>
      </c>
      <c r="G89" s="97" t="s">
        <v>1967</v>
      </c>
      <c r="H89" s="97" t="s">
        <v>1968</v>
      </c>
      <c r="I89" s="97" t="s">
        <v>1969</v>
      </c>
      <c r="J89" s="97" t="s">
        <v>1970</v>
      </c>
      <c r="K89" s="98" t="s">
        <v>1971</v>
      </c>
    </row>
    <row r="90" spans="2:11" ht="14.5" thickBot="1" x14ac:dyDescent="0.35">
      <c r="B90" s="99"/>
      <c r="C90" s="99"/>
      <c r="D90" s="100"/>
      <c r="E90" s="944"/>
      <c r="F90" s="944"/>
      <c r="G90" s="944"/>
      <c r="H90" s="944"/>
      <c r="I90" s="944"/>
      <c r="J90" s="944"/>
      <c r="K90" s="102"/>
    </row>
    <row r="91" spans="2:11" ht="88" thickBot="1" x14ac:dyDescent="0.45">
      <c r="B91" s="103" t="s">
        <v>1972</v>
      </c>
      <c r="C91" s="103" t="s">
        <v>1973</v>
      </c>
      <c r="D91" s="105" t="s">
        <v>1974</v>
      </c>
      <c r="E91" s="105" t="s">
        <v>1525</v>
      </c>
      <c r="F91" s="105" t="s">
        <v>1527</v>
      </c>
      <c r="G91" s="105" t="s">
        <v>1975</v>
      </c>
      <c r="H91" s="105" t="s">
        <v>1976</v>
      </c>
      <c r="I91" s="105" t="s">
        <v>1445</v>
      </c>
      <c r="J91" s="105" t="s">
        <v>1538</v>
      </c>
      <c r="K91" s="106" t="s">
        <v>1541</v>
      </c>
    </row>
    <row r="92" spans="2:11" x14ac:dyDescent="0.3">
      <c r="B92" s="107" t="s">
        <v>1985</v>
      </c>
      <c r="C92" s="108" t="s">
        <v>1416</v>
      </c>
      <c r="D92" s="109">
        <v>2.2920523530744163</v>
      </c>
      <c r="E92" s="109">
        <v>1.8599289130138723</v>
      </c>
      <c r="F92" s="109">
        <v>1.0784618649799995</v>
      </c>
      <c r="G92" s="109">
        <v>0.94375121542650975</v>
      </c>
      <c r="H92" s="109">
        <v>0.90553329802445004</v>
      </c>
      <c r="I92" s="109">
        <v>3.1371436046947823</v>
      </c>
      <c r="J92" s="109">
        <v>2.6864052744978069</v>
      </c>
      <c r="K92" s="110">
        <v>0.75186331069505452</v>
      </c>
    </row>
    <row r="93" spans="2:11" x14ac:dyDescent="0.3">
      <c r="B93" s="111"/>
      <c r="C93" s="112" t="s">
        <v>1483</v>
      </c>
      <c r="D93" s="1499">
        <v>3.9522772661692418</v>
      </c>
      <c r="E93" s="1499">
        <v>3.6178914531651616</v>
      </c>
      <c r="F93" s="1499">
        <v>2.7193276961859896</v>
      </c>
      <c r="G93" s="1499">
        <v>2.6442227861688092</v>
      </c>
      <c r="H93" s="1499">
        <v>2.5374604196278154</v>
      </c>
      <c r="I93" s="1499">
        <v>4.8829694391396332</v>
      </c>
      <c r="J93" s="1499">
        <v>4.4419139180128546</v>
      </c>
      <c r="K93" s="113">
        <v>2.4272242363021346</v>
      </c>
    </row>
    <row r="94" spans="2:11" x14ac:dyDescent="0.3">
      <c r="B94" s="111" t="s">
        <v>1986</v>
      </c>
      <c r="C94" s="112" t="s">
        <v>1489</v>
      </c>
      <c r="D94" s="1499">
        <v>3.7565727339793247</v>
      </c>
      <c r="E94" s="1499">
        <v>3.4221869209752445</v>
      </c>
      <c r="F94" s="1499">
        <v>2.5236231639960729</v>
      </c>
      <c r="G94" s="1499">
        <v>2.4485182539788926</v>
      </c>
      <c r="H94" s="1499">
        <v>2.3417558874378988</v>
      </c>
      <c r="I94" s="1499">
        <v>4.6872649069497161</v>
      </c>
      <c r="J94" s="1499">
        <v>4.2462093858229384</v>
      </c>
      <c r="K94" s="113">
        <v>2.2315197041122175</v>
      </c>
    </row>
    <row r="95" spans="2:11" x14ac:dyDescent="0.3">
      <c r="B95" s="114">
        <v>0</v>
      </c>
      <c r="C95" s="112" t="s">
        <v>1496</v>
      </c>
      <c r="D95" s="1499">
        <v>3.4630159356944494</v>
      </c>
      <c r="E95" s="1499">
        <v>3.1286301226903692</v>
      </c>
      <c r="F95" s="1499">
        <v>2.2300663657111977</v>
      </c>
      <c r="G95" s="1499">
        <v>2.1549614556940173</v>
      </c>
      <c r="H95" s="1499">
        <v>2.0481990891530235</v>
      </c>
      <c r="I95" s="1499">
        <v>4.3937081086648409</v>
      </c>
      <c r="J95" s="1499">
        <v>3.9526525875380627</v>
      </c>
      <c r="K95" s="113">
        <v>1.9379629058273422</v>
      </c>
    </row>
    <row r="96" spans="2:11" x14ac:dyDescent="0.3">
      <c r="B96" s="115"/>
      <c r="C96" s="112" t="s">
        <v>1500</v>
      </c>
      <c r="D96" s="1499">
        <v>3.1694591374095746</v>
      </c>
      <c r="E96" s="1499">
        <v>2.8350733244054944</v>
      </c>
      <c r="F96" s="1499">
        <v>1.9365095674263224</v>
      </c>
      <c r="G96" s="1499">
        <v>1.8614046574091418</v>
      </c>
      <c r="H96" s="1499">
        <v>1.7546422908681483</v>
      </c>
      <c r="I96" s="1499">
        <v>4.1001513103799665</v>
      </c>
      <c r="J96" s="1499">
        <v>3.6590957892531879</v>
      </c>
      <c r="K96" s="113">
        <v>1.644406107542467</v>
      </c>
    </row>
    <row r="97" spans="2:11" x14ac:dyDescent="0.3">
      <c r="B97" s="115"/>
      <c r="C97" s="112" t="s">
        <v>1504</v>
      </c>
      <c r="D97" s="1499">
        <v>3.6156929983956219</v>
      </c>
      <c r="E97" s="1499">
        <v>3.2709279078635536</v>
      </c>
      <c r="F97" s="1499">
        <v>2.38214396357266</v>
      </c>
      <c r="G97" s="1499">
        <v>2.2958936333042215</v>
      </c>
      <c r="H97" s="1499">
        <v>2.1981780416255683</v>
      </c>
      <c r="I97" s="1499">
        <v>4.5373539072784022</v>
      </c>
      <c r="J97" s="1499">
        <v>4.0953777717584812</v>
      </c>
      <c r="K97" s="113">
        <v>2.0862829619746304</v>
      </c>
    </row>
    <row r="98" spans="2:11" x14ac:dyDescent="0.3">
      <c r="B98" s="115"/>
      <c r="C98" s="112" t="s">
        <v>1508</v>
      </c>
      <c r="D98" s="1499">
        <v>3.4513585832756464</v>
      </c>
      <c r="E98" s="1499">
        <v>3.1065934927435785</v>
      </c>
      <c r="F98" s="1499">
        <v>2.217809548452685</v>
      </c>
      <c r="G98" s="1499">
        <v>2.1315592181842464</v>
      </c>
      <c r="H98" s="1499">
        <v>2.0338436265055932</v>
      </c>
      <c r="I98" s="1499">
        <v>4.3730194921584271</v>
      </c>
      <c r="J98" s="1499">
        <v>3.9310433566385061</v>
      </c>
      <c r="K98" s="113">
        <v>1.9219485468546553</v>
      </c>
    </row>
    <row r="99" spans="2:11" x14ac:dyDescent="0.3">
      <c r="B99" s="115"/>
      <c r="C99" s="112" t="s">
        <v>1513</v>
      </c>
      <c r="D99" s="1499">
        <v>3.2048569605956838</v>
      </c>
      <c r="E99" s="1499">
        <v>2.8600918700636155</v>
      </c>
      <c r="F99" s="1499">
        <v>1.9713079257727222</v>
      </c>
      <c r="G99" s="1499">
        <v>1.8850575955042836</v>
      </c>
      <c r="H99" s="1499">
        <v>1.7873420038256305</v>
      </c>
      <c r="I99" s="1499">
        <v>4.126517869478465</v>
      </c>
      <c r="J99" s="1499">
        <v>3.6845417339585436</v>
      </c>
      <c r="K99" s="113">
        <v>1.6754469241746925</v>
      </c>
    </row>
    <row r="100" spans="2:11" x14ac:dyDescent="0.3">
      <c r="B100" s="115"/>
      <c r="C100" s="112" t="s">
        <v>1517</v>
      </c>
      <c r="D100" s="1499">
        <v>2.9583553379157208</v>
      </c>
      <c r="E100" s="1499">
        <v>2.613590247383653</v>
      </c>
      <c r="F100" s="1499">
        <v>1.7248063030927594</v>
      </c>
      <c r="G100" s="1499">
        <v>1.6385559728243209</v>
      </c>
      <c r="H100" s="1499">
        <v>1.5408403811456677</v>
      </c>
      <c r="I100" s="1499">
        <v>3.8800162467985015</v>
      </c>
      <c r="J100" s="1499">
        <v>3.4380401112785806</v>
      </c>
      <c r="K100" s="113">
        <v>1.4289453014947298</v>
      </c>
    </row>
    <row r="101" spans="2:11" ht="14.5" thickBot="1" x14ac:dyDescent="0.35">
      <c r="B101" s="115"/>
      <c r="C101" s="116" t="s">
        <v>1519</v>
      </c>
      <c r="D101" s="117">
        <v>3.9522772661692418</v>
      </c>
      <c r="E101" s="117">
        <v>3.6178914531651616</v>
      </c>
      <c r="F101" s="117">
        <v>2.7193276961859896</v>
      </c>
      <c r="G101" s="117">
        <v>2.6442227861688092</v>
      </c>
      <c r="H101" s="117">
        <v>2.5374604196278154</v>
      </c>
      <c r="I101" s="117">
        <v>4.8829694391396332</v>
      </c>
      <c r="J101" s="117">
        <v>4.4419139180128546</v>
      </c>
      <c r="K101" s="118">
        <v>2.4272242363021346</v>
      </c>
    </row>
    <row r="102" spans="2:11" x14ac:dyDescent="0.3">
      <c r="B102" s="120" t="s">
        <v>1985</v>
      </c>
      <c r="C102" s="1234" t="s">
        <v>1416</v>
      </c>
      <c r="D102" s="109">
        <v>2.2920511112300037</v>
      </c>
      <c r="E102" s="109">
        <v>1.8599276711694599</v>
      </c>
      <c r="F102" s="109">
        <v>1.0784606231355871</v>
      </c>
      <c r="G102" s="109">
        <v>0.94374997358209745</v>
      </c>
      <c r="H102" s="109">
        <v>0.90553205618003774</v>
      </c>
      <c r="I102" s="109">
        <v>3.1371423628503701</v>
      </c>
      <c r="J102" s="109">
        <v>2.6864040326533947</v>
      </c>
      <c r="K102" s="110">
        <v>0.75186206885064211</v>
      </c>
    </row>
    <row r="103" spans="2:11" x14ac:dyDescent="0.3">
      <c r="B103" s="121"/>
      <c r="C103" s="1500" t="s">
        <v>1483</v>
      </c>
      <c r="D103" s="1499">
        <v>3.9522760243248296</v>
      </c>
      <c r="E103" s="1499">
        <v>3.6178902113207494</v>
      </c>
      <c r="F103" s="1499">
        <v>2.7193264543415774</v>
      </c>
      <c r="G103" s="1499">
        <v>2.644221544324397</v>
      </c>
      <c r="H103" s="1499">
        <v>2.5374591777834032</v>
      </c>
      <c r="I103" s="1499">
        <v>4.882968197295221</v>
      </c>
      <c r="J103" s="1499">
        <v>4.4419126761684424</v>
      </c>
      <c r="K103" s="113">
        <v>2.4272229944577219</v>
      </c>
    </row>
    <row r="104" spans="2:11" x14ac:dyDescent="0.3">
      <c r="B104" s="111" t="s">
        <v>1987</v>
      </c>
      <c r="C104" s="1500" t="s">
        <v>1489</v>
      </c>
      <c r="D104" s="1499">
        <v>3.7565714921349125</v>
      </c>
      <c r="E104" s="1499">
        <v>3.4221856791308323</v>
      </c>
      <c r="F104" s="1499">
        <v>2.5236219221516607</v>
      </c>
      <c r="G104" s="1499">
        <v>2.4485170121344804</v>
      </c>
      <c r="H104" s="1499">
        <v>2.3417546455934866</v>
      </c>
      <c r="I104" s="1499">
        <v>4.6872636651053039</v>
      </c>
      <c r="J104" s="1499">
        <v>4.2462081439785262</v>
      </c>
      <c r="K104" s="113">
        <v>2.2315184622678053</v>
      </c>
    </row>
    <row r="105" spans="2:11" x14ac:dyDescent="0.3">
      <c r="B105" s="122">
        <v>0</v>
      </c>
      <c r="C105" s="1500" t="s">
        <v>1496</v>
      </c>
      <c r="D105" s="1499">
        <v>3.4630146938500372</v>
      </c>
      <c r="E105" s="1499">
        <v>3.128628880845957</v>
      </c>
      <c r="F105" s="1499">
        <v>2.2300651238667855</v>
      </c>
      <c r="G105" s="1499">
        <v>2.1549602138496047</v>
      </c>
      <c r="H105" s="1499">
        <v>2.0481978473086109</v>
      </c>
      <c r="I105" s="1499">
        <v>4.3937068668204287</v>
      </c>
      <c r="J105" s="1499">
        <v>3.9526513456936505</v>
      </c>
      <c r="K105" s="113">
        <v>1.9379616639829298</v>
      </c>
    </row>
    <row r="106" spans="2:11" x14ac:dyDescent="0.3">
      <c r="B106" s="123"/>
      <c r="C106" s="1500" t="s">
        <v>1500</v>
      </c>
      <c r="D106" s="1499">
        <v>3.169457895565162</v>
      </c>
      <c r="E106" s="1499">
        <v>2.8350720825610818</v>
      </c>
      <c r="F106" s="1499">
        <v>1.9365083255819102</v>
      </c>
      <c r="G106" s="1499">
        <v>1.8614034155647297</v>
      </c>
      <c r="H106" s="1499">
        <v>1.7546410490237361</v>
      </c>
      <c r="I106" s="1499">
        <v>4.1001500685355534</v>
      </c>
      <c r="J106" s="1499">
        <v>3.6590945474087753</v>
      </c>
      <c r="K106" s="113">
        <v>1.6444048656980548</v>
      </c>
    </row>
    <row r="107" spans="2:11" x14ac:dyDescent="0.3">
      <c r="B107" s="123"/>
      <c r="C107" s="1500" t="s">
        <v>1504</v>
      </c>
      <c r="D107" s="1499">
        <v>3.6156917565512097</v>
      </c>
      <c r="E107" s="1499">
        <v>3.2709266660191414</v>
      </c>
      <c r="F107" s="1499">
        <v>2.3821427217282478</v>
      </c>
      <c r="G107" s="1499">
        <v>2.2958923914598093</v>
      </c>
      <c r="H107" s="1499">
        <v>2.1981767997811561</v>
      </c>
      <c r="I107" s="1499">
        <v>4.53735266543399</v>
      </c>
      <c r="J107" s="1499">
        <v>4.095376529914069</v>
      </c>
      <c r="K107" s="113">
        <v>2.0862817201302182</v>
      </c>
    </row>
    <row r="108" spans="2:11" x14ac:dyDescent="0.3">
      <c r="B108" s="123"/>
      <c r="C108" s="1500" t="s">
        <v>1508</v>
      </c>
      <c r="D108" s="1499">
        <v>3.4513573414312342</v>
      </c>
      <c r="E108" s="1499">
        <v>3.1065922508991664</v>
      </c>
      <c r="F108" s="1499">
        <v>2.2178083066082728</v>
      </c>
      <c r="G108" s="1499">
        <v>2.1315579763398342</v>
      </c>
      <c r="H108" s="1499">
        <v>2.0338423846611811</v>
      </c>
      <c r="I108" s="1499">
        <v>4.3730182503140149</v>
      </c>
      <c r="J108" s="1499">
        <v>3.9310421147940939</v>
      </c>
      <c r="K108" s="113">
        <v>1.9219473050102429</v>
      </c>
    </row>
    <row r="109" spans="2:11" x14ac:dyDescent="0.3">
      <c r="B109" s="123"/>
      <c r="C109" s="1500" t="s">
        <v>1513</v>
      </c>
      <c r="D109" s="1499">
        <v>3.2048557187512716</v>
      </c>
      <c r="E109" s="1499">
        <v>2.8600906282192038</v>
      </c>
      <c r="F109" s="1499">
        <v>1.9713066839283098</v>
      </c>
      <c r="G109" s="1499">
        <v>1.8850563536598712</v>
      </c>
      <c r="H109" s="1499">
        <v>1.7873407619812181</v>
      </c>
      <c r="I109" s="1499">
        <v>4.1265166276340528</v>
      </c>
      <c r="J109" s="1499">
        <v>3.6845404921141314</v>
      </c>
      <c r="K109" s="113">
        <v>1.6754456823302801</v>
      </c>
    </row>
    <row r="110" spans="2:11" x14ac:dyDescent="0.3">
      <c r="B110" s="123"/>
      <c r="C110" s="1500" t="s">
        <v>1517</v>
      </c>
      <c r="D110" s="1499">
        <v>2.9583540960713086</v>
      </c>
      <c r="E110" s="1499">
        <v>2.6135890055392403</v>
      </c>
      <c r="F110" s="1499">
        <v>1.7248050612483472</v>
      </c>
      <c r="G110" s="1499">
        <v>1.6385547309799082</v>
      </c>
      <c r="H110" s="1499">
        <v>1.5408391393012553</v>
      </c>
      <c r="I110" s="1499">
        <v>3.8800150049540894</v>
      </c>
      <c r="J110" s="1499">
        <v>3.4380388694341684</v>
      </c>
      <c r="K110" s="113">
        <v>1.4289440596503176</v>
      </c>
    </row>
    <row r="111" spans="2:11" ht="14.5" thickBot="1" x14ac:dyDescent="0.35">
      <c r="B111" s="124"/>
      <c r="C111" s="125" t="s">
        <v>1519</v>
      </c>
      <c r="D111" s="117">
        <v>3.9522760243248296</v>
      </c>
      <c r="E111" s="117">
        <v>3.6178902113207494</v>
      </c>
      <c r="F111" s="117">
        <v>2.7193264543415774</v>
      </c>
      <c r="G111" s="117">
        <v>2.644221544324397</v>
      </c>
      <c r="H111" s="117">
        <v>2.5374591777834032</v>
      </c>
      <c r="I111" s="117">
        <v>4.882968197295221</v>
      </c>
      <c r="J111" s="117">
        <v>4.4419126761684424</v>
      </c>
      <c r="K111" s="118">
        <v>2.4272229944577219</v>
      </c>
    </row>
    <row r="112" spans="2:11" x14ac:dyDescent="0.3">
      <c r="B112" s="119" t="s">
        <v>1985</v>
      </c>
      <c r="C112" s="108" t="s">
        <v>1416</v>
      </c>
      <c r="D112" s="109">
        <v>2.292049248463385</v>
      </c>
      <c r="E112" s="109">
        <v>1.8599258084028414</v>
      </c>
      <c r="F112" s="109">
        <v>1.0784587603689686</v>
      </c>
      <c r="G112" s="109">
        <v>0.94374811081547894</v>
      </c>
      <c r="H112" s="109">
        <v>0.90553019341341923</v>
      </c>
      <c r="I112" s="109">
        <v>3.1371405000837518</v>
      </c>
      <c r="J112" s="109">
        <v>2.6864021698867759</v>
      </c>
      <c r="K112" s="110">
        <v>0.7518602060840236</v>
      </c>
    </row>
    <row r="113" spans="2:11" x14ac:dyDescent="0.3">
      <c r="B113" s="111"/>
      <c r="C113" s="112" t="s">
        <v>1483</v>
      </c>
      <c r="D113" s="1499">
        <v>3.9522741615582109</v>
      </c>
      <c r="E113" s="1499">
        <v>3.6178883485541307</v>
      </c>
      <c r="F113" s="1499">
        <v>2.7193245915749591</v>
      </c>
      <c r="G113" s="1499">
        <v>2.6442196815577783</v>
      </c>
      <c r="H113" s="1499">
        <v>2.5374573150167845</v>
      </c>
      <c r="I113" s="1499">
        <v>4.8829663345286018</v>
      </c>
      <c r="J113" s="1499">
        <v>4.4419108134018241</v>
      </c>
      <c r="K113" s="113">
        <v>2.4272211316911032</v>
      </c>
    </row>
    <row r="114" spans="2:11" ht="14.5" thickBot="1" x14ac:dyDescent="0.35">
      <c r="B114" s="111" t="s">
        <v>1988</v>
      </c>
      <c r="C114" s="112" t="s">
        <v>1489</v>
      </c>
      <c r="D114" s="1499">
        <v>3.7565696293682942</v>
      </c>
      <c r="E114" s="1499">
        <v>3.422183816364214</v>
      </c>
      <c r="F114" s="1501">
        <v>2.523620059385042</v>
      </c>
      <c r="G114" s="1499">
        <v>2.4485151493678616</v>
      </c>
      <c r="H114" s="1499">
        <v>2.3417527828268678</v>
      </c>
      <c r="I114" s="1499">
        <v>4.6872618023386856</v>
      </c>
      <c r="J114" s="1499">
        <v>4.246206281211907</v>
      </c>
      <c r="K114" s="113">
        <v>2.2315165995011865</v>
      </c>
    </row>
    <row r="115" spans="2:11" ht="14.5" thickBot="1" x14ac:dyDescent="0.35">
      <c r="B115" s="114">
        <v>0</v>
      </c>
      <c r="C115" s="112" t="s">
        <v>1496</v>
      </c>
      <c r="D115" s="1499">
        <v>3.463012831083419</v>
      </c>
      <c r="E115" s="1502">
        <v>3.1286270180793387</v>
      </c>
      <c r="F115" s="126">
        <v>2.2300632611001667</v>
      </c>
      <c r="G115" s="1503">
        <v>2.1549583510829864</v>
      </c>
      <c r="H115" s="1499">
        <v>2.0481959845419926</v>
      </c>
      <c r="I115" s="1499">
        <v>4.3937050040538104</v>
      </c>
      <c r="J115" s="1499">
        <v>3.9526494829270318</v>
      </c>
      <c r="K115" s="113">
        <v>1.9379598012163115</v>
      </c>
    </row>
    <row r="116" spans="2:11" x14ac:dyDescent="0.3">
      <c r="B116" s="115"/>
      <c r="C116" s="112" t="s">
        <v>1500</v>
      </c>
      <c r="D116" s="1499">
        <v>3.1694560327985437</v>
      </c>
      <c r="E116" s="1499">
        <v>2.8350702197944639</v>
      </c>
      <c r="F116" s="127">
        <v>1.9365064628152917</v>
      </c>
      <c r="G116" s="1499">
        <v>1.8614015527981111</v>
      </c>
      <c r="H116" s="1499">
        <v>1.7546391862571173</v>
      </c>
      <c r="I116" s="1499">
        <v>4.100148205768936</v>
      </c>
      <c r="J116" s="1499">
        <v>3.659092684642157</v>
      </c>
      <c r="K116" s="113">
        <v>1.6444030029314363</v>
      </c>
    </row>
    <row r="117" spans="2:11" x14ac:dyDescent="0.3">
      <c r="B117" s="115"/>
      <c r="C117" s="112" t="s">
        <v>1504</v>
      </c>
      <c r="D117" s="1499">
        <v>3.6156898937845909</v>
      </c>
      <c r="E117" s="1499">
        <v>3.2709248032525231</v>
      </c>
      <c r="F117" s="1499">
        <v>2.3821408589616291</v>
      </c>
      <c r="G117" s="1499">
        <v>2.2958905286931905</v>
      </c>
      <c r="H117" s="1499">
        <v>2.1981749370145374</v>
      </c>
      <c r="I117" s="1499">
        <v>4.5373508026673717</v>
      </c>
      <c r="J117" s="1499">
        <v>4.0953746671474507</v>
      </c>
      <c r="K117" s="113">
        <v>2.0862798573635994</v>
      </c>
    </row>
    <row r="118" spans="2:11" x14ac:dyDescent="0.3">
      <c r="B118" s="115"/>
      <c r="C118" s="112" t="s">
        <v>1508</v>
      </c>
      <c r="D118" s="1499">
        <v>3.4513554786646159</v>
      </c>
      <c r="E118" s="1499">
        <v>3.1065903881325476</v>
      </c>
      <c r="F118" s="1499">
        <v>2.217806443841654</v>
      </c>
      <c r="G118" s="1499">
        <v>2.1315561135732155</v>
      </c>
      <c r="H118" s="1499">
        <v>2.0338405218945623</v>
      </c>
      <c r="I118" s="1499">
        <v>4.3730163875473966</v>
      </c>
      <c r="J118" s="1499">
        <v>3.9310402520274756</v>
      </c>
      <c r="K118" s="113">
        <v>1.9219454422436244</v>
      </c>
    </row>
    <row r="119" spans="2:11" x14ac:dyDescent="0.3">
      <c r="B119" s="115"/>
      <c r="C119" s="112" t="s">
        <v>1513</v>
      </c>
      <c r="D119" s="1499">
        <v>3.2048538559846533</v>
      </c>
      <c r="E119" s="1499">
        <v>2.8600887654525851</v>
      </c>
      <c r="F119" s="1499">
        <v>1.9713048211616913</v>
      </c>
      <c r="G119" s="1499">
        <v>1.8850544908932527</v>
      </c>
      <c r="H119" s="1499">
        <v>1.7873388992145995</v>
      </c>
      <c r="I119" s="1499">
        <v>4.1265147648674336</v>
      </c>
      <c r="J119" s="1499">
        <v>3.6845386293475131</v>
      </c>
      <c r="K119" s="113">
        <v>1.6754438195636616</v>
      </c>
    </row>
    <row r="120" spans="2:11" x14ac:dyDescent="0.3">
      <c r="B120" s="115"/>
      <c r="C120" s="112" t="s">
        <v>1517</v>
      </c>
      <c r="D120" s="1499">
        <v>2.9583522333046899</v>
      </c>
      <c r="E120" s="1499">
        <v>2.6135871427726221</v>
      </c>
      <c r="F120" s="1499">
        <v>1.7248031984817287</v>
      </c>
      <c r="G120" s="1499">
        <v>1.6385528682132899</v>
      </c>
      <c r="H120" s="1499">
        <v>1.540837276534637</v>
      </c>
      <c r="I120" s="1499">
        <v>3.8800131421874706</v>
      </c>
      <c r="J120" s="1499">
        <v>3.4380370066675496</v>
      </c>
      <c r="K120" s="113">
        <v>1.4289421968836991</v>
      </c>
    </row>
    <row r="121" spans="2:11" ht="14.5" thickBot="1" x14ac:dyDescent="0.35">
      <c r="B121" s="1233"/>
      <c r="C121" s="116" t="s">
        <v>1519</v>
      </c>
      <c r="D121" s="117">
        <v>3.9522741615582109</v>
      </c>
      <c r="E121" s="117">
        <v>3.6178883485541307</v>
      </c>
      <c r="F121" s="117">
        <v>2.7193245915749591</v>
      </c>
      <c r="G121" s="117">
        <v>2.6442196815577783</v>
      </c>
      <c r="H121" s="117">
        <v>2.5374573150167845</v>
      </c>
      <c r="I121" s="117">
        <v>4.8829663345286018</v>
      </c>
      <c r="J121" s="117">
        <v>4.4419108134018241</v>
      </c>
      <c r="K121" s="118">
        <v>2.4272211316911032</v>
      </c>
    </row>
    <row r="122" spans="2:11" x14ac:dyDescent="0.3">
      <c r="B122" s="107" t="s">
        <v>1985</v>
      </c>
      <c r="C122" s="108" t="s">
        <v>1416</v>
      </c>
      <c r="D122" s="109">
        <v>2.2920473856967667</v>
      </c>
      <c r="E122" s="109">
        <v>1.8599239456362229</v>
      </c>
      <c r="F122" s="109">
        <v>1.0784568976023503</v>
      </c>
      <c r="G122" s="109">
        <v>0.94374624804886054</v>
      </c>
      <c r="H122" s="109">
        <v>0.90552833064680083</v>
      </c>
      <c r="I122" s="109">
        <v>3.137138637317133</v>
      </c>
      <c r="J122" s="109">
        <v>2.6864003071201572</v>
      </c>
      <c r="K122" s="110">
        <v>0.7518583433174052</v>
      </c>
    </row>
    <row r="123" spans="2:11" x14ac:dyDescent="0.3">
      <c r="B123" s="111"/>
      <c r="C123" s="112" t="s">
        <v>1483</v>
      </c>
      <c r="D123" s="1499">
        <v>3.9522722987915926</v>
      </c>
      <c r="E123" s="1499">
        <v>3.6178864857875124</v>
      </c>
      <c r="F123" s="1499">
        <v>2.7193227288083404</v>
      </c>
      <c r="G123" s="1499">
        <v>2.64421781879116</v>
      </c>
      <c r="H123" s="1499">
        <v>2.5374554522501662</v>
      </c>
      <c r="I123" s="1499">
        <v>4.8829644717619844</v>
      </c>
      <c r="J123" s="1499">
        <v>4.4419089506352059</v>
      </c>
      <c r="K123" s="113">
        <v>2.4272192689244854</v>
      </c>
    </row>
    <row r="124" spans="2:11" x14ac:dyDescent="0.3">
      <c r="B124" s="111" t="s">
        <v>1989</v>
      </c>
      <c r="C124" s="112" t="s">
        <v>1489</v>
      </c>
      <c r="D124" s="1499">
        <v>3.7565677666016755</v>
      </c>
      <c r="E124" s="1499">
        <v>3.4221819535975952</v>
      </c>
      <c r="F124" s="1499">
        <v>2.5236181966184237</v>
      </c>
      <c r="G124" s="1499">
        <v>2.4485132866012429</v>
      </c>
      <c r="H124" s="1499">
        <v>2.3417509200602491</v>
      </c>
      <c r="I124" s="1499">
        <v>4.6872599395720673</v>
      </c>
      <c r="J124" s="1499">
        <v>4.2462044184452887</v>
      </c>
      <c r="K124" s="113">
        <v>2.2315147367345682</v>
      </c>
    </row>
    <row r="125" spans="2:11" x14ac:dyDescent="0.3">
      <c r="B125" s="114">
        <v>0</v>
      </c>
      <c r="C125" s="112" t="s">
        <v>1496</v>
      </c>
      <c r="D125" s="1499">
        <v>3.4630109683168002</v>
      </c>
      <c r="E125" s="1499">
        <v>3.12862515531272</v>
      </c>
      <c r="F125" s="1499">
        <v>2.2300613983335484</v>
      </c>
      <c r="G125" s="1499">
        <v>2.1549564883163681</v>
      </c>
      <c r="H125" s="1499">
        <v>2.0481941217753743</v>
      </c>
      <c r="I125" s="1499">
        <v>4.3937031412871921</v>
      </c>
      <c r="J125" s="1499">
        <v>3.9526476201604135</v>
      </c>
      <c r="K125" s="113">
        <v>1.937957938449693</v>
      </c>
    </row>
    <row r="126" spans="2:11" x14ac:dyDescent="0.3">
      <c r="B126" s="115"/>
      <c r="C126" s="112" t="s">
        <v>1500</v>
      </c>
      <c r="D126" s="1499">
        <v>3.169454170031925</v>
      </c>
      <c r="E126" s="1499">
        <v>2.8350683570278452</v>
      </c>
      <c r="F126" s="1499">
        <v>1.9365046000486732</v>
      </c>
      <c r="G126" s="1499">
        <v>1.8613996900314926</v>
      </c>
      <c r="H126" s="1499">
        <v>1.7546373234904988</v>
      </c>
      <c r="I126" s="1499">
        <v>4.1001463430023168</v>
      </c>
      <c r="J126" s="1499">
        <v>3.6590908218755387</v>
      </c>
      <c r="K126" s="113">
        <v>1.6444011401648178</v>
      </c>
    </row>
    <row r="127" spans="2:11" x14ac:dyDescent="0.3">
      <c r="B127" s="115"/>
      <c r="C127" s="112" t="s">
        <v>1504</v>
      </c>
      <c r="D127" s="1499">
        <v>3.6156880310179726</v>
      </c>
      <c r="E127" s="1499">
        <v>3.2709229404859044</v>
      </c>
      <c r="F127" s="1499">
        <v>2.3821389961950108</v>
      </c>
      <c r="G127" s="1499">
        <v>2.2958886659265723</v>
      </c>
      <c r="H127" s="1499">
        <v>2.1981730742479191</v>
      </c>
      <c r="I127" s="1499">
        <v>4.5373489399007534</v>
      </c>
      <c r="J127" s="1499">
        <v>4.0953728043808324</v>
      </c>
      <c r="K127" s="113">
        <v>2.0862779945969812</v>
      </c>
    </row>
    <row r="128" spans="2:11" x14ac:dyDescent="0.3">
      <c r="B128" s="115"/>
      <c r="C128" s="112" t="s">
        <v>1508</v>
      </c>
      <c r="D128" s="1499">
        <v>3.4513536158979972</v>
      </c>
      <c r="E128" s="1499">
        <v>3.1065885253659289</v>
      </c>
      <c r="F128" s="1499">
        <v>2.2178045810750353</v>
      </c>
      <c r="G128" s="1499">
        <v>2.1315542508065968</v>
      </c>
      <c r="H128" s="1499">
        <v>2.0338386591279436</v>
      </c>
      <c r="I128" s="1499">
        <v>4.3730145247807775</v>
      </c>
      <c r="J128" s="1499">
        <v>3.9310383892608569</v>
      </c>
      <c r="K128" s="113">
        <v>1.9219435794770059</v>
      </c>
    </row>
    <row r="129" spans="2:11" x14ac:dyDescent="0.3">
      <c r="B129" s="115"/>
      <c r="C129" s="112" t="s">
        <v>1513</v>
      </c>
      <c r="D129" s="1499">
        <v>3.2048519932180346</v>
      </c>
      <c r="E129" s="1499">
        <v>2.8600869026859663</v>
      </c>
      <c r="F129" s="1499">
        <v>1.971302958395073</v>
      </c>
      <c r="G129" s="1499">
        <v>1.8850526281266344</v>
      </c>
      <c r="H129" s="1499">
        <v>1.7873370364479813</v>
      </c>
      <c r="I129" s="1499">
        <v>4.1265129021008153</v>
      </c>
      <c r="J129" s="1499">
        <v>3.6845367665808944</v>
      </c>
      <c r="K129" s="113">
        <v>1.6754419567970433</v>
      </c>
    </row>
    <row r="130" spans="2:11" x14ac:dyDescent="0.3">
      <c r="B130" s="115"/>
      <c r="C130" s="112" t="s">
        <v>1517</v>
      </c>
      <c r="D130" s="1499">
        <v>2.9583503705380716</v>
      </c>
      <c r="E130" s="1499">
        <v>2.6135852800060033</v>
      </c>
      <c r="F130" s="1499">
        <v>1.72480133571511</v>
      </c>
      <c r="G130" s="1499">
        <v>1.6385510054466714</v>
      </c>
      <c r="H130" s="1499">
        <v>1.5408354137680182</v>
      </c>
      <c r="I130" s="1499">
        <v>3.8800112794208523</v>
      </c>
      <c r="J130" s="1499">
        <v>3.4380351439009313</v>
      </c>
      <c r="K130" s="113">
        <v>1.4289403341170803</v>
      </c>
    </row>
    <row r="131" spans="2:11" ht="14.5" thickBot="1" x14ac:dyDescent="0.35">
      <c r="B131" s="1233"/>
      <c r="C131" s="116" t="s">
        <v>1519</v>
      </c>
      <c r="D131" s="117">
        <v>3.9522722987915926</v>
      </c>
      <c r="E131" s="117">
        <v>3.6178864857875124</v>
      </c>
      <c r="F131" s="117">
        <v>2.7193227288083404</v>
      </c>
      <c r="G131" s="117">
        <v>2.64421781879116</v>
      </c>
      <c r="H131" s="117">
        <v>2.5374554522501662</v>
      </c>
      <c r="I131" s="117">
        <v>4.8829644717619844</v>
      </c>
      <c r="J131" s="117">
        <v>4.4419089506352059</v>
      </c>
      <c r="K131" s="118">
        <v>2.4272192689244854</v>
      </c>
    </row>
    <row r="132" spans="2:11" x14ac:dyDescent="0.3">
      <c r="B132" s="120" t="s">
        <v>1990</v>
      </c>
      <c r="C132" s="108" t="s">
        <v>1416</v>
      </c>
      <c r="D132" s="109">
        <v>2.2920499544192503</v>
      </c>
      <c r="E132" s="109">
        <v>1.8599262780519392</v>
      </c>
      <c r="F132" s="109">
        <v>1.0784597118850565</v>
      </c>
      <c r="G132" s="109">
        <v>0.94374887430966758</v>
      </c>
      <c r="H132" s="109">
        <v>0.90553108679635241</v>
      </c>
      <c r="I132" s="109">
        <v>3.1371407704418894</v>
      </c>
      <c r="J132" s="109">
        <v>2.6864024776513493</v>
      </c>
      <c r="K132" s="110">
        <v>0.7518609814036783</v>
      </c>
    </row>
    <row r="133" spans="2:11" x14ac:dyDescent="0.3">
      <c r="B133" s="111"/>
      <c r="C133" s="112" t="s">
        <v>1483</v>
      </c>
      <c r="D133" s="1499">
        <v>3.9522747237703246</v>
      </c>
      <c r="E133" s="1499">
        <v>3.6178887856580588</v>
      </c>
      <c r="F133" s="1499">
        <v>2.719325228000895</v>
      </c>
      <c r="G133" s="1499">
        <v>2.6442202255213907</v>
      </c>
      <c r="H133" s="1499">
        <v>2.5374579273746716</v>
      </c>
      <c r="I133" s="1499">
        <v>4.8829666690183036</v>
      </c>
      <c r="J133" s="1499">
        <v>4.4419111501945281</v>
      </c>
      <c r="K133" s="113">
        <v>2.4272216768177177</v>
      </c>
    </row>
    <row r="134" spans="2:11" x14ac:dyDescent="0.3">
      <c r="B134" s="111" t="s">
        <v>1986</v>
      </c>
      <c r="C134" s="112" t="s">
        <v>1489</v>
      </c>
      <c r="D134" s="1499">
        <v>3.7565701915804084</v>
      </c>
      <c r="E134" s="1499">
        <v>3.4221842534681426</v>
      </c>
      <c r="F134" s="1499">
        <v>2.5236206958109784</v>
      </c>
      <c r="G134" s="1499">
        <v>2.448515693331474</v>
      </c>
      <c r="H134" s="1499">
        <v>2.3417533951847549</v>
      </c>
      <c r="I134" s="1499">
        <v>4.6872621368283873</v>
      </c>
      <c r="J134" s="1499">
        <v>4.2462066180046119</v>
      </c>
      <c r="K134" s="113">
        <v>2.231517144627801</v>
      </c>
    </row>
    <row r="135" spans="2:11" x14ac:dyDescent="0.3">
      <c r="B135" s="114">
        <v>0</v>
      </c>
      <c r="C135" s="112" t="s">
        <v>1496</v>
      </c>
      <c r="D135" s="1499">
        <v>3.4630133932955331</v>
      </c>
      <c r="E135" s="1499">
        <v>3.1286274551832673</v>
      </c>
      <c r="F135" s="1499">
        <v>2.2300638975261031</v>
      </c>
      <c r="G135" s="1499">
        <v>2.1549588950465983</v>
      </c>
      <c r="H135" s="1499">
        <v>2.0481965968998797</v>
      </c>
      <c r="I135" s="1499">
        <v>4.3937053385435121</v>
      </c>
      <c r="J135" s="1499">
        <v>3.9526498197197366</v>
      </c>
      <c r="K135" s="113">
        <v>1.9379603463429258</v>
      </c>
    </row>
    <row r="136" spans="2:11" x14ac:dyDescent="0.3">
      <c r="B136" s="115"/>
      <c r="C136" s="112" t="s">
        <v>1500</v>
      </c>
      <c r="D136" s="1499">
        <v>3.1694565950106575</v>
      </c>
      <c r="E136" s="1499">
        <v>2.8350706568983917</v>
      </c>
      <c r="F136" s="1499">
        <v>1.9365070992412279</v>
      </c>
      <c r="G136" s="1499">
        <v>1.8614020967617235</v>
      </c>
      <c r="H136" s="1499">
        <v>1.7546397986150044</v>
      </c>
      <c r="I136" s="1499">
        <v>4.1001485402586368</v>
      </c>
      <c r="J136" s="1499">
        <v>3.6590930214348609</v>
      </c>
      <c r="K136" s="113">
        <v>1.6444035480580508</v>
      </c>
    </row>
    <row r="137" spans="2:11" x14ac:dyDescent="0.3">
      <c r="B137" s="115"/>
      <c r="C137" s="112" t="s">
        <v>1504</v>
      </c>
      <c r="D137" s="1499">
        <v>3.6156905093821639</v>
      </c>
      <c r="E137" s="1499">
        <v>3.2709252164944589</v>
      </c>
      <c r="F137" s="1499">
        <v>2.3821414603565776</v>
      </c>
      <c r="G137" s="1499">
        <v>2.2958910330598989</v>
      </c>
      <c r="H137" s="1499">
        <v>2.19817569411796</v>
      </c>
      <c r="I137" s="1499">
        <v>4.537351112864342</v>
      </c>
      <c r="J137" s="1499">
        <v>4.0953750185522928</v>
      </c>
      <c r="K137" s="113">
        <v>2.0862805405532554</v>
      </c>
    </row>
    <row r="138" spans="2:11" x14ac:dyDescent="0.3">
      <c r="B138" s="115"/>
      <c r="C138" s="112" t="s">
        <v>1508</v>
      </c>
      <c r="D138" s="1499">
        <v>3.4513560942621888</v>
      </c>
      <c r="E138" s="1499">
        <v>3.1065908013744838</v>
      </c>
      <c r="F138" s="1499">
        <v>2.2178070452366025</v>
      </c>
      <c r="G138" s="1499">
        <v>2.1315566179399239</v>
      </c>
      <c r="H138" s="1499">
        <v>2.0338412789979849</v>
      </c>
      <c r="I138" s="1499">
        <v>4.373016697744367</v>
      </c>
      <c r="J138" s="1499">
        <v>3.9310406034323182</v>
      </c>
      <c r="K138" s="113">
        <v>1.9219461254332804</v>
      </c>
    </row>
    <row r="139" spans="2:11" x14ac:dyDescent="0.3">
      <c r="B139" s="115"/>
      <c r="C139" s="112" t="s">
        <v>1513</v>
      </c>
      <c r="D139" s="1499">
        <v>3.2048544715822258</v>
      </c>
      <c r="E139" s="1499">
        <v>2.8600891786945208</v>
      </c>
      <c r="F139" s="1499">
        <v>1.9713054225566398</v>
      </c>
      <c r="G139" s="1499">
        <v>1.8850549952599611</v>
      </c>
      <c r="H139" s="1499">
        <v>1.7873396563180222</v>
      </c>
      <c r="I139" s="1499">
        <v>4.126515075064404</v>
      </c>
      <c r="J139" s="1499">
        <v>3.6845389807523548</v>
      </c>
      <c r="K139" s="113">
        <v>1.6754445027533176</v>
      </c>
    </row>
    <row r="140" spans="2:11" x14ac:dyDescent="0.3">
      <c r="B140" s="115"/>
      <c r="C140" s="112" t="s">
        <v>1517</v>
      </c>
      <c r="D140" s="1499">
        <v>2.9583528489022632</v>
      </c>
      <c r="E140" s="1499">
        <v>2.6135875560145583</v>
      </c>
      <c r="F140" s="1499">
        <v>1.724803799876677</v>
      </c>
      <c r="G140" s="1499">
        <v>1.6385533725799983</v>
      </c>
      <c r="H140" s="1499">
        <v>1.5408380336380596</v>
      </c>
      <c r="I140" s="1499">
        <v>3.8800134523844414</v>
      </c>
      <c r="J140" s="1499">
        <v>3.4380373580723922</v>
      </c>
      <c r="K140" s="113">
        <v>1.4289428800733546</v>
      </c>
    </row>
    <row r="141" spans="2:11" ht="14.5" thickBot="1" x14ac:dyDescent="0.35">
      <c r="B141" s="1233"/>
      <c r="C141" s="116" t="s">
        <v>1519</v>
      </c>
      <c r="D141" s="117">
        <v>3.9522747237703246</v>
      </c>
      <c r="E141" s="117">
        <v>3.6178887856580588</v>
      </c>
      <c r="F141" s="117">
        <v>2.719325228000895</v>
      </c>
      <c r="G141" s="117">
        <v>2.6442202255213907</v>
      </c>
      <c r="H141" s="117">
        <v>2.5374579273746716</v>
      </c>
      <c r="I141" s="117">
        <v>4.8829666690183036</v>
      </c>
      <c r="J141" s="117">
        <v>4.4419111501945281</v>
      </c>
      <c r="K141" s="118">
        <v>2.4272216768177177</v>
      </c>
    </row>
    <row r="142" spans="2:11" x14ac:dyDescent="0.3">
      <c r="B142" s="120" t="s">
        <v>1990</v>
      </c>
      <c r="C142" s="108" t="s">
        <v>1416</v>
      </c>
      <c r="D142" s="109">
        <v>2.2920488988514998</v>
      </c>
      <c r="E142" s="109">
        <v>1.8599252224841889</v>
      </c>
      <c r="F142" s="109">
        <v>1.078458656317306</v>
      </c>
      <c r="G142" s="109">
        <v>0.94374781874191704</v>
      </c>
      <c r="H142" s="109">
        <v>0.90553003122860198</v>
      </c>
      <c r="I142" s="109">
        <v>3.1371397148741389</v>
      </c>
      <c r="J142" s="109">
        <v>2.6864014220835983</v>
      </c>
      <c r="K142" s="110">
        <v>0.75185992583592787</v>
      </c>
    </row>
    <row r="143" spans="2:11" x14ac:dyDescent="0.3">
      <c r="B143" s="111"/>
      <c r="C143" s="112" t="s">
        <v>1483</v>
      </c>
      <c r="D143" s="1499">
        <v>3.9522736682025745</v>
      </c>
      <c r="E143" s="1499">
        <v>3.6178877300903087</v>
      </c>
      <c r="F143" s="1499">
        <v>2.7193241724331445</v>
      </c>
      <c r="G143" s="1499">
        <v>2.6442191699536401</v>
      </c>
      <c r="H143" s="1499">
        <v>2.537456871806921</v>
      </c>
      <c r="I143" s="1499">
        <v>4.882965613450553</v>
      </c>
      <c r="J143" s="1499">
        <v>4.4419100946267775</v>
      </c>
      <c r="K143" s="113">
        <v>2.4272206212499676</v>
      </c>
    </row>
    <row r="144" spans="2:11" x14ac:dyDescent="0.3">
      <c r="B144" s="111" t="s">
        <v>1987</v>
      </c>
      <c r="C144" s="112" t="s">
        <v>1489</v>
      </c>
      <c r="D144" s="1499">
        <v>3.7565691360126574</v>
      </c>
      <c r="E144" s="1499">
        <v>3.4221831979003916</v>
      </c>
      <c r="F144" s="1499">
        <v>2.5236196402432278</v>
      </c>
      <c r="G144" s="1499">
        <v>2.4485146377637235</v>
      </c>
      <c r="H144" s="1499">
        <v>2.3417523396170044</v>
      </c>
      <c r="I144" s="1499">
        <v>4.6872610812606368</v>
      </c>
      <c r="J144" s="1499">
        <v>4.2462055624368613</v>
      </c>
      <c r="K144" s="113">
        <v>2.2315160890600505</v>
      </c>
    </row>
    <row r="145" spans="2:11" x14ac:dyDescent="0.3">
      <c r="B145" s="114">
        <v>0</v>
      </c>
      <c r="C145" s="112" t="s">
        <v>1496</v>
      </c>
      <c r="D145" s="1499">
        <v>3.4630123377277822</v>
      </c>
      <c r="E145" s="1499">
        <v>3.1286263996155164</v>
      </c>
      <c r="F145" s="1499">
        <v>2.2300628419583526</v>
      </c>
      <c r="G145" s="1499">
        <v>2.1549578394788482</v>
      </c>
      <c r="H145" s="1499">
        <v>2.0481955413321291</v>
      </c>
      <c r="I145" s="1499">
        <v>4.3937042829757607</v>
      </c>
      <c r="J145" s="1499">
        <v>3.9526487641519856</v>
      </c>
      <c r="K145" s="113">
        <v>1.9379592907751753</v>
      </c>
    </row>
    <row r="146" spans="2:11" x14ac:dyDescent="0.3">
      <c r="B146" s="115"/>
      <c r="C146" s="112" t="s">
        <v>1500</v>
      </c>
      <c r="D146" s="1499">
        <v>3.1694555394429069</v>
      </c>
      <c r="E146" s="1499">
        <v>2.8350696013306411</v>
      </c>
      <c r="F146" s="1499">
        <v>1.9365060436734773</v>
      </c>
      <c r="G146" s="1499">
        <v>1.861401041193973</v>
      </c>
      <c r="H146" s="1499">
        <v>1.7546387430472539</v>
      </c>
      <c r="I146" s="1499">
        <v>4.1001474846908854</v>
      </c>
      <c r="J146" s="1499">
        <v>3.6590919658671104</v>
      </c>
      <c r="K146" s="113">
        <v>1.6444024924903002</v>
      </c>
    </row>
    <row r="147" spans="2:11" x14ac:dyDescent="0.3">
      <c r="B147" s="115"/>
      <c r="C147" s="112" t="s">
        <v>1504</v>
      </c>
      <c r="D147" s="1499">
        <v>3.6156894538144133</v>
      </c>
      <c r="E147" s="1499">
        <v>3.2709241609267083</v>
      </c>
      <c r="F147" s="1499">
        <v>2.3821404047888275</v>
      </c>
      <c r="G147" s="1499">
        <v>2.2958899774921484</v>
      </c>
      <c r="H147" s="1499">
        <v>2.1981746385502094</v>
      </c>
      <c r="I147" s="1499">
        <v>4.5373500572965915</v>
      </c>
      <c r="J147" s="1499">
        <v>4.0953739629845431</v>
      </c>
      <c r="K147" s="113">
        <v>2.0862794849855049</v>
      </c>
    </row>
    <row r="148" spans="2:11" x14ac:dyDescent="0.3">
      <c r="B148" s="115"/>
      <c r="C148" s="112" t="s">
        <v>1508</v>
      </c>
      <c r="D148" s="1499">
        <v>3.4513550386944378</v>
      </c>
      <c r="E148" s="1499">
        <v>3.1065897458067329</v>
      </c>
      <c r="F148" s="1499">
        <v>2.217805989668852</v>
      </c>
      <c r="G148" s="1499">
        <v>2.1315555623721734</v>
      </c>
      <c r="H148" s="1499">
        <v>2.0338402234302344</v>
      </c>
      <c r="I148" s="1499">
        <v>4.3730156421766164</v>
      </c>
      <c r="J148" s="1499">
        <v>3.9310395478645672</v>
      </c>
      <c r="K148" s="113">
        <v>1.9219450698655298</v>
      </c>
    </row>
    <row r="149" spans="2:11" x14ac:dyDescent="0.3">
      <c r="B149" s="115"/>
      <c r="C149" s="112" t="s">
        <v>1513</v>
      </c>
      <c r="D149" s="1499">
        <v>3.2048534160144753</v>
      </c>
      <c r="E149" s="1499">
        <v>2.8600881231267703</v>
      </c>
      <c r="F149" s="1499">
        <v>1.9713043669888892</v>
      </c>
      <c r="G149" s="1499">
        <v>1.8850539396922106</v>
      </c>
      <c r="H149" s="1499">
        <v>1.7873386007502716</v>
      </c>
      <c r="I149" s="1499">
        <v>4.1265140194966534</v>
      </c>
      <c r="J149" s="1499">
        <v>3.6845379251846047</v>
      </c>
      <c r="K149" s="113">
        <v>1.675443447185567</v>
      </c>
    </row>
    <row r="150" spans="2:11" x14ac:dyDescent="0.3">
      <c r="B150" s="115"/>
      <c r="C150" s="112" t="s">
        <v>1517</v>
      </c>
      <c r="D150" s="1499">
        <v>2.9583517933345123</v>
      </c>
      <c r="E150" s="1499">
        <v>2.6135865004468073</v>
      </c>
      <c r="F150" s="1499">
        <v>1.7248027443089262</v>
      </c>
      <c r="G150" s="1499">
        <v>1.6385523170122476</v>
      </c>
      <c r="H150" s="1499">
        <v>1.5408369780703088</v>
      </c>
      <c r="I150" s="1499">
        <v>3.8800123968166904</v>
      </c>
      <c r="J150" s="1499">
        <v>3.4380363025046417</v>
      </c>
      <c r="K150" s="113">
        <v>1.4289418245056045</v>
      </c>
    </row>
    <row r="151" spans="2:11" ht="14.5" thickBot="1" x14ac:dyDescent="0.35">
      <c r="B151" s="1233"/>
      <c r="C151" s="116" t="s">
        <v>1519</v>
      </c>
      <c r="D151" s="117">
        <v>3.9522736682025745</v>
      </c>
      <c r="E151" s="117">
        <v>3.6178877300903087</v>
      </c>
      <c r="F151" s="117">
        <v>2.7193241724331445</v>
      </c>
      <c r="G151" s="117">
        <v>2.6442191699536401</v>
      </c>
      <c r="H151" s="117">
        <v>2.537456871806921</v>
      </c>
      <c r="I151" s="117">
        <v>4.882965613450553</v>
      </c>
      <c r="J151" s="117">
        <v>4.4419100946267775</v>
      </c>
      <c r="K151" s="118">
        <v>2.4272206212499676</v>
      </c>
    </row>
    <row r="152" spans="2:11" x14ac:dyDescent="0.3">
      <c r="B152" s="120" t="s">
        <v>1990</v>
      </c>
      <c r="C152" s="108" t="s">
        <v>1416</v>
      </c>
      <c r="D152" s="109">
        <v>2.2920473154998739</v>
      </c>
      <c r="E152" s="109">
        <v>1.8599236391325629</v>
      </c>
      <c r="F152" s="109">
        <v>1.0784570729656802</v>
      </c>
      <c r="G152" s="109">
        <v>0.94374623539029134</v>
      </c>
      <c r="H152" s="109">
        <v>0.90552844787697628</v>
      </c>
      <c r="I152" s="109">
        <v>3.1371381315225131</v>
      </c>
      <c r="J152" s="109">
        <v>2.686399838731973</v>
      </c>
      <c r="K152" s="110">
        <v>0.75185834248430206</v>
      </c>
    </row>
    <row r="153" spans="2:11" x14ac:dyDescent="0.3">
      <c r="B153" s="111"/>
      <c r="C153" s="112" t="s">
        <v>1483</v>
      </c>
      <c r="D153" s="1499">
        <v>3.9522720848509487</v>
      </c>
      <c r="E153" s="1499">
        <v>3.6178861467386829</v>
      </c>
      <c r="F153" s="1499">
        <v>2.7193225890815191</v>
      </c>
      <c r="G153" s="1499">
        <v>2.6442175866020148</v>
      </c>
      <c r="H153" s="1499">
        <v>2.5374552884552957</v>
      </c>
      <c r="I153" s="1499">
        <v>4.8829640300989272</v>
      </c>
      <c r="J153" s="1499">
        <v>4.4419085112751526</v>
      </c>
      <c r="K153" s="113">
        <v>2.4272190378983418</v>
      </c>
    </row>
    <row r="154" spans="2:11" x14ac:dyDescent="0.3">
      <c r="B154" s="111" t="s">
        <v>1988</v>
      </c>
      <c r="C154" s="112" t="s">
        <v>1489</v>
      </c>
      <c r="D154" s="1499">
        <v>3.756567552661032</v>
      </c>
      <c r="E154" s="1499">
        <v>3.4221816145487662</v>
      </c>
      <c r="F154" s="1499">
        <v>2.523618056891602</v>
      </c>
      <c r="G154" s="1499">
        <v>2.4485130544120977</v>
      </c>
      <c r="H154" s="1499">
        <v>2.3417507562653785</v>
      </c>
      <c r="I154" s="1499">
        <v>4.687259497909011</v>
      </c>
      <c r="J154" s="1499">
        <v>4.2462039790852355</v>
      </c>
      <c r="K154" s="113">
        <v>2.2315145057084247</v>
      </c>
    </row>
    <row r="155" spans="2:11" x14ac:dyDescent="0.3">
      <c r="B155" s="114">
        <v>0</v>
      </c>
      <c r="C155" s="112" t="s">
        <v>1496</v>
      </c>
      <c r="D155" s="1499">
        <v>3.4630107543761568</v>
      </c>
      <c r="E155" s="1499">
        <v>3.128624816263891</v>
      </c>
      <c r="F155" s="1499">
        <v>2.2300612586067268</v>
      </c>
      <c r="G155" s="1499">
        <v>2.1549562561272224</v>
      </c>
      <c r="H155" s="1499">
        <v>2.0481939579805033</v>
      </c>
      <c r="I155" s="1499">
        <v>4.3937026996241357</v>
      </c>
      <c r="J155" s="1499">
        <v>3.9526471808003603</v>
      </c>
      <c r="K155" s="113">
        <v>1.9379577074235497</v>
      </c>
    </row>
    <row r="156" spans="2:11" x14ac:dyDescent="0.3">
      <c r="B156" s="115"/>
      <c r="C156" s="112" t="s">
        <v>1500</v>
      </c>
      <c r="D156" s="1499">
        <v>3.1694539560912811</v>
      </c>
      <c r="E156" s="1499">
        <v>2.8350680179790153</v>
      </c>
      <c r="F156" s="1499">
        <v>1.9365044603218515</v>
      </c>
      <c r="G156" s="1499">
        <v>1.8613994578423472</v>
      </c>
      <c r="H156" s="1499">
        <v>1.7546371596956281</v>
      </c>
      <c r="I156" s="1499">
        <v>4.1001459013392605</v>
      </c>
      <c r="J156" s="1499">
        <v>3.6590903825154846</v>
      </c>
      <c r="K156" s="113">
        <v>1.6444009091386744</v>
      </c>
    </row>
    <row r="157" spans="2:11" x14ac:dyDescent="0.3">
      <c r="B157" s="115"/>
      <c r="C157" s="112" t="s">
        <v>1504</v>
      </c>
      <c r="D157" s="1499">
        <v>3.6156878704627875</v>
      </c>
      <c r="E157" s="1499">
        <v>3.2709225775750825</v>
      </c>
      <c r="F157" s="1499">
        <v>2.3821388214372012</v>
      </c>
      <c r="G157" s="1499">
        <v>2.2958883941405226</v>
      </c>
      <c r="H157" s="1499">
        <v>2.1981730551985836</v>
      </c>
      <c r="I157" s="1499">
        <v>4.5373484739449657</v>
      </c>
      <c r="J157" s="1499">
        <v>4.0953723796329164</v>
      </c>
      <c r="K157" s="113">
        <v>2.0862779016338795</v>
      </c>
    </row>
    <row r="158" spans="2:11" x14ac:dyDescent="0.3">
      <c r="B158" s="115"/>
      <c r="C158" s="112" t="s">
        <v>1508</v>
      </c>
      <c r="D158" s="1499">
        <v>3.4513534553428125</v>
      </c>
      <c r="E158" s="1499">
        <v>3.1065881624551075</v>
      </c>
      <c r="F158" s="1499">
        <v>2.2178044063172262</v>
      </c>
      <c r="G158" s="1499">
        <v>2.1315539790205476</v>
      </c>
      <c r="H158" s="1499">
        <v>2.0338386400786086</v>
      </c>
      <c r="I158" s="1499">
        <v>4.3730140588249906</v>
      </c>
      <c r="J158" s="1499">
        <v>3.9310379645129419</v>
      </c>
      <c r="K158" s="113">
        <v>1.921943486513904</v>
      </c>
    </row>
    <row r="159" spans="2:11" x14ac:dyDescent="0.3">
      <c r="B159" s="115"/>
      <c r="C159" s="112" t="s">
        <v>1513</v>
      </c>
      <c r="D159" s="1499">
        <v>3.2048518326628495</v>
      </c>
      <c r="E159" s="1499">
        <v>2.8600865397751445</v>
      </c>
      <c r="F159" s="1499">
        <v>1.9713027836372636</v>
      </c>
      <c r="G159" s="1499">
        <v>1.885052356340585</v>
      </c>
      <c r="H159" s="1499">
        <v>1.787337017398646</v>
      </c>
      <c r="I159" s="1499">
        <v>4.1265124361450276</v>
      </c>
      <c r="J159" s="1499">
        <v>3.6845363418329784</v>
      </c>
      <c r="K159" s="113">
        <v>1.6754418638339414</v>
      </c>
    </row>
    <row r="160" spans="2:11" x14ac:dyDescent="0.3">
      <c r="B160" s="115"/>
      <c r="C160" s="112" t="s">
        <v>1517</v>
      </c>
      <c r="D160" s="1499">
        <v>2.9583502099828869</v>
      </c>
      <c r="E160" s="1499">
        <v>2.6135849170951819</v>
      </c>
      <c r="F160" s="1499">
        <v>1.7248011609573006</v>
      </c>
      <c r="G160" s="1499">
        <v>1.638550733660622</v>
      </c>
      <c r="H160" s="1499">
        <v>1.5408353947186832</v>
      </c>
      <c r="I160" s="1499">
        <v>3.880010813465065</v>
      </c>
      <c r="J160" s="1499">
        <v>3.4380347191530158</v>
      </c>
      <c r="K160" s="113">
        <v>1.4289402411539787</v>
      </c>
    </row>
    <row r="161" spans="2:11" ht="14.5" thickBot="1" x14ac:dyDescent="0.35">
      <c r="B161" s="1233"/>
      <c r="C161" s="116" t="s">
        <v>1519</v>
      </c>
      <c r="D161" s="117">
        <v>3.9522720848509487</v>
      </c>
      <c r="E161" s="117">
        <v>3.6178861467386829</v>
      </c>
      <c r="F161" s="117">
        <v>2.7193225890815191</v>
      </c>
      <c r="G161" s="117">
        <v>2.6442175866020148</v>
      </c>
      <c r="H161" s="117">
        <v>2.5374552884552957</v>
      </c>
      <c r="I161" s="117">
        <v>4.8829640300989272</v>
      </c>
      <c r="J161" s="117">
        <v>4.4419085112751526</v>
      </c>
      <c r="K161" s="118">
        <v>2.4272190378983418</v>
      </c>
    </row>
    <row r="162" spans="2:11" x14ac:dyDescent="0.3">
      <c r="B162" s="120" t="s">
        <v>1990</v>
      </c>
      <c r="C162" s="108" t="s">
        <v>1416</v>
      </c>
      <c r="D162" s="109">
        <v>2.2920457321482481</v>
      </c>
      <c r="E162" s="109">
        <v>1.8599220557809373</v>
      </c>
      <c r="F162" s="109">
        <v>1.0784554896140544</v>
      </c>
      <c r="G162" s="109">
        <v>0.94374465203866564</v>
      </c>
      <c r="H162" s="109">
        <v>0.90552686452535047</v>
      </c>
      <c r="I162" s="109">
        <v>3.1371365481708873</v>
      </c>
      <c r="J162" s="109">
        <v>2.6863982553803467</v>
      </c>
      <c r="K162" s="110">
        <v>0.75185675913267636</v>
      </c>
    </row>
    <row r="163" spans="2:11" x14ac:dyDescent="0.3">
      <c r="B163" s="111"/>
      <c r="C163" s="112" t="s">
        <v>1483</v>
      </c>
      <c r="D163" s="1499">
        <v>3.9522705014993229</v>
      </c>
      <c r="E163" s="1499">
        <v>3.6178845633870571</v>
      </c>
      <c r="F163" s="1499">
        <v>2.7193210057298929</v>
      </c>
      <c r="G163" s="1499">
        <v>2.6442160032503885</v>
      </c>
      <c r="H163" s="1499">
        <v>2.5374537051036694</v>
      </c>
      <c r="I163" s="1499">
        <v>4.8829624467473023</v>
      </c>
      <c r="J163" s="1499">
        <v>4.4419069279235259</v>
      </c>
      <c r="K163" s="113">
        <v>2.427217454546716</v>
      </c>
    </row>
    <row r="164" spans="2:11" x14ac:dyDescent="0.3">
      <c r="B164" s="111" t="s">
        <v>1989</v>
      </c>
      <c r="C164" s="112" t="s">
        <v>1489</v>
      </c>
      <c r="D164" s="1499">
        <v>3.7565659693094058</v>
      </c>
      <c r="E164" s="1499">
        <v>3.42218003119714</v>
      </c>
      <c r="F164" s="1499">
        <v>2.5236164735399762</v>
      </c>
      <c r="G164" s="1499">
        <v>2.4485114710604718</v>
      </c>
      <c r="H164" s="1499">
        <v>2.3417491729137527</v>
      </c>
      <c r="I164" s="1499">
        <v>4.6872579145573843</v>
      </c>
      <c r="J164" s="1499">
        <v>4.2462023957336097</v>
      </c>
      <c r="K164" s="113">
        <v>2.2315129223567993</v>
      </c>
    </row>
    <row r="165" spans="2:11" x14ac:dyDescent="0.3">
      <c r="B165" s="114">
        <v>0</v>
      </c>
      <c r="C165" s="112" t="s">
        <v>1496</v>
      </c>
      <c r="D165" s="1499">
        <v>3.463009171024531</v>
      </c>
      <c r="E165" s="1499">
        <v>3.1286232329122652</v>
      </c>
      <c r="F165" s="1499">
        <v>2.230059675255101</v>
      </c>
      <c r="G165" s="1499">
        <v>2.1549546727755966</v>
      </c>
      <c r="H165" s="1499">
        <v>2.0481923746288775</v>
      </c>
      <c r="I165" s="1499">
        <v>4.3937011162725099</v>
      </c>
      <c r="J165" s="1499">
        <v>3.9526455974487344</v>
      </c>
      <c r="K165" s="113">
        <v>1.9379561240719239</v>
      </c>
    </row>
    <row r="166" spans="2:11" x14ac:dyDescent="0.3">
      <c r="B166" s="115"/>
      <c r="C166" s="112" t="s">
        <v>1500</v>
      </c>
      <c r="D166" s="1499">
        <v>3.1694523727396557</v>
      </c>
      <c r="E166" s="1499">
        <v>2.8350664346273899</v>
      </c>
      <c r="F166" s="1499">
        <v>1.9365028769702259</v>
      </c>
      <c r="G166" s="1499">
        <v>1.8613978744907216</v>
      </c>
      <c r="H166" s="1499">
        <v>1.7546355763440025</v>
      </c>
      <c r="I166" s="1499">
        <v>4.1001443179876347</v>
      </c>
      <c r="J166" s="1499">
        <v>3.6590887991638592</v>
      </c>
      <c r="K166" s="113">
        <v>1.6443993257870488</v>
      </c>
    </row>
    <row r="167" spans="2:11" x14ac:dyDescent="0.3">
      <c r="B167" s="115"/>
      <c r="C167" s="112" t="s">
        <v>1504</v>
      </c>
      <c r="D167" s="1499">
        <v>3.6156862871111617</v>
      </c>
      <c r="E167" s="1499">
        <v>3.2709209942234567</v>
      </c>
      <c r="F167" s="1499">
        <v>2.3821372380855759</v>
      </c>
      <c r="G167" s="1499">
        <v>2.2958868107888972</v>
      </c>
      <c r="H167" s="1499">
        <v>2.1981714718469583</v>
      </c>
      <c r="I167" s="1499">
        <v>4.5373468905933398</v>
      </c>
      <c r="J167" s="1499">
        <v>4.0953707962812906</v>
      </c>
      <c r="K167" s="113">
        <v>2.0862763182822537</v>
      </c>
    </row>
    <row r="168" spans="2:11" x14ac:dyDescent="0.3">
      <c r="B168" s="115"/>
      <c r="C168" s="112" t="s">
        <v>1508</v>
      </c>
      <c r="D168" s="1499">
        <v>3.4513518719911862</v>
      </c>
      <c r="E168" s="1499">
        <v>3.1065865791034812</v>
      </c>
      <c r="F168" s="1499">
        <v>2.2178028229656004</v>
      </c>
      <c r="G168" s="1499">
        <v>2.1315523956689217</v>
      </c>
      <c r="H168" s="1499">
        <v>2.0338370567269828</v>
      </c>
      <c r="I168" s="1499">
        <v>4.3730124754733648</v>
      </c>
      <c r="J168" s="1499">
        <v>3.9310363811613156</v>
      </c>
      <c r="K168" s="113">
        <v>1.9219419031622784</v>
      </c>
    </row>
    <row r="169" spans="2:11" x14ac:dyDescent="0.3">
      <c r="B169" s="115"/>
      <c r="C169" s="112" t="s">
        <v>1513</v>
      </c>
      <c r="D169" s="1499">
        <v>3.2048502493112236</v>
      </c>
      <c r="E169" s="1499">
        <v>2.8600849564235187</v>
      </c>
      <c r="F169" s="1499">
        <v>1.9713012002856376</v>
      </c>
      <c r="G169" s="1499">
        <v>1.885050772988959</v>
      </c>
      <c r="H169" s="1499">
        <v>1.7873354340470202</v>
      </c>
      <c r="I169" s="1499">
        <v>4.1265108527934018</v>
      </c>
      <c r="J169" s="1499">
        <v>3.684534758481353</v>
      </c>
      <c r="K169" s="113">
        <v>1.6754402804823156</v>
      </c>
    </row>
    <row r="170" spans="2:11" x14ac:dyDescent="0.3">
      <c r="B170" s="115"/>
      <c r="C170" s="112" t="s">
        <v>1517</v>
      </c>
      <c r="D170" s="1499">
        <v>2.9583486266312611</v>
      </c>
      <c r="E170" s="1499">
        <v>2.6135833337435561</v>
      </c>
      <c r="F170" s="1499">
        <v>1.7247995776056748</v>
      </c>
      <c r="G170" s="1499">
        <v>1.6385491503089962</v>
      </c>
      <c r="H170" s="1499">
        <v>1.5408338113670572</v>
      </c>
      <c r="I170" s="1499">
        <v>3.8800092301134392</v>
      </c>
      <c r="J170" s="1499">
        <v>3.4380331358013905</v>
      </c>
      <c r="K170" s="113">
        <v>1.4289386578023526</v>
      </c>
    </row>
    <row r="171" spans="2:11" ht="14.5" thickBot="1" x14ac:dyDescent="0.35">
      <c r="B171" s="1233"/>
      <c r="C171" s="116" t="s">
        <v>1519</v>
      </c>
      <c r="D171" s="117">
        <v>3.9522705014993229</v>
      </c>
      <c r="E171" s="117">
        <v>3.6178845633870571</v>
      </c>
      <c r="F171" s="117">
        <v>2.7193210057298929</v>
      </c>
      <c r="G171" s="117">
        <v>2.6442160032503885</v>
      </c>
      <c r="H171" s="117">
        <v>2.5374537051036694</v>
      </c>
      <c r="I171" s="117">
        <v>4.8829624467473023</v>
      </c>
      <c r="J171" s="117">
        <v>4.4419069279235259</v>
      </c>
      <c r="K171" s="118">
        <v>2.427217454546716</v>
      </c>
    </row>
    <row r="173" spans="2:11" ht="14.5" thickBot="1" x14ac:dyDescent="0.35"/>
    <row r="174" spans="2:11" ht="25.5" thickBot="1" x14ac:dyDescent="0.55000000000000004">
      <c r="B174" s="88" t="s">
        <v>1960</v>
      </c>
      <c r="C174" s="89"/>
      <c r="D174" s="90">
        <v>1</v>
      </c>
      <c r="E174" s="91" t="s">
        <v>1991</v>
      </c>
      <c r="F174" s="92"/>
      <c r="G174" s="92"/>
      <c r="H174" s="92"/>
      <c r="I174" s="93"/>
      <c r="J174" s="89" t="s">
        <v>176</v>
      </c>
      <c r="K174" s="94" t="s">
        <v>230</v>
      </c>
    </row>
    <row r="175" spans="2:11" ht="14.5" thickBot="1" x14ac:dyDescent="0.35">
      <c r="B175" s="95" t="s">
        <v>1962</v>
      </c>
      <c r="C175" s="96" t="s">
        <v>1963</v>
      </c>
      <c r="D175" s="95" t="s">
        <v>1964</v>
      </c>
      <c r="E175" s="97" t="s">
        <v>1965</v>
      </c>
      <c r="F175" s="97" t="s">
        <v>1966</v>
      </c>
      <c r="G175" s="97" t="s">
        <v>1967</v>
      </c>
      <c r="H175" s="97" t="s">
        <v>1968</v>
      </c>
      <c r="I175" s="97" t="s">
        <v>1969</v>
      </c>
      <c r="J175" s="97" t="s">
        <v>1970</v>
      </c>
      <c r="K175" s="98" t="s">
        <v>1971</v>
      </c>
    </row>
    <row r="176" spans="2:11" ht="14.5" thickBot="1" x14ac:dyDescent="0.35">
      <c r="B176" s="99"/>
      <c r="C176" s="99"/>
      <c r="D176" s="100"/>
      <c r="E176" s="944"/>
      <c r="F176" s="944"/>
      <c r="G176" s="944"/>
      <c r="H176" s="944"/>
      <c r="I176" s="944"/>
      <c r="J176" s="944"/>
      <c r="K176" s="102"/>
    </row>
    <row r="177" spans="2:11" ht="88" thickBot="1" x14ac:dyDescent="0.45">
      <c r="B177" s="103" t="s">
        <v>1972</v>
      </c>
      <c r="C177" s="103" t="s">
        <v>1973</v>
      </c>
      <c r="D177" s="105" t="s">
        <v>1974</v>
      </c>
      <c r="E177" s="105" t="s">
        <v>1525</v>
      </c>
      <c r="F177" s="105" t="s">
        <v>1527</v>
      </c>
      <c r="G177" s="105" t="s">
        <v>1975</v>
      </c>
      <c r="H177" s="105" t="s">
        <v>1976</v>
      </c>
      <c r="I177" s="105" t="s">
        <v>1445</v>
      </c>
      <c r="J177" s="105" t="s">
        <v>1538</v>
      </c>
      <c r="K177" s="106" t="s">
        <v>1541</v>
      </c>
    </row>
    <row r="178" spans="2:11" x14ac:dyDescent="0.3">
      <c r="B178" s="120" t="s">
        <v>1992</v>
      </c>
      <c r="C178" s="108" t="s">
        <v>1416</v>
      </c>
      <c r="D178" s="109">
        <v>2.2920833750831879</v>
      </c>
      <c r="E178" s="109">
        <v>1.8599633811630021</v>
      </c>
      <c r="F178" s="109">
        <v>1.0784893059021929</v>
      </c>
      <c r="G178" s="109">
        <v>0.94378139833473051</v>
      </c>
      <c r="H178" s="109">
        <v>0.90556158672181031</v>
      </c>
      <c r="I178" s="109">
        <v>3.1371809791704139</v>
      </c>
      <c r="J178" s="109">
        <v>2.686442103462912</v>
      </c>
      <c r="K178" s="110">
        <v>0.75189332114856011</v>
      </c>
    </row>
    <row r="179" spans="2:11" x14ac:dyDescent="0.3">
      <c r="B179" s="128"/>
      <c r="C179" s="112" t="s">
        <v>1483</v>
      </c>
      <c r="D179" s="1499">
        <v>4.4608280841459615</v>
      </c>
      <c r="E179" s="1499">
        <v>4.1488452073338467</v>
      </c>
      <c r="F179" s="1499">
        <v>3.2347220789193174</v>
      </c>
      <c r="G179" s="1499">
        <v>3.1702236351050397</v>
      </c>
      <c r="H179" s="1499">
        <v>3.0477624495161373</v>
      </c>
      <c r="I179" s="1499">
        <v>5.4097106927652518</v>
      </c>
      <c r="J179" s="1499">
        <v>4.9707018778363592</v>
      </c>
      <c r="K179" s="113">
        <v>2.9483912573772342</v>
      </c>
    </row>
    <row r="180" spans="2:11" x14ac:dyDescent="0.3">
      <c r="B180" s="128"/>
      <c r="C180" s="112" t="s">
        <v>1489</v>
      </c>
      <c r="D180" s="1499">
        <v>4.2651235519560444</v>
      </c>
      <c r="E180" s="1499">
        <v>3.95314067514393</v>
      </c>
      <c r="F180" s="1499">
        <v>3.0390175467294003</v>
      </c>
      <c r="G180" s="1499">
        <v>2.974519102915123</v>
      </c>
      <c r="H180" s="1499">
        <v>2.8520579173262202</v>
      </c>
      <c r="I180" s="1499">
        <v>5.2140061605753356</v>
      </c>
      <c r="J180" s="1499">
        <v>4.7749973456464421</v>
      </c>
      <c r="K180" s="113">
        <v>2.7526867251873171</v>
      </c>
    </row>
    <row r="181" spans="2:11" x14ac:dyDescent="0.3">
      <c r="B181" s="122">
        <v>0</v>
      </c>
      <c r="C181" s="112" t="s">
        <v>1496</v>
      </c>
      <c r="D181" s="1499">
        <v>3.9715667536711692</v>
      </c>
      <c r="E181" s="1499">
        <v>3.6595838768590543</v>
      </c>
      <c r="F181" s="1499">
        <v>2.745460748444525</v>
      </c>
      <c r="G181" s="1499">
        <v>2.6809623046302473</v>
      </c>
      <c r="H181" s="1499">
        <v>2.5585011190413449</v>
      </c>
      <c r="I181" s="1499">
        <v>4.9204493622904604</v>
      </c>
      <c r="J181" s="1499">
        <v>4.4814405473615668</v>
      </c>
      <c r="K181" s="113">
        <v>2.4591299269024418</v>
      </c>
    </row>
    <row r="182" spans="2:11" x14ac:dyDescent="0.3">
      <c r="B182" s="123"/>
      <c r="C182" s="112" t="s">
        <v>1500</v>
      </c>
      <c r="D182" s="1499">
        <v>3.6780099553862939</v>
      </c>
      <c r="E182" s="1499">
        <v>3.366027078574179</v>
      </c>
      <c r="F182" s="1499">
        <v>2.4519039501596498</v>
      </c>
      <c r="G182" s="1499">
        <v>2.3874055063453721</v>
      </c>
      <c r="H182" s="1499">
        <v>2.2649443207564701</v>
      </c>
      <c r="I182" s="1499">
        <v>4.6268925640055842</v>
      </c>
      <c r="J182" s="1499">
        <v>4.1878837490766916</v>
      </c>
      <c r="K182" s="113">
        <v>2.1655731286175666</v>
      </c>
    </row>
    <row r="183" spans="2:11" x14ac:dyDescent="0.3">
      <c r="B183" s="123"/>
      <c r="C183" s="112" t="s">
        <v>1504</v>
      </c>
      <c r="D183" s="1499">
        <v>4.0475011687238034</v>
      </c>
      <c r="E183" s="1499">
        <v>3.7192434737711775</v>
      </c>
      <c r="F183" s="1499">
        <v>2.8137820458661404</v>
      </c>
      <c r="G183" s="1499">
        <v>2.7431824814181285</v>
      </c>
      <c r="H183" s="1499">
        <v>2.6335422429723985</v>
      </c>
      <c r="I183" s="1499">
        <v>4.9826655439960801</v>
      </c>
      <c r="J183" s="1499">
        <v>4.5432152828286156</v>
      </c>
      <c r="K183" s="113">
        <v>2.5275147176824202</v>
      </c>
    </row>
    <row r="184" spans="2:11" x14ac:dyDescent="0.3">
      <c r="B184" s="123"/>
      <c r="C184" s="112" t="s">
        <v>1508</v>
      </c>
      <c r="D184" s="1499">
        <v>3.8831667536038275</v>
      </c>
      <c r="E184" s="1499">
        <v>3.554909058651202</v>
      </c>
      <c r="F184" s="1499">
        <v>2.649447630746165</v>
      </c>
      <c r="G184" s="1499">
        <v>2.578848066298153</v>
      </c>
      <c r="H184" s="1499">
        <v>2.469207827852423</v>
      </c>
      <c r="I184" s="1499">
        <v>4.8183311288761042</v>
      </c>
      <c r="J184" s="1499">
        <v>4.3788808677086406</v>
      </c>
      <c r="K184" s="113">
        <v>2.3631803025624452</v>
      </c>
    </row>
    <row r="185" spans="2:11" x14ac:dyDescent="0.3">
      <c r="B185" s="123"/>
      <c r="C185" s="112" t="s">
        <v>1513</v>
      </c>
      <c r="D185" s="1499">
        <v>3.6366651309238649</v>
      </c>
      <c r="E185" s="1499">
        <v>3.3084074359712394</v>
      </c>
      <c r="F185" s="1499">
        <v>2.4029460080662024</v>
      </c>
      <c r="G185" s="1499">
        <v>2.33234644361819</v>
      </c>
      <c r="H185" s="1499">
        <v>2.22270620517246</v>
      </c>
      <c r="I185" s="1499">
        <v>4.571829506196142</v>
      </c>
      <c r="J185" s="1499">
        <v>4.1323792450286776</v>
      </c>
      <c r="K185" s="113">
        <v>2.1166786798824822</v>
      </c>
    </row>
    <row r="186" spans="2:11" x14ac:dyDescent="0.3">
      <c r="B186" s="123"/>
      <c r="C186" s="112" t="s">
        <v>1517</v>
      </c>
      <c r="D186" s="1499">
        <v>3.3901635082439019</v>
      </c>
      <c r="E186" s="1499">
        <v>3.061905813291276</v>
      </c>
      <c r="F186" s="1499">
        <v>2.1564443853862394</v>
      </c>
      <c r="G186" s="1499">
        <v>2.085844820938227</v>
      </c>
      <c r="H186" s="1499">
        <v>1.9762045824924972</v>
      </c>
      <c r="I186" s="1499">
        <v>4.325327883516179</v>
      </c>
      <c r="J186" s="1499">
        <v>3.885877622348715</v>
      </c>
      <c r="K186" s="113">
        <v>1.8701770572025194</v>
      </c>
    </row>
    <row r="187" spans="2:11" ht="14.5" thickBot="1" x14ac:dyDescent="0.35">
      <c r="B187" s="124"/>
      <c r="C187" s="116" t="s">
        <v>1519</v>
      </c>
      <c r="D187" s="117">
        <v>4.4608280841459615</v>
      </c>
      <c r="E187" s="117">
        <v>4.1488452073338467</v>
      </c>
      <c r="F187" s="117">
        <v>3.2347220789193174</v>
      </c>
      <c r="G187" s="117">
        <v>3.1702236351050397</v>
      </c>
      <c r="H187" s="117">
        <v>3.0477624495161373</v>
      </c>
      <c r="I187" s="117">
        <v>5.4097106927652518</v>
      </c>
      <c r="J187" s="117">
        <v>4.9707018778363592</v>
      </c>
      <c r="K187" s="118">
        <v>2.9483912573772342</v>
      </c>
    </row>
    <row r="188" spans="2:11" x14ac:dyDescent="0.3">
      <c r="B188" s="120" t="s">
        <v>1993</v>
      </c>
      <c r="C188" s="1234" t="s">
        <v>1416</v>
      </c>
      <c r="D188" s="109">
        <v>2.2920676847438552</v>
      </c>
      <c r="E188" s="109">
        <v>1.8599460149199487</v>
      </c>
      <c r="F188" s="109">
        <v>1.0784753570927161</v>
      </c>
      <c r="G188" s="109">
        <v>0.94376611606111505</v>
      </c>
      <c r="H188" s="109">
        <v>0.90554722562803613</v>
      </c>
      <c r="I188" s="109">
        <v>3.1371621995422703</v>
      </c>
      <c r="J188" s="109">
        <v>2.6864235891237667</v>
      </c>
      <c r="K188" s="110">
        <v>0.75187812274195764</v>
      </c>
    </row>
    <row r="189" spans="2:11" x14ac:dyDescent="0.3">
      <c r="B189" s="121"/>
      <c r="C189" s="1500" t="s">
        <v>1483</v>
      </c>
      <c r="D189" s="1499">
        <v>4.460811047216251</v>
      </c>
      <c r="E189" s="1499">
        <v>4.1488275726638806</v>
      </c>
      <c r="F189" s="1499">
        <v>3.2347053163776676</v>
      </c>
      <c r="G189" s="1499">
        <v>3.1702064433231856</v>
      </c>
      <c r="H189" s="1499">
        <v>3.0477455725839548</v>
      </c>
      <c r="I189" s="1499">
        <v>5.409692408924859</v>
      </c>
      <c r="J189" s="1499">
        <v>4.9706838492822714</v>
      </c>
      <c r="K189" s="113">
        <v>2.9483740529818006</v>
      </c>
    </row>
    <row r="190" spans="2:11" x14ac:dyDescent="0.3">
      <c r="B190" s="128"/>
      <c r="C190" s="1500" t="s">
        <v>1489</v>
      </c>
      <c r="D190" s="1499">
        <v>4.2651065150263348</v>
      </c>
      <c r="E190" s="1499">
        <v>3.9531230404739635</v>
      </c>
      <c r="F190" s="1499">
        <v>3.0390007841877509</v>
      </c>
      <c r="G190" s="1499">
        <v>2.9745019111332689</v>
      </c>
      <c r="H190" s="1499">
        <v>2.8520410403940377</v>
      </c>
      <c r="I190" s="1499">
        <v>5.2139878767349419</v>
      </c>
      <c r="J190" s="1499">
        <v>4.7749793170923551</v>
      </c>
      <c r="K190" s="113">
        <v>2.7526695207918834</v>
      </c>
    </row>
    <row r="191" spans="2:11" x14ac:dyDescent="0.3">
      <c r="B191" s="122">
        <v>0</v>
      </c>
      <c r="C191" s="1500" t="s">
        <v>1496</v>
      </c>
      <c r="D191" s="1499">
        <v>3.9715497167414591</v>
      </c>
      <c r="E191" s="1499">
        <v>3.6595662421890882</v>
      </c>
      <c r="F191" s="1499">
        <v>2.7454439859028752</v>
      </c>
      <c r="G191" s="1499">
        <v>2.6809451128483937</v>
      </c>
      <c r="H191" s="1499">
        <v>2.5584842421091625</v>
      </c>
      <c r="I191" s="1499">
        <v>4.9204310784500676</v>
      </c>
      <c r="J191" s="1499">
        <v>4.4814225188074799</v>
      </c>
      <c r="K191" s="113">
        <v>2.4591127225070082</v>
      </c>
    </row>
    <row r="192" spans="2:11" x14ac:dyDescent="0.3">
      <c r="B192" s="123"/>
      <c r="C192" s="1500" t="s">
        <v>1500</v>
      </c>
      <c r="D192" s="1499">
        <v>3.6779929184565838</v>
      </c>
      <c r="E192" s="1499">
        <v>3.366009443904213</v>
      </c>
      <c r="F192" s="1499">
        <v>2.451887187618</v>
      </c>
      <c r="G192" s="1499">
        <v>2.387388314563518</v>
      </c>
      <c r="H192" s="1499">
        <v>2.2649274438242877</v>
      </c>
      <c r="I192" s="1499">
        <v>4.6268742801651914</v>
      </c>
      <c r="J192" s="1499">
        <v>4.1878657205226038</v>
      </c>
      <c r="K192" s="113">
        <v>2.1655559242221334</v>
      </c>
    </row>
    <row r="193" spans="2:11" x14ac:dyDescent="0.3">
      <c r="B193" s="123"/>
      <c r="C193" s="1500" t="s">
        <v>1504</v>
      </c>
      <c r="D193" s="1499">
        <v>4.0474845214106834</v>
      </c>
      <c r="E193" s="1499">
        <v>3.7192256044900454</v>
      </c>
      <c r="F193" s="1499">
        <v>2.8137659616467907</v>
      </c>
      <c r="G193" s="1499">
        <v>2.7431657521570982</v>
      </c>
      <c r="H193" s="1499">
        <v>2.6335259936766127</v>
      </c>
      <c r="I193" s="1499">
        <v>4.9826472657095255</v>
      </c>
      <c r="J193" s="1499">
        <v>4.5431970506048778</v>
      </c>
      <c r="K193" s="113">
        <v>2.5274979972050522</v>
      </c>
    </row>
    <row r="194" spans="2:11" x14ac:dyDescent="0.3">
      <c r="B194" s="123"/>
      <c r="C194" s="1500" t="s">
        <v>1508</v>
      </c>
      <c r="D194" s="1499">
        <v>3.8831501062907083</v>
      </c>
      <c r="E194" s="1499">
        <v>3.5548911893700699</v>
      </c>
      <c r="F194" s="1499">
        <v>2.6494315465268152</v>
      </c>
      <c r="G194" s="1499">
        <v>2.5788313370371228</v>
      </c>
      <c r="H194" s="1499">
        <v>2.4691915785566372</v>
      </c>
      <c r="I194" s="1499">
        <v>4.8183128505895505</v>
      </c>
      <c r="J194" s="1499">
        <v>4.3788626354849018</v>
      </c>
      <c r="K194" s="113">
        <v>2.3631635820850767</v>
      </c>
    </row>
    <row r="195" spans="2:11" x14ac:dyDescent="0.3">
      <c r="B195" s="123"/>
      <c r="C195" s="1500" t="s">
        <v>1513</v>
      </c>
      <c r="D195" s="1499">
        <v>3.6366484836107458</v>
      </c>
      <c r="E195" s="1499">
        <v>3.3083895666901073</v>
      </c>
      <c r="F195" s="1499">
        <v>2.4029299238468527</v>
      </c>
      <c r="G195" s="1499">
        <v>2.3323297143571602</v>
      </c>
      <c r="H195" s="1499">
        <v>2.2226899558766746</v>
      </c>
      <c r="I195" s="1499">
        <v>4.5718112279095875</v>
      </c>
      <c r="J195" s="1499">
        <v>4.1323610128049397</v>
      </c>
      <c r="K195" s="113">
        <v>2.1166619594051137</v>
      </c>
    </row>
    <row r="196" spans="2:11" x14ac:dyDescent="0.3">
      <c r="B196" s="123"/>
      <c r="C196" s="1500" t="s">
        <v>1517</v>
      </c>
      <c r="D196" s="1499">
        <v>3.3901468609307828</v>
      </c>
      <c r="E196" s="1499">
        <v>3.0618879440101443</v>
      </c>
      <c r="F196" s="1499">
        <v>2.1564283011668897</v>
      </c>
      <c r="G196" s="1499">
        <v>2.0858280916771972</v>
      </c>
      <c r="H196" s="1499">
        <v>1.9761883331967116</v>
      </c>
      <c r="I196" s="1499">
        <v>4.3253096052296245</v>
      </c>
      <c r="J196" s="1499">
        <v>3.8858593901249767</v>
      </c>
      <c r="K196" s="113">
        <v>1.8701603367251509</v>
      </c>
    </row>
    <row r="197" spans="2:11" ht="14.5" thickBot="1" x14ac:dyDescent="0.35">
      <c r="B197" s="124"/>
      <c r="C197" s="125" t="s">
        <v>1519</v>
      </c>
      <c r="D197" s="117">
        <v>4.460811047216251</v>
      </c>
      <c r="E197" s="117">
        <v>4.1488275726638806</v>
      </c>
      <c r="F197" s="117">
        <v>3.2347053163776676</v>
      </c>
      <c r="G197" s="117">
        <v>3.1702064433231856</v>
      </c>
      <c r="H197" s="117">
        <v>3.0477455725839548</v>
      </c>
      <c r="I197" s="117">
        <v>5.409692408924859</v>
      </c>
      <c r="J197" s="117">
        <v>4.9706838492822714</v>
      </c>
      <c r="K197" s="118">
        <v>2.9483740529818006</v>
      </c>
    </row>
    <row r="198" spans="2:11" x14ac:dyDescent="0.3">
      <c r="B198" s="119" t="s">
        <v>1994</v>
      </c>
      <c r="C198" s="108" t="s">
        <v>1416</v>
      </c>
      <c r="D198" s="109">
        <v>2.2920995918514251</v>
      </c>
      <c r="E198" s="109">
        <v>1.8599813300634556</v>
      </c>
      <c r="F198" s="109">
        <v>1.0785037227102476</v>
      </c>
      <c r="G198" s="109">
        <v>0.94379719334617773</v>
      </c>
      <c r="H198" s="109">
        <v>0.90557642964677476</v>
      </c>
      <c r="I198" s="109">
        <v>3.13720038887665</v>
      </c>
      <c r="J198" s="109">
        <v>2.6864612389794007</v>
      </c>
      <c r="K198" s="110">
        <v>0.75190902947915972</v>
      </c>
    </row>
    <row r="199" spans="2:11" x14ac:dyDescent="0.3">
      <c r="B199" s="111"/>
      <c r="C199" s="112" t="s">
        <v>1483</v>
      </c>
      <c r="D199" s="1499">
        <v>4.4608456926842308</v>
      </c>
      <c r="E199" s="1499">
        <v>4.1488634336672421</v>
      </c>
      <c r="F199" s="1499">
        <v>3.2347394038634927</v>
      </c>
      <c r="G199" s="1499">
        <v>3.1702414036909188</v>
      </c>
      <c r="H199" s="1499">
        <v>3.0477798926887782</v>
      </c>
      <c r="I199" s="1499">
        <v>5.4097295900494897</v>
      </c>
      <c r="J199" s="1499">
        <v>4.9707205112691444</v>
      </c>
      <c r="K199" s="113">
        <v>2.948409038999896</v>
      </c>
    </row>
    <row r="200" spans="2:11" x14ac:dyDescent="0.3">
      <c r="B200" s="111"/>
      <c r="C200" s="112" t="s">
        <v>1489</v>
      </c>
      <c r="D200" s="1499">
        <v>4.2651411604943137</v>
      </c>
      <c r="E200" s="1499">
        <v>3.9531589014773254</v>
      </c>
      <c r="F200" s="1499">
        <v>3.0390348716735756</v>
      </c>
      <c r="G200" s="1499">
        <v>2.9745368715010017</v>
      </c>
      <c r="H200" s="1499">
        <v>2.8520753604988611</v>
      </c>
      <c r="I200" s="1499">
        <v>5.2140250578595726</v>
      </c>
      <c r="J200" s="1499">
        <v>4.7750159790792273</v>
      </c>
      <c r="K200" s="113">
        <v>2.7527045068099789</v>
      </c>
    </row>
    <row r="201" spans="2:11" x14ac:dyDescent="0.3">
      <c r="B201" s="114">
        <v>0</v>
      </c>
      <c r="C201" s="112" t="s">
        <v>1496</v>
      </c>
      <c r="D201" s="1499">
        <v>3.9715843622094384</v>
      </c>
      <c r="E201" s="1499">
        <v>3.6596021031924502</v>
      </c>
      <c r="F201" s="1499">
        <v>2.7454780733887003</v>
      </c>
      <c r="G201" s="1499">
        <v>2.6809800732161264</v>
      </c>
      <c r="H201" s="1499">
        <v>2.5585185622139859</v>
      </c>
      <c r="I201" s="1499">
        <v>4.9204682595746982</v>
      </c>
      <c r="J201" s="1499">
        <v>4.481459180794352</v>
      </c>
      <c r="K201" s="113">
        <v>2.4591477085251037</v>
      </c>
    </row>
    <row r="202" spans="2:11" x14ac:dyDescent="0.3">
      <c r="B202" s="115"/>
      <c r="C202" s="112" t="s">
        <v>1500</v>
      </c>
      <c r="D202" s="1499">
        <v>3.6780275639245632</v>
      </c>
      <c r="E202" s="1499">
        <v>3.3660453049075749</v>
      </c>
      <c r="F202" s="1499">
        <v>2.4519212751038251</v>
      </c>
      <c r="G202" s="1499">
        <v>2.3874232749312512</v>
      </c>
      <c r="H202" s="1499">
        <v>2.2649617639291106</v>
      </c>
      <c r="I202" s="1499">
        <v>4.6269114612898221</v>
      </c>
      <c r="J202" s="1499">
        <v>4.1879023825094768</v>
      </c>
      <c r="K202" s="113">
        <v>2.1655909102402289</v>
      </c>
    </row>
    <row r="203" spans="2:11" x14ac:dyDescent="0.3">
      <c r="B203" s="115"/>
      <c r="C203" s="112" t="s">
        <v>1504</v>
      </c>
      <c r="D203" s="1499">
        <v>4.0475183745733956</v>
      </c>
      <c r="E203" s="1499">
        <v>3.7192619425872122</v>
      </c>
      <c r="F203" s="1499">
        <v>2.8137986697295214</v>
      </c>
      <c r="G203" s="1499">
        <v>2.7431997719650791</v>
      </c>
      <c r="H203" s="1499">
        <v>2.6335590374507207</v>
      </c>
      <c r="I203" s="1499">
        <v>4.9826844355401407</v>
      </c>
      <c r="J203" s="1499">
        <v>4.5432341267643981</v>
      </c>
      <c r="K203" s="113">
        <v>2.5275319991510079</v>
      </c>
    </row>
    <row r="204" spans="2:11" x14ac:dyDescent="0.3">
      <c r="B204" s="115"/>
      <c r="C204" s="112" t="s">
        <v>1508</v>
      </c>
      <c r="D204" s="1499">
        <v>3.8831839594534201</v>
      </c>
      <c r="E204" s="1499">
        <v>3.5549275274672367</v>
      </c>
      <c r="F204" s="1499">
        <v>2.6494642546095459</v>
      </c>
      <c r="G204" s="1499">
        <v>2.5788653568451037</v>
      </c>
      <c r="H204" s="1499">
        <v>2.4692246223307452</v>
      </c>
      <c r="I204" s="1499">
        <v>4.8183500204201648</v>
      </c>
      <c r="J204" s="1499">
        <v>4.378899711644423</v>
      </c>
      <c r="K204" s="113">
        <v>2.3631975840310324</v>
      </c>
    </row>
    <row r="205" spans="2:11" x14ac:dyDescent="0.3">
      <c r="B205" s="115"/>
      <c r="C205" s="112" t="s">
        <v>1513</v>
      </c>
      <c r="D205" s="1499">
        <v>3.6366823367734575</v>
      </c>
      <c r="E205" s="1499">
        <v>3.3084259047872742</v>
      </c>
      <c r="F205" s="1499">
        <v>2.4029626319295834</v>
      </c>
      <c r="G205" s="1499">
        <v>2.3323637341651411</v>
      </c>
      <c r="H205" s="1499">
        <v>2.2227229996507822</v>
      </c>
      <c r="I205" s="1499">
        <v>4.5718483977402027</v>
      </c>
      <c r="J205" s="1499">
        <v>4.13239808896446</v>
      </c>
      <c r="K205" s="113">
        <v>2.1166959613510694</v>
      </c>
    </row>
    <row r="206" spans="2:11" x14ac:dyDescent="0.3">
      <c r="B206" s="115"/>
      <c r="C206" s="112" t="s">
        <v>1517</v>
      </c>
      <c r="D206" s="1499">
        <v>3.3901807140934945</v>
      </c>
      <c r="E206" s="1499">
        <v>3.0619242821073112</v>
      </c>
      <c r="F206" s="1499">
        <v>2.1564610092496204</v>
      </c>
      <c r="G206" s="1499">
        <v>2.0858621114851781</v>
      </c>
      <c r="H206" s="1499">
        <v>1.9762213769708195</v>
      </c>
      <c r="I206" s="1499">
        <v>4.3253467750602397</v>
      </c>
      <c r="J206" s="1499">
        <v>3.885896466284497</v>
      </c>
      <c r="K206" s="113">
        <v>1.8701943386711066</v>
      </c>
    </row>
    <row r="207" spans="2:11" ht="14.5" thickBot="1" x14ac:dyDescent="0.35">
      <c r="B207" s="1233"/>
      <c r="C207" s="116" t="s">
        <v>1519</v>
      </c>
      <c r="D207" s="117">
        <v>4.4608456926842308</v>
      </c>
      <c r="E207" s="117">
        <v>4.1488634336672421</v>
      </c>
      <c r="F207" s="117">
        <v>3.2347394038634927</v>
      </c>
      <c r="G207" s="117">
        <v>3.1702414036909188</v>
      </c>
      <c r="H207" s="117">
        <v>3.0477798926887782</v>
      </c>
      <c r="I207" s="117">
        <v>5.4097295900494897</v>
      </c>
      <c r="J207" s="117">
        <v>4.9707205112691444</v>
      </c>
      <c r="K207" s="118">
        <v>2.948409038999896</v>
      </c>
    </row>
    <row r="208" spans="2:11" x14ac:dyDescent="0.3">
      <c r="B208" s="120" t="s">
        <v>1519</v>
      </c>
      <c r="C208" s="108" t="s">
        <v>1416</v>
      </c>
      <c r="D208" s="129">
        <v>2.2920523530744163</v>
      </c>
      <c r="E208" s="109">
        <v>1.8599289130138723</v>
      </c>
      <c r="F208" s="109">
        <v>1.0784618649799995</v>
      </c>
      <c r="G208" s="109">
        <v>0.94375121542650975</v>
      </c>
      <c r="H208" s="109">
        <v>0.90553329802445004</v>
      </c>
      <c r="I208" s="109">
        <v>3.1371436046947823</v>
      </c>
      <c r="J208" s="109">
        <v>2.6864052744978069</v>
      </c>
      <c r="K208" s="110">
        <v>0.75186331069505452</v>
      </c>
    </row>
    <row r="209" spans="2:11" x14ac:dyDescent="0.3">
      <c r="B209" s="111"/>
      <c r="C209" s="112" t="s">
        <v>1483</v>
      </c>
      <c r="D209" s="130">
        <v>3.9522772661692418</v>
      </c>
      <c r="E209" s="1499">
        <v>3.6178914531651616</v>
      </c>
      <c r="F209" s="1499">
        <v>2.7193276961859896</v>
      </c>
      <c r="G209" s="1499">
        <v>2.6442227861688092</v>
      </c>
      <c r="H209" s="1499">
        <v>2.5374604196278154</v>
      </c>
      <c r="I209" s="1499">
        <v>4.8829694391396332</v>
      </c>
      <c r="J209" s="1499">
        <v>4.4419139180128546</v>
      </c>
      <c r="K209" s="113">
        <v>2.4272242363021346</v>
      </c>
    </row>
    <row r="210" spans="2:11" x14ac:dyDescent="0.3">
      <c r="B210" s="111"/>
      <c r="C210" s="112" t="s">
        <v>1489</v>
      </c>
      <c r="D210" s="130">
        <v>3.7565727339793247</v>
      </c>
      <c r="E210" s="1499">
        <v>3.4221869209752445</v>
      </c>
      <c r="F210" s="1499">
        <v>2.5236231639960729</v>
      </c>
      <c r="G210" s="1499">
        <v>2.4485182539788926</v>
      </c>
      <c r="H210" s="1499">
        <v>2.3417558874378988</v>
      </c>
      <c r="I210" s="1499">
        <v>4.6872649069497161</v>
      </c>
      <c r="J210" s="1499">
        <v>4.2462093858229384</v>
      </c>
      <c r="K210" s="113">
        <v>2.2315197041122175</v>
      </c>
    </row>
    <row r="211" spans="2:11" x14ac:dyDescent="0.3">
      <c r="B211" s="114">
        <v>0</v>
      </c>
      <c r="C211" s="112" t="s">
        <v>1496</v>
      </c>
      <c r="D211" s="130">
        <v>3.4630159356944494</v>
      </c>
      <c r="E211" s="1499">
        <v>3.1286301226903692</v>
      </c>
      <c r="F211" s="1499">
        <v>2.2300663657111977</v>
      </c>
      <c r="G211" s="1499">
        <v>2.1549614556940173</v>
      </c>
      <c r="H211" s="1499">
        <v>2.0481990891530235</v>
      </c>
      <c r="I211" s="1499">
        <v>4.3937081086648409</v>
      </c>
      <c r="J211" s="1499">
        <v>3.9526525875380627</v>
      </c>
      <c r="K211" s="113">
        <v>1.9379629058273422</v>
      </c>
    </row>
    <row r="212" spans="2:11" x14ac:dyDescent="0.3">
      <c r="B212" s="115"/>
      <c r="C212" s="112" t="s">
        <v>1500</v>
      </c>
      <c r="D212" s="130">
        <v>3.1694591374095746</v>
      </c>
      <c r="E212" s="1499">
        <v>2.8350733244054944</v>
      </c>
      <c r="F212" s="1499">
        <v>1.9365095674263224</v>
      </c>
      <c r="G212" s="1499">
        <v>1.8614046574091418</v>
      </c>
      <c r="H212" s="1499">
        <v>1.7546422908681483</v>
      </c>
      <c r="I212" s="1499">
        <v>4.1001513103799665</v>
      </c>
      <c r="J212" s="1499">
        <v>3.6590957892531879</v>
      </c>
      <c r="K212" s="113">
        <v>1.644406107542467</v>
      </c>
    </row>
    <row r="213" spans="2:11" x14ac:dyDescent="0.3">
      <c r="B213" s="115"/>
      <c r="C213" s="112" t="s">
        <v>1504</v>
      </c>
      <c r="D213" s="130">
        <v>3.6156929983956219</v>
      </c>
      <c r="E213" s="1499">
        <v>3.2709279078635536</v>
      </c>
      <c r="F213" s="1499">
        <v>2.38214396357266</v>
      </c>
      <c r="G213" s="1499">
        <v>2.2958936333042215</v>
      </c>
      <c r="H213" s="1499">
        <v>2.1981780416255683</v>
      </c>
      <c r="I213" s="1499">
        <v>4.5373539072784022</v>
      </c>
      <c r="J213" s="1499">
        <v>4.0953777717584812</v>
      </c>
      <c r="K213" s="113">
        <v>2.0862829619746304</v>
      </c>
    </row>
    <row r="214" spans="2:11" x14ac:dyDescent="0.3">
      <c r="B214" s="115"/>
      <c r="C214" s="112" t="s">
        <v>1508</v>
      </c>
      <c r="D214" s="130">
        <v>3.4513585832756464</v>
      </c>
      <c r="E214" s="1499">
        <v>3.1065934927435785</v>
      </c>
      <c r="F214" s="1499">
        <v>2.217809548452685</v>
      </c>
      <c r="G214" s="1499">
        <v>2.1315592181842464</v>
      </c>
      <c r="H214" s="1499">
        <v>2.0338436265055932</v>
      </c>
      <c r="I214" s="1499">
        <v>4.3730194921584271</v>
      </c>
      <c r="J214" s="1499">
        <v>3.9310433566385061</v>
      </c>
      <c r="K214" s="113">
        <v>1.9219485468546553</v>
      </c>
    </row>
    <row r="215" spans="2:11" x14ac:dyDescent="0.3">
      <c r="B215" s="115"/>
      <c r="C215" s="112" t="s">
        <v>1513</v>
      </c>
      <c r="D215" s="130">
        <v>3.2048569605956838</v>
      </c>
      <c r="E215" s="1499">
        <v>2.8600918700636155</v>
      </c>
      <c r="F215" s="1499">
        <v>1.9713079257727222</v>
      </c>
      <c r="G215" s="1499">
        <v>1.8850575955042836</v>
      </c>
      <c r="H215" s="1499">
        <v>1.7873420038256305</v>
      </c>
      <c r="I215" s="1499">
        <v>4.126517869478465</v>
      </c>
      <c r="J215" s="1499">
        <v>3.6845417339585436</v>
      </c>
      <c r="K215" s="113">
        <v>1.6754469241746925</v>
      </c>
    </row>
    <row r="216" spans="2:11" x14ac:dyDescent="0.3">
      <c r="B216" s="115"/>
      <c r="C216" s="112" t="s">
        <v>1517</v>
      </c>
      <c r="D216" s="130">
        <v>2.9583553379157208</v>
      </c>
      <c r="E216" s="1499">
        <v>2.613590247383653</v>
      </c>
      <c r="F216" s="1499">
        <v>1.7248063030927594</v>
      </c>
      <c r="G216" s="1499">
        <v>1.6385559728243209</v>
      </c>
      <c r="H216" s="1499">
        <v>1.5408403811456677</v>
      </c>
      <c r="I216" s="1499">
        <v>3.8800162467985015</v>
      </c>
      <c r="J216" s="1499">
        <v>3.4380401112785806</v>
      </c>
      <c r="K216" s="113">
        <v>1.4289453014947298</v>
      </c>
    </row>
    <row r="217" spans="2:11" ht="14.5" thickBot="1" x14ac:dyDescent="0.35">
      <c r="B217" s="1233"/>
      <c r="C217" s="116" t="s">
        <v>1519</v>
      </c>
      <c r="D217" s="131">
        <v>3.9522772661692418</v>
      </c>
      <c r="E217" s="117">
        <v>3.6178914531651616</v>
      </c>
      <c r="F217" s="117">
        <v>2.7193276961859896</v>
      </c>
      <c r="G217" s="117">
        <v>2.6442227861688092</v>
      </c>
      <c r="H217" s="117">
        <v>2.5374604196278154</v>
      </c>
      <c r="I217" s="117">
        <v>4.8829694391396332</v>
      </c>
      <c r="J217" s="117">
        <v>4.4419139180128546</v>
      </c>
      <c r="K217" s="118">
        <v>2.4272242363021346</v>
      </c>
    </row>
    <row r="221" spans="2:11" ht="14.5" thickBot="1" x14ac:dyDescent="0.35"/>
    <row r="222" spans="2:11" x14ac:dyDescent="0.3">
      <c r="C222" s="132" t="s">
        <v>1995</v>
      </c>
      <c r="D222" s="132"/>
      <c r="E222" s="132"/>
      <c r="F222" s="132"/>
    </row>
    <row r="223" spans="2:11" x14ac:dyDescent="0.3">
      <c r="C223" s="1504" t="s">
        <v>1996</v>
      </c>
      <c r="D223" s="1504" t="s">
        <v>1997</v>
      </c>
      <c r="E223" s="1504" t="s">
        <v>1998</v>
      </c>
      <c r="F223" s="1504" t="s">
        <v>1999</v>
      </c>
    </row>
    <row r="224" spans="2:11" x14ac:dyDescent="0.3">
      <c r="C224" s="1498">
        <v>1</v>
      </c>
      <c r="D224" s="1505">
        <v>249.28926450352</v>
      </c>
      <c r="E224" s="1506">
        <v>4.5979229054576243E-2</v>
      </c>
      <c r="F224" s="1507">
        <v>1.8391691621830499</v>
      </c>
      <c r="G224" s="133"/>
      <c r="H224" s="134" t="s">
        <v>2000</v>
      </c>
    </row>
    <row r="225" spans="2:11" x14ac:dyDescent="0.3">
      <c r="C225" s="1498">
        <v>1.5</v>
      </c>
      <c r="D225" s="1505">
        <v>210.48127999302375</v>
      </c>
      <c r="E225" s="1506">
        <v>3.8821435025586382E-2</v>
      </c>
      <c r="F225" s="1507">
        <v>1.5528574010234555</v>
      </c>
      <c r="H225" s="134" t="s">
        <v>2001</v>
      </c>
    </row>
    <row r="226" spans="2:11" x14ac:dyDescent="0.3">
      <c r="C226" s="1498">
        <v>2</v>
      </c>
      <c r="D226" s="1505">
        <v>182.94657678823404</v>
      </c>
      <c r="E226" s="1506">
        <v>3.3742899340850056E-2</v>
      </c>
      <c r="F226" s="1507">
        <v>1.3497159736340023</v>
      </c>
    </row>
    <row r="227" spans="2:11" x14ac:dyDescent="0.3">
      <c r="C227" s="1498">
        <v>2.5</v>
      </c>
      <c r="D227" s="1505">
        <v>161.58900172234468</v>
      </c>
      <c r="E227" s="1506">
        <v>2.9803681027696562E-2</v>
      </c>
      <c r="F227" s="1507">
        <v>1.1921472411078624</v>
      </c>
    </row>
    <row r="228" spans="2:11" x14ac:dyDescent="0.3">
      <c r="B228" s="2"/>
      <c r="C228" s="1498">
        <v>3</v>
      </c>
      <c r="D228" s="1505">
        <v>144.13859227773736</v>
      </c>
      <c r="E228" s="1506">
        <v>2.6585105311860195E-2</v>
      </c>
      <c r="F228" s="1507">
        <v>1.0634042124744076</v>
      </c>
      <c r="I228" s="135"/>
      <c r="J228" s="135"/>
      <c r="K228" s="135"/>
    </row>
    <row r="229" spans="2:11" x14ac:dyDescent="0.3">
      <c r="B229" s="136"/>
      <c r="C229" s="1498">
        <v>3.5</v>
      </c>
      <c r="D229" s="1505">
        <v>129.384481318767</v>
      </c>
      <c r="E229" s="1506">
        <v>2.3863838318553501E-2</v>
      </c>
      <c r="F229" s="1507">
        <v>0.95455353274214017</v>
      </c>
      <c r="I229" s="135"/>
      <c r="J229" s="135"/>
      <c r="K229" s="135"/>
    </row>
    <row r="230" spans="2:11" x14ac:dyDescent="0.3">
      <c r="B230" s="136"/>
      <c r="C230" s="1498">
        <v>4</v>
      </c>
      <c r="D230" s="1505">
        <v>116.60388907294764</v>
      </c>
      <c r="E230" s="1506">
        <v>2.150656962712387E-2</v>
      </c>
      <c r="F230" s="1507">
        <v>0.86026278508495468</v>
      </c>
      <c r="I230" s="135"/>
      <c r="J230" s="135"/>
      <c r="K230" s="135"/>
    </row>
    <row r="231" spans="2:11" x14ac:dyDescent="0.3">
      <c r="B231" s="137"/>
      <c r="C231" s="1498">
        <v>4.5</v>
      </c>
      <c r="D231" s="1505">
        <v>105.33060776724071</v>
      </c>
      <c r="E231" s="1506">
        <v>1.9427311282870334E-2</v>
      </c>
      <c r="F231" s="1507">
        <v>0.77709245131481341</v>
      </c>
      <c r="I231" s="135"/>
      <c r="J231" s="135"/>
      <c r="K231" s="135"/>
    </row>
    <row r="232" spans="2:11" x14ac:dyDescent="0.3">
      <c r="C232" s="1498">
        <v>5</v>
      </c>
      <c r="D232" s="1505">
        <v>95.246314007058288</v>
      </c>
      <c r="E232" s="1506">
        <v>1.7567351313970372E-2</v>
      </c>
      <c r="F232" s="1507">
        <v>0.7026940525588149</v>
      </c>
      <c r="I232" s="135"/>
      <c r="J232" s="135"/>
      <c r="K232" s="135"/>
    </row>
    <row r="233" spans="2:11" x14ac:dyDescent="0.3">
      <c r="C233" s="1498">
        <v>5.5</v>
      </c>
      <c r="D233" s="1505">
        <v>86.123960671164866</v>
      </c>
      <c r="E233" s="1506">
        <v>1.5884812860566984E-2</v>
      </c>
      <c r="F233" s="1507">
        <v>0.63539251442267952</v>
      </c>
      <c r="I233" s="135"/>
      <c r="J233" s="135"/>
      <c r="K233" s="135"/>
    </row>
    <row r="234" spans="2:11" x14ac:dyDescent="0.3">
      <c r="C234" s="1498">
        <v>6</v>
      </c>
      <c r="D234" s="1505">
        <v>77.795904562450986</v>
      </c>
      <c r="E234" s="1506">
        <v>1.4348775598134005E-2</v>
      </c>
      <c r="F234" s="1507">
        <v>0.57395102392536024</v>
      </c>
      <c r="I234" s="135"/>
      <c r="J234" s="135"/>
      <c r="K234" s="135"/>
    </row>
    <row r="235" spans="2:11" x14ac:dyDescent="0.3">
      <c r="C235" s="1498">
        <v>6.5</v>
      </c>
      <c r="D235" s="1505">
        <v>70.13483558892996</v>
      </c>
      <c r="E235" s="1506">
        <v>1.2935758291360025E-2</v>
      </c>
      <c r="F235" s="1507">
        <v>0.51743033165440089</v>
      </c>
      <c r="I235" s="135"/>
      <c r="J235" s="135"/>
      <c r="K235" s="135"/>
    </row>
    <row r="236" spans="2:11" x14ac:dyDescent="0.3">
      <c r="C236" s="1498">
        <v>7</v>
      </c>
      <c r="D236" s="1505">
        <v>63.041793603480627</v>
      </c>
      <c r="E236" s="1506">
        <v>1.1627508604827311E-2</v>
      </c>
      <c r="F236" s="1507">
        <v>0.46510034419309249</v>
      </c>
      <c r="I236" s="135"/>
      <c r="J236" s="135"/>
      <c r="K236" s="135"/>
    </row>
    <row r="237" spans="2:11" x14ac:dyDescent="0.3">
      <c r="C237" s="1498">
        <v>7.5</v>
      </c>
      <c r="D237" s="1505">
        <v>56.438329496561622</v>
      </c>
      <c r="E237" s="1506">
        <v>1.0409557284980508E-2</v>
      </c>
      <c r="F237" s="1507">
        <v>0.41638229139922034</v>
      </c>
      <c r="I237" s="135"/>
      <c r="J237" s="135"/>
      <c r="K237" s="135"/>
    </row>
    <row r="238" spans="2:11" x14ac:dyDescent="0.3">
      <c r="B238" s="2"/>
      <c r="C238" s="1498">
        <v>8</v>
      </c>
      <c r="D238" s="1505">
        <v>50.261201357661264</v>
      </c>
      <c r="E238" s="1506">
        <v>9.2702399133976782E-3</v>
      </c>
      <c r="F238" s="1507">
        <v>0.37080959653590717</v>
      </c>
      <c r="I238" s="135"/>
      <c r="J238" s="135"/>
      <c r="K238" s="135"/>
    </row>
    <row r="239" spans="2:11" x14ac:dyDescent="0.3">
      <c r="B239" s="136"/>
      <c r="C239" s="1498">
        <v>8.5</v>
      </c>
      <c r="D239" s="1505">
        <v>44.458681393898317</v>
      </c>
      <c r="E239" s="1506">
        <v>8.2000157501592313E-3</v>
      </c>
      <c r="F239" s="1507">
        <v>0.32800063000636925</v>
      </c>
      <c r="I239" s="135"/>
      <c r="J239" s="135"/>
      <c r="K239" s="135"/>
    </row>
    <row r="240" spans="2:11" x14ac:dyDescent="0.3">
      <c r="B240" s="136"/>
      <c r="C240" s="1498">
        <v>9</v>
      </c>
      <c r="D240" s="1505">
        <v>38.987920051954312</v>
      </c>
      <c r="E240" s="1506">
        <v>7.1909815691441397E-3</v>
      </c>
      <c r="F240" s="1507">
        <v>0.28763926276576562</v>
      </c>
      <c r="I240" s="135"/>
      <c r="J240" s="135"/>
      <c r="K240" s="135"/>
    </row>
    <row r="241" spans="2:11" x14ac:dyDescent="0.3">
      <c r="B241" s="137"/>
      <c r="C241" s="1498">
        <v>9.5</v>
      </c>
      <c r="D241" s="1505">
        <v>33.813023757245972</v>
      </c>
      <c r="E241" s="1506">
        <v>6.2365171137976766E-3</v>
      </c>
      <c r="F241" s="1507">
        <v>0.24946068455190712</v>
      </c>
      <c r="I241" s="135"/>
      <c r="J241" s="135"/>
      <c r="K241" s="135"/>
    </row>
    <row r="242" spans="2:11" x14ac:dyDescent="0.3">
      <c r="C242" s="1498">
        <v>10</v>
      </c>
      <c r="D242" s="1505">
        <v>28.90362629177185</v>
      </c>
      <c r="E242" s="1506">
        <v>5.331021600244173E-3</v>
      </c>
      <c r="F242" s="1507">
        <v>0.21324086400976694</v>
      </c>
      <c r="I242" s="135"/>
      <c r="J242" s="135"/>
      <c r="K242" s="135"/>
    </row>
    <row r="243" spans="2:11" x14ac:dyDescent="0.3">
      <c r="I243" s="135"/>
      <c r="J243" s="135"/>
      <c r="K243" s="135"/>
    </row>
    <row r="244" spans="2:11" ht="14.5" thickBot="1" x14ac:dyDescent="0.35">
      <c r="I244" s="135"/>
      <c r="J244" s="135"/>
      <c r="K244" s="135"/>
    </row>
    <row r="245" spans="2:11" x14ac:dyDescent="0.3">
      <c r="C245" s="132" t="s">
        <v>2002</v>
      </c>
      <c r="D245" s="132"/>
      <c r="E245" s="132"/>
      <c r="F245" s="132"/>
      <c r="H245" s="134" t="s">
        <v>2003</v>
      </c>
      <c r="I245" s="135"/>
      <c r="J245" s="135"/>
      <c r="K245" s="135"/>
    </row>
    <row r="246" spans="2:11" x14ac:dyDescent="0.3">
      <c r="C246" s="1508" t="s">
        <v>1996</v>
      </c>
      <c r="D246" s="1508" t="s">
        <v>2004</v>
      </c>
      <c r="E246" s="1508" t="s">
        <v>2005</v>
      </c>
      <c r="F246" s="1508" t="s">
        <v>2006</v>
      </c>
      <c r="H246" s="134" t="s">
        <v>2007</v>
      </c>
      <c r="I246" s="135"/>
      <c r="J246" s="135"/>
      <c r="K246" s="135"/>
    </row>
    <row r="247" spans="2:11" x14ac:dyDescent="0.3">
      <c r="C247" s="1498" t="s">
        <v>376</v>
      </c>
      <c r="D247" s="1509">
        <v>296.03446563757359</v>
      </c>
      <c r="E247" s="1510">
        <v>5.4600973414187515E-2</v>
      </c>
      <c r="F247" s="1511">
        <v>2.1840389365675006</v>
      </c>
      <c r="I247" s="135"/>
      <c r="J247" s="135"/>
      <c r="K247" s="135"/>
    </row>
  </sheetData>
  <sheetProtection algorithmName="SHA-512" hashValue="Yrrb280WaxAzAMmb28jql5u8hBt7e4JgqlFH3cMRzgpea8z0DWlAaAqaak3GVwhADdQJWgDLDE9l/7+v7NCKKA==" saltValue="OCUGUndCb48tGeBXXA8iwA==" spinCount="100000" sheet="1" objects="1" scenarios="1" autoFilter="0"/>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
  <dimension ref="B1:K247"/>
  <sheetViews>
    <sheetView topLeftCell="A97" zoomScaleNormal="100" workbookViewId="0">
      <selection activeCell="G9" sqref="G9"/>
    </sheetView>
  </sheetViews>
  <sheetFormatPr defaultColWidth="7.58203125" defaultRowHeight="14" x14ac:dyDescent="0.3"/>
  <cols>
    <col min="3" max="3" width="22.08203125" customWidth="1"/>
  </cols>
  <sheetData>
    <row r="1" spans="2:11" ht="14.5" thickBot="1" x14ac:dyDescent="0.35"/>
    <row r="2" spans="2:11" ht="25.5" thickBot="1" x14ac:dyDescent="0.55000000000000004">
      <c r="B2" s="88" t="s">
        <v>1960</v>
      </c>
      <c r="C2" s="89"/>
      <c r="D2" s="90">
        <v>1</v>
      </c>
      <c r="E2" s="91" t="s">
        <v>1961</v>
      </c>
      <c r="F2" s="92"/>
      <c r="G2" s="92"/>
      <c r="H2" s="92"/>
      <c r="I2" s="93"/>
      <c r="J2" s="89" t="s">
        <v>176</v>
      </c>
      <c r="K2" s="94" t="s">
        <v>243</v>
      </c>
    </row>
    <row r="3" spans="2:11" ht="14.5" thickBot="1" x14ac:dyDescent="0.35">
      <c r="B3" s="95" t="s">
        <v>1962</v>
      </c>
      <c r="C3" s="96" t="s">
        <v>1963</v>
      </c>
      <c r="D3" s="95" t="s">
        <v>1964</v>
      </c>
      <c r="E3" s="97" t="s">
        <v>1965</v>
      </c>
      <c r="F3" s="97" t="s">
        <v>1966</v>
      </c>
      <c r="G3" s="97" t="s">
        <v>1967</v>
      </c>
      <c r="H3" s="97" t="s">
        <v>1968</v>
      </c>
      <c r="I3" s="97" t="s">
        <v>1969</v>
      </c>
      <c r="J3" s="97" t="s">
        <v>1970</v>
      </c>
      <c r="K3" s="98" t="s">
        <v>1971</v>
      </c>
    </row>
    <row r="4" spans="2:11" ht="18.5" thickBot="1" x14ac:dyDescent="0.45">
      <c r="B4" s="99" t="s">
        <v>34</v>
      </c>
      <c r="C4" s="100" t="s">
        <v>34</v>
      </c>
      <c r="D4" s="101" t="s">
        <v>34</v>
      </c>
      <c r="E4" s="944"/>
      <c r="F4" s="944"/>
      <c r="G4" s="944"/>
      <c r="H4" s="944"/>
      <c r="I4" s="944" t="s">
        <v>34</v>
      </c>
      <c r="J4" s="944" t="s">
        <v>34</v>
      </c>
      <c r="K4" s="102"/>
    </row>
    <row r="5" spans="2:11" ht="90.5" thickBot="1" x14ac:dyDescent="0.45">
      <c r="B5" s="103" t="s">
        <v>1972</v>
      </c>
      <c r="C5" s="104" t="s">
        <v>1973</v>
      </c>
      <c r="D5" s="105" t="s">
        <v>1974</v>
      </c>
      <c r="E5" s="105" t="s">
        <v>1525</v>
      </c>
      <c r="F5" s="105" t="s">
        <v>1527</v>
      </c>
      <c r="G5" s="105" t="s">
        <v>1975</v>
      </c>
      <c r="H5" s="105" t="s">
        <v>1976</v>
      </c>
      <c r="I5" s="105" t="s">
        <v>1445</v>
      </c>
      <c r="J5" s="105" t="s">
        <v>1538</v>
      </c>
      <c r="K5" s="106" t="s">
        <v>1541</v>
      </c>
    </row>
    <row r="6" spans="2:11" x14ac:dyDescent="0.3">
      <c r="B6" s="107" t="s">
        <v>1977</v>
      </c>
      <c r="C6" s="108" t="s">
        <v>1416</v>
      </c>
      <c r="D6" s="109">
        <v>2.8712538389027458</v>
      </c>
      <c r="E6" s="109">
        <v>1.7109780280991971</v>
      </c>
      <c r="F6" s="109">
        <v>1.2490471126010025</v>
      </c>
      <c r="G6" s="109">
        <v>0.9058821794170907</v>
      </c>
      <c r="H6" s="109">
        <v>1.0447335758671421</v>
      </c>
      <c r="I6" s="109">
        <v>3.1878010608016081</v>
      </c>
      <c r="J6" s="109">
        <v>2.7056534606275111</v>
      </c>
      <c r="K6" s="110">
        <v>0.76984366736564969</v>
      </c>
    </row>
    <row r="7" spans="2:11" x14ac:dyDescent="0.3">
      <c r="B7" s="111" t="s">
        <v>1978</v>
      </c>
      <c r="C7" s="112" t="s">
        <v>1483</v>
      </c>
      <c r="D7" s="1499">
        <v>5.3518164560090833</v>
      </c>
      <c r="E7" s="1499">
        <v>4.3549273075833144</v>
      </c>
      <c r="F7" s="1499">
        <v>3.6540626371136513</v>
      </c>
      <c r="G7" s="1499">
        <v>3.3739665954771421</v>
      </c>
      <c r="H7" s="1499">
        <v>3.3996930821874587</v>
      </c>
      <c r="I7" s="1499">
        <v>5.8548634719123349</v>
      </c>
      <c r="J7" s="1499">
        <v>5.3777677024067838</v>
      </c>
      <c r="K7" s="113">
        <v>3.185297719308755</v>
      </c>
    </row>
    <row r="8" spans="2:11" x14ac:dyDescent="0.3">
      <c r="B8" s="111" t="s">
        <v>1979</v>
      </c>
      <c r="C8" s="112" t="s">
        <v>1489</v>
      </c>
      <c r="D8" s="1499">
        <v>5.056899966127788</v>
      </c>
      <c r="E8" s="1499">
        <v>4.06001081770202</v>
      </c>
      <c r="F8" s="1499">
        <v>3.3591461472323569</v>
      </c>
      <c r="G8" s="1499">
        <v>3.0790501055958481</v>
      </c>
      <c r="H8" s="1499">
        <v>3.1047765923061643</v>
      </c>
      <c r="I8" s="1499">
        <v>5.5599469820310405</v>
      </c>
      <c r="J8" s="1499">
        <v>5.0828512125254885</v>
      </c>
      <c r="K8" s="113">
        <v>2.8903812294274607</v>
      </c>
    </row>
    <row r="9" spans="2:11" x14ac:dyDescent="0.3">
      <c r="B9" s="114">
        <v>0</v>
      </c>
      <c r="C9" s="112" t="s">
        <v>1496</v>
      </c>
      <c r="D9" s="1499">
        <v>4.614525231305846</v>
      </c>
      <c r="E9" s="1499">
        <v>3.6176360828800771</v>
      </c>
      <c r="F9" s="1499">
        <v>2.9167714124104145</v>
      </c>
      <c r="G9" s="1499">
        <v>2.6366753707739057</v>
      </c>
      <c r="H9" s="1499">
        <v>2.6624018574842223</v>
      </c>
      <c r="I9" s="1499">
        <v>5.1175722472090976</v>
      </c>
      <c r="J9" s="1499">
        <v>4.6404764777035465</v>
      </c>
      <c r="K9" s="113">
        <v>2.4480064946055182</v>
      </c>
    </row>
    <row r="10" spans="2:11" x14ac:dyDescent="0.3">
      <c r="B10" s="115"/>
      <c r="C10" s="112" t="s">
        <v>1500</v>
      </c>
      <c r="D10" s="1499">
        <v>4.1721504964839031</v>
      </c>
      <c r="E10" s="1499">
        <v>3.1752613480581351</v>
      </c>
      <c r="F10" s="1499">
        <v>2.4743966775884725</v>
      </c>
      <c r="G10" s="1499">
        <v>2.1943006359519632</v>
      </c>
      <c r="H10" s="1499">
        <v>2.2200271226622799</v>
      </c>
      <c r="I10" s="1499">
        <v>4.6751975123871556</v>
      </c>
      <c r="J10" s="1499">
        <v>4.1981017428816036</v>
      </c>
      <c r="K10" s="113">
        <v>2.0056317597835758</v>
      </c>
    </row>
    <row r="11" spans="2:11" x14ac:dyDescent="0.3">
      <c r="B11" s="115"/>
      <c r="C11" s="112" t="s">
        <v>1504</v>
      </c>
      <c r="D11" s="1499">
        <v>4.8501612209028035</v>
      </c>
      <c r="E11" s="1499">
        <v>3.8249262444820706</v>
      </c>
      <c r="F11" s="1499">
        <v>3.1421793344357907</v>
      </c>
      <c r="G11" s="1499">
        <v>2.857791698327282</v>
      </c>
      <c r="H11" s="1499">
        <v>2.9015726576491585</v>
      </c>
      <c r="I11" s="1499">
        <v>5.3257000862452699</v>
      </c>
      <c r="J11" s="1499">
        <v>4.8496477473567623</v>
      </c>
      <c r="K11" s="113">
        <v>2.674126888018304</v>
      </c>
    </row>
    <row r="12" spans="2:11" x14ac:dyDescent="0.3">
      <c r="B12" s="115"/>
      <c r="C12" s="112" t="s">
        <v>1508</v>
      </c>
      <c r="D12" s="1499">
        <v>4.603615842594813</v>
      </c>
      <c r="E12" s="1499">
        <v>3.578380866174081</v>
      </c>
      <c r="F12" s="1499">
        <v>2.8956339561278011</v>
      </c>
      <c r="G12" s="1499">
        <v>2.6112463200192924</v>
      </c>
      <c r="H12" s="1499">
        <v>2.6550272793411689</v>
      </c>
      <c r="I12" s="1499">
        <v>5.0791547079372812</v>
      </c>
      <c r="J12" s="1499">
        <v>4.6031023690487727</v>
      </c>
      <c r="K12" s="113">
        <v>2.4275815097103144</v>
      </c>
    </row>
    <row r="13" spans="2:11" x14ac:dyDescent="0.3">
      <c r="B13" s="115"/>
      <c r="C13" s="112" t="s">
        <v>1513</v>
      </c>
      <c r="D13" s="1499">
        <v>4.2337977751328282</v>
      </c>
      <c r="E13" s="1499">
        <v>3.2085627987120953</v>
      </c>
      <c r="F13" s="1499">
        <v>2.5258158886658157</v>
      </c>
      <c r="G13" s="1499">
        <v>2.241428252557307</v>
      </c>
      <c r="H13" s="1499">
        <v>2.2852092118791836</v>
      </c>
      <c r="I13" s="1499">
        <v>4.7093366404752954</v>
      </c>
      <c r="J13" s="1499">
        <v>4.2332843015867869</v>
      </c>
      <c r="K13" s="113">
        <v>2.0577634422483286</v>
      </c>
    </row>
    <row r="14" spans="2:11" x14ac:dyDescent="0.3">
      <c r="B14" s="115"/>
      <c r="C14" s="112" t="s">
        <v>1517</v>
      </c>
      <c r="D14" s="1499">
        <v>3.8639797076708433</v>
      </c>
      <c r="E14" s="1499">
        <v>2.8387447312501104</v>
      </c>
      <c r="F14" s="1499">
        <v>2.1559978212038309</v>
      </c>
      <c r="G14" s="1499">
        <v>1.8716101850953222</v>
      </c>
      <c r="H14" s="1499">
        <v>1.9153911444171989</v>
      </c>
      <c r="I14" s="1499">
        <v>4.3395185730133106</v>
      </c>
      <c r="J14" s="1499">
        <v>3.8634662341248025</v>
      </c>
      <c r="K14" s="113">
        <v>1.687945374786344</v>
      </c>
    </row>
    <row r="15" spans="2:11" ht="14.5" thickBot="1" x14ac:dyDescent="0.35">
      <c r="B15" s="1233"/>
      <c r="C15" s="116" t="s">
        <v>1519</v>
      </c>
      <c r="D15" s="117">
        <v>5.3518164560090833</v>
      </c>
      <c r="E15" s="117">
        <v>4.3549273075833144</v>
      </c>
      <c r="F15" s="117">
        <v>3.6540626371136513</v>
      </c>
      <c r="G15" s="117">
        <v>3.3739665954771421</v>
      </c>
      <c r="H15" s="117">
        <v>3.3996930821874587</v>
      </c>
      <c r="I15" s="117">
        <v>5.8548634719123349</v>
      </c>
      <c r="J15" s="117">
        <v>5.3777677024067838</v>
      </c>
      <c r="K15" s="118">
        <v>3.185297719308755</v>
      </c>
    </row>
    <row r="16" spans="2:11" x14ac:dyDescent="0.3">
      <c r="B16" s="107" t="s">
        <v>1977</v>
      </c>
      <c r="C16" s="108" t="s">
        <v>1416</v>
      </c>
      <c r="D16" s="109">
        <v>2.8712467785964844</v>
      </c>
      <c r="E16" s="109">
        <v>1.7109709677929361</v>
      </c>
      <c r="F16" s="109">
        <v>1.2490400522947416</v>
      </c>
      <c r="G16" s="109">
        <v>0.90587511911082974</v>
      </c>
      <c r="H16" s="109">
        <v>1.0447265155608811</v>
      </c>
      <c r="I16" s="109">
        <v>3.1877940004953471</v>
      </c>
      <c r="J16" s="109">
        <v>2.7056464003212497</v>
      </c>
      <c r="K16" s="110">
        <v>0.76983660705938872</v>
      </c>
    </row>
    <row r="17" spans="2:11" x14ac:dyDescent="0.3">
      <c r="B17" s="111" t="s">
        <v>1978</v>
      </c>
      <c r="C17" s="112" t="s">
        <v>1483</v>
      </c>
      <c r="D17" s="1499">
        <v>5.3518093957028219</v>
      </c>
      <c r="E17" s="1499">
        <v>4.354920247277053</v>
      </c>
      <c r="F17" s="1499">
        <v>3.6540555768073908</v>
      </c>
      <c r="G17" s="1499">
        <v>3.3739595351708815</v>
      </c>
      <c r="H17" s="1499">
        <v>3.3996860218811982</v>
      </c>
      <c r="I17" s="1499">
        <v>5.8548564116060744</v>
      </c>
      <c r="J17" s="1499">
        <v>5.3777606421005224</v>
      </c>
      <c r="K17" s="113">
        <v>3.1852906590024941</v>
      </c>
    </row>
    <row r="18" spans="2:11" x14ac:dyDescent="0.3">
      <c r="B18" s="111" t="s">
        <v>1980</v>
      </c>
      <c r="C18" s="112" t="s">
        <v>1489</v>
      </c>
      <c r="D18" s="1499">
        <v>5.0568929058215266</v>
      </c>
      <c r="E18" s="1499">
        <v>4.0600037573957586</v>
      </c>
      <c r="F18" s="1499">
        <v>3.359139086926096</v>
      </c>
      <c r="G18" s="1499">
        <v>3.0790430452895867</v>
      </c>
      <c r="H18" s="1499">
        <v>3.1047695319999034</v>
      </c>
      <c r="I18" s="1499">
        <v>5.5599399217247791</v>
      </c>
      <c r="J18" s="1499">
        <v>5.0828441522192271</v>
      </c>
      <c r="K18" s="113">
        <v>2.8903741691211993</v>
      </c>
    </row>
    <row r="19" spans="2:11" x14ac:dyDescent="0.3">
      <c r="B19" s="114">
        <v>0</v>
      </c>
      <c r="C19" s="112" t="s">
        <v>1496</v>
      </c>
      <c r="D19" s="1499">
        <v>4.6145181709995846</v>
      </c>
      <c r="E19" s="1499">
        <v>3.6176290225738161</v>
      </c>
      <c r="F19" s="1499">
        <v>2.9167643521041535</v>
      </c>
      <c r="G19" s="1499">
        <v>2.6366683104676443</v>
      </c>
      <c r="H19" s="1499">
        <v>2.6623947971779609</v>
      </c>
      <c r="I19" s="1499">
        <v>5.1175651869028371</v>
      </c>
      <c r="J19" s="1499">
        <v>4.6404694173972851</v>
      </c>
      <c r="K19" s="113">
        <v>2.4479994342992568</v>
      </c>
    </row>
    <row r="20" spans="2:11" x14ac:dyDescent="0.3">
      <c r="B20" s="115"/>
      <c r="C20" s="112" t="s">
        <v>1500</v>
      </c>
      <c r="D20" s="1499">
        <v>4.1721434361776426</v>
      </c>
      <c r="E20" s="1499">
        <v>3.1752542877518737</v>
      </c>
      <c r="F20" s="1499">
        <v>2.4743896172822111</v>
      </c>
      <c r="G20" s="1499">
        <v>2.1942935756457023</v>
      </c>
      <c r="H20" s="1499">
        <v>2.2200200623560189</v>
      </c>
      <c r="I20" s="1499">
        <v>4.6751904520808942</v>
      </c>
      <c r="J20" s="1499">
        <v>4.1980946825753431</v>
      </c>
      <c r="K20" s="113">
        <v>2.0056246994773148</v>
      </c>
    </row>
    <row r="21" spans="2:11" x14ac:dyDescent="0.3">
      <c r="B21" s="115"/>
      <c r="C21" s="112" t="s">
        <v>1504</v>
      </c>
      <c r="D21" s="1499">
        <v>4.8501541605965421</v>
      </c>
      <c r="E21" s="1499">
        <v>3.8249191841758097</v>
      </c>
      <c r="F21" s="1499">
        <v>3.1421722741295302</v>
      </c>
      <c r="G21" s="1499">
        <v>2.8577846380210215</v>
      </c>
      <c r="H21" s="1499">
        <v>2.901565597342898</v>
      </c>
      <c r="I21" s="1499">
        <v>5.3256930259390094</v>
      </c>
      <c r="J21" s="1499">
        <v>4.8496406870505009</v>
      </c>
      <c r="K21" s="113">
        <v>2.674119827712043</v>
      </c>
    </row>
    <row r="22" spans="2:11" x14ac:dyDescent="0.3">
      <c r="B22" s="115"/>
      <c r="C22" s="112" t="s">
        <v>1508</v>
      </c>
      <c r="D22" s="1499">
        <v>4.6036087822885525</v>
      </c>
      <c r="E22" s="1499">
        <v>3.5783738058678196</v>
      </c>
      <c r="F22" s="1499">
        <v>2.8956268958215401</v>
      </c>
      <c r="G22" s="1499">
        <v>2.6112392597130314</v>
      </c>
      <c r="H22" s="1499">
        <v>2.6550202190349079</v>
      </c>
      <c r="I22" s="1499">
        <v>5.0791476476310198</v>
      </c>
      <c r="J22" s="1499">
        <v>4.6030953087425113</v>
      </c>
      <c r="K22" s="113">
        <v>2.427574449404053</v>
      </c>
    </row>
    <row r="23" spans="2:11" x14ac:dyDescent="0.3">
      <c r="B23" s="115"/>
      <c r="C23" s="112" t="s">
        <v>1513</v>
      </c>
      <c r="D23" s="1499">
        <v>4.2337907148265677</v>
      </c>
      <c r="E23" s="1499">
        <v>3.2085557384058347</v>
      </c>
      <c r="F23" s="1499">
        <v>2.5258088283595552</v>
      </c>
      <c r="G23" s="1499">
        <v>2.2414211922510465</v>
      </c>
      <c r="H23" s="1499">
        <v>2.2852021515729231</v>
      </c>
      <c r="I23" s="1499">
        <v>4.7093295801690349</v>
      </c>
      <c r="J23" s="1499">
        <v>4.2332772412805264</v>
      </c>
      <c r="K23" s="113">
        <v>2.0577563819420681</v>
      </c>
    </row>
    <row r="24" spans="2:11" x14ac:dyDescent="0.3">
      <c r="B24" s="115"/>
      <c r="C24" s="112" t="s">
        <v>1517</v>
      </c>
      <c r="D24" s="1499">
        <v>3.8639726473645819</v>
      </c>
      <c r="E24" s="1499">
        <v>2.8387376709438494</v>
      </c>
      <c r="F24" s="1499">
        <v>2.1559907608975699</v>
      </c>
      <c r="G24" s="1499">
        <v>1.8716031247890612</v>
      </c>
      <c r="H24" s="1499">
        <v>1.915384084110938</v>
      </c>
      <c r="I24" s="1499">
        <v>4.33951151270705</v>
      </c>
      <c r="J24" s="1499">
        <v>3.863459173818542</v>
      </c>
      <c r="K24" s="113">
        <v>1.687938314480083</v>
      </c>
    </row>
    <row r="25" spans="2:11" ht="14.5" thickBot="1" x14ac:dyDescent="0.35">
      <c r="B25" s="1233"/>
      <c r="C25" s="116" t="s">
        <v>1519</v>
      </c>
      <c r="D25" s="117">
        <v>5.3518093957028219</v>
      </c>
      <c r="E25" s="117">
        <v>4.354920247277053</v>
      </c>
      <c r="F25" s="117">
        <v>3.6540555768073908</v>
      </c>
      <c r="G25" s="117">
        <v>3.3739595351708815</v>
      </c>
      <c r="H25" s="117">
        <v>3.3996860218811982</v>
      </c>
      <c r="I25" s="117">
        <v>5.8548564116060744</v>
      </c>
      <c r="J25" s="117">
        <v>5.3777606421005224</v>
      </c>
      <c r="K25" s="118">
        <v>3.1852906590024941</v>
      </c>
    </row>
    <row r="26" spans="2:11" x14ac:dyDescent="0.3">
      <c r="B26" s="107" t="s">
        <v>1977</v>
      </c>
      <c r="C26" s="108" t="s">
        <v>1416</v>
      </c>
      <c r="D26" s="109">
        <v>2.8712361881370931</v>
      </c>
      <c r="E26" s="109">
        <v>1.7109603773335444</v>
      </c>
      <c r="F26" s="109">
        <v>1.2490294618353501</v>
      </c>
      <c r="G26" s="109">
        <v>0.90586452865143841</v>
      </c>
      <c r="H26" s="109">
        <v>1.0447159251014897</v>
      </c>
      <c r="I26" s="109">
        <v>3.1877834100359554</v>
      </c>
      <c r="J26" s="109">
        <v>2.7056358098618585</v>
      </c>
      <c r="K26" s="110">
        <v>0.76982601659999728</v>
      </c>
    </row>
    <row r="27" spans="2:11" x14ac:dyDescent="0.3">
      <c r="B27" s="111" t="s">
        <v>1978</v>
      </c>
      <c r="C27" s="112" t="s">
        <v>1483</v>
      </c>
      <c r="D27" s="1499">
        <v>5.3517988052434298</v>
      </c>
      <c r="E27" s="1499">
        <v>4.3549096568176617</v>
      </c>
      <c r="F27" s="1499">
        <v>3.6540449863479996</v>
      </c>
      <c r="G27" s="1499">
        <v>3.3739489447114903</v>
      </c>
      <c r="H27" s="1499">
        <v>3.3996754314218069</v>
      </c>
      <c r="I27" s="1499">
        <v>5.8548458211466823</v>
      </c>
      <c r="J27" s="1499">
        <v>5.3777500516411303</v>
      </c>
      <c r="K27" s="113">
        <v>3.1852800685431029</v>
      </c>
    </row>
    <row r="28" spans="2:11" x14ac:dyDescent="0.3">
      <c r="B28" s="111" t="s">
        <v>1981</v>
      </c>
      <c r="C28" s="112" t="s">
        <v>1489</v>
      </c>
      <c r="D28" s="1499">
        <v>5.0568823153621354</v>
      </c>
      <c r="E28" s="1499">
        <v>4.0599931669363674</v>
      </c>
      <c r="F28" s="1499">
        <v>3.3591284964667043</v>
      </c>
      <c r="G28" s="1499">
        <v>3.0790324548301955</v>
      </c>
      <c r="H28" s="1499">
        <v>3.1047589415405121</v>
      </c>
      <c r="I28" s="1499">
        <v>5.559929331265387</v>
      </c>
      <c r="J28" s="1499">
        <v>5.0828335617598359</v>
      </c>
      <c r="K28" s="113">
        <v>2.890363578661808</v>
      </c>
    </row>
    <row r="29" spans="2:11" x14ac:dyDescent="0.3">
      <c r="B29" s="114">
        <v>0</v>
      </c>
      <c r="C29" s="112" t="s">
        <v>1496</v>
      </c>
      <c r="D29" s="1499">
        <v>4.6145075805401934</v>
      </c>
      <c r="E29" s="1499">
        <v>3.6176184321144249</v>
      </c>
      <c r="F29" s="1499">
        <v>2.9167537616447623</v>
      </c>
      <c r="G29" s="1499">
        <v>2.636657720008253</v>
      </c>
      <c r="H29" s="1499">
        <v>2.6623842067185697</v>
      </c>
      <c r="I29" s="1499">
        <v>5.117554596443445</v>
      </c>
      <c r="J29" s="1499">
        <v>4.6404588269378939</v>
      </c>
      <c r="K29" s="113">
        <v>2.4479888438398656</v>
      </c>
    </row>
    <row r="30" spans="2:11" x14ac:dyDescent="0.3">
      <c r="B30" s="115"/>
      <c r="C30" s="112" t="s">
        <v>1500</v>
      </c>
      <c r="D30" s="1499">
        <v>4.1721328457182514</v>
      </c>
      <c r="E30" s="1499">
        <v>3.1752436972924825</v>
      </c>
      <c r="F30" s="1499">
        <v>2.4743790268228198</v>
      </c>
      <c r="G30" s="1499">
        <v>2.1942829851863106</v>
      </c>
      <c r="H30" s="1499">
        <v>2.2200094718966272</v>
      </c>
      <c r="I30" s="1499">
        <v>4.675179861621503</v>
      </c>
      <c r="J30" s="1499">
        <v>4.198084092115951</v>
      </c>
      <c r="K30" s="113">
        <v>2.0056141090179236</v>
      </c>
    </row>
    <row r="31" spans="2:11" x14ac:dyDescent="0.3">
      <c r="B31" s="115"/>
      <c r="C31" s="112" t="s">
        <v>1504</v>
      </c>
      <c r="D31" s="1499">
        <v>4.8501435701371509</v>
      </c>
      <c r="E31" s="1499">
        <v>3.8249085937164184</v>
      </c>
      <c r="F31" s="1499">
        <v>3.1421616836701389</v>
      </c>
      <c r="G31" s="1499">
        <v>2.8577740475616302</v>
      </c>
      <c r="H31" s="1499">
        <v>2.9015550068835068</v>
      </c>
      <c r="I31" s="1499">
        <v>5.3256824354796182</v>
      </c>
      <c r="J31" s="1499">
        <v>4.8496300965911106</v>
      </c>
      <c r="K31" s="113">
        <v>2.6741092372526518</v>
      </c>
    </row>
    <row r="32" spans="2:11" x14ac:dyDescent="0.3">
      <c r="B32" s="115"/>
      <c r="C32" s="112" t="s">
        <v>1508</v>
      </c>
      <c r="D32" s="1499">
        <v>4.6035981918291613</v>
      </c>
      <c r="E32" s="1499">
        <v>3.5783632154084284</v>
      </c>
      <c r="F32" s="1499">
        <v>2.8956163053621489</v>
      </c>
      <c r="G32" s="1499">
        <v>2.6112286692536402</v>
      </c>
      <c r="H32" s="1499">
        <v>2.6550096285755167</v>
      </c>
      <c r="I32" s="1499">
        <v>5.0791370571716277</v>
      </c>
      <c r="J32" s="1499">
        <v>4.60308471828312</v>
      </c>
      <c r="K32" s="113">
        <v>2.4275638589446618</v>
      </c>
    </row>
    <row r="33" spans="2:11" x14ac:dyDescent="0.3">
      <c r="B33" s="115"/>
      <c r="C33" s="112" t="s">
        <v>1513</v>
      </c>
      <c r="D33" s="1499">
        <v>4.2337801243671764</v>
      </c>
      <c r="E33" s="1499">
        <v>3.2085451479464435</v>
      </c>
      <c r="F33" s="1499">
        <v>2.525798237900164</v>
      </c>
      <c r="G33" s="1499">
        <v>2.2414106017916549</v>
      </c>
      <c r="H33" s="1499">
        <v>2.2851915611135314</v>
      </c>
      <c r="I33" s="1499">
        <v>4.7093189897096428</v>
      </c>
      <c r="J33" s="1499">
        <v>4.2332666508211352</v>
      </c>
      <c r="K33" s="113">
        <v>2.0577457914826764</v>
      </c>
    </row>
    <row r="34" spans="2:11" x14ac:dyDescent="0.3">
      <c r="B34" s="115"/>
      <c r="C34" s="112" t="s">
        <v>1517</v>
      </c>
      <c r="D34" s="1499">
        <v>3.8639620569051907</v>
      </c>
      <c r="E34" s="1499">
        <v>2.8387270804844582</v>
      </c>
      <c r="F34" s="1499">
        <v>2.1559801704381782</v>
      </c>
      <c r="G34" s="1499">
        <v>1.8715925343296698</v>
      </c>
      <c r="H34" s="1499">
        <v>1.9153734936515463</v>
      </c>
      <c r="I34" s="1499">
        <v>4.3395009222476579</v>
      </c>
      <c r="J34" s="1499">
        <v>3.8634485833591499</v>
      </c>
      <c r="K34" s="113">
        <v>1.6879277240206914</v>
      </c>
    </row>
    <row r="35" spans="2:11" ht="14.5" thickBot="1" x14ac:dyDescent="0.35">
      <c r="B35" s="1233"/>
      <c r="C35" s="116" t="s">
        <v>1519</v>
      </c>
      <c r="D35" s="117">
        <v>5.3517988052434298</v>
      </c>
      <c r="E35" s="117">
        <v>4.3549096568176617</v>
      </c>
      <c r="F35" s="117">
        <v>3.6540449863479996</v>
      </c>
      <c r="G35" s="117">
        <v>3.3739489447114903</v>
      </c>
      <c r="H35" s="117">
        <v>3.3996754314218069</v>
      </c>
      <c r="I35" s="117">
        <v>5.8548458211466823</v>
      </c>
      <c r="J35" s="117">
        <v>5.3777500516411303</v>
      </c>
      <c r="K35" s="118">
        <v>3.1852800685431029</v>
      </c>
    </row>
    <row r="36" spans="2:11" x14ac:dyDescent="0.3">
      <c r="B36" s="107" t="s">
        <v>1977</v>
      </c>
      <c r="C36" s="108" t="s">
        <v>1416</v>
      </c>
      <c r="D36" s="109">
        <v>2.871225597677701</v>
      </c>
      <c r="E36" s="109">
        <v>1.7109497868741532</v>
      </c>
      <c r="F36" s="109">
        <v>1.2490188713759589</v>
      </c>
      <c r="G36" s="109">
        <v>0.90585393819204696</v>
      </c>
      <c r="H36" s="109">
        <v>1.0447053346420982</v>
      </c>
      <c r="I36" s="109">
        <v>3.1877728195765638</v>
      </c>
      <c r="J36" s="109">
        <v>2.7056252194024668</v>
      </c>
      <c r="K36" s="110">
        <v>0.76981542614060583</v>
      </c>
    </row>
    <row r="37" spans="2:11" x14ac:dyDescent="0.3">
      <c r="B37" s="111" t="s">
        <v>1978</v>
      </c>
      <c r="C37" s="112" t="s">
        <v>1483</v>
      </c>
      <c r="D37" s="1499">
        <v>5.3517882147840394</v>
      </c>
      <c r="E37" s="1499">
        <v>4.3548990663582705</v>
      </c>
      <c r="F37" s="1499">
        <v>3.6540343958886075</v>
      </c>
      <c r="G37" s="1499">
        <v>3.3739383542520986</v>
      </c>
      <c r="H37" s="1499">
        <v>3.3996648409624148</v>
      </c>
      <c r="I37" s="1499">
        <v>5.8548352306872911</v>
      </c>
      <c r="J37" s="1499">
        <v>5.37773946118174</v>
      </c>
      <c r="K37" s="113">
        <v>3.1852694780837112</v>
      </c>
    </row>
    <row r="38" spans="2:11" x14ac:dyDescent="0.3">
      <c r="B38" s="111" t="s">
        <v>1982</v>
      </c>
      <c r="C38" s="112" t="s">
        <v>1489</v>
      </c>
      <c r="D38" s="1499">
        <v>5.0568717249027442</v>
      </c>
      <c r="E38" s="1499">
        <v>4.0599825764769752</v>
      </c>
      <c r="F38" s="1499">
        <v>3.3591179060073126</v>
      </c>
      <c r="G38" s="1499">
        <v>3.0790218643708034</v>
      </c>
      <c r="H38" s="1499">
        <v>3.10474835108112</v>
      </c>
      <c r="I38" s="1499">
        <v>5.5599187408059967</v>
      </c>
      <c r="J38" s="1499">
        <v>5.0828229713004447</v>
      </c>
      <c r="K38" s="113">
        <v>2.8903529882024164</v>
      </c>
    </row>
    <row r="39" spans="2:11" x14ac:dyDescent="0.3">
      <c r="B39" s="114">
        <v>0</v>
      </c>
      <c r="C39" s="112" t="s">
        <v>1496</v>
      </c>
      <c r="D39" s="1499">
        <v>4.6144969900808022</v>
      </c>
      <c r="E39" s="1499">
        <v>3.6176078416550337</v>
      </c>
      <c r="F39" s="1499">
        <v>2.9167431711853706</v>
      </c>
      <c r="G39" s="1499">
        <v>2.6366471295488618</v>
      </c>
      <c r="H39" s="1499">
        <v>2.6623736162591785</v>
      </c>
      <c r="I39" s="1499">
        <v>5.1175440059840538</v>
      </c>
      <c r="J39" s="1499">
        <v>4.6404482364785027</v>
      </c>
      <c r="K39" s="113">
        <v>2.4479782533804744</v>
      </c>
    </row>
    <row r="40" spans="2:11" x14ac:dyDescent="0.3">
      <c r="B40" s="115"/>
      <c r="C40" s="112" t="s">
        <v>1500</v>
      </c>
      <c r="D40" s="1499">
        <v>4.1721222552588602</v>
      </c>
      <c r="E40" s="1499">
        <v>3.1752331068330912</v>
      </c>
      <c r="F40" s="1499">
        <v>2.4743684363634286</v>
      </c>
      <c r="G40" s="1499">
        <v>2.1942723947269194</v>
      </c>
      <c r="H40" s="1499">
        <v>2.219998881437236</v>
      </c>
      <c r="I40" s="1499">
        <v>4.6751692711621118</v>
      </c>
      <c r="J40" s="1499">
        <v>4.1980735016565598</v>
      </c>
      <c r="K40" s="113">
        <v>2.0056035185585319</v>
      </c>
    </row>
    <row r="41" spans="2:11" x14ac:dyDescent="0.3">
      <c r="B41" s="115"/>
      <c r="C41" s="112" t="s">
        <v>1504</v>
      </c>
      <c r="D41" s="1499">
        <v>4.8501329796777597</v>
      </c>
      <c r="E41" s="1499">
        <v>3.8248980032570268</v>
      </c>
      <c r="F41" s="1499">
        <v>3.1421510932107468</v>
      </c>
      <c r="G41" s="1499">
        <v>2.8577634571022381</v>
      </c>
      <c r="H41" s="1499">
        <v>2.9015444164241146</v>
      </c>
      <c r="I41" s="1499">
        <v>5.3256718450202269</v>
      </c>
      <c r="J41" s="1499">
        <v>4.8496195061317184</v>
      </c>
      <c r="K41" s="113">
        <v>2.6740986467932601</v>
      </c>
    </row>
    <row r="42" spans="2:11" x14ac:dyDescent="0.3">
      <c r="B42" s="115"/>
      <c r="C42" s="112" t="s">
        <v>1508</v>
      </c>
      <c r="D42" s="1499">
        <v>4.6035876013697692</v>
      </c>
      <c r="E42" s="1499">
        <v>3.5783526249490367</v>
      </c>
      <c r="F42" s="1499">
        <v>2.8956057149027568</v>
      </c>
      <c r="G42" s="1499">
        <v>2.6112180787942481</v>
      </c>
      <c r="H42" s="1499">
        <v>2.6549990381161246</v>
      </c>
      <c r="I42" s="1499">
        <v>5.0791264667122373</v>
      </c>
      <c r="J42" s="1499">
        <v>4.6030741278237288</v>
      </c>
      <c r="K42" s="113">
        <v>2.4275532684852701</v>
      </c>
    </row>
    <row r="43" spans="2:11" x14ac:dyDescent="0.3">
      <c r="B43" s="115"/>
      <c r="C43" s="112" t="s">
        <v>1513</v>
      </c>
      <c r="D43" s="1499">
        <v>4.2337695339077843</v>
      </c>
      <c r="E43" s="1499">
        <v>3.2085345574870519</v>
      </c>
      <c r="F43" s="1499">
        <v>2.5257876474407719</v>
      </c>
      <c r="G43" s="1499">
        <v>2.2414000113322632</v>
      </c>
      <c r="H43" s="1499">
        <v>2.2851809706541397</v>
      </c>
      <c r="I43" s="1499">
        <v>4.7093083992502516</v>
      </c>
      <c r="J43" s="1499">
        <v>4.233256060361744</v>
      </c>
      <c r="K43" s="113">
        <v>2.0577352010232852</v>
      </c>
    </row>
    <row r="44" spans="2:11" x14ac:dyDescent="0.3">
      <c r="B44" s="115"/>
      <c r="C44" s="112" t="s">
        <v>1517</v>
      </c>
      <c r="D44" s="1499">
        <v>3.8639514664457995</v>
      </c>
      <c r="E44" s="1499">
        <v>2.838716490025067</v>
      </c>
      <c r="F44" s="1499">
        <v>2.155969579978787</v>
      </c>
      <c r="G44" s="1499">
        <v>1.8715819438702783</v>
      </c>
      <c r="H44" s="1499">
        <v>1.9153629031921551</v>
      </c>
      <c r="I44" s="1499">
        <v>4.3394903317882667</v>
      </c>
      <c r="J44" s="1499">
        <v>3.8634379928997586</v>
      </c>
      <c r="K44" s="113">
        <v>1.6879171335613001</v>
      </c>
    </row>
    <row r="45" spans="2:11" ht="14.5" thickBot="1" x14ac:dyDescent="0.35">
      <c r="B45" s="1233"/>
      <c r="C45" s="116" t="s">
        <v>1519</v>
      </c>
      <c r="D45" s="117">
        <v>5.3517882147840394</v>
      </c>
      <c r="E45" s="117">
        <v>4.3548990663582705</v>
      </c>
      <c r="F45" s="117">
        <v>3.6540343958886075</v>
      </c>
      <c r="G45" s="117">
        <v>3.3739383542520986</v>
      </c>
      <c r="H45" s="117">
        <v>3.3996648409624148</v>
      </c>
      <c r="I45" s="117">
        <v>5.8548352306872911</v>
      </c>
      <c r="J45" s="117">
        <v>5.37773946118174</v>
      </c>
      <c r="K45" s="118">
        <v>3.1852694780837112</v>
      </c>
    </row>
    <row r="46" spans="2:11" x14ac:dyDescent="0.3">
      <c r="B46" s="119" t="s">
        <v>1983</v>
      </c>
      <c r="C46" s="108" t="s">
        <v>1416</v>
      </c>
      <c r="D46" s="109">
        <v>2.8712320545573458</v>
      </c>
      <c r="E46" s="109">
        <v>1.7109551464732624</v>
      </c>
      <c r="F46" s="109">
        <v>1.2490306236001512</v>
      </c>
      <c r="G46" s="109">
        <v>0.90586344397068741</v>
      </c>
      <c r="H46" s="109">
        <v>1.0447164535647271</v>
      </c>
      <c r="I46" s="109">
        <v>3.1877749999660385</v>
      </c>
      <c r="J46" s="109">
        <v>2.7056280504677948</v>
      </c>
      <c r="K46" s="110">
        <v>0.76982512174814632</v>
      </c>
    </row>
    <row r="47" spans="2:11" x14ac:dyDescent="0.3">
      <c r="B47" s="111"/>
      <c r="C47" s="112" t="s">
        <v>1483</v>
      </c>
      <c r="D47" s="1499">
        <v>5.3517929310386245</v>
      </c>
      <c r="E47" s="1499">
        <v>4.3549030789566912</v>
      </c>
      <c r="F47" s="1499">
        <v>3.6540400595608071</v>
      </c>
      <c r="G47" s="1499">
        <v>3.3739433595720021</v>
      </c>
      <c r="H47" s="1499">
        <v>3.3996705668204794</v>
      </c>
      <c r="I47" s="1499">
        <v>5.8548379222769293</v>
      </c>
      <c r="J47" s="1499">
        <v>5.3777425912548136</v>
      </c>
      <c r="K47" s="113">
        <v>3.1852757194889811</v>
      </c>
    </row>
    <row r="48" spans="2:11" x14ac:dyDescent="0.3">
      <c r="B48" s="111" t="s">
        <v>1979</v>
      </c>
      <c r="C48" s="112" t="s">
        <v>1489</v>
      </c>
      <c r="D48" s="1499">
        <v>5.0568764411573293</v>
      </c>
      <c r="E48" s="1499">
        <v>4.0599865890753968</v>
      </c>
      <c r="F48" s="1499">
        <v>3.3591235696795123</v>
      </c>
      <c r="G48" s="1499">
        <v>3.0790268696907073</v>
      </c>
      <c r="H48" s="1499">
        <v>3.1047540769391846</v>
      </c>
      <c r="I48" s="1499">
        <v>5.5599214323956341</v>
      </c>
      <c r="J48" s="1499">
        <v>5.0828261013735183</v>
      </c>
      <c r="K48" s="113">
        <v>2.8903592296076863</v>
      </c>
    </row>
    <row r="49" spans="2:11" x14ac:dyDescent="0.3">
      <c r="B49" s="114">
        <v>0</v>
      </c>
      <c r="C49" s="112" t="s">
        <v>1496</v>
      </c>
      <c r="D49" s="1499">
        <v>4.6145017063353873</v>
      </c>
      <c r="E49" s="1499">
        <v>3.6176118542534548</v>
      </c>
      <c r="F49" s="1499">
        <v>2.9167488348575703</v>
      </c>
      <c r="G49" s="1499">
        <v>2.6366521348687657</v>
      </c>
      <c r="H49" s="1499">
        <v>2.6623793421172426</v>
      </c>
      <c r="I49" s="1499">
        <v>5.1175466975736921</v>
      </c>
      <c r="J49" s="1499">
        <v>4.6404513665515763</v>
      </c>
      <c r="K49" s="113">
        <v>2.4479844947857443</v>
      </c>
    </row>
    <row r="50" spans="2:11" x14ac:dyDescent="0.3">
      <c r="B50" s="115"/>
      <c r="C50" s="112" t="s">
        <v>1500</v>
      </c>
      <c r="D50" s="1499">
        <v>4.1721269715134452</v>
      </c>
      <c r="E50" s="1499">
        <v>3.1752371194315123</v>
      </c>
      <c r="F50" s="1499">
        <v>2.4743741000356279</v>
      </c>
      <c r="G50" s="1499">
        <v>2.1942774000468233</v>
      </c>
      <c r="H50" s="1499">
        <v>2.2200046072953006</v>
      </c>
      <c r="I50" s="1499">
        <v>4.6751719627517501</v>
      </c>
      <c r="J50" s="1499">
        <v>4.1980766317296334</v>
      </c>
      <c r="K50" s="113">
        <v>2.0056097599638019</v>
      </c>
    </row>
    <row r="51" spans="2:11" x14ac:dyDescent="0.3">
      <c r="B51" s="115"/>
      <c r="C51" s="112" t="s">
        <v>1504</v>
      </c>
      <c r="D51" s="1499">
        <v>4.8501380358874018</v>
      </c>
      <c r="E51" s="1499">
        <v>3.8249023764766594</v>
      </c>
      <c r="F51" s="1499">
        <v>3.1421580146534591</v>
      </c>
      <c r="G51" s="1499">
        <v>2.8577690944434355</v>
      </c>
      <c r="H51" s="1499">
        <v>2.9015509847970247</v>
      </c>
      <c r="I51" s="1499">
        <v>5.3256741885062366</v>
      </c>
      <c r="J51" s="1499">
        <v>4.849622287931374</v>
      </c>
      <c r="K51" s="113">
        <v>2.674104652186545</v>
      </c>
    </row>
    <row r="52" spans="2:11" x14ac:dyDescent="0.3">
      <c r="B52" s="115"/>
      <c r="C52" s="112" t="s">
        <v>1508</v>
      </c>
      <c r="D52" s="1499">
        <v>4.6035926575794113</v>
      </c>
      <c r="E52" s="1499">
        <v>3.5783569981686694</v>
      </c>
      <c r="F52" s="1499">
        <v>2.8956126363454691</v>
      </c>
      <c r="G52" s="1499">
        <v>2.6112237161354455</v>
      </c>
      <c r="H52" s="1499">
        <v>2.6550056064890346</v>
      </c>
      <c r="I52" s="1499">
        <v>5.079128810198247</v>
      </c>
      <c r="J52" s="1499">
        <v>4.6030769096233835</v>
      </c>
      <c r="K52" s="113">
        <v>2.427559273878555</v>
      </c>
    </row>
    <row r="53" spans="2:11" x14ac:dyDescent="0.3">
      <c r="B53" s="115"/>
      <c r="C53" s="112" t="s">
        <v>1513</v>
      </c>
      <c r="D53" s="1499">
        <v>4.2337745901174264</v>
      </c>
      <c r="E53" s="1499">
        <v>3.2085389307066845</v>
      </c>
      <c r="F53" s="1499">
        <v>2.5257945688834842</v>
      </c>
      <c r="G53" s="1499">
        <v>2.2414056486734606</v>
      </c>
      <c r="H53" s="1499">
        <v>2.2851875390270497</v>
      </c>
      <c r="I53" s="1499">
        <v>4.7093107427362613</v>
      </c>
      <c r="J53" s="1499">
        <v>4.2332588421613986</v>
      </c>
      <c r="K53" s="113">
        <v>2.0577412064165701</v>
      </c>
    </row>
    <row r="54" spans="2:11" x14ac:dyDescent="0.3">
      <c r="B54" s="115"/>
      <c r="C54" s="112" t="s">
        <v>1517</v>
      </c>
      <c r="D54" s="1499">
        <v>3.8639565226554415</v>
      </c>
      <c r="E54" s="1499">
        <v>2.8387208632446996</v>
      </c>
      <c r="F54" s="1499">
        <v>2.1559765014214993</v>
      </c>
      <c r="G54" s="1499">
        <v>1.8715875812114755</v>
      </c>
      <c r="H54" s="1499">
        <v>1.9153694715650651</v>
      </c>
      <c r="I54" s="1499">
        <v>4.3394926752742764</v>
      </c>
      <c r="J54" s="1499">
        <v>3.8634407746994137</v>
      </c>
      <c r="K54" s="113">
        <v>1.6879231389545855</v>
      </c>
    </row>
    <row r="55" spans="2:11" ht="14.5" thickBot="1" x14ac:dyDescent="0.35">
      <c r="B55" s="1233"/>
      <c r="C55" s="116" t="s">
        <v>1519</v>
      </c>
      <c r="D55" s="117">
        <v>5.3517929310386245</v>
      </c>
      <c r="E55" s="117">
        <v>4.3549030789566912</v>
      </c>
      <c r="F55" s="117">
        <v>3.6540400595608071</v>
      </c>
      <c r="G55" s="117">
        <v>3.3739433595720021</v>
      </c>
      <c r="H55" s="117">
        <v>3.3996705668204794</v>
      </c>
      <c r="I55" s="117">
        <v>5.8548379222769293</v>
      </c>
      <c r="J55" s="117">
        <v>5.3777425912548136</v>
      </c>
      <c r="K55" s="118">
        <v>3.1852757194889811</v>
      </c>
    </row>
    <row r="56" spans="2:11" x14ac:dyDescent="0.3">
      <c r="B56" s="119" t="s">
        <v>1983</v>
      </c>
      <c r="C56" s="108" t="s">
        <v>1416</v>
      </c>
      <c r="D56" s="109">
        <v>2.8712283393227933</v>
      </c>
      <c r="E56" s="109">
        <v>1.7109514312387097</v>
      </c>
      <c r="F56" s="109">
        <v>1.2490269083655985</v>
      </c>
      <c r="G56" s="109">
        <v>0.90585972873613474</v>
      </c>
      <c r="H56" s="109">
        <v>1.0447127383301744</v>
      </c>
      <c r="I56" s="109">
        <v>3.1877712847314861</v>
      </c>
      <c r="J56" s="109">
        <v>2.7056243352332423</v>
      </c>
      <c r="K56" s="110">
        <v>0.76982140651359354</v>
      </c>
    </row>
    <row r="57" spans="2:11" x14ac:dyDescent="0.3">
      <c r="B57" s="111"/>
      <c r="C57" s="112" t="s">
        <v>1483</v>
      </c>
      <c r="D57" s="1499">
        <v>5.3517892158040716</v>
      </c>
      <c r="E57" s="1499">
        <v>4.3548993637221391</v>
      </c>
      <c r="F57" s="1499">
        <v>3.6540363443262547</v>
      </c>
      <c r="G57" s="1499">
        <v>3.3739396443374496</v>
      </c>
      <c r="H57" s="1499">
        <v>3.399666851585927</v>
      </c>
      <c r="I57" s="1499">
        <v>5.8548342070423764</v>
      </c>
      <c r="J57" s="1499">
        <v>5.3777388760202598</v>
      </c>
      <c r="K57" s="113">
        <v>3.1852720042544287</v>
      </c>
    </row>
    <row r="58" spans="2:11" x14ac:dyDescent="0.3">
      <c r="B58" s="111" t="s">
        <v>1980</v>
      </c>
      <c r="C58" s="112" t="s">
        <v>1489</v>
      </c>
      <c r="D58" s="1499">
        <v>5.0568727259227764</v>
      </c>
      <c r="E58" s="1499">
        <v>4.0599828738408439</v>
      </c>
      <c r="F58" s="1499">
        <v>3.3591198544449599</v>
      </c>
      <c r="G58" s="1499">
        <v>3.0790231544561548</v>
      </c>
      <c r="H58" s="1499">
        <v>3.1047503617046321</v>
      </c>
      <c r="I58" s="1499">
        <v>5.5599177171610812</v>
      </c>
      <c r="J58" s="1499">
        <v>5.0828223861389654</v>
      </c>
      <c r="K58" s="113">
        <v>2.8903555143731339</v>
      </c>
    </row>
    <row r="59" spans="2:11" x14ac:dyDescent="0.3">
      <c r="B59" s="114">
        <v>0</v>
      </c>
      <c r="C59" s="112" t="s">
        <v>1496</v>
      </c>
      <c r="D59" s="1499">
        <v>4.6144979911008344</v>
      </c>
      <c r="E59" s="1499">
        <v>3.6176081390189019</v>
      </c>
      <c r="F59" s="1499">
        <v>2.9167451196230174</v>
      </c>
      <c r="G59" s="1499">
        <v>2.6366484196342124</v>
      </c>
      <c r="H59" s="1499">
        <v>2.6623756268826897</v>
      </c>
      <c r="I59" s="1499">
        <v>5.1175429823391401</v>
      </c>
      <c r="J59" s="1499">
        <v>4.6404476513170225</v>
      </c>
      <c r="K59" s="113">
        <v>2.4479807795511914</v>
      </c>
    </row>
    <row r="60" spans="2:11" x14ac:dyDescent="0.3">
      <c r="B60" s="115"/>
      <c r="C60" s="112" t="s">
        <v>1500</v>
      </c>
      <c r="D60" s="1499">
        <v>4.1721232562788915</v>
      </c>
      <c r="E60" s="1499">
        <v>3.1752334041969599</v>
      </c>
      <c r="F60" s="1499">
        <v>2.474370384801075</v>
      </c>
      <c r="G60" s="1499">
        <v>2.1942736848122704</v>
      </c>
      <c r="H60" s="1499">
        <v>2.2200008920607477</v>
      </c>
      <c r="I60" s="1499">
        <v>4.6751682475171972</v>
      </c>
      <c r="J60" s="1499">
        <v>4.1980729164950805</v>
      </c>
      <c r="K60" s="113">
        <v>2.0056060447292494</v>
      </c>
    </row>
    <row r="61" spans="2:11" x14ac:dyDescent="0.3">
      <c r="B61" s="115"/>
      <c r="C61" s="112" t="s">
        <v>1504</v>
      </c>
      <c r="D61" s="1499">
        <v>4.8501343206528489</v>
      </c>
      <c r="E61" s="1499">
        <v>3.824898661242107</v>
      </c>
      <c r="F61" s="1499">
        <v>3.1421542994189067</v>
      </c>
      <c r="G61" s="1499">
        <v>2.8577653792088831</v>
      </c>
      <c r="H61" s="1499">
        <v>2.9015472695624722</v>
      </c>
      <c r="I61" s="1499">
        <v>5.3256704732716829</v>
      </c>
      <c r="J61" s="1499">
        <v>4.8496185726968211</v>
      </c>
      <c r="K61" s="113">
        <v>2.6741009369519926</v>
      </c>
    </row>
    <row r="62" spans="2:11" x14ac:dyDescent="0.3">
      <c r="B62" s="115"/>
      <c r="C62" s="112" t="s">
        <v>1508</v>
      </c>
      <c r="D62" s="1499">
        <v>4.6035889423448593</v>
      </c>
      <c r="E62" s="1499">
        <v>3.5783532829341169</v>
      </c>
      <c r="F62" s="1499">
        <v>2.8956089211109166</v>
      </c>
      <c r="G62" s="1499">
        <v>2.611220000900893</v>
      </c>
      <c r="H62" s="1499">
        <v>2.6550018912544822</v>
      </c>
      <c r="I62" s="1499">
        <v>5.0791250949636932</v>
      </c>
      <c r="J62" s="1499">
        <v>4.6030731943888306</v>
      </c>
      <c r="K62" s="113">
        <v>2.4275555586440025</v>
      </c>
    </row>
    <row r="63" spans="2:11" x14ac:dyDescent="0.3">
      <c r="B63" s="115"/>
      <c r="C63" s="112" t="s">
        <v>1513</v>
      </c>
      <c r="D63" s="1499">
        <v>4.2337708748828744</v>
      </c>
      <c r="E63" s="1499">
        <v>3.2085352154721321</v>
      </c>
      <c r="F63" s="1499">
        <v>2.5257908536489317</v>
      </c>
      <c r="G63" s="1499">
        <v>2.2414019334389081</v>
      </c>
      <c r="H63" s="1499">
        <v>2.2851838237924973</v>
      </c>
      <c r="I63" s="1499">
        <v>4.7093070275017084</v>
      </c>
      <c r="J63" s="1499">
        <v>4.2332551269268457</v>
      </c>
      <c r="K63" s="113">
        <v>2.0577374911820177</v>
      </c>
    </row>
    <row r="64" spans="2:11" x14ac:dyDescent="0.3">
      <c r="B64" s="115"/>
      <c r="C64" s="112" t="s">
        <v>1517</v>
      </c>
      <c r="D64" s="1499">
        <v>3.8639528074208891</v>
      </c>
      <c r="E64" s="1499">
        <v>2.8387171480101467</v>
      </c>
      <c r="F64" s="1499">
        <v>2.1559727861869464</v>
      </c>
      <c r="G64" s="1499">
        <v>1.8715838659769228</v>
      </c>
      <c r="H64" s="1499">
        <v>1.9153657563305122</v>
      </c>
      <c r="I64" s="1499">
        <v>4.3394889600397235</v>
      </c>
      <c r="J64" s="1499">
        <v>3.8634370594648608</v>
      </c>
      <c r="K64" s="113">
        <v>1.6879194237200328</v>
      </c>
    </row>
    <row r="65" spans="2:11" ht="14.5" thickBot="1" x14ac:dyDescent="0.35">
      <c r="B65" s="1233"/>
      <c r="C65" s="116" t="s">
        <v>1519</v>
      </c>
      <c r="D65" s="117">
        <v>5.3517892158040716</v>
      </c>
      <c r="E65" s="117">
        <v>4.3548993637221391</v>
      </c>
      <c r="F65" s="117">
        <v>3.6540363443262547</v>
      </c>
      <c r="G65" s="117">
        <v>3.3739396443374496</v>
      </c>
      <c r="H65" s="117">
        <v>3.399666851585927</v>
      </c>
      <c r="I65" s="117">
        <v>5.8548342070423764</v>
      </c>
      <c r="J65" s="117">
        <v>5.3777388760202598</v>
      </c>
      <c r="K65" s="118">
        <v>3.1852720042544287</v>
      </c>
    </row>
    <row r="66" spans="2:11" x14ac:dyDescent="0.3">
      <c r="B66" s="119" t="s">
        <v>1983</v>
      </c>
      <c r="C66" s="108" t="s">
        <v>1416</v>
      </c>
      <c r="D66" s="109">
        <v>2.8712227664709644</v>
      </c>
      <c r="E66" s="109">
        <v>1.7109458583868808</v>
      </c>
      <c r="F66" s="109">
        <v>1.2490213355137696</v>
      </c>
      <c r="G66" s="109">
        <v>0.90585415588430562</v>
      </c>
      <c r="H66" s="109">
        <v>1.0447071654783453</v>
      </c>
      <c r="I66" s="109">
        <v>3.1877657118796567</v>
      </c>
      <c r="J66" s="109">
        <v>2.7056187623814134</v>
      </c>
      <c r="K66" s="110">
        <v>0.76981583366176443</v>
      </c>
    </row>
    <row r="67" spans="2:11" x14ac:dyDescent="0.3">
      <c r="B67" s="111"/>
      <c r="C67" s="112" t="s">
        <v>1483</v>
      </c>
      <c r="D67" s="1499">
        <v>5.3517836429522418</v>
      </c>
      <c r="E67" s="1499">
        <v>4.3548937908703103</v>
      </c>
      <c r="F67" s="1499">
        <v>3.6540307714744258</v>
      </c>
      <c r="G67" s="1499">
        <v>3.3739340714856207</v>
      </c>
      <c r="H67" s="1499">
        <v>3.3996612787340981</v>
      </c>
      <c r="I67" s="1499">
        <v>5.8548286341905467</v>
      </c>
      <c r="J67" s="1499">
        <v>5.3777333031684309</v>
      </c>
      <c r="K67" s="113">
        <v>3.1852664314025998</v>
      </c>
    </row>
    <row r="68" spans="2:11" x14ac:dyDescent="0.3">
      <c r="B68" s="111" t="s">
        <v>1981</v>
      </c>
      <c r="C68" s="112" t="s">
        <v>1489</v>
      </c>
      <c r="D68" s="1499">
        <v>5.0568671530709475</v>
      </c>
      <c r="E68" s="1499">
        <v>4.059977300989015</v>
      </c>
      <c r="F68" s="1499">
        <v>3.3591142815931305</v>
      </c>
      <c r="G68" s="1499">
        <v>3.0790175816043259</v>
      </c>
      <c r="H68" s="1499">
        <v>3.1047447888528033</v>
      </c>
      <c r="I68" s="1499">
        <v>5.5599121443092523</v>
      </c>
      <c r="J68" s="1499">
        <v>5.0828168132871356</v>
      </c>
      <c r="K68" s="113">
        <v>2.8903499415213045</v>
      </c>
    </row>
    <row r="69" spans="2:11" x14ac:dyDescent="0.3">
      <c r="B69" s="114">
        <v>0</v>
      </c>
      <c r="C69" s="112" t="s">
        <v>1496</v>
      </c>
      <c r="D69" s="1499">
        <v>4.6144924182490055</v>
      </c>
      <c r="E69" s="1499">
        <v>3.6176025661670725</v>
      </c>
      <c r="F69" s="1499">
        <v>2.9167395467711885</v>
      </c>
      <c r="G69" s="1499">
        <v>2.6366428467823835</v>
      </c>
      <c r="H69" s="1499">
        <v>2.6623700540308608</v>
      </c>
      <c r="I69" s="1499">
        <v>5.1175374094873103</v>
      </c>
      <c r="J69" s="1499">
        <v>4.6404420784651936</v>
      </c>
      <c r="K69" s="113">
        <v>2.4479752066993625</v>
      </c>
    </row>
    <row r="70" spans="2:11" x14ac:dyDescent="0.3">
      <c r="B70" s="115"/>
      <c r="C70" s="112" t="s">
        <v>1500</v>
      </c>
      <c r="D70" s="1499">
        <v>4.1721176834270626</v>
      </c>
      <c r="E70" s="1499">
        <v>3.1752278313451305</v>
      </c>
      <c r="F70" s="1499">
        <v>2.4743648119492461</v>
      </c>
      <c r="G70" s="1499">
        <v>2.194268111960441</v>
      </c>
      <c r="H70" s="1499">
        <v>2.2199953192089183</v>
      </c>
      <c r="I70" s="1499">
        <v>4.6751626746653683</v>
      </c>
      <c r="J70" s="1499">
        <v>4.1980673436432516</v>
      </c>
      <c r="K70" s="113">
        <v>2.0056004718774201</v>
      </c>
    </row>
    <row r="71" spans="2:11" x14ac:dyDescent="0.3">
      <c r="B71" s="115"/>
      <c r="C71" s="112" t="s">
        <v>1504</v>
      </c>
      <c r="D71" s="1499">
        <v>4.85012874780102</v>
      </c>
      <c r="E71" s="1499">
        <v>3.8248930883902781</v>
      </c>
      <c r="F71" s="1499">
        <v>3.1421487265670778</v>
      </c>
      <c r="G71" s="1499">
        <v>2.8577598063570537</v>
      </c>
      <c r="H71" s="1499">
        <v>2.9015416967106433</v>
      </c>
      <c r="I71" s="1499">
        <v>5.3256649004198549</v>
      </c>
      <c r="J71" s="1499">
        <v>4.8496129998449913</v>
      </c>
      <c r="K71" s="113">
        <v>2.6740953641001637</v>
      </c>
    </row>
    <row r="72" spans="2:11" x14ac:dyDescent="0.3">
      <c r="B72" s="115"/>
      <c r="C72" s="112" t="s">
        <v>1508</v>
      </c>
      <c r="D72" s="1499">
        <v>4.6035833694930304</v>
      </c>
      <c r="E72" s="1499">
        <v>3.578347710082288</v>
      </c>
      <c r="F72" s="1499">
        <v>2.8956033482590877</v>
      </c>
      <c r="G72" s="1499">
        <v>2.6112144280490637</v>
      </c>
      <c r="H72" s="1499">
        <v>2.6549963184026533</v>
      </c>
      <c r="I72" s="1499">
        <v>5.0791195221118643</v>
      </c>
      <c r="J72" s="1499">
        <v>4.6030676215370017</v>
      </c>
      <c r="K72" s="113">
        <v>2.4275499857921736</v>
      </c>
    </row>
    <row r="73" spans="2:11" x14ac:dyDescent="0.3">
      <c r="B73" s="115"/>
      <c r="C73" s="112" t="s">
        <v>1513</v>
      </c>
      <c r="D73" s="1499">
        <v>4.2337653020310455</v>
      </c>
      <c r="E73" s="1499">
        <v>3.2085296426203032</v>
      </c>
      <c r="F73" s="1499">
        <v>2.5257852807971028</v>
      </c>
      <c r="G73" s="1499">
        <v>2.2413963605870788</v>
      </c>
      <c r="H73" s="1499">
        <v>2.2851782509406684</v>
      </c>
      <c r="I73" s="1499">
        <v>4.7093014546498795</v>
      </c>
      <c r="J73" s="1499">
        <v>4.2332495540750168</v>
      </c>
      <c r="K73" s="113">
        <v>2.0577319183301888</v>
      </c>
    </row>
    <row r="74" spans="2:11" x14ac:dyDescent="0.3">
      <c r="B74" s="115"/>
      <c r="C74" s="112" t="s">
        <v>1517</v>
      </c>
      <c r="D74" s="1499">
        <v>3.8639472345690598</v>
      </c>
      <c r="E74" s="1499">
        <v>2.8387115751583178</v>
      </c>
      <c r="F74" s="1499">
        <v>2.1559672133351175</v>
      </c>
      <c r="G74" s="1499">
        <v>1.8715782931250935</v>
      </c>
      <c r="H74" s="1499">
        <v>1.9153601834786831</v>
      </c>
      <c r="I74" s="1499">
        <v>4.3394833871878946</v>
      </c>
      <c r="J74" s="1499">
        <v>3.8634314866130319</v>
      </c>
      <c r="K74" s="113">
        <v>1.6879138508682034</v>
      </c>
    </row>
    <row r="75" spans="2:11" ht="14.5" thickBot="1" x14ac:dyDescent="0.35">
      <c r="B75" s="1233"/>
      <c r="C75" s="116" t="s">
        <v>1519</v>
      </c>
      <c r="D75" s="117">
        <v>5.3517836429522418</v>
      </c>
      <c r="E75" s="117">
        <v>4.3548937908703103</v>
      </c>
      <c r="F75" s="117">
        <v>3.6540307714744258</v>
      </c>
      <c r="G75" s="117">
        <v>3.3739340714856207</v>
      </c>
      <c r="H75" s="117">
        <v>3.3996612787340981</v>
      </c>
      <c r="I75" s="117">
        <v>5.8548286341905467</v>
      </c>
      <c r="J75" s="117">
        <v>5.3777333031684309</v>
      </c>
      <c r="K75" s="118">
        <v>3.1852664314025998</v>
      </c>
    </row>
    <row r="76" spans="2:11" x14ac:dyDescent="0.3">
      <c r="B76" s="119" t="s">
        <v>1983</v>
      </c>
      <c r="C76" s="108" t="s">
        <v>1416</v>
      </c>
      <c r="D76" s="109">
        <v>2.8712171936191355</v>
      </c>
      <c r="E76" s="109">
        <v>1.7109402855350515</v>
      </c>
      <c r="F76" s="109">
        <v>1.2490157626619403</v>
      </c>
      <c r="G76" s="109">
        <v>0.90584858303247662</v>
      </c>
      <c r="H76" s="109">
        <v>1.0447015926265164</v>
      </c>
      <c r="I76" s="109">
        <v>3.1877601390278278</v>
      </c>
      <c r="J76" s="109">
        <v>2.7056131895295841</v>
      </c>
      <c r="K76" s="110">
        <v>0.76981026080993542</v>
      </c>
    </row>
    <row r="77" spans="2:11" x14ac:dyDescent="0.3">
      <c r="B77" s="111"/>
      <c r="C77" s="112" t="s">
        <v>1483</v>
      </c>
      <c r="D77" s="1499">
        <v>5.3517780701004138</v>
      </c>
      <c r="E77" s="1499">
        <v>4.3548882180184805</v>
      </c>
      <c r="F77" s="1499">
        <v>3.6540251986225964</v>
      </c>
      <c r="G77" s="1499">
        <v>3.3739284986337914</v>
      </c>
      <c r="H77" s="1499">
        <v>3.3996557058822687</v>
      </c>
      <c r="I77" s="1499">
        <v>5.8548230613387187</v>
      </c>
      <c r="J77" s="1499">
        <v>5.377727730316602</v>
      </c>
      <c r="K77" s="113">
        <v>3.1852608585507705</v>
      </c>
    </row>
    <row r="78" spans="2:11" x14ac:dyDescent="0.3">
      <c r="B78" s="111" t="s">
        <v>1982</v>
      </c>
      <c r="C78" s="112" t="s">
        <v>1489</v>
      </c>
      <c r="D78" s="1499">
        <v>5.0568615802191186</v>
      </c>
      <c r="E78" s="1499">
        <v>4.0599717281371861</v>
      </c>
      <c r="F78" s="1499">
        <v>3.3591087087413016</v>
      </c>
      <c r="G78" s="1499">
        <v>3.079012008752497</v>
      </c>
      <c r="H78" s="1499">
        <v>3.1047392160009744</v>
      </c>
      <c r="I78" s="1499">
        <v>5.5599065714574234</v>
      </c>
      <c r="J78" s="1499">
        <v>5.0828112404353076</v>
      </c>
      <c r="K78" s="113">
        <v>2.8903443686694756</v>
      </c>
    </row>
    <row r="79" spans="2:11" x14ac:dyDescent="0.3">
      <c r="B79" s="114">
        <v>0</v>
      </c>
      <c r="C79" s="112" t="s">
        <v>1496</v>
      </c>
      <c r="D79" s="1499">
        <v>4.6144868453971766</v>
      </c>
      <c r="E79" s="1499">
        <v>3.6175969933152436</v>
      </c>
      <c r="F79" s="1499">
        <v>2.9167339739193592</v>
      </c>
      <c r="G79" s="1499">
        <v>2.6366372739305546</v>
      </c>
      <c r="H79" s="1499">
        <v>2.6623644811790319</v>
      </c>
      <c r="I79" s="1499">
        <v>5.1175318366354805</v>
      </c>
      <c r="J79" s="1499">
        <v>4.6404365056133647</v>
      </c>
      <c r="K79" s="113">
        <v>2.4479696338475332</v>
      </c>
    </row>
    <row r="80" spans="2:11" x14ac:dyDescent="0.3">
      <c r="B80" s="115"/>
      <c r="C80" s="112" t="s">
        <v>1500</v>
      </c>
      <c r="D80" s="1499">
        <v>4.1721121105752337</v>
      </c>
      <c r="E80" s="1499">
        <v>3.1752222584933012</v>
      </c>
      <c r="F80" s="1499">
        <v>2.4743592390974172</v>
      </c>
      <c r="G80" s="1499">
        <v>2.1942625391086121</v>
      </c>
      <c r="H80" s="1499">
        <v>2.2199897463570895</v>
      </c>
      <c r="I80" s="1499">
        <v>4.6751571018135385</v>
      </c>
      <c r="J80" s="1499">
        <v>4.1980617707914227</v>
      </c>
      <c r="K80" s="113">
        <v>2.0055948990255912</v>
      </c>
    </row>
    <row r="81" spans="2:11" x14ac:dyDescent="0.3">
      <c r="B81" s="115"/>
      <c r="C81" s="112" t="s">
        <v>1504</v>
      </c>
      <c r="D81" s="1499">
        <v>4.8501231749491902</v>
      </c>
      <c r="E81" s="1499">
        <v>3.8248875155384492</v>
      </c>
      <c r="F81" s="1499">
        <v>3.1421431537152484</v>
      </c>
      <c r="G81" s="1499">
        <v>2.8577542335052244</v>
      </c>
      <c r="H81" s="1499">
        <v>2.9015361238588144</v>
      </c>
      <c r="I81" s="1499">
        <v>5.3256593275680251</v>
      </c>
      <c r="J81" s="1499">
        <v>4.8496074269931633</v>
      </c>
      <c r="K81" s="113">
        <v>2.6740897912483348</v>
      </c>
    </row>
    <row r="82" spans="2:11" x14ac:dyDescent="0.3">
      <c r="B82" s="115"/>
      <c r="C82" s="112" t="s">
        <v>1508</v>
      </c>
      <c r="D82" s="1499">
        <v>4.6035777966412015</v>
      </c>
      <c r="E82" s="1499">
        <v>3.5783421372304591</v>
      </c>
      <c r="F82" s="1499">
        <v>2.8955977754072588</v>
      </c>
      <c r="G82" s="1499">
        <v>2.6112088551972348</v>
      </c>
      <c r="H82" s="1499">
        <v>2.6549907455508244</v>
      </c>
      <c r="I82" s="1499">
        <v>5.0791139492600355</v>
      </c>
      <c r="J82" s="1499">
        <v>4.6030620486851728</v>
      </c>
      <c r="K82" s="113">
        <v>2.4275444129403447</v>
      </c>
    </row>
    <row r="83" spans="2:11" x14ac:dyDescent="0.3">
      <c r="B83" s="115"/>
      <c r="C83" s="112" t="s">
        <v>1513</v>
      </c>
      <c r="D83" s="1499">
        <v>4.2337597291792157</v>
      </c>
      <c r="E83" s="1499">
        <v>3.2085240697684734</v>
      </c>
      <c r="F83" s="1499">
        <v>2.5257797079452731</v>
      </c>
      <c r="G83" s="1499">
        <v>2.2413907877352499</v>
      </c>
      <c r="H83" s="1499">
        <v>2.2851726780888391</v>
      </c>
      <c r="I83" s="1499">
        <v>4.7092958817980506</v>
      </c>
      <c r="J83" s="1499">
        <v>4.2332439812231879</v>
      </c>
      <c r="K83" s="113">
        <v>2.0577263454783594</v>
      </c>
    </row>
    <row r="84" spans="2:11" x14ac:dyDescent="0.3">
      <c r="B84" s="115"/>
      <c r="C84" s="112" t="s">
        <v>1517</v>
      </c>
      <c r="D84" s="1499">
        <v>3.8639416617172309</v>
      </c>
      <c r="E84" s="1499">
        <v>2.8387060023064885</v>
      </c>
      <c r="F84" s="1499">
        <v>2.1559616404832882</v>
      </c>
      <c r="G84" s="1499">
        <v>1.8715727202732646</v>
      </c>
      <c r="H84" s="1499">
        <v>1.915354610626854</v>
      </c>
      <c r="I84" s="1499">
        <v>4.3394778143360657</v>
      </c>
      <c r="J84" s="1499">
        <v>3.8634259137612026</v>
      </c>
      <c r="K84" s="113">
        <v>1.6879082780163746</v>
      </c>
    </row>
    <row r="85" spans="2:11" ht="14.5" thickBot="1" x14ac:dyDescent="0.35">
      <c r="B85" s="1233"/>
      <c r="C85" s="116" t="s">
        <v>1519</v>
      </c>
      <c r="D85" s="117">
        <v>5.3517780701004138</v>
      </c>
      <c r="E85" s="117">
        <v>4.3548882180184805</v>
      </c>
      <c r="F85" s="117">
        <v>3.6540251986225964</v>
      </c>
      <c r="G85" s="117">
        <v>3.3739284986337914</v>
      </c>
      <c r="H85" s="117">
        <v>3.3996557058822687</v>
      </c>
      <c r="I85" s="117">
        <v>5.8548230613387187</v>
      </c>
      <c r="J85" s="117">
        <v>5.377727730316602</v>
      </c>
      <c r="K85" s="118">
        <v>3.1852608585507705</v>
      </c>
    </row>
    <row r="87" spans="2:11" ht="14.5" thickBot="1" x14ac:dyDescent="0.35"/>
    <row r="88" spans="2:11" ht="25.5" thickBot="1" x14ac:dyDescent="0.55000000000000004">
      <c r="B88" s="88" t="s">
        <v>1960</v>
      </c>
      <c r="C88" s="89"/>
      <c r="D88" s="90">
        <v>1</v>
      </c>
      <c r="E88" s="91" t="s">
        <v>1984</v>
      </c>
      <c r="F88" s="92"/>
      <c r="G88" s="92"/>
      <c r="H88" s="92"/>
      <c r="I88" s="93"/>
      <c r="J88" s="89" t="s">
        <v>176</v>
      </c>
      <c r="K88" s="94" t="s">
        <v>243</v>
      </c>
    </row>
    <row r="89" spans="2:11" ht="14.5" thickBot="1" x14ac:dyDescent="0.35">
      <c r="B89" s="95" t="s">
        <v>1962</v>
      </c>
      <c r="C89" s="96" t="s">
        <v>1963</v>
      </c>
      <c r="D89" s="95" t="s">
        <v>1964</v>
      </c>
      <c r="E89" s="97" t="s">
        <v>1965</v>
      </c>
      <c r="F89" s="97" t="s">
        <v>1966</v>
      </c>
      <c r="G89" s="97" t="s">
        <v>1967</v>
      </c>
      <c r="H89" s="97" t="s">
        <v>1968</v>
      </c>
      <c r="I89" s="97" t="s">
        <v>1969</v>
      </c>
      <c r="J89" s="97" t="s">
        <v>1970</v>
      </c>
      <c r="K89" s="98" t="s">
        <v>1971</v>
      </c>
    </row>
    <row r="90" spans="2:11" ht="14.5" thickBot="1" x14ac:dyDescent="0.35">
      <c r="B90" s="99"/>
      <c r="C90" s="99"/>
      <c r="D90" s="100"/>
      <c r="E90" s="944"/>
      <c r="F90" s="944"/>
      <c r="G90" s="944"/>
      <c r="H90" s="944"/>
      <c r="I90" s="944"/>
      <c r="J90" s="944"/>
      <c r="K90" s="102"/>
    </row>
    <row r="91" spans="2:11" ht="90.5" thickBot="1" x14ac:dyDescent="0.45">
      <c r="B91" s="103" t="s">
        <v>1972</v>
      </c>
      <c r="C91" s="103" t="s">
        <v>1973</v>
      </c>
      <c r="D91" s="105" t="s">
        <v>1974</v>
      </c>
      <c r="E91" s="105" t="s">
        <v>1525</v>
      </c>
      <c r="F91" s="105" t="s">
        <v>1527</v>
      </c>
      <c r="G91" s="105" t="s">
        <v>1975</v>
      </c>
      <c r="H91" s="105" t="s">
        <v>1976</v>
      </c>
      <c r="I91" s="105" t="s">
        <v>1445</v>
      </c>
      <c r="J91" s="105" t="s">
        <v>1538</v>
      </c>
      <c r="K91" s="106" t="s">
        <v>1541</v>
      </c>
    </row>
    <row r="92" spans="2:11" x14ac:dyDescent="0.3">
      <c r="B92" s="107" t="s">
        <v>1985</v>
      </c>
      <c r="C92" s="108" t="s">
        <v>1416</v>
      </c>
      <c r="D92" s="109">
        <v>2.8711808679010145</v>
      </c>
      <c r="E92" s="109">
        <v>1.7109010311818942</v>
      </c>
      <c r="F92" s="109">
        <v>1.248993570186028</v>
      </c>
      <c r="G92" s="109">
        <v>0.90582039480712628</v>
      </c>
      <c r="H92" s="109">
        <v>1.0446777098726039</v>
      </c>
      <c r="I92" s="109">
        <v>3.1877123993836016</v>
      </c>
      <c r="J92" s="109">
        <v>2.7055671865352293</v>
      </c>
      <c r="K92" s="110">
        <v>0.76978257923675741</v>
      </c>
    </row>
    <row r="93" spans="2:11" x14ac:dyDescent="0.3">
      <c r="B93" s="111"/>
      <c r="C93" s="112" t="s">
        <v>1483</v>
      </c>
      <c r="D93" s="1499">
        <v>5.351737098664656</v>
      </c>
      <c r="E93" s="1499">
        <v>4.3548453685287258</v>
      </c>
      <c r="F93" s="1499">
        <v>3.6539867558386541</v>
      </c>
      <c r="G93" s="1499">
        <v>3.3738882987116017</v>
      </c>
      <c r="H93" s="1499">
        <v>3.3996174290720198</v>
      </c>
      <c r="I93" s="1499">
        <v>5.8547766860846</v>
      </c>
      <c r="J93" s="1499">
        <v>5.3776825253720935</v>
      </c>
      <c r="K93" s="113">
        <v>3.185223957732858</v>
      </c>
    </row>
    <row r="94" spans="2:11" x14ac:dyDescent="0.3">
      <c r="B94" s="111" t="s">
        <v>1986</v>
      </c>
      <c r="C94" s="112" t="s">
        <v>1489</v>
      </c>
      <c r="D94" s="1499">
        <v>5.0568206087833607</v>
      </c>
      <c r="E94" s="1499">
        <v>4.0599288786474315</v>
      </c>
      <c r="F94" s="1499">
        <v>3.3590702659573592</v>
      </c>
      <c r="G94" s="1499">
        <v>3.0789718088303064</v>
      </c>
      <c r="H94" s="1499">
        <v>3.104700939190725</v>
      </c>
      <c r="I94" s="1499">
        <v>5.5598601962033047</v>
      </c>
      <c r="J94" s="1499">
        <v>5.0827660354907991</v>
      </c>
      <c r="K94" s="113">
        <v>2.8903074678515632</v>
      </c>
    </row>
    <row r="95" spans="2:11" x14ac:dyDescent="0.3">
      <c r="B95" s="114">
        <v>0</v>
      </c>
      <c r="C95" s="112" t="s">
        <v>1496</v>
      </c>
      <c r="D95" s="1499">
        <v>4.6144458739614196</v>
      </c>
      <c r="E95" s="1499">
        <v>3.617554143825489</v>
      </c>
      <c r="F95" s="1499">
        <v>2.9166955311354172</v>
      </c>
      <c r="G95" s="1499">
        <v>2.6365970740083644</v>
      </c>
      <c r="H95" s="1499">
        <v>2.6623262043687825</v>
      </c>
      <c r="I95" s="1499">
        <v>5.1174854613813627</v>
      </c>
      <c r="J95" s="1499">
        <v>4.6403913006688571</v>
      </c>
      <c r="K95" s="113">
        <v>2.4479327330296208</v>
      </c>
    </row>
    <row r="96" spans="2:11" x14ac:dyDescent="0.3">
      <c r="B96" s="115"/>
      <c r="C96" s="112" t="s">
        <v>1500</v>
      </c>
      <c r="D96" s="1499">
        <v>4.1720711391394767</v>
      </c>
      <c r="E96" s="1499">
        <v>3.1751794090035466</v>
      </c>
      <c r="F96" s="1499">
        <v>2.4743207963134748</v>
      </c>
      <c r="G96" s="1499">
        <v>2.194222339186422</v>
      </c>
      <c r="H96" s="1499">
        <v>2.2199514695468405</v>
      </c>
      <c r="I96" s="1499">
        <v>4.6751107265594207</v>
      </c>
      <c r="J96" s="1499">
        <v>4.1980165658469151</v>
      </c>
      <c r="K96" s="113">
        <v>2.0055579982076788</v>
      </c>
    </row>
    <row r="97" spans="2:11" x14ac:dyDescent="0.3">
      <c r="B97" s="115"/>
      <c r="C97" s="112" t="s">
        <v>1504</v>
      </c>
      <c r="D97" s="1499">
        <v>4.8500831108513962</v>
      </c>
      <c r="E97" s="1499">
        <v>3.8248456285444998</v>
      </c>
      <c r="F97" s="1499">
        <v>3.142108067913111</v>
      </c>
      <c r="G97" s="1499">
        <v>2.8577157204439989</v>
      </c>
      <c r="H97" s="1499">
        <v>2.9015000957155364</v>
      </c>
      <c r="I97" s="1499">
        <v>5.3256120232274542</v>
      </c>
      <c r="J97" s="1499">
        <v>4.8495612925090317</v>
      </c>
      <c r="K97" s="113">
        <v>2.6740522605158845</v>
      </c>
    </row>
    <row r="98" spans="2:11" x14ac:dyDescent="0.3">
      <c r="B98" s="115"/>
      <c r="C98" s="112" t="s">
        <v>1508</v>
      </c>
      <c r="D98" s="1499">
        <v>4.6035377325434057</v>
      </c>
      <c r="E98" s="1499">
        <v>3.5783002502365098</v>
      </c>
      <c r="F98" s="1499">
        <v>2.895562689605121</v>
      </c>
      <c r="G98" s="1499">
        <v>2.6111703421360088</v>
      </c>
      <c r="H98" s="1499">
        <v>2.6549547174075463</v>
      </c>
      <c r="I98" s="1499">
        <v>5.0790666449194637</v>
      </c>
      <c r="J98" s="1499">
        <v>4.6030159142010412</v>
      </c>
      <c r="K98" s="113">
        <v>2.4275068822078945</v>
      </c>
    </row>
    <row r="99" spans="2:11" x14ac:dyDescent="0.3">
      <c r="B99" s="115"/>
      <c r="C99" s="112" t="s">
        <v>1513</v>
      </c>
      <c r="D99" s="1499">
        <v>4.2337196650814208</v>
      </c>
      <c r="E99" s="1499">
        <v>3.2084821827745245</v>
      </c>
      <c r="F99" s="1499">
        <v>2.5257446221431357</v>
      </c>
      <c r="G99" s="1499">
        <v>2.2413522746740235</v>
      </c>
      <c r="H99" s="1499">
        <v>2.2851366499455614</v>
      </c>
      <c r="I99" s="1499">
        <v>4.7092485774574788</v>
      </c>
      <c r="J99" s="1499">
        <v>4.2331978467390563</v>
      </c>
      <c r="K99" s="113">
        <v>2.0576888147459091</v>
      </c>
    </row>
    <row r="100" spans="2:11" x14ac:dyDescent="0.3">
      <c r="B100" s="115"/>
      <c r="C100" s="112" t="s">
        <v>1517</v>
      </c>
      <c r="D100" s="1499">
        <v>3.863901597619436</v>
      </c>
      <c r="E100" s="1499">
        <v>2.8386641153125396</v>
      </c>
      <c r="F100" s="1499">
        <v>2.1559265546811508</v>
      </c>
      <c r="G100" s="1499">
        <v>1.8715342072120387</v>
      </c>
      <c r="H100" s="1499">
        <v>1.9153185824835761</v>
      </c>
      <c r="I100" s="1499">
        <v>4.339430509995494</v>
      </c>
      <c r="J100" s="1499">
        <v>3.863379779277071</v>
      </c>
      <c r="K100" s="113">
        <v>1.6878707472839241</v>
      </c>
    </row>
    <row r="101" spans="2:11" ht="14.5" thickBot="1" x14ac:dyDescent="0.35">
      <c r="B101" s="115"/>
      <c r="C101" s="116" t="s">
        <v>1519</v>
      </c>
      <c r="D101" s="117">
        <v>5.351737098664656</v>
      </c>
      <c r="E101" s="117">
        <v>4.3548453685287258</v>
      </c>
      <c r="F101" s="117">
        <v>3.6539867558386541</v>
      </c>
      <c r="G101" s="117">
        <v>3.3738882987116017</v>
      </c>
      <c r="H101" s="117">
        <v>3.3996174290720198</v>
      </c>
      <c r="I101" s="117">
        <v>5.8547766860846</v>
      </c>
      <c r="J101" s="117">
        <v>5.3776825253720935</v>
      </c>
      <c r="K101" s="118">
        <v>3.185223957732858</v>
      </c>
    </row>
    <row r="102" spans="2:11" x14ac:dyDescent="0.3">
      <c r="B102" s="120" t="s">
        <v>1985</v>
      </c>
      <c r="C102" s="1234" t="s">
        <v>1416</v>
      </c>
      <c r="D102" s="109">
        <v>2.8711791250140979</v>
      </c>
      <c r="E102" s="109">
        <v>1.7108992882949778</v>
      </c>
      <c r="F102" s="109">
        <v>1.2489918272991116</v>
      </c>
      <c r="G102" s="109">
        <v>0.90581865192020983</v>
      </c>
      <c r="H102" s="109">
        <v>1.0446759669856873</v>
      </c>
      <c r="I102" s="109">
        <v>3.1877106564966851</v>
      </c>
      <c r="J102" s="109">
        <v>2.7055654436483128</v>
      </c>
      <c r="K102" s="110">
        <v>0.76978083634984096</v>
      </c>
    </row>
    <row r="103" spans="2:11" x14ac:dyDescent="0.3">
      <c r="B103" s="121"/>
      <c r="C103" s="1500" t="s">
        <v>1483</v>
      </c>
      <c r="D103" s="1499">
        <v>5.3517353557777394</v>
      </c>
      <c r="E103" s="1499">
        <v>4.3548436256418093</v>
      </c>
      <c r="F103" s="1499">
        <v>3.6539850129517375</v>
      </c>
      <c r="G103" s="1499">
        <v>3.3738865558246851</v>
      </c>
      <c r="H103" s="1499">
        <v>3.3996156861851032</v>
      </c>
      <c r="I103" s="1499">
        <v>5.8547749431976834</v>
      </c>
      <c r="J103" s="1499">
        <v>5.3776807824851778</v>
      </c>
      <c r="K103" s="113">
        <v>3.1852222148459415</v>
      </c>
    </row>
    <row r="104" spans="2:11" x14ac:dyDescent="0.3">
      <c r="B104" s="111" t="s">
        <v>1987</v>
      </c>
      <c r="C104" s="1500" t="s">
        <v>1489</v>
      </c>
      <c r="D104" s="1499">
        <v>5.056818865896445</v>
      </c>
      <c r="E104" s="1499">
        <v>4.0599271357605149</v>
      </c>
      <c r="F104" s="1499">
        <v>3.3590685230704427</v>
      </c>
      <c r="G104" s="1499">
        <v>3.0789700659433898</v>
      </c>
      <c r="H104" s="1499">
        <v>3.1046991963038084</v>
      </c>
      <c r="I104" s="1499">
        <v>5.5598584533163891</v>
      </c>
      <c r="J104" s="1499">
        <v>5.0827642926038825</v>
      </c>
      <c r="K104" s="113">
        <v>2.8903057249646467</v>
      </c>
    </row>
    <row r="105" spans="2:11" x14ac:dyDescent="0.3">
      <c r="B105" s="122">
        <v>0</v>
      </c>
      <c r="C105" s="1500" t="s">
        <v>1496</v>
      </c>
      <c r="D105" s="1499">
        <v>4.6144441310745021</v>
      </c>
      <c r="E105" s="1499">
        <v>3.617552400938572</v>
      </c>
      <c r="F105" s="1499">
        <v>2.9166937882485002</v>
      </c>
      <c r="G105" s="1499">
        <v>2.6365953311214478</v>
      </c>
      <c r="H105" s="1499">
        <v>2.662324461481866</v>
      </c>
      <c r="I105" s="1499">
        <v>5.1174837184944471</v>
      </c>
      <c r="J105" s="1499">
        <v>4.6403895577819405</v>
      </c>
      <c r="K105" s="113">
        <v>2.4479309901427042</v>
      </c>
    </row>
    <row r="106" spans="2:11" x14ac:dyDescent="0.3">
      <c r="B106" s="123"/>
      <c r="C106" s="1500" t="s">
        <v>1500</v>
      </c>
      <c r="D106" s="1499">
        <v>4.1720693962525601</v>
      </c>
      <c r="E106" s="1499">
        <v>3.17517766611663</v>
      </c>
      <c r="F106" s="1499">
        <v>2.4743190534265582</v>
      </c>
      <c r="G106" s="1499">
        <v>2.1942205962995054</v>
      </c>
      <c r="H106" s="1499">
        <v>2.219949726659924</v>
      </c>
      <c r="I106" s="1499">
        <v>4.6751089836725042</v>
      </c>
      <c r="J106" s="1499">
        <v>4.1980148229599985</v>
      </c>
      <c r="K106" s="113">
        <v>2.0055562553207622</v>
      </c>
    </row>
    <row r="107" spans="2:11" x14ac:dyDescent="0.3">
      <c r="B107" s="123"/>
      <c r="C107" s="1500" t="s">
        <v>1504</v>
      </c>
      <c r="D107" s="1499">
        <v>4.8500813679644788</v>
      </c>
      <c r="E107" s="1499">
        <v>3.8248438856575833</v>
      </c>
      <c r="F107" s="1499">
        <v>3.1421063250261945</v>
      </c>
      <c r="G107" s="1499">
        <v>2.8577139775570823</v>
      </c>
      <c r="H107" s="1499">
        <v>2.9014983528286198</v>
      </c>
      <c r="I107" s="1499">
        <v>5.3256102803405376</v>
      </c>
      <c r="J107" s="1499">
        <v>4.8495595496221142</v>
      </c>
      <c r="K107" s="113">
        <v>2.6740505176289679</v>
      </c>
    </row>
    <row r="108" spans="2:11" x14ac:dyDescent="0.3">
      <c r="B108" s="123"/>
      <c r="C108" s="1500" t="s">
        <v>1508</v>
      </c>
      <c r="D108" s="1499">
        <v>4.6035359896564891</v>
      </c>
      <c r="E108" s="1499">
        <v>3.5782985073495932</v>
      </c>
      <c r="F108" s="1499">
        <v>2.8955609467182044</v>
      </c>
      <c r="G108" s="1499">
        <v>2.6111685992490923</v>
      </c>
      <c r="H108" s="1499">
        <v>2.6549529745206297</v>
      </c>
      <c r="I108" s="1499">
        <v>5.079064902032548</v>
      </c>
      <c r="J108" s="1499">
        <v>4.6030141713141246</v>
      </c>
      <c r="K108" s="113">
        <v>2.4275051393209774</v>
      </c>
    </row>
    <row r="109" spans="2:11" x14ac:dyDescent="0.3">
      <c r="B109" s="123"/>
      <c r="C109" s="1500" t="s">
        <v>1513</v>
      </c>
      <c r="D109" s="1499">
        <v>4.2337179221945043</v>
      </c>
      <c r="E109" s="1499">
        <v>3.2084804398876083</v>
      </c>
      <c r="F109" s="1499">
        <v>2.5257428792562195</v>
      </c>
      <c r="G109" s="1499">
        <v>2.2413505317871074</v>
      </c>
      <c r="H109" s="1499">
        <v>2.2851349070586449</v>
      </c>
      <c r="I109" s="1499">
        <v>4.7092468345705631</v>
      </c>
      <c r="J109" s="1499">
        <v>4.2331961038521397</v>
      </c>
      <c r="K109" s="113">
        <v>2.0576870718589926</v>
      </c>
    </row>
    <row r="110" spans="2:11" x14ac:dyDescent="0.3">
      <c r="B110" s="123"/>
      <c r="C110" s="1500" t="s">
        <v>1517</v>
      </c>
      <c r="D110" s="1499">
        <v>3.8638998547325198</v>
      </c>
      <c r="E110" s="1499">
        <v>2.8386623724256235</v>
      </c>
      <c r="F110" s="1499">
        <v>2.1559248117942342</v>
      </c>
      <c r="G110" s="1499">
        <v>1.8715324643251223</v>
      </c>
      <c r="H110" s="1499">
        <v>1.9153168395966598</v>
      </c>
      <c r="I110" s="1499">
        <v>4.3394287671085783</v>
      </c>
      <c r="J110" s="1499">
        <v>3.8633780363901549</v>
      </c>
      <c r="K110" s="113">
        <v>1.6878690043970077</v>
      </c>
    </row>
    <row r="111" spans="2:11" ht="14.5" thickBot="1" x14ac:dyDescent="0.35">
      <c r="B111" s="124"/>
      <c r="C111" s="125" t="s">
        <v>1519</v>
      </c>
      <c r="D111" s="117">
        <v>5.3517353557777394</v>
      </c>
      <c r="E111" s="117">
        <v>4.3548436256418093</v>
      </c>
      <c r="F111" s="117">
        <v>3.6539850129517375</v>
      </c>
      <c r="G111" s="117">
        <v>3.3738865558246851</v>
      </c>
      <c r="H111" s="117">
        <v>3.3996156861851032</v>
      </c>
      <c r="I111" s="117">
        <v>5.8547749431976834</v>
      </c>
      <c r="J111" s="117">
        <v>5.3776807824851778</v>
      </c>
      <c r="K111" s="118">
        <v>3.1852222148459415</v>
      </c>
    </row>
    <row r="112" spans="2:11" x14ac:dyDescent="0.3">
      <c r="B112" s="119" t="s">
        <v>1985</v>
      </c>
      <c r="C112" s="108" t="s">
        <v>1416</v>
      </c>
      <c r="D112" s="109">
        <v>2.871176510683723</v>
      </c>
      <c r="E112" s="109">
        <v>1.7108966739646032</v>
      </c>
      <c r="F112" s="109">
        <v>1.248989212968737</v>
      </c>
      <c r="G112" s="109">
        <v>0.9058160375898352</v>
      </c>
      <c r="H112" s="109">
        <v>1.0446733526553127</v>
      </c>
      <c r="I112" s="109">
        <v>3.1877080421663107</v>
      </c>
      <c r="J112" s="109">
        <v>2.7055628293179379</v>
      </c>
      <c r="K112" s="110">
        <v>0.76977822201946633</v>
      </c>
    </row>
    <row r="113" spans="2:11" x14ac:dyDescent="0.3">
      <c r="B113" s="111"/>
      <c r="C113" s="112" t="s">
        <v>1483</v>
      </c>
      <c r="D113" s="1499">
        <v>5.351732741447365</v>
      </c>
      <c r="E113" s="1499">
        <v>4.3548410113114349</v>
      </c>
      <c r="F113" s="1499">
        <v>3.6539823986213631</v>
      </c>
      <c r="G113" s="1499">
        <v>3.3738839414943103</v>
      </c>
      <c r="H113" s="1499">
        <v>3.3996130718547288</v>
      </c>
      <c r="I113" s="1499">
        <v>5.854772328867309</v>
      </c>
      <c r="J113" s="1499">
        <v>5.3776781681548034</v>
      </c>
      <c r="K113" s="113">
        <v>3.1852196005155671</v>
      </c>
    </row>
    <row r="114" spans="2:11" ht="14.5" thickBot="1" x14ac:dyDescent="0.35">
      <c r="B114" s="111" t="s">
        <v>1988</v>
      </c>
      <c r="C114" s="112" t="s">
        <v>1489</v>
      </c>
      <c r="D114" s="1499">
        <v>5.0568162515660706</v>
      </c>
      <c r="E114" s="1499">
        <v>4.0599245214301396</v>
      </c>
      <c r="F114" s="1501">
        <v>3.3590659087400683</v>
      </c>
      <c r="G114" s="1499">
        <v>3.0789674516130154</v>
      </c>
      <c r="H114" s="1499">
        <v>3.104696581973434</v>
      </c>
      <c r="I114" s="1499">
        <v>5.5598558389860138</v>
      </c>
      <c r="J114" s="1499">
        <v>5.0827616782735081</v>
      </c>
      <c r="K114" s="113">
        <v>2.8903031106342723</v>
      </c>
    </row>
    <row r="115" spans="2:11" ht="14.5" thickBot="1" x14ac:dyDescent="0.35">
      <c r="B115" s="114">
        <v>0</v>
      </c>
      <c r="C115" s="112" t="s">
        <v>1496</v>
      </c>
      <c r="D115" s="1499">
        <v>4.6144415167441277</v>
      </c>
      <c r="E115" s="1502">
        <v>3.6175497866081976</v>
      </c>
      <c r="F115" s="126">
        <v>2.9166911739181258</v>
      </c>
      <c r="G115" s="1503">
        <v>2.636592716791073</v>
      </c>
      <c r="H115" s="1499">
        <v>2.6623218471514916</v>
      </c>
      <c r="I115" s="1499">
        <v>5.1174811041640726</v>
      </c>
      <c r="J115" s="1499">
        <v>4.6403869434515661</v>
      </c>
      <c r="K115" s="113">
        <v>2.4479283758123298</v>
      </c>
    </row>
    <row r="116" spans="2:11" x14ac:dyDescent="0.3">
      <c r="B116" s="115"/>
      <c r="C116" s="112" t="s">
        <v>1500</v>
      </c>
      <c r="D116" s="1499">
        <v>4.1720667819221857</v>
      </c>
      <c r="E116" s="1499">
        <v>3.1751750517862551</v>
      </c>
      <c r="F116" s="127">
        <v>2.4743164390961834</v>
      </c>
      <c r="G116" s="1499">
        <v>2.194217981969131</v>
      </c>
      <c r="H116" s="1499">
        <v>2.2199471123295496</v>
      </c>
      <c r="I116" s="1499">
        <v>4.6751063693421298</v>
      </c>
      <c r="J116" s="1499">
        <v>4.1980122086296232</v>
      </c>
      <c r="K116" s="113">
        <v>2.0055536409903878</v>
      </c>
    </row>
    <row r="117" spans="2:11" x14ac:dyDescent="0.3">
      <c r="B117" s="115"/>
      <c r="C117" s="112" t="s">
        <v>1504</v>
      </c>
      <c r="D117" s="1499">
        <v>4.8500787536341043</v>
      </c>
      <c r="E117" s="1499">
        <v>3.8248412713272084</v>
      </c>
      <c r="F117" s="1499">
        <v>3.1421037106958196</v>
      </c>
      <c r="G117" s="1499">
        <v>2.8577113632267079</v>
      </c>
      <c r="H117" s="1499">
        <v>2.9014957384982454</v>
      </c>
      <c r="I117" s="1499">
        <v>5.3256076660101623</v>
      </c>
      <c r="J117" s="1499">
        <v>4.8495569352917398</v>
      </c>
      <c r="K117" s="113">
        <v>2.6740479032985931</v>
      </c>
    </row>
    <row r="118" spans="2:11" x14ac:dyDescent="0.3">
      <c r="B118" s="115"/>
      <c r="C118" s="112" t="s">
        <v>1508</v>
      </c>
      <c r="D118" s="1499">
        <v>4.6035333753261147</v>
      </c>
      <c r="E118" s="1499">
        <v>3.5782958930192184</v>
      </c>
      <c r="F118" s="1499">
        <v>2.8955583323878296</v>
      </c>
      <c r="G118" s="1499">
        <v>2.6111659849187174</v>
      </c>
      <c r="H118" s="1499">
        <v>2.6549503601902553</v>
      </c>
      <c r="I118" s="1499">
        <v>5.0790622877021727</v>
      </c>
      <c r="J118" s="1499">
        <v>4.6030115569837502</v>
      </c>
      <c r="K118" s="113">
        <v>2.427502524990603</v>
      </c>
    </row>
    <row r="119" spans="2:11" x14ac:dyDescent="0.3">
      <c r="B119" s="115"/>
      <c r="C119" s="112" t="s">
        <v>1513</v>
      </c>
      <c r="D119" s="1499">
        <v>4.2337153078641299</v>
      </c>
      <c r="E119" s="1499">
        <v>3.2084778255572335</v>
      </c>
      <c r="F119" s="1499">
        <v>2.5257402649258447</v>
      </c>
      <c r="G119" s="1499">
        <v>2.2413479174567326</v>
      </c>
      <c r="H119" s="1499">
        <v>2.2851322927282705</v>
      </c>
      <c r="I119" s="1499">
        <v>4.7092442202401879</v>
      </c>
      <c r="J119" s="1499">
        <v>4.2331934895217653</v>
      </c>
      <c r="K119" s="113">
        <v>2.0576844575286182</v>
      </c>
    </row>
    <row r="120" spans="2:11" x14ac:dyDescent="0.3">
      <c r="B120" s="115"/>
      <c r="C120" s="112" t="s">
        <v>1517</v>
      </c>
      <c r="D120" s="1499">
        <v>3.863897240402145</v>
      </c>
      <c r="E120" s="1499">
        <v>2.8386597580952486</v>
      </c>
      <c r="F120" s="1499">
        <v>2.1559221974638598</v>
      </c>
      <c r="G120" s="1499">
        <v>1.8715298499947477</v>
      </c>
      <c r="H120" s="1499">
        <v>1.9153142252662851</v>
      </c>
      <c r="I120" s="1499">
        <v>4.339426152778203</v>
      </c>
      <c r="J120" s="1499">
        <v>3.8633754220597805</v>
      </c>
      <c r="K120" s="113">
        <v>1.6878663900666331</v>
      </c>
    </row>
    <row r="121" spans="2:11" ht="14.5" thickBot="1" x14ac:dyDescent="0.35">
      <c r="B121" s="1233"/>
      <c r="C121" s="116" t="s">
        <v>1519</v>
      </c>
      <c r="D121" s="117">
        <v>5.351732741447365</v>
      </c>
      <c r="E121" s="117">
        <v>4.3548410113114349</v>
      </c>
      <c r="F121" s="117">
        <v>3.6539823986213631</v>
      </c>
      <c r="G121" s="117">
        <v>3.3738839414943103</v>
      </c>
      <c r="H121" s="117">
        <v>3.3996130718547288</v>
      </c>
      <c r="I121" s="117">
        <v>5.854772328867309</v>
      </c>
      <c r="J121" s="117">
        <v>5.3776781681548034</v>
      </c>
      <c r="K121" s="118">
        <v>3.1852196005155671</v>
      </c>
    </row>
    <row r="122" spans="2:11" x14ac:dyDescent="0.3">
      <c r="B122" s="107" t="s">
        <v>1985</v>
      </c>
      <c r="C122" s="108" t="s">
        <v>1416</v>
      </c>
      <c r="D122" s="109">
        <v>2.8711738963533486</v>
      </c>
      <c r="E122" s="109">
        <v>1.7108940596342286</v>
      </c>
      <c r="F122" s="109">
        <v>1.2489865986383624</v>
      </c>
      <c r="G122" s="109">
        <v>0.90581342325946057</v>
      </c>
      <c r="H122" s="109">
        <v>1.0446707383249381</v>
      </c>
      <c r="I122" s="109">
        <v>3.1877054278359358</v>
      </c>
      <c r="J122" s="109">
        <v>2.7055602149875635</v>
      </c>
      <c r="K122" s="110">
        <v>0.7697756076890917</v>
      </c>
    </row>
    <row r="123" spans="2:11" x14ac:dyDescent="0.3">
      <c r="B123" s="111"/>
      <c r="C123" s="112" t="s">
        <v>1483</v>
      </c>
      <c r="D123" s="1499">
        <v>5.3517301271169906</v>
      </c>
      <c r="E123" s="1499">
        <v>4.3548383969810605</v>
      </c>
      <c r="F123" s="1499">
        <v>3.6539797842909882</v>
      </c>
      <c r="G123" s="1499">
        <v>3.3738813271639354</v>
      </c>
      <c r="H123" s="1499">
        <v>3.399610457524354</v>
      </c>
      <c r="I123" s="1499">
        <v>5.8547697145369346</v>
      </c>
      <c r="J123" s="1499">
        <v>5.3776755538244281</v>
      </c>
      <c r="K123" s="113">
        <v>3.1852169861851922</v>
      </c>
    </row>
    <row r="124" spans="2:11" x14ac:dyDescent="0.3">
      <c r="B124" s="111" t="s">
        <v>1989</v>
      </c>
      <c r="C124" s="112" t="s">
        <v>1489</v>
      </c>
      <c r="D124" s="1499">
        <v>5.0568136372356953</v>
      </c>
      <c r="E124" s="1499">
        <v>4.0599219070997652</v>
      </c>
      <c r="F124" s="1499">
        <v>3.3590632944096934</v>
      </c>
      <c r="G124" s="1499">
        <v>3.0789648372826406</v>
      </c>
      <c r="H124" s="1499">
        <v>3.1046939676430592</v>
      </c>
      <c r="I124" s="1499">
        <v>5.5598532246556394</v>
      </c>
      <c r="J124" s="1499">
        <v>5.0827590639431337</v>
      </c>
      <c r="K124" s="113">
        <v>2.8903004963038974</v>
      </c>
    </row>
    <row r="125" spans="2:11" x14ac:dyDescent="0.3">
      <c r="B125" s="114">
        <v>0</v>
      </c>
      <c r="C125" s="112" t="s">
        <v>1496</v>
      </c>
      <c r="D125" s="1499">
        <v>4.6144389024137533</v>
      </c>
      <c r="E125" s="1499">
        <v>3.6175471722778227</v>
      </c>
      <c r="F125" s="1499">
        <v>2.916688559587751</v>
      </c>
      <c r="G125" s="1499">
        <v>2.6365901024606986</v>
      </c>
      <c r="H125" s="1499">
        <v>2.6623192328211167</v>
      </c>
      <c r="I125" s="1499">
        <v>5.1174784898336974</v>
      </c>
      <c r="J125" s="1499">
        <v>4.6403843291211908</v>
      </c>
      <c r="K125" s="113">
        <v>2.447925761481955</v>
      </c>
    </row>
    <row r="126" spans="2:11" x14ac:dyDescent="0.3">
      <c r="B126" s="115"/>
      <c r="C126" s="112" t="s">
        <v>1500</v>
      </c>
      <c r="D126" s="1499">
        <v>4.1720641675918113</v>
      </c>
      <c r="E126" s="1499">
        <v>3.1751724374558807</v>
      </c>
      <c r="F126" s="1499">
        <v>2.474313824765809</v>
      </c>
      <c r="G126" s="1499">
        <v>2.1942153676387561</v>
      </c>
      <c r="H126" s="1499">
        <v>2.2199444979991747</v>
      </c>
      <c r="I126" s="1499">
        <v>4.6751037550117545</v>
      </c>
      <c r="J126" s="1499">
        <v>4.1980095942992488</v>
      </c>
      <c r="K126" s="113">
        <v>2.0055510266600129</v>
      </c>
    </row>
    <row r="127" spans="2:11" x14ac:dyDescent="0.3">
      <c r="B127" s="115"/>
      <c r="C127" s="112" t="s">
        <v>1504</v>
      </c>
      <c r="D127" s="1499">
        <v>4.8500761393037299</v>
      </c>
      <c r="E127" s="1499">
        <v>3.824838656996834</v>
      </c>
      <c r="F127" s="1499">
        <v>3.1421010963654452</v>
      </c>
      <c r="G127" s="1499">
        <v>2.8577087488963331</v>
      </c>
      <c r="H127" s="1499">
        <v>2.9014931241678705</v>
      </c>
      <c r="I127" s="1499">
        <v>5.3256050516797879</v>
      </c>
      <c r="J127" s="1499">
        <v>4.8495543209613654</v>
      </c>
      <c r="K127" s="113">
        <v>2.6740452889682182</v>
      </c>
    </row>
    <row r="128" spans="2:11" x14ac:dyDescent="0.3">
      <c r="B128" s="115"/>
      <c r="C128" s="112" t="s">
        <v>1508</v>
      </c>
      <c r="D128" s="1499">
        <v>4.6035307609957403</v>
      </c>
      <c r="E128" s="1499">
        <v>3.5782932786888439</v>
      </c>
      <c r="F128" s="1499">
        <v>2.8955557180574552</v>
      </c>
      <c r="G128" s="1499">
        <v>2.611163370588343</v>
      </c>
      <c r="H128" s="1499">
        <v>2.6549477458598805</v>
      </c>
      <c r="I128" s="1499">
        <v>5.0790596733717983</v>
      </c>
      <c r="J128" s="1499">
        <v>4.6030089426533758</v>
      </c>
      <c r="K128" s="113">
        <v>2.4274999106602282</v>
      </c>
    </row>
    <row r="129" spans="2:11" x14ac:dyDescent="0.3">
      <c r="B129" s="115"/>
      <c r="C129" s="112" t="s">
        <v>1513</v>
      </c>
      <c r="D129" s="1499">
        <v>4.2337126935337555</v>
      </c>
      <c r="E129" s="1499">
        <v>3.2084752112268591</v>
      </c>
      <c r="F129" s="1499">
        <v>2.5257376505954703</v>
      </c>
      <c r="G129" s="1499">
        <v>2.2413453031263582</v>
      </c>
      <c r="H129" s="1499">
        <v>2.2851296783978956</v>
      </c>
      <c r="I129" s="1499">
        <v>4.7092416059098134</v>
      </c>
      <c r="J129" s="1499">
        <v>4.2331908751913909</v>
      </c>
      <c r="K129" s="113">
        <v>2.0576818431982433</v>
      </c>
    </row>
    <row r="130" spans="2:11" x14ac:dyDescent="0.3">
      <c r="B130" s="115"/>
      <c r="C130" s="112" t="s">
        <v>1517</v>
      </c>
      <c r="D130" s="1499">
        <v>3.8638946260717706</v>
      </c>
      <c r="E130" s="1499">
        <v>2.8386571437648742</v>
      </c>
      <c r="F130" s="1499">
        <v>2.155919583133485</v>
      </c>
      <c r="G130" s="1499">
        <v>1.8715272356643731</v>
      </c>
      <c r="H130" s="1499">
        <v>1.9153116109359105</v>
      </c>
      <c r="I130" s="1499">
        <v>4.3394235384478286</v>
      </c>
      <c r="J130" s="1499">
        <v>3.8633728077294056</v>
      </c>
      <c r="K130" s="113">
        <v>1.6878637757362585</v>
      </c>
    </row>
    <row r="131" spans="2:11" ht="14.5" thickBot="1" x14ac:dyDescent="0.35">
      <c r="B131" s="1233"/>
      <c r="C131" s="116" t="s">
        <v>1519</v>
      </c>
      <c r="D131" s="117">
        <v>5.3517301271169906</v>
      </c>
      <c r="E131" s="117">
        <v>4.3548383969810605</v>
      </c>
      <c r="F131" s="117">
        <v>3.6539797842909882</v>
      </c>
      <c r="G131" s="117">
        <v>3.3738813271639354</v>
      </c>
      <c r="H131" s="117">
        <v>3.399610457524354</v>
      </c>
      <c r="I131" s="117">
        <v>5.8547697145369346</v>
      </c>
      <c r="J131" s="117">
        <v>5.3776755538244281</v>
      </c>
      <c r="K131" s="118">
        <v>3.1852169861851922</v>
      </c>
    </row>
    <row r="132" spans="2:11" x14ac:dyDescent="0.3">
      <c r="B132" s="120" t="s">
        <v>1990</v>
      </c>
      <c r="C132" s="108" t="s">
        <v>1416</v>
      </c>
      <c r="D132" s="109">
        <v>2.8711770557511174</v>
      </c>
      <c r="E132" s="109">
        <v>1.7108970077366632</v>
      </c>
      <c r="F132" s="109">
        <v>1.2489907777221276</v>
      </c>
      <c r="G132" s="109">
        <v>0.90581716976154025</v>
      </c>
      <c r="H132" s="109">
        <v>1.0446747954584261</v>
      </c>
      <c r="I132" s="109">
        <v>3.1877077637410887</v>
      </c>
      <c r="J132" s="109">
        <v>2.7055626761886336</v>
      </c>
      <c r="K132" s="110">
        <v>0.76977939074514201</v>
      </c>
    </row>
    <row r="133" spans="2:11" x14ac:dyDescent="0.3">
      <c r="B133" s="111"/>
      <c r="C133" s="112" t="s">
        <v>1483</v>
      </c>
      <c r="D133" s="1499">
        <v>5.3517329513352481</v>
      </c>
      <c r="E133" s="1499">
        <v>4.3548410857013664</v>
      </c>
      <c r="F133" s="1499">
        <v>3.6539827909465679</v>
      </c>
      <c r="G133" s="1499">
        <v>3.3738842070454007</v>
      </c>
      <c r="H133" s="1499">
        <v>3.3996134761546122</v>
      </c>
      <c r="I133" s="1499">
        <v>5.8547721488801843</v>
      </c>
      <c r="J133" s="1499">
        <v>5.3776780726032456</v>
      </c>
      <c r="K133" s="113">
        <v>3.1852201040906269</v>
      </c>
    </row>
    <row r="134" spans="2:11" x14ac:dyDescent="0.3">
      <c r="B134" s="111" t="s">
        <v>1986</v>
      </c>
      <c r="C134" s="112" t="s">
        <v>1489</v>
      </c>
      <c r="D134" s="1499">
        <v>5.0568164614539537</v>
      </c>
      <c r="E134" s="1499">
        <v>4.059924595820072</v>
      </c>
      <c r="F134" s="1499">
        <v>3.359066301065273</v>
      </c>
      <c r="G134" s="1499">
        <v>3.0789677171641059</v>
      </c>
      <c r="H134" s="1499">
        <v>3.1046969862733174</v>
      </c>
      <c r="I134" s="1499">
        <v>5.559855658998889</v>
      </c>
      <c r="J134" s="1499">
        <v>5.0827615827219512</v>
      </c>
      <c r="K134" s="113">
        <v>2.8903036142093321</v>
      </c>
    </row>
    <row r="135" spans="2:11" x14ac:dyDescent="0.3">
      <c r="B135" s="114">
        <v>0</v>
      </c>
      <c r="C135" s="112" t="s">
        <v>1496</v>
      </c>
      <c r="D135" s="1499">
        <v>4.6144417266320108</v>
      </c>
      <c r="E135" s="1499">
        <v>3.6175498609981296</v>
      </c>
      <c r="F135" s="1499">
        <v>2.916691566243331</v>
      </c>
      <c r="G135" s="1499">
        <v>2.6365929823421634</v>
      </c>
      <c r="H135" s="1499">
        <v>2.6623222514513749</v>
      </c>
      <c r="I135" s="1499">
        <v>5.117480924176947</v>
      </c>
      <c r="J135" s="1499">
        <v>4.6403868479000083</v>
      </c>
      <c r="K135" s="113">
        <v>2.4479288793873897</v>
      </c>
    </row>
    <row r="136" spans="2:11" x14ac:dyDescent="0.3">
      <c r="B136" s="115"/>
      <c r="C136" s="112" t="s">
        <v>1500</v>
      </c>
      <c r="D136" s="1499">
        <v>4.1720669918100688</v>
      </c>
      <c r="E136" s="1499">
        <v>3.1751751261761871</v>
      </c>
      <c r="F136" s="1499">
        <v>2.474316831421389</v>
      </c>
      <c r="G136" s="1499">
        <v>2.1942182475202214</v>
      </c>
      <c r="H136" s="1499">
        <v>2.2199475166294329</v>
      </c>
      <c r="I136" s="1499">
        <v>4.6751061893550041</v>
      </c>
      <c r="J136" s="1499">
        <v>4.1980121130780663</v>
      </c>
      <c r="K136" s="113">
        <v>2.0055541445654477</v>
      </c>
    </row>
    <row r="137" spans="2:11" x14ac:dyDescent="0.3">
      <c r="B137" s="115"/>
      <c r="C137" s="112" t="s">
        <v>1504</v>
      </c>
      <c r="D137" s="1499">
        <v>4.8500790289846609</v>
      </c>
      <c r="E137" s="1499">
        <v>3.8248414151593462</v>
      </c>
      <c r="F137" s="1499">
        <v>3.1421043452207464</v>
      </c>
      <c r="G137" s="1499">
        <v>2.8577117504815419</v>
      </c>
      <c r="H137" s="1499">
        <v>2.9014963050350873</v>
      </c>
      <c r="I137" s="1499">
        <v>5.3256074189912539</v>
      </c>
      <c r="J137" s="1499">
        <v>4.8495567726757027</v>
      </c>
      <c r="K137" s="113">
        <v>2.6740483614265425</v>
      </c>
    </row>
    <row r="138" spans="2:11" x14ac:dyDescent="0.3">
      <c r="B138" s="115"/>
      <c r="C138" s="112" t="s">
        <v>1508</v>
      </c>
      <c r="D138" s="1499">
        <v>4.6035336506766713</v>
      </c>
      <c r="E138" s="1499">
        <v>3.5782960368513561</v>
      </c>
      <c r="F138" s="1499">
        <v>2.8955589669127564</v>
      </c>
      <c r="G138" s="1499">
        <v>2.6111663721735519</v>
      </c>
      <c r="H138" s="1499">
        <v>2.6549509267270972</v>
      </c>
      <c r="I138" s="1499">
        <v>5.0790620406832643</v>
      </c>
      <c r="J138" s="1499">
        <v>4.6030113943677131</v>
      </c>
      <c r="K138" s="113">
        <v>2.4275029831185524</v>
      </c>
    </row>
    <row r="139" spans="2:11" x14ac:dyDescent="0.3">
      <c r="B139" s="115"/>
      <c r="C139" s="112" t="s">
        <v>1513</v>
      </c>
      <c r="D139" s="1499">
        <v>4.2337155832146864</v>
      </c>
      <c r="E139" s="1499">
        <v>3.2084779693893712</v>
      </c>
      <c r="F139" s="1499">
        <v>2.5257408994507715</v>
      </c>
      <c r="G139" s="1499">
        <v>2.241348304711567</v>
      </c>
      <c r="H139" s="1499">
        <v>2.2851328592651123</v>
      </c>
      <c r="I139" s="1499">
        <v>4.7092439732212794</v>
      </c>
      <c r="J139" s="1499">
        <v>4.2331933269057282</v>
      </c>
      <c r="K139" s="113">
        <v>2.0576849156565675</v>
      </c>
    </row>
    <row r="140" spans="2:11" x14ac:dyDescent="0.3">
      <c r="B140" s="115"/>
      <c r="C140" s="112" t="s">
        <v>1517</v>
      </c>
      <c r="D140" s="1499">
        <v>3.8638975157527007</v>
      </c>
      <c r="E140" s="1499">
        <v>2.8386599019273859</v>
      </c>
      <c r="F140" s="1499">
        <v>2.1559228319887862</v>
      </c>
      <c r="G140" s="1499">
        <v>1.8715302372495819</v>
      </c>
      <c r="H140" s="1499">
        <v>1.9153147918031272</v>
      </c>
      <c r="I140" s="1499">
        <v>4.3394259057592945</v>
      </c>
      <c r="J140" s="1499">
        <v>3.8633752594437434</v>
      </c>
      <c r="K140" s="113">
        <v>1.6878668481945824</v>
      </c>
    </row>
    <row r="141" spans="2:11" ht="14.5" thickBot="1" x14ac:dyDescent="0.35">
      <c r="B141" s="1233"/>
      <c r="C141" s="116" t="s">
        <v>1519</v>
      </c>
      <c r="D141" s="117">
        <v>5.3517329513352481</v>
      </c>
      <c r="E141" s="117">
        <v>4.3548410857013664</v>
      </c>
      <c r="F141" s="117">
        <v>3.6539827909465679</v>
      </c>
      <c r="G141" s="117">
        <v>3.3738842070454007</v>
      </c>
      <c r="H141" s="117">
        <v>3.3996134761546122</v>
      </c>
      <c r="I141" s="117">
        <v>5.8547721488801843</v>
      </c>
      <c r="J141" s="117">
        <v>5.3776780726032456</v>
      </c>
      <c r="K141" s="118">
        <v>3.1852201040906269</v>
      </c>
    </row>
    <row r="142" spans="2:11" x14ac:dyDescent="0.3">
      <c r="B142" s="120" t="s">
        <v>1990</v>
      </c>
      <c r="C142" s="108" t="s">
        <v>1416</v>
      </c>
      <c r="D142" s="109">
        <v>2.8711755742972382</v>
      </c>
      <c r="E142" s="109">
        <v>1.7108955262827843</v>
      </c>
      <c r="F142" s="109">
        <v>1.2489892962682487</v>
      </c>
      <c r="G142" s="109">
        <v>0.90581568830766135</v>
      </c>
      <c r="H142" s="109">
        <v>1.0446733140045472</v>
      </c>
      <c r="I142" s="109">
        <v>3.1877062822872095</v>
      </c>
      <c r="J142" s="109">
        <v>2.7055611947347544</v>
      </c>
      <c r="K142" s="110">
        <v>0.76977790929126311</v>
      </c>
    </row>
    <row r="143" spans="2:11" x14ac:dyDescent="0.3">
      <c r="B143" s="111"/>
      <c r="C143" s="112" t="s">
        <v>1483</v>
      </c>
      <c r="D143" s="1499">
        <v>5.3517314698813694</v>
      </c>
      <c r="E143" s="1499">
        <v>4.3548396042474877</v>
      </c>
      <c r="F143" s="1499">
        <v>3.6539813094926892</v>
      </c>
      <c r="G143" s="1499">
        <v>3.373882725591522</v>
      </c>
      <c r="H143" s="1499">
        <v>3.3996119947007331</v>
      </c>
      <c r="I143" s="1499">
        <v>5.8547706674263056</v>
      </c>
      <c r="J143" s="1499">
        <v>5.3776765911493669</v>
      </c>
      <c r="K143" s="113">
        <v>3.1852186226367483</v>
      </c>
    </row>
    <row r="144" spans="2:11" x14ac:dyDescent="0.3">
      <c r="B144" s="111" t="s">
        <v>1987</v>
      </c>
      <c r="C144" s="112" t="s">
        <v>1489</v>
      </c>
      <c r="D144" s="1499">
        <v>5.0568149800000741</v>
      </c>
      <c r="E144" s="1499">
        <v>4.0599231143661925</v>
      </c>
      <c r="F144" s="1499">
        <v>3.3590648196113944</v>
      </c>
      <c r="G144" s="1499">
        <v>3.0789662357102272</v>
      </c>
      <c r="H144" s="1499">
        <v>3.1046955048194382</v>
      </c>
      <c r="I144" s="1499">
        <v>5.5598541775450103</v>
      </c>
      <c r="J144" s="1499">
        <v>5.0827601012680717</v>
      </c>
      <c r="K144" s="113">
        <v>2.8903021327554534</v>
      </c>
    </row>
    <row r="145" spans="2:11" x14ac:dyDescent="0.3">
      <c r="B145" s="114">
        <v>0</v>
      </c>
      <c r="C145" s="112" t="s">
        <v>1496</v>
      </c>
      <c r="D145" s="1499">
        <v>4.6144402451781321</v>
      </c>
      <c r="E145" s="1499">
        <v>3.6175483795442505</v>
      </c>
      <c r="F145" s="1499">
        <v>2.9166900847894519</v>
      </c>
      <c r="G145" s="1499">
        <v>2.6365915008882848</v>
      </c>
      <c r="H145" s="1499">
        <v>2.6623207699974958</v>
      </c>
      <c r="I145" s="1499">
        <v>5.1174794427230683</v>
      </c>
      <c r="J145" s="1499">
        <v>4.6403853664461296</v>
      </c>
      <c r="K145" s="113">
        <v>2.447927397933511</v>
      </c>
    </row>
    <row r="146" spans="2:11" x14ac:dyDescent="0.3">
      <c r="B146" s="115"/>
      <c r="C146" s="112" t="s">
        <v>1500</v>
      </c>
      <c r="D146" s="1499">
        <v>4.1720655103561901</v>
      </c>
      <c r="E146" s="1499">
        <v>3.175173644722308</v>
      </c>
      <c r="F146" s="1499">
        <v>2.4743153499675099</v>
      </c>
      <c r="G146" s="1499">
        <v>2.1942167660663427</v>
      </c>
      <c r="H146" s="1499">
        <v>2.2199460351755538</v>
      </c>
      <c r="I146" s="1499">
        <v>4.6751047079011254</v>
      </c>
      <c r="J146" s="1499">
        <v>4.1980106316241876</v>
      </c>
      <c r="K146" s="113">
        <v>2.005552663111569</v>
      </c>
    </row>
    <row r="147" spans="2:11" x14ac:dyDescent="0.3">
      <c r="B147" s="115"/>
      <c r="C147" s="112" t="s">
        <v>1504</v>
      </c>
      <c r="D147" s="1499">
        <v>4.8500775475307822</v>
      </c>
      <c r="E147" s="1499">
        <v>3.824839933705467</v>
      </c>
      <c r="F147" s="1499">
        <v>3.1421028637668673</v>
      </c>
      <c r="G147" s="1499">
        <v>2.8577102690276632</v>
      </c>
      <c r="H147" s="1499">
        <v>2.9014948235812081</v>
      </c>
      <c r="I147" s="1499">
        <v>5.3256059375373743</v>
      </c>
      <c r="J147" s="1499">
        <v>4.849555291221824</v>
      </c>
      <c r="K147" s="113">
        <v>2.6740468799726638</v>
      </c>
    </row>
    <row r="148" spans="2:11" x14ac:dyDescent="0.3">
      <c r="B148" s="115"/>
      <c r="C148" s="112" t="s">
        <v>1508</v>
      </c>
      <c r="D148" s="1499">
        <v>4.6035321692227917</v>
      </c>
      <c r="E148" s="1499">
        <v>3.578294555397477</v>
      </c>
      <c r="F148" s="1499">
        <v>2.8955574854588773</v>
      </c>
      <c r="G148" s="1499">
        <v>2.6111648907196727</v>
      </c>
      <c r="H148" s="1499">
        <v>2.6549494452732181</v>
      </c>
      <c r="I148" s="1499">
        <v>5.0790605592293847</v>
      </c>
      <c r="J148" s="1499">
        <v>4.6030099129138344</v>
      </c>
      <c r="K148" s="113">
        <v>2.4275015016646737</v>
      </c>
    </row>
    <row r="149" spans="2:11" x14ac:dyDescent="0.3">
      <c r="B149" s="115"/>
      <c r="C149" s="112" t="s">
        <v>1513</v>
      </c>
      <c r="D149" s="1499">
        <v>4.2337141017608069</v>
      </c>
      <c r="E149" s="1499">
        <v>3.2084764879354921</v>
      </c>
      <c r="F149" s="1499">
        <v>2.5257394179968924</v>
      </c>
      <c r="G149" s="1499">
        <v>2.2413468232576879</v>
      </c>
      <c r="H149" s="1499">
        <v>2.2851313778112332</v>
      </c>
      <c r="I149" s="1499">
        <v>4.7092424917673998</v>
      </c>
      <c r="J149" s="1499">
        <v>4.2331918454518496</v>
      </c>
      <c r="K149" s="113">
        <v>2.0576834342026888</v>
      </c>
    </row>
    <row r="150" spans="2:11" x14ac:dyDescent="0.3">
      <c r="B150" s="115"/>
      <c r="C150" s="112" t="s">
        <v>1517</v>
      </c>
      <c r="D150" s="1499">
        <v>3.8638960342988216</v>
      </c>
      <c r="E150" s="1499">
        <v>2.8386584204735072</v>
      </c>
      <c r="F150" s="1499">
        <v>2.1559213505349075</v>
      </c>
      <c r="G150" s="1499">
        <v>1.871528755795703</v>
      </c>
      <c r="H150" s="1499">
        <v>1.9153133103492481</v>
      </c>
      <c r="I150" s="1499">
        <v>4.339424424305415</v>
      </c>
      <c r="J150" s="1499">
        <v>3.8633737779898647</v>
      </c>
      <c r="K150" s="113">
        <v>1.6878653667407035</v>
      </c>
    </row>
    <row r="151" spans="2:11" ht="14.5" thickBot="1" x14ac:dyDescent="0.35">
      <c r="B151" s="1233"/>
      <c r="C151" s="116" t="s">
        <v>1519</v>
      </c>
      <c r="D151" s="117">
        <v>5.3517314698813694</v>
      </c>
      <c r="E151" s="117">
        <v>4.3548396042474877</v>
      </c>
      <c r="F151" s="117">
        <v>3.6539813094926892</v>
      </c>
      <c r="G151" s="117">
        <v>3.373882725591522</v>
      </c>
      <c r="H151" s="117">
        <v>3.3996119947007331</v>
      </c>
      <c r="I151" s="117">
        <v>5.8547706674263056</v>
      </c>
      <c r="J151" s="117">
        <v>5.3776765911493669</v>
      </c>
      <c r="K151" s="118">
        <v>3.1852186226367483</v>
      </c>
    </row>
    <row r="152" spans="2:11" x14ac:dyDescent="0.3">
      <c r="B152" s="120" t="s">
        <v>1990</v>
      </c>
      <c r="C152" s="108" t="s">
        <v>1416</v>
      </c>
      <c r="D152" s="109">
        <v>2.8711733521164198</v>
      </c>
      <c r="E152" s="109">
        <v>1.7108933041019658</v>
      </c>
      <c r="F152" s="109">
        <v>1.2489870740874305</v>
      </c>
      <c r="G152" s="109">
        <v>0.90581346612684288</v>
      </c>
      <c r="H152" s="109">
        <v>1.044671091823729</v>
      </c>
      <c r="I152" s="109">
        <v>3.1877040601063911</v>
      </c>
      <c r="J152" s="109">
        <v>2.705558972553936</v>
      </c>
      <c r="K152" s="110">
        <v>0.76977568711044475</v>
      </c>
    </row>
    <row r="153" spans="2:11" x14ac:dyDescent="0.3">
      <c r="B153" s="111"/>
      <c r="C153" s="112" t="s">
        <v>1483</v>
      </c>
      <c r="D153" s="1499">
        <v>5.3517292477005514</v>
      </c>
      <c r="E153" s="1499">
        <v>4.3548373820666697</v>
      </c>
      <c r="F153" s="1499">
        <v>3.6539790873118707</v>
      </c>
      <c r="G153" s="1499">
        <v>3.3738805034107036</v>
      </c>
      <c r="H153" s="1499">
        <v>3.3996097725199146</v>
      </c>
      <c r="I153" s="1499">
        <v>5.8547684452454867</v>
      </c>
      <c r="J153" s="1499">
        <v>5.3776743689685489</v>
      </c>
      <c r="K153" s="113">
        <v>3.1852164004559298</v>
      </c>
    </row>
    <row r="154" spans="2:11" x14ac:dyDescent="0.3">
      <c r="B154" s="111" t="s">
        <v>1988</v>
      </c>
      <c r="C154" s="112" t="s">
        <v>1489</v>
      </c>
      <c r="D154" s="1499">
        <v>5.0568127578192561</v>
      </c>
      <c r="E154" s="1499">
        <v>4.0599208921853744</v>
      </c>
      <c r="F154" s="1499">
        <v>3.3590625974305759</v>
      </c>
      <c r="G154" s="1499">
        <v>3.0789640135294087</v>
      </c>
      <c r="H154" s="1499">
        <v>3.1046932826386198</v>
      </c>
      <c r="I154" s="1499">
        <v>5.5598519553641923</v>
      </c>
      <c r="J154" s="1499">
        <v>5.0827578790872536</v>
      </c>
      <c r="K154" s="113">
        <v>2.890299910574635</v>
      </c>
    </row>
    <row r="155" spans="2:11" x14ac:dyDescent="0.3">
      <c r="B155" s="114">
        <v>0</v>
      </c>
      <c r="C155" s="112" t="s">
        <v>1496</v>
      </c>
      <c r="D155" s="1499">
        <v>4.6144380229973141</v>
      </c>
      <c r="E155" s="1499">
        <v>3.617546157363432</v>
      </c>
      <c r="F155" s="1499">
        <v>2.9166878626086334</v>
      </c>
      <c r="G155" s="1499">
        <v>2.6365892787074663</v>
      </c>
      <c r="H155" s="1499">
        <v>2.6623185478166778</v>
      </c>
      <c r="I155" s="1499">
        <v>5.1174772205422503</v>
      </c>
      <c r="J155" s="1499">
        <v>4.6403831442653116</v>
      </c>
      <c r="K155" s="113">
        <v>2.4479251757526925</v>
      </c>
    </row>
    <row r="156" spans="2:11" x14ac:dyDescent="0.3">
      <c r="B156" s="115"/>
      <c r="C156" s="112" t="s">
        <v>1500</v>
      </c>
      <c r="D156" s="1499">
        <v>4.1720632881753712</v>
      </c>
      <c r="E156" s="1499">
        <v>3.17517142254149</v>
      </c>
      <c r="F156" s="1499">
        <v>2.4743131277866919</v>
      </c>
      <c r="G156" s="1499">
        <v>2.1942145438855243</v>
      </c>
      <c r="H156" s="1499">
        <v>2.2199438129947353</v>
      </c>
      <c r="I156" s="1499">
        <v>4.6751024857203074</v>
      </c>
      <c r="J156" s="1499">
        <v>4.1980084094433687</v>
      </c>
      <c r="K156" s="113">
        <v>2.0055504409307505</v>
      </c>
    </row>
    <row r="157" spans="2:11" x14ac:dyDescent="0.3">
      <c r="B157" s="115"/>
      <c r="C157" s="112" t="s">
        <v>1504</v>
      </c>
      <c r="D157" s="1499">
        <v>4.8500753253499633</v>
      </c>
      <c r="E157" s="1499">
        <v>3.8248377115246486</v>
      </c>
      <c r="F157" s="1499">
        <v>3.1421006415860488</v>
      </c>
      <c r="G157" s="1499">
        <v>2.8577080468468448</v>
      </c>
      <c r="H157" s="1499">
        <v>2.9014926014003901</v>
      </c>
      <c r="I157" s="1499">
        <v>5.3256037153565563</v>
      </c>
      <c r="J157" s="1499">
        <v>4.8495530690410051</v>
      </c>
      <c r="K157" s="113">
        <v>2.6740446577918453</v>
      </c>
    </row>
    <row r="158" spans="2:11" x14ac:dyDescent="0.3">
      <c r="B158" s="115"/>
      <c r="C158" s="112" t="s">
        <v>1508</v>
      </c>
      <c r="D158" s="1499">
        <v>4.6035299470419737</v>
      </c>
      <c r="E158" s="1499">
        <v>3.5782923332166585</v>
      </c>
      <c r="F158" s="1499">
        <v>2.8955552632780588</v>
      </c>
      <c r="G158" s="1499">
        <v>2.6111626685388547</v>
      </c>
      <c r="H158" s="1499">
        <v>2.6549472230924001</v>
      </c>
      <c r="I158" s="1499">
        <v>5.0790583370485667</v>
      </c>
      <c r="J158" s="1499">
        <v>4.6030076907330164</v>
      </c>
      <c r="K158" s="113">
        <v>2.4274992794838552</v>
      </c>
    </row>
    <row r="159" spans="2:11" x14ac:dyDescent="0.3">
      <c r="B159" s="115"/>
      <c r="C159" s="112" t="s">
        <v>1513</v>
      </c>
      <c r="D159" s="1499">
        <v>4.2337118795799888</v>
      </c>
      <c r="E159" s="1499">
        <v>3.2084742657546736</v>
      </c>
      <c r="F159" s="1499">
        <v>2.5257371958160739</v>
      </c>
      <c r="G159" s="1499">
        <v>2.2413446010768694</v>
      </c>
      <c r="H159" s="1499">
        <v>2.2851291556304147</v>
      </c>
      <c r="I159" s="1499">
        <v>4.7092402695865818</v>
      </c>
      <c r="J159" s="1499">
        <v>4.2331896232710315</v>
      </c>
      <c r="K159" s="113">
        <v>2.0576812120218699</v>
      </c>
    </row>
    <row r="160" spans="2:11" x14ac:dyDescent="0.3">
      <c r="B160" s="115"/>
      <c r="C160" s="112" t="s">
        <v>1517</v>
      </c>
      <c r="D160" s="1499">
        <v>3.8638938121180035</v>
      </c>
      <c r="E160" s="1499">
        <v>2.8386561982926888</v>
      </c>
      <c r="F160" s="1499">
        <v>2.1559191283540891</v>
      </c>
      <c r="G160" s="1499">
        <v>1.8715265336148845</v>
      </c>
      <c r="H160" s="1499">
        <v>1.9153110881684299</v>
      </c>
      <c r="I160" s="1499">
        <v>4.339422202124597</v>
      </c>
      <c r="J160" s="1499">
        <v>3.8633715558090462</v>
      </c>
      <c r="K160" s="113">
        <v>1.6878631445598853</v>
      </c>
    </row>
    <row r="161" spans="2:11" ht="14.5" thickBot="1" x14ac:dyDescent="0.35">
      <c r="B161" s="1233"/>
      <c r="C161" s="116" t="s">
        <v>1519</v>
      </c>
      <c r="D161" s="117">
        <v>5.3517292477005514</v>
      </c>
      <c r="E161" s="117">
        <v>4.3548373820666697</v>
      </c>
      <c r="F161" s="117">
        <v>3.6539790873118707</v>
      </c>
      <c r="G161" s="117">
        <v>3.3738805034107036</v>
      </c>
      <c r="H161" s="117">
        <v>3.3996097725199146</v>
      </c>
      <c r="I161" s="117">
        <v>5.8547684452454867</v>
      </c>
      <c r="J161" s="117">
        <v>5.3776743689685489</v>
      </c>
      <c r="K161" s="118">
        <v>3.1852164004559298</v>
      </c>
    </row>
    <row r="162" spans="2:11" x14ac:dyDescent="0.3">
      <c r="B162" s="120" t="s">
        <v>1990</v>
      </c>
      <c r="C162" s="108" t="s">
        <v>1416</v>
      </c>
      <c r="D162" s="109">
        <v>2.8711711299356018</v>
      </c>
      <c r="E162" s="109">
        <v>1.7108910819211476</v>
      </c>
      <c r="F162" s="109">
        <v>1.248984851906612</v>
      </c>
      <c r="G162" s="109">
        <v>0.90581124394602441</v>
      </c>
      <c r="H162" s="109">
        <v>1.0446688696429103</v>
      </c>
      <c r="I162" s="109">
        <v>3.1877018379255726</v>
      </c>
      <c r="J162" s="109">
        <v>2.7055567503731179</v>
      </c>
      <c r="K162" s="110">
        <v>0.76977346492962617</v>
      </c>
    </row>
    <row r="163" spans="2:11" x14ac:dyDescent="0.3">
      <c r="B163" s="111"/>
      <c r="C163" s="112" t="s">
        <v>1483</v>
      </c>
      <c r="D163" s="1499">
        <v>5.3517270255197325</v>
      </c>
      <c r="E163" s="1499">
        <v>4.3548351598858508</v>
      </c>
      <c r="F163" s="1499">
        <v>3.6539768651310522</v>
      </c>
      <c r="G163" s="1499">
        <v>3.3738782812298851</v>
      </c>
      <c r="H163" s="1499">
        <v>3.3996075503390966</v>
      </c>
      <c r="I163" s="1499">
        <v>5.8547662230646687</v>
      </c>
      <c r="J163" s="1499">
        <v>5.37767214678773</v>
      </c>
      <c r="K163" s="113">
        <v>3.1852141782751113</v>
      </c>
    </row>
    <row r="164" spans="2:11" x14ac:dyDescent="0.3">
      <c r="B164" s="111" t="s">
        <v>1989</v>
      </c>
      <c r="C164" s="112" t="s">
        <v>1489</v>
      </c>
      <c r="D164" s="1499">
        <v>5.0568105356384381</v>
      </c>
      <c r="E164" s="1499">
        <v>4.0599186700045564</v>
      </c>
      <c r="F164" s="1499">
        <v>3.3590603752497574</v>
      </c>
      <c r="G164" s="1499">
        <v>3.0789617913485903</v>
      </c>
      <c r="H164" s="1499">
        <v>3.1046910604578013</v>
      </c>
      <c r="I164" s="1499">
        <v>5.5598497331833734</v>
      </c>
      <c r="J164" s="1499">
        <v>5.0827556569064356</v>
      </c>
      <c r="K164" s="113">
        <v>2.8902976883938165</v>
      </c>
    </row>
    <row r="165" spans="2:11" x14ac:dyDescent="0.3">
      <c r="B165" s="114">
        <v>0</v>
      </c>
      <c r="C165" s="112" t="s">
        <v>1496</v>
      </c>
      <c r="D165" s="1499">
        <v>4.6144358008164952</v>
      </c>
      <c r="E165" s="1499">
        <v>3.617543935182614</v>
      </c>
      <c r="F165" s="1499">
        <v>2.916685640427815</v>
      </c>
      <c r="G165" s="1499">
        <v>2.6365870565266478</v>
      </c>
      <c r="H165" s="1499">
        <v>2.6623163256358593</v>
      </c>
      <c r="I165" s="1499">
        <v>5.1174749983614305</v>
      </c>
      <c r="J165" s="1499">
        <v>4.6403809220844927</v>
      </c>
      <c r="K165" s="113">
        <v>2.4479229535718741</v>
      </c>
    </row>
    <row r="166" spans="2:11" x14ac:dyDescent="0.3">
      <c r="B166" s="115"/>
      <c r="C166" s="112" t="s">
        <v>1500</v>
      </c>
      <c r="D166" s="1499">
        <v>4.1720610659945532</v>
      </c>
      <c r="E166" s="1499">
        <v>3.1751692003606715</v>
      </c>
      <c r="F166" s="1499">
        <v>2.474310905605873</v>
      </c>
      <c r="G166" s="1499">
        <v>2.1942123217047054</v>
      </c>
      <c r="H166" s="1499">
        <v>2.2199415908139168</v>
      </c>
      <c r="I166" s="1499">
        <v>4.6751002635394885</v>
      </c>
      <c r="J166" s="1499">
        <v>4.1980061872625507</v>
      </c>
      <c r="K166" s="113">
        <v>2.0055482187499316</v>
      </c>
    </row>
    <row r="167" spans="2:11" x14ac:dyDescent="0.3">
      <c r="B167" s="115"/>
      <c r="C167" s="112" t="s">
        <v>1504</v>
      </c>
      <c r="D167" s="1499">
        <v>4.8500731031691453</v>
      </c>
      <c r="E167" s="1499">
        <v>3.8248354893438301</v>
      </c>
      <c r="F167" s="1499">
        <v>3.1420984194052308</v>
      </c>
      <c r="G167" s="1499">
        <v>2.8577058246660263</v>
      </c>
      <c r="H167" s="1499">
        <v>2.9014903792195716</v>
      </c>
      <c r="I167" s="1499">
        <v>5.3256014931757374</v>
      </c>
      <c r="J167" s="1499">
        <v>4.8495508468601871</v>
      </c>
      <c r="K167" s="113">
        <v>2.6740424356110268</v>
      </c>
    </row>
    <row r="168" spans="2:11" x14ac:dyDescent="0.3">
      <c r="B168" s="115"/>
      <c r="C168" s="112" t="s">
        <v>1508</v>
      </c>
      <c r="D168" s="1499">
        <v>4.6035277248611548</v>
      </c>
      <c r="E168" s="1499">
        <v>3.57829011103584</v>
      </c>
      <c r="F168" s="1499">
        <v>2.8955530410972408</v>
      </c>
      <c r="G168" s="1499">
        <v>2.6111604463580362</v>
      </c>
      <c r="H168" s="1499">
        <v>2.6549450009115816</v>
      </c>
      <c r="I168" s="1499">
        <v>5.0790561148677487</v>
      </c>
      <c r="J168" s="1499">
        <v>4.6030054685521975</v>
      </c>
      <c r="K168" s="113">
        <v>2.4274970573030368</v>
      </c>
    </row>
    <row r="169" spans="2:11" x14ac:dyDescent="0.3">
      <c r="B169" s="115"/>
      <c r="C169" s="112" t="s">
        <v>1513</v>
      </c>
      <c r="D169" s="1499">
        <v>4.2337096573991699</v>
      </c>
      <c r="E169" s="1499">
        <v>3.2084720435738552</v>
      </c>
      <c r="F169" s="1499">
        <v>2.525734973635255</v>
      </c>
      <c r="G169" s="1499">
        <v>2.2413423788960509</v>
      </c>
      <c r="H169" s="1499">
        <v>2.2851269334495963</v>
      </c>
      <c r="I169" s="1499">
        <v>4.7092380474057638</v>
      </c>
      <c r="J169" s="1499">
        <v>4.2331874010902126</v>
      </c>
      <c r="K169" s="113">
        <v>2.0576789898410519</v>
      </c>
    </row>
    <row r="170" spans="2:11" x14ac:dyDescent="0.3">
      <c r="B170" s="115"/>
      <c r="C170" s="112" t="s">
        <v>1517</v>
      </c>
      <c r="D170" s="1499">
        <v>3.8638915899371851</v>
      </c>
      <c r="E170" s="1499">
        <v>2.8386539761118699</v>
      </c>
      <c r="F170" s="1499">
        <v>2.1559169061732701</v>
      </c>
      <c r="G170" s="1499">
        <v>1.8715243114340658</v>
      </c>
      <c r="H170" s="1499">
        <v>1.9153088659876112</v>
      </c>
      <c r="I170" s="1499">
        <v>4.339419979943778</v>
      </c>
      <c r="J170" s="1499">
        <v>3.8633693336282273</v>
      </c>
      <c r="K170" s="113">
        <v>1.6878609223790666</v>
      </c>
    </row>
    <row r="171" spans="2:11" ht="14.5" thickBot="1" x14ac:dyDescent="0.35">
      <c r="B171" s="1233"/>
      <c r="C171" s="116" t="s">
        <v>1519</v>
      </c>
      <c r="D171" s="117">
        <v>5.3517270255197325</v>
      </c>
      <c r="E171" s="117">
        <v>4.3548351598858508</v>
      </c>
      <c r="F171" s="117">
        <v>3.6539768651310522</v>
      </c>
      <c r="G171" s="117">
        <v>3.3738782812298851</v>
      </c>
      <c r="H171" s="117">
        <v>3.3996075503390966</v>
      </c>
      <c r="I171" s="117">
        <v>5.8547662230646687</v>
      </c>
      <c r="J171" s="117">
        <v>5.37767214678773</v>
      </c>
      <c r="K171" s="118">
        <v>3.1852141782751113</v>
      </c>
    </row>
    <row r="173" spans="2:11" ht="14.5" thickBot="1" x14ac:dyDescent="0.35"/>
    <row r="174" spans="2:11" ht="25.5" thickBot="1" x14ac:dyDescent="0.55000000000000004">
      <c r="B174" s="88" t="s">
        <v>1960</v>
      </c>
      <c r="C174" s="89"/>
      <c r="D174" s="90">
        <v>1</v>
      </c>
      <c r="E174" s="91" t="s">
        <v>1991</v>
      </c>
      <c r="F174" s="92"/>
      <c r="G174" s="92"/>
      <c r="H174" s="92"/>
      <c r="I174" s="93"/>
      <c r="J174" s="89" t="s">
        <v>176</v>
      </c>
      <c r="K174" s="94" t="s">
        <v>243</v>
      </c>
    </row>
    <row r="175" spans="2:11" ht="14.5" thickBot="1" x14ac:dyDescent="0.35">
      <c r="B175" s="95" t="s">
        <v>1962</v>
      </c>
      <c r="C175" s="96" t="s">
        <v>1963</v>
      </c>
      <c r="D175" s="95" t="s">
        <v>1964</v>
      </c>
      <c r="E175" s="97" t="s">
        <v>1965</v>
      </c>
      <c r="F175" s="97" t="s">
        <v>1966</v>
      </c>
      <c r="G175" s="97" t="s">
        <v>1967</v>
      </c>
      <c r="H175" s="97" t="s">
        <v>1968</v>
      </c>
      <c r="I175" s="97" t="s">
        <v>1969</v>
      </c>
      <c r="J175" s="97" t="s">
        <v>1970</v>
      </c>
      <c r="K175" s="98" t="s">
        <v>1971</v>
      </c>
    </row>
    <row r="176" spans="2:11" ht="14.5" thickBot="1" x14ac:dyDescent="0.35">
      <c r="B176" s="99"/>
      <c r="C176" s="99"/>
      <c r="D176" s="100"/>
      <c r="E176" s="944"/>
      <c r="F176" s="944"/>
      <c r="G176" s="944"/>
      <c r="H176" s="944"/>
      <c r="I176" s="944"/>
      <c r="J176" s="944"/>
      <c r="K176" s="102"/>
    </row>
    <row r="177" spans="2:11" ht="90.5" thickBot="1" x14ac:dyDescent="0.45">
      <c r="B177" s="103" t="s">
        <v>1972</v>
      </c>
      <c r="C177" s="103" t="s">
        <v>1973</v>
      </c>
      <c r="D177" s="105" t="s">
        <v>1974</v>
      </c>
      <c r="E177" s="105" t="s">
        <v>1525</v>
      </c>
      <c r="F177" s="105" t="s">
        <v>1527</v>
      </c>
      <c r="G177" s="105" t="s">
        <v>1975</v>
      </c>
      <c r="H177" s="105" t="s">
        <v>1976</v>
      </c>
      <c r="I177" s="105" t="s">
        <v>1445</v>
      </c>
      <c r="J177" s="105" t="s">
        <v>1538</v>
      </c>
      <c r="K177" s="106" t="s">
        <v>1541</v>
      </c>
    </row>
    <row r="178" spans="2:11" x14ac:dyDescent="0.3">
      <c r="B178" s="120" t="s">
        <v>1992</v>
      </c>
      <c r="C178" s="108" t="s">
        <v>1416</v>
      </c>
      <c r="D178" s="109">
        <v>2.8712309063016273</v>
      </c>
      <c r="E178" s="109">
        <v>1.7109541509727961</v>
      </c>
      <c r="F178" s="109">
        <v>1.2490287381658642</v>
      </c>
      <c r="G178" s="109">
        <v>0.90586187126987794</v>
      </c>
      <c r="H178" s="109">
        <v>1.0447146562939837</v>
      </c>
      <c r="I178" s="109">
        <v>3.187774447051543</v>
      </c>
      <c r="J178" s="109">
        <v>2.7056274069710358</v>
      </c>
      <c r="K178" s="110">
        <v>0.76982352262076614</v>
      </c>
    </row>
    <row r="179" spans="2:11" x14ac:dyDescent="0.3">
      <c r="B179" s="128"/>
      <c r="C179" s="112" t="s">
        <v>1483</v>
      </c>
      <c r="D179" s="1499">
        <v>6.1247034248760128</v>
      </c>
      <c r="E179" s="1499">
        <v>5.1568324492433346</v>
      </c>
      <c r="F179" s="1499">
        <v>4.436099515907884</v>
      </c>
      <c r="G179" s="1499">
        <v>4.1690797713476888</v>
      </c>
      <c r="H179" s="1499">
        <v>4.1759429506264549</v>
      </c>
      <c r="I179" s="1499">
        <v>6.656146176203066</v>
      </c>
      <c r="J179" s="1499">
        <v>6.1825544877680816</v>
      </c>
      <c r="K179" s="113">
        <v>3.9754319618887028</v>
      </c>
    </row>
    <row r="180" spans="2:11" x14ac:dyDescent="0.3">
      <c r="B180" s="128"/>
      <c r="C180" s="112" t="s">
        <v>1489</v>
      </c>
      <c r="D180" s="1499">
        <v>5.8297869349947176</v>
      </c>
      <c r="E180" s="1499">
        <v>4.8619159593620394</v>
      </c>
      <c r="F180" s="1499">
        <v>4.1411830260265896</v>
      </c>
      <c r="G180" s="1499">
        <v>3.8741632814663935</v>
      </c>
      <c r="H180" s="1499">
        <v>3.8810264607451597</v>
      </c>
      <c r="I180" s="1499">
        <v>6.3612296863217708</v>
      </c>
      <c r="J180" s="1499">
        <v>5.8876379978867872</v>
      </c>
      <c r="K180" s="113">
        <v>3.680515472007408</v>
      </c>
    </row>
    <row r="181" spans="2:11" x14ac:dyDescent="0.3">
      <c r="B181" s="122">
        <v>0</v>
      </c>
      <c r="C181" s="112" t="s">
        <v>1496</v>
      </c>
      <c r="D181" s="1499">
        <v>5.3874122001727756</v>
      </c>
      <c r="E181" s="1499">
        <v>4.4195412245400973</v>
      </c>
      <c r="F181" s="1499">
        <v>3.6988082912046472</v>
      </c>
      <c r="G181" s="1499">
        <v>3.4317885466444515</v>
      </c>
      <c r="H181" s="1499">
        <v>3.4386517259232177</v>
      </c>
      <c r="I181" s="1499">
        <v>5.9188549514998297</v>
      </c>
      <c r="J181" s="1499">
        <v>5.4452632630648452</v>
      </c>
      <c r="K181" s="113">
        <v>3.2381407371854656</v>
      </c>
    </row>
    <row r="182" spans="2:11" x14ac:dyDescent="0.3">
      <c r="B182" s="123"/>
      <c r="C182" s="112" t="s">
        <v>1500</v>
      </c>
      <c r="D182" s="1499">
        <v>4.9450374653508327</v>
      </c>
      <c r="E182" s="1499">
        <v>3.9771664897181545</v>
      </c>
      <c r="F182" s="1499">
        <v>3.2564335563827047</v>
      </c>
      <c r="G182" s="1499">
        <v>2.9894138118225091</v>
      </c>
      <c r="H182" s="1499">
        <v>2.9962769911012752</v>
      </c>
      <c r="I182" s="1499">
        <v>5.4764802166778868</v>
      </c>
      <c r="J182" s="1499">
        <v>5.0028885282429023</v>
      </c>
      <c r="K182" s="113">
        <v>2.7957660023635236</v>
      </c>
    </row>
    <row r="183" spans="2:11" x14ac:dyDescent="0.3">
      <c r="B183" s="123"/>
      <c r="C183" s="112" t="s">
        <v>1504</v>
      </c>
      <c r="D183" s="1499">
        <v>5.4973946297393068</v>
      </c>
      <c r="E183" s="1499">
        <v>4.5056889170669967</v>
      </c>
      <c r="F183" s="1499">
        <v>3.797300890934876</v>
      </c>
      <c r="G183" s="1499">
        <v>3.5254695197000143</v>
      </c>
      <c r="H183" s="1499">
        <v>3.5453555045527092</v>
      </c>
      <c r="I183" s="1499">
        <v>6.0056602234216658</v>
      </c>
      <c r="J183" s="1499">
        <v>5.5315485497984023</v>
      </c>
      <c r="K183" s="113">
        <v>3.335080670485072</v>
      </c>
    </row>
    <row r="184" spans="2:11" x14ac:dyDescent="0.3">
      <c r="B184" s="123"/>
      <c r="C184" s="112" t="s">
        <v>1508</v>
      </c>
      <c r="D184" s="1499">
        <v>5.2508492514313172</v>
      </c>
      <c r="E184" s="1499">
        <v>4.2591435387590062</v>
      </c>
      <c r="F184" s="1499">
        <v>3.5507555126268859</v>
      </c>
      <c r="G184" s="1499">
        <v>3.2789241413920243</v>
      </c>
      <c r="H184" s="1499">
        <v>3.2988101262447191</v>
      </c>
      <c r="I184" s="1499">
        <v>5.7591148451136762</v>
      </c>
      <c r="J184" s="1499">
        <v>5.2850031714904127</v>
      </c>
      <c r="K184" s="113">
        <v>3.0885352921770819</v>
      </c>
    </row>
    <row r="185" spans="2:11" x14ac:dyDescent="0.3">
      <c r="B185" s="123"/>
      <c r="C185" s="112" t="s">
        <v>1513</v>
      </c>
      <c r="D185" s="1499">
        <v>4.8810311839693323</v>
      </c>
      <c r="E185" s="1499">
        <v>3.8893254712970218</v>
      </c>
      <c r="F185" s="1499">
        <v>3.1809374451649011</v>
      </c>
      <c r="G185" s="1499">
        <v>2.9091060739300394</v>
      </c>
      <c r="H185" s="1499">
        <v>2.9289920587827343</v>
      </c>
      <c r="I185" s="1499">
        <v>5.3892967776516914</v>
      </c>
      <c r="J185" s="1499">
        <v>4.9151851040284278</v>
      </c>
      <c r="K185" s="113">
        <v>2.718717224715097</v>
      </c>
    </row>
    <row r="186" spans="2:11" x14ac:dyDescent="0.3">
      <c r="B186" s="123"/>
      <c r="C186" s="112" t="s">
        <v>1517</v>
      </c>
      <c r="D186" s="1499">
        <v>4.5112131165073475</v>
      </c>
      <c r="E186" s="1499">
        <v>3.5195074038350369</v>
      </c>
      <c r="F186" s="1499">
        <v>2.8111193777029158</v>
      </c>
      <c r="G186" s="1499">
        <v>2.5392880064680545</v>
      </c>
      <c r="H186" s="1499">
        <v>2.559173991320749</v>
      </c>
      <c r="I186" s="1499">
        <v>5.0194787101897065</v>
      </c>
      <c r="J186" s="1499">
        <v>4.5453670365664429</v>
      </c>
      <c r="K186" s="113">
        <v>2.3488991572531122</v>
      </c>
    </row>
    <row r="187" spans="2:11" ht="14.5" thickBot="1" x14ac:dyDescent="0.35">
      <c r="B187" s="124"/>
      <c r="C187" s="116" t="s">
        <v>1519</v>
      </c>
      <c r="D187" s="117">
        <v>6.1247034248760128</v>
      </c>
      <c r="E187" s="117">
        <v>5.1568324492433346</v>
      </c>
      <c r="F187" s="117">
        <v>4.436099515907884</v>
      </c>
      <c r="G187" s="117">
        <v>4.1690797713476888</v>
      </c>
      <c r="H187" s="117">
        <v>4.1759429506264549</v>
      </c>
      <c r="I187" s="117">
        <v>6.656146176203066</v>
      </c>
      <c r="J187" s="117">
        <v>6.1825544877680816</v>
      </c>
      <c r="K187" s="118">
        <v>3.9754319618887028</v>
      </c>
    </row>
    <row r="188" spans="2:11" x14ac:dyDescent="0.3">
      <c r="B188" s="120" t="s">
        <v>1993</v>
      </c>
      <c r="C188" s="1234" t="s">
        <v>1416</v>
      </c>
      <c r="D188" s="109">
        <v>2.871196944737231</v>
      </c>
      <c r="E188" s="109">
        <v>1.7109181684305574</v>
      </c>
      <c r="F188" s="109">
        <v>1.2490045295986782</v>
      </c>
      <c r="G188" s="109">
        <v>0.90583352518585902</v>
      </c>
      <c r="H188" s="109">
        <v>1.0446892813081952</v>
      </c>
      <c r="I188" s="109">
        <v>3.1877326090220151</v>
      </c>
      <c r="J188" s="109">
        <v>2.7055867673601783</v>
      </c>
      <c r="K188" s="110">
        <v>0.76979552616474822</v>
      </c>
    </row>
    <row r="189" spans="2:11" x14ac:dyDescent="0.3">
      <c r="B189" s="121"/>
      <c r="C189" s="1500" t="s">
        <v>1483</v>
      </c>
      <c r="D189" s="1499">
        <v>6.1246654721121008</v>
      </c>
      <c r="E189" s="1499">
        <v>5.1567939817126573</v>
      </c>
      <c r="F189" s="1499">
        <v>4.436063244092173</v>
      </c>
      <c r="G189" s="1499">
        <v>4.1690425565376188</v>
      </c>
      <c r="H189" s="1499">
        <v>4.1759062769015545</v>
      </c>
      <c r="I189" s="1499">
        <v>6.6561055884711529</v>
      </c>
      <c r="J189" s="1499">
        <v>6.1825139413594821</v>
      </c>
      <c r="K189" s="113">
        <v>3.9753948779623998</v>
      </c>
    </row>
    <row r="190" spans="2:11" x14ac:dyDescent="0.3">
      <c r="B190" s="128"/>
      <c r="C190" s="1500" t="s">
        <v>1489</v>
      </c>
      <c r="D190" s="1499">
        <v>5.8297489822308064</v>
      </c>
      <c r="E190" s="1499">
        <v>4.8618774918313621</v>
      </c>
      <c r="F190" s="1499">
        <v>4.1411467542108777</v>
      </c>
      <c r="G190" s="1499">
        <v>3.8741260666563244</v>
      </c>
      <c r="H190" s="1499">
        <v>3.8809897870202601</v>
      </c>
      <c r="I190" s="1499">
        <v>6.3611890985898585</v>
      </c>
      <c r="J190" s="1499">
        <v>5.8875974514781877</v>
      </c>
      <c r="K190" s="113">
        <v>3.6804783880811049</v>
      </c>
    </row>
    <row r="191" spans="2:11" x14ac:dyDescent="0.3">
      <c r="B191" s="122">
        <v>0</v>
      </c>
      <c r="C191" s="1500" t="s">
        <v>1496</v>
      </c>
      <c r="D191" s="1499">
        <v>5.3873742474088644</v>
      </c>
      <c r="E191" s="1499">
        <v>4.4195027570094201</v>
      </c>
      <c r="F191" s="1499">
        <v>3.6987720193889357</v>
      </c>
      <c r="G191" s="1499">
        <v>3.431751331834382</v>
      </c>
      <c r="H191" s="1499">
        <v>3.4386150521983176</v>
      </c>
      <c r="I191" s="1499">
        <v>5.9188143637679165</v>
      </c>
      <c r="J191" s="1499">
        <v>5.4452227166562457</v>
      </c>
      <c r="K191" s="113">
        <v>3.2381036532591625</v>
      </c>
    </row>
    <row r="192" spans="2:11" x14ac:dyDescent="0.3">
      <c r="B192" s="123"/>
      <c r="C192" s="1500" t="s">
        <v>1500</v>
      </c>
      <c r="D192" s="1499">
        <v>4.9449995125869215</v>
      </c>
      <c r="E192" s="1499">
        <v>3.9771280221874781</v>
      </c>
      <c r="F192" s="1499">
        <v>3.2563972845669937</v>
      </c>
      <c r="G192" s="1499">
        <v>2.9893765970124395</v>
      </c>
      <c r="H192" s="1499">
        <v>2.9962403173763756</v>
      </c>
      <c r="I192" s="1499">
        <v>5.4764396289459736</v>
      </c>
      <c r="J192" s="1499">
        <v>5.0028479818343028</v>
      </c>
      <c r="K192" s="113">
        <v>2.79572891843722</v>
      </c>
    </row>
    <row r="193" spans="2:11" x14ac:dyDescent="0.3">
      <c r="B193" s="123"/>
      <c r="C193" s="1500" t="s">
        <v>1504</v>
      </c>
      <c r="D193" s="1499">
        <v>5.497357361387726</v>
      </c>
      <c r="E193" s="1499">
        <v>4.5056507958871013</v>
      </c>
      <c r="F193" s="1499">
        <v>3.7972658199480169</v>
      </c>
      <c r="G193" s="1499">
        <v>3.5254330031570897</v>
      </c>
      <c r="H193" s="1499">
        <v>3.5453200378938883</v>
      </c>
      <c r="I193" s="1499">
        <v>6.0056194661447568</v>
      </c>
      <c r="J193" s="1499">
        <v>5.5315079837357395</v>
      </c>
      <c r="K193" s="113">
        <v>3.3350443960434255</v>
      </c>
    </row>
    <row r="194" spans="2:11" x14ac:dyDescent="0.3">
      <c r="B194" s="123"/>
      <c r="C194" s="1500" t="s">
        <v>1508</v>
      </c>
      <c r="D194" s="1499">
        <v>5.2508119830797364</v>
      </c>
      <c r="E194" s="1499">
        <v>4.2591054175791117</v>
      </c>
      <c r="F194" s="1499">
        <v>3.5507204416400269</v>
      </c>
      <c r="G194" s="1499">
        <v>3.2788876248490997</v>
      </c>
      <c r="H194" s="1499">
        <v>3.2987746595858982</v>
      </c>
      <c r="I194" s="1499">
        <v>5.7590740878367672</v>
      </c>
      <c r="J194" s="1499">
        <v>5.2849626054277499</v>
      </c>
      <c r="K194" s="113">
        <v>3.0884990177354354</v>
      </c>
    </row>
    <row r="195" spans="2:11" x14ac:dyDescent="0.3">
      <c r="B195" s="123"/>
      <c r="C195" s="1500" t="s">
        <v>1513</v>
      </c>
      <c r="D195" s="1499">
        <v>4.8809939156177515</v>
      </c>
      <c r="E195" s="1499">
        <v>3.8892873501171263</v>
      </c>
      <c r="F195" s="1499">
        <v>3.180902374178042</v>
      </c>
      <c r="G195" s="1499">
        <v>2.9090695573871148</v>
      </c>
      <c r="H195" s="1499">
        <v>2.9289565921239133</v>
      </c>
      <c r="I195" s="1499">
        <v>5.3892560203747824</v>
      </c>
      <c r="J195" s="1499">
        <v>4.915144537965765</v>
      </c>
      <c r="K195" s="113">
        <v>2.7186809502734506</v>
      </c>
    </row>
    <row r="196" spans="2:11" x14ac:dyDescent="0.3">
      <c r="B196" s="123"/>
      <c r="C196" s="1500" t="s">
        <v>1517</v>
      </c>
      <c r="D196" s="1499">
        <v>4.5111758481557667</v>
      </c>
      <c r="E196" s="1499">
        <v>3.5194692826551415</v>
      </c>
      <c r="F196" s="1499">
        <v>2.8110843067160571</v>
      </c>
      <c r="G196" s="1499">
        <v>2.5392514899251295</v>
      </c>
      <c r="H196" s="1499">
        <v>2.559138524661928</v>
      </c>
      <c r="I196" s="1499">
        <v>5.0194379529127975</v>
      </c>
      <c r="J196" s="1499">
        <v>4.5453264705037801</v>
      </c>
      <c r="K196" s="113">
        <v>2.3488628828114657</v>
      </c>
    </row>
    <row r="197" spans="2:11" ht="14.5" thickBot="1" x14ac:dyDescent="0.35">
      <c r="B197" s="124"/>
      <c r="C197" s="125" t="s">
        <v>1519</v>
      </c>
      <c r="D197" s="117">
        <v>6.1246654721121008</v>
      </c>
      <c r="E197" s="117">
        <v>5.1567939817126573</v>
      </c>
      <c r="F197" s="117">
        <v>4.436063244092173</v>
      </c>
      <c r="G197" s="117">
        <v>4.1690425565376188</v>
      </c>
      <c r="H197" s="117">
        <v>4.1759062769015545</v>
      </c>
      <c r="I197" s="117">
        <v>6.6561055884711529</v>
      </c>
      <c r="J197" s="117">
        <v>6.1825139413594821</v>
      </c>
      <c r="K197" s="118">
        <v>3.9753948779623998</v>
      </c>
    </row>
    <row r="198" spans="2:11" x14ac:dyDescent="0.3">
      <c r="B198" s="119" t="s">
        <v>1994</v>
      </c>
      <c r="C198" s="108" t="s">
        <v>1416</v>
      </c>
      <c r="D198" s="109">
        <v>2.871218777902266</v>
      </c>
      <c r="E198" s="109">
        <v>1.7109413008391221</v>
      </c>
      <c r="F198" s="109">
        <v>1.2490200927699295</v>
      </c>
      <c r="G198" s="109">
        <v>0.90585174827839088</v>
      </c>
      <c r="H198" s="109">
        <v>1.0447055943450756</v>
      </c>
      <c r="I198" s="109">
        <v>3.1877595057984061</v>
      </c>
      <c r="J198" s="109">
        <v>2.7056128936987798</v>
      </c>
      <c r="K198" s="110">
        <v>0.76981352448889895</v>
      </c>
    </row>
    <row r="199" spans="2:11" x14ac:dyDescent="0.3">
      <c r="B199" s="111"/>
      <c r="C199" s="112" t="s">
        <v>1483</v>
      </c>
      <c r="D199" s="1499">
        <v>6.1246898711341364</v>
      </c>
      <c r="E199" s="1499">
        <v>5.1568187116672624</v>
      </c>
      <c r="F199" s="1499">
        <v>4.4360865624684802</v>
      </c>
      <c r="G199" s="1499">
        <v>4.1690664811448759</v>
      </c>
      <c r="H199" s="1499">
        <v>4.1759298536567035</v>
      </c>
      <c r="I199" s="1499">
        <v>6.6561316814578895</v>
      </c>
      <c r="J199" s="1499">
        <v>6.1825400077803412</v>
      </c>
      <c r="K199" s="113">
        <v>3.9754187184272776</v>
      </c>
    </row>
    <row r="200" spans="2:11" x14ac:dyDescent="0.3">
      <c r="B200" s="111"/>
      <c r="C200" s="112" t="s">
        <v>1489</v>
      </c>
      <c r="D200" s="1499">
        <v>5.8297733812528412</v>
      </c>
      <c r="E200" s="1499">
        <v>4.8619022217859671</v>
      </c>
      <c r="F200" s="1499">
        <v>4.1411700725871849</v>
      </c>
      <c r="G200" s="1499">
        <v>3.8741499912635811</v>
      </c>
      <c r="H200" s="1499">
        <v>3.8810133637754087</v>
      </c>
      <c r="I200" s="1499">
        <v>6.3612151915765951</v>
      </c>
      <c r="J200" s="1499">
        <v>5.8876235178990459</v>
      </c>
      <c r="K200" s="113">
        <v>3.6805022285459827</v>
      </c>
    </row>
    <row r="201" spans="2:11" x14ac:dyDescent="0.3">
      <c r="B201" s="114">
        <v>0</v>
      </c>
      <c r="C201" s="112" t="s">
        <v>1496</v>
      </c>
      <c r="D201" s="1499">
        <v>5.3873986464308992</v>
      </c>
      <c r="E201" s="1499">
        <v>4.4195274869640251</v>
      </c>
      <c r="F201" s="1499">
        <v>3.6987953377652429</v>
      </c>
      <c r="G201" s="1499">
        <v>3.4317752564416386</v>
      </c>
      <c r="H201" s="1499">
        <v>3.4386386289534667</v>
      </c>
      <c r="I201" s="1499">
        <v>5.9188404567546531</v>
      </c>
      <c r="J201" s="1499">
        <v>5.4452487830771048</v>
      </c>
      <c r="K201" s="113">
        <v>3.2381274937240403</v>
      </c>
    </row>
    <row r="202" spans="2:11" x14ac:dyDescent="0.3">
      <c r="B202" s="115"/>
      <c r="C202" s="112" t="s">
        <v>1500</v>
      </c>
      <c r="D202" s="1499">
        <v>4.9450239116089563</v>
      </c>
      <c r="E202" s="1499">
        <v>3.9771527521420826</v>
      </c>
      <c r="F202" s="1499">
        <v>3.2564206029433009</v>
      </c>
      <c r="G202" s="1499">
        <v>2.989400521619697</v>
      </c>
      <c r="H202" s="1499">
        <v>2.9962638941315247</v>
      </c>
      <c r="I202" s="1499">
        <v>5.4764657219327102</v>
      </c>
      <c r="J202" s="1499">
        <v>5.0028740482551619</v>
      </c>
      <c r="K202" s="113">
        <v>2.7957527589020983</v>
      </c>
    </row>
    <row r="203" spans="2:11" x14ac:dyDescent="0.3">
      <c r="B203" s="115"/>
      <c r="C203" s="112" t="s">
        <v>1504</v>
      </c>
      <c r="D203" s="1499">
        <v>5.4973813204156778</v>
      </c>
      <c r="E203" s="1499">
        <v>4.5056753031801788</v>
      </c>
      <c r="F203" s="1499">
        <v>3.7972883663370793</v>
      </c>
      <c r="G203" s="1499">
        <v>3.5254564788633003</v>
      </c>
      <c r="H203" s="1499">
        <v>3.5453428386520125</v>
      </c>
      <c r="I203" s="1499">
        <v>6.0056456681283512</v>
      </c>
      <c r="J203" s="1499">
        <v>5.531534062791776</v>
      </c>
      <c r="K203" s="113">
        <v>3.3350677161078912</v>
      </c>
    </row>
    <row r="204" spans="2:11" x14ac:dyDescent="0.3">
      <c r="B204" s="115"/>
      <c r="C204" s="112" t="s">
        <v>1508</v>
      </c>
      <c r="D204" s="1499">
        <v>5.2508359421076882</v>
      </c>
      <c r="E204" s="1499">
        <v>4.2591299248721883</v>
      </c>
      <c r="F204" s="1499">
        <v>3.5507429880290893</v>
      </c>
      <c r="G204" s="1499">
        <v>3.2789111005553102</v>
      </c>
      <c r="H204" s="1499">
        <v>3.2987974603440224</v>
      </c>
      <c r="I204" s="1499">
        <v>5.7591002898203616</v>
      </c>
      <c r="J204" s="1499">
        <v>5.2849886844837863</v>
      </c>
      <c r="K204" s="113">
        <v>3.0885223377999012</v>
      </c>
    </row>
    <row r="205" spans="2:11" x14ac:dyDescent="0.3">
      <c r="B205" s="115"/>
      <c r="C205" s="112" t="s">
        <v>1513</v>
      </c>
      <c r="D205" s="1499">
        <v>4.8810178746457034</v>
      </c>
      <c r="E205" s="1499">
        <v>3.8893118574102039</v>
      </c>
      <c r="F205" s="1499">
        <v>3.1809249205671044</v>
      </c>
      <c r="G205" s="1499">
        <v>2.9090930330933253</v>
      </c>
      <c r="H205" s="1499">
        <v>2.9289793928820376</v>
      </c>
      <c r="I205" s="1499">
        <v>5.3892822223583767</v>
      </c>
      <c r="J205" s="1499">
        <v>4.9151706170218015</v>
      </c>
      <c r="K205" s="113">
        <v>2.7187042703379158</v>
      </c>
    </row>
    <row r="206" spans="2:11" x14ac:dyDescent="0.3">
      <c r="B206" s="115"/>
      <c r="C206" s="112" t="s">
        <v>1517</v>
      </c>
      <c r="D206" s="1499">
        <v>4.5111998071837185</v>
      </c>
      <c r="E206" s="1499">
        <v>3.519493789948219</v>
      </c>
      <c r="F206" s="1499">
        <v>2.8111068531051195</v>
      </c>
      <c r="G206" s="1499">
        <v>2.53927496563134</v>
      </c>
      <c r="H206" s="1499">
        <v>2.5591613254200518</v>
      </c>
      <c r="I206" s="1499">
        <v>5.0194641548963919</v>
      </c>
      <c r="J206" s="1499">
        <v>4.5453525495598166</v>
      </c>
      <c r="K206" s="113">
        <v>2.348886202875931</v>
      </c>
    </row>
    <row r="207" spans="2:11" ht="14.5" thickBot="1" x14ac:dyDescent="0.35">
      <c r="B207" s="1233"/>
      <c r="C207" s="116" t="s">
        <v>1519</v>
      </c>
      <c r="D207" s="117">
        <v>6.1246898711341364</v>
      </c>
      <c r="E207" s="117">
        <v>5.1568187116672624</v>
      </c>
      <c r="F207" s="117">
        <v>4.4360865624684802</v>
      </c>
      <c r="G207" s="117">
        <v>4.1690664811448759</v>
      </c>
      <c r="H207" s="117">
        <v>4.1759298536567035</v>
      </c>
      <c r="I207" s="117">
        <v>6.6561316814578895</v>
      </c>
      <c r="J207" s="117">
        <v>6.1825400077803412</v>
      </c>
      <c r="K207" s="118">
        <v>3.9754187184272776</v>
      </c>
    </row>
    <row r="208" spans="2:11" x14ac:dyDescent="0.3">
      <c r="B208" s="120" t="s">
        <v>1519</v>
      </c>
      <c r="C208" s="108" t="s">
        <v>1416</v>
      </c>
      <c r="D208" s="129">
        <v>2.8711808679010145</v>
      </c>
      <c r="E208" s="109">
        <v>1.7109010311818942</v>
      </c>
      <c r="F208" s="109">
        <v>1.248993570186028</v>
      </c>
      <c r="G208" s="109">
        <v>0.90582039480712628</v>
      </c>
      <c r="H208" s="109">
        <v>1.0446777098726039</v>
      </c>
      <c r="I208" s="109">
        <v>3.1877123993836016</v>
      </c>
      <c r="J208" s="109">
        <v>2.7055671865352293</v>
      </c>
      <c r="K208" s="110">
        <v>0.76978257923675741</v>
      </c>
    </row>
    <row r="209" spans="2:11" x14ac:dyDescent="0.3">
      <c r="B209" s="111"/>
      <c r="C209" s="112" t="s">
        <v>1483</v>
      </c>
      <c r="D209" s="130">
        <v>5.351737098664656</v>
      </c>
      <c r="E209" s="1499">
        <v>4.3548453685287258</v>
      </c>
      <c r="F209" s="1499">
        <v>3.6539867558386541</v>
      </c>
      <c r="G209" s="1499">
        <v>3.3738882987116017</v>
      </c>
      <c r="H209" s="1499">
        <v>3.3996174290720198</v>
      </c>
      <c r="I209" s="1499">
        <v>5.8547766860846</v>
      </c>
      <c r="J209" s="1499">
        <v>5.3776825253720935</v>
      </c>
      <c r="K209" s="113">
        <v>3.185223957732858</v>
      </c>
    </row>
    <row r="210" spans="2:11" x14ac:dyDescent="0.3">
      <c r="B210" s="111"/>
      <c r="C210" s="112" t="s">
        <v>1489</v>
      </c>
      <c r="D210" s="130">
        <v>5.0568206087833607</v>
      </c>
      <c r="E210" s="1499">
        <v>4.0599288786474315</v>
      </c>
      <c r="F210" s="1499">
        <v>3.3590702659573592</v>
      </c>
      <c r="G210" s="1499">
        <v>3.0789718088303064</v>
      </c>
      <c r="H210" s="1499">
        <v>3.104700939190725</v>
      </c>
      <c r="I210" s="1499">
        <v>5.5598601962033047</v>
      </c>
      <c r="J210" s="1499">
        <v>5.0827660354907991</v>
      </c>
      <c r="K210" s="113">
        <v>2.8903074678515632</v>
      </c>
    </row>
    <row r="211" spans="2:11" x14ac:dyDescent="0.3">
      <c r="B211" s="114">
        <v>0</v>
      </c>
      <c r="C211" s="112" t="s">
        <v>1496</v>
      </c>
      <c r="D211" s="130">
        <v>4.6144458739614196</v>
      </c>
      <c r="E211" s="1499">
        <v>3.617554143825489</v>
      </c>
      <c r="F211" s="1499">
        <v>2.9166955311354172</v>
      </c>
      <c r="G211" s="1499">
        <v>2.6365970740083644</v>
      </c>
      <c r="H211" s="1499">
        <v>2.6623262043687825</v>
      </c>
      <c r="I211" s="1499">
        <v>5.1174854613813627</v>
      </c>
      <c r="J211" s="1499">
        <v>4.6403913006688571</v>
      </c>
      <c r="K211" s="113">
        <v>2.4479327330296208</v>
      </c>
    </row>
    <row r="212" spans="2:11" x14ac:dyDescent="0.3">
      <c r="B212" s="115"/>
      <c r="C212" s="112" t="s">
        <v>1500</v>
      </c>
      <c r="D212" s="130">
        <v>4.1720711391394767</v>
      </c>
      <c r="E212" s="1499">
        <v>3.1751794090035466</v>
      </c>
      <c r="F212" s="1499">
        <v>2.4743207963134748</v>
      </c>
      <c r="G212" s="1499">
        <v>2.194222339186422</v>
      </c>
      <c r="H212" s="1499">
        <v>2.2199514695468405</v>
      </c>
      <c r="I212" s="1499">
        <v>4.6751107265594207</v>
      </c>
      <c r="J212" s="1499">
        <v>4.1980165658469151</v>
      </c>
      <c r="K212" s="113">
        <v>2.0055579982076788</v>
      </c>
    </row>
    <row r="213" spans="2:11" x14ac:dyDescent="0.3">
      <c r="B213" s="115"/>
      <c r="C213" s="112" t="s">
        <v>1504</v>
      </c>
      <c r="D213" s="130">
        <v>4.8500831108513962</v>
      </c>
      <c r="E213" s="1499">
        <v>3.8248456285444998</v>
      </c>
      <c r="F213" s="1499">
        <v>3.142108067913111</v>
      </c>
      <c r="G213" s="1499">
        <v>2.8577157204439989</v>
      </c>
      <c r="H213" s="1499">
        <v>2.9015000957155364</v>
      </c>
      <c r="I213" s="1499">
        <v>5.3256120232274542</v>
      </c>
      <c r="J213" s="1499">
        <v>4.8495612925090317</v>
      </c>
      <c r="K213" s="113">
        <v>2.6740522605158845</v>
      </c>
    </row>
    <row r="214" spans="2:11" x14ac:dyDescent="0.3">
      <c r="B214" s="115"/>
      <c r="C214" s="112" t="s">
        <v>1508</v>
      </c>
      <c r="D214" s="130">
        <v>4.6035377325434057</v>
      </c>
      <c r="E214" s="1499">
        <v>3.5783002502365098</v>
      </c>
      <c r="F214" s="1499">
        <v>2.895562689605121</v>
      </c>
      <c r="G214" s="1499">
        <v>2.6111703421360088</v>
      </c>
      <c r="H214" s="1499">
        <v>2.6549547174075463</v>
      </c>
      <c r="I214" s="1499">
        <v>5.0790666449194637</v>
      </c>
      <c r="J214" s="1499">
        <v>4.6030159142010412</v>
      </c>
      <c r="K214" s="113">
        <v>2.4275068822078945</v>
      </c>
    </row>
    <row r="215" spans="2:11" x14ac:dyDescent="0.3">
      <c r="B215" s="115"/>
      <c r="C215" s="112" t="s">
        <v>1513</v>
      </c>
      <c r="D215" s="130">
        <v>4.2337196650814208</v>
      </c>
      <c r="E215" s="1499">
        <v>3.2084821827745245</v>
      </c>
      <c r="F215" s="1499">
        <v>2.5257446221431357</v>
      </c>
      <c r="G215" s="1499">
        <v>2.2413522746740235</v>
      </c>
      <c r="H215" s="1499">
        <v>2.2851366499455614</v>
      </c>
      <c r="I215" s="1499">
        <v>4.7092485774574788</v>
      </c>
      <c r="J215" s="1499">
        <v>4.2331978467390563</v>
      </c>
      <c r="K215" s="113">
        <v>2.0576888147459091</v>
      </c>
    </row>
    <row r="216" spans="2:11" x14ac:dyDescent="0.3">
      <c r="B216" s="115"/>
      <c r="C216" s="112" t="s">
        <v>1517</v>
      </c>
      <c r="D216" s="130">
        <v>3.863901597619436</v>
      </c>
      <c r="E216" s="1499">
        <v>2.8386641153125396</v>
      </c>
      <c r="F216" s="1499">
        <v>2.1559265546811508</v>
      </c>
      <c r="G216" s="1499">
        <v>1.8715342072120387</v>
      </c>
      <c r="H216" s="1499">
        <v>1.9153185824835761</v>
      </c>
      <c r="I216" s="1499">
        <v>4.339430509995494</v>
      </c>
      <c r="J216" s="1499">
        <v>3.863379779277071</v>
      </c>
      <c r="K216" s="113">
        <v>1.6878707472839241</v>
      </c>
    </row>
    <row r="217" spans="2:11" ht="14.5" thickBot="1" x14ac:dyDescent="0.35">
      <c r="B217" s="1233"/>
      <c r="C217" s="116" t="s">
        <v>1519</v>
      </c>
      <c r="D217" s="131">
        <v>5.351737098664656</v>
      </c>
      <c r="E217" s="117">
        <v>4.3548453685287258</v>
      </c>
      <c r="F217" s="117">
        <v>3.6539867558386541</v>
      </c>
      <c r="G217" s="117">
        <v>3.3738882987116017</v>
      </c>
      <c r="H217" s="117">
        <v>3.3996174290720198</v>
      </c>
      <c r="I217" s="117">
        <v>5.8547766860846</v>
      </c>
      <c r="J217" s="117">
        <v>5.3776825253720935</v>
      </c>
      <c r="K217" s="118">
        <v>3.185223957732858</v>
      </c>
    </row>
    <row r="221" spans="2:11" ht="14.5" thickBot="1" x14ac:dyDescent="0.35"/>
    <row r="222" spans="2:11" x14ac:dyDescent="0.3">
      <c r="C222" s="132" t="s">
        <v>1995</v>
      </c>
      <c r="D222" s="132"/>
      <c r="E222" s="132"/>
      <c r="F222" s="132"/>
    </row>
    <row r="223" spans="2:11" x14ac:dyDescent="0.3">
      <c r="C223" s="1504" t="s">
        <v>1996</v>
      </c>
      <c r="D223" s="1504" t="s">
        <v>1997</v>
      </c>
      <c r="E223" s="1504" t="s">
        <v>1998</v>
      </c>
      <c r="F223" s="1504" t="s">
        <v>1999</v>
      </c>
    </row>
    <row r="224" spans="2:11" x14ac:dyDescent="0.3">
      <c r="C224" s="1498">
        <v>1</v>
      </c>
      <c r="D224" s="1505">
        <v>358.80203135984607</v>
      </c>
      <c r="E224" s="1506">
        <v>6.6177903079771977E-2</v>
      </c>
      <c r="F224" s="1507">
        <v>2.6471161231908789</v>
      </c>
      <c r="H224" s="134" t="s">
        <v>2000</v>
      </c>
    </row>
    <row r="225" spans="2:11" x14ac:dyDescent="0.3">
      <c r="C225" s="1498">
        <v>1.5</v>
      </c>
      <c r="D225" s="1505">
        <v>302.89555806880634</v>
      </c>
      <c r="E225" s="1506">
        <v>5.5866442029888039E-2</v>
      </c>
      <c r="F225" s="1507">
        <v>2.2346576811955212</v>
      </c>
      <c r="H225" s="134" t="s">
        <v>2001</v>
      </c>
    </row>
    <row r="226" spans="2:11" x14ac:dyDescent="0.3">
      <c r="C226" s="1498">
        <v>2</v>
      </c>
      <c r="D226" s="1505">
        <v>263.2292840091751</v>
      </c>
      <c r="E226" s="1506">
        <v>4.8550343984664651E-2</v>
      </c>
      <c r="F226" s="1507">
        <v>1.942013759386586</v>
      </c>
    </row>
    <row r="227" spans="2:11" x14ac:dyDescent="0.3">
      <c r="C227" s="1498">
        <v>2.5</v>
      </c>
      <c r="D227" s="1505">
        <v>232.46173153142234</v>
      </c>
      <c r="E227" s="1506">
        <v>4.2875537467662345E-2</v>
      </c>
      <c r="F227" s="1507">
        <v>1.715021498706494</v>
      </c>
    </row>
    <row r="228" spans="2:11" x14ac:dyDescent="0.3">
      <c r="B228" s="2"/>
      <c r="C228" s="1498">
        <v>3</v>
      </c>
      <c r="D228" s="1505">
        <v>207.32281071813532</v>
      </c>
      <c r="E228" s="1506">
        <v>3.8238882934780699E-2</v>
      </c>
      <c r="F228" s="1507">
        <v>1.5295553173912282</v>
      </c>
      <c r="I228" s="135"/>
      <c r="J228" s="135"/>
      <c r="K228" s="135"/>
    </row>
    <row r="229" spans="2:11" x14ac:dyDescent="0.3">
      <c r="B229" s="136"/>
      <c r="C229" s="1498">
        <v>3.5</v>
      </c>
      <c r="D229" s="1505">
        <v>186.06815602104305</v>
      </c>
      <c r="E229" s="1506">
        <v>3.4318647385368467E-2</v>
      </c>
      <c r="F229" s="1507">
        <v>1.3727458954147385</v>
      </c>
      <c r="I229" s="135"/>
      <c r="J229" s="135"/>
      <c r="K229" s="135"/>
    </row>
    <row r="230" spans="2:11" x14ac:dyDescent="0.3">
      <c r="B230" s="136"/>
      <c r="C230" s="1498">
        <v>4</v>
      </c>
      <c r="D230" s="1505">
        <v>167.65653665850414</v>
      </c>
      <c r="E230" s="1506">
        <v>3.0922784889557325E-2</v>
      </c>
      <c r="F230" s="1507">
        <v>1.236911395582293</v>
      </c>
      <c r="I230" s="135"/>
      <c r="J230" s="135"/>
      <c r="K230" s="135"/>
    </row>
    <row r="231" spans="2:11" x14ac:dyDescent="0.3">
      <c r="B231" s="137"/>
      <c r="C231" s="1498">
        <v>4.5</v>
      </c>
      <c r="D231" s="1505">
        <v>151.41633742709558</v>
      </c>
      <c r="E231" s="1506">
        <v>2.7927421884896768E-2</v>
      </c>
      <c r="F231" s="1507">
        <v>1.1170968753958705</v>
      </c>
      <c r="I231" s="135"/>
      <c r="J231" s="135"/>
      <c r="K231" s="135"/>
    </row>
    <row r="232" spans="2:11" x14ac:dyDescent="0.3">
      <c r="C232" s="1498">
        <v>5</v>
      </c>
      <c r="D232" s="1505">
        <v>136.88898418075144</v>
      </c>
      <c r="E232" s="1506">
        <v>2.5247978372555033E-2</v>
      </c>
      <c r="F232" s="1507">
        <v>1.0099191349022014</v>
      </c>
      <c r="I232" s="135"/>
      <c r="J232" s="135"/>
      <c r="K232" s="135"/>
    </row>
    <row r="233" spans="2:11" x14ac:dyDescent="0.3">
      <c r="C233" s="1498">
        <v>5.5</v>
      </c>
      <c r="D233" s="1505">
        <v>123.74739464557187</v>
      </c>
      <c r="E233" s="1506">
        <v>2.2824126881867558E-2</v>
      </c>
      <c r="F233" s="1507">
        <v>0.91296507527470228</v>
      </c>
      <c r="I233" s="135"/>
      <c r="J233" s="135"/>
      <c r="K233" s="135"/>
    </row>
    <row r="234" spans="2:11" x14ac:dyDescent="0.3">
      <c r="C234" s="1498">
        <v>6</v>
      </c>
      <c r="D234" s="1505">
        <v>111.75006336746438</v>
      </c>
      <c r="E234" s="1506">
        <v>2.0611323839673387E-2</v>
      </c>
      <c r="F234" s="1507">
        <v>0.82445295358693538</v>
      </c>
      <c r="I234" s="135"/>
      <c r="J234" s="135"/>
      <c r="K234" s="135"/>
    </row>
    <row r="235" spans="2:11" x14ac:dyDescent="0.3">
      <c r="C235" s="1498">
        <v>6.5</v>
      </c>
      <c r="D235" s="1505">
        <v>100.71358844223032</v>
      </c>
      <c r="E235" s="1506">
        <v>1.8575742365464908E-2</v>
      </c>
      <c r="F235" s="1507">
        <v>0.74302969461859625</v>
      </c>
      <c r="I235" s="135"/>
      <c r="J235" s="135"/>
      <c r="K235" s="135"/>
    </row>
    <row r="236" spans="2:11" x14ac:dyDescent="0.3">
      <c r="C236" s="1498">
        <v>7</v>
      </c>
      <c r="D236" s="1505">
        <v>90.495408670372058</v>
      </c>
      <c r="E236" s="1506">
        <v>1.6691088290261145E-2</v>
      </c>
      <c r="F236" s="1507">
        <v>0.66764353161044565</v>
      </c>
      <c r="I236" s="135"/>
      <c r="J236" s="135"/>
      <c r="K236" s="135"/>
    </row>
    <row r="237" spans="2:11" x14ac:dyDescent="0.3">
      <c r="C237" s="1498">
        <v>7.5</v>
      </c>
      <c r="D237" s="1505">
        <v>80.982510889711676</v>
      </c>
      <c r="E237" s="1506">
        <v>1.4936517322671091E-2</v>
      </c>
      <c r="F237" s="1507">
        <v>0.59746069290684367</v>
      </c>
      <c r="I237" s="135"/>
      <c r="J237" s="135"/>
      <c r="K237" s="135"/>
    </row>
    <row r="238" spans="2:11" x14ac:dyDescent="0.3">
      <c r="B238" s="2"/>
      <c r="C238" s="1498">
        <v>8</v>
      </c>
      <c r="D238" s="1505">
        <v>72.083789307833158</v>
      </c>
      <c r="E238" s="1506">
        <v>1.3295225794450007E-2</v>
      </c>
      <c r="F238" s="1507">
        <v>0.53180903177800021</v>
      </c>
      <c r="I238" s="135"/>
      <c r="J238" s="135"/>
      <c r="K238" s="135"/>
    </row>
    <row r="239" spans="2:11" x14ac:dyDescent="0.3">
      <c r="B239" s="136"/>
      <c r="C239" s="1498">
        <v>8.5</v>
      </c>
      <c r="D239" s="1505">
        <v>63.724725278442591</v>
      </c>
      <c r="E239" s="1506">
        <v>1.1753469391683653E-2</v>
      </c>
      <c r="F239" s="1507">
        <v>0.47013877566734608</v>
      </c>
      <c r="I239" s="135"/>
      <c r="J239" s="135"/>
      <c r="K239" s="135"/>
    </row>
    <row r="240" spans="2:11" x14ac:dyDescent="0.3">
      <c r="B240" s="136"/>
      <c r="C240" s="1498">
        <v>9</v>
      </c>
      <c r="D240" s="1505">
        <v>55.843590076424562</v>
      </c>
      <c r="E240" s="1506">
        <v>1.0299862789789435E-2</v>
      </c>
      <c r="F240" s="1507">
        <v>0.41199451159157741</v>
      </c>
      <c r="I240" s="135"/>
      <c r="J240" s="135"/>
      <c r="K240" s="135"/>
    </row>
    <row r="241" spans="2:11" x14ac:dyDescent="0.3">
      <c r="B241" s="137"/>
      <c r="C241" s="1498">
        <v>9.5</v>
      </c>
      <c r="D241" s="1505">
        <v>48.38867570420922</v>
      </c>
      <c r="E241" s="1506">
        <v>8.924868899920179E-3</v>
      </c>
      <c r="F241" s="1507">
        <v>0.35699475599680713</v>
      </c>
      <c r="I241" s="135"/>
      <c r="J241" s="135"/>
      <c r="K241" s="135"/>
    </row>
    <row r="242" spans="2:11" x14ac:dyDescent="0.3">
      <c r="C242" s="1498">
        <v>10</v>
      </c>
      <c r="D242" s="1505">
        <v>41.316236830080385</v>
      </c>
      <c r="E242" s="1506">
        <v>7.6204192774476992E-3</v>
      </c>
      <c r="F242" s="1507">
        <v>0.30481677109790795</v>
      </c>
      <c r="I242" s="135"/>
      <c r="J242" s="135"/>
      <c r="K242" s="135"/>
    </row>
    <row r="243" spans="2:11" x14ac:dyDescent="0.3">
      <c r="I243" s="135"/>
      <c r="J243" s="135"/>
      <c r="K243" s="135"/>
    </row>
    <row r="244" spans="2:11" ht="14.5" thickBot="1" x14ac:dyDescent="0.35">
      <c r="I244" s="135"/>
      <c r="J244" s="135"/>
      <c r="K244" s="135"/>
    </row>
    <row r="245" spans="2:11" x14ac:dyDescent="0.3">
      <c r="C245" s="132" t="s">
        <v>2002</v>
      </c>
      <c r="D245" s="132"/>
      <c r="E245" s="132"/>
      <c r="F245" s="132"/>
      <c r="H245" s="134" t="s">
        <v>2003</v>
      </c>
      <c r="I245" s="135"/>
      <c r="J245" s="135"/>
      <c r="K245" s="135"/>
    </row>
    <row r="246" spans="2:11" x14ac:dyDescent="0.3">
      <c r="C246" s="1508" t="s">
        <v>1996</v>
      </c>
      <c r="D246" s="1508" t="s">
        <v>2004</v>
      </c>
      <c r="E246" s="1508" t="s">
        <v>2005</v>
      </c>
      <c r="F246" s="1508" t="s">
        <v>2006</v>
      </c>
      <c r="H246" s="134" t="s">
        <v>2007</v>
      </c>
      <c r="I246" s="135"/>
      <c r="J246" s="135"/>
      <c r="K246" s="135"/>
    </row>
    <row r="247" spans="2:11" x14ac:dyDescent="0.3">
      <c r="C247" s="1498" t="s">
        <v>376</v>
      </c>
      <c r="D247" s="1509">
        <v>423.25142655096414</v>
      </c>
      <c r="E247" s="1510">
        <v>7.8065031511969168E-2</v>
      </c>
      <c r="F247" s="1511">
        <v>3.1226012604787661</v>
      </c>
      <c r="I247" s="135"/>
      <c r="J247" s="135"/>
      <c r="K247" s="135"/>
    </row>
  </sheetData>
  <sheetProtection algorithmName="SHA-512" hashValue="39fwBfHHUdVVYjpIP9NLTbYflwrZaXucJA1O1/waqEFTJfcEpITo6LSDysrZWaoZsmjNip2ltvi6tqLXfKSX8w==" saltValue="TLTzjFEeAAp0qtLez6fcmA==" spinCount="100000" sheet="1" objects="1" scenarios="1" autoFilter="0"/>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8"/>
  <dimension ref="B1:K248"/>
  <sheetViews>
    <sheetView topLeftCell="A94" zoomScale="115" zoomScaleNormal="115" workbookViewId="0">
      <selection activeCell="G9" sqref="G9"/>
    </sheetView>
  </sheetViews>
  <sheetFormatPr defaultColWidth="7.58203125" defaultRowHeight="14" x14ac:dyDescent="0.3"/>
  <cols>
    <col min="2" max="2" width="15.08203125" customWidth="1"/>
    <col min="3" max="3" width="25.58203125" customWidth="1"/>
  </cols>
  <sheetData>
    <row r="1" spans="2:11" ht="14.5" thickBot="1" x14ac:dyDescent="0.35"/>
    <row r="2" spans="2:11" ht="25.5" thickBot="1" x14ac:dyDescent="0.55000000000000004">
      <c r="B2" s="88" t="s">
        <v>1960</v>
      </c>
      <c r="C2" s="89"/>
      <c r="D2" s="90">
        <v>1</v>
      </c>
      <c r="E2" s="91" t="s">
        <v>1961</v>
      </c>
      <c r="F2" s="92"/>
      <c r="G2" s="92"/>
      <c r="H2" s="92"/>
      <c r="I2" s="93"/>
      <c r="J2" s="89" t="s">
        <v>176</v>
      </c>
      <c r="K2" s="94" t="s">
        <v>223</v>
      </c>
    </row>
    <row r="3" spans="2:11" ht="14.5" thickBot="1" x14ac:dyDescent="0.35">
      <c r="B3" s="95" t="s">
        <v>1962</v>
      </c>
      <c r="C3" s="96" t="s">
        <v>1963</v>
      </c>
      <c r="D3" s="95" t="s">
        <v>1964</v>
      </c>
      <c r="E3" s="97" t="s">
        <v>1965</v>
      </c>
      <c r="F3" s="97" t="s">
        <v>1966</v>
      </c>
      <c r="G3" s="97" t="s">
        <v>1967</v>
      </c>
      <c r="H3" s="97" t="s">
        <v>1968</v>
      </c>
      <c r="I3" s="97" t="s">
        <v>1969</v>
      </c>
      <c r="J3" s="97" t="s">
        <v>1970</v>
      </c>
      <c r="K3" s="98" t="s">
        <v>1971</v>
      </c>
    </row>
    <row r="4" spans="2:11" ht="18.5" thickBot="1" x14ac:dyDescent="0.45">
      <c r="B4" s="99" t="s">
        <v>34</v>
      </c>
      <c r="C4" s="100" t="s">
        <v>34</v>
      </c>
      <c r="D4" s="101" t="s">
        <v>34</v>
      </c>
      <c r="E4" s="944"/>
      <c r="F4" s="944"/>
      <c r="G4" s="944"/>
      <c r="H4" s="944"/>
      <c r="I4" s="944" t="s">
        <v>34</v>
      </c>
      <c r="J4" s="944" t="s">
        <v>34</v>
      </c>
      <c r="K4" s="102"/>
    </row>
    <row r="5" spans="2:11" ht="86" thickBot="1" x14ac:dyDescent="0.45">
      <c r="B5" s="103" t="s">
        <v>1972</v>
      </c>
      <c r="C5" s="104" t="s">
        <v>1973</v>
      </c>
      <c r="D5" s="105" t="s">
        <v>1974</v>
      </c>
      <c r="E5" s="105" t="s">
        <v>1525</v>
      </c>
      <c r="F5" s="105" t="s">
        <v>1527</v>
      </c>
      <c r="G5" s="105" t="s">
        <v>1975</v>
      </c>
      <c r="H5" s="105" t="s">
        <v>1976</v>
      </c>
      <c r="I5" s="105" t="s">
        <v>1445</v>
      </c>
      <c r="J5" s="105" t="s">
        <v>1538</v>
      </c>
      <c r="K5" s="106" t="s">
        <v>1541</v>
      </c>
    </row>
    <row r="6" spans="2:11" x14ac:dyDescent="0.3">
      <c r="B6" s="107" t="s">
        <v>1977</v>
      </c>
      <c r="C6" s="108" t="s">
        <v>1416</v>
      </c>
      <c r="D6" s="109">
        <v>1.7100559665402479</v>
      </c>
      <c r="E6" s="109">
        <v>1.5956945441231294</v>
      </c>
      <c r="F6" s="109">
        <v>1.0247034528038619</v>
      </c>
      <c r="G6" s="109">
        <v>1.0084239231430403</v>
      </c>
      <c r="H6" s="109">
        <v>0.82487954654431395</v>
      </c>
      <c r="I6" s="109">
        <v>1.4779183487748497</v>
      </c>
      <c r="J6" s="109">
        <v>1.3592625403891123</v>
      </c>
      <c r="K6" s="110">
        <v>0.76812660295482771</v>
      </c>
    </row>
    <row r="7" spans="2:11" x14ac:dyDescent="0.3">
      <c r="B7" s="111" t="s">
        <v>1978</v>
      </c>
      <c r="C7" s="112" t="s">
        <v>1483</v>
      </c>
      <c r="D7" s="1499">
        <v>3.5998525629282963</v>
      </c>
      <c r="E7" s="1499">
        <v>3.5013402007184151</v>
      </c>
      <c r="F7" s="1499">
        <v>2.9181976264961822</v>
      </c>
      <c r="G7" s="1499">
        <v>2.9085826340688534</v>
      </c>
      <c r="H7" s="1499">
        <v>2.7189036395693686</v>
      </c>
      <c r="I7" s="1499">
        <v>3.3834366173009012</v>
      </c>
      <c r="J7" s="1499">
        <v>3.263646257702141</v>
      </c>
      <c r="K7" s="113">
        <v>2.6639720205447981</v>
      </c>
    </row>
    <row r="8" spans="2:11" x14ac:dyDescent="0.3">
      <c r="B8" s="111" t="s">
        <v>1979</v>
      </c>
      <c r="C8" s="112" t="s">
        <v>1489</v>
      </c>
      <c r="D8" s="1499">
        <v>3.3852151803961039</v>
      </c>
      <c r="E8" s="1499">
        <v>3.2867028181862232</v>
      </c>
      <c r="F8" s="1499">
        <v>2.7035602439639899</v>
      </c>
      <c r="G8" s="1499">
        <v>2.6939452515366611</v>
      </c>
      <c r="H8" s="1499">
        <v>2.5042662570371768</v>
      </c>
      <c r="I8" s="1499">
        <v>3.1687992347687088</v>
      </c>
      <c r="J8" s="1499">
        <v>3.0490088751699487</v>
      </c>
      <c r="K8" s="113">
        <v>2.4493346380126062</v>
      </c>
    </row>
    <row r="9" spans="2:11" x14ac:dyDescent="0.3">
      <c r="B9" s="114">
        <v>0</v>
      </c>
      <c r="C9" s="112" t="s">
        <v>1496</v>
      </c>
      <c r="D9" s="1499">
        <v>3.0632591065978154</v>
      </c>
      <c r="E9" s="1499">
        <v>2.9647467443879343</v>
      </c>
      <c r="F9" s="1499">
        <v>2.3816041701657014</v>
      </c>
      <c r="G9" s="1499">
        <v>2.3719891777383726</v>
      </c>
      <c r="H9" s="1499">
        <v>2.1823101832388878</v>
      </c>
      <c r="I9" s="1499">
        <v>2.8468431609704203</v>
      </c>
      <c r="J9" s="1499">
        <v>2.7270528013716602</v>
      </c>
      <c r="K9" s="113">
        <v>2.1273785642143173</v>
      </c>
    </row>
    <row r="10" spans="2:11" x14ac:dyDescent="0.3">
      <c r="B10" s="115"/>
      <c r="C10" s="112" t="s">
        <v>1500</v>
      </c>
      <c r="D10" s="1499">
        <v>2.7413030327995265</v>
      </c>
      <c r="E10" s="1499">
        <v>2.6427906705896458</v>
      </c>
      <c r="F10" s="1499">
        <v>2.0596480963674129</v>
      </c>
      <c r="G10" s="1499">
        <v>2.0500331039400841</v>
      </c>
      <c r="H10" s="1499">
        <v>1.8603541094405993</v>
      </c>
      <c r="I10" s="1499">
        <v>2.5248870871721318</v>
      </c>
      <c r="J10" s="1499">
        <v>2.4050967275733717</v>
      </c>
      <c r="K10" s="113">
        <v>1.8054224904160288</v>
      </c>
    </row>
    <row r="11" spans="2:11" x14ac:dyDescent="0.3">
      <c r="B11" s="115"/>
      <c r="C11" s="112" t="s">
        <v>1504</v>
      </c>
      <c r="D11" s="1499">
        <v>3.2301065590136724</v>
      </c>
      <c r="E11" s="1499">
        <v>3.1302068231232272</v>
      </c>
      <c r="F11" s="1499">
        <v>2.5479299652331293</v>
      </c>
      <c r="G11" s="1499">
        <v>2.5376724592542574</v>
      </c>
      <c r="H11" s="1499">
        <v>2.3485264330918882</v>
      </c>
      <c r="I11" s="1499">
        <v>3.0124135381188655</v>
      </c>
      <c r="J11" s="1499">
        <v>2.8927815934930372</v>
      </c>
      <c r="K11" s="113">
        <v>2.2935812432781821</v>
      </c>
    </row>
    <row r="12" spans="2:11" x14ac:dyDescent="0.3">
      <c r="B12" s="115"/>
      <c r="C12" s="112" t="s">
        <v>1508</v>
      </c>
      <c r="D12" s="1499">
        <v>3.0478366201884262</v>
      </c>
      <c r="E12" s="1499">
        <v>2.9479368842979805</v>
      </c>
      <c r="F12" s="1499">
        <v>2.3656600264078831</v>
      </c>
      <c r="G12" s="1499">
        <v>2.3554025204290112</v>
      </c>
      <c r="H12" s="1499">
        <v>2.1662564942666416</v>
      </c>
      <c r="I12" s="1499">
        <v>2.8301435992936188</v>
      </c>
      <c r="J12" s="1499">
        <v>2.710511654667791</v>
      </c>
      <c r="K12" s="113">
        <v>2.1113113044529355</v>
      </c>
    </row>
    <row r="13" spans="2:11" x14ac:dyDescent="0.3">
      <c r="B13" s="115"/>
      <c r="C13" s="112" t="s">
        <v>1513</v>
      </c>
      <c r="D13" s="1499">
        <v>2.7744317119505562</v>
      </c>
      <c r="E13" s="1499">
        <v>2.6745319760601105</v>
      </c>
      <c r="F13" s="1499">
        <v>2.0922551181700135</v>
      </c>
      <c r="G13" s="1499">
        <v>2.0819976121911412</v>
      </c>
      <c r="H13" s="1499">
        <v>1.8928515860287718</v>
      </c>
      <c r="I13" s="1499">
        <v>2.5567386910557488</v>
      </c>
      <c r="J13" s="1499">
        <v>2.4371067464299205</v>
      </c>
      <c r="K13" s="113">
        <v>1.8379063962150655</v>
      </c>
    </row>
    <row r="14" spans="2:11" x14ac:dyDescent="0.3">
      <c r="B14" s="115"/>
      <c r="C14" s="112" t="s">
        <v>1517</v>
      </c>
      <c r="D14" s="1499">
        <v>2.5010268037126866</v>
      </c>
      <c r="E14" s="1499">
        <v>2.4011270678222409</v>
      </c>
      <c r="F14" s="1499">
        <v>1.8188502099321435</v>
      </c>
      <c r="G14" s="1499">
        <v>1.8085927039532714</v>
      </c>
      <c r="H14" s="1499">
        <v>1.619446677790902</v>
      </c>
      <c r="I14" s="1499">
        <v>2.2833337828178792</v>
      </c>
      <c r="J14" s="1499">
        <v>2.163701838192051</v>
      </c>
      <c r="K14" s="113">
        <v>1.5645014879771957</v>
      </c>
    </row>
    <row r="15" spans="2:11" ht="14.5" thickBot="1" x14ac:dyDescent="0.35">
      <c r="B15" s="1233"/>
      <c r="C15" s="116" t="s">
        <v>1519</v>
      </c>
      <c r="D15" s="117">
        <v>3.5998525629282963</v>
      </c>
      <c r="E15" s="117">
        <v>3.5013402007184151</v>
      </c>
      <c r="F15" s="117">
        <v>2.9181976264961822</v>
      </c>
      <c r="G15" s="117">
        <v>2.9085826340688534</v>
      </c>
      <c r="H15" s="117">
        <v>2.7189036395693686</v>
      </c>
      <c r="I15" s="117">
        <v>3.3834366173009012</v>
      </c>
      <c r="J15" s="117">
        <v>3.263646257702141</v>
      </c>
      <c r="K15" s="118">
        <v>2.6639720205447981</v>
      </c>
    </row>
    <row r="16" spans="2:11" x14ac:dyDescent="0.3">
      <c r="B16" s="107" t="s">
        <v>1977</v>
      </c>
      <c r="C16" s="108" t="s">
        <v>1416</v>
      </c>
      <c r="D16" s="109">
        <v>1.7100559665402479</v>
      </c>
      <c r="E16" s="109">
        <v>1.5956945441231294</v>
      </c>
      <c r="F16" s="109">
        <v>1.0247034528038619</v>
      </c>
      <c r="G16" s="109">
        <v>1.0084239231430403</v>
      </c>
      <c r="H16" s="109">
        <v>0.82487954654431395</v>
      </c>
      <c r="I16" s="109">
        <v>1.4779183487748497</v>
      </c>
      <c r="J16" s="109">
        <v>1.3592625403891123</v>
      </c>
      <c r="K16" s="110">
        <v>0.76812660295482771</v>
      </c>
    </row>
    <row r="17" spans="2:11" x14ac:dyDescent="0.3">
      <c r="B17" s="111" t="s">
        <v>1978</v>
      </c>
      <c r="C17" s="112" t="s">
        <v>1483</v>
      </c>
      <c r="D17" s="1499">
        <v>3.5998525629282963</v>
      </c>
      <c r="E17" s="1499">
        <v>3.5013402007184151</v>
      </c>
      <c r="F17" s="1499">
        <v>2.9181976264961822</v>
      </c>
      <c r="G17" s="1499">
        <v>2.9085826340688534</v>
      </c>
      <c r="H17" s="1499">
        <v>2.7189036395693686</v>
      </c>
      <c r="I17" s="1499">
        <v>3.3834366173009012</v>
      </c>
      <c r="J17" s="1499">
        <v>3.263646257702141</v>
      </c>
      <c r="K17" s="113">
        <v>2.6639720205447981</v>
      </c>
    </row>
    <row r="18" spans="2:11" x14ac:dyDescent="0.3">
      <c r="B18" s="111" t="s">
        <v>1980</v>
      </c>
      <c r="C18" s="112" t="s">
        <v>1489</v>
      </c>
      <c r="D18" s="1499">
        <v>3.3852151803961039</v>
      </c>
      <c r="E18" s="1499">
        <v>3.2867028181862232</v>
      </c>
      <c r="F18" s="1499">
        <v>2.7035602439639899</v>
      </c>
      <c r="G18" s="1499">
        <v>2.6939452515366611</v>
      </c>
      <c r="H18" s="1499">
        <v>2.5042662570371768</v>
      </c>
      <c r="I18" s="1499">
        <v>3.1687992347687088</v>
      </c>
      <c r="J18" s="1499">
        <v>3.0490088751699487</v>
      </c>
      <c r="K18" s="113">
        <v>2.4493346380126062</v>
      </c>
    </row>
    <row r="19" spans="2:11" x14ac:dyDescent="0.3">
      <c r="B19" s="114">
        <v>0</v>
      </c>
      <c r="C19" s="112" t="s">
        <v>1496</v>
      </c>
      <c r="D19" s="1499">
        <v>3.0632591065978154</v>
      </c>
      <c r="E19" s="1499">
        <v>2.9647467443879343</v>
      </c>
      <c r="F19" s="1499">
        <v>2.3816041701657014</v>
      </c>
      <c r="G19" s="1499">
        <v>2.3719891777383726</v>
      </c>
      <c r="H19" s="1499">
        <v>2.1823101832388878</v>
      </c>
      <c r="I19" s="1499">
        <v>2.8468431609704203</v>
      </c>
      <c r="J19" s="1499">
        <v>2.7270528013716602</v>
      </c>
      <c r="K19" s="113">
        <v>2.1273785642143173</v>
      </c>
    </row>
    <row r="20" spans="2:11" x14ac:dyDescent="0.3">
      <c r="B20" s="115"/>
      <c r="C20" s="112" t="s">
        <v>1500</v>
      </c>
      <c r="D20" s="1499">
        <v>2.7413030327995265</v>
      </c>
      <c r="E20" s="1499">
        <v>2.6427906705896458</v>
      </c>
      <c r="F20" s="1499">
        <v>2.0596480963674129</v>
      </c>
      <c r="G20" s="1499">
        <v>2.0500331039400841</v>
      </c>
      <c r="H20" s="1499">
        <v>1.8603541094405993</v>
      </c>
      <c r="I20" s="1499">
        <v>2.5248870871721318</v>
      </c>
      <c r="J20" s="1499">
        <v>2.4050967275733717</v>
      </c>
      <c r="K20" s="113">
        <v>1.8054224904160288</v>
      </c>
    </row>
    <row r="21" spans="2:11" x14ac:dyDescent="0.3">
      <c r="B21" s="115"/>
      <c r="C21" s="112" t="s">
        <v>1504</v>
      </c>
      <c r="D21" s="1499">
        <v>3.2301065590136724</v>
      </c>
      <c r="E21" s="1499">
        <v>3.1302068231232272</v>
      </c>
      <c r="F21" s="1499">
        <v>2.5479299652331293</v>
      </c>
      <c r="G21" s="1499">
        <v>2.5376724592542574</v>
      </c>
      <c r="H21" s="1499">
        <v>2.3485264330918882</v>
      </c>
      <c r="I21" s="1499">
        <v>3.0124135381188655</v>
      </c>
      <c r="J21" s="1499">
        <v>2.8927815934930372</v>
      </c>
      <c r="K21" s="113">
        <v>2.2935812432781821</v>
      </c>
    </row>
    <row r="22" spans="2:11" x14ac:dyDescent="0.3">
      <c r="B22" s="115"/>
      <c r="C22" s="112" t="s">
        <v>1508</v>
      </c>
      <c r="D22" s="1499">
        <v>3.0478366201884262</v>
      </c>
      <c r="E22" s="1499">
        <v>2.9479368842979805</v>
      </c>
      <c r="F22" s="1499">
        <v>2.3656600264078831</v>
      </c>
      <c r="G22" s="1499">
        <v>2.3554025204290112</v>
      </c>
      <c r="H22" s="1499">
        <v>2.1662564942666416</v>
      </c>
      <c r="I22" s="1499">
        <v>2.8301435992936188</v>
      </c>
      <c r="J22" s="1499">
        <v>2.710511654667791</v>
      </c>
      <c r="K22" s="113">
        <v>2.1113113044529355</v>
      </c>
    </row>
    <row r="23" spans="2:11" x14ac:dyDescent="0.3">
      <c r="B23" s="115"/>
      <c r="C23" s="112" t="s">
        <v>1513</v>
      </c>
      <c r="D23" s="1499">
        <v>2.7744317119505562</v>
      </c>
      <c r="E23" s="1499">
        <v>2.6745319760601105</v>
      </c>
      <c r="F23" s="1499">
        <v>2.0922551181700135</v>
      </c>
      <c r="G23" s="1499">
        <v>2.0819976121911412</v>
      </c>
      <c r="H23" s="1499">
        <v>1.8928515860287718</v>
      </c>
      <c r="I23" s="1499">
        <v>2.5567386910557488</v>
      </c>
      <c r="J23" s="1499">
        <v>2.4371067464299205</v>
      </c>
      <c r="K23" s="113">
        <v>1.8379063962150655</v>
      </c>
    </row>
    <row r="24" spans="2:11" x14ac:dyDescent="0.3">
      <c r="B24" s="115"/>
      <c r="C24" s="112" t="s">
        <v>1517</v>
      </c>
      <c r="D24" s="1499">
        <v>2.5010268037126866</v>
      </c>
      <c r="E24" s="1499">
        <v>2.4011270678222409</v>
      </c>
      <c r="F24" s="1499">
        <v>1.8188502099321435</v>
      </c>
      <c r="G24" s="1499">
        <v>1.8085927039532714</v>
      </c>
      <c r="H24" s="1499">
        <v>1.619446677790902</v>
      </c>
      <c r="I24" s="1499">
        <v>2.2833337828178792</v>
      </c>
      <c r="J24" s="1499">
        <v>2.163701838192051</v>
      </c>
      <c r="K24" s="113">
        <v>1.5645014879771957</v>
      </c>
    </row>
    <row r="25" spans="2:11" ht="14.5" thickBot="1" x14ac:dyDescent="0.35">
      <c r="B25" s="1233"/>
      <c r="C25" s="116" t="s">
        <v>1519</v>
      </c>
      <c r="D25" s="117">
        <v>3.5998525629282963</v>
      </c>
      <c r="E25" s="117">
        <v>3.5013402007184151</v>
      </c>
      <c r="F25" s="117">
        <v>2.9181976264961822</v>
      </c>
      <c r="G25" s="117">
        <v>2.9085826340688534</v>
      </c>
      <c r="H25" s="117">
        <v>2.7189036395693686</v>
      </c>
      <c r="I25" s="117">
        <v>3.3834366173009012</v>
      </c>
      <c r="J25" s="117">
        <v>3.263646257702141</v>
      </c>
      <c r="K25" s="118">
        <v>2.6639720205447981</v>
      </c>
    </row>
    <row r="26" spans="2:11" x14ac:dyDescent="0.3">
      <c r="B26" s="107" t="s">
        <v>1977</v>
      </c>
      <c r="C26" s="108" t="s">
        <v>1416</v>
      </c>
      <c r="D26" s="109">
        <v>1.7100559665402479</v>
      </c>
      <c r="E26" s="109">
        <v>1.5956945441231294</v>
      </c>
      <c r="F26" s="109">
        <v>1.0247034528038619</v>
      </c>
      <c r="G26" s="109">
        <v>1.0084239231430403</v>
      </c>
      <c r="H26" s="109">
        <v>0.82487954654431395</v>
      </c>
      <c r="I26" s="109">
        <v>1.4779183487748497</v>
      </c>
      <c r="J26" s="109">
        <v>1.3592625403891123</v>
      </c>
      <c r="K26" s="110">
        <v>0.76812660295482771</v>
      </c>
    </row>
    <row r="27" spans="2:11" x14ac:dyDescent="0.3">
      <c r="B27" s="111" t="s">
        <v>1978</v>
      </c>
      <c r="C27" s="112" t="s">
        <v>1483</v>
      </c>
      <c r="D27" s="1499">
        <v>3.5998525629282963</v>
      </c>
      <c r="E27" s="1499">
        <v>3.5013402007184151</v>
      </c>
      <c r="F27" s="1499">
        <v>2.9181976264961822</v>
      </c>
      <c r="G27" s="1499">
        <v>2.9085826340688534</v>
      </c>
      <c r="H27" s="1499">
        <v>2.7189036395693686</v>
      </c>
      <c r="I27" s="1499">
        <v>3.3834366173009012</v>
      </c>
      <c r="J27" s="1499">
        <v>3.263646257702141</v>
      </c>
      <c r="K27" s="113">
        <v>2.6639720205447981</v>
      </c>
    </row>
    <row r="28" spans="2:11" x14ac:dyDescent="0.3">
      <c r="B28" s="111" t="s">
        <v>1981</v>
      </c>
      <c r="C28" s="112" t="s">
        <v>1489</v>
      </c>
      <c r="D28" s="1499">
        <v>3.3852151803961039</v>
      </c>
      <c r="E28" s="1499">
        <v>3.2867028181862232</v>
      </c>
      <c r="F28" s="1499">
        <v>2.7035602439639899</v>
      </c>
      <c r="G28" s="1499">
        <v>2.6939452515366611</v>
      </c>
      <c r="H28" s="1499">
        <v>2.5042662570371768</v>
      </c>
      <c r="I28" s="1499">
        <v>3.1687992347687088</v>
      </c>
      <c r="J28" s="1499">
        <v>3.0490088751699487</v>
      </c>
      <c r="K28" s="113">
        <v>2.4493346380126062</v>
      </c>
    </row>
    <row r="29" spans="2:11" x14ac:dyDescent="0.3">
      <c r="B29" s="114">
        <v>0</v>
      </c>
      <c r="C29" s="112" t="s">
        <v>1496</v>
      </c>
      <c r="D29" s="1499">
        <v>3.0632591065978154</v>
      </c>
      <c r="E29" s="1499">
        <v>2.9647467443879343</v>
      </c>
      <c r="F29" s="1499">
        <v>2.3816041701657014</v>
      </c>
      <c r="G29" s="1499">
        <v>2.3719891777383726</v>
      </c>
      <c r="H29" s="1499">
        <v>2.1823101832388878</v>
      </c>
      <c r="I29" s="1499">
        <v>2.8468431609704203</v>
      </c>
      <c r="J29" s="1499">
        <v>2.7270528013716602</v>
      </c>
      <c r="K29" s="113">
        <v>2.1273785642143173</v>
      </c>
    </row>
    <row r="30" spans="2:11" x14ac:dyDescent="0.3">
      <c r="B30" s="115"/>
      <c r="C30" s="112" t="s">
        <v>1500</v>
      </c>
      <c r="D30" s="1499">
        <v>2.7413030327995265</v>
      </c>
      <c r="E30" s="1499">
        <v>2.6427906705896458</v>
      </c>
      <c r="F30" s="1499">
        <v>2.0596480963674129</v>
      </c>
      <c r="G30" s="1499">
        <v>2.0500331039400841</v>
      </c>
      <c r="H30" s="1499">
        <v>1.8603541094405993</v>
      </c>
      <c r="I30" s="1499">
        <v>2.5248870871721318</v>
      </c>
      <c r="J30" s="1499">
        <v>2.4050967275733717</v>
      </c>
      <c r="K30" s="113">
        <v>1.8054224904160288</v>
      </c>
    </row>
    <row r="31" spans="2:11" x14ac:dyDescent="0.3">
      <c r="B31" s="115"/>
      <c r="C31" s="112" t="s">
        <v>1504</v>
      </c>
      <c r="D31" s="1499">
        <v>3.2301065590136724</v>
      </c>
      <c r="E31" s="1499">
        <v>3.1302068231232272</v>
      </c>
      <c r="F31" s="1499">
        <v>2.5479299652331293</v>
      </c>
      <c r="G31" s="1499">
        <v>2.5376724592542574</v>
      </c>
      <c r="H31" s="1499">
        <v>2.3485264330918882</v>
      </c>
      <c r="I31" s="1499">
        <v>3.0124135381188655</v>
      </c>
      <c r="J31" s="1499">
        <v>2.8927815934930372</v>
      </c>
      <c r="K31" s="113">
        <v>2.2935812432781821</v>
      </c>
    </row>
    <row r="32" spans="2:11" x14ac:dyDescent="0.3">
      <c r="B32" s="115"/>
      <c r="C32" s="112" t="s">
        <v>1508</v>
      </c>
      <c r="D32" s="1499">
        <v>3.0478366201884262</v>
      </c>
      <c r="E32" s="1499">
        <v>2.9479368842979805</v>
      </c>
      <c r="F32" s="1499">
        <v>2.3656600264078831</v>
      </c>
      <c r="G32" s="1499">
        <v>2.3554025204290112</v>
      </c>
      <c r="H32" s="1499">
        <v>2.1662564942666416</v>
      </c>
      <c r="I32" s="1499">
        <v>2.8301435992936188</v>
      </c>
      <c r="J32" s="1499">
        <v>2.710511654667791</v>
      </c>
      <c r="K32" s="113">
        <v>2.1113113044529355</v>
      </c>
    </row>
    <row r="33" spans="2:11" x14ac:dyDescent="0.3">
      <c r="B33" s="115"/>
      <c r="C33" s="112" t="s">
        <v>1513</v>
      </c>
      <c r="D33" s="1499">
        <v>2.7744317119505562</v>
      </c>
      <c r="E33" s="1499">
        <v>2.6745319760601105</v>
      </c>
      <c r="F33" s="1499">
        <v>2.0922551181700135</v>
      </c>
      <c r="G33" s="1499">
        <v>2.0819976121911412</v>
      </c>
      <c r="H33" s="1499">
        <v>1.8928515860287718</v>
      </c>
      <c r="I33" s="1499">
        <v>2.5567386910557488</v>
      </c>
      <c r="J33" s="1499">
        <v>2.4371067464299205</v>
      </c>
      <c r="K33" s="113">
        <v>1.8379063962150655</v>
      </c>
    </row>
    <row r="34" spans="2:11" x14ac:dyDescent="0.3">
      <c r="B34" s="115"/>
      <c r="C34" s="112" t="s">
        <v>1517</v>
      </c>
      <c r="D34" s="1499">
        <v>2.5010268037126866</v>
      </c>
      <c r="E34" s="1499">
        <v>2.4011270678222409</v>
      </c>
      <c r="F34" s="1499">
        <v>1.8188502099321435</v>
      </c>
      <c r="G34" s="1499">
        <v>1.8085927039532714</v>
      </c>
      <c r="H34" s="1499">
        <v>1.619446677790902</v>
      </c>
      <c r="I34" s="1499">
        <v>2.2833337828178792</v>
      </c>
      <c r="J34" s="1499">
        <v>2.163701838192051</v>
      </c>
      <c r="K34" s="113">
        <v>1.5645014879771957</v>
      </c>
    </row>
    <row r="35" spans="2:11" ht="14.5" thickBot="1" x14ac:dyDescent="0.35">
      <c r="B35" s="1233"/>
      <c r="C35" s="116" t="s">
        <v>1519</v>
      </c>
      <c r="D35" s="117">
        <v>3.5998525629282963</v>
      </c>
      <c r="E35" s="117">
        <v>3.5013402007184151</v>
      </c>
      <c r="F35" s="117">
        <v>2.9181976264961822</v>
      </c>
      <c r="G35" s="117">
        <v>2.9085826340688534</v>
      </c>
      <c r="H35" s="117">
        <v>2.7189036395693686</v>
      </c>
      <c r="I35" s="117">
        <v>3.3834366173009012</v>
      </c>
      <c r="J35" s="117">
        <v>3.263646257702141</v>
      </c>
      <c r="K35" s="118">
        <v>2.6639720205447981</v>
      </c>
    </row>
    <row r="36" spans="2:11" x14ac:dyDescent="0.3">
      <c r="B36" s="107" t="s">
        <v>1977</v>
      </c>
      <c r="C36" s="108" t="s">
        <v>1416</v>
      </c>
      <c r="D36" s="109">
        <v>1.7100559665402479</v>
      </c>
      <c r="E36" s="109">
        <v>1.5956945441231294</v>
      </c>
      <c r="F36" s="109">
        <v>1.0247034528038619</v>
      </c>
      <c r="G36" s="109">
        <v>1.0084239231430403</v>
      </c>
      <c r="H36" s="109">
        <v>0.82487954654431395</v>
      </c>
      <c r="I36" s="109">
        <v>1.4779183487748497</v>
      </c>
      <c r="J36" s="109">
        <v>1.3592625403891123</v>
      </c>
      <c r="K36" s="110">
        <v>0.76812660295482771</v>
      </c>
    </row>
    <row r="37" spans="2:11" x14ac:dyDescent="0.3">
      <c r="B37" s="111" t="s">
        <v>1978</v>
      </c>
      <c r="C37" s="112" t="s">
        <v>1483</v>
      </c>
      <c r="D37" s="1499">
        <v>3.5998525629282963</v>
      </c>
      <c r="E37" s="1499">
        <v>3.5013402007184151</v>
      </c>
      <c r="F37" s="1499">
        <v>2.9181976264961822</v>
      </c>
      <c r="G37" s="1499">
        <v>2.9085826340688534</v>
      </c>
      <c r="H37" s="1499">
        <v>2.7189036395693686</v>
      </c>
      <c r="I37" s="1499">
        <v>3.3834366173009012</v>
      </c>
      <c r="J37" s="1499">
        <v>3.263646257702141</v>
      </c>
      <c r="K37" s="113">
        <v>2.6639720205447981</v>
      </c>
    </row>
    <row r="38" spans="2:11" x14ac:dyDescent="0.3">
      <c r="B38" s="111" t="s">
        <v>1982</v>
      </c>
      <c r="C38" s="112" t="s">
        <v>1489</v>
      </c>
      <c r="D38" s="1499">
        <v>3.3852151803961039</v>
      </c>
      <c r="E38" s="1499">
        <v>3.2867028181862232</v>
      </c>
      <c r="F38" s="1499">
        <v>2.7035602439639899</v>
      </c>
      <c r="G38" s="1499">
        <v>2.6939452515366611</v>
      </c>
      <c r="H38" s="1499">
        <v>2.5042662570371768</v>
      </c>
      <c r="I38" s="1499">
        <v>3.1687992347687088</v>
      </c>
      <c r="J38" s="1499">
        <v>3.0490088751699487</v>
      </c>
      <c r="K38" s="113">
        <v>2.4493346380126062</v>
      </c>
    </row>
    <row r="39" spans="2:11" x14ac:dyDescent="0.3">
      <c r="B39" s="114">
        <v>0</v>
      </c>
      <c r="C39" s="112" t="s">
        <v>1496</v>
      </c>
      <c r="D39" s="1499">
        <v>3.0632591065978154</v>
      </c>
      <c r="E39" s="1499">
        <v>2.9647467443879343</v>
      </c>
      <c r="F39" s="1499">
        <v>2.3816041701657014</v>
      </c>
      <c r="G39" s="1499">
        <v>2.3719891777383726</v>
      </c>
      <c r="H39" s="1499">
        <v>2.1823101832388878</v>
      </c>
      <c r="I39" s="1499">
        <v>2.8468431609704203</v>
      </c>
      <c r="J39" s="1499">
        <v>2.7270528013716602</v>
      </c>
      <c r="K39" s="113">
        <v>2.1273785642143173</v>
      </c>
    </row>
    <row r="40" spans="2:11" x14ac:dyDescent="0.3">
      <c r="B40" s="115"/>
      <c r="C40" s="112" t="s">
        <v>1500</v>
      </c>
      <c r="D40" s="1499">
        <v>2.7413030327995265</v>
      </c>
      <c r="E40" s="1499">
        <v>2.6427906705896458</v>
      </c>
      <c r="F40" s="1499">
        <v>2.0596480963674129</v>
      </c>
      <c r="G40" s="1499">
        <v>2.0500331039400841</v>
      </c>
      <c r="H40" s="1499">
        <v>1.8603541094405993</v>
      </c>
      <c r="I40" s="1499">
        <v>2.5248870871721318</v>
      </c>
      <c r="J40" s="1499">
        <v>2.4050967275733717</v>
      </c>
      <c r="K40" s="113">
        <v>1.8054224904160288</v>
      </c>
    </row>
    <row r="41" spans="2:11" x14ac:dyDescent="0.3">
      <c r="B41" s="115"/>
      <c r="C41" s="112" t="s">
        <v>1504</v>
      </c>
      <c r="D41" s="1499">
        <v>3.2301065590136724</v>
      </c>
      <c r="E41" s="1499">
        <v>3.1302068231232272</v>
      </c>
      <c r="F41" s="1499">
        <v>2.5479299652331293</v>
      </c>
      <c r="G41" s="1499">
        <v>2.5376724592542574</v>
      </c>
      <c r="H41" s="1499">
        <v>2.3485264330918882</v>
      </c>
      <c r="I41" s="1499">
        <v>3.0124135381188655</v>
      </c>
      <c r="J41" s="1499">
        <v>2.8927815934930372</v>
      </c>
      <c r="K41" s="113">
        <v>2.2935812432781821</v>
      </c>
    </row>
    <row r="42" spans="2:11" x14ac:dyDescent="0.3">
      <c r="B42" s="115"/>
      <c r="C42" s="112" t="s">
        <v>1508</v>
      </c>
      <c r="D42" s="1499">
        <v>3.0478366201884262</v>
      </c>
      <c r="E42" s="1499">
        <v>2.9479368842979805</v>
      </c>
      <c r="F42" s="1499">
        <v>2.3656600264078831</v>
      </c>
      <c r="G42" s="1499">
        <v>2.3554025204290112</v>
      </c>
      <c r="H42" s="1499">
        <v>2.1662564942666416</v>
      </c>
      <c r="I42" s="1499">
        <v>2.8301435992936188</v>
      </c>
      <c r="J42" s="1499">
        <v>2.710511654667791</v>
      </c>
      <c r="K42" s="113">
        <v>2.1113113044529355</v>
      </c>
    </row>
    <row r="43" spans="2:11" x14ac:dyDescent="0.3">
      <c r="B43" s="115"/>
      <c r="C43" s="112" t="s">
        <v>1513</v>
      </c>
      <c r="D43" s="1499">
        <v>2.7744317119505562</v>
      </c>
      <c r="E43" s="1499">
        <v>2.6745319760601105</v>
      </c>
      <c r="F43" s="1499">
        <v>2.0922551181700135</v>
      </c>
      <c r="G43" s="1499">
        <v>2.0819976121911412</v>
      </c>
      <c r="H43" s="1499">
        <v>1.8928515860287718</v>
      </c>
      <c r="I43" s="1499">
        <v>2.5567386910557488</v>
      </c>
      <c r="J43" s="1499">
        <v>2.4371067464299205</v>
      </c>
      <c r="K43" s="113">
        <v>1.8379063962150655</v>
      </c>
    </row>
    <row r="44" spans="2:11" x14ac:dyDescent="0.3">
      <c r="B44" s="115"/>
      <c r="C44" s="112" t="s">
        <v>1517</v>
      </c>
      <c r="D44" s="1499">
        <v>2.5010268037126866</v>
      </c>
      <c r="E44" s="1499">
        <v>2.4011270678222409</v>
      </c>
      <c r="F44" s="1499">
        <v>1.8188502099321435</v>
      </c>
      <c r="G44" s="1499">
        <v>1.8085927039532714</v>
      </c>
      <c r="H44" s="1499">
        <v>1.619446677790902</v>
      </c>
      <c r="I44" s="1499">
        <v>2.2833337828178792</v>
      </c>
      <c r="J44" s="1499">
        <v>2.163701838192051</v>
      </c>
      <c r="K44" s="113">
        <v>1.5645014879771957</v>
      </c>
    </row>
    <row r="45" spans="2:11" ht="14.5" thickBot="1" x14ac:dyDescent="0.35">
      <c r="B45" s="1233"/>
      <c r="C45" s="116" t="s">
        <v>1519</v>
      </c>
      <c r="D45" s="117">
        <v>3.5998525629282963</v>
      </c>
      <c r="E45" s="117">
        <v>3.5013402007184151</v>
      </c>
      <c r="F45" s="117">
        <v>2.9181976264961822</v>
      </c>
      <c r="G45" s="117">
        <v>2.9085826340688534</v>
      </c>
      <c r="H45" s="117">
        <v>2.7189036395693686</v>
      </c>
      <c r="I45" s="117">
        <v>3.3834366173009012</v>
      </c>
      <c r="J45" s="117">
        <v>3.263646257702141</v>
      </c>
      <c r="K45" s="118">
        <v>2.6639720205447981</v>
      </c>
    </row>
    <row r="46" spans="2:11" x14ac:dyDescent="0.3">
      <c r="B46" s="119" t="s">
        <v>1983</v>
      </c>
      <c r="C46" s="108" t="s">
        <v>1416</v>
      </c>
      <c r="D46" s="109">
        <v>1.7100559665402479</v>
      </c>
      <c r="E46" s="109">
        <v>1.5956945441231294</v>
      </c>
      <c r="F46" s="109">
        <v>1.0247034528038619</v>
      </c>
      <c r="G46" s="109">
        <v>1.0084239231430403</v>
      </c>
      <c r="H46" s="109">
        <v>0.82487954654431395</v>
      </c>
      <c r="I46" s="109">
        <v>1.4779183487748497</v>
      </c>
      <c r="J46" s="109">
        <v>1.3592625403891123</v>
      </c>
      <c r="K46" s="110">
        <v>0.76812660295482771</v>
      </c>
    </row>
    <row r="47" spans="2:11" x14ac:dyDescent="0.3">
      <c r="B47" s="111"/>
      <c r="C47" s="112" t="s">
        <v>1483</v>
      </c>
      <c r="D47" s="1499">
        <v>3.5998525629282963</v>
      </c>
      <c r="E47" s="1499">
        <v>3.5013402007184151</v>
      </c>
      <c r="F47" s="1499">
        <v>2.9181976264961822</v>
      </c>
      <c r="G47" s="1499">
        <v>2.9085826340688534</v>
      </c>
      <c r="H47" s="1499">
        <v>2.7189036395693686</v>
      </c>
      <c r="I47" s="1499">
        <v>3.3834366173009012</v>
      </c>
      <c r="J47" s="1499">
        <v>3.263646257702141</v>
      </c>
      <c r="K47" s="113">
        <v>2.6639720205447981</v>
      </c>
    </row>
    <row r="48" spans="2:11" x14ac:dyDescent="0.3">
      <c r="B48" s="111" t="s">
        <v>1979</v>
      </c>
      <c r="C48" s="112" t="s">
        <v>1489</v>
      </c>
      <c r="D48" s="1499">
        <v>3.3852151803961039</v>
      </c>
      <c r="E48" s="1499">
        <v>3.2867028181862232</v>
      </c>
      <c r="F48" s="1499">
        <v>2.7035602439639899</v>
      </c>
      <c r="G48" s="1499">
        <v>2.6939452515366611</v>
      </c>
      <c r="H48" s="1499">
        <v>2.5042662570371768</v>
      </c>
      <c r="I48" s="1499">
        <v>3.1687992347687088</v>
      </c>
      <c r="J48" s="1499">
        <v>3.0490088751699487</v>
      </c>
      <c r="K48" s="113">
        <v>2.4493346380126062</v>
      </c>
    </row>
    <row r="49" spans="2:11" x14ac:dyDescent="0.3">
      <c r="B49" s="114">
        <v>0</v>
      </c>
      <c r="C49" s="112" t="s">
        <v>1496</v>
      </c>
      <c r="D49" s="1499">
        <v>3.0632591065978154</v>
      </c>
      <c r="E49" s="1499">
        <v>2.9647467443879343</v>
      </c>
      <c r="F49" s="1499">
        <v>2.3816041701657014</v>
      </c>
      <c r="G49" s="1499">
        <v>2.3719891777383726</v>
      </c>
      <c r="H49" s="1499">
        <v>2.1823101832388878</v>
      </c>
      <c r="I49" s="1499">
        <v>2.8468431609704203</v>
      </c>
      <c r="J49" s="1499">
        <v>2.7270528013716602</v>
      </c>
      <c r="K49" s="113">
        <v>2.1273785642143173</v>
      </c>
    </row>
    <row r="50" spans="2:11" x14ac:dyDescent="0.3">
      <c r="B50" s="115"/>
      <c r="C50" s="112" t="s">
        <v>1500</v>
      </c>
      <c r="D50" s="1499">
        <v>2.7413030327995265</v>
      </c>
      <c r="E50" s="1499">
        <v>2.6427906705896458</v>
      </c>
      <c r="F50" s="1499">
        <v>2.0596480963674129</v>
      </c>
      <c r="G50" s="1499">
        <v>2.0500331039400841</v>
      </c>
      <c r="H50" s="1499">
        <v>1.8603541094405993</v>
      </c>
      <c r="I50" s="1499">
        <v>2.5248870871721318</v>
      </c>
      <c r="J50" s="1499">
        <v>2.4050967275733717</v>
      </c>
      <c r="K50" s="113">
        <v>1.8054224904160288</v>
      </c>
    </row>
    <row r="51" spans="2:11" x14ac:dyDescent="0.3">
      <c r="B51" s="115"/>
      <c r="C51" s="112" t="s">
        <v>1504</v>
      </c>
      <c r="D51" s="1499">
        <v>3.2301065590136724</v>
      </c>
      <c r="E51" s="1499">
        <v>3.1302068231232272</v>
      </c>
      <c r="F51" s="1499">
        <v>2.5479299652331293</v>
      </c>
      <c r="G51" s="1499">
        <v>2.5376724592542574</v>
      </c>
      <c r="H51" s="1499">
        <v>2.3485264330918882</v>
      </c>
      <c r="I51" s="1499">
        <v>3.0124135381188655</v>
      </c>
      <c r="J51" s="1499">
        <v>2.8927815934930372</v>
      </c>
      <c r="K51" s="113">
        <v>2.2935812432781821</v>
      </c>
    </row>
    <row r="52" spans="2:11" x14ac:dyDescent="0.3">
      <c r="B52" s="115"/>
      <c r="C52" s="112" t="s">
        <v>1508</v>
      </c>
      <c r="D52" s="1499">
        <v>3.0478366201884262</v>
      </c>
      <c r="E52" s="1499">
        <v>2.9479368842979805</v>
      </c>
      <c r="F52" s="1499">
        <v>2.3656600264078831</v>
      </c>
      <c r="G52" s="1499">
        <v>2.3554025204290112</v>
      </c>
      <c r="H52" s="1499">
        <v>2.1662564942666416</v>
      </c>
      <c r="I52" s="1499">
        <v>2.8301435992936188</v>
      </c>
      <c r="J52" s="1499">
        <v>2.710511654667791</v>
      </c>
      <c r="K52" s="113">
        <v>2.1113113044529355</v>
      </c>
    </row>
    <row r="53" spans="2:11" x14ac:dyDescent="0.3">
      <c r="B53" s="115"/>
      <c r="C53" s="112" t="s">
        <v>1513</v>
      </c>
      <c r="D53" s="1499">
        <v>2.7744317119505562</v>
      </c>
      <c r="E53" s="1499">
        <v>2.6745319760601105</v>
      </c>
      <c r="F53" s="1499">
        <v>2.0922551181700135</v>
      </c>
      <c r="G53" s="1499">
        <v>2.0819976121911412</v>
      </c>
      <c r="H53" s="1499">
        <v>1.8928515860287718</v>
      </c>
      <c r="I53" s="1499">
        <v>2.5567386910557488</v>
      </c>
      <c r="J53" s="1499">
        <v>2.4371067464299205</v>
      </c>
      <c r="K53" s="113">
        <v>1.8379063962150655</v>
      </c>
    </row>
    <row r="54" spans="2:11" x14ac:dyDescent="0.3">
      <c r="B54" s="115"/>
      <c r="C54" s="112" t="s">
        <v>1517</v>
      </c>
      <c r="D54" s="1499">
        <v>2.5010268037126866</v>
      </c>
      <c r="E54" s="1499">
        <v>2.4011270678222409</v>
      </c>
      <c r="F54" s="1499">
        <v>1.8188502099321435</v>
      </c>
      <c r="G54" s="1499">
        <v>1.8085927039532714</v>
      </c>
      <c r="H54" s="1499">
        <v>1.619446677790902</v>
      </c>
      <c r="I54" s="1499">
        <v>2.2833337828178792</v>
      </c>
      <c r="J54" s="1499">
        <v>2.163701838192051</v>
      </c>
      <c r="K54" s="113">
        <v>1.5645014879771957</v>
      </c>
    </row>
    <row r="55" spans="2:11" ht="14.5" thickBot="1" x14ac:dyDescent="0.35">
      <c r="B55" s="1233"/>
      <c r="C55" s="116" t="s">
        <v>1519</v>
      </c>
      <c r="D55" s="117">
        <v>3.5998525629282963</v>
      </c>
      <c r="E55" s="117">
        <v>3.5013402007184151</v>
      </c>
      <c r="F55" s="117">
        <v>2.9181976264961822</v>
      </c>
      <c r="G55" s="117">
        <v>2.9085826340688534</v>
      </c>
      <c r="H55" s="117">
        <v>2.7189036395693686</v>
      </c>
      <c r="I55" s="117">
        <v>3.3834366173009012</v>
      </c>
      <c r="J55" s="117">
        <v>3.263646257702141</v>
      </c>
      <c r="K55" s="118">
        <v>2.6639720205447981</v>
      </c>
    </row>
    <row r="56" spans="2:11" x14ac:dyDescent="0.3">
      <c r="B56" s="119" t="s">
        <v>1983</v>
      </c>
      <c r="C56" s="108" t="s">
        <v>1416</v>
      </c>
      <c r="D56" s="109">
        <v>1.7100559665402479</v>
      </c>
      <c r="E56" s="109">
        <v>1.5956945441231294</v>
      </c>
      <c r="F56" s="109">
        <v>1.0247034528038619</v>
      </c>
      <c r="G56" s="109">
        <v>1.0084239231430403</v>
      </c>
      <c r="H56" s="109">
        <v>0.82487954654431395</v>
      </c>
      <c r="I56" s="109">
        <v>1.4779183487748497</v>
      </c>
      <c r="J56" s="109">
        <v>1.3592625403891123</v>
      </c>
      <c r="K56" s="110">
        <v>0.76812660295482771</v>
      </c>
    </row>
    <row r="57" spans="2:11" x14ac:dyDescent="0.3">
      <c r="B57" s="111"/>
      <c r="C57" s="112" t="s">
        <v>1483</v>
      </c>
      <c r="D57" s="1499">
        <v>3.5998525629282963</v>
      </c>
      <c r="E57" s="1499">
        <v>3.5013402007184151</v>
      </c>
      <c r="F57" s="1499">
        <v>2.9181976264961822</v>
      </c>
      <c r="G57" s="1499">
        <v>2.9085826340688534</v>
      </c>
      <c r="H57" s="1499">
        <v>2.7189036395693686</v>
      </c>
      <c r="I57" s="1499">
        <v>3.3834366173009012</v>
      </c>
      <c r="J57" s="1499">
        <v>3.263646257702141</v>
      </c>
      <c r="K57" s="113">
        <v>2.6639720205447981</v>
      </c>
    </row>
    <row r="58" spans="2:11" x14ac:dyDescent="0.3">
      <c r="B58" s="111" t="s">
        <v>1980</v>
      </c>
      <c r="C58" s="112" t="s">
        <v>1489</v>
      </c>
      <c r="D58" s="1499">
        <v>3.3852151803961039</v>
      </c>
      <c r="E58" s="1499">
        <v>3.2867028181862232</v>
      </c>
      <c r="F58" s="1499">
        <v>2.7035602439639899</v>
      </c>
      <c r="G58" s="1499">
        <v>2.6939452515366611</v>
      </c>
      <c r="H58" s="1499">
        <v>2.5042662570371768</v>
      </c>
      <c r="I58" s="1499">
        <v>3.1687992347687088</v>
      </c>
      <c r="J58" s="1499">
        <v>3.0490088751699487</v>
      </c>
      <c r="K58" s="113">
        <v>2.4493346380126062</v>
      </c>
    </row>
    <row r="59" spans="2:11" x14ac:dyDescent="0.3">
      <c r="B59" s="114">
        <v>0</v>
      </c>
      <c r="C59" s="112" t="s">
        <v>1496</v>
      </c>
      <c r="D59" s="1499">
        <v>3.0632591065978154</v>
      </c>
      <c r="E59" s="1499">
        <v>2.9647467443879343</v>
      </c>
      <c r="F59" s="1499">
        <v>2.3816041701657014</v>
      </c>
      <c r="G59" s="1499">
        <v>2.3719891777383726</v>
      </c>
      <c r="H59" s="1499">
        <v>2.1823101832388878</v>
      </c>
      <c r="I59" s="1499">
        <v>2.8468431609704203</v>
      </c>
      <c r="J59" s="1499">
        <v>2.7270528013716602</v>
      </c>
      <c r="K59" s="113">
        <v>2.1273785642143173</v>
      </c>
    </row>
    <row r="60" spans="2:11" x14ac:dyDescent="0.3">
      <c r="B60" s="115"/>
      <c r="C60" s="112" t="s">
        <v>1500</v>
      </c>
      <c r="D60" s="1499">
        <v>2.7413030327995265</v>
      </c>
      <c r="E60" s="1499">
        <v>2.6427906705896458</v>
      </c>
      <c r="F60" s="1499">
        <v>2.0596480963674129</v>
      </c>
      <c r="G60" s="1499">
        <v>2.0500331039400841</v>
      </c>
      <c r="H60" s="1499">
        <v>1.8603541094405993</v>
      </c>
      <c r="I60" s="1499">
        <v>2.5248870871721318</v>
      </c>
      <c r="J60" s="1499">
        <v>2.4050967275733717</v>
      </c>
      <c r="K60" s="113">
        <v>1.8054224904160288</v>
      </c>
    </row>
    <row r="61" spans="2:11" x14ac:dyDescent="0.3">
      <c r="B61" s="115"/>
      <c r="C61" s="112" t="s">
        <v>1504</v>
      </c>
      <c r="D61" s="1499">
        <v>3.2301065590136724</v>
      </c>
      <c r="E61" s="1499">
        <v>3.1302068231232272</v>
      </c>
      <c r="F61" s="1499">
        <v>2.5479299652331293</v>
      </c>
      <c r="G61" s="1499">
        <v>2.5376724592542574</v>
      </c>
      <c r="H61" s="1499">
        <v>2.3485264330918882</v>
      </c>
      <c r="I61" s="1499">
        <v>3.0124135381188655</v>
      </c>
      <c r="J61" s="1499">
        <v>2.8927815934930372</v>
      </c>
      <c r="K61" s="113">
        <v>2.2935812432781821</v>
      </c>
    </row>
    <row r="62" spans="2:11" x14ac:dyDescent="0.3">
      <c r="B62" s="115"/>
      <c r="C62" s="112" t="s">
        <v>1508</v>
      </c>
      <c r="D62" s="1499">
        <v>3.0478366201884262</v>
      </c>
      <c r="E62" s="1499">
        <v>2.9479368842979805</v>
      </c>
      <c r="F62" s="1499">
        <v>2.3656600264078831</v>
      </c>
      <c r="G62" s="1499">
        <v>2.3554025204290112</v>
      </c>
      <c r="H62" s="1499">
        <v>2.1662564942666416</v>
      </c>
      <c r="I62" s="1499">
        <v>2.8301435992936188</v>
      </c>
      <c r="J62" s="1499">
        <v>2.710511654667791</v>
      </c>
      <c r="K62" s="113">
        <v>2.1113113044529355</v>
      </c>
    </row>
    <row r="63" spans="2:11" x14ac:dyDescent="0.3">
      <c r="B63" s="115"/>
      <c r="C63" s="112" t="s">
        <v>1513</v>
      </c>
      <c r="D63" s="1499">
        <v>2.7744317119505562</v>
      </c>
      <c r="E63" s="1499">
        <v>2.6745319760601105</v>
      </c>
      <c r="F63" s="1499">
        <v>2.0922551181700135</v>
      </c>
      <c r="G63" s="1499">
        <v>2.0819976121911412</v>
      </c>
      <c r="H63" s="1499">
        <v>1.8928515860287718</v>
      </c>
      <c r="I63" s="1499">
        <v>2.5567386910557488</v>
      </c>
      <c r="J63" s="1499">
        <v>2.4371067464299205</v>
      </c>
      <c r="K63" s="113">
        <v>1.8379063962150655</v>
      </c>
    </row>
    <row r="64" spans="2:11" x14ac:dyDescent="0.3">
      <c r="B64" s="115"/>
      <c r="C64" s="112" t="s">
        <v>1517</v>
      </c>
      <c r="D64" s="1499">
        <v>2.5010268037126866</v>
      </c>
      <c r="E64" s="1499">
        <v>2.4011270678222409</v>
      </c>
      <c r="F64" s="1499">
        <v>1.8188502099321435</v>
      </c>
      <c r="G64" s="1499">
        <v>1.8085927039532714</v>
      </c>
      <c r="H64" s="1499">
        <v>1.619446677790902</v>
      </c>
      <c r="I64" s="1499">
        <v>2.2833337828178792</v>
      </c>
      <c r="J64" s="1499">
        <v>2.163701838192051</v>
      </c>
      <c r="K64" s="113">
        <v>1.5645014879771957</v>
      </c>
    </row>
    <row r="65" spans="2:11" ht="14.5" thickBot="1" x14ac:dyDescent="0.35">
      <c r="B65" s="1233"/>
      <c r="C65" s="116" t="s">
        <v>1519</v>
      </c>
      <c r="D65" s="117">
        <v>3.5998525629282963</v>
      </c>
      <c r="E65" s="117">
        <v>3.5013402007184151</v>
      </c>
      <c r="F65" s="117">
        <v>2.9181976264961822</v>
      </c>
      <c r="G65" s="117">
        <v>2.9085826340688534</v>
      </c>
      <c r="H65" s="117">
        <v>2.7189036395693686</v>
      </c>
      <c r="I65" s="117">
        <v>3.3834366173009012</v>
      </c>
      <c r="J65" s="117">
        <v>3.263646257702141</v>
      </c>
      <c r="K65" s="118">
        <v>2.6639720205447981</v>
      </c>
    </row>
    <row r="66" spans="2:11" x14ac:dyDescent="0.3">
      <c r="B66" s="119" t="s">
        <v>1983</v>
      </c>
      <c r="C66" s="108" t="s">
        <v>1416</v>
      </c>
      <c r="D66" s="109">
        <v>1.7100559665402479</v>
      </c>
      <c r="E66" s="109">
        <v>1.5956945441231294</v>
      </c>
      <c r="F66" s="109">
        <v>1.0247034528038619</v>
      </c>
      <c r="G66" s="109">
        <v>1.0084239231430403</v>
      </c>
      <c r="H66" s="109">
        <v>0.82487954654431395</v>
      </c>
      <c r="I66" s="109">
        <v>1.4779183487748497</v>
      </c>
      <c r="J66" s="109">
        <v>1.3592625403891123</v>
      </c>
      <c r="K66" s="110">
        <v>0.76812660295482771</v>
      </c>
    </row>
    <row r="67" spans="2:11" x14ac:dyDescent="0.3">
      <c r="B67" s="111"/>
      <c r="C67" s="112" t="s">
        <v>1483</v>
      </c>
      <c r="D67" s="1499">
        <v>3.5998525629282963</v>
      </c>
      <c r="E67" s="1499">
        <v>3.5013402007184151</v>
      </c>
      <c r="F67" s="1499">
        <v>2.9181976264961822</v>
      </c>
      <c r="G67" s="1499">
        <v>2.9085826340688534</v>
      </c>
      <c r="H67" s="1499">
        <v>2.7189036395693686</v>
      </c>
      <c r="I67" s="1499">
        <v>3.3834366173009012</v>
      </c>
      <c r="J67" s="1499">
        <v>3.263646257702141</v>
      </c>
      <c r="K67" s="113">
        <v>2.6639720205447981</v>
      </c>
    </row>
    <row r="68" spans="2:11" x14ac:dyDescent="0.3">
      <c r="B68" s="111" t="s">
        <v>1981</v>
      </c>
      <c r="C68" s="112" t="s">
        <v>1489</v>
      </c>
      <c r="D68" s="1499">
        <v>3.3852151803961039</v>
      </c>
      <c r="E68" s="1499">
        <v>3.2867028181862232</v>
      </c>
      <c r="F68" s="1499">
        <v>2.7035602439639899</v>
      </c>
      <c r="G68" s="1499">
        <v>2.6939452515366611</v>
      </c>
      <c r="H68" s="1499">
        <v>2.5042662570371768</v>
      </c>
      <c r="I68" s="1499">
        <v>3.1687992347687088</v>
      </c>
      <c r="J68" s="1499">
        <v>3.0490088751699487</v>
      </c>
      <c r="K68" s="113">
        <v>2.4493346380126062</v>
      </c>
    </row>
    <row r="69" spans="2:11" x14ac:dyDescent="0.3">
      <c r="B69" s="114">
        <v>0</v>
      </c>
      <c r="C69" s="112" t="s">
        <v>1496</v>
      </c>
      <c r="D69" s="1499">
        <v>3.0632591065978154</v>
      </c>
      <c r="E69" s="1499">
        <v>2.9647467443879343</v>
      </c>
      <c r="F69" s="1499">
        <v>2.3816041701657014</v>
      </c>
      <c r="G69" s="1499">
        <v>2.3719891777383726</v>
      </c>
      <c r="H69" s="1499">
        <v>2.1823101832388878</v>
      </c>
      <c r="I69" s="1499">
        <v>2.8468431609704203</v>
      </c>
      <c r="J69" s="1499">
        <v>2.7270528013716602</v>
      </c>
      <c r="K69" s="113">
        <v>2.1273785642143173</v>
      </c>
    </row>
    <row r="70" spans="2:11" x14ac:dyDescent="0.3">
      <c r="B70" s="115"/>
      <c r="C70" s="112" t="s">
        <v>1500</v>
      </c>
      <c r="D70" s="1499">
        <v>2.7413030327995265</v>
      </c>
      <c r="E70" s="1499">
        <v>2.6427906705896458</v>
      </c>
      <c r="F70" s="1499">
        <v>2.0596480963674129</v>
      </c>
      <c r="G70" s="1499">
        <v>2.0500331039400841</v>
      </c>
      <c r="H70" s="1499">
        <v>1.8603541094405993</v>
      </c>
      <c r="I70" s="1499">
        <v>2.5248870871721318</v>
      </c>
      <c r="J70" s="1499">
        <v>2.4050967275733717</v>
      </c>
      <c r="K70" s="113">
        <v>1.8054224904160288</v>
      </c>
    </row>
    <row r="71" spans="2:11" x14ac:dyDescent="0.3">
      <c r="B71" s="115"/>
      <c r="C71" s="112" t="s">
        <v>1504</v>
      </c>
      <c r="D71" s="1499">
        <v>3.2301065590136724</v>
      </c>
      <c r="E71" s="1499">
        <v>3.1302068231232272</v>
      </c>
      <c r="F71" s="1499">
        <v>2.5479299652331293</v>
      </c>
      <c r="G71" s="1499">
        <v>2.5376724592542574</v>
      </c>
      <c r="H71" s="1499">
        <v>2.3485264330918882</v>
      </c>
      <c r="I71" s="1499">
        <v>3.0124135381188655</v>
      </c>
      <c r="J71" s="1499">
        <v>2.8927815934930372</v>
      </c>
      <c r="K71" s="113">
        <v>2.2935812432781821</v>
      </c>
    </row>
    <row r="72" spans="2:11" x14ac:dyDescent="0.3">
      <c r="B72" s="115"/>
      <c r="C72" s="112" t="s">
        <v>1508</v>
      </c>
      <c r="D72" s="1499">
        <v>3.0478366201884262</v>
      </c>
      <c r="E72" s="1499">
        <v>2.9479368842979805</v>
      </c>
      <c r="F72" s="1499">
        <v>2.3656600264078831</v>
      </c>
      <c r="G72" s="1499">
        <v>2.3554025204290112</v>
      </c>
      <c r="H72" s="1499">
        <v>2.1662564942666416</v>
      </c>
      <c r="I72" s="1499">
        <v>2.8301435992936188</v>
      </c>
      <c r="J72" s="1499">
        <v>2.710511654667791</v>
      </c>
      <c r="K72" s="113">
        <v>2.1113113044529355</v>
      </c>
    </row>
    <row r="73" spans="2:11" x14ac:dyDescent="0.3">
      <c r="B73" s="115"/>
      <c r="C73" s="112" t="s">
        <v>1513</v>
      </c>
      <c r="D73" s="1499">
        <v>2.7744317119505562</v>
      </c>
      <c r="E73" s="1499">
        <v>2.6745319760601105</v>
      </c>
      <c r="F73" s="1499">
        <v>2.0922551181700135</v>
      </c>
      <c r="G73" s="1499">
        <v>2.0819976121911412</v>
      </c>
      <c r="H73" s="1499">
        <v>1.8928515860287718</v>
      </c>
      <c r="I73" s="1499">
        <v>2.5567386910557488</v>
      </c>
      <c r="J73" s="1499">
        <v>2.4371067464299205</v>
      </c>
      <c r="K73" s="113">
        <v>1.8379063962150655</v>
      </c>
    </row>
    <row r="74" spans="2:11" x14ac:dyDescent="0.3">
      <c r="B74" s="115"/>
      <c r="C74" s="112" t="s">
        <v>1517</v>
      </c>
      <c r="D74" s="1499">
        <v>2.5010268037126866</v>
      </c>
      <c r="E74" s="1499">
        <v>2.4011270678222409</v>
      </c>
      <c r="F74" s="1499">
        <v>1.8188502099321435</v>
      </c>
      <c r="G74" s="1499">
        <v>1.8085927039532714</v>
      </c>
      <c r="H74" s="1499">
        <v>1.619446677790902</v>
      </c>
      <c r="I74" s="1499">
        <v>2.2833337828178792</v>
      </c>
      <c r="J74" s="1499">
        <v>2.163701838192051</v>
      </c>
      <c r="K74" s="113">
        <v>1.5645014879771957</v>
      </c>
    </row>
    <row r="75" spans="2:11" ht="14.5" thickBot="1" x14ac:dyDescent="0.35">
      <c r="B75" s="1233"/>
      <c r="C75" s="116" t="s">
        <v>1519</v>
      </c>
      <c r="D75" s="117">
        <v>3.5998525629282963</v>
      </c>
      <c r="E75" s="117">
        <v>3.5013402007184151</v>
      </c>
      <c r="F75" s="117">
        <v>2.9181976264961822</v>
      </c>
      <c r="G75" s="117">
        <v>2.9085826340688534</v>
      </c>
      <c r="H75" s="117">
        <v>2.7189036395693686</v>
      </c>
      <c r="I75" s="117">
        <v>3.3834366173009012</v>
      </c>
      <c r="J75" s="117">
        <v>3.263646257702141</v>
      </c>
      <c r="K75" s="118">
        <v>2.6639720205447981</v>
      </c>
    </row>
    <row r="76" spans="2:11" x14ac:dyDescent="0.3">
      <c r="B76" s="119" t="s">
        <v>1983</v>
      </c>
      <c r="C76" s="108" t="s">
        <v>1416</v>
      </c>
      <c r="D76" s="109">
        <v>1.7100559665402479</v>
      </c>
      <c r="E76" s="109">
        <v>1.5956945441231294</v>
      </c>
      <c r="F76" s="109">
        <v>1.0247034528038619</v>
      </c>
      <c r="G76" s="109">
        <v>1.0084239231430403</v>
      </c>
      <c r="H76" s="109">
        <v>0.82487954654431395</v>
      </c>
      <c r="I76" s="109">
        <v>1.4779183487748497</v>
      </c>
      <c r="J76" s="109">
        <v>1.3592625403891123</v>
      </c>
      <c r="K76" s="110">
        <v>0.76812660295482771</v>
      </c>
    </row>
    <row r="77" spans="2:11" x14ac:dyDescent="0.3">
      <c r="B77" s="111"/>
      <c r="C77" s="112" t="s">
        <v>1483</v>
      </c>
      <c r="D77" s="1499">
        <v>3.5998525629282963</v>
      </c>
      <c r="E77" s="1499">
        <v>3.5013402007184151</v>
      </c>
      <c r="F77" s="1499">
        <v>2.9181976264961822</v>
      </c>
      <c r="G77" s="1499">
        <v>2.9085826340688534</v>
      </c>
      <c r="H77" s="1499">
        <v>2.7189036395693686</v>
      </c>
      <c r="I77" s="1499">
        <v>3.3834366173009012</v>
      </c>
      <c r="J77" s="1499">
        <v>3.263646257702141</v>
      </c>
      <c r="K77" s="113">
        <v>2.6639720205447981</v>
      </c>
    </row>
    <row r="78" spans="2:11" x14ac:dyDescent="0.3">
      <c r="B78" s="111" t="s">
        <v>1982</v>
      </c>
      <c r="C78" s="112" t="s">
        <v>1489</v>
      </c>
      <c r="D78" s="1499">
        <v>3.3852151803961039</v>
      </c>
      <c r="E78" s="1499">
        <v>3.2867028181862232</v>
      </c>
      <c r="F78" s="1499">
        <v>2.7035602439639899</v>
      </c>
      <c r="G78" s="1499">
        <v>2.6939452515366611</v>
      </c>
      <c r="H78" s="1499">
        <v>2.5042662570371768</v>
      </c>
      <c r="I78" s="1499">
        <v>3.1687992347687088</v>
      </c>
      <c r="J78" s="1499">
        <v>3.0490088751699487</v>
      </c>
      <c r="K78" s="113">
        <v>2.4493346380126062</v>
      </c>
    </row>
    <row r="79" spans="2:11" x14ac:dyDescent="0.3">
      <c r="B79" s="114">
        <v>0</v>
      </c>
      <c r="C79" s="112" t="s">
        <v>1496</v>
      </c>
      <c r="D79" s="1499">
        <v>3.0632591065978154</v>
      </c>
      <c r="E79" s="1499">
        <v>2.9647467443879343</v>
      </c>
      <c r="F79" s="1499">
        <v>2.3816041701657014</v>
      </c>
      <c r="G79" s="1499">
        <v>2.3719891777383726</v>
      </c>
      <c r="H79" s="1499">
        <v>2.1823101832388878</v>
      </c>
      <c r="I79" s="1499">
        <v>2.8468431609704203</v>
      </c>
      <c r="J79" s="1499">
        <v>2.7270528013716602</v>
      </c>
      <c r="K79" s="113">
        <v>2.1273785642143173</v>
      </c>
    </row>
    <row r="80" spans="2:11" x14ac:dyDescent="0.3">
      <c r="B80" s="115"/>
      <c r="C80" s="112" t="s">
        <v>1500</v>
      </c>
      <c r="D80" s="1499">
        <v>2.7413030327995265</v>
      </c>
      <c r="E80" s="1499">
        <v>2.6427906705896458</v>
      </c>
      <c r="F80" s="1499">
        <v>2.0596480963674129</v>
      </c>
      <c r="G80" s="1499">
        <v>2.0500331039400841</v>
      </c>
      <c r="H80" s="1499">
        <v>1.8603541094405993</v>
      </c>
      <c r="I80" s="1499">
        <v>2.5248870871721318</v>
      </c>
      <c r="J80" s="1499">
        <v>2.4050967275733717</v>
      </c>
      <c r="K80" s="113">
        <v>1.8054224904160288</v>
      </c>
    </row>
    <row r="81" spans="2:11" x14ac:dyDescent="0.3">
      <c r="B81" s="115"/>
      <c r="C81" s="112" t="s">
        <v>1504</v>
      </c>
      <c r="D81" s="1499">
        <v>3.2301065590136724</v>
      </c>
      <c r="E81" s="1499">
        <v>3.1302068231232272</v>
      </c>
      <c r="F81" s="1499">
        <v>2.5479299652331293</v>
      </c>
      <c r="G81" s="1499">
        <v>2.5376724592542574</v>
      </c>
      <c r="H81" s="1499">
        <v>2.3485264330918882</v>
      </c>
      <c r="I81" s="1499">
        <v>3.0124135381188655</v>
      </c>
      <c r="J81" s="1499">
        <v>2.8927815934930372</v>
      </c>
      <c r="K81" s="113">
        <v>2.2935812432781821</v>
      </c>
    </row>
    <row r="82" spans="2:11" x14ac:dyDescent="0.3">
      <c r="B82" s="115"/>
      <c r="C82" s="112" t="s">
        <v>1508</v>
      </c>
      <c r="D82" s="1499">
        <v>3.0478366201884262</v>
      </c>
      <c r="E82" s="1499">
        <v>2.9479368842979805</v>
      </c>
      <c r="F82" s="1499">
        <v>2.3656600264078831</v>
      </c>
      <c r="G82" s="1499">
        <v>2.3554025204290112</v>
      </c>
      <c r="H82" s="1499">
        <v>2.1662564942666416</v>
      </c>
      <c r="I82" s="1499">
        <v>2.8301435992936188</v>
      </c>
      <c r="J82" s="1499">
        <v>2.710511654667791</v>
      </c>
      <c r="K82" s="113">
        <v>2.1113113044529355</v>
      </c>
    </row>
    <row r="83" spans="2:11" x14ac:dyDescent="0.3">
      <c r="B83" s="115"/>
      <c r="C83" s="112" t="s">
        <v>1513</v>
      </c>
      <c r="D83" s="1499">
        <v>2.7744317119505562</v>
      </c>
      <c r="E83" s="1499">
        <v>2.6745319760601105</v>
      </c>
      <c r="F83" s="1499">
        <v>2.0922551181700135</v>
      </c>
      <c r="G83" s="1499">
        <v>2.0819976121911412</v>
      </c>
      <c r="H83" s="1499">
        <v>1.8928515860287718</v>
      </c>
      <c r="I83" s="1499">
        <v>2.5567386910557488</v>
      </c>
      <c r="J83" s="1499">
        <v>2.4371067464299205</v>
      </c>
      <c r="K83" s="113">
        <v>1.8379063962150655</v>
      </c>
    </row>
    <row r="84" spans="2:11" x14ac:dyDescent="0.3">
      <c r="B84" s="115"/>
      <c r="C84" s="112" t="s">
        <v>1517</v>
      </c>
      <c r="D84" s="1499">
        <v>2.5010268037126866</v>
      </c>
      <c r="E84" s="1499">
        <v>2.4011270678222409</v>
      </c>
      <c r="F84" s="1499">
        <v>1.8188502099321435</v>
      </c>
      <c r="G84" s="1499">
        <v>1.8085927039532714</v>
      </c>
      <c r="H84" s="1499">
        <v>1.619446677790902</v>
      </c>
      <c r="I84" s="1499">
        <v>2.2833337828178792</v>
      </c>
      <c r="J84" s="1499">
        <v>2.163701838192051</v>
      </c>
      <c r="K84" s="113">
        <v>1.5645014879771957</v>
      </c>
    </row>
    <row r="85" spans="2:11" ht="14.5" thickBot="1" x14ac:dyDescent="0.35">
      <c r="B85" s="1233"/>
      <c r="C85" s="116" t="s">
        <v>1519</v>
      </c>
      <c r="D85" s="117">
        <v>3.5998525629282963</v>
      </c>
      <c r="E85" s="117">
        <v>3.5013402007184151</v>
      </c>
      <c r="F85" s="117">
        <v>2.9181976264961822</v>
      </c>
      <c r="G85" s="117">
        <v>2.9085826340688534</v>
      </c>
      <c r="H85" s="117">
        <v>2.7189036395693686</v>
      </c>
      <c r="I85" s="117">
        <v>3.3834366173009012</v>
      </c>
      <c r="J85" s="117">
        <v>3.263646257702141</v>
      </c>
      <c r="K85" s="118">
        <v>2.6639720205447981</v>
      </c>
    </row>
    <row r="87" spans="2:11" ht="14.5" thickBot="1" x14ac:dyDescent="0.35"/>
    <row r="88" spans="2:11" ht="25.5" thickBot="1" x14ac:dyDescent="0.55000000000000004">
      <c r="B88" s="88" t="s">
        <v>1960</v>
      </c>
      <c r="C88" s="89"/>
      <c r="D88" s="90">
        <v>1</v>
      </c>
      <c r="E88" s="91" t="s">
        <v>1984</v>
      </c>
      <c r="F88" s="92"/>
      <c r="G88" s="92"/>
      <c r="H88" s="92"/>
      <c r="I88" s="93"/>
      <c r="J88" s="89" t="s">
        <v>176</v>
      </c>
      <c r="K88" s="94" t="s">
        <v>223</v>
      </c>
    </row>
    <row r="89" spans="2:11" ht="14.5" thickBot="1" x14ac:dyDescent="0.35">
      <c r="B89" s="95" t="s">
        <v>1962</v>
      </c>
      <c r="C89" s="96" t="s">
        <v>1963</v>
      </c>
      <c r="D89" s="95" t="s">
        <v>1964</v>
      </c>
      <c r="E89" s="97" t="s">
        <v>1965</v>
      </c>
      <c r="F89" s="97" t="s">
        <v>1966</v>
      </c>
      <c r="G89" s="97" t="s">
        <v>1967</v>
      </c>
      <c r="H89" s="97" t="s">
        <v>1968</v>
      </c>
      <c r="I89" s="97" t="s">
        <v>1969</v>
      </c>
      <c r="J89" s="97" t="s">
        <v>1970</v>
      </c>
      <c r="K89" s="98" t="s">
        <v>1971</v>
      </c>
    </row>
    <row r="90" spans="2:11" ht="14.5" thickBot="1" x14ac:dyDescent="0.35">
      <c r="B90" s="99"/>
      <c r="C90" s="99"/>
      <c r="D90" s="100"/>
      <c r="E90" s="944"/>
      <c r="F90" s="944"/>
      <c r="G90" s="944"/>
      <c r="H90" s="944"/>
      <c r="I90" s="944"/>
      <c r="J90" s="944"/>
      <c r="K90" s="102"/>
    </row>
    <row r="91" spans="2:11" ht="86" thickBot="1" x14ac:dyDescent="0.45">
      <c r="B91" s="103" t="s">
        <v>1972</v>
      </c>
      <c r="C91" s="103" t="s">
        <v>1973</v>
      </c>
      <c r="D91" s="105" t="s">
        <v>1974</v>
      </c>
      <c r="E91" s="105" t="s">
        <v>1525</v>
      </c>
      <c r="F91" s="105" t="s">
        <v>1527</v>
      </c>
      <c r="G91" s="105" t="s">
        <v>1975</v>
      </c>
      <c r="H91" s="105" t="s">
        <v>1976</v>
      </c>
      <c r="I91" s="105" t="s">
        <v>1445</v>
      </c>
      <c r="J91" s="105" t="s">
        <v>1538</v>
      </c>
      <c r="K91" s="106" t="s">
        <v>1541</v>
      </c>
    </row>
    <row r="92" spans="2:11" x14ac:dyDescent="0.3">
      <c r="B92" s="107" t="s">
        <v>1985</v>
      </c>
      <c r="C92" s="108" t="s">
        <v>1416</v>
      </c>
      <c r="D92" s="109">
        <v>1.7100559665402479</v>
      </c>
      <c r="E92" s="109">
        <v>1.5956945441231294</v>
      </c>
      <c r="F92" s="109">
        <v>1.0247034528038619</v>
      </c>
      <c r="G92" s="109">
        <v>1.0084239231430403</v>
      </c>
      <c r="H92" s="109">
        <v>0.82487954654431395</v>
      </c>
      <c r="I92" s="109">
        <v>1.4779183487748497</v>
      </c>
      <c r="J92" s="109">
        <v>1.3592625403891123</v>
      </c>
      <c r="K92" s="110">
        <v>0.76812660295482771</v>
      </c>
    </row>
    <row r="93" spans="2:11" x14ac:dyDescent="0.3">
      <c r="B93" s="111"/>
      <c r="C93" s="112" t="s">
        <v>1483</v>
      </c>
      <c r="D93" s="1499">
        <v>3.5998525629282963</v>
      </c>
      <c r="E93" s="1499">
        <v>3.5013402007184151</v>
      </c>
      <c r="F93" s="1499">
        <v>2.9181976264961822</v>
      </c>
      <c r="G93" s="1499">
        <v>2.9085826340688534</v>
      </c>
      <c r="H93" s="1499">
        <v>2.7189036395693686</v>
      </c>
      <c r="I93" s="1499">
        <v>3.3834366173009012</v>
      </c>
      <c r="J93" s="1499">
        <v>3.263646257702141</v>
      </c>
      <c r="K93" s="113">
        <v>2.6639720205447981</v>
      </c>
    </row>
    <row r="94" spans="2:11" x14ac:dyDescent="0.3">
      <c r="B94" s="111" t="s">
        <v>1986</v>
      </c>
      <c r="C94" s="112" t="s">
        <v>1489</v>
      </c>
      <c r="D94" s="1499">
        <v>3.3852151803961039</v>
      </c>
      <c r="E94" s="1499">
        <v>3.2867028181862232</v>
      </c>
      <c r="F94" s="1499">
        <v>2.7035602439639899</v>
      </c>
      <c r="G94" s="1499">
        <v>2.6939452515366611</v>
      </c>
      <c r="H94" s="1499">
        <v>2.5042662570371768</v>
      </c>
      <c r="I94" s="1499">
        <v>3.1687992347687088</v>
      </c>
      <c r="J94" s="1499">
        <v>3.0490088751699487</v>
      </c>
      <c r="K94" s="113">
        <v>2.4493346380126062</v>
      </c>
    </row>
    <row r="95" spans="2:11" x14ac:dyDescent="0.3">
      <c r="B95" s="114">
        <v>0</v>
      </c>
      <c r="C95" s="112" t="s">
        <v>1496</v>
      </c>
      <c r="D95" s="1499">
        <v>3.0632591065978154</v>
      </c>
      <c r="E95" s="1499">
        <v>2.9647467443879343</v>
      </c>
      <c r="F95" s="1499">
        <v>2.3816041701657014</v>
      </c>
      <c r="G95" s="1499">
        <v>2.3719891777383726</v>
      </c>
      <c r="H95" s="1499">
        <v>2.1823101832388878</v>
      </c>
      <c r="I95" s="1499">
        <v>2.8468431609704203</v>
      </c>
      <c r="J95" s="1499">
        <v>2.7270528013716602</v>
      </c>
      <c r="K95" s="113">
        <v>2.1273785642143173</v>
      </c>
    </row>
    <row r="96" spans="2:11" x14ac:dyDescent="0.3">
      <c r="B96" s="115"/>
      <c r="C96" s="112" t="s">
        <v>1500</v>
      </c>
      <c r="D96" s="1499">
        <v>2.7413030327995265</v>
      </c>
      <c r="E96" s="1499">
        <v>2.6427906705896458</v>
      </c>
      <c r="F96" s="1499">
        <v>2.0596480963674129</v>
      </c>
      <c r="G96" s="1499">
        <v>2.0500331039400841</v>
      </c>
      <c r="H96" s="1499">
        <v>1.8603541094405993</v>
      </c>
      <c r="I96" s="1499">
        <v>2.5248870871721318</v>
      </c>
      <c r="J96" s="1499">
        <v>2.4050967275733717</v>
      </c>
      <c r="K96" s="113">
        <v>1.8054224904160288</v>
      </c>
    </row>
    <row r="97" spans="2:11" x14ac:dyDescent="0.3">
      <c r="B97" s="115"/>
      <c r="C97" s="112" t="s">
        <v>1504</v>
      </c>
      <c r="D97" s="1499">
        <v>3.2301065590136724</v>
      </c>
      <c r="E97" s="1499">
        <v>3.1302068231232272</v>
      </c>
      <c r="F97" s="1499">
        <v>2.5479299652331293</v>
      </c>
      <c r="G97" s="1499">
        <v>2.5376724592542574</v>
      </c>
      <c r="H97" s="1499">
        <v>2.3485264330918882</v>
      </c>
      <c r="I97" s="1499">
        <v>3.0124135381188655</v>
      </c>
      <c r="J97" s="1499">
        <v>2.8927815934930372</v>
      </c>
      <c r="K97" s="113">
        <v>2.2935812432781821</v>
      </c>
    </row>
    <row r="98" spans="2:11" x14ac:dyDescent="0.3">
      <c r="B98" s="115"/>
      <c r="C98" s="112" t="s">
        <v>1508</v>
      </c>
      <c r="D98" s="1499">
        <v>3.0478366201884262</v>
      </c>
      <c r="E98" s="1499">
        <v>2.9479368842979805</v>
      </c>
      <c r="F98" s="1499">
        <v>2.3656600264078831</v>
      </c>
      <c r="G98" s="1499">
        <v>2.3554025204290112</v>
      </c>
      <c r="H98" s="1499">
        <v>2.1662564942666416</v>
      </c>
      <c r="I98" s="1499">
        <v>2.8301435992936188</v>
      </c>
      <c r="J98" s="1499">
        <v>2.710511654667791</v>
      </c>
      <c r="K98" s="113">
        <v>2.1113113044529355</v>
      </c>
    </row>
    <row r="99" spans="2:11" x14ac:dyDescent="0.3">
      <c r="B99" s="115"/>
      <c r="C99" s="112" t="s">
        <v>1513</v>
      </c>
      <c r="D99" s="1499">
        <v>2.7744317119505562</v>
      </c>
      <c r="E99" s="1499">
        <v>2.6745319760601105</v>
      </c>
      <c r="F99" s="1499">
        <v>2.0922551181700135</v>
      </c>
      <c r="G99" s="1499">
        <v>2.0819976121911412</v>
      </c>
      <c r="H99" s="1499">
        <v>1.8928515860287718</v>
      </c>
      <c r="I99" s="1499">
        <v>2.5567386910557488</v>
      </c>
      <c r="J99" s="1499">
        <v>2.4371067464299205</v>
      </c>
      <c r="K99" s="113">
        <v>1.8379063962150655</v>
      </c>
    </row>
    <row r="100" spans="2:11" x14ac:dyDescent="0.3">
      <c r="B100" s="115"/>
      <c r="C100" s="112" t="s">
        <v>1517</v>
      </c>
      <c r="D100" s="1499">
        <v>2.5010268037126866</v>
      </c>
      <c r="E100" s="1499">
        <v>2.4011270678222409</v>
      </c>
      <c r="F100" s="1499">
        <v>1.8188502099321435</v>
      </c>
      <c r="G100" s="1499">
        <v>1.8085927039532714</v>
      </c>
      <c r="H100" s="1499">
        <v>1.619446677790902</v>
      </c>
      <c r="I100" s="1499">
        <v>2.2833337828178792</v>
      </c>
      <c r="J100" s="1499">
        <v>2.163701838192051</v>
      </c>
      <c r="K100" s="113">
        <v>1.5645014879771957</v>
      </c>
    </row>
    <row r="101" spans="2:11" ht="14.5" thickBot="1" x14ac:dyDescent="0.35">
      <c r="B101" s="115"/>
      <c r="C101" s="116" t="s">
        <v>1519</v>
      </c>
      <c r="D101" s="117">
        <v>3.5998525629282963</v>
      </c>
      <c r="E101" s="117">
        <v>3.5013402007184151</v>
      </c>
      <c r="F101" s="117">
        <v>2.9181976264961822</v>
      </c>
      <c r="G101" s="117">
        <v>2.9085826340688534</v>
      </c>
      <c r="H101" s="117">
        <v>2.7189036395693686</v>
      </c>
      <c r="I101" s="117">
        <v>3.3834366173009012</v>
      </c>
      <c r="J101" s="117">
        <v>3.263646257702141</v>
      </c>
      <c r="K101" s="118">
        <v>2.6639720205447981</v>
      </c>
    </row>
    <row r="102" spans="2:11" x14ac:dyDescent="0.3">
      <c r="B102" s="120" t="s">
        <v>1985</v>
      </c>
      <c r="C102" s="1234" t="s">
        <v>1416</v>
      </c>
      <c r="D102" s="109">
        <v>1.7100559665402479</v>
      </c>
      <c r="E102" s="109">
        <v>1.5956945441231294</v>
      </c>
      <c r="F102" s="109">
        <v>1.0247034528038619</v>
      </c>
      <c r="G102" s="109">
        <v>1.0084239231430403</v>
      </c>
      <c r="H102" s="109">
        <v>0.82487954654431395</v>
      </c>
      <c r="I102" s="109">
        <v>1.4779183487748497</v>
      </c>
      <c r="J102" s="109">
        <v>1.3592625403891123</v>
      </c>
      <c r="K102" s="110">
        <v>0.76812660295482771</v>
      </c>
    </row>
    <row r="103" spans="2:11" x14ac:dyDescent="0.3">
      <c r="B103" s="121"/>
      <c r="C103" s="1500" t="s">
        <v>1483</v>
      </c>
      <c r="D103" s="1499">
        <v>3.5998525629282963</v>
      </c>
      <c r="E103" s="1499">
        <v>3.5013402007184151</v>
      </c>
      <c r="F103" s="1499">
        <v>2.9181976264961822</v>
      </c>
      <c r="G103" s="1499">
        <v>2.9085826340688534</v>
      </c>
      <c r="H103" s="1499">
        <v>2.7189036395693686</v>
      </c>
      <c r="I103" s="1499">
        <v>3.3834366173009012</v>
      </c>
      <c r="J103" s="1499">
        <v>3.263646257702141</v>
      </c>
      <c r="K103" s="113">
        <v>2.6639720205447981</v>
      </c>
    </row>
    <row r="104" spans="2:11" x14ac:dyDescent="0.3">
      <c r="B104" s="111" t="s">
        <v>1987</v>
      </c>
      <c r="C104" s="1500" t="s">
        <v>1489</v>
      </c>
      <c r="D104" s="1499">
        <v>3.3852151803961039</v>
      </c>
      <c r="E104" s="1499">
        <v>3.2867028181862232</v>
      </c>
      <c r="F104" s="1499">
        <v>2.7035602439639899</v>
      </c>
      <c r="G104" s="1499">
        <v>2.6939452515366611</v>
      </c>
      <c r="H104" s="1499">
        <v>2.5042662570371768</v>
      </c>
      <c r="I104" s="1499">
        <v>3.1687992347687088</v>
      </c>
      <c r="J104" s="1499">
        <v>3.0490088751699487</v>
      </c>
      <c r="K104" s="113">
        <v>2.4493346380126062</v>
      </c>
    </row>
    <row r="105" spans="2:11" x14ac:dyDescent="0.3">
      <c r="B105" s="122">
        <v>0</v>
      </c>
      <c r="C105" s="1500" t="s">
        <v>1496</v>
      </c>
      <c r="D105" s="1499">
        <v>3.0632591065978154</v>
      </c>
      <c r="E105" s="1499">
        <v>2.9647467443879343</v>
      </c>
      <c r="F105" s="1499">
        <v>2.3816041701657014</v>
      </c>
      <c r="G105" s="1499">
        <v>2.3719891777383726</v>
      </c>
      <c r="H105" s="1499">
        <v>2.1823101832388878</v>
      </c>
      <c r="I105" s="1499">
        <v>2.8468431609704203</v>
      </c>
      <c r="J105" s="1499">
        <v>2.7270528013716602</v>
      </c>
      <c r="K105" s="113">
        <v>2.1273785642143173</v>
      </c>
    </row>
    <row r="106" spans="2:11" x14ac:dyDescent="0.3">
      <c r="B106" s="123"/>
      <c r="C106" s="1500" t="s">
        <v>1500</v>
      </c>
      <c r="D106" s="1499">
        <v>2.7413030327995265</v>
      </c>
      <c r="E106" s="1499">
        <v>2.6427906705896458</v>
      </c>
      <c r="F106" s="1499">
        <v>2.0596480963674129</v>
      </c>
      <c r="G106" s="1499">
        <v>2.0500331039400841</v>
      </c>
      <c r="H106" s="1499">
        <v>1.8603541094405993</v>
      </c>
      <c r="I106" s="1499">
        <v>2.5248870871721318</v>
      </c>
      <c r="J106" s="1499">
        <v>2.4050967275733717</v>
      </c>
      <c r="K106" s="113">
        <v>1.8054224904160288</v>
      </c>
    </row>
    <row r="107" spans="2:11" x14ac:dyDescent="0.3">
      <c r="B107" s="123"/>
      <c r="C107" s="1500" t="s">
        <v>1504</v>
      </c>
      <c r="D107" s="1499">
        <v>3.2301065590136724</v>
      </c>
      <c r="E107" s="1499">
        <v>3.1302068231232272</v>
      </c>
      <c r="F107" s="1499">
        <v>2.5479299652331293</v>
      </c>
      <c r="G107" s="1499">
        <v>2.5376724592542574</v>
      </c>
      <c r="H107" s="1499">
        <v>2.3485264330918882</v>
      </c>
      <c r="I107" s="1499">
        <v>3.0124135381188655</v>
      </c>
      <c r="J107" s="1499">
        <v>2.8927815934930372</v>
      </c>
      <c r="K107" s="113">
        <v>2.2935812432781821</v>
      </c>
    </row>
    <row r="108" spans="2:11" x14ac:dyDescent="0.3">
      <c r="B108" s="123"/>
      <c r="C108" s="1500" t="s">
        <v>1508</v>
      </c>
      <c r="D108" s="1499">
        <v>3.0478366201884262</v>
      </c>
      <c r="E108" s="1499">
        <v>2.9479368842979805</v>
      </c>
      <c r="F108" s="1499">
        <v>2.3656600264078831</v>
      </c>
      <c r="G108" s="1499">
        <v>2.3554025204290112</v>
      </c>
      <c r="H108" s="1499">
        <v>2.1662564942666416</v>
      </c>
      <c r="I108" s="1499">
        <v>2.8301435992936188</v>
      </c>
      <c r="J108" s="1499">
        <v>2.710511654667791</v>
      </c>
      <c r="K108" s="113">
        <v>2.1113113044529355</v>
      </c>
    </row>
    <row r="109" spans="2:11" x14ac:dyDescent="0.3">
      <c r="B109" s="123"/>
      <c r="C109" s="1500" t="s">
        <v>1513</v>
      </c>
      <c r="D109" s="1499">
        <v>2.7744317119505562</v>
      </c>
      <c r="E109" s="1499">
        <v>2.6745319760601105</v>
      </c>
      <c r="F109" s="1499">
        <v>2.0922551181700135</v>
      </c>
      <c r="G109" s="1499">
        <v>2.0819976121911412</v>
      </c>
      <c r="H109" s="1499">
        <v>1.8928515860287718</v>
      </c>
      <c r="I109" s="1499">
        <v>2.5567386910557488</v>
      </c>
      <c r="J109" s="1499">
        <v>2.4371067464299205</v>
      </c>
      <c r="K109" s="113">
        <v>1.8379063962150655</v>
      </c>
    </row>
    <row r="110" spans="2:11" x14ac:dyDescent="0.3">
      <c r="B110" s="123"/>
      <c r="C110" s="1500" t="s">
        <v>1517</v>
      </c>
      <c r="D110" s="1499">
        <v>2.5010268037126866</v>
      </c>
      <c r="E110" s="1499">
        <v>2.4011270678222409</v>
      </c>
      <c r="F110" s="1499">
        <v>1.8188502099321435</v>
      </c>
      <c r="G110" s="1499">
        <v>1.8085927039532714</v>
      </c>
      <c r="H110" s="1499">
        <v>1.619446677790902</v>
      </c>
      <c r="I110" s="1499">
        <v>2.2833337828178792</v>
      </c>
      <c r="J110" s="1499">
        <v>2.163701838192051</v>
      </c>
      <c r="K110" s="113">
        <v>1.5645014879771957</v>
      </c>
    </row>
    <row r="111" spans="2:11" ht="14.5" thickBot="1" x14ac:dyDescent="0.35">
      <c r="B111" s="124"/>
      <c r="C111" s="125" t="s">
        <v>1519</v>
      </c>
      <c r="D111" s="117">
        <v>3.5998525629282963</v>
      </c>
      <c r="E111" s="117">
        <v>3.5013402007184151</v>
      </c>
      <c r="F111" s="117">
        <v>2.9181976264961822</v>
      </c>
      <c r="G111" s="117">
        <v>2.9085826340688534</v>
      </c>
      <c r="H111" s="117">
        <v>2.7189036395693686</v>
      </c>
      <c r="I111" s="117">
        <v>3.3834366173009012</v>
      </c>
      <c r="J111" s="117">
        <v>3.263646257702141</v>
      </c>
      <c r="K111" s="118">
        <v>2.6639720205447981</v>
      </c>
    </row>
    <row r="112" spans="2:11" x14ac:dyDescent="0.3">
      <c r="B112" s="119" t="s">
        <v>1985</v>
      </c>
      <c r="C112" s="108" t="s">
        <v>1416</v>
      </c>
      <c r="D112" s="109">
        <v>1.7100559665402479</v>
      </c>
      <c r="E112" s="109">
        <v>1.5956945441231294</v>
      </c>
      <c r="F112" s="109">
        <v>1.0247034528038619</v>
      </c>
      <c r="G112" s="109">
        <v>1.0084239231430403</v>
      </c>
      <c r="H112" s="109">
        <v>0.82487954654431395</v>
      </c>
      <c r="I112" s="109">
        <v>1.4779183487748497</v>
      </c>
      <c r="J112" s="109">
        <v>1.3592625403891123</v>
      </c>
      <c r="K112" s="110">
        <v>0.76812660295482771</v>
      </c>
    </row>
    <row r="113" spans="2:11" x14ac:dyDescent="0.3">
      <c r="B113" s="111"/>
      <c r="C113" s="112" t="s">
        <v>1483</v>
      </c>
      <c r="D113" s="1499">
        <v>3.5998525629282963</v>
      </c>
      <c r="E113" s="1499">
        <v>3.5013402007184151</v>
      </c>
      <c r="F113" s="1499">
        <v>2.9181976264961822</v>
      </c>
      <c r="G113" s="1499">
        <v>2.9085826340688534</v>
      </c>
      <c r="H113" s="1499">
        <v>2.7189036395693686</v>
      </c>
      <c r="I113" s="1499">
        <v>3.3834366173009012</v>
      </c>
      <c r="J113" s="1499">
        <v>3.263646257702141</v>
      </c>
      <c r="K113" s="113">
        <v>2.6639720205447981</v>
      </c>
    </row>
    <row r="114" spans="2:11" ht="14.5" thickBot="1" x14ac:dyDescent="0.35">
      <c r="B114" s="111" t="s">
        <v>1988</v>
      </c>
      <c r="C114" s="112" t="s">
        <v>1489</v>
      </c>
      <c r="D114" s="1499">
        <v>3.3852151803961039</v>
      </c>
      <c r="E114" s="1499">
        <v>3.2867028181862232</v>
      </c>
      <c r="F114" s="1501">
        <v>2.7035602439639899</v>
      </c>
      <c r="G114" s="1499">
        <v>2.6939452515366611</v>
      </c>
      <c r="H114" s="1499">
        <v>2.5042662570371768</v>
      </c>
      <c r="I114" s="1499">
        <v>3.1687992347687088</v>
      </c>
      <c r="J114" s="1499">
        <v>3.0490088751699487</v>
      </c>
      <c r="K114" s="113">
        <v>2.4493346380126062</v>
      </c>
    </row>
    <row r="115" spans="2:11" ht="14.5" thickBot="1" x14ac:dyDescent="0.35">
      <c r="B115" s="114">
        <v>0</v>
      </c>
      <c r="C115" s="112" t="s">
        <v>1496</v>
      </c>
      <c r="D115" s="1499">
        <v>3.0632591065978154</v>
      </c>
      <c r="E115" s="1502">
        <v>2.9647467443879343</v>
      </c>
      <c r="F115" s="126">
        <v>2.3816041701657014</v>
      </c>
      <c r="G115" s="1503">
        <v>2.3719891777383726</v>
      </c>
      <c r="H115" s="1499">
        <v>2.1823101832388878</v>
      </c>
      <c r="I115" s="1499">
        <v>2.8468431609704203</v>
      </c>
      <c r="J115" s="1499">
        <v>2.7270528013716602</v>
      </c>
      <c r="K115" s="113">
        <v>2.1273785642143173</v>
      </c>
    </row>
    <row r="116" spans="2:11" x14ac:dyDescent="0.3">
      <c r="B116" s="115"/>
      <c r="C116" s="112" t="s">
        <v>1500</v>
      </c>
      <c r="D116" s="1499">
        <v>2.7413030327995265</v>
      </c>
      <c r="E116" s="1499">
        <v>2.6427906705896458</v>
      </c>
      <c r="F116" s="127">
        <v>2.0596480963674129</v>
      </c>
      <c r="G116" s="1499">
        <v>2.0500331039400841</v>
      </c>
      <c r="H116" s="1499">
        <v>1.8603541094405993</v>
      </c>
      <c r="I116" s="1499">
        <v>2.5248870871721318</v>
      </c>
      <c r="J116" s="1499">
        <v>2.4050967275733717</v>
      </c>
      <c r="K116" s="113">
        <v>1.8054224904160288</v>
      </c>
    </row>
    <row r="117" spans="2:11" x14ac:dyDescent="0.3">
      <c r="B117" s="115"/>
      <c r="C117" s="112" t="s">
        <v>1504</v>
      </c>
      <c r="D117" s="1499">
        <v>3.2301065590136724</v>
      </c>
      <c r="E117" s="1499">
        <v>3.1302068231232272</v>
      </c>
      <c r="F117" s="1499">
        <v>2.5479299652331293</v>
      </c>
      <c r="G117" s="1499">
        <v>2.5376724592542574</v>
      </c>
      <c r="H117" s="1499">
        <v>2.3485264330918882</v>
      </c>
      <c r="I117" s="1499">
        <v>3.0124135381188655</v>
      </c>
      <c r="J117" s="1499">
        <v>2.8927815934930372</v>
      </c>
      <c r="K117" s="113">
        <v>2.2935812432781821</v>
      </c>
    </row>
    <row r="118" spans="2:11" x14ac:dyDescent="0.3">
      <c r="B118" s="115"/>
      <c r="C118" s="112" t="s">
        <v>1508</v>
      </c>
      <c r="D118" s="1499">
        <v>3.0478366201884262</v>
      </c>
      <c r="E118" s="1499">
        <v>2.9479368842979805</v>
      </c>
      <c r="F118" s="1499">
        <v>2.3656600264078831</v>
      </c>
      <c r="G118" s="1499">
        <v>2.3554025204290112</v>
      </c>
      <c r="H118" s="1499">
        <v>2.1662564942666416</v>
      </c>
      <c r="I118" s="1499">
        <v>2.8301435992936188</v>
      </c>
      <c r="J118" s="1499">
        <v>2.710511654667791</v>
      </c>
      <c r="K118" s="113">
        <v>2.1113113044529355</v>
      </c>
    </row>
    <row r="119" spans="2:11" x14ac:dyDescent="0.3">
      <c r="B119" s="115"/>
      <c r="C119" s="112" t="s">
        <v>1513</v>
      </c>
      <c r="D119" s="1499">
        <v>2.7744317119505562</v>
      </c>
      <c r="E119" s="1499">
        <v>2.6745319760601105</v>
      </c>
      <c r="F119" s="1499">
        <v>2.0922551181700135</v>
      </c>
      <c r="G119" s="1499">
        <v>2.0819976121911412</v>
      </c>
      <c r="H119" s="1499">
        <v>1.8928515860287718</v>
      </c>
      <c r="I119" s="1499">
        <v>2.5567386910557488</v>
      </c>
      <c r="J119" s="1499">
        <v>2.4371067464299205</v>
      </c>
      <c r="K119" s="113">
        <v>1.8379063962150655</v>
      </c>
    </row>
    <row r="120" spans="2:11" x14ac:dyDescent="0.3">
      <c r="B120" s="115"/>
      <c r="C120" s="112" t="s">
        <v>1517</v>
      </c>
      <c r="D120" s="1499">
        <v>2.5010268037126866</v>
      </c>
      <c r="E120" s="1499">
        <v>2.4011270678222409</v>
      </c>
      <c r="F120" s="1499">
        <v>1.8188502099321435</v>
      </c>
      <c r="G120" s="1499">
        <v>1.8085927039532714</v>
      </c>
      <c r="H120" s="1499">
        <v>1.619446677790902</v>
      </c>
      <c r="I120" s="1499">
        <v>2.2833337828178792</v>
      </c>
      <c r="J120" s="1499">
        <v>2.163701838192051</v>
      </c>
      <c r="K120" s="113">
        <v>1.5645014879771957</v>
      </c>
    </row>
    <row r="121" spans="2:11" ht="14.5" thickBot="1" x14ac:dyDescent="0.35">
      <c r="B121" s="1233"/>
      <c r="C121" s="116" t="s">
        <v>1519</v>
      </c>
      <c r="D121" s="117">
        <v>3.5998525629282963</v>
      </c>
      <c r="E121" s="117">
        <v>3.5013402007184151</v>
      </c>
      <c r="F121" s="117">
        <v>2.9181976264961822</v>
      </c>
      <c r="G121" s="117">
        <v>2.9085826340688534</v>
      </c>
      <c r="H121" s="117">
        <v>2.7189036395693686</v>
      </c>
      <c r="I121" s="117">
        <v>3.3834366173009012</v>
      </c>
      <c r="J121" s="117">
        <v>3.263646257702141</v>
      </c>
      <c r="K121" s="118">
        <v>2.6639720205447981</v>
      </c>
    </row>
    <row r="122" spans="2:11" x14ac:dyDescent="0.3">
      <c r="B122" s="107" t="s">
        <v>1985</v>
      </c>
      <c r="C122" s="108" t="s">
        <v>1416</v>
      </c>
      <c r="D122" s="109">
        <v>1.7100559665402479</v>
      </c>
      <c r="E122" s="109">
        <v>1.5956945441231294</v>
      </c>
      <c r="F122" s="109">
        <v>1.0247034528038619</v>
      </c>
      <c r="G122" s="109">
        <v>1.0084239231430403</v>
      </c>
      <c r="H122" s="109">
        <v>0.82487954654431395</v>
      </c>
      <c r="I122" s="109">
        <v>1.4779183487748497</v>
      </c>
      <c r="J122" s="109">
        <v>1.3592625403891123</v>
      </c>
      <c r="K122" s="110">
        <v>0.76812660295482771</v>
      </c>
    </row>
    <row r="123" spans="2:11" x14ac:dyDescent="0.3">
      <c r="B123" s="111"/>
      <c r="C123" s="112" t="s">
        <v>1483</v>
      </c>
      <c r="D123" s="1499">
        <v>3.5998525629282963</v>
      </c>
      <c r="E123" s="1499">
        <v>3.5013402007184151</v>
      </c>
      <c r="F123" s="1499">
        <v>2.9181976264961822</v>
      </c>
      <c r="G123" s="1499">
        <v>2.9085826340688534</v>
      </c>
      <c r="H123" s="1499">
        <v>2.7189036395693686</v>
      </c>
      <c r="I123" s="1499">
        <v>3.3834366173009012</v>
      </c>
      <c r="J123" s="1499">
        <v>3.263646257702141</v>
      </c>
      <c r="K123" s="113">
        <v>2.6639720205447981</v>
      </c>
    </row>
    <row r="124" spans="2:11" x14ac:dyDescent="0.3">
      <c r="B124" s="111" t="s">
        <v>1989</v>
      </c>
      <c r="C124" s="112" t="s">
        <v>1489</v>
      </c>
      <c r="D124" s="1499">
        <v>3.3852151803961039</v>
      </c>
      <c r="E124" s="1499">
        <v>3.2867028181862232</v>
      </c>
      <c r="F124" s="1499">
        <v>2.7035602439639899</v>
      </c>
      <c r="G124" s="1499">
        <v>2.6939452515366611</v>
      </c>
      <c r="H124" s="1499">
        <v>2.5042662570371768</v>
      </c>
      <c r="I124" s="1499">
        <v>3.1687992347687088</v>
      </c>
      <c r="J124" s="1499">
        <v>3.0490088751699487</v>
      </c>
      <c r="K124" s="113">
        <v>2.4493346380126062</v>
      </c>
    </row>
    <row r="125" spans="2:11" x14ac:dyDescent="0.3">
      <c r="B125" s="114">
        <v>0</v>
      </c>
      <c r="C125" s="112" t="s">
        <v>1496</v>
      </c>
      <c r="D125" s="1499">
        <v>3.0632591065978154</v>
      </c>
      <c r="E125" s="1499">
        <v>2.9647467443879343</v>
      </c>
      <c r="F125" s="1499">
        <v>2.3816041701657014</v>
      </c>
      <c r="G125" s="1499">
        <v>2.3719891777383726</v>
      </c>
      <c r="H125" s="1499">
        <v>2.1823101832388878</v>
      </c>
      <c r="I125" s="1499">
        <v>2.8468431609704203</v>
      </c>
      <c r="J125" s="1499">
        <v>2.7270528013716602</v>
      </c>
      <c r="K125" s="113">
        <v>2.1273785642143173</v>
      </c>
    </row>
    <row r="126" spans="2:11" x14ac:dyDescent="0.3">
      <c r="B126" s="115"/>
      <c r="C126" s="112" t="s">
        <v>1500</v>
      </c>
      <c r="D126" s="1499">
        <v>2.7413030327995265</v>
      </c>
      <c r="E126" s="1499">
        <v>2.6427906705896458</v>
      </c>
      <c r="F126" s="1499">
        <v>2.0596480963674129</v>
      </c>
      <c r="G126" s="1499">
        <v>2.0500331039400841</v>
      </c>
      <c r="H126" s="1499">
        <v>1.8603541094405993</v>
      </c>
      <c r="I126" s="1499">
        <v>2.5248870871721318</v>
      </c>
      <c r="J126" s="1499">
        <v>2.4050967275733717</v>
      </c>
      <c r="K126" s="113">
        <v>1.8054224904160288</v>
      </c>
    </row>
    <row r="127" spans="2:11" x14ac:dyDescent="0.3">
      <c r="B127" s="115"/>
      <c r="C127" s="112" t="s">
        <v>1504</v>
      </c>
      <c r="D127" s="1499">
        <v>3.2301065590136724</v>
      </c>
      <c r="E127" s="1499">
        <v>3.1302068231232272</v>
      </c>
      <c r="F127" s="1499">
        <v>2.5479299652331293</v>
      </c>
      <c r="G127" s="1499">
        <v>2.5376724592542574</v>
      </c>
      <c r="H127" s="1499">
        <v>2.3485264330918882</v>
      </c>
      <c r="I127" s="1499">
        <v>3.0124135381188655</v>
      </c>
      <c r="J127" s="1499">
        <v>2.8927815934930372</v>
      </c>
      <c r="K127" s="113">
        <v>2.2935812432781821</v>
      </c>
    </row>
    <row r="128" spans="2:11" x14ac:dyDescent="0.3">
      <c r="B128" s="115"/>
      <c r="C128" s="112" t="s">
        <v>1508</v>
      </c>
      <c r="D128" s="1499">
        <v>3.0478366201884262</v>
      </c>
      <c r="E128" s="1499">
        <v>2.9479368842979805</v>
      </c>
      <c r="F128" s="1499">
        <v>2.3656600264078831</v>
      </c>
      <c r="G128" s="1499">
        <v>2.3554025204290112</v>
      </c>
      <c r="H128" s="1499">
        <v>2.1662564942666416</v>
      </c>
      <c r="I128" s="1499">
        <v>2.8301435992936188</v>
      </c>
      <c r="J128" s="1499">
        <v>2.710511654667791</v>
      </c>
      <c r="K128" s="113">
        <v>2.1113113044529355</v>
      </c>
    </row>
    <row r="129" spans="2:11" x14ac:dyDescent="0.3">
      <c r="B129" s="115"/>
      <c r="C129" s="112" t="s">
        <v>1513</v>
      </c>
      <c r="D129" s="1499">
        <v>2.7744317119505562</v>
      </c>
      <c r="E129" s="1499">
        <v>2.6745319760601105</v>
      </c>
      <c r="F129" s="1499">
        <v>2.0922551181700135</v>
      </c>
      <c r="G129" s="1499">
        <v>2.0819976121911412</v>
      </c>
      <c r="H129" s="1499">
        <v>1.8928515860287718</v>
      </c>
      <c r="I129" s="1499">
        <v>2.5567386910557488</v>
      </c>
      <c r="J129" s="1499">
        <v>2.4371067464299205</v>
      </c>
      <c r="K129" s="113">
        <v>1.8379063962150655</v>
      </c>
    </row>
    <row r="130" spans="2:11" x14ac:dyDescent="0.3">
      <c r="B130" s="115"/>
      <c r="C130" s="112" t="s">
        <v>1517</v>
      </c>
      <c r="D130" s="1499">
        <v>2.5010268037126866</v>
      </c>
      <c r="E130" s="1499">
        <v>2.4011270678222409</v>
      </c>
      <c r="F130" s="1499">
        <v>1.8188502099321435</v>
      </c>
      <c r="G130" s="1499">
        <v>1.8085927039532714</v>
      </c>
      <c r="H130" s="1499">
        <v>1.619446677790902</v>
      </c>
      <c r="I130" s="1499">
        <v>2.2833337828178792</v>
      </c>
      <c r="J130" s="1499">
        <v>2.163701838192051</v>
      </c>
      <c r="K130" s="113">
        <v>1.5645014879771957</v>
      </c>
    </row>
    <row r="131" spans="2:11" ht="14.5" thickBot="1" x14ac:dyDescent="0.35">
      <c r="B131" s="1233"/>
      <c r="C131" s="116" t="s">
        <v>1519</v>
      </c>
      <c r="D131" s="117">
        <v>3.5998525629282963</v>
      </c>
      <c r="E131" s="117">
        <v>3.5013402007184151</v>
      </c>
      <c r="F131" s="117">
        <v>2.9181976264961822</v>
      </c>
      <c r="G131" s="117">
        <v>2.9085826340688534</v>
      </c>
      <c r="H131" s="117">
        <v>2.7189036395693686</v>
      </c>
      <c r="I131" s="117">
        <v>3.3834366173009012</v>
      </c>
      <c r="J131" s="117">
        <v>3.263646257702141</v>
      </c>
      <c r="K131" s="118">
        <v>2.6639720205447981</v>
      </c>
    </row>
    <row r="132" spans="2:11" x14ac:dyDescent="0.3">
      <c r="B132" s="120" t="s">
        <v>1990</v>
      </c>
      <c r="C132" s="108" t="s">
        <v>1416</v>
      </c>
      <c r="D132" s="109">
        <v>1.7100559665402479</v>
      </c>
      <c r="E132" s="109">
        <v>1.5956945441231294</v>
      </c>
      <c r="F132" s="109">
        <v>1.0247034528038619</v>
      </c>
      <c r="G132" s="109">
        <v>1.0084239231430403</v>
      </c>
      <c r="H132" s="109">
        <v>0.82487954654431395</v>
      </c>
      <c r="I132" s="109">
        <v>1.4779183487748497</v>
      </c>
      <c r="J132" s="109">
        <v>1.3592625403891123</v>
      </c>
      <c r="K132" s="110">
        <v>0.76812660295482771</v>
      </c>
    </row>
    <row r="133" spans="2:11" x14ac:dyDescent="0.3">
      <c r="B133" s="111"/>
      <c r="C133" s="112" t="s">
        <v>1483</v>
      </c>
      <c r="D133" s="1499">
        <v>3.5998525629282963</v>
      </c>
      <c r="E133" s="1499">
        <v>3.5013402007184151</v>
      </c>
      <c r="F133" s="1499">
        <v>2.9181976264961822</v>
      </c>
      <c r="G133" s="1499">
        <v>2.9085826340688534</v>
      </c>
      <c r="H133" s="1499">
        <v>2.7189036395693686</v>
      </c>
      <c r="I133" s="1499">
        <v>3.3834366173009012</v>
      </c>
      <c r="J133" s="1499">
        <v>3.263646257702141</v>
      </c>
      <c r="K133" s="113">
        <v>2.6639720205447981</v>
      </c>
    </row>
    <row r="134" spans="2:11" x14ac:dyDescent="0.3">
      <c r="B134" s="111" t="s">
        <v>1986</v>
      </c>
      <c r="C134" s="112" t="s">
        <v>1489</v>
      </c>
      <c r="D134" s="1499">
        <v>3.3852151803961039</v>
      </c>
      <c r="E134" s="1499">
        <v>3.2867028181862232</v>
      </c>
      <c r="F134" s="1499">
        <v>2.7035602439639899</v>
      </c>
      <c r="G134" s="1499">
        <v>2.6939452515366611</v>
      </c>
      <c r="H134" s="1499">
        <v>2.5042662570371768</v>
      </c>
      <c r="I134" s="1499">
        <v>3.1687992347687088</v>
      </c>
      <c r="J134" s="1499">
        <v>3.0490088751699487</v>
      </c>
      <c r="K134" s="113">
        <v>2.4493346380126062</v>
      </c>
    </row>
    <row r="135" spans="2:11" x14ac:dyDescent="0.3">
      <c r="B135" s="114">
        <v>0</v>
      </c>
      <c r="C135" s="112" t="s">
        <v>1496</v>
      </c>
      <c r="D135" s="1499">
        <v>3.0632591065978154</v>
      </c>
      <c r="E135" s="1499">
        <v>2.9647467443879343</v>
      </c>
      <c r="F135" s="1499">
        <v>2.3816041701657014</v>
      </c>
      <c r="G135" s="1499">
        <v>2.3719891777383726</v>
      </c>
      <c r="H135" s="1499">
        <v>2.1823101832388878</v>
      </c>
      <c r="I135" s="1499">
        <v>2.8468431609704203</v>
      </c>
      <c r="J135" s="1499">
        <v>2.7270528013716602</v>
      </c>
      <c r="K135" s="113">
        <v>2.1273785642143173</v>
      </c>
    </row>
    <row r="136" spans="2:11" x14ac:dyDescent="0.3">
      <c r="B136" s="115"/>
      <c r="C136" s="112" t="s">
        <v>1500</v>
      </c>
      <c r="D136" s="1499">
        <v>2.7413030327995265</v>
      </c>
      <c r="E136" s="1499">
        <v>2.6427906705896458</v>
      </c>
      <c r="F136" s="1499">
        <v>2.0596480963674129</v>
      </c>
      <c r="G136" s="1499">
        <v>2.0500331039400841</v>
      </c>
      <c r="H136" s="1499">
        <v>1.8603541094405993</v>
      </c>
      <c r="I136" s="1499">
        <v>2.5248870871721318</v>
      </c>
      <c r="J136" s="1499">
        <v>2.4050967275733717</v>
      </c>
      <c r="K136" s="113">
        <v>1.8054224904160288</v>
      </c>
    </row>
    <row r="137" spans="2:11" x14ac:dyDescent="0.3">
      <c r="B137" s="115"/>
      <c r="C137" s="112" t="s">
        <v>1504</v>
      </c>
      <c r="D137" s="1499">
        <v>3.2301065590136724</v>
      </c>
      <c r="E137" s="1499">
        <v>3.1302068231232272</v>
      </c>
      <c r="F137" s="1499">
        <v>2.5479299652331293</v>
      </c>
      <c r="G137" s="1499">
        <v>2.5376724592542574</v>
      </c>
      <c r="H137" s="1499">
        <v>2.3485264330918882</v>
      </c>
      <c r="I137" s="1499">
        <v>3.0124135381188655</v>
      </c>
      <c r="J137" s="1499">
        <v>2.8927815934930372</v>
      </c>
      <c r="K137" s="113">
        <v>2.2935812432781821</v>
      </c>
    </row>
    <row r="138" spans="2:11" x14ac:dyDescent="0.3">
      <c r="B138" s="115"/>
      <c r="C138" s="112" t="s">
        <v>1508</v>
      </c>
      <c r="D138" s="1499">
        <v>3.0478366201884262</v>
      </c>
      <c r="E138" s="1499">
        <v>2.9479368842979805</v>
      </c>
      <c r="F138" s="1499">
        <v>2.3656600264078831</v>
      </c>
      <c r="G138" s="1499">
        <v>2.3554025204290112</v>
      </c>
      <c r="H138" s="1499">
        <v>2.1662564942666416</v>
      </c>
      <c r="I138" s="1499">
        <v>2.8301435992936188</v>
      </c>
      <c r="J138" s="1499">
        <v>2.710511654667791</v>
      </c>
      <c r="K138" s="113">
        <v>2.1113113044529355</v>
      </c>
    </row>
    <row r="139" spans="2:11" x14ac:dyDescent="0.3">
      <c r="B139" s="115"/>
      <c r="C139" s="112" t="s">
        <v>1513</v>
      </c>
      <c r="D139" s="1499">
        <v>2.7744317119505562</v>
      </c>
      <c r="E139" s="1499">
        <v>2.6745319760601105</v>
      </c>
      <c r="F139" s="1499">
        <v>2.0922551181700135</v>
      </c>
      <c r="G139" s="1499">
        <v>2.0819976121911412</v>
      </c>
      <c r="H139" s="1499">
        <v>1.8928515860287718</v>
      </c>
      <c r="I139" s="1499">
        <v>2.5567386910557488</v>
      </c>
      <c r="J139" s="1499">
        <v>2.4371067464299205</v>
      </c>
      <c r="K139" s="113">
        <v>1.8379063962150655</v>
      </c>
    </row>
    <row r="140" spans="2:11" x14ac:dyDescent="0.3">
      <c r="B140" s="115"/>
      <c r="C140" s="112" t="s">
        <v>1517</v>
      </c>
      <c r="D140" s="1499">
        <v>2.5010268037126866</v>
      </c>
      <c r="E140" s="1499">
        <v>2.4011270678222409</v>
      </c>
      <c r="F140" s="1499">
        <v>1.8188502099321435</v>
      </c>
      <c r="G140" s="1499">
        <v>1.8085927039532714</v>
      </c>
      <c r="H140" s="1499">
        <v>1.619446677790902</v>
      </c>
      <c r="I140" s="1499">
        <v>2.2833337828178792</v>
      </c>
      <c r="J140" s="1499">
        <v>2.163701838192051</v>
      </c>
      <c r="K140" s="113">
        <v>1.5645014879771957</v>
      </c>
    </row>
    <row r="141" spans="2:11" ht="14.5" thickBot="1" x14ac:dyDescent="0.35">
      <c r="B141" s="1233"/>
      <c r="C141" s="116" t="s">
        <v>1519</v>
      </c>
      <c r="D141" s="117">
        <v>3.5998525629282963</v>
      </c>
      <c r="E141" s="117">
        <v>3.5013402007184151</v>
      </c>
      <c r="F141" s="117">
        <v>2.9181976264961822</v>
      </c>
      <c r="G141" s="117">
        <v>2.9085826340688534</v>
      </c>
      <c r="H141" s="117">
        <v>2.7189036395693686</v>
      </c>
      <c r="I141" s="117">
        <v>3.3834366173009012</v>
      </c>
      <c r="J141" s="117">
        <v>3.263646257702141</v>
      </c>
      <c r="K141" s="118">
        <v>2.6639720205447981</v>
      </c>
    </row>
    <row r="142" spans="2:11" x14ac:dyDescent="0.3">
      <c r="B142" s="120" t="s">
        <v>1990</v>
      </c>
      <c r="C142" s="108" t="s">
        <v>1416</v>
      </c>
      <c r="D142" s="109">
        <v>1.7100559665402479</v>
      </c>
      <c r="E142" s="109">
        <v>1.5956945441231294</v>
      </c>
      <c r="F142" s="109">
        <v>1.0247034528038619</v>
      </c>
      <c r="G142" s="109">
        <v>1.0084239231430403</v>
      </c>
      <c r="H142" s="109">
        <v>0.82487954654431395</v>
      </c>
      <c r="I142" s="109">
        <v>1.4779183487748497</v>
      </c>
      <c r="J142" s="109">
        <v>1.3592625403891123</v>
      </c>
      <c r="K142" s="110">
        <v>0.76812660295482771</v>
      </c>
    </row>
    <row r="143" spans="2:11" x14ac:dyDescent="0.3">
      <c r="B143" s="111"/>
      <c r="C143" s="112" t="s">
        <v>1483</v>
      </c>
      <c r="D143" s="1499">
        <v>3.5998525629282963</v>
      </c>
      <c r="E143" s="1499">
        <v>3.5013402007184151</v>
      </c>
      <c r="F143" s="1499">
        <v>2.9181976264961822</v>
      </c>
      <c r="G143" s="1499">
        <v>2.9085826340688534</v>
      </c>
      <c r="H143" s="1499">
        <v>2.7189036395693686</v>
      </c>
      <c r="I143" s="1499">
        <v>3.3834366173009012</v>
      </c>
      <c r="J143" s="1499">
        <v>3.263646257702141</v>
      </c>
      <c r="K143" s="113">
        <v>2.6639720205447981</v>
      </c>
    </row>
    <row r="144" spans="2:11" x14ac:dyDescent="0.3">
      <c r="B144" s="111" t="s">
        <v>1987</v>
      </c>
      <c r="C144" s="112" t="s">
        <v>1489</v>
      </c>
      <c r="D144" s="1499">
        <v>3.3852151803961039</v>
      </c>
      <c r="E144" s="1499">
        <v>3.2867028181862232</v>
      </c>
      <c r="F144" s="1499">
        <v>2.7035602439639899</v>
      </c>
      <c r="G144" s="1499">
        <v>2.6939452515366611</v>
      </c>
      <c r="H144" s="1499">
        <v>2.5042662570371768</v>
      </c>
      <c r="I144" s="1499">
        <v>3.1687992347687088</v>
      </c>
      <c r="J144" s="1499">
        <v>3.0490088751699487</v>
      </c>
      <c r="K144" s="113">
        <v>2.4493346380126062</v>
      </c>
    </row>
    <row r="145" spans="2:11" x14ac:dyDescent="0.3">
      <c r="B145" s="114">
        <v>0</v>
      </c>
      <c r="C145" s="112" t="s">
        <v>1496</v>
      </c>
      <c r="D145" s="1499">
        <v>3.0632591065978154</v>
      </c>
      <c r="E145" s="1499">
        <v>2.9647467443879343</v>
      </c>
      <c r="F145" s="1499">
        <v>2.3816041701657014</v>
      </c>
      <c r="G145" s="1499">
        <v>2.3719891777383726</v>
      </c>
      <c r="H145" s="1499">
        <v>2.1823101832388878</v>
      </c>
      <c r="I145" s="1499">
        <v>2.8468431609704203</v>
      </c>
      <c r="J145" s="1499">
        <v>2.7270528013716602</v>
      </c>
      <c r="K145" s="113">
        <v>2.1273785642143173</v>
      </c>
    </row>
    <row r="146" spans="2:11" x14ac:dyDescent="0.3">
      <c r="B146" s="115"/>
      <c r="C146" s="112" t="s">
        <v>1500</v>
      </c>
      <c r="D146" s="1499">
        <v>2.7413030327995265</v>
      </c>
      <c r="E146" s="1499">
        <v>2.6427906705896458</v>
      </c>
      <c r="F146" s="1499">
        <v>2.0596480963674129</v>
      </c>
      <c r="G146" s="1499">
        <v>2.0500331039400841</v>
      </c>
      <c r="H146" s="1499">
        <v>1.8603541094405993</v>
      </c>
      <c r="I146" s="1499">
        <v>2.5248870871721318</v>
      </c>
      <c r="J146" s="1499">
        <v>2.4050967275733717</v>
      </c>
      <c r="K146" s="113">
        <v>1.8054224904160288</v>
      </c>
    </row>
    <row r="147" spans="2:11" x14ac:dyDescent="0.3">
      <c r="B147" s="115"/>
      <c r="C147" s="112" t="s">
        <v>1504</v>
      </c>
      <c r="D147" s="1499">
        <v>3.2301065590136724</v>
      </c>
      <c r="E147" s="1499">
        <v>3.1302068231232272</v>
      </c>
      <c r="F147" s="1499">
        <v>2.5479299652331293</v>
      </c>
      <c r="G147" s="1499">
        <v>2.5376724592542574</v>
      </c>
      <c r="H147" s="1499">
        <v>2.3485264330918882</v>
      </c>
      <c r="I147" s="1499">
        <v>3.0124135381188655</v>
      </c>
      <c r="J147" s="1499">
        <v>2.8927815934930372</v>
      </c>
      <c r="K147" s="113">
        <v>2.2935812432781821</v>
      </c>
    </row>
    <row r="148" spans="2:11" x14ac:dyDescent="0.3">
      <c r="B148" s="115"/>
      <c r="C148" s="112" t="s">
        <v>1508</v>
      </c>
      <c r="D148" s="1499">
        <v>3.0478366201884262</v>
      </c>
      <c r="E148" s="1499">
        <v>2.9479368842979805</v>
      </c>
      <c r="F148" s="1499">
        <v>2.3656600264078831</v>
      </c>
      <c r="G148" s="1499">
        <v>2.3554025204290112</v>
      </c>
      <c r="H148" s="1499">
        <v>2.1662564942666416</v>
      </c>
      <c r="I148" s="1499">
        <v>2.8301435992936188</v>
      </c>
      <c r="J148" s="1499">
        <v>2.710511654667791</v>
      </c>
      <c r="K148" s="113">
        <v>2.1113113044529355</v>
      </c>
    </row>
    <row r="149" spans="2:11" x14ac:dyDescent="0.3">
      <c r="B149" s="115"/>
      <c r="C149" s="112" t="s">
        <v>1513</v>
      </c>
      <c r="D149" s="1499">
        <v>2.7744317119505562</v>
      </c>
      <c r="E149" s="1499">
        <v>2.6745319760601105</v>
      </c>
      <c r="F149" s="1499">
        <v>2.0922551181700135</v>
      </c>
      <c r="G149" s="1499">
        <v>2.0819976121911412</v>
      </c>
      <c r="H149" s="1499">
        <v>1.8928515860287718</v>
      </c>
      <c r="I149" s="1499">
        <v>2.5567386910557488</v>
      </c>
      <c r="J149" s="1499">
        <v>2.4371067464299205</v>
      </c>
      <c r="K149" s="113">
        <v>1.8379063962150655</v>
      </c>
    </row>
    <row r="150" spans="2:11" x14ac:dyDescent="0.3">
      <c r="B150" s="115"/>
      <c r="C150" s="112" t="s">
        <v>1517</v>
      </c>
      <c r="D150" s="1499">
        <v>2.5010268037126866</v>
      </c>
      <c r="E150" s="1499">
        <v>2.4011270678222409</v>
      </c>
      <c r="F150" s="1499">
        <v>1.8188502099321435</v>
      </c>
      <c r="G150" s="1499">
        <v>1.8085927039532714</v>
      </c>
      <c r="H150" s="1499">
        <v>1.619446677790902</v>
      </c>
      <c r="I150" s="1499">
        <v>2.2833337828178792</v>
      </c>
      <c r="J150" s="1499">
        <v>2.163701838192051</v>
      </c>
      <c r="K150" s="113">
        <v>1.5645014879771957</v>
      </c>
    </row>
    <row r="151" spans="2:11" ht="14.5" thickBot="1" x14ac:dyDescent="0.35">
      <c r="B151" s="1233"/>
      <c r="C151" s="116" t="s">
        <v>1519</v>
      </c>
      <c r="D151" s="117">
        <v>3.5998525629282963</v>
      </c>
      <c r="E151" s="117">
        <v>3.5013402007184151</v>
      </c>
      <c r="F151" s="117">
        <v>2.9181976264961822</v>
      </c>
      <c r="G151" s="117">
        <v>2.9085826340688534</v>
      </c>
      <c r="H151" s="117">
        <v>2.7189036395693686</v>
      </c>
      <c r="I151" s="117">
        <v>3.3834366173009012</v>
      </c>
      <c r="J151" s="117">
        <v>3.263646257702141</v>
      </c>
      <c r="K151" s="118">
        <v>2.6639720205447981</v>
      </c>
    </row>
    <row r="152" spans="2:11" x14ac:dyDescent="0.3">
      <c r="B152" s="120" t="s">
        <v>1990</v>
      </c>
      <c r="C152" s="108" t="s">
        <v>1416</v>
      </c>
      <c r="D152" s="109">
        <v>1.7100559665402479</v>
      </c>
      <c r="E152" s="109">
        <v>1.5956945441231294</v>
      </c>
      <c r="F152" s="109">
        <v>1.0247034528038619</v>
      </c>
      <c r="G152" s="109">
        <v>1.0084239231430403</v>
      </c>
      <c r="H152" s="109">
        <v>0.82487954654431395</v>
      </c>
      <c r="I152" s="109">
        <v>1.4779183487748497</v>
      </c>
      <c r="J152" s="109">
        <v>1.3592625403891123</v>
      </c>
      <c r="K152" s="110">
        <v>0.76812660295482771</v>
      </c>
    </row>
    <row r="153" spans="2:11" x14ac:dyDescent="0.3">
      <c r="B153" s="111"/>
      <c r="C153" s="112" t="s">
        <v>1483</v>
      </c>
      <c r="D153" s="1499">
        <v>3.5998525629282963</v>
      </c>
      <c r="E153" s="1499">
        <v>3.5013402007184151</v>
      </c>
      <c r="F153" s="1499">
        <v>2.9181976264961822</v>
      </c>
      <c r="G153" s="1499">
        <v>2.9085826340688534</v>
      </c>
      <c r="H153" s="1499">
        <v>2.7189036395693686</v>
      </c>
      <c r="I153" s="1499">
        <v>3.3834366173009012</v>
      </c>
      <c r="J153" s="1499">
        <v>3.263646257702141</v>
      </c>
      <c r="K153" s="113">
        <v>2.6639720205447981</v>
      </c>
    </row>
    <row r="154" spans="2:11" x14ac:dyDescent="0.3">
      <c r="B154" s="111" t="s">
        <v>1988</v>
      </c>
      <c r="C154" s="112" t="s">
        <v>1489</v>
      </c>
      <c r="D154" s="1499">
        <v>3.3852151803961039</v>
      </c>
      <c r="E154" s="1499">
        <v>3.2867028181862232</v>
      </c>
      <c r="F154" s="1499">
        <v>2.7035602439639899</v>
      </c>
      <c r="G154" s="1499">
        <v>2.6939452515366611</v>
      </c>
      <c r="H154" s="1499">
        <v>2.5042662570371768</v>
      </c>
      <c r="I154" s="1499">
        <v>3.1687992347687088</v>
      </c>
      <c r="J154" s="1499">
        <v>3.0490088751699487</v>
      </c>
      <c r="K154" s="113">
        <v>2.4493346380126062</v>
      </c>
    </row>
    <row r="155" spans="2:11" x14ac:dyDescent="0.3">
      <c r="B155" s="114">
        <v>0</v>
      </c>
      <c r="C155" s="112" t="s">
        <v>1496</v>
      </c>
      <c r="D155" s="1499">
        <v>3.0632591065978154</v>
      </c>
      <c r="E155" s="1499">
        <v>2.9647467443879343</v>
      </c>
      <c r="F155" s="1499">
        <v>2.3816041701657014</v>
      </c>
      <c r="G155" s="1499">
        <v>2.3719891777383726</v>
      </c>
      <c r="H155" s="1499">
        <v>2.1823101832388878</v>
      </c>
      <c r="I155" s="1499">
        <v>2.8468431609704203</v>
      </c>
      <c r="J155" s="1499">
        <v>2.7270528013716602</v>
      </c>
      <c r="K155" s="113">
        <v>2.1273785642143173</v>
      </c>
    </row>
    <row r="156" spans="2:11" x14ac:dyDescent="0.3">
      <c r="B156" s="115"/>
      <c r="C156" s="112" t="s">
        <v>1500</v>
      </c>
      <c r="D156" s="1499">
        <v>2.7413030327995265</v>
      </c>
      <c r="E156" s="1499">
        <v>2.6427906705896458</v>
      </c>
      <c r="F156" s="1499">
        <v>2.0596480963674129</v>
      </c>
      <c r="G156" s="1499">
        <v>2.0500331039400841</v>
      </c>
      <c r="H156" s="1499">
        <v>1.8603541094405993</v>
      </c>
      <c r="I156" s="1499">
        <v>2.5248870871721318</v>
      </c>
      <c r="J156" s="1499">
        <v>2.4050967275733717</v>
      </c>
      <c r="K156" s="113">
        <v>1.8054224904160288</v>
      </c>
    </row>
    <row r="157" spans="2:11" x14ac:dyDescent="0.3">
      <c r="B157" s="115"/>
      <c r="C157" s="112" t="s">
        <v>1504</v>
      </c>
      <c r="D157" s="1499">
        <v>3.2301065590136724</v>
      </c>
      <c r="E157" s="1499">
        <v>3.1302068231232272</v>
      </c>
      <c r="F157" s="1499">
        <v>2.5479299652331293</v>
      </c>
      <c r="G157" s="1499">
        <v>2.5376724592542574</v>
      </c>
      <c r="H157" s="1499">
        <v>2.3485264330918882</v>
      </c>
      <c r="I157" s="1499">
        <v>3.0124135381188655</v>
      </c>
      <c r="J157" s="1499">
        <v>2.8927815934930372</v>
      </c>
      <c r="K157" s="113">
        <v>2.2935812432781821</v>
      </c>
    </row>
    <row r="158" spans="2:11" x14ac:dyDescent="0.3">
      <c r="B158" s="115"/>
      <c r="C158" s="112" t="s">
        <v>1508</v>
      </c>
      <c r="D158" s="1499">
        <v>3.0478366201884262</v>
      </c>
      <c r="E158" s="1499">
        <v>2.9479368842979805</v>
      </c>
      <c r="F158" s="1499">
        <v>2.3656600264078831</v>
      </c>
      <c r="G158" s="1499">
        <v>2.3554025204290112</v>
      </c>
      <c r="H158" s="1499">
        <v>2.1662564942666416</v>
      </c>
      <c r="I158" s="1499">
        <v>2.8301435992936188</v>
      </c>
      <c r="J158" s="1499">
        <v>2.710511654667791</v>
      </c>
      <c r="K158" s="113">
        <v>2.1113113044529355</v>
      </c>
    </row>
    <row r="159" spans="2:11" x14ac:dyDescent="0.3">
      <c r="B159" s="115"/>
      <c r="C159" s="112" t="s">
        <v>1513</v>
      </c>
      <c r="D159" s="1499">
        <v>2.7744317119505562</v>
      </c>
      <c r="E159" s="1499">
        <v>2.6745319760601105</v>
      </c>
      <c r="F159" s="1499">
        <v>2.0922551181700135</v>
      </c>
      <c r="G159" s="1499">
        <v>2.0819976121911412</v>
      </c>
      <c r="H159" s="1499">
        <v>1.8928515860287718</v>
      </c>
      <c r="I159" s="1499">
        <v>2.5567386910557488</v>
      </c>
      <c r="J159" s="1499">
        <v>2.4371067464299205</v>
      </c>
      <c r="K159" s="113">
        <v>1.8379063962150655</v>
      </c>
    </row>
    <row r="160" spans="2:11" x14ac:dyDescent="0.3">
      <c r="B160" s="115"/>
      <c r="C160" s="112" t="s">
        <v>1517</v>
      </c>
      <c r="D160" s="1499">
        <v>2.5010268037126866</v>
      </c>
      <c r="E160" s="1499">
        <v>2.4011270678222409</v>
      </c>
      <c r="F160" s="1499">
        <v>1.8188502099321435</v>
      </c>
      <c r="G160" s="1499">
        <v>1.8085927039532714</v>
      </c>
      <c r="H160" s="1499">
        <v>1.619446677790902</v>
      </c>
      <c r="I160" s="1499">
        <v>2.2833337828178792</v>
      </c>
      <c r="J160" s="1499">
        <v>2.163701838192051</v>
      </c>
      <c r="K160" s="113">
        <v>1.5645014879771957</v>
      </c>
    </row>
    <row r="161" spans="2:11" ht="14.5" thickBot="1" x14ac:dyDescent="0.35">
      <c r="B161" s="1233"/>
      <c r="C161" s="116" t="s">
        <v>1519</v>
      </c>
      <c r="D161" s="117">
        <v>3.5998525629282963</v>
      </c>
      <c r="E161" s="117">
        <v>3.5013402007184151</v>
      </c>
      <c r="F161" s="117">
        <v>2.9181976264961822</v>
      </c>
      <c r="G161" s="117">
        <v>2.9085826340688534</v>
      </c>
      <c r="H161" s="117">
        <v>2.7189036395693686</v>
      </c>
      <c r="I161" s="117">
        <v>3.3834366173009012</v>
      </c>
      <c r="J161" s="117">
        <v>3.263646257702141</v>
      </c>
      <c r="K161" s="118">
        <v>2.6639720205447981</v>
      </c>
    </row>
    <row r="162" spans="2:11" x14ac:dyDescent="0.3">
      <c r="B162" s="120" t="s">
        <v>1990</v>
      </c>
      <c r="C162" s="108" t="s">
        <v>1416</v>
      </c>
      <c r="D162" s="109">
        <v>1.7100559665402479</v>
      </c>
      <c r="E162" s="109">
        <v>1.5956945441231294</v>
      </c>
      <c r="F162" s="109">
        <v>1.0247034528038619</v>
      </c>
      <c r="G162" s="109">
        <v>1.0084239231430403</v>
      </c>
      <c r="H162" s="109">
        <v>0.82487954654431395</v>
      </c>
      <c r="I162" s="109">
        <v>1.4779183487748497</v>
      </c>
      <c r="J162" s="109">
        <v>1.3592625403891123</v>
      </c>
      <c r="K162" s="110">
        <v>0.76812660295482771</v>
      </c>
    </row>
    <row r="163" spans="2:11" x14ac:dyDescent="0.3">
      <c r="B163" s="111"/>
      <c r="C163" s="112" t="s">
        <v>1483</v>
      </c>
      <c r="D163" s="1499">
        <v>3.5998525629282963</v>
      </c>
      <c r="E163" s="1499">
        <v>3.5013402007184151</v>
      </c>
      <c r="F163" s="1499">
        <v>2.9181976264961822</v>
      </c>
      <c r="G163" s="1499">
        <v>2.9085826340688534</v>
      </c>
      <c r="H163" s="1499">
        <v>2.7189036395693686</v>
      </c>
      <c r="I163" s="1499">
        <v>3.3834366173009012</v>
      </c>
      <c r="J163" s="1499">
        <v>3.263646257702141</v>
      </c>
      <c r="K163" s="113">
        <v>2.6639720205447981</v>
      </c>
    </row>
    <row r="164" spans="2:11" x14ac:dyDescent="0.3">
      <c r="B164" s="111" t="s">
        <v>1989</v>
      </c>
      <c r="C164" s="112" t="s">
        <v>1489</v>
      </c>
      <c r="D164" s="1499">
        <v>3.3852151803961039</v>
      </c>
      <c r="E164" s="1499">
        <v>3.2867028181862232</v>
      </c>
      <c r="F164" s="1499">
        <v>2.7035602439639899</v>
      </c>
      <c r="G164" s="1499">
        <v>2.6939452515366611</v>
      </c>
      <c r="H164" s="1499">
        <v>2.5042662570371768</v>
      </c>
      <c r="I164" s="1499">
        <v>3.1687992347687088</v>
      </c>
      <c r="J164" s="1499">
        <v>3.0490088751699487</v>
      </c>
      <c r="K164" s="113">
        <v>2.4493346380126062</v>
      </c>
    </row>
    <row r="165" spans="2:11" x14ac:dyDescent="0.3">
      <c r="B165" s="114">
        <v>0</v>
      </c>
      <c r="C165" s="112" t="s">
        <v>1496</v>
      </c>
      <c r="D165" s="1499">
        <v>3.0632591065978154</v>
      </c>
      <c r="E165" s="1499">
        <v>2.9647467443879343</v>
      </c>
      <c r="F165" s="1499">
        <v>2.3816041701657014</v>
      </c>
      <c r="G165" s="1499">
        <v>2.3719891777383726</v>
      </c>
      <c r="H165" s="1499">
        <v>2.1823101832388878</v>
      </c>
      <c r="I165" s="1499">
        <v>2.8468431609704203</v>
      </c>
      <c r="J165" s="1499">
        <v>2.7270528013716602</v>
      </c>
      <c r="K165" s="113">
        <v>2.1273785642143173</v>
      </c>
    </row>
    <row r="166" spans="2:11" x14ac:dyDescent="0.3">
      <c r="B166" s="115"/>
      <c r="C166" s="112" t="s">
        <v>1500</v>
      </c>
      <c r="D166" s="1499">
        <v>2.7413030327995265</v>
      </c>
      <c r="E166" s="1499">
        <v>2.6427906705896458</v>
      </c>
      <c r="F166" s="1499">
        <v>2.0596480963674129</v>
      </c>
      <c r="G166" s="1499">
        <v>2.0500331039400841</v>
      </c>
      <c r="H166" s="1499">
        <v>1.8603541094405993</v>
      </c>
      <c r="I166" s="1499">
        <v>2.5248870871721318</v>
      </c>
      <c r="J166" s="1499">
        <v>2.4050967275733717</v>
      </c>
      <c r="K166" s="113">
        <v>1.8054224904160288</v>
      </c>
    </row>
    <row r="167" spans="2:11" x14ac:dyDescent="0.3">
      <c r="B167" s="115"/>
      <c r="C167" s="112" t="s">
        <v>1504</v>
      </c>
      <c r="D167" s="1499">
        <v>3.2301065590136724</v>
      </c>
      <c r="E167" s="1499">
        <v>3.1302068231232272</v>
      </c>
      <c r="F167" s="1499">
        <v>2.5479299652331293</v>
      </c>
      <c r="G167" s="1499">
        <v>2.5376724592542574</v>
      </c>
      <c r="H167" s="1499">
        <v>2.3485264330918882</v>
      </c>
      <c r="I167" s="1499">
        <v>3.0124135381188655</v>
      </c>
      <c r="J167" s="1499">
        <v>2.8927815934930372</v>
      </c>
      <c r="K167" s="113">
        <v>2.2935812432781821</v>
      </c>
    </row>
    <row r="168" spans="2:11" x14ac:dyDescent="0.3">
      <c r="B168" s="115"/>
      <c r="C168" s="112" t="s">
        <v>1508</v>
      </c>
      <c r="D168" s="1499">
        <v>3.0478366201884262</v>
      </c>
      <c r="E168" s="1499">
        <v>2.9479368842979805</v>
      </c>
      <c r="F168" s="1499">
        <v>2.3656600264078831</v>
      </c>
      <c r="G168" s="1499">
        <v>2.3554025204290112</v>
      </c>
      <c r="H168" s="1499">
        <v>2.1662564942666416</v>
      </c>
      <c r="I168" s="1499">
        <v>2.8301435992936188</v>
      </c>
      <c r="J168" s="1499">
        <v>2.710511654667791</v>
      </c>
      <c r="K168" s="113">
        <v>2.1113113044529355</v>
      </c>
    </row>
    <row r="169" spans="2:11" x14ac:dyDescent="0.3">
      <c r="B169" s="115"/>
      <c r="C169" s="112" t="s">
        <v>1513</v>
      </c>
      <c r="D169" s="1499">
        <v>2.7744317119505562</v>
      </c>
      <c r="E169" s="1499">
        <v>2.6745319760601105</v>
      </c>
      <c r="F169" s="1499">
        <v>2.0922551181700135</v>
      </c>
      <c r="G169" s="1499">
        <v>2.0819976121911412</v>
      </c>
      <c r="H169" s="1499">
        <v>1.8928515860287718</v>
      </c>
      <c r="I169" s="1499">
        <v>2.5567386910557488</v>
      </c>
      <c r="J169" s="1499">
        <v>2.4371067464299205</v>
      </c>
      <c r="K169" s="113">
        <v>1.8379063962150655</v>
      </c>
    </row>
    <row r="170" spans="2:11" x14ac:dyDescent="0.3">
      <c r="B170" s="115"/>
      <c r="C170" s="112" t="s">
        <v>1517</v>
      </c>
      <c r="D170" s="1499">
        <v>2.5010268037126866</v>
      </c>
      <c r="E170" s="1499">
        <v>2.4011270678222409</v>
      </c>
      <c r="F170" s="1499">
        <v>1.8188502099321435</v>
      </c>
      <c r="G170" s="1499">
        <v>1.8085927039532714</v>
      </c>
      <c r="H170" s="1499">
        <v>1.619446677790902</v>
      </c>
      <c r="I170" s="1499">
        <v>2.2833337828178792</v>
      </c>
      <c r="J170" s="1499">
        <v>2.163701838192051</v>
      </c>
      <c r="K170" s="113">
        <v>1.5645014879771957</v>
      </c>
    </row>
    <row r="171" spans="2:11" ht="14.5" thickBot="1" x14ac:dyDescent="0.35">
      <c r="B171" s="1233"/>
      <c r="C171" s="116" t="s">
        <v>1519</v>
      </c>
      <c r="D171" s="117">
        <v>3.5998525629282963</v>
      </c>
      <c r="E171" s="117">
        <v>3.5013402007184151</v>
      </c>
      <c r="F171" s="117">
        <v>2.9181976264961822</v>
      </c>
      <c r="G171" s="117">
        <v>2.9085826340688534</v>
      </c>
      <c r="H171" s="117">
        <v>2.7189036395693686</v>
      </c>
      <c r="I171" s="117">
        <v>3.3834366173009012</v>
      </c>
      <c r="J171" s="117">
        <v>3.263646257702141</v>
      </c>
      <c r="K171" s="118">
        <v>2.6639720205447981</v>
      </c>
    </row>
    <row r="173" spans="2:11" ht="14.5" thickBot="1" x14ac:dyDescent="0.35"/>
    <row r="174" spans="2:11" ht="25.5" thickBot="1" x14ac:dyDescent="0.55000000000000004">
      <c r="B174" s="88" t="s">
        <v>1960</v>
      </c>
      <c r="C174" s="89"/>
      <c r="D174" s="90">
        <v>1</v>
      </c>
      <c r="E174" s="91" t="s">
        <v>1991</v>
      </c>
      <c r="F174" s="92"/>
      <c r="G174" s="92"/>
      <c r="H174" s="92"/>
      <c r="I174" s="93"/>
      <c r="J174" s="89" t="s">
        <v>176</v>
      </c>
      <c r="K174" s="94" t="s">
        <v>223</v>
      </c>
    </row>
    <row r="175" spans="2:11" ht="14.5" thickBot="1" x14ac:dyDescent="0.35">
      <c r="B175" s="95" t="s">
        <v>1962</v>
      </c>
      <c r="C175" s="96" t="s">
        <v>1963</v>
      </c>
      <c r="D175" s="95" t="s">
        <v>1964</v>
      </c>
      <c r="E175" s="97" t="s">
        <v>1965</v>
      </c>
      <c r="F175" s="97" t="s">
        <v>1966</v>
      </c>
      <c r="G175" s="97" t="s">
        <v>1967</v>
      </c>
      <c r="H175" s="97" t="s">
        <v>1968</v>
      </c>
      <c r="I175" s="97" t="s">
        <v>1969</v>
      </c>
      <c r="J175" s="97" t="s">
        <v>1970</v>
      </c>
      <c r="K175" s="98" t="s">
        <v>1971</v>
      </c>
    </row>
    <row r="176" spans="2:11" ht="14.5" thickBot="1" x14ac:dyDescent="0.35">
      <c r="B176" s="99"/>
      <c r="C176" s="99"/>
      <c r="D176" s="100"/>
      <c r="E176" s="944"/>
      <c r="F176" s="944"/>
      <c r="G176" s="944"/>
      <c r="H176" s="944"/>
      <c r="I176" s="944"/>
      <c r="J176" s="944"/>
      <c r="K176" s="102"/>
    </row>
    <row r="177" spans="2:11" ht="88" thickBot="1" x14ac:dyDescent="0.45">
      <c r="B177" s="103" t="s">
        <v>1972</v>
      </c>
      <c r="C177" s="103" t="s">
        <v>1973</v>
      </c>
      <c r="D177" s="105" t="s">
        <v>1974</v>
      </c>
      <c r="E177" s="105" t="s">
        <v>1525</v>
      </c>
      <c r="F177" s="105" t="s">
        <v>1527</v>
      </c>
      <c r="G177" s="105" t="s">
        <v>1975</v>
      </c>
      <c r="H177" s="105" t="s">
        <v>1976</v>
      </c>
      <c r="I177" s="105" t="s">
        <v>1445</v>
      </c>
      <c r="J177" s="105" t="s">
        <v>1538</v>
      </c>
      <c r="K177" s="106" t="s">
        <v>1541</v>
      </c>
    </row>
    <row r="178" spans="2:11" x14ac:dyDescent="0.3">
      <c r="B178" s="120" t="s">
        <v>1992</v>
      </c>
      <c r="C178" s="108" t="s">
        <v>1416</v>
      </c>
      <c r="D178" s="109">
        <v>1.7100559665402479</v>
      </c>
      <c r="E178" s="109">
        <v>1.5956945441231294</v>
      </c>
      <c r="F178" s="109">
        <v>1.0247034528038619</v>
      </c>
      <c r="G178" s="109">
        <v>1.0084239231430403</v>
      </c>
      <c r="H178" s="109">
        <v>0.82487954654431395</v>
      </c>
      <c r="I178" s="109">
        <v>1.4779183487748497</v>
      </c>
      <c r="J178" s="109">
        <v>1.3592625403891123</v>
      </c>
      <c r="K178" s="110">
        <v>0.76812660295482771</v>
      </c>
    </row>
    <row r="179" spans="2:11" x14ac:dyDescent="0.3">
      <c r="B179" s="128"/>
      <c r="C179" s="112" t="s">
        <v>1483</v>
      </c>
      <c r="D179" s="1499">
        <v>4.1624299841635457</v>
      </c>
      <c r="E179" s="1499">
        <v>4.0663048526117036</v>
      </c>
      <c r="F179" s="1499">
        <v>3.4815349283610479</v>
      </c>
      <c r="G179" s="1499">
        <v>3.472965659312321</v>
      </c>
      <c r="H179" s="1499">
        <v>3.282479771961428</v>
      </c>
      <c r="I179" s="1499">
        <v>3.9483281719530705</v>
      </c>
      <c r="J179" s="1499">
        <v>3.8283837173815036</v>
      </c>
      <c r="K179" s="113">
        <v>3.2278977730486247</v>
      </c>
    </row>
    <row r="180" spans="2:11" x14ac:dyDescent="0.3">
      <c r="B180" s="128"/>
      <c r="C180" s="112" t="s">
        <v>1489</v>
      </c>
      <c r="D180" s="1499">
        <v>3.9477926016313534</v>
      </c>
      <c r="E180" s="1499">
        <v>3.8516674700795113</v>
      </c>
      <c r="F180" s="1499">
        <v>3.2668975458288556</v>
      </c>
      <c r="G180" s="1499">
        <v>3.2583282767801287</v>
      </c>
      <c r="H180" s="1499">
        <v>3.0678423894292357</v>
      </c>
      <c r="I180" s="1499">
        <v>3.7336907894208782</v>
      </c>
      <c r="J180" s="1499">
        <v>3.6137463348493113</v>
      </c>
      <c r="K180" s="113">
        <v>3.0132603905164328</v>
      </c>
    </row>
    <row r="181" spans="2:11" x14ac:dyDescent="0.3">
      <c r="B181" s="122">
        <v>0</v>
      </c>
      <c r="C181" s="112" t="s">
        <v>1496</v>
      </c>
      <c r="D181" s="1499">
        <v>3.6258365278330644</v>
      </c>
      <c r="E181" s="1499">
        <v>3.5297113962812228</v>
      </c>
      <c r="F181" s="1499">
        <v>2.9449414720305671</v>
      </c>
      <c r="G181" s="1499">
        <v>2.9363722029818402</v>
      </c>
      <c r="H181" s="1499">
        <v>2.7458863156309472</v>
      </c>
      <c r="I181" s="1499">
        <v>3.4117347156225892</v>
      </c>
      <c r="J181" s="1499">
        <v>3.2917902610510228</v>
      </c>
      <c r="K181" s="113">
        <v>2.6913043167181439</v>
      </c>
    </row>
    <row r="182" spans="2:11" x14ac:dyDescent="0.3">
      <c r="B182" s="123"/>
      <c r="C182" s="112" t="s">
        <v>1500</v>
      </c>
      <c r="D182" s="1499">
        <v>3.3038804540347759</v>
      </c>
      <c r="E182" s="1499">
        <v>3.2077553224829343</v>
      </c>
      <c r="F182" s="1499">
        <v>2.6229853982322786</v>
      </c>
      <c r="G182" s="1499">
        <v>2.6144161291835517</v>
      </c>
      <c r="H182" s="1499">
        <v>2.4239302418326587</v>
      </c>
      <c r="I182" s="1499">
        <v>3.0897786418243007</v>
      </c>
      <c r="J182" s="1499">
        <v>2.9698341872527343</v>
      </c>
      <c r="K182" s="113">
        <v>2.3693482429198554</v>
      </c>
    </row>
    <row r="183" spans="2:11" x14ac:dyDescent="0.3">
      <c r="B183" s="123"/>
      <c r="C183" s="112" t="s">
        <v>1504</v>
      </c>
      <c r="D183" s="1499">
        <v>3.70804650494805</v>
      </c>
      <c r="E183" s="1499">
        <v>3.6102922444320185</v>
      </c>
      <c r="F183" s="1499">
        <v>3.0265040505563889</v>
      </c>
      <c r="G183" s="1499">
        <v>3.0171793568133203</v>
      </c>
      <c r="H183" s="1499">
        <v>2.8274554294265846</v>
      </c>
      <c r="I183" s="1499">
        <v>3.4923318919801476</v>
      </c>
      <c r="J183" s="1499">
        <v>3.3724446779474806</v>
      </c>
      <c r="K183" s="113">
        <v>2.7727154144734873</v>
      </c>
    </row>
    <row r="184" spans="2:11" x14ac:dyDescent="0.3">
      <c r="B184" s="123"/>
      <c r="C184" s="112" t="s">
        <v>1508</v>
      </c>
      <c r="D184" s="1499">
        <v>3.5257765661228038</v>
      </c>
      <c r="E184" s="1499">
        <v>3.4280223056067722</v>
      </c>
      <c r="F184" s="1499">
        <v>2.8442341117311427</v>
      </c>
      <c r="G184" s="1499">
        <v>2.8349094179880741</v>
      </c>
      <c r="H184" s="1499">
        <v>2.6451854906013379</v>
      </c>
      <c r="I184" s="1499">
        <v>3.3100619531549014</v>
      </c>
      <c r="J184" s="1499">
        <v>3.1901747391222344</v>
      </c>
      <c r="K184" s="113">
        <v>2.5904454756482407</v>
      </c>
    </row>
    <row r="185" spans="2:11" x14ac:dyDescent="0.3">
      <c r="B185" s="123"/>
      <c r="C185" s="112" t="s">
        <v>1513</v>
      </c>
      <c r="D185" s="1499">
        <v>3.2523716578849338</v>
      </c>
      <c r="E185" s="1499">
        <v>3.1546173973689022</v>
      </c>
      <c r="F185" s="1499">
        <v>2.5708292034932727</v>
      </c>
      <c r="G185" s="1499">
        <v>2.5615045097502036</v>
      </c>
      <c r="H185" s="1499">
        <v>2.3717805823634679</v>
      </c>
      <c r="I185" s="1499">
        <v>3.0366570449170314</v>
      </c>
      <c r="J185" s="1499">
        <v>2.9167698308843644</v>
      </c>
      <c r="K185" s="113">
        <v>2.3170405674103707</v>
      </c>
    </row>
    <row r="186" spans="2:11" x14ac:dyDescent="0.3">
      <c r="B186" s="123"/>
      <c r="C186" s="112" t="s">
        <v>1517</v>
      </c>
      <c r="D186" s="1499">
        <v>2.9789667496470642</v>
      </c>
      <c r="E186" s="1499">
        <v>2.8812124891310327</v>
      </c>
      <c r="F186" s="1499">
        <v>2.2974242952554031</v>
      </c>
      <c r="G186" s="1499">
        <v>2.288099601512334</v>
      </c>
      <c r="H186" s="1499">
        <v>2.0983756741255983</v>
      </c>
      <c r="I186" s="1499">
        <v>2.7632521366791618</v>
      </c>
      <c r="J186" s="1499">
        <v>2.6433649226464948</v>
      </c>
      <c r="K186" s="113">
        <v>2.0436356591725011</v>
      </c>
    </row>
    <row r="187" spans="2:11" ht="14.5" thickBot="1" x14ac:dyDescent="0.35">
      <c r="B187" s="124"/>
      <c r="C187" s="116" t="s">
        <v>1519</v>
      </c>
      <c r="D187" s="117">
        <v>4.1624299841635457</v>
      </c>
      <c r="E187" s="117">
        <v>4.0663048526117036</v>
      </c>
      <c r="F187" s="117">
        <v>3.4815349283610479</v>
      </c>
      <c r="G187" s="117">
        <v>3.472965659312321</v>
      </c>
      <c r="H187" s="117">
        <v>3.282479771961428</v>
      </c>
      <c r="I187" s="117">
        <v>3.9483281719530705</v>
      </c>
      <c r="J187" s="117">
        <v>3.8283837173815036</v>
      </c>
      <c r="K187" s="118">
        <v>3.2278977730486247</v>
      </c>
    </row>
    <row r="188" spans="2:11" x14ac:dyDescent="0.3">
      <c r="B188" s="120" t="s">
        <v>1993</v>
      </c>
      <c r="C188" s="1234" t="s">
        <v>1416</v>
      </c>
      <c r="D188" s="109">
        <v>1.7100559665402479</v>
      </c>
      <c r="E188" s="109">
        <v>1.5956945441231294</v>
      </c>
      <c r="F188" s="109">
        <v>1.0247034528038619</v>
      </c>
      <c r="G188" s="109">
        <v>1.0084239231430403</v>
      </c>
      <c r="H188" s="109">
        <v>0.82487954654431395</v>
      </c>
      <c r="I188" s="109">
        <v>1.4779183487748497</v>
      </c>
      <c r="J188" s="109">
        <v>1.3592625403891123</v>
      </c>
      <c r="K188" s="110">
        <v>0.76812660295482771</v>
      </c>
    </row>
    <row r="189" spans="2:11" x14ac:dyDescent="0.3">
      <c r="B189" s="121"/>
      <c r="C189" s="1500" t="s">
        <v>1483</v>
      </c>
      <c r="D189" s="1499">
        <v>4.1624299841635457</v>
      </c>
      <c r="E189" s="1499">
        <v>4.0663048526117036</v>
      </c>
      <c r="F189" s="1499">
        <v>3.4815349283610479</v>
      </c>
      <c r="G189" s="1499">
        <v>3.472965659312321</v>
      </c>
      <c r="H189" s="1499">
        <v>3.282479771961428</v>
      </c>
      <c r="I189" s="1499">
        <v>3.9483281719530705</v>
      </c>
      <c r="J189" s="1499">
        <v>3.8283837173815036</v>
      </c>
      <c r="K189" s="113">
        <v>3.2278977730486247</v>
      </c>
    </row>
    <row r="190" spans="2:11" x14ac:dyDescent="0.3">
      <c r="B190" s="128"/>
      <c r="C190" s="1500" t="s">
        <v>1489</v>
      </c>
      <c r="D190" s="1499">
        <v>3.9477926016313534</v>
      </c>
      <c r="E190" s="1499">
        <v>3.8516674700795113</v>
      </c>
      <c r="F190" s="1499">
        <v>3.2668975458288556</v>
      </c>
      <c r="G190" s="1499">
        <v>3.2583282767801287</v>
      </c>
      <c r="H190" s="1499">
        <v>3.0678423894292357</v>
      </c>
      <c r="I190" s="1499">
        <v>3.7336907894208782</v>
      </c>
      <c r="J190" s="1499">
        <v>3.6137463348493113</v>
      </c>
      <c r="K190" s="113">
        <v>3.0132603905164328</v>
      </c>
    </row>
    <row r="191" spans="2:11" x14ac:dyDescent="0.3">
      <c r="B191" s="122">
        <v>0</v>
      </c>
      <c r="C191" s="1500" t="s">
        <v>1496</v>
      </c>
      <c r="D191" s="1499">
        <v>3.6258365278330644</v>
      </c>
      <c r="E191" s="1499">
        <v>3.5297113962812228</v>
      </c>
      <c r="F191" s="1499">
        <v>2.9449414720305671</v>
      </c>
      <c r="G191" s="1499">
        <v>2.9363722029818402</v>
      </c>
      <c r="H191" s="1499">
        <v>2.7458863156309472</v>
      </c>
      <c r="I191" s="1499">
        <v>3.4117347156225892</v>
      </c>
      <c r="J191" s="1499">
        <v>3.2917902610510228</v>
      </c>
      <c r="K191" s="113">
        <v>2.6913043167181439</v>
      </c>
    </row>
    <row r="192" spans="2:11" x14ac:dyDescent="0.3">
      <c r="B192" s="123"/>
      <c r="C192" s="1500" t="s">
        <v>1500</v>
      </c>
      <c r="D192" s="1499">
        <v>3.3038804540347759</v>
      </c>
      <c r="E192" s="1499">
        <v>3.2077553224829343</v>
      </c>
      <c r="F192" s="1499">
        <v>2.6229853982322786</v>
      </c>
      <c r="G192" s="1499">
        <v>2.6144161291835517</v>
      </c>
      <c r="H192" s="1499">
        <v>2.4239302418326587</v>
      </c>
      <c r="I192" s="1499">
        <v>3.0897786418243007</v>
      </c>
      <c r="J192" s="1499">
        <v>2.9698341872527343</v>
      </c>
      <c r="K192" s="113">
        <v>2.3693482429198554</v>
      </c>
    </row>
    <row r="193" spans="2:11" x14ac:dyDescent="0.3">
      <c r="B193" s="123"/>
      <c r="C193" s="1500" t="s">
        <v>1504</v>
      </c>
      <c r="D193" s="1499">
        <v>3.70804650494805</v>
      </c>
      <c r="E193" s="1499">
        <v>3.6102922444320185</v>
      </c>
      <c r="F193" s="1499">
        <v>3.0265040505563889</v>
      </c>
      <c r="G193" s="1499">
        <v>3.0171793568133203</v>
      </c>
      <c r="H193" s="1499">
        <v>2.8274554294265846</v>
      </c>
      <c r="I193" s="1499">
        <v>3.4923318919801476</v>
      </c>
      <c r="J193" s="1499">
        <v>3.3724446779474806</v>
      </c>
      <c r="K193" s="113">
        <v>2.7727154144734873</v>
      </c>
    </row>
    <row r="194" spans="2:11" x14ac:dyDescent="0.3">
      <c r="B194" s="123"/>
      <c r="C194" s="1500" t="s">
        <v>1508</v>
      </c>
      <c r="D194" s="1499">
        <v>3.5257765661228038</v>
      </c>
      <c r="E194" s="1499">
        <v>3.4280223056067722</v>
      </c>
      <c r="F194" s="1499">
        <v>2.8442341117311427</v>
      </c>
      <c r="G194" s="1499">
        <v>2.8349094179880741</v>
      </c>
      <c r="H194" s="1499">
        <v>2.6451854906013379</v>
      </c>
      <c r="I194" s="1499">
        <v>3.3100619531549014</v>
      </c>
      <c r="J194" s="1499">
        <v>3.1901747391222344</v>
      </c>
      <c r="K194" s="113">
        <v>2.5904454756482407</v>
      </c>
    </row>
    <row r="195" spans="2:11" x14ac:dyDescent="0.3">
      <c r="B195" s="123"/>
      <c r="C195" s="1500" t="s">
        <v>1513</v>
      </c>
      <c r="D195" s="1499">
        <v>3.2523716578849338</v>
      </c>
      <c r="E195" s="1499">
        <v>3.1546173973689022</v>
      </c>
      <c r="F195" s="1499">
        <v>2.5708292034932727</v>
      </c>
      <c r="G195" s="1499">
        <v>2.5615045097502036</v>
      </c>
      <c r="H195" s="1499">
        <v>2.3717805823634679</v>
      </c>
      <c r="I195" s="1499">
        <v>3.0366570449170314</v>
      </c>
      <c r="J195" s="1499">
        <v>2.9167698308843644</v>
      </c>
      <c r="K195" s="113">
        <v>2.3170405674103707</v>
      </c>
    </row>
    <row r="196" spans="2:11" x14ac:dyDescent="0.3">
      <c r="B196" s="123"/>
      <c r="C196" s="1500" t="s">
        <v>1517</v>
      </c>
      <c r="D196" s="1499">
        <v>2.9789667496470642</v>
      </c>
      <c r="E196" s="1499">
        <v>2.8812124891310327</v>
      </c>
      <c r="F196" s="1499">
        <v>2.2974242952554031</v>
      </c>
      <c r="G196" s="1499">
        <v>2.288099601512334</v>
      </c>
      <c r="H196" s="1499">
        <v>2.0983756741255983</v>
      </c>
      <c r="I196" s="1499">
        <v>2.7632521366791618</v>
      </c>
      <c r="J196" s="1499">
        <v>2.6433649226464948</v>
      </c>
      <c r="K196" s="113">
        <v>2.0436356591725011</v>
      </c>
    </row>
    <row r="197" spans="2:11" ht="14.5" thickBot="1" x14ac:dyDescent="0.35">
      <c r="B197" s="124"/>
      <c r="C197" s="125" t="s">
        <v>1519</v>
      </c>
      <c r="D197" s="117">
        <v>4.1624299841635457</v>
      </c>
      <c r="E197" s="117">
        <v>4.0663048526117036</v>
      </c>
      <c r="F197" s="117">
        <v>3.4815349283610479</v>
      </c>
      <c r="G197" s="117">
        <v>3.472965659312321</v>
      </c>
      <c r="H197" s="117">
        <v>3.282479771961428</v>
      </c>
      <c r="I197" s="117">
        <v>3.9483281719530705</v>
      </c>
      <c r="J197" s="117">
        <v>3.8283837173815036</v>
      </c>
      <c r="K197" s="118">
        <v>3.2278977730486247</v>
      </c>
    </row>
    <row r="198" spans="2:11" x14ac:dyDescent="0.3">
      <c r="B198" s="119" t="s">
        <v>1994</v>
      </c>
      <c r="C198" s="108" t="s">
        <v>1416</v>
      </c>
      <c r="D198" s="109">
        <v>1.7100559665402479</v>
      </c>
      <c r="E198" s="109">
        <v>1.5956945441231294</v>
      </c>
      <c r="F198" s="109">
        <v>1.0247034528038619</v>
      </c>
      <c r="G198" s="109">
        <v>1.0084239231430403</v>
      </c>
      <c r="H198" s="109">
        <v>0.82487954654431395</v>
      </c>
      <c r="I198" s="109">
        <v>1.4779183487748497</v>
      </c>
      <c r="J198" s="109">
        <v>1.3592625403891123</v>
      </c>
      <c r="K198" s="110">
        <v>0.76812660295482771</v>
      </c>
    </row>
    <row r="199" spans="2:11" x14ac:dyDescent="0.3">
      <c r="B199" s="111"/>
      <c r="C199" s="112" t="s">
        <v>1483</v>
      </c>
      <c r="D199" s="1499">
        <v>4.1624299841635457</v>
      </c>
      <c r="E199" s="1499">
        <v>4.0663048526117036</v>
      </c>
      <c r="F199" s="1499">
        <v>3.4815349283610479</v>
      </c>
      <c r="G199" s="1499">
        <v>3.472965659312321</v>
      </c>
      <c r="H199" s="1499">
        <v>3.282479771961428</v>
      </c>
      <c r="I199" s="1499">
        <v>3.9483281719530705</v>
      </c>
      <c r="J199" s="1499">
        <v>3.8283837173815036</v>
      </c>
      <c r="K199" s="113">
        <v>3.2278977730486247</v>
      </c>
    </row>
    <row r="200" spans="2:11" x14ac:dyDescent="0.3">
      <c r="B200" s="111"/>
      <c r="C200" s="112" t="s">
        <v>1489</v>
      </c>
      <c r="D200" s="1499">
        <v>3.9477926016313534</v>
      </c>
      <c r="E200" s="1499">
        <v>3.8516674700795113</v>
      </c>
      <c r="F200" s="1499">
        <v>3.2668975458288556</v>
      </c>
      <c r="G200" s="1499">
        <v>3.2583282767801287</v>
      </c>
      <c r="H200" s="1499">
        <v>3.0678423894292357</v>
      </c>
      <c r="I200" s="1499">
        <v>3.7336907894208782</v>
      </c>
      <c r="J200" s="1499">
        <v>3.6137463348493113</v>
      </c>
      <c r="K200" s="113">
        <v>3.0132603905164328</v>
      </c>
    </row>
    <row r="201" spans="2:11" x14ac:dyDescent="0.3">
      <c r="B201" s="114">
        <v>0</v>
      </c>
      <c r="C201" s="112" t="s">
        <v>1496</v>
      </c>
      <c r="D201" s="1499">
        <v>3.6258365278330644</v>
      </c>
      <c r="E201" s="1499">
        <v>3.5297113962812228</v>
      </c>
      <c r="F201" s="1499">
        <v>2.9449414720305671</v>
      </c>
      <c r="G201" s="1499">
        <v>2.9363722029818402</v>
      </c>
      <c r="H201" s="1499">
        <v>2.7458863156309472</v>
      </c>
      <c r="I201" s="1499">
        <v>3.4117347156225892</v>
      </c>
      <c r="J201" s="1499">
        <v>3.2917902610510228</v>
      </c>
      <c r="K201" s="113">
        <v>2.6913043167181439</v>
      </c>
    </row>
    <row r="202" spans="2:11" x14ac:dyDescent="0.3">
      <c r="B202" s="115"/>
      <c r="C202" s="112" t="s">
        <v>1500</v>
      </c>
      <c r="D202" s="1499">
        <v>3.3038804540347759</v>
      </c>
      <c r="E202" s="1499">
        <v>3.2077553224829343</v>
      </c>
      <c r="F202" s="1499">
        <v>2.6229853982322786</v>
      </c>
      <c r="G202" s="1499">
        <v>2.6144161291835517</v>
      </c>
      <c r="H202" s="1499">
        <v>2.4239302418326587</v>
      </c>
      <c r="I202" s="1499">
        <v>3.0897786418243007</v>
      </c>
      <c r="J202" s="1499">
        <v>2.9698341872527343</v>
      </c>
      <c r="K202" s="113">
        <v>2.3693482429198554</v>
      </c>
    </row>
    <row r="203" spans="2:11" x14ac:dyDescent="0.3">
      <c r="B203" s="115"/>
      <c r="C203" s="112" t="s">
        <v>1504</v>
      </c>
      <c r="D203" s="1499">
        <v>3.70804650494805</v>
      </c>
      <c r="E203" s="1499">
        <v>3.6102922444320185</v>
      </c>
      <c r="F203" s="1499">
        <v>3.0265040505563889</v>
      </c>
      <c r="G203" s="1499">
        <v>3.0171793568133203</v>
      </c>
      <c r="H203" s="1499">
        <v>2.8274554294265846</v>
      </c>
      <c r="I203" s="1499">
        <v>3.4923318919801476</v>
      </c>
      <c r="J203" s="1499">
        <v>3.3724446779474806</v>
      </c>
      <c r="K203" s="113">
        <v>2.7727154144734873</v>
      </c>
    </row>
    <row r="204" spans="2:11" x14ac:dyDescent="0.3">
      <c r="B204" s="115"/>
      <c r="C204" s="112" t="s">
        <v>1508</v>
      </c>
      <c r="D204" s="1499">
        <v>3.5257765661228038</v>
      </c>
      <c r="E204" s="1499">
        <v>3.4280223056067722</v>
      </c>
      <c r="F204" s="1499">
        <v>2.8442341117311427</v>
      </c>
      <c r="G204" s="1499">
        <v>2.8349094179880741</v>
      </c>
      <c r="H204" s="1499">
        <v>2.6451854906013379</v>
      </c>
      <c r="I204" s="1499">
        <v>3.3100619531549014</v>
      </c>
      <c r="J204" s="1499">
        <v>3.1901747391222344</v>
      </c>
      <c r="K204" s="113">
        <v>2.5904454756482407</v>
      </c>
    </row>
    <row r="205" spans="2:11" x14ac:dyDescent="0.3">
      <c r="B205" s="115"/>
      <c r="C205" s="112" t="s">
        <v>1513</v>
      </c>
      <c r="D205" s="1499">
        <v>3.2523716578849338</v>
      </c>
      <c r="E205" s="1499">
        <v>3.1546173973689022</v>
      </c>
      <c r="F205" s="1499">
        <v>2.5708292034932727</v>
      </c>
      <c r="G205" s="1499">
        <v>2.5615045097502036</v>
      </c>
      <c r="H205" s="1499">
        <v>2.3717805823634679</v>
      </c>
      <c r="I205" s="1499">
        <v>3.0366570449170314</v>
      </c>
      <c r="J205" s="1499">
        <v>2.9167698308843644</v>
      </c>
      <c r="K205" s="113">
        <v>2.3170405674103707</v>
      </c>
    </row>
    <row r="206" spans="2:11" x14ac:dyDescent="0.3">
      <c r="B206" s="115"/>
      <c r="C206" s="112" t="s">
        <v>1517</v>
      </c>
      <c r="D206" s="1499">
        <v>2.9789667496470642</v>
      </c>
      <c r="E206" s="1499">
        <v>2.8812124891310327</v>
      </c>
      <c r="F206" s="1499">
        <v>2.2974242952554031</v>
      </c>
      <c r="G206" s="1499">
        <v>2.288099601512334</v>
      </c>
      <c r="H206" s="1499">
        <v>2.0983756741255983</v>
      </c>
      <c r="I206" s="1499">
        <v>2.7632521366791618</v>
      </c>
      <c r="J206" s="1499">
        <v>2.6433649226464948</v>
      </c>
      <c r="K206" s="113">
        <v>2.0436356591725011</v>
      </c>
    </row>
    <row r="207" spans="2:11" ht="14.5" thickBot="1" x14ac:dyDescent="0.35">
      <c r="B207" s="1233"/>
      <c r="C207" s="116" t="s">
        <v>1519</v>
      </c>
      <c r="D207" s="117">
        <v>4.1624299841635457</v>
      </c>
      <c r="E207" s="117">
        <v>4.0663048526117036</v>
      </c>
      <c r="F207" s="117">
        <v>3.4815349283610479</v>
      </c>
      <c r="G207" s="117">
        <v>3.472965659312321</v>
      </c>
      <c r="H207" s="117">
        <v>3.282479771961428</v>
      </c>
      <c r="I207" s="117">
        <v>3.9483281719530705</v>
      </c>
      <c r="J207" s="117">
        <v>3.8283837173815036</v>
      </c>
      <c r="K207" s="118">
        <v>3.2278977730486247</v>
      </c>
    </row>
    <row r="208" spans="2:11" x14ac:dyDescent="0.3">
      <c r="B208" s="120" t="s">
        <v>1519</v>
      </c>
      <c r="C208" s="108" t="s">
        <v>1416</v>
      </c>
      <c r="D208" s="129">
        <v>1.7100559665402479</v>
      </c>
      <c r="E208" s="109">
        <v>1.5956945441231294</v>
      </c>
      <c r="F208" s="109">
        <v>1.0247034528038619</v>
      </c>
      <c r="G208" s="109">
        <v>1.0084239231430403</v>
      </c>
      <c r="H208" s="109">
        <v>0.82487954654431395</v>
      </c>
      <c r="I208" s="109">
        <v>1.4779183487748497</v>
      </c>
      <c r="J208" s="109">
        <v>1.3592625403891123</v>
      </c>
      <c r="K208" s="110">
        <v>0.76812660295482771</v>
      </c>
    </row>
    <row r="209" spans="2:11" x14ac:dyDescent="0.3">
      <c r="B209" s="111"/>
      <c r="C209" s="112" t="s">
        <v>1483</v>
      </c>
      <c r="D209" s="130">
        <v>3.5998525629282963</v>
      </c>
      <c r="E209" s="1499">
        <v>3.5013402007184151</v>
      </c>
      <c r="F209" s="1499">
        <v>2.9181976264961822</v>
      </c>
      <c r="G209" s="1499">
        <v>2.9085826340688534</v>
      </c>
      <c r="H209" s="1499">
        <v>2.7189036395693686</v>
      </c>
      <c r="I209" s="1499">
        <v>3.3834366173009012</v>
      </c>
      <c r="J209" s="1499">
        <v>3.263646257702141</v>
      </c>
      <c r="K209" s="113">
        <v>2.6639720205447981</v>
      </c>
    </row>
    <row r="210" spans="2:11" x14ac:dyDescent="0.3">
      <c r="B210" s="111"/>
      <c r="C210" s="112" t="s">
        <v>1489</v>
      </c>
      <c r="D210" s="130">
        <v>3.3852151803961039</v>
      </c>
      <c r="E210" s="1499">
        <v>3.2867028181862232</v>
      </c>
      <c r="F210" s="1499">
        <v>2.7035602439639899</v>
      </c>
      <c r="G210" s="1499">
        <v>2.6939452515366611</v>
      </c>
      <c r="H210" s="1499">
        <v>2.5042662570371768</v>
      </c>
      <c r="I210" s="1499">
        <v>3.1687992347687088</v>
      </c>
      <c r="J210" s="1499">
        <v>3.0490088751699487</v>
      </c>
      <c r="K210" s="113">
        <v>2.4493346380126062</v>
      </c>
    </row>
    <row r="211" spans="2:11" x14ac:dyDescent="0.3">
      <c r="B211" s="114">
        <v>0</v>
      </c>
      <c r="C211" s="112" t="s">
        <v>1496</v>
      </c>
      <c r="D211" s="130">
        <v>3.0632591065978154</v>
      </c>
      <c r="E211" s="1499">
        <v>2.9647467443879343</v>
      </c>
      <c r="F211" s="1499">
        <v>2.3816041701657014</v>
      </c>
      <c r="G211" s="1499">
        <v>2.3719891777383726</v>
      </c>
      <c r="H211" s="1499">
        <v>2.1823101832388878</v>
      </c>
      <c r="I211" s="1499">
        <v>2.8468431609704203</v>
      </c>
      <c r="J211" s="1499">
        <v>2.7270528013716602</v>
      </c>
      <c r="K211" s="113">
        <v>2.1273785642143173</v>
      </c>
    </row>
    <row r="212" spans="2:11" x14ac:dyDescent="0.3">
      <c r="B212" s="115"/>
      <c r="C212" s="112" t="s">
        <v>1500</v>
      </c>
      <c r="D212" s="130">
        <v>2.7413030327995265</v>
      </c>
      <c r="E212" s="1499">
        <v>2.6427906705896458</v>
      </c>
      <c r="F212" s="1499">
        <v>2.0596480963674129</v>
      </c>
      <c r="G212" s="1499">
        <v>2.0500331039400841</v>
      </c>
      <c r="H212" s="1499">
        <v>1.8603541094405993</v>
      </c>
      <c r="I212" s="1499">
        <v>2.5248870871721318</v>
      </c>
      <c r="J212" s="1499">
        <v>2.4050967275733717</v>
      </c>
      <c r="K212" s="113">
        <v>1.8054224904160288</v>
      </c>
    </row>
    <row r="213" spans="2:11" x14ac:dyDescent="0.3">
      <c r="B213" s="115"/>
      <c r="C213" s="112" t="s">
        <v>1504</v>
      </c>
      <c r="D213" s="130">
        <v>3.2301065590136724</v>
      </c>
      <c r="E213" s="1499">
        <v>3.1302068231232272</v>
      </c>
      <c r="F213" s="1499">
        <v>2.5479299652331293</v>
      </c>
      <c r="G213" s="1499">
        <v>2.5376724592542574</v>
      </c>
      <c r="H213" s="1499">
        <v>2.3485264330918882</v>
      </c>
      <c r="I213" s="1499">
        <v>3.0124135381188655</v>
      </c>
      <c r="J213" s="1499">
        <v>2.8927815934930372</v>
      </c>
      <c r="K213" s="113">
        <v>2.2935812432781821</v>
      </c>
    </row>
    <row r="214" spans="2:11" x14ac:dyDescent="0.3">
      <c r="B214" s="115"/>
      <c r="C214" s="112" t="s">
        <v>1508</v>
      </c>
      <c r="D214" s="130">
        <v>3.0478366201884262</v>
      </c>
      <c r="E214" s="1499">
        <v>2.9479368842979805</v>
      </c>
      <c r="F214" s="1499">
        <v>2.3656600264078831</v>
      </c>
      <c r="G214" s="1499">
        <v>2.3554025204290112</v>
      </c>
      <c r="H214" s="1499">
        <v>2.1662564942666416</v>
      </c>
      <c r="I214" s="1499">
        <v>2.8301435992936188</v>
      </c>
      <c r="J214" s="1499">
        <v>2.710511654667791</v>
      </c>
      <c r="K214" s="113">
        <v>2.1113113044529355</v>
      </c>
    </row>
    <row r="215" spans="2:11" x14ac:dyDescent="0.3">
      <c r="B215" s="115"/>
      <c r="C215" s="112" t="s">
        <v>1513</v>
      </c>
      <c r="D215" s="130">
        <v>2.7744317119505562</v>
      </c>
      <c r="E215" s="1499">
        <v>2.6745319760601105</v>
      </c>
      <c r="F215" s="1499">
        <v>2.0922551181700135</v>
      </c>
      <c r="G215" s="1499">
        <v>2.0819976121911412</v>
      </c>
      <c r="H215" s="1499">
        <v>1.8928515860287718</v>
      </c>
      <c r="I215" s="1499">
        <v>2.5567386910557488</v>
      </c>
      <c r="J215" s="1499">
        <v>2.4371067464299205</v>
      </c>
      <c r="K215" s="113">
        <v>1.8379063962150655</v>
      </c>
    </row>
    <row r="216" spans="2:11" x14ac:dyDescent="0.3">
      <c r="B216" s="115"/>
      <c r="C216" s="112" t="s">
        <v>1517</v>
      </c>
      <c r="D216" s="130">
        <v>2.5010268037126866</v>
      </c>
      <c r="E216" s="1499">
        <v>2.4011270678222409</v>
      </c>
      <c r="F216" s="1499">
        <v>1.8188502099321435</v>
      </c>
      <c r="G216" s="1499">
        <v>1.8085927039532714</v>
      </c>
      <c r="H216" s="1499">
        <v>1.619446677790902</v>
      </c>
      <c r="I216" s="1499">
        <v>2.2833337828178792</v>
      </c>
      <c r="J216" s="1499">
        <v>2.163701838192051</v>
      </c>
      <c r="K216" s="113">
        <v>1.5645014879771957</v>
      </c>
    </row>
    <row r="217" spans="2:11" ht="14.5" thickBot="1" x14ac:dyDescent="0.35">
      <c r="B217" s="1233"/>
      <c r="C217" s="116" t="s">
        <v>1519</v>
      </c>
      <c r="D217" s="131">
        <v>3.5998525629282963</v>
      </c>
      <c r="E217" s="117">
        <v>3.5013402007184151</v>
      </c>
      <c r="F217" s="117">
        <v>2.9181976264961822</v>
      </c>
      <c r="G217" s="117">
        <v>2.9085826340688534</v>
      </c>
      <c r="H217" s="117">
        <v>2.7189036395693686</v>
      </c>
      <c r="I217" s="117">
        <v>3.3834366173009012</v>
      </c>
      <c r="J217" s="117">
        <v>3.263646257702141</v>
      </c>
      <c r="K217" s="118">
        <v>2.6639720205447981</v>
      </c>
    </row>
    <row r="221" spans="2:11" ht="14.5" thickBot="1" x14ac:dyDescent="0.35"/>
    <row r="222" spans="2:11" x14ac:dyDescent="0.3">
      <c r="C222" s="132" t="s">
        <v>1995</v>
      </c>
      <c r="D222" s="132"/>
      <c r="E222" s="132"/>
      <c r="F222" s="132"/>
    </row>
    <row r="223" spans="2:11" x14ac:dyDescent="0.3">
      <c r="C223" s="1504" t="s">
        <v>1996</v>
      </c>
      <c r="D223" s="1504" t="s">
        <v>1997</v>
      </c>
      <c r="E223" s="1504" t="s">
        <v>1998</v>
      </c>
      <c r="F223" s="1504" t="s">
        <v>1999</v>
      </c>
    </row>
    <row r="224" spans="2:11" x14ac:dyDescent="0.3">
      <c r="C224" s="1498">
        <v>1</v>
      </c>
      <c r="D224" s="1505">
        <v>159.87498562965266</v>
      </c>
      <c r="E224" s="1506">
        <v>2.851895596613092E-2</v>
      </c>
      <c r="F224" s="1507">
        <v>1.1407582386452368</v>
      </c>
      <c r="H224" s="134" t="s">
        <v>2000</v>
      </c>
    </row>
    <row r="225" spans="2:11" x14ac:dyDescent="0.3">
      <c r="C225" s="1498">
        <v>1.5</v>
      </c>
      <c r="D225" s="1505">
        <v>135.04028297959746</v>
      </c>
      <c r="E225" s="1506">
        <v>2.4088870868581334E-2</v>
      </c>
      <c r="F225" s="1507">
        <v>0.96355483474325354</v>
      </c>
      <c r="H225" s="134" t="s">
        <v>2001</v>
      </c>
    </row>
    <row r="226" spans="2:11" x14ac:dyDescent="0.3">
      <c r="C226" s="1498">
        <v>2</v>
      </c>
      <c r="D226" s="1505">
        <v>117.41978103202746</v>
      </c>
      <c r="E226" s="1506">
        <v>2.0945675470222101E-2</v>
      </c>
      <c r="F226" s="1507">
        <v>0.83782701880888388</v>
      </c>
    </row>
    <row r="227" spans="2:11" x14ac:dyDescent="0.3">
      <c r="C227" s="1498">
        <v>2.5</v>
      </c>
      <c r="D227" s="1505">
        <v>103.75225789786079</v>
      </c>
      <c r="E227" s="1506">
        <v>1.8507623708126551E-2</v>
      </c>
      <c r="F227" s="1507">
        <v>0.74030494832506211</v>
      </c>
    </row>
    <row r="228" spans="2:11" x14ac:dyDescent="0.3">
      <c r="B228" s="2"/>
      <c r="C228" s="1498">
        <v>3</v>
      </c>
      <c r="D228" s="1505">
        <v>92.585078381972295</v>
      </c>
      <c r="E228" s="1506">
        <v>1.6515590372672515E-2</v>
      </c>
      <c r="F228" s="1507">
        <v>0.66062361490690047</v>
      </c>
      <c r="I228" s="135"/>
      <c r="J228" s="135"/>
      <c r="K228" s="135"/>
    </row>
    <row r="229" spans="2:11" x14ac:dyDescent="0.3">
      <c r="B229" s="136"/>
      <c r="C229" s="1498">
        <v>3.5</v>
      </c>
      <c r="D229" s="1505">
        <v>83.143362633172146</v>
      </c>
      <c r="E229" s="1506">
        <v>1.4831350185727257E-2</v>
      </c>
      <c r="F229" s="1507">
        <v>0.59325400742909018</v>
      </c>
      <c r="I229" s="135"/>
      <c r="J229" s="135"/>
      <c r="K229" s="135"/>
    </row>
    <row r="230" spans="2:11" x14ac:dyDescent="0.3">
      <c r="B230" s="136"/>
      <c r="C230" s="1498">
        <v>4</v>
      </c>
      <c r="D230" s="1505">
        <v>74.964576434402289</v>
      </c>
      <c r="E230" s="1506">
        <v>1.3372394974313277E-2</v>
      </c>
      <c r="F230" s="1507">
        <v>0.53489579897253103</v>
      </c>
      <c r="I230" s="135"/>
      <c r="J230" s="135"/>
      <c r="K230" s="135"/>
    </row>
    <row r="231" spans="2:11" x14ac:dyDescent="0.3">
      <c r="B231" s="137"/>
      <c r="C231" s="1498">
        <v>4.5</v>
      </c>
      <c r="D231" s="1505">
        <v>67.750375731917131</v>
      </c>
      <c r="E231" s="1506">
        <v>1.2085505275122931E-2</v>
      </c>
      <c r="F231" s="1507">
        <v>0.48342021100491722</v>
      </c>
      <c r="I231" s="135"/>
      <c r="J231" s="135"/>
      <c r="K231" s="135"/>
    </row>
    <row r="232" spans="2:11" x14ac:dyDescent="0.3">
      <c r="C232" s="1498">
        <v>5</v>
      </c>
      <c r="D232" s="1505">
        <v>61.297053300235604</v>
      </c>
      <c r="E232" s="1506">
        <v>1.0934343212217729E-2</v>
      </c>
      <c r="F232" s="1507">
        <v>0.4373737284887092</v>
      </c>
      <c r="I232" s="135"/>
      <c r="J232" s="135"/>
      <c r="K232" s="135"/>
    </row>
    <row r="233" spans="2:11" x14ac:dyDescent="0.3">
      <c r="C233" s="1498">
        <v>5.5</v>
      </c>
      <c r="D233" s="1505">
        <v>55.459313066537696</v>
      </c>
      <c r="E233" s="1506">
        <v>9.8929904576836106E-3</v>
      </c>
      <c r="F233" s="1507">
        <v>0.39571961830734437</v>
      </c>
      <c r="I233" s="135"/>
      <c r="J233" s="135"/>
      <c r="K233" s="135"/>
    </row>
    <row r="234" spans="2:11" x14ac:dyDescent="0.3">
      <c r="C234" s="1498">
        <v>6</v>
      </c>
      <c r="D234" s="1505">
        <v>50.129873784347112</v>
      </c>
      <c r="E234" s="1506">
        <v>8.9423098767636919E-3</v>
      </c>
      <c r="F234" s="1507">
        <v>0.35769239507054768</v>
      </c>
      <c r="I234" s="135"/>
      <c r="J234" s="135"/>
      <c r="K234" s="135"/>
    </row>
    <row r="235" spans="2:11" x14ac:dyDescent="0.3">
      <c r="C235" s="1498">
        <v>6.5</v>
      </c>
      <c r="D235" s="1505">
        <v>45.227264892419285</v>
      </c>
      <c r="E235" s="1506">
        <v>8.0677685183554691E-3</v>
      </c>
      <c r="F235" s="1507">
        <v>0.32271074073421879</v>
      </c>
      <c r="I235" s="135"/>
      <c r="J235" s="135"/>
      <c r="K235" s="135"/>
    </row>
    <row r="236" spans="2:11" x14ac:dyDescent="0.3">
      <c r="C236" s="1498">
        <v>7</v>
      </c>
      <c r="D236" s="1505">
        <v>40.688158035546962</v>
      </c>
      <c r="E236" s="1506">
        <v>7.2580696898184357E-3</v>
      </c>
      <c r="F236" s="1507">
        <v>0.29032278759273739</v>
      </c>
      <c r="I236" s="135"/>
      <c r="J236" s="135"/>
      <c r="K236" s="135"/>
    </row>
    <row r="237" spans="2:11" x14ac:dyDescent="0.3">
      <c r="C237" s="1498">
        <v>7.5</v>
      </c>
      <c r="D237" s="1505">
        <v>36.462350650180454</v>
      </c>
      <c r="E237" s="1506">
        <v>6.5042581146681471E-3</v>
      </c>
      <c r="F237" s="1507">
        <v>0.26017032458672584</v>
      </c>
      <c r="I237" s="135"/>
      <c r="J237" s="135"/>
      <c r="K237" s="135"/>
    </row>
    <row r="238" spans="2:11" x14ac:dyDescent="0.3">
      <c r="B238" s="2"/>
      <c r="C238" s="1498">
        <v>8</v>
      </c>
      <c r="D238" s="1505">
        <v>32.509371836777092</v>
      </c>
      <c r="E238" s="1506">
        <v>5.7991144784044534E-3</v>
      </c>
      <c r="F238" s="1507">
        <v>0.23196457913617818</v>
      </c>
      <c r="I238" s="135"/>
      <c r="J238" s="135"/>
      <c r="K238" s="135"/>
    </row>
    <row r="239" spans="2:11" x14ac:dyDescent="0.3">
      <c r="B239" s="136"/>
      <c r="C239" s="1498">
        <v>8.5</v>
      </c>
      <c r="D239" s="1505">
        <v>28.796119016804308</v>
      </c>
      <c r="E239" s="1506">
        <v>5.1367338486464856E-3</v>
      </c>
      <c r="F239" s="1507">
        <v>0.20546935394585947</v>
      </c>
      <c r="I239" s="135"/>
      <c r="J239" s="135"/>
      <c r="K239" s="135"/>
    </row>
    <row r="240" spans="2:11" x14ac:dyDescent="0.3">
      <c r="B240" s="136"/>
      <c r="C240" s="1498">
        <v>9</v>
      </c>
      <c r="D240" s="1505">
        <v>25.295171134291941</v>
      </c>
      <c r="E240" s="1506">
        <v>4.512224779214106E-3</v>
      </c>
      <c r="F240" s="1507">
        <v>0.18048899116856426</v>
      </c>
      <c r="I240" s="135"/>
      <c r="J240" s="135"/>
      <c r="K240" s="135"/>
    </row>
    <row r="241" spans="2:11" x14ac:dyDescent="0.3">
      <c r="B241" s="137"/>
      <c r="C241" s="1498">
        <v>9.5</v>
      </c>
      <c r="D241" s="1505">
        <v>21.983558528149182</v>
      </c>
      <c r="E241" s="1506">
        <v>3.9214898764429714E-3</v>
      </c>
      <c r="F241" s="1507">
        <v>0.15685959505771888</v>
      </c>
      <c r="I241" s="135"/>
      <c r="J241" s="135"/>
      <c r="K241" s="135"/>
    </row>
    <row r="242" spans="2:11" x14ac:dyDescent="0.3">
      <c r="C242" s="1498">
        <v>10</v>
      </c>
      <c r="D242" s="1505">
        <v>18.841848702610406</v>
      </c>
      <c r="E242" s="1506">
        <v>3.361062716308903E-3</v>
      </c>
      <c r="F242" s="1507">
        <v>0.13444250865235613</v>
      </c>
      <c r="I242" s="135"/>
      <c r="J242" s="135"/>
      <c r="K242" s="135"/>
    </row>
    <row r="243" spans="2:11" x14ac:dyDescent="0.3">
      <c r="I243" s="135"/>
      <c r="J243" s="135"/>
      <c r="K243" s="135"/>
    </row>
    <row r="244" spans="2:11" ht="14.5" thickBot="1" x14ac:dyDescent="0.35">
      <c r="I244" s="135"/>
      <c r="J244" s="135"/>
      <c r="K244" s="135"/>
    </row>
    <row r="245" spans="2:11" x14ac:dyDescent="0.3">
      <c r="C245" s="132" t="s">
        <v>2002</v>
      </c>
      <c r="D245" s="132"/>
      <c r="E245" s="132"/>
      <c r="F245" s="132"/>
      <c r="H245" s="134" t="s">
        <v>2003</v>
      </c>
      <c r="I245" s="135"/>
      <c r="J245" s="135"/>
      <c r="K245" s="135"/>
    </row>
    <row r="246" spans="2:11" x14ac:dyDescent="0.3">
      <c r="C246" s="1508" t="s">
        <v>1996</v>
      </c>
      <c r="D246" s="1508" t="s">
        <v>2004</v>
      </c>
      <c r="E246" s="1508" t="s">
        <v>2005</v>
      </c>
      <c r="F246" s="1508" t="s">
        <v>2006</v>
      </c>
      <c r="H246" s="134" t="s">
        <v>2007</v>
      </c>
      <c r="I246" s="135"/>
      <c r="J246" s="135"/>
      <c r="K246" s="135"/>
    </row>
    <row r="247" spans="2:11" x14ac:dyDescent="0.3">
      <c r="C247" s="1498" t="s">
        <v>376</v>
      </c>
      <c r="D247" s="1509">
        <v>189.33376862143604</v>
      </c>
      <c r="E247" s="1510">
        <v>3.3773897704825626E-2</v>
      </c>
      <c r="F247" s="1511">
        <v>1.3509559081930251</v>
      </c>
      <c r="I247" s="135"/>
      <c r="J247" s="135"/>
      <c r="K247" s="135"/>
    </row>
    <row r="248" spans="2:11" x14ac:dyDescent="0.3">
      <c r="B248" s="2"/>
      <c r="D248" s="135"/>
      <c r="E248" s="135"/>
      <c r="F248" s="135"/>
      <c r="G248" s="135"/>
      <c r="H248" s="135"/>
      <c r="I248" s="135"/>
      <c r="J248" s="135"/>
      <c r="K248" s="135"/>
    </row>
  </sheetData>
  <sheetProtection algorithmName="SHA-512" hashValue="ly/INsRrMGVrOi12/Kz1zPKZesSsb9NQDRRvQfu3poeJV+Xe0Gyc2GtTCLnwdD3jzwed9SkmIkivXtlUvFzenQ==" saltValue="H4JoVxDjgKgp7xU1HGt1Og==" spinCount="100000" sheet="1" objects="1" scenarios="1" autoFilter="0"/>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91"/>
  <dimension ref="B1:K249"/>
  <sheetViews>
    <sheetView topLeftCell="A178" workbookViewId="0">
      <selection activeCell="G9" sqref="G9"/>
    </sheetView>
  </sheetViews>
  <sheetFormatPr defaultColWidth="7.58203125" defaultRowHeight="14" x14ac:dyDescent="0.3"/>
  <cols>
    <col min="3" max="3" width="24.83203125" customWidth="1"/>
  </cols>
  <sheetData>
    <row r="1" spans="2:11" ht="14.5" thickBot="1" x14ac:dyDescent="0.35"/>
    <row r="2" spans="2:11" ht="25.5" thickBot="1" x14ac:dyDescent="0.55000000000000004">
      <c r="B2" s="88" t="s">
        <v>1960</v>
      </c>
      <c r="C2" s="89"/>
      <c r="D2" s="90">
        <v>2</v>
      </c>
      <c r="E2" s="91" t="s">
        <v>1961</v>
      </c>
      <c r="F2" s="92"/>
      <c r="G2" s="92"/>
      <c r="H2" s="92"/>
      <c r="I2" s="93"/>
      <c r="J2" s="89" t="s">
        <v>176</v>
      </c>
      <c r="K2" s="94" t="s">
        <v>214</v>
      </c>
    </row>
    <row r="3" spans="2:11" ht="14.5" thickBot="1" x14ac:dyDescent="0.35">
      <c r="B3" s="95" t="s">
        <v>1962</v>
      </c>
      <c r="C3" s="96" t="s">
        <v>1963</v>
      </c>
      <c r="D3" s="95" t="s">
        <v>1964</v>
      </c>
      <c r="E3" s="97" t="s">
        <v>1965</v>
      </c>
      <c r="F3" s="97" t="s">
        <v>1966</v>
      </c>
      <c r="G3" s="97" t="s">
        <v>1967</v>
      </c>
      <c r="H3" s="97" t="s">
        <v>1968</v>
      </c>
      <c r="I3" s="97" t="s">
        <v>1969</v>
      </c>
      <c r="J3" s="97" t="s">
        <v>1970</v>
      </c>
      <c r="K3" s="98" t="s">
        <v>1971</v>
      </c>
    </row>
    <row r="4" spans="2:11" ht="18.5" thickBot="1" x14ac:dyDescent="0.45">
      <c r="B4" s="99" t="s">
        <v>34</v>
      </c>
      <c r="C4" s="100" t="s">
        <v>34</v>
      </c>
      <c r="D4" s="101" t="s">
        <v>34</v>
      </c>
      <c r="E4" s="944"/>
      <c r="F4" s="944"/>
      <c r="G4" s="944"/>
      <c r="H4" s="944"/>
      <c r="I4" s="944" t="s">
        <v>34</v>
      </c>
      <c r="J4" s="944" t="s">
        <v>34</v>
      </c>
      <c r="K4" s="102"/>
    </row>
    <row r="5" spans="2:11" ht="90.5" thickBot="1" x14ac:dyDescent="0.45">
      <c r="B5" s="103" t="s">
        <v>1972</v>
      </c>
      <c r="C5" s="104" t="s">
        <v>1973</v>
      </c>
      <c r="D5" s="105" t="s">
        <v>1974</v>
      </c>
      <c r="E5" s="105" t="s">
        <v>1525</v>
      </c>
      <c r="F5" s="105" t="s">
        <v>1527</v>
      </c>
      <c r="G5" s="105" t="s">
        <v>1975</v>
      </c>
      <c r="H5" s="105" t="s">
        <v>1976</v>
      </c>
      <c r="I5" s="105" t="s">
        <v>1445</v>
      </c>
      <c r="J5" s="105" t="s">
        <v>1538</v>
      </c>
      <c r="K5" s="106" t="s">
        <v>1541</v>
      </c>
    </row>
    <row r="6" spans="2:11" x14ac:dyDescent="0.3">
      <c r="B6" s="107" t="s">
        <v>1977</v>
      </c>
      <c r="C6" s="108" t="s">
        <v>1416</v>
      </c>
      <c r="D6" s="109">
        <v>2.4342996771204195</v>
      </c>
      <c r="E6" s="109">
        <v>1.5452677837605244</v>
      </c>
      <c r="F6" s="109">
        <v>1.0000394754845594</v>
      </c>
      <c r="G6" s="109">
        <v>0.71393908873967837</v>
      </c>
      <c r="H6" s="109">
        <v>0.80894523594904966</v>
      </c>
      <c r="I6" s="109">
        <v>2.2850236622760618</v>
      </c>
      <c r="J6" s="109">
        <v>1.8935125443461085</v>
      </c>
      <c r="K6" s="110">
        <v>0.59271191523330646</v>
      </c>
    </row>
    <row r="7" spans="2:11" x14ac:dyDescent="0.3">
      <c r="B7" s="111" t="s">
        <v>1978</v>
      </c>
      <c r="C7" s="112" t="s">
        <v>1483</v>
      </c>
      <c r="D7" s="1499">
        <v>2.7385823679778416</v>
      </c>
      <c r="E7" s="1499">
        <v>1.8907561665771473</v>
      </c>
      <c r="F7" s="1499">
        <v>1.3062008445265272</v>
      </c>
      <c r="G7" s="1499">
        <v>1.0592827909950597</v>
      </c>
      <c r="H7" s="1499">
        <v>1.1341323426221737</v>
      </c>
      <c r="I7" s="1499">
        <v>2.6214917775231363</v>
      </c>
      <c r="J7" s="1499">
        <v>2.2308878169606445</v>
      </c>
      <c r="K7" s="113">
        <v>0.8688279086971693</v>
      </c>
    </row>
    <row r="8" spans="2:11" x14ac:dyDescent="0.3">
      <c r="B8" s="111" t="s">
        <v>1979</v>
      </c>
      <c r="C8" s="112" t="s">
        <v>1489</v>
      </c>
      <c r="D8" s="1499">
        <v>2.7022835434727401</v>
      </c>
      <c r="E8" s="1499">
        <v>1.8544573420720463</v>
      </c>
      <c r="F8" s="1499">
        <v>1.2699020200214264</v>
      </c>
      <c r="G8" s="1499">
        <v>1.0229839664899589</v>
      </c>
      <c r="H8" s="1499">
        <v>1.0978335181170726</v>
      </c>
      <c r="I8" s="1499">
        <v>2.5851929530180353</v>
      </c>
      <c r="J8" s="1499">
        <v>2.1945889924555435</v>
      </c>
      <c r="K8" s="113">
        <v>0.83252908419206839</v>
      </c>
    </row>
    <row r="9" spans="2:11" x14ac:dyDescent="0.3">
      <c r="B9" s="114">
        <v>0</v>
      </c>
      <c r="C9" s="112" t="s">
        <v>1496</v>
      </c>
      <c r="D9" s="1499">
        <v>2.647835306715089</v>
      </c>
      <c r="E9" s="1499">
        <v>1.8000091053143947</v>
      </c>
      <c r="F9" s="1499">
        <v>1.2154537832637746</v>
      </c>
      <c r="G9" s="1499">
        <v>0.96853572973230739</v>
      </c>
      <c r="H9" s="1499">
        <v>1.0433852813594213</v>
      </c>
      <c r="I9" s="1499">
        <v>2.5307447162603838</v>
      </c>
      <c r="J9" s="1499">
        <v>2.140140755697892</v>
      </c>
      <c r="K9" s="113">
        <v>0.77808084743441686</v>
      </c>
    </row>
    <row r="10" spans="2:11" x14ac:dyDescent="0.3">
      <c r="B10" s="115"/>
      <c r="C10" s="112" t="s">
        <v>1500</v>
      </c>
      <c r="D10" s="1499">
        <v>2.5933870699574375</v>
      </c>
      <c r="E10" s="1499">
        <v>1.7455608685567434</v>
      </c>
      <c r="F10" s="1499">
        <v>1.1610055465061233</v>
      </c>
      <c r="G10" s="1499">
        <v>0.91408749297465586</v>
      </c>
      <c r="H10" s="1499">
        <v>0.98893704460176968</v>
      </c>
      <c r="I10" s="1499">
        <v>2.4762964795027322</v>
      </c>
      <c r="J10" s="1499">
        <v>2.0856925189402409</v>
      </c>
      <c r="K10" s="113">
        <v>0.72363261067676543</v>
      </c>
    </row>
    <row r="11" spans="2:11" x14ac:dyDescent="0.3">
      <c r="B11" s="115"/>
      <c r="C11" s="112" t="s">
        <v>1504</v>
      </c>
      <c r="D11" s="1499">
        <v>2.6770381805528602</v>
      </c>
      <c r="E11" s="1499">
        <v>1.8198000633202798</v>
      </c>
      <c r="F11" s="1499">
        <v>1.2449955367315788</v>
      </c>
      <c r="G11" s="1499">
        <v>0.98956472162151987</v>
      </c>
      <c r="H11" s="1499">
        <v>1.0699843062287839</v>
      </c>
      <c r="I11" s="1499">
        <v>2.5518425124987392</v>
      </c>
      <c r="J11" s="1499">
        <v>2.1591564390140459</v>
      </c>
      <c r="K11" s="113">
        <v>0.79775554440694862</v>
      </c>
    </row>
    <row r="12" spans="2:11" x14ac:dyDescent="0.3">
      <c r="B12" s="115"/>
      <c r="C12" s="112" t="s">
        <v>1508</v>
      </c>
      <c r="D12" s="1499">
        <v>2.6475067842364699</v>
      </c>
      <c r="E12" s="1499">
        <v>1.7902686670038896</v>
      </c>
      <c r="F12" s="1499">
        <v>1.2154641404151887</v>
      </c>
      <c r="G12" s="1499">
        <v>0.96003332530512964</v>
      </c>
      <c r="H12" s="1499">
        <v>1.0404529099123938</v>
      </c>
      <c r="I12" s="1499">
        <v>2.5223111161823488</v>
      </c>
      <c r="J12" s="1499">
        <v>2.129625042697656</v>
      </c>
      <c r="K12" s="113">
        <v>0.76822414809055839</v>
      </c>
    </row>
    <row r="13" spans="2:11" x14ac:dyDescent="0.3">
      <c r="B13" s="115"/>
      <c r="C13" s="112" t="s">
        <v>1513</v>
      </c>
      <c r="D13" s="1499">
        <v>2.603209689761885</v>
      </c>
      <c r="E13" s="1499">
        <v>1.7459715725293043</v>
      </c>
      <c r="F13" s="1499">
        <v>1.1711670459406034</v>
      </c>
      <c r="G13" s="1499">
        <v>0.91573623083054423</v>
      </c>
      <c r="H13" s="1499">
        <v>0.9961558154378084</v>
      </c>
      <c r="I13" s="1499">
        <v>2.4780140217077635</v>
      </c>
      <c r="J13" s="1499">
        <v>2.0853279482230707</v>
      </c>
      <c r="K13" s="113">
        <v>0.72392705361597298</v>
      </c>
    </row>
    <row r="14" spans="2:11" x14ac:dyDescent="0.3">
      <c r="B14" s="115"/>
      <c r="C14" s="112" t="s">
        <v>1517</v>
      </c>
      <c r="D14" s="1499">
        <v>2.5589125952872998</v>
      </c>
      <c r="E14" s="1499">
        <v>1.7016744780547188</v>
      </c>
      <c r="F14" s="1499">
        <v>1.1268699514660179</v>
      </c>
      <c r="G14" s="1499">
        <v>0.87143913635595904</v>
      </c>
      <c r="H14" s="1499">
        <v>0.95185872096322299</v>
      </c>
      <c r="I14" s="1499">
        <v>2.4337169272331782</v>
      </c>
      <c r="J14" s="1499">
        <v>2.0410308537484854</v>
      </c>
      <c r="K14" s="113">
        <v>0.67962995914138757</v>
      </c>
    </row>
    <row r="15" spans="2:11" ht="14.5" thickBot="1" x14ac:dyDescent="0.35">
      <c r="B15" s="1233"/>
      <c r="C15" s="116" t="s">
        <v>1519</v>
      </c>
      <c r="D15" s="117">
        <v>2.7385823679778416</v>
      </c>
      <c r="E15" s="117">
        <v>1.8907561665771473</v>
      </c>
      <c r="F15" s="117">
        <v>1.3062008445265272</v>
      </c>
      <c r="G15" s="117">
        <v>1.0592827909950597</v>
      </c>
      <c r="H15" s="117">
        <v>1.1341323426221737</v>
      </c>
      <c r="I15" s="117">
        <v>2.6214917775231363</v>
      </c>
      <c r="J15" s="117">
        <v>2.2308878169606445</v>
      </c>
      <c r="K15" s="118">
        <v>0.8688279086971693</v>
      </c>
    </row>
    <row r="16" spans="2:11" x14ac:dyDescent="0.3">
      <c r="B16" s="107" t="s">
        <v>1977</v>
      </c>
      <c r="C16" s="108" t="s">
        <v>1416</v>
      </c>
      <c r="D16" s="109">
        <v>2.4083880413949572</v>
      </c>
      <c r="E16" s="109">
        <v>1.5193561480350617</v>
      </c>
      <c r="F16" s="109">
        <v>0.97412783975909689</v>
      </c>
      <c r="G16" s="109">
        <v>0.68802745301421586</v>
      </c>
      <c r="H16" s="109">
        <v>0.78303360022358715</v>
      </c>
      <c r="I16" s="109">
        <v>2.2591120265505995</v>
      </c>
      <c r="J16" s="109">
        <v>1.867600908620646</v>
      </c>
      <c r="K16" s="110">
        <v>0.56680027950784395</v>
      </c>
    </row>
    <row r="17" spans="2:11" x14ac:dyDescent="0.3">
      <c r="B17" s="111" t="s">
        <v>1978</v>
      </c>
      <c r="C17" s="112" t="s">
        <v>1483</v>
      </c>
      <c r="D17" s="1499">
        <v>2.7126707322523789</v>
      </c>
      <c r="E17" s="1499">
        <v>1.8648445308516848</v>
      </c>
      <c r="F17" s="1499">
        <v>1.2802892088010647</v>
      </c>
      <c r="G17" s="1499">
        <v>1.0333711552695974</v>
      </c>
      <c r="H17" s="1499">
        <v>1.1082207068967111</v>
      </c>
      <c r="I17" s="1499">
        <v>2.5955801417976736</v>
      </c>
      <c r="J17" s="1499">
        <v>2.2049761812351822</v>
      </c>
      <c r="K17" s="113">
        <v>0.8429162729717069</v>
      </c>
    </row>
    <row r="18" spans="2:11" x14ac:dyDescent="0.3">
      <c r="B18" s="111" t="s">
        <v>1980</v>
      </c>
      <c r="C18" s="112" t="s">
        <v>1489</v>
      </c>
      <c r="D18" s="1499">
        <v>2.6763719077472778</v>
      </c>
      <c r="E18" s="1499">
        <v>1.8285457063465838</v>
      </c>
      <c r="F18" s="1499">
        <v>1.2439903842959639</v>
      </c>
      <c r="G18" s="1499">
        <v>0.99707233076449631</v>
      </c>
      <c r="H18" s="1499">
        <v>1.0719218823916101</v>
      </c>
      <c r="I18" s="1499">
        <v>2.559281317292573</v>
      </c>
      <c r="J18" s="1499">
        <v>2.1686773567300812</v>
      </c>
      <c r="K18" s="113">
        <v>0.80661744846660588</v>
      </c>
    </row>
    <row r="19" spans="2:11" x14ac:dyDescent="0.3">
      <c r="B19" s="114">
        <v>0</v>
      </c>
      <c r="C19" s="112" t="s">
        <v>1496</v>
      </c>
      <c r="D19" s="1499">
        <v>2.6219236709896268</v>
      </c>
      <c r="E19" s="1499">
        <v>1.7740974695889324</v>
      </c>
      <c r="F19" s="1499">
        <v>1.1895421475383126</v>
      </c>
      <c r="G19" s="1499">
        <v>0.94262409400684477</v>
      </c>
      <c r="H19" s="1499">
        <v>1.0174736456339586</v>
      </c>
      <c r="I19" s="1499">
        <v>2.5048330805349215</v>
      </c>
      <c r="J19" s="1499">
        <v>2.1142291199724297</v>
      </c>
      <c r="K19" s="113">
        <v>0.75216921170895434</v>
      </c>
    </row>
    <row r="20" spans="2:11" x14ac:dyDescent="0.3">
      <c r="B20" s="115"/>
      <c r="C20" s="112" t="s">
        <v>1500</v>
      </c>
      <c r="D20" s="1499">
        <v>2.5674754342319752</v>
      </c>
      <c r="E20" s="1499">
        <v>1.7196492328312807</v>
      </c>
      <c r="F20" s="1499">
        <v>1.1350939107806608</v>
      </c>
      <c r="G20" s="1499">
        <v>0.88817585724919346</v>
      </c>
      <c r="H20" s="1499">
        <v>0.96302540887630717</v>
      </c>
      <c r="I20" s="1499">
        <v>2.4503848437772699</v>
      </c>
      <c r="J20" s="1499">
        <v>2.0597808832147781</v>
      </c>
      <c r="K20" s="113">
        <v>0.69772097495130303</v>
      </c>
    </row>
    <row r="21" spans="2:11" x14ac:dyDescent="0.3">
      <c r="B21" s="115"/>
      <c r="C21" s="112" t="s">
        <v>1504</v>
      </c>
      <c r="D21" s="1499">
        <v>2.6511265448273984</v>
      </c>
      <c r="E21" s="1499">
        <v>1.7938884275948175</v>
      </c>
      <c r="F21" s="1499">
        <v>1.2190839010061165</v>
      </c>
      <c r="G21" s="1499">
        <v>0.96365308589605736</v>
      </c>
      <c r="H21" s="1499">
        <v>1.0440726705033214</v>
      </c>
      <c r="I21" s="1499">
        <v>2.5259308767732769</v>
      </c>
      <c r="J21" s="1499">
        <v>2.1332448032885836</v>
      </c>
      <c r="K21" s="113">
        <v>0.77184390868148611</v>
      </c>
    </row>
    <row r="22" spans="2:11" x14ac:dyDescent="0.3">
      <c r="B22" s="115"/>
      <c r="C22" s="112" t="s">
        <v>1508</v>
      </c>
      <c r="D22" s="1499">
        <v>2.6215951485110081</v>
      </c>
      <c r="E22" s="1499">
        <v>1.7643570312784271</v>
      </c>
      <c r="F22" s="1499">
        <v>1.1895525046897262</v>
      </c>
      <c r="G22" s="1499">
        <v>0.93412168957966712</v>
      </c>
      <c r="H22" s="1499">
        <v>1.0145412741869313</v>
      </c>
      <c r="I22" s="1499">
        <v>2.4963994804568865</v>
      </c>
      <c r="J22" s="1499">
        <v>2.1037134069721932</v>
      </c>
      <c r="K22" s="113">
        <v>0.74231251236509588</v>
      </c>
    </row>
    <row r="23" spans="2:11" x14ac:dyDescent="0.3">
      <c r="B23" s="115"/>
      <c r="C23" s="112" t="s">
        <v>1513</v>
      </c>
      <c r="D23" s="1499">
        <v>2.5772980540364228</v>
      </c>
      <c r="E23" s="1499">
        <v>1.7200599368038418</v>
      </c>
      <c r="F23" s="1499">
        <v>1.1452554102151407</v>
      </c>
      <c r="G23" s="1499">
        <v>0.88982459510508172</v>
      </c>
      <c r="H23" s="1499">
        <v>0.97024417971234589</v>
      </c>
      <c r="I23" s="1499">
        <v>2.4521023859823012</v>
      </c>
      <c r="J23" s="1499">
        <v>2.0594163124976079</v>
      </c>
      <c r="K23" s="113">
        <v>0.69801541789051047</v>
      </c>
    </row>
    <row r="24" spans="2:11" x14ac:dyDescent="0.3">
      <c r="B24" s="115"/>
      <c r="C24" s="112" t="s">
        <v>1517</v>
      </c>
      <c r="D24" s="1499">
        <v>2.5330009595618375</v>
      </c>
      <c r="E24" s="1499">
        <v>1.6757628423292563</v>
      </c>
      <c r="F24" s="1499">
        <v>1.1009583157405556</v>
      </c>
      <c r="G24" s="1499">
        <v>0.84552750063049653</v>
      </c>
      <c r="H24" s="1499">
        <v>0.92594708523776059</v>
      </c>
      <c r="I24" s="1499">
        <v>2.4078052915077159</v>
      </c>
      <c r="J24" s="1499">
        <v>2.0151192180230226</v>
      </c>
      <c r="K24" s="113">
        <v>0.65371832341592517</v>
      </c>
    </row>
    <row r="25" spans="2:11" ht="14.5" thickBot="1" x14ac:dyDescent="0.35">
      <c r="B25" s="1233"/>
      <c r="C25" s="116" t="s">
        <v>1519</v>
      </c>
      <c r="D25" s="117">
        <v>2.7126707322523789</v>
      </c>
      <c r="E25" s="117">
        <v>1.8648445308516848</v>
      </c>
      <c r="F25" s="117">
        <v>1.2802892088010647</v>
      </c>
      <c r="G25" s="117">
        <v>1.0333711552695974</v>
      </c>
      <c r="H25" s="117">
        <v>1.1082207068967111</v>
      </c>
      <c r="I25" s="117">
        <v>2.5955801417976736</v>
      </c>
      <c r="J25" s="117">
        <v>2.2049761812351822</v>
      </c>
      <c r="K25" s="118">
        <v>0.8429162729717069</v>
      </c>
    </row>
    <row r="26" spans="2:11" x14ac:dyDescent="0.3">
      <c r="B26" s="107" t="s">
        <v>1977</v>
      </c>
      <c r="C26" s="108" t="s">
        <v>1416</v>
      </c>
      <c r="D26" s="109">
        <v>2.3695205878067638</v>
      </c>
      <c r="E26" s="109">
        <v>1.480488694446868</v>
      </c>
      <c r="F26" s="109">
        <v>0.93526038617090324</v>
      </c>
      <c r="G26" s="109">
        <v>0.64915999942602209</v>
      </c>
      <c r="H26" s="109">
        <v>0.74416614663539349</v>
      </c>
      <c r="I26" s="109">
        <v>2.2202445729624056</v>
      </c>
      <c r="J26" s="109">
        <v>1.8287334550324521</v>
      </c>
      <c r="K26" s="110">
        <v>0.52793282591965018</v>
      </c>
    </row>
    <row r="27" spans="2:11" x14ac:dyDescent="0.3">
      <c r="B27" s="111" t="s">
        <v>1978</v>
      </c>
      <c r="C27" s="112" t="s">
        <v>1483</v>
      </c>
      <c r="D27" s="1499">
        <v>2.6738032786641854</v>
      </c>
      <c r="E27" s="1499">
        <v>1.8259770772634911</v>
      </c>
      <c r="F27" s="1499">
        <v>1.241421755212871</v>
      </c>
      <c r="G27" s="1499">
        <v>0.99450370168140356</v>
      </c>
      <c r="H27" s="1499">
        <v>1.0693532533085175</v>
      </c>
      <c r="I27" s="1499">
        <v>2.5567126882094802</v>
      </c>
      <c r="J27" s="1499">
        <v>2.1661087276469884</v>
      </c>
      <c r="K27" s="113">
        <v>0.80404881938351314</v>
      </c>
    </row>
    <row r="28" spans="2:11" x14ac:dyDescent="0.3">
      <c r="B28" s="111" t="s">
        <v>1981</v>
      </c>
      <c r="C28" s="112" t="s">
        <v>1489</v>
      </c>
      <c r="D28" s="1499">
        <v>2.6375044541590844</v>
      </c>
      <c r="E28" s="1499">
        <v>1.7896782527583901</v>
      </c>
      <c r="F28" s="1499">
        <v>1.2051229307077702</v>
      </c>
      <c r="G28" s="1499">
        <v>0.95820487717630265</v>
      </c>
      <c r="H28" s="1499">
        <v>1.0330544288034165</v>
      </c>
      <c r="I28" s="1499">
        <v>2.5204138637043791</v>
      </c>
      <c r="J28" s="1499">
        <v>2.1298099031418873</v>
      </c>
      <c r="K28" s="113">
        <v>0.76774999487841222</v>
      </c>
    </row>
    <row r="29" spans="2:11" x14ac:dyDescent="0.3">
      <c r="B29" s="114">
        <v>0</v>
      </c>
      <c r="C29" s="112" t="s">
        <v>1496</v>
      </c>
      <c r="D29" s="1499">
        <v>2.5830562174014329</v>
      </c>
      <c r="E29" s="1499">
        <v>1.7352300160007386</v>
      </c>
      <c r="F29" s="1499">
        <v>1.1506746939501187</v>
      </c>
      <c r="G29" s="1499">
        <v>0.90375664041865111</v>
      </c>
      <c r="H29" s="1499">
        <v>0.97860619204576504</v>
      </c>
      <c r="I29" s="1499">
        <v>2.4659656269467276</v>
      </c>
      <c r="J29" s="1499">
        <v>2.0753616663842358</v>
      </c>
      <c r="K29" s="113">
        <v>0.71330175812076069</v>
      </c>
    </row>
    <row r="30" spans="2:11" x14ac:dyDescent="0.3">
      <c r="B30" s="115"/>
      <c r="C30" s="112" t="s">
        <v>1500</v>
      </c>
      <c r="D30" s="1512">
        <v>2.5286079806437809</v>
      </c>
      <c r="E30" s="1499">
        <v>1.680781779243087</v>
      </c>
      <c r="F30" s="1499">
        <v>1.0962264571924671</v>
      </c>
      <c r="G30" s="1499">
        <v>0.84930840366099969</v>
      </c>
      <c r="H30" s="1499">
        <v>0.92415795528811351</v>
      </c>
      <c r="I30" s="1499">
        <v>2.4115173901890765</v>
      </c>
      <c r="J30" s="1499">
        <v>2.0209134296265847</v>
      </c>
      <c r="K30" s="113">
        <v>0.65885352136310915</v>
      </c>
    </row>
    <row r="31" spans="2:11" x14ac:dyDescent="0.3">
      <c r="B31" s="115"/>
      <c r="C31" s="112" t="s">
        <v>1504</v>
      </c>
      <c r="D31" s="1499">
        <v>2.6122590912392045</v>
      </c>
      <c r="E31" s="1499">
        <v>1.7550209740066236</v>
      </c>
      <c r="F31" s="1499">
        <v>1.1802164474179226</v>
      </c>
      <c r="G31" s="1499">
        <v>0.9247856323078637</v>
      </c>
      <c r="H31" s="1499">
        <v>1.0052052169151278</v>
      </c>
      <c r="I31" s="1499">
        <v>2.487063423185083</v>
      </c>
      <c r="J31" s="1499">
        <v>2.0943773497003897</v>
      </c>
      <c r="K31" s="113">
        <v>0.73297645509329246</v>
      </c>
    </row>
    <row r="32" spans="2:11" x14ac:dyDescent="0.3">
      <c r="B32" s="115"/>
      <c r="C32" s="112" t="s">
        <v>1508</v>
      </c>
      <c r="D32" s="1499">
        <v>2.5827276949228142</v>
      </c>
      <c r="E32" s="1499">
        <v>1.7254895776902335</v>
      </c>
      <c r="F32" s="1499">
        <v>1.1506850511015325</v>
      </c>
      <c r="G32" s="1499">
        <v>0.89525423599147347</v>
      </c>
      <c r="H32" s="1499">
        <v>0.97567382059873764</v>
      </c>
      <c r="I32" s="1499">
        <v>2.4575320268686927</v>
      </c>
      <c r="J32" s="1499">
        <v>2.0648459533839998</v>
      </c>
      <c r="K32" s="113">
        <v>0.70344505877690222</v>
      </c>
    </row>
    <row r="33" spans="2:11" x14ac:dyDescent="0.3">
      <c r="B33" s="115"/>
      <c r="C33" s="112" t="s">
        <v>1513</v>
      </c>
      <c r="D33" s="1499">
        <v>2.5384306004482289</v>
      </c>
      <c r="E33" s="1499">
        <v>1.6811924832156482</v>
      </c>
      <c r="F33" s="1499">
        <v>1.106387956626947</v>
      </c>
      <c r="G33" s="1499">
        <v>0.85095714151688806</v>
      </c>
      <c r="H33" s="1499">
        <v>0.93137672612415223</v>
      </c>
      <c r="I33" s="1499">
        <v>2.4132349323941074</v>
      </c>
      <c r="J33" s="1499">
        <v>2.0205488589094145</v>
      </c>
      <c r="K33" s="113">
        <v>0.65914796430231681</v>
      </c>
    </row>
    <row r="34" spans="2:11" x14ac:dyDescent="0.3">
      <c r="B34" s="115"/>
      <c r="C34" s="112" t="s">
        <v>1517</v>
      </c>
      <c r="D34" s="1499">
        <v>2.4941335059736436</v>
      </c>
      <c r="E34" s="1499">
        <v>1.6368953887410627</v>
      </c>
      <c r="F34" s="1499">
        <v>1.0620908621523617</v>
      </c>
      <c r="G34" s="1499">
        <v>0.80666004704230287</v>
      </c>
      <c r="H34" s="1499">
        <v>0.88707963164956682</v>
      </c>
      <c r="I34" s="1499">
        <v>2.3689378379195221</v>
      </c>
      <c r="J34" s="1499">
        <v>1.976251764434829</v>
      </c>
      <c r="K34" s="113">
        <v>0.61485086982773141</v>
      </c>
    </row>
    <row r="35" spans="2:11" ht="14.5" thickBot="1" x14ac:dyDescent="0.35">
      <c r="B35" s="1233"/>
      <c r="C35" s="116" t="s">
        <v>1519</v>
      </c>
      <c r="D35" s="117">
        <v>2.6738032786641854</v>
      </c>
      <c r="E35" s="117">
        <v>1.8259770772634911</v>
      </c>
      <c r="F35" s="117">
        <v>1.241421755212871</v>
      </c>
      <c r="G35" s="117">
        <v>0.99450370168140356</v>
      </c>
      <c r="H35" s="117">
        <v>1.0693532533085175</v>
      </c>
      <c r="I35" s="117">
        <v>2.5567126882094802</v>
      </c>
      <c r="J35" s="117">
        <v>2.1661087276469884</v>
      </c>
      <c r="K35" s="118">
        <v>0.80404881938351314</v>
      </c>
    </row>
    <row r="36" spans="2:11" x14ac:dyDescent="0.3">
      <c r="B36" s="107" t="s">
        <v>1977</v>
      </c>
      <c r="C36" s="108" t="s">
        <v>1416</v>
      </c>
      <c r="D36" s="109">
        <v>2.3306531342185699</v>
      </c>
      <c r="E36" s="109">
        <v>1.4416212408586744</v>
      </c>
      <c r="F36" s="109">
        <v>0.89639293258270936</v>
      </c>
      <c r="G36" s="109">
        <v>0.61029254583782833</v>
      </c>
      <c r="H36" s="109">
        <v>0.70529869304719972</v>
      </c>
      <c r="I36" s="109">
        <v>2.1813771193742122</v>
      </c>
      <c r="J36" s="109">
        <v>1.7898660014442584</v>
      </c>
      <c r="K36" s="110">
        <v>0.48906537233145647</v>
      </c>
    </row>
    <row r="37" spans="2:11" x14ac:dyDescent="0.3">
      <c r="B37" s="111" t="s">
        <v>1978</v>
      </c>
      <c r="C37" s="112" t="s">
        <v>1483</v>
      </c>
      <c r="D37" s="1499">
        <v>2.6349358250759916</v>
      </c>
      <c r="E37" s="1499">
        <v>1.7871096236752975</v>
      </c>
      <c r="F37" s="1499">
        <v>1.2025543016246774</v>
      </c>
      <c r="G37" s="1499">
        <v>0.95563624809320991</v>
      </c>
      <c r="H37" s="1499">
        <v>1.0304857997203238</v>
      </c>
      <c r="I37" s="1499">
        <v>2.5178452346212863</v>
      </c>
      <c r="J37" s="1499">
        <v>2.1272412740587949</v>
      </c>
      <c r="K37" s="113">
        <v>0.76518136579531948</v>
      </c>
    </row>
    <row r="38" spans="2:11" x14ac:dyDescent="0.3">
      <c r="B38" s="111" t="s">
        <v>1982</v>
      </c>
      <c r="C38" s="112" t="s">
        <v>1489</v>
      </c>
      <c r="D38" s="1499">
        <v>2.5986370005708905</v>
      </c>
      <c r="E38" s="1499">
        <v>1.7508107991701964</v>
      </c>
      <c r="F38" s="1499">
        <v>1.1662554771195766</v>
      </c>
      <c r="G38" s="1499">
        <v>0.91933742358810888</v>
      </c>
      <c r="H38" s="1499">
        <v>0.9941869752152227</v>
      </c>
      <c r="I38" s="1499">
        <v>2.4815464101161857</v>
      </c>
      <c r="J38" s="1499">
        <v>2.0909424495536939</v>
      </c>
      <c r="K38" s="113">
        <v>0.72888254129021846</v>
      </c>
    </row>
    <row r="39" spans="2:11" x14ac:dyDescent="0.3">
      <c r="B39" s="114">
        <v>0</v>
      </c>
      <c r="C39" s="112" t="s">
        <v>1496</v>
      </c>
      <c r="D39" s="1499">
        <v>2.5441887638132394</v>
      </c>
      <c r="E39" s="1499">
        <v>1.6963625624125449</v>
      </c>
      <c r="F39" s="1499">
        <v>1.1118072403619248</v>
      </c>
      <c r="G39" s="1499">
        <v>0.86488918683045735</v>
      </c>
      <c r="H39" s="1499">
        <v>0.93973873845757117</v>
      </c>
      <c r="I39" s="1499">
        <v>2.4270981733585342</v>
      </c>
      <c r="J39" s="1499">
        <v>2.0364942127960424</v>
      </c>
      <c r="K39" s="113">
        <v>0.67443430453256692</v>
      </c>
    </row>
    <row r="40" spans="2:11" x14ac:dyDescent="0.3">
      <c r="B40" s="115"/>
      <c r="C40" s="112" t="s">
        <v>1500</v>
      </c>
      <c r="D40" s="1513">
        <v>2.4897405270555875</v>
      </c>
      <c r="E40" s="1499">
        <v>1.6419143256548934</v>
      </c>
      <c r="F40" s="1499">
        <v>1.0573590036042735</v>
      </c>
      <c r="G40" s="1499">
        <v>0.81044095007280581</v>
      </c>
      <c r="H40" s="1499">
        <v>0.88529050169991985</v>
      </c>
      <c r="I40" s="1499">
        <v>2.3726499366008822</v>
      </c>
      <c r="J40" s="1499">
        <v>1.9820459760383908</v>
      </c>
      <c r="K40" s="113">
        <v>0.61998606777491538</v>
      </c>
    </row>
    <row r="41" spans="2:11" x14ac:dyDescent="0.3">
      <c r="B41" s="115"/>
      <c r="C41" s="112" t="s">
        <v>1504</v>
      </c>
      <c r="D41" s="1499">
        <v>2.5733916376510106</v>
      </c>
      <c r="E41" s="1499">
        <v>1.7161535204184299</v>
      </c>
      <c r="F41" s="1499">
        <v>1.141348993829729</v>
      </c>
      <c r="G41" s="1499">
        <v>0.88591817871966994</v>
      </c>
      <c r="H41" s="1499">
        <v>0.966337763326934</v>
      </c>
      <c r="I41" s="1499">
        <v>2.4481959695968891</v>
      </c>
      <c r="J41" s="1499">
        <v>2.0555098961121963</v>
      </c>
      <c r="K41" s="113">
        <v>0.69410900150509858</v>
      </c>
    </row>
    <row r="42" spans="2:11" x14ac:dyDescent="0.3">
      <c r="B42" s="115"/>
      <c r="C42" s="112" t="s">
        <v>1508</v>
      </c>
      <c r="D42" s="1499">
        <v>2.5438602413346203</v>
      </c>
      <c r="E42" s="1499">
        <v>1.6866221241020398</v>
      </c>
      <c r="F42" s="1499">
        <v>1.1118175975133386</v>
      </c>
      <c r="G42" s="1499">
        <v>0.8563867824032797</v>
      </c>
      <c r="H42" s="1499">
        <v>0.93680636701054376</v>
      </c>
      <c r="I42" s="1499">
        <v>2.4186645732804992</v>
      </c>
      <c r="J42" s="1499">
        <v>2.0259784997958059</v>
      </c>
      <c r="K42" s="113">
        <v>0.66457760518870834</v>
      </c>
    </row>
    <row r="43" spans="2:11" x14ac:dyDescent="0.3">
      <c r="B43" s="115"/>
      <c r="C43" s="112" t="s">
        <v>1513</v>
      </c>
      <c r="D43" s="1499">
        <v>2.4995631468600354</v>
      </c>
      <c r="E43" s="1499">
        <v>1.6423250296274543</v>
      </c>
      <c r="F43" s="1499">
        <v>1.0675205030387533</v>
      </c>
      <c r="G43" s="1499">
        <v>0.8120896879286944</v>
      </c>
      <c r="H43" s="1499">
        <v>0.89250927253595846</v>
      </c>
      <c r="I43" s="1499">
        <v>2.3743674788059139</v>
      </c>
      <c r="J43" s="1499">
        <v>1.9816814053212206</v>
      </c>
      <c r="K43" s="113">
        <v>0.62028051071412305</v>
      </c>
    </row>
    <row r="44" spans="2:11" x14ac:dyDescent="0.3">
      <c r="B44" s="115"/>
      <c r="C44" s="112" t="s">
        <v>1517</v>
      </c>
      <c r="D44" s="1499">
        <v>2.4552660523854493</v>
      </c>
      <c r="E44" s="1499">
        <v>1.598027935152869</v>
      </c>
      <c r="F44" s="1499">
        <v>1.023223408564168</v>
      </c>
      <c r="G44" s="1499">
        <v>0.767792593454109</v>
      </c>
      <c r="H44" s="1499">
        <v>0.84821217806137317</v>
      </c>
      <c r="I44" s="1499">
        <v>2.3300703843313282</v>
      </c>
      <c r="J44" s="1499">
        <v>1.9373843108466353</v>
      </c>
      <c r="K44" s="113">
        <v>0.57598341623953775</v>
      </c>
    </row>
    <row r="45" spans="2:11" ht="14.5" thickBot="1" x14ac:dyDescent="0.35">
      <c r="B45" s="1233"/>
      <c r="C45" s="116" t="s">
        <v>1519</v>
      </c>
      <c r="D45" s="117">
        <v>2.6349358250759916</v>
      </c>
      <c r="E45" s="117">
        <v>1.7871096236752975</v>
      </c>
      <c r="F45" s="117">
        <v>1.2025543016246774</v>
      </c>
      <c r="G45" s="117">
        <v>0.95563624809320991</v>
      </c>
      <c r="H45" s="117">
        <v>1.0304857997203238</v>
      </c>
      <c r="I45" s="117">
        <v>2.5178452346212863</v>
      </c>
      <c r="J45" s="117">
        <v>2.1272412740587949</v>
      </c>
      <c r="K45" s="118">
        <v>0.76518136579531948</v>
      </c>
    </row>
    <row r="46" spans="2:11" x14ac:dyDescent="0.3">
      <c r="B46" s="119" t="s">
        <v>1983</v>
      </c>
      <c r="C46" s="108" t="s">
        <v>1416</v>
      </c>
      <c r="D46" s="109">
        <v>2.3616695036786068</v>
      </c>
      <c r="E46" s="109">
        <v>1.4650500061234728</v>
      </c>
      <c r="F46" s="109">
        <v>0.93472870181202272</v>
      </c>
      <c r="G46" s="109">
        <v>0.66026746184979712</v>
      </c>
      <c r="H46" s="109">
        <v>0.74097802860824813</v>
      </c>
      <c r="I46" s="109">
        <v>2.2016024058751991</v>
      </c>
      <c r="J46" s="109">
        <v>1.8134019217184536</v>
      </c>
      <c r="K46" s="110">
        <v>0.54629451218974756</v>
      </c>
    </row>
    <row r="47" spans="2:11" x14ac:dyDescent="0.3">
      <c r="B47" s="111"/>
      <c r="C47" s="112" t="s">
        <v>1483</v>
      </c>
      <c r="D47" s="1499">
        <v>2.6675333643057315</v>
      </c>
      <c r="E47" s="1499">
        <v>1.8139671659022825</v>
      </c>
      <c r="F47" s="1499">
        <v>1.2439764552446506</v>
      </c>
      <c r="G47" s="1499">
        <v>0.99062526768189185</v>
      </c>
      <c r="H47" s="1499">
        <v>1.0697418419778657</v>
      </c>
      <c r="I47" s="1499">
        <v>2.5401959654770994</v>
      </c>
      <c r="J47" s="1499">
        <v>2.1494630329729181</v>
      </c>
      <c r="K47" s="113">
        <v>0.80307488363789459</v>
      </c>
    </row>
    <row r="48" spans="2:11" x14ac:dyDescent="0.3">
      <c r="B48" s="111" t="s">
        <v>1979</v>
      </c>
      <c r="C48" s="112" t="s">
        <v>1489</v>
      </c>
      <c r="D48" s="1499">
        <v>2.6312345398006305</v>
      </c>
      <c r="E48" s="1499">
        <v>1.7776683413971817</v>
      </c>
      <c r="F48" s="1499">
        <v>1.2076776307395496</v>
      </c>
      <c r="G48" s="1499">
        <v>0.95432644317679083</v>
      </c>
      <c r="H48" s="1499">
        <v>1.0334430174727647</v>
      </c>
      <c r="I48" s="1499">
        <v>2.5038971409719983</v>
      </c>
      <c r="J48" s="1499">
        <v>2.1131642084678175</v>
      </c>
      <c r="K48" s="113">
        <v>0.76677605913279356</v>
      </c>
    </row>
    <row r="49" spans="2:11" x14ac:dyDescent="0.3">
      <c r="B49" s="114">
        <v>0</v>
      </c>
      <c r="C49" s="112" t="s">
        <v>1496</v>
      </c>
      <c r="D49" s="1499">
        <v>2.576786303042979</v>
      </c>
      <c r="E49" s="1499">
        <v>1.7232201046395303</v>
      </c>
      <c r="F49" s="1499">
        <v>1.1532293939818983</v>
      </c>
      <c r="G49" s="1499">
        <v>0.8998782064191394</v>
      </c>
      <c r="H49" s="1499">
        <v>0.97899478071511326</v>
      </c>
      <c r="I49" s="1499">
        <v>2.4494489042143468</v>
      </c>
      <c r="J49" s="1499">
        <v>2.058715971710166</v>
      </c>
      <c r="K49" s="113">
        <v>0.71232782237514214</v>
      </c>
    </row>
    <row r="50" spans="2:11" x14ac:dyDescent="0.3">
      <c r="B50" s="115"/>
      <c r="C50" s="112" t="s">
        <v>1500</v>
      </c>
      <c r="D50" s="1499">
        <v>2.5223380662853279</v>
      </c>
      <c r="E50" s="1499">
        <v>1.6687718678818786</v>
      </c>
      <c r="F50" s="1499">
        <v>1.0987811572242467</v>
      </c>
      <c r="G50" s="1499">
        <v>0.84542996966148787</v>
      </c>
      <c r="H50" s="1499">
        <v>0.92454654395746183</v>
      </c>
      <c r="I50" s="1499">
        <v>2.3950006674566957</v>
      </c>
      <c r="J50" s="1499">
        <v>2.0042677349525144</v>
      </c>
      <c r="K50" s="113">
        <v>0.6578795856174906</v>
      </c>
    </row>
    <row r="51" spans="2:11" x14ac:dyDescent="0.3">
      <c r="B51" s="115"/>
      <c r="C51" s="112" t="s">
        <v>1504</v>
      </c>
      <c r="D51" s="1499">
        <v>2.6055234936393097</v>
      </c>
      <c r="E51" s="1499">
        <v>1.7421311215669797</v>
      </c>
      <c r="F51" s="1499">
        <v>1.1824323324650134</v>
      </c>
      <c r="G51" s="1499">
        <v>0.92038465959984062</v>
      </c>
      <c r="H51" s="1499">
        <v>1.0051771121340198</v>
      </c>
      <c r="I51" s="1499">
        <v>2.4701242823471112</v>
      </c>
      <c r="J51" s="1499">
        <v>2.0790169291437199</v>
      </c>
      <c r="K51" s="113">
        <v>0.7384639863407384</v>
      </c>
    </row>
    <row r="52" spans="2:11" x14ac:dyDescent="0.3">
      <c r="B52" s="115"/>
      <c r="C52" s="112" t="s">
        <v>1508</v>
      </c>
      <c r="D52" s="1499">
        <v>2.5759920973229193</v>
      </c>
      <c r="E52" s="1499">
        <v>1.7125997252505893</v>
      </c>
      <c r="F52" s="1499">
        <v>1.1529009361486231</v>
      </c>
      <c r="G52" s="1499">
        <v>0.89085326328345038</v>
      </c>
      <c r="H52" s="1499">
        <v>0.9756457158176296</v>
      </c>
      <c r="I52" s="1499">
        <v>2.4405928860307209</v>
      </c>
      <c r="J52" s="1499">
        <v>2.0494855328273296</v>
      </c>
      <c r="K52" s="113">
        <v>0.70893259002434816</v>
      </c>
    </row>
    <row r="53" spans="2:11" x14ac:dyDescent="0.3">
      <c r="B53" s="115"/>
      <c r="C53" s="112" t="s">
        <v>1513</v>
      </c>
      <c r="D53" s="1499">
        <v>2.531695002848334</v>
      </c>
      <c r="E53" s="1499">
        <v>1.668302630776004</v>
      </c>
      <c r="F53" s="1499">
        <v>1.1086038416740378</v>
      </c>
      <c r="G53" s="1499">
        <v>0.84655616880886508</v>
      </c>
      <c r="H53" s="1499">
        <v>0.93134862134304441</v>
      </c>
      <c r="I53" s="1499">
        <v>2.3962957915561356</v>
      </c>
      <c r="J53" s="1499">
        <v>2.0051884383527443</v>
      </c>
      <c r="K53" s="113">
        <v>0.66463549554976287</v>
      </c>
    </row>
    <row r="54" spans="2:11" x14ac:dyDescent="0.3">
      <c r="B54" s="115"/>
      <c r="C54" s="112" t="s">
        <v>1517</v>
      </c>
      <c r="D54" s="1499">
        <v>2.4873979083737487</v>
      </c>
      <c r="E54" s="1499">
        <v>1.6240055363014188</v>
      </c>
      <c r="F54" s="1499">
        <v>1.0643067471994525</v>
      </c>
      <c r="G54" s="1499">
        <v>0.80225907433427979</v>
      </c>
      <c r="H54" s="1499">
        <v>0.88705152686845901</v>
      </c>
      <c r="I54" s="1499">
        <v>2.3519986970815503</v>
      </c>
      <c r="J54" s="1499">
        <v>1.960891343878159</v>
      </c>
      <c r="K54" s="113">
        <v>0.62033840107517757</v>
      </c>
    </row>
    <row r="55" spans="2:11" ht="14.5" thickBot="1" x14ac:dyDescent="0.35">
      <c r="B55" s="1233"/>
      <c r="C55" s="116" t="s">
        <v>1519</v>
      </c>
      <c r="D55" s="117">
        <v>2.6675333643057315</v>
      </c>
      <c r="E55" s="117">
        <v>1.8139671659022825</v>
      </c>
      <c r="F55" s="117">
        <v>1.2439764552446506</v>
      </c>
      <c r="G55" s="117">
        <v>0.99062526768189185</v>
      </c>
      <c r="H55" s="117">
        <v>1.0697418419778657</v>
      </c>
      <c r="I55" s="117">
        <v>2.5401959654770994</v>
      </c>
      <c r="J55" s="117">
        <v>2.1494630329729181</v>
      </c>
      <c r="K55" s="118">
        <v>0.80307488363789459</v>
      </c>
    </row>
    <row r="56" spans="2:11" x14ac:dyDescent="0.3">
      <c r="B56" s="119" t="s">
        <v>1983</v>
      </c>
      <c r="C56" s="108" t="s">
        <v>1416</v>
      </c>
      <c r="D56" s="109">
        <v>2.3482952902108183</v>
      </c>
      <c r="E56" s="109">
        <v>1.4516757926556842</v>
      </c>
      <c r="F56" s="109">
        <v>0.92135448834423428</v>
      </c>
      <c r="G56" s="109">
        <v>0.64689324838200857</v>
      </c>
      <c r="H56" s="109">
        <v>0.72760381514045958</v>
      </c>
      <c r="I56" s="109">
        <v>2.1882281924074105</v>
      </c>
      <c r="J56" s="109">
        <v>1.800027708250665</v>
      </c>
      <c r="K56" s="110">
        <v>0.53292029872195901</v>
      </c>
    </row>
    <row r="57" spans="2:11" x14ac:dyDescent="0.3">
      <c r="B57" s="111"/>
      <c r="C57" s="112" t="s">
        <v>1483</v>
      </c>
      <c r="D57" s="1499">
        <v>2.654159150837943</v>
      </c>
      <c r="E57" s="1499">
        <v>1.8005929524344941</v>
      </c>
      <c r="F57" s="1499">
        <v>1.2306022417768621</v>
      </c>
      <c r="G57" s="1499">
        <v>0.97725105421410319</v>
      </c>
      <c r="H57" s="1499">
        <v>1.0563676285100772</v>
      </c>
      <c r="I57" s="1499">
        <v>2.5268217520093108</v>
      </c>
      <c r="J57" s="1499">
        <v>2.13608881950513</v>
      </c>
      <c r="K57" s="113">
        <v>0.78970067017010603</v>
      </c>
    </row>
    <row r="58" spans="2:11" x14ac:dyDescent="0.3">
      <c r="B58" s="111" t="s">
        <v>1980</v>
      </c>
      <c r="C58" s="112" t="s">
        <v>1489</v>
      </c>
      <c r="D58" s="1499">
        <v>2.6178603263328419</v>
      </c>
      <c r="E58" s="1499">
        <v>1.7642941279293931</v>
      </c>
      <c r="F58" s="1499">
        <v>1.1943034172717613</v>
      </c>
      <c r="G58" s="1499">
        <v>0.94095222970900227</v>
      </c>
      <c r="H58" s="1499">
        <v>1.0200688040049761</v>
      </c>
      <c r="I58" s="1499">
        <v>2.4905229275042098</v>
      </c>
      <c r="J58" s="1499">
        <v>2.0997899950000289</v>
      </c>
      <c r="K58" s="113">
        <v>0.75340184566500501</v>
      </c>
    </row>
    <row r="59" spans="2:11" x14ac:dyDescent="0.3">
      <c r="B59" s="114">
        <v>0</v>
      </c>
      <c r="C59" s="112" t="s">
        <v>1496</v>
      </c>
      <c r="D59" s="1499">
        <v>2.5634120895751904</v>
      </c>
      <c r="E59" s="1499">
        <v>1.7098458911717418</v>
      </c>
      <c r="F59" s="1499">
        <v>1.1398551805141097</v>
      </c>
      <c r="G59" s="1499">
        <v>0.88650399295135074</v>
      </c>
      <c r="H59" s="1499">
        <v>0.96562056724732459</v>
      </c>
      <c r="I59" s="1499">
        <v>2.4360746907465582</v>
      </c>
      <c r="J59" s="1499">
        <v>2.0453417582423774</v>
      </c>
      <c r="K59" s="113">
        <v>0.69895360890735347</v>
      </c>
    </row>
    <row r="60" spans="2:11" x14ac:dyDescent="0.3">
      <c r="B60" s="115"/>
      <c r="C60" s="112" t="s">
        <v>1500</v>
      </c>
      <c r="D60" s="1499">
        <v>2.5089638528175393</v>
      </c>
      <c r="E60" s="1499">
        <v>1.65539765441409</v>
      </c>
      <c r="F60" s="1499">
        <v>1.0854069437564582</v>
      </c>
      <c r="G60" s="1499">
        <v>0.8320557561936992</v>
      </c>
      <c r="H60" s="1499">
        <v>0.91117233048967317</v>
      </c>
      <c r="I60" s="1499">
        <v>2.3816264539889072</v>
      </c>
      <c r="J60" s="1499">
        <v>1.9908935214847259</v>
      </c>
      <c r="K60" s="113">
        <v>0.64450537214970216</v>
      </c>
    </row>
    <row r="61" spans="2:11" x14ac:dyDescent="0.3">
      <c r="B61" s="115"/>
      <c r="C61" s="112" t="s">
        <v>1504</v>
      </c>
      <c r="D61" s="1499">
        <v>2.5921492801715211</v>
      </c>
      <c r="E61" s="1499">
        <v>1.7287569080991911</v>
      </c>
      <c r="F61" s="1499">
        <v>1.1690581189972249</v>
      </c>
      <c r="G61" s="1499">
        <v>0.90701044613205206</v>
      </c>
      <c r="H61" s="1499">
        <v>0.99180289866623139</v>
      </c>
      <c r="I61" s="1499">
        <v>2.4567500688793227</v>
      </c>
      <c r="J61" s="1499">
        <v>2.0656427156759314</v>
      </c>
      <c r="K61" s="113">
        <v>0.72508977287294984</v>
      </c>
    </row>
    <row r="62" spans="2:11" x14ac:dyDescent="0.3">
      <c r="B62" s="115"/>
      <c r="C62" s="112" t="s">
        <v>1508</v>
      </c>
      <c r="D62" s="1499">
        <v>2.5626178838551308</v>
      </c>
      <c r="E62" s="1499">
        <v>1.6992255117828008</v>
      </c>
      <c r="F62" s="1499">
        <v>1.1395267226808345</v>
      </c>
      <c r="G62" s="1499">
        <v>0.87747904981566183</v>
      </c>
      <c r="H62" s="1499">
        <v>0.96227150234984116</v>
      </c>
      <c r="I62" s="1499">
        <v>2.4272186725629323</v>
      </c>
      <c r="J62" s="1499">
        <v>2.036111319359541</v>
      </c>
      <c r="K62" s="113">
        <v>0.69555837655655961</v>
      </c>
    </row>
    <row r="63" spans="2:11" x14ac:dyDescent="0.3">
      <c r="B63" s="115"/>
      <c r="C63" s="112" t="s">
        <v>1513</v>
      </c>
      <c r="D63" s="1499">
        <v>2.5183207893805455</v>
      </c>
      <c r="E63" s="1499">
        <v>1.6549284173082155</v>
      </c>
      <c r="F63" s="1499">
        <v>1.0952296282062493</v>
      </c>
      <c r="G63" s="1499">
        <v>0.83318195534107653</v>
      </c>
      <c r="H63" s="1499">
        <v>0.91797440787525575</v>
      </c>
      <c r="I63" s="1499">
        <v>2.382921578088347</v>
      </c>
      <c r="J63" s="1499">
        <v>1.9918142248849557</v>
      </c>
      <c r="K63" s="113">
        <v>0.65126128208197431</v>
      </c>
    </row>
    <row r="64" spans="2:11" x14ac:dyDescent="0.3">
      <c r="B64" s="115"/>
      <c r="C64" s="112" t="s">
        <v>1517</v>
      </c>
      <c r="D64" s="1499">
        <v>2.4740236949059602</v>
      </c>
      <c r="E64" s="1499">
        <v>1.61063132283363</v>
      </c>
      <c r="F64" s="1499">
        <v>1.050932533731664</v>
      </c>
      <c r="G64" s="1499">
        <v>0.78888486086649123</v>
      </c>
      <c r="H64" s="1499">
        <v>0.87367731340067045</v>
      </c>
      <c r="I64" s="1499">
        <v>2.3386244836137617</v>
      </c>
      <c r="J64" s="1499">
        <v>1.9475171304103702</v>
      </c>
      <c r="K64" s="113">
        <v>0.60696418760738902</v>
      </c>
    </row>
    <row r="65" spans="2:11" ht="14.5" thickBot="1" x14ac:dyDescent="0.35">
      <c r="B65" s="1233"/>
      <c r="C65" s="116" t="s">
        <v>1519</v>
      </c>
      <c r="D65" s="117">
        <v>2.654159150837943</v>
      </c>
      <c r="E65" s="117">
        <v>1.8005929524344941</v>
      </c>
      <c r="F65" s="117">
        <v>1.2306022417768621</v>
      </c>
      <c r="G65" s="117">
        <v>0.97725105421410319</v>
      </c>
      <c r="H65" s="117">
        <v>1.0563676285100772</v>
      </c>
      <c r="I65" s="117">
        <v>2.5268217520093108</v>
      </c>
      <c r="J65" s="117">
        <v>2.13608881950513</v>
      </c>
      <c r="K65" s="118">
        <v>0.78970067017010603</v>
      </c>
    </row>
    <row r="66" spans="2:11" x14ac:dyDescent="0.3">
      <c r="B66" s="119" t="s">
        <v>1983</v>
      </c>
      <c r="C66" s="108" t="s">
        <v>1416</v>
      </c>
      <c r="D66" s="109">
        <v>2.3282339700091352</v>
      </c>
      <c r="E66" s="109">
        <v>1.4316144724540014</v>
      </c>
      <c r="F66" s="109">
        <v>0.90129316814255134</v>
      </c>
      <c r="G66" s="109">
        <v>0.62683192818032563</v>
      </c>
      <c r="H66" s="109">
        <v>0.70754249493877663</v>
      </c>
      <c r="I66" s="109">
        <v>2.1681668722057279</v>
      </c>
      <c r="J66" s="109">
        <v>1.7799663880489822</v>
      </c>
      <c r="K66" s="110">
        <v>0.51285897852027618</v>
      </c>
    </row>
    <row r="67" spans="2:11" x14ac:dyDescent="0.3">
      <c r="B67" s="111"/>
      <c r="C67" s="112" t="s">
        <v>1483</v>
      </c>
      <c r="D67" s="1499">
        <v>2.6340978306362599</v>
      </c>
      <c r="E67" s="1499">
        <v>1.7805316322328113</v>
      </c>
      <c r="F67" s="1499">
        <v>1.2105409215751792</v>
      </c>
      <c r="G67" s="1499">
        <v>0.95718973401242047</v>
      </c>
      <c r="H67" s="1499">
        <v>1.0363063083083943</v>
      </c>
      <c r="I67" s="1499">
        <v>2.5067604318076278</v>
      </c>
      <c r="J67" s="1499">
        <v>2.1160274993034469</v>
      </c>
      <c r="K67" s="113">
        <v>0.7696393499684232</v>
      </c>
    </row>
    <row r="68" spans="2:11" x14ac:dyDescent="0.3">
      <c r="B68" s="111" t="s">
        <v>1981</v>
      </c>
      <c r="C68" s="112" t="s">
        <v>1489</v>
      </c>
      <c r="D68" s="1499">
        <v>2.5977990061311589</v>
      </c>
      <c r="E68" s="1499">
        <v>1.7442328077277103</v>
      </c>
      <c r="F68" s="1499">
        <v>1.1742420970700784</v>
      </c>
      <c r="G68" s="1499">
        <v>0.92089090950731933</v>
      </c>
      <c r="H68" s="1499">
        <v>1.0000074838032933</v>
      </c>
      <c r="I68" s="1499">
        <v>2.4704616073025267</v>
      </c>
      <c r="J68" s="1499">
        <v>2.0797286747983459</v>
      </c>
      <c r="K68" s="113">
        <v>0.73334052546332207</v>
      </c>
    </row>
    <row r="69" spans="2:11" x14ac:dyDescent="0.3">
      <c r="B69" s="114">
        <v>0</v>
      </c>
      <c r="C69" s="112" t="s">
        <v>1496</v>
      </c>
      <c r="D69" s="1499">
        <v>2.5433507693735073</v>
      </c>
      <c r="E69" s="1499">
        <v>1.6897845709700587</v>
      </c>
      <c r="F69" s="1499">
        <v>1.1197938603124269</v>
      </c>
      <c r="G69" s="1499">
        <v>0.86644267274966802</v>
      </c>
      <c r="H69" s="1499">
        <v>0.94555924704564187</v>
      </c>
      <c r="I69" s="1499">
        <v>2.4160133705448752</v>
      </c>
      <c r="J69" s="1499">
        <v>2.0252804380406944</v>
      </c>
      <c r="K69" s="113">
        <v>0.67889228870567075</v>
      </c>
    </row>
    <row r="70" spans="2:11" x14ac:dyDescent="0.3">
      <c r="B70" s="115"/>
      <c r="C70" s="112" t="s">
        <v>1500</v>
      </c>
      <c r="D70" s="1499">
        <v>2.4889025326158563</v>
      </c>
      <c r="E70" s="1499">
        <v>1.6353363342124072</v>
      </c>
      <c r="F70" s="1499">
        <v>1.0653456235547754</v>
      </c>
      <c r="G70" s="1499">
        <v>0.81199443599201648</v>
      </c>
      <c r="H70" s="1499">
        <v>0.89111101028799033</v>
      </c>
      <c r="I70" s="1499">
        <v>2.3615651337872241</v>
      </c>
      <c r="J70" s="1499">
        <v>1.970832201283043</v>
      </c>
      <c r="K70" s="113">
        <v>0.62444405194801922</v>
      </c>
    </row>
    <row r="71" spans="2:11" x14ac:dyDescent="0.3">
      <c r="B71" s="115"/>
      <c r="C71" s="112" t="s">
        <v>1504</v>
      </c>
      <c r="D71" s="1499">
        <v>2.5720879599698381</v>
      </c>
      <c r="E71" s="1499">
        <v>1.7086955878975081</v>
      </c>
      <c r="F71" s="1499">
        <v>1.1489967987955418</v>
      </c>
      <c r="G71" s="1499">
        <v>0.88694912593036934</v>
      </c>
      <c r="H71" s="1499">
        <v>0.97174157846454845</v>
      </c>
      <c r="I71" s="1499">
        <v>2.4366887486776396</v>
      </c>
      <c r="J71" s="1499">
        <v>2.0455813954742483</v>
      </c>
      <c r="K71" s="113">
        <v>0.7050284526712669</v>
      </c>
    </row>
    <row r="72" spans="2:11" x14ac:dyDescent="0.3">
      <c r="B72" s="115"/>
      <c r="C72" s="112" t="s">
        <v>1508</v>
      </c>
      <c r="D72" s="1499">
        <v>2.5425565636534477</v>
      </c>
      <c r="E72" s="1499">
        <v>1.679164191581118</v>
      </c>
      <c r="F72" s="1499">
        <v>1.1194654024791517</v>
      </c>
      <c r="G72" s="1499">
        <v>0.857417729613979</v>
      </c>
      <c r="H72" s="1499">
        <v>0.94221018214815822</v>
      </c>
      <c r="I72" s="1499">
        <v>2.4071573523612493</v>
      </c>
      <c r="J72" s="1499">
        <v>2.016049999157858</v>
      </c>
      <c r="K72" s="113">
        <v>0.67549705635487678</v>
      </c>
    </row>
    <row r="73" spans="2:11" x14ac:dyDescent="0.3">
      <c r="B73" s="115"/>
      <c r="C73" s="112" t="s">
        <v>1513</v>
      </c>
      <c r="D73" s="1499">
        <v>2.4982594691788624</v>
      </c>
      <c r="E73" s="1499">
        <v>1.6348670971065324</v>
      </c>
      <c r="F73" s="1499">
        <v>1.0751683080045664</v>
      </c>
      <c r="G73" s="1499">
        <v>0.8131206351393937</v>
      </c>
      <c r="H73" s="1499">
        <v>0.89791308767357292</v>
      </c>
      <c r="I73" s="1499">
        <v>2.362860257886664</v>
      </c>
      <c r="J73" s="1499">
        <v>1.9717529046832727</v>
      </c>
      <c r="K73" s="113">
        <v>0.63119996188029148</v>
      </c>
    </row>
    <row r="74" spans="2:11" x14ac:dyDescent="0.3">
      <c r="B74" s="115"/>
      <c r="C74" s="112" t="s">
        <v>1517</v>
      </c>
      <c r="D74" s="1499">
        <v>2.4539623747042771</v>
      </c>
      <c r="E74" s="1499">
        <v>1.5905700026319471</v>
      </c>
      <c r="F74" s="1499">
        <v>1.0308712135299811</v>
      </c>
      <c r="G74" s="1499">
        <v>0.76882354066480829</v>
      </c>
      <c r="H74" s="1499">
        <v>0.85361599319898762</v>
      </c>
      <c r="I74" s="1499">
        <v>2.3185631634120787</v>
      </c>
      <c r="J74" s="1499">
        <v>1.9274558102086874</v>
      </c>
      <c r="K74" s="113">
        <v>0.58690286740570607</v>
      </c>
    </row>
    <row r="75" spans="2:11" ht="14.5" thickBot="1" x14ac:dyDescent="0.35">
      <c r="B75" s="1233"/>
      <c r="C75" s="116" t="s">
        <v>1519</v>
      </c>
      <c r="D75" s="117">
        <v>2.6340978306362599</v>
      </c>
      <c r="E75" s="117">
        <v>1.7805316322328113</v>
      </c>
      <c r="F75" s="117">
        <v>1.2105409215751792</v>
      </c>
      <c r="G75" s="117">
        <v>0.95718973401242047</v>
      </c>
      <c r="H75" s="117">
        <v>1.0363063083083943</v>
      </c>
      <c r="I75" s="117">
        <v>2.5067604318076278</v>
      </c>
      <c r="J75" s="117">
        <v>2.1160274993034469</v>
      </c>
      <c r="K75" s="118">
        <v>0.7696393499684232</v>
      </c>
    </row>
    <row r="76" spans="2:11" x14ac:dyDescent="0.3">
      <c r="B76" s="119" t="s">
        <v>1983</v>
      </c>
      <c r="C76" s="108" t="s">
        <v>1416</v>
      </c>
      <c r="D76" s="109">
        <v>2.3081726498074531</v>
      </c>
      <c r="E76" s="109">
        <v>1.4115531522523184</v>
      </c>
      <c r="F76" s="109">
        <v>0.88123184794086851</v>
      </c>
      <c r="G76" s="109">
        <v>0.60677060797864291</v>
      </c>
      <c r="H76" s="109">
        <v>0.68748117473709391</v>
      </c>
      <c r="I76" s="109">
        <v>2.1481055520040448</v>
      </c>
      <c r="J76" s="109">
        <v>1.7599050678472992</v>
      </c>
      <c r="K76" s="110">
        <v>0.49279765831859329</v>
      </c>
    </row>
    <row r="77" spans="2:11" x14ac:dyDescent="0.3">
      <c r="B77" s="111"/>
      <c r="C77" s="112" t="s">
        <v>1483</v>
      </c>
      <c r="D77" s="1499">
        <v>2.6140365104345773</v>
      </c>
      <c r="E77" s="1499">
        <v>1.7604703120311285</v>
      </c>
      <c r="F77" s="1499">
        <v>1.1904796013734966</v>
      </c>
      <c r="G77" s="1499">
        <v>0.93712841381073753</v>
      </c>
      <c r="H77" s="1499">
        <v>1.0162449881067115</v>
      </c>
      <c r="I77" s="1499">
        <v>2.4866991116059451</v>
      </c>
      <c r="J77" s="1499">
        <v>2.0959661791017643</v>
      </c>
      <c r="K77" s="113">
        <v>0.74957802976674026</v>
      </c>
    </row>
    <row r="78" spans="2:11" x14ac:dyDescent="0.3">
      <c r="B78" s="111" t="s">
        <v>1982</v>
      </c>
      <c r="C78" s="112" t="s">
        <v>1489</v>
      </c>
      <c r="D78" s="1499">
        <v>2.5777376859294763</v>
      </c>
      <c r="E78" s="1499">
        <v>1.7241714875260272</v>
      </c>
      <c r="F78" s="1499">
        <v>1.1541807768683954</v>
      </c>
      <c r="G78" s="1499">
        <v>0.90082958930563661</v>
      </c>
      <c r="H78" s="1499">
        <v>0.97994616360161046</v>
      </c>
      <c r="I78" s="1499">
        <v>2.4504002871008441</v>
      </c>
      <c r="J78" s="1499">
        <v>2.0596673545966628</v>
      </c>
      <c r="K78" s="113">
        <v>0.71327920526163935</v>
      </c>
    </row>
    <row r="79" spans="2:11" x14ac:dyDescent="0.3">
      <c r="B79" s="114">
        <v>0</v>
      </c>
      <c r="C79" s="112" t="s">
        <v>1496</v>
      </c>
      <c r="D79" s="1499">
        <v>2.5232894491718252</v>
      </c>
      <c r="E79" s="1499">
        <v>1.6697232507683759</v>
      </c>
      <c r="F79" s="1499">
        <v>1.0997325401107441</v>
      </c>
      <c r="G79" s="1499">
        <v>0.84638135254798508</v>
      </c>
      <c r="H79" s="1499">
        <v>0.92549792684395893</v>
      </c>
      <c r="I79" s="1499">
        <v>2.395952050343193</v>
      </c>
      <c r="J79" s="1499">
        <v>2.0052191178390117</v>
      </c>
      <c r="K79" s="113">
        <v>0.65883096850398781</v>
      </c>
    </row>
    <row r="80" spans="2:11" x14ac:dyDescent="0.3">
      <c r="B80" s="115"/>
      <c r="C80" s="112" t="s">
        <v>1500</v>
      </c>
      <c r="D80" s="1499">
        <v>2.4688412124141732</v>
      </c>
      <c r="E80" s="1499">
        <v>1.6152750140107246</v>
      </c>
      <c r="F80" s="1499">
        <v>1.0452843033530925</v>
      </c>
      <c r="G80" s="1499">
        <v>0.79193311579033365</v>
      </c>
      <c r="H80" s="1499">
        <v>0.87104969008630762</v>
      </c>
      <c r="I80" s="1499">
        <v>2.341503813585541</v>
      </c>
      <c r="J80" s="1499">
        <v>1.9507708810813602</v>
      </c>
      <c r="K80" s="113">
        <v>0.60438273174633628</v>
      </c>
    </row>
    <row r="81" spans="2:11" x14ac:dyDescent="0.3">
      <c r="B81" s="115"/>
      <c r="C81" s="112" t="s">
        <v>1504</v>
      </c>
      <c r="D81" s="1499">
        <v>2.552026639768155</v>
      </c>
      <c r="E81" s="1499">
        <v>1.6886342676958253</v>
      </c>
      <c r="F81" s="1499">
        <v>1.128935478593859</v>
      </c>
      <c r="G81" s="1499">
        <v>0.8668878057286864</v>
      </c>
      <c r="H81" s="1499">
        <v>0.95168025826286562</v>
      </c>
      <c r="I81" s="1499">
        <v>2.4166274284759566</v>
      </c>
      <c r="J81" s="1499">
        <v>2.0255200752725653</v>
      </c>
      <c r="K81" s="113">
        <v>0.68496713246958418</v>
      </c>
    </row>
    <row r="82" spans="2:11" x14ac:dyDescent="0.3">
      <c r="B82" s="115"/>
      <c r="C82" s="112" t="s">
        <v>1508</v>
      </c>
      <c r="D82" s="1499">
        <v>2.5224952434517651</v>
      </c>
      <c r="E82" s="1499">
        <v>1.6591028713794349</v>
      </c>
      <c r="F82" s="1499">
        <v>1.0994040822774689</v>
      </c>
      <c r="G82" s="1499">
        <v>0.83735640941229617</v>
      </c>
      <c r="H82" s="1499">
        <v>0.92214886194647538</v>
      </c>
      <c r="I82" s="1499">
        <v>2.3870960321595667</v>
      </c>
      <c r="J82" s="1499">
        <v>1.9959886789561752</v>
      </c>
      <c r="K82" s="113">
        <v>0.65543573615319395</v>
      </c>
    </row>
    <row r="83" spans="2:11" x14ac:dyDescent="0.3">
      <c r="B83" s="115"/>
      <c r="C83" s="112" t="s">
        <v>1513</v>
      </c>
      <c r="D83" s="1499">
        <v>2.4781981489771798</v>
      </c>
      <c r="E83" s="1499">
        <v>1.6148057769048496</v>
      </c>
      <c r="F83" s="1499">
        <v>1.0551069878028836</v>
      </c>
      <c r="G83" s="1499">
        <v>0.79305931493771076</v>
      </c>
      <c r="H83" s="1499">
        <v>0.87785176747189009</v>
      </c>
      <c r="I83" s="1499">
        <v>2.3427989376849818</v>
      </c>
      <c r="J83" s="1499">
        <v>1.9516915844815899</v>
      </c>
      <c r="K83" s="113">
        <v>0.61113864167860854</v>
      </c>
    </row>
    <row r="84" spans="2:11" x14ac:dyDescent="0.3">
      <c r="B84" s="115"/>
      <c r="C84" s="112" t="s">
        <v>1517</v>
      </c>
      <c r="D84" s="1499">
        <v>2.4339010545025941</v>
      </c>
      <c r="E84" s="1499">
        <v>1.5705086824302643</v>
      </c>
      <c r="F84" s="1499">
        <v>1.0108098933282983</v>
      </c>
      <c r="G84" s="1499">
        <v>0.74876222046312557</v>
      </c>
      <c r="H84" s="1499">
        <v>0.83355467299730479</v>
      </c>
      <c r="I84" s="1499">
        <v>2.2985018432103961</v>
      </c>
      <c r="J84" s="1499">
        <v>1.9073944900070046</v>
      </c>
      <c r="K84" s="113">
        <v>0.56684154720402335</v>
      </c>
    </row>
    <row r="85" spans="2:11" ht="14.5" thickBot="1" x14ac:dyDescent="0.35">
      <c r="B85" s="1233"/>
      <c r="C85" s="116" t="s">
        <v>1519</v>
      </c>
      <c r="D85" s="117">
        <v>2.6140365104345773</v>
      </c>
      <c r="E85" s="117">
        <v>1.7604703120311285</v>
      </c>
      <c r="F85" s="117">
        <v>1.1904796013734966</v>
      </c>
      <c r="G85" s="117">
        <v>0.93712841381073753</v>
      </c>
      <c r="H85" s="117">
        <v>1.0162449881067115</v>
      </c>
      <c r="I85" s="117">
        <v>2.4866991116059451</v>
      </c>
      <c r="J85" s="117">
        <v>2.0959661791017643</v>
      </c>
      <c r="K85" s="118">
        <v>0.74957802976674026</v>
      </c>
    </row>
    <row r="87" spans="2:11" ht="14.5" thickBot="1" x14ac:dyDescent="0.35"/>
    <row r="88" spans="2:11" ht="25.5" thickBot="1" x14ac:dyDescent="0.55000000000000004">
      <c r="B88" s="88" t="s">
        <v>1960</v>
      </c>
      <c r="C88" s="89"/>
      <c r="D88" s="90">
        <v>2</v>
      </c>
      <c r="E88" s="91" t="s">
        <v>1984</v>
      </c>
      <c r="F88" s="92"/>
      <c r="G88" s="92"/>
      <c r="H88" s="92"/>
      <c r="I88" s="93"/>
      <c r="J88" s="89" t="s">
        <v>176</v>
      </c>
      <c r="K88" s="94" t="s">
        <v>214</v>
      </c>
    </row>
    <row r="89" spans="2:11" ht="14.5" thickBot="1" x14ac:dyDescent="0.35">
      <c r="B89" s="95" t="s">
        <v>1962</v>
      </c>
      <c r="C89" s="96" t="s">
        <v>1963</v>
      </c>
      <c r="D89" s="95" t="s">
        <v>1964</v>
      </c>
      <c r="E89" s="97" t="s">
        <v>1965</v>
      </c>
      <c r="F89" s="97" t="s">
        <v>1966</v>
      </c>
      <c r="G89" s="97" t="s">
        <v>1967</v>
      </c>
      <c r="H89" s="97" t="s">
        <v>1968</v>
      </c>
      <c r="I89" s="97" t="s">
        <v>1969</v>
      </c>
      <c r="J89" s="97" t="s">
        <v>1970</v>
      </c>
      <c r="K89" s="98" t="s">
        <v>1971</v>
      </c>
    </row>
    <row r="90" spans="2:11" ht="14.5" thickBot="1" x14ac:dyDescent="0.35">
      <c r="B90" s="99"/>
      <c r="C90" s="99"/>
      <c r="D90" s="100"/>
      <c r="E90" s="944"/>
      <c r="F90" s="944"/>
      <c r="G90" s="944"/>
      <c r="H90" s="944"/>
      <c r="I90" s="944"/>
      <c r="J90" s="944"/>
      <c r="K90" s="102"/>
    </row>
    <row r="91" spans="2:11" ht="90.5" thickBot="1" x14ac:dyDescent="0.45">
      <c r="B91" s="103" t="s">
        <v>1972</v>
      </c>
      <c r="C91" s="103" t="s">
        <v>1973</v>
      </c>
      <c r="D91" s="105" t="s">
        <v>1974</v>
      </c>
      <c r="E91" s="105" t="s">
        <v>1525</v>
      </c>
      <c r="F91" s="105" t="s">
        <v>1527</v>
      </c>
      <c r="G91" s="105" t="s">
        <v>1975</v>
      </c>
      <c r="H91" s="105" t="s">
        <v>1976</v>
      </c>
      <c r="I91" s="105" t="s">
        <v>1445</v>
      </c>
      <c r="J91" s="105" t="s">
        <v>1538</v>
      </c>
      <c r="K91" s="106" t="s">
        <v>1541</v>
      </c>
    </row>
    <row r="92" spans="2:11" x14ac:dyDescent="0.3">
      <c r="B92" s="107" t="s">
        <v>1985</v>
      </c>
      <c r="C92" s="108" t="s">
        <v>1416</v>
      </c>
      <c r="D92" s="109">
        <v>2.2217910327752239</v>
      </c>
      <c r="E92" s="109">
        <v>1.3139042333240143</v>
      </c>
      <c r="F92" s="109">
        <v>0.81177993944921489</v>
      </c>
      <c r="G92" s="109">
        <v>0.57817865874982699</v>
      </c>
      <c r="H92" s="109">
        <v>0.64661826325726934</v>
      </c>
      <c r="I92" s="109">
        <v>2.0306527933939078</v>
      </c>
      <c r="J92" s="109">
        <v>1.6512382293566528</v>
      </c>
      <c r="K92" s="110">
        <v>0.46522187773435503</v>
      </c>
    </row>
    <row r="93" spans="2:11" x14ac:dyDescent="0.3">
      <c r="B93" s="111"/>
      <c r="C93" s="112" t="s">
        <v>1483</v>
      </c>
      <c r="D93" s="1499">
        <v>2.5306527583469061</v>
      </c>
      <c r="E93" s="1499">
        <v>1.6591075385240033</v>
      </c>
      <c r="F93" s="1499">
        <v>1.1273875641625082</v>
      </c>
      <c r="G93" s="1499">
        <v>0.8587272535332432</v>
      </c>
      <c r="H93" s="1499">
        <v>0.94866877395646021</v>
      </c>
      <c r="I93" s="1499">
        <v>2.3693348053759617</v>
      </c>
      <c r="J93" s="1499">
        <v>1.9902378356314243</v>
      </c>
      <c r="K93" s="113">
        <v>0.6956426338316094</v>
      </c>
    </row>
    <row r="94" spans="2:11" x14ac:dyDescent="0.3">
      <c r="B94" s="111" t="s">
        <v>1986</v>
      </c>
      <c r="C94" s="112" t="s">
        <v>1489</v>
      </c>
      <c r="D94" s="1499">
        <v>2.494353933841805</v>
      </c>
      <c r="E94" s="1499">
        <v>1.6228087140189023</v>
      </c>
      <c r="F94" s="1499">
        <v>1.0910887396574072</v>
      </c>
      <c r="G94" s="1499">
        <v>0.82242842902814206</v>
      </c>
      <c r="H94" s="1499">
        <v>0.91236994945135919</v>
      </c>
      <c r="I94" s="1499">
        <v>2.3330359808708607</v>
      </c>
      <c r="J94" s="1499">
        <v>1.9539390111263233</v>
      </c>
      <c r="K94" s="113">
        <v>0.65934380932650838</v>
      </c>
    </row>
    <row r="95" spans="2:11" x14ac:dyDescent="0.3">
      <c r="B95" s="114">
        <v>0</v>
      </c>
      <c r="C95" s="112" t="s">
        <v>1496</v>
      </c>
      <c r="D95" s="1499">
        <v>2.4399056970841535</v>
      </c>
      <c r="E95" s="1499">
        <v>1.5683604772612507</v>
      </c>
      <c r="F95" s="1499">
        <v>1.0366405028997556</v>
      </c>
      <c r="G95" s="1499">
        <v>0.76798019227049064</v>
      </c>
      <c r="H95" s="1499">
        <v>0.85792171269370765</v>
      </c>
      <c r="I95" s="1499">
        <v>2.2785877441132092</v>
      </c>
      <c r="J95" s="1499">
        <v>1.8994907743686718</v>
      </c>
      <c r="K95" s="113">
        <v>0.60489557256885684</v>
      </c>
    </row>
    <row r="96" spans="2:11" x14ac:dyDescent="0.3">
      <c r="B96" s="115"/>
      <c r="C96" s="112" t="s">
        <v>1500</v>
      </c>
      <c r="D96" s="1499">
        <v>2.3854574603265024</v>
      </c>
      <c r="E96" s="1499">
        <v>1.5139122405035994</v>
      </c>
      <c r="F96" s="1499">
        <v>0.9821922661421042</v>
      </c>
      <c r="G96" s="1499">
        <v>0.71353195551283921</v>
      </c>
      <c r="H96" s="1499">
        <v>0.80347347593605623</v>
      </c>
      <c r="I96" s="1499">
        <v>2.2241395073555577</v>
      </c>
      <c r="J96" s="1499">
        <v>1.8450425376110202</v>
      </c>
      <c r="K96" s="113">
        <v>0.55044733581120542</v>
      </c>
    </row>
    <row r="97" spans="2:11" x14ac:dyDescent="0.3">
      <c r="B97" s="115"/>
      <c r="C97" s="112" t="s">
        <v>1504</v>
      </c>
      <c r="D97" s="1499">
        <v>2.4677117877525014</v>
      </c>
      <c r="E97" s="1499">
        <v>1.5856901598681241</v>
      </c>
      <c r="F97" s="1499">
        <v>1.0651777501227961</v>
      </c>
      <c r="G97" s="1499">
        <v>0.78767596509973747</v>
      </c>
      <c r="H97" s="1499">
        <v>0.88326218497787745</v>
      </c>
      <c r="I97" s="1499">
        <v>2.2987570480964781</v>
      </c>
      <c r="J97" s="1499">
        <v>1.9210062943720052</v>
      </c>
      <c r="K97" s="113">
        <v>0.64821810451690565</v>
      </c>
    </row>
    <row r="98" spans="2:11" x14ac:dyDescent="0.3">
      <c r="B98" s="115"/>
      <c r="C98" s="112" t="s">
        <v>1508</v>
      </c>
      <c r="D98" s="1499">
        <v>2.4381803914361111</v>
      </c>
      <c r="E98" s="1499">
        <v>1.556158763551734</v>
      </c>
      <c r="F98" s="1499">
        <v>1.0356463538064058</v>
      </c>
      <c r="G98" s="1499">
        <v>0.75814456878334724</v>
      </c>
      <c r="H98" s="1499">
        <v>0.85373078866148722</v>
      </c>
      <c r="I98" s="1499">
        <v>2.2692256517800882</v>
      </c>
      <c r="J98" s="1499">
        <v>1.8914748980556151</v>
      </c>
      <c r="K98" s="113">
        <v>0.61868670820051541</v>
      </c>
    </row>
    <row r="99" spans="2:11" x14ac:dyDescent="0.3">
      <c r="B99" s="115"/>
      <c r="C99" s="112" t="s">
        <v>1513</v>
      </c>
      <c r="D99" s="1499">
        <v>2.3938832969615258</v>
      </c>
      <c r="E99" s="1499">
        <v>1.5118616690771485</v>
      </c>
      <c r="F99" s="1499">
        <v>0.99134925933182061</v>
      </c>
      <c r="G99" s="1499">
        <v>0.71384747430876194</v>
      </c>
      <c r="H99" s="1499">
        <v>0.80943369418690192</v>
      </c>
      <c r="I99" s="1499">
        <v>2.2249285573055024</v>
      </c>
      <c r="J99" s="1499">
        <v>1.8471778035810296</v>
      </c>
      <c r="K99" s="113">
        <v>0.57438961372593023</v>
      </c>
    </row>
    <row r="100" spans="2:11" x14ac:dyDescent="0.3">
      <c r="B100" s="115"/>
      <c r="C100" s="112" t="s">
        <v>1517</v>
      </c>
      <c r="D100" s="1499">
        <v>2.3495862024869405</v>
      </c>
      <c r="E100" s="1499">
        <v>1.4675645746025632</v>
      </c>
      <c r="F100" s="1499">
        <v>0.9470521648572352</v>
      </c>
      <c r="G100" s="1499">
        <v>0.66955037983417653</v>
      </c>
      <c r="H100" s="1499">
        <v>0.76513659971231651</v>
      </c>
      <c r="I100" s="1499">
        <v>2.1806314628309171</v>
      </c>
      <c r="J100" s="1499">
        <v>1.8028807091064445</v>
      </c>
      <c r="K100" s="113">
        <v>0.53009251925134482</v>
      </c>
    </row>
    <row r="101" spans="2:11" ht="14.5" thickBot="1" x14ac:dyDescent="0.35">
      <c r="B101" s="115"/>
      <c r="C101" s="116" t="s">
        <v>1519</v>
      </c>
      <c r="D101" s="117">
        <v>2.5306527583469061</v>
      </c>
      <c r="E101" s="117">
        <v>1.6591075385240033</v>
      </c>
      <c r="F101" s="117">
        <v>1.1273875641625082</v>
      </c>
      <c r="G101" s="117">
        <v>0.8587272535332432</v>
      </c>
      <c r="H101" s="117">
        <v>0.94866877395646021</v>
      </c>
      <c r="I101" s="117">
        <v>2.3693348053759617</v>
      </c>
      <c r="J101" s="117">
        <v>1.9902378356314243</v>
      </c>
      <c r="K101" s="118">
        <v>0.6956426338316094</v>
      </c>
    </row>
    <row r="102" spans="2:11" x14ac:dyDescent="0.3">
      <c r="B102" s="120" t="s">
        <v>1985</v>
      </c>
      <c r="C102" s="1234" t="s">
        <v>1416</v>
      </c>
      <c r="D102" s="109">
        <v>2.2142033531496392</v>
      </c>
      <c r="E102" s="109">
        <v>1.3063165536984296</v>
      </c>
      <c r="F102" s="109">
        <v>0.8041922598236303</v>
      </c>
      <c r="G102" s="109">
        <v>0.57059097912424239</v>
      </c>
      <c r="H102" s="109">
        <v>0.63903058363168486</v>
      </c>
      <c r="I102" s="109">
        <v>2.0230651137683231</v>
      </c>
      <c r="J102" s="109">
        <v>1.6436505497310681</v>
      </c>
      <c r="K102" s="110">
        <v>0.45763419810877048</v>
      </c>
    </row>
    <row r="103" spans="2:11" x14ac:dyDescent="0.3">
      <c r="B103" s="121"/>
      <c r="C103" s="1500" t="s">
        <v>1483</v>
      </c>
      <c r="D103" s="1499">
        <v>2.5230650787213214</v>
      </c>
      <c r="E103" s="1499">
        <v>1.6515198588984186</v>
      </c>
      <c r="F103" s="1499">
        <v>1.1197998845369235</v>
      </c>
      <c r="G103" s="1499">
        <v>0.85113957390765849</v>
      </c>
      <c r="H103" s="1499">
        <v>0.94108109433087561</v>
      </c>
      <c r="I103" s="1499">
        <v>2.361747125750377</v>
      </c>
      <c r="J103" s="1499">
        <v>1.9826501560058396</v>
      </c>
      <c r="K103" s="113">
        <v>0.6880549542060248</v>
      </c>
    </row>
    <row r="104" spans="2:11" x14ac:dyDescent="0.3">
      <c r="B104" s="111" t="s">
        <v>1987</v>
      </c>
      <c r="C104" s="1500" t="s">
        <v>1489</v>
      </c>
      <c r="D104" s="1499">
        <v>2.4867662542162208</v>
      </c>
      <c r="E104" s="1499">
        <v>1.6152210343933178</v>
      </c>
      <c r="F104" s="1499">
        <v>1.0835010600318227</v>
      </c>
      <c r="G104" s="1499">
        <v>0.81484074940255757</v>
      </c>
      <c r="H104" s="1499">
        <v>0.90478226982577459</v>
      </c>
      <c r="I104" s="1499">
        <v>2.3254483012452765</v>
      </c>
      <c r="J104" s="1499">
        <v>1.9463513315007386</v>
      </c>
      <c r="K104" s="113">
        <v>0.65175612970092378</v>
      </c>
    </row>
    <row r="105" spans="2:11" x14ac:dyDescent="0.3">
      <c r="B105" s="122">
        <v>0</v>
      </c>
      <c r="C105" s="1500" t="s">
        <v>1496</v>
      </c>
      <c r="D105" s="1499">
        <v>2.4323180174585692</v>
      </c>
      <c r="E105" s="1499">
        <v>1.5607727976356662</v>
      </c>
      <c r="F105" s="1499">
        <v>1.0290528232741711</v>
      </c>
      <c r="G105" s="1499">
        <v>0.76039251264490615</v>
      </c>
      <c r="H105" s="1499">
        <v>0.85033403306812316</v>
      </c>
      <c r="I105" s="1499">
        <v>2.2710000644876249</v>
      </c>
      <c r="J105" s="1499">
        <v>1.8919030947430873</v>
      </c>
      <c r="K105" s="113">
        <v>0.59730789294327236</v>
      </c>
    </row>
    <row r="106" spans="2:11" x14ac:dyDescent="0.3">
      <c r="B106" s="123"/>
      <c r="C106" s="1500" t="s">
        <v>1500</v>
      </c>
      <c r="D106" s="1499">
        <v>2.3778697807009177</v>
      </c>
      <c r="E106" s="1499">
        <v>1.5063245608780147</v>
      </c>
      <c r="F106" s="1499">
        <v>0.9746045865165196</v>
      </c>
      <c r="G106" s="1499">
        <v>0.70594427588725461</v>
      </c>
      <c r="H106" s="1499">
        <v>0.79588579631047163</v>
      </c>
      <c r="I106" s="1499">
        <v>2.2165518277299734</v>
      </c>
      <c r="J106" s="1499">
        <v>1.8374548579854357</v>
      </c>
      <c r="K106" s="113">
        <v>0.54285965618562082</v>
      </c>
    </row>
    <row r="107" spans="2:11" x14ac:dyDescent="0.3">
      <c r="B107" s="123"/>
      <c r="C107" s="1500" t="s">
        <v>1504</v>
      </c>
      <c r="D107" s="1499">
        <v>2.4601241081269167</v>
      </c>
      <c r="E107" s="1499">
        <v>1.5781024802425396</v>
      </c>
      <c r="F107" s="1499">
        <v>1.0575900704972117</v>
      </c>
      <c r="G107" s="1499">
        <v>0.78008828547415288</v>
      </c>
      <c r="H107" s="1499">
        <v>0.87567450535229285</v>
      </c>
      <c r="I107" s="1499">
        <v>2.2911693684708938</v>
      </c>
      <c r="J107" s="1499">
        <v>1.9134186147464209</v>
      </c>
      <c r="K107" s="113">
        <v>0.64063042489132116</v>
      </c>
    </row>
    <row r="108" spans="2:11" x14ac:dyDescent="0.3">
      <c r="B108" s="123"/>
      <c r="C108" s="1500" t="s">
        <v>1508</v>
      </c>
      <c r="D108" s="1499">
        <v>2.4305927118105264</v>
      </c>
      <c r="E108" s="1499">
        <v>1.5485710839261493</v>
      </c>
      <c r="F108" s="1499">
        <v>1.0280586741808213</v>
      </c>
      <c r="G108" s="1499">
        <v>0.75055688915776275</v>
      </c>
      <c r="H108" s="1499">
        <v>0.84614310903590273</v>
      </c>
      <c r="I108" s="1499">
        <v>2.2616379721545035</v>
      </c>
      <c r="J108" s="1499">
        <v>1.8838872184300306</v>
      </c>
      <c r="K108" s="113">
        <v>0.61109902857493092</v>
      </c>
    </row>
    <row r="109" spans="2:11" x14ac:dyDescent="0.3">
      <c r="B109" s="123"/>
      <c r="C109" s="1500" t="s">
        <v>1513</v>
      </c>
      <c r="D109" s="1499">
        <v>2.3862956173359411</v>
      </c>
      <c r="E109" s="1499">
        <v>1.504273989451564</v>
      </c>
      <c r="F109" s="1499">
        <v>0.9837615797062359</v>
      </c>
      <c r="G109" s="1499">
        <v>0.70625979468317734</v>
      </c>
      <c r="H109" s="1499">
        <v>0.80184601456131732</v>
      </c>
      <c r="I109" s="1499">
        <v>2.2173408776799182</v>
      </c>
      <c r="J109" s="1499">
        <v>1.8395901239554453</v>
      </c>
      <c r="K109" s="113">
        <v>0.56680193410034563</v>
      </c>
    </row>
    <row r="110" spans="2:11" x14ac:dyDescent="0.3">
      <c r="B110" s="123"/>
      <c r="C110" s="1500" t="s">
        <v>1517</v>
      </c>
      <c r="D110" s="1499">
        <v>2.3419985228613562</v>
      </c>
      <c r="E110" s="1499">
        <v>1.4599768949769785</v>
      </c>
      <c r="F110" s="1499">
        <v>0.93946448523165071</v>
      </c>
      <c r="G110" s="1499">
        <v>0.66196270020859205</v>
      </c>
      <c r="H110" s="1499">
        <v>0.75754892008673202</v>
      </c>
      <c r="I110" s="1499">
        <v>2.1730437832053329</v>
      </c>
      <c r="J110" s="1499">
        <v>1.7952930294808598</v>
      </c>
      <c r="K110" s="113">
        <v>0.52250483962576033</v>
      </c>
    </row>
    <row r="111" spans="2:11" ht="14.5" thickBot="1" x14ac:dyDescent="0.35">
      <c r="B111" s="124"/>
      <c r="C111" s="125" t="s">
        <v>1519</v>
      </c>
      <c r="D111" s="117">
        <v>2.5230650787213214</v>
      </c>
      <c r="E111" s="117">
        <v>1.6515198588984186</v>
      </c>
      <c r="F111" s="117">
        <v>1.1197998845369235</v>
      </c>
      <c r="G111" s="117">
        <v>0.85113957390765849</v>
      </c>
      <c r="H111" s="117">
        <v>0.94108109433087561</v>
      </c>
      <c r="I111" s="117">
        <v>2.361747125750377</v>
      </c>
      <c r="J111" s="117">
        <v>1.9826501560058396</v>
      </c>
      <c r="K111" s="118">
        <v>0.6880549542060248</v>
      </c>
    </row>
    <row r="112" spans="2:11" x14ac:dyDescent="0.3">
      <c r="B112" s="119" t="s">
        <v>1985</v>
      </c>
      <c r="C112" s="108" t="s">
        <v>1416</v>
      </c>
      <c r="D112" s="109">
        <v>2.2028218337112624</v>
      </c>
      <c r="E112" s="109">
        <v>1.2949350342600527</v>
      </c>
      <c r="F112" s="109">
        <v>0.79281074038525357</v>
      </c>
      <c r="G112" s="109">
        <v>0.55920945968586555</v>
      </c>
      <c r="H112" s="109">
        <v>0.62764906419330802</v>
      </c>
      <c r="I112" s="109">
        <v>2.0116835943299463</v>
      </c>
      <c r="J112" s="109">
        <v>1.6322690302926912</v>
      </c>
      <c r="K112" s="110">
        <v>0.44625267867039364</v>
      </c>
    </row>
    <row r="113" spans="2:11" x14ac:dyDescent="0.3">
      <c r="B113" s="111"/>
      <c r="C113" s="112" t="s">
        <v>1483</v>
      </c>
      <c r="D113" s="1499">
        <v>2.511683559282945</v>
      </c>
      <c r="E113" s="1499">
        <v>1.6401383394600417</v>
      </c>
      <c r="F113" s="1499">
        <v>1.1084183650985469</v>
      </c>
      <c r="G113" s="1499">
        <v>0.83975805446928187</v>
      </c>
      <c r="H113" s="1499">
        <v>0.92969957489249888</v>
      </c>
      <c r="I113" s="1499">
        <v>2.3503656063120002</v>
      </c>
      <c r="J113" s="1499">
        <v>1.9712686365674628</v>
      </c>
      <c r="K113" s="113">
        <v>0.67667343476764807</v>
      </c>
    </row>
    <row r="114" spans="2:11" ht="14.5" thickBot="1" x14ac:dyDescent="0.35">
      <c r="B114" s="111" t="s">
        <v>1988</v>
      </c>
      <c r="C114" s="112" t="s">
        <v>1489</v>
      </c>
      <c r="D114" s="1499">
        <v>2.4753847347778439</v>
      </c>
      <c r="E114" s="1499">
        <v>1.6038395149549409</v>
      </c>
      <c r="F114" s="1501">
        <v>1.0721195405934458</v>
      </c>
      <c r="G114" s="1499">
        <v>0.80345922996418073</v>
      </c>
      <c r="H114" s="1499">
        <v>0.89340075038739786</v>
      </c>
      <c r="I114" s="1499">
        <v>2.3140667818068996</v>
      </c>
      <c r="J114" s="1499">
        <v>1.9349698120623617</v>
      </c>
      <c r="K114" s="113">
        <v>0.64037461026254705</v>
      </c>
    </row>
    <row r="115" spans="2:11" ht="14.5" thickBot="1" x14ac:dyDescent="0.35">
      <c r="B115" s="114">
        <v>0</v>
      </c>
      <c r="C115" s="112" t="s">
        <v>1496</v>
      </c>
      <c r="D115" s="1499">
        <v>2.4209364980201924</v>
      </c>
      <c r="E115" s="1502">
        <v>1.5493912781972896</v>
      </c>
      <c r="F115" s="126">
        <v>1.0176713038357943</v>
      </c>
      <c r="G115" s="1503">
        <v>0.74901099320652931</v>
      </c>
      <c r="H115" s="1499">
        <v>0.83895251362974632</v>
      </c>
      <c r="I115" s="1499">
        <v>2.2596185450492481</v>
      </c>
      <c r="J115" s="1499">
        <v>1.8805215753047104</v>
      </c>
      <c r="K115" s="113">
        <v>0.58592637350489551</v>
      </c>
    </row>
    <row r="116" spans="2:11" x14ac:dyDescent="0.3">
      <c r="B116" s="115"/>
      <c r="C116" s="112" t="s">
        <v>1500</v>
      </c>
      <c r="D116" s="1499">
        <v>2.3664882612625409</v>
      </c>
      <c r="E116" s="1499">
        <v>1.4949430414396379</v>
      </c>
      <c r="F116" s="127">
        <v>0.96322306707814287</v>
      </c>
      <c r="G116" s="1499">
        <v>0.69456275644887788</v>
      </c>
      <c r="H116" s="1499">
        <v>0.7845042768720949</v>
      </c>
      <c r="I116" s="1499">
        <v>2.2051703082915965</v>
      </c>
      <c r="J116" s="1499">
        <v>1.8260733385470589</v>
      </c>
      <c r="K116" s="113">
        <v>0.53147813674724409</v>
      </c>
    </row>
    <row r="117" spans="2:11" x14ac:dyDescent="0.3">
      <c r="B117" s="115"/>
      <c r="C117" s="112" t="s">
        <v>1504</v>
      </c>
      <c r="D117" s="1499">
        <v>2.4487425886885399</v>
      </c>
      <c r="E117" s="1499">
        <v>1.5667209608041628</v>
      </c>
      <c r="F117" s="1499">
        <v>1.0462085510588348</v>
      </c>
      <c r="G117" s="1499">
        <v>0.76870676603577615</v>
      </c>
      <c r="H117" s="1499">
        <v>0.86429298591391612</v>
      </c>
      <c r="I117" s="1499">
        <v>2.279787849032517</v>
      </c>
      <c r="J117" s="1499">
        <v>1.9020370953080441</v>
      </c>
      <c r="K117" s="113">
        <v>0.62924890545294432</v>
      </c>
    </row>
    <row r="118" spans="2:11" x14ac:dyDescent="0.3">
      <c r="B118" s="115"/>
      <c r="C118" s="112" t="s">
        <v>1508</v>
      </c>
      <c r="D118" s="1499">
        <v>2.4192111923721495</v>
      </c>
      <c r="E118" s="1499">
        <v>1.5371895644877724</v>
      </c>
      <c r="F118" s="1499">
        <v>1.0166771547424445</v>
      </c>
      <c r="G118" s="1499">
        <v>0.73917536971938591</v>
      </c>
      <c r="H118" s="1499">
        <v>0.83476158959752589</v>
      </c>
      <c r="I118" s="1499">
        <v>2.2502564527161266</v>
      </c>
      <c r="J118" s="1499">
        <v>1.8725056989916538</v>
      </c>
      <c r="K118" s="113">
        <v>0.59971750913655408</v>
      </c>
    </row>
    <row r="119" spans="2:11" x14ac:dyDescent="0.3">
      <c r="B119" s="115"/>
      <c r="C119" s="112" t="s">
        <v>1513</v>
      </c>
      <c r="D119" s="1499">
        <v>2.3749140978975647</v>
      </c>
      <c r="E119" s="1499">
        <v>1.4928924700131871</v>
      </c>
      <c r="F119" s="1499">
        <v>0.97238006026785917</v>
      </c>
      <c r="G119" s="1499">
        <v>0.69487827524480061</v>
      </c>
      <c r="H119" s="1499">
        <v>0.79046449512294048</v>
      </c>
      <c r="I119" s="1499">
        <v>2.2059593582415413</v>
      </c>
      <c r="J119" s="1499">
        <v>1.8282086045170685</v>
      </c>
      <c r="K119" s="113">
        <v>0.55542041466196879</v>
      </c>
    </row>
    <row r="120" spans="2:11" x14ac:dyDescent="0.3">
      <c r="B120" s="115"/>
      <c r="C120" s="112" t="s">
        <v>1517</v>
      </c>
      <c r="D120" s="1499">
        <v>2.3306170034229794</v>
      </c>
      <c r="E120" s="1499">
        <v>1.4485953755386016</v>
      </c>
      <c r="F120" s="1499">
        <v>0.92808296579327387</v>
      </c>
      <c r="G120" s="1499">
        <v>0.65058118077021521</v>
      </c>
      <c r="H120" s="1499">
        <v>0.74616740064835518</v>
      </c>
      <c r="I120" s="1499">
        <v>2.161662263766956</v>
      </c>
      <c r="J120" s="1499">
        <v>1.7839115100424829</v>
      </c>
      <c r="K120" s="113">
        <v>0.51112332018738349</v>
      </c>
    </row>
    <row r="121" spans="2:11" ht="14.5" thickBot="1" x14ac:dyDescent="0.35">
      <c r="B121" s="1233"/>
      <c r="C121" s="116" t="s">
        <v>1519</v>
      </c>
      <c r="D121" s="117">
        <v>2.511683559282945</v>
      </c>
      <c r="E121" s="117">
        <v>1.6401383394600417</v>
      </c>
      <c r="F121" s="117">
        <v>1.1084183650985469</v>
      </c>
      <c r="G121" s="117">
        <v>0.83975805446928187</v>
      </c>
      <c r="H121" s="117">
        <v>0.92969957489249888</v>
      </c>
      <c r="I121" s="117">
        <v>2.3503656063120002</v>
      </c>
      <c r="J121" s="117">
        <v>1.9712686365674628</v>
      </c>
      <c r="K121" s="118">
        <v>0.67667343476764807</v>
      </c>
    </row>
    <row r="122" spans="2:11" x14ac:dyDescent="0.3">
      <c r="B122" s="107" t="s">
        <v>1985</v>
      </c>
      <c r="C122" s="108" t="s">
        <v>1416</v>
      </c>
      <c r="D122" s="109">
        <v>2.1914403142728855</v>
      </c>
      <c r="E122" s="109">
        <v>1.2835535148216759</v>
      </c>
      <c r="F122" s="109">
        <v>0.78142922094687672</v>
      </c>
      <c r="G122" s="109">
        <v>0.54782794024748871</v>
      </c>
      <c r="H122" s="109">
        <v>0.61626754475493117</v>
      </c>
      <c r="I122" s="109">
        <v>2.0003020748915694</v>
      </c>
      <c r="J122" s="109">
        <v>1.6208875108543144</v>
      </c>
      <c r="K122" s="110">
        <v>0.43487115923201686</v>
      </c>
    </row>
    <row r="123" spans="2:11" x14ac:dyDescent="0.3">
      <c r="B123" s="111"/>
      <c r="C123" s="112" t="s">
        <v>1483</v>
      </c>
      <c r="D123" s="1499">
        <v>2.5003020398445681</v>
      </c>
      <c r="E123" s="1499">
        <v>1.6287568200216649</v>
      </c>
      <c r="F123" s="1499">
        <v>1.09703684566017</v>
      </c>
      <c r="G123" s="1499">
        <v>0.82837653503090503</v>
      </c>
      <c r="H123" s="1499">
        <v>0.91831805545412204</v>
      </c>
      <c r="I123" s="1499">
        <v>2.3389840868736234</v>
      </c>
      <c r="J123" s="1499">
        <v>1.9598871171290859</v>
      </c>
      <c r="K123" s="113">
        <v>0.66529191532927123</v>
      </c>
    </row>
    <row r="124" spans="2:11" x14ac:dyDescent="0.3">
      <c r="B124" s="111" t="s">
        <v>1989</v>
      </c>
      <c r="C124" s="112" t="s">
        <v>1489</v>
      </c>
      <c r="D124" s="1499">
        <v>2.4640032153394671</v>
      </c>
      <c r="E124" s="1499">
        <v>1.5924579955165641</v>
      </c>
      <c r="F124" s="1499">
        <v>1.060738021155069</v>
      </c>
      <c r="G124" s="1499">
        <v>0.792077710525804</v>
      </c>
      <c r="H124" s="1499">
        <v>0.88201923094902102</v>
      </c>
      <c r="I124" s="1499">
        <v>2.3026852623685228</v>
      </c>
      <c r="J124" s="1499">
        <v>1.9235882926239851</v>
      </c>
      <c r="K124" s="113">
        <v>0.62899309082417021</v>
      </c>
    </row>
    <row r="125" spans="2:11" x14ac:dyDescent="0.3">
      <c r="B125" s="114">
        <v>0</v>
      </c>
      <c r="C125" s="112" t="s">
        <v>1496</v>
      </c>
      <c r="D125" s="1499">
        <v>2.4095549785818156</v>
      </c>
      <c r="E125" s="1499">
        <v>1.5380097587589128</v>
      </c>
      <c r="F125" s="1499">
        <v>1.0062897843974175</v>
      </c>
      <c r="G125" s="1499">
        <v>0.73762947376815247</v>
      </c>
      <c r="H125" s="1499">
        <v>0.82757099419136948</v>
      </c>
      <c r="I125" s="1499">
        <v>2.2482370256108712</v>
      </c>
      <c r="J125" s="1499">
        <v>1.8691400558663336</v>
      </c>
      <c r="K125" s="113">
        <v>0.57454485406651878</v>
      </c>
    </row>
    <row r="126" spans="2:11" x14ac:dyDescent="0.3">
      <c r="B126" s="115"/>
      <c r="C126" s="112" t="s">
        <v>1500</v>
      </c>
      <c r="D126" s="1499">
        <v>2.3551067418241645</v>
      </c>
      <c r="E126" s="1499">
        <v>1.483561522001261</v>
      </c>
      <c r="F126" s="1499">
        <v>0.95184154763976614</v>
      </c>
      <c r="G126" s="1499">
        <v>0.68318123701050104</v>
      </c>
      <c r="H126" s="1499">
        <v>0.77312275743371806</v>
      </c>
      <c r="I126" s="1499">
        <v>2.1937887888532197</v>
      </c>
      <c r="J126" s="1499">
        <v>1.814691819108682</v>
      </c>
      <c r="K126" s="113">
        <v>0.52009661730886725</v>
      </c>
    </row>
    <row r="127" spans="2:11" x14ac:dyDescent="0.3">
      <c r="B127" s="115"/>
      <c r="C127" s="112" t="s">
        <v>1504</v>
      </c>
      <c r="D127" s="1499">
        <v>2.437361069250163</v>
      </c>
      <c r="E127" s="1499">
        <v>1.5553394413657859</v>
      </c>
      <c r="F127" s="1499">
        <v>1.034827031620458</v>
      </c>
      <c r="G127" s="1499">
        <v>0.7573252465973993</v>
      </c>
      <c r="H127" s="1499">
        <v>0.85291146647553928</v>
      </c>
      <c r="I127" s="1499">
        <v>2.2684063295941401</v>
      </c>
      <c r="J127" s="1499">
        <v>1.8906555758696673</v>
      </c>
      <c r="K127" s="113">
        <v>0.61786738601456748</v>
      </c>
    </row>
    <row r="128" spans="2:11" x14ac:dyDescent="0.3">
      <c r="B128" s="115"/>
      <c r="C128" s="112" t="s">
        <v>1508</v>
      </c>
      <c r="D128" s="1499">
        <v>2.4078296729337727</v>
      </c>
      <c r="E128" s="1499">
        <v>1.5258080450493956</v>
      </c>
      <c r="F128" s="1499">
        <v>1.0052956353040676</v>
      </c>
      <c r="G128" s="1499">
        <v>0.72779385028100907</v>
      </c>
      <c r="H128" s="1499">
        <v>0.82338007015914905</v>
      </c>
      <c r="I128" s="1499">
        <v>2.2388749332777498</v>
      </c>
      <c r="J128" s="1499">
        <v>1.8611241795532769</v>
      </c>
      <c r="K128" s="113">
        <v>0.58833598969817735</v>
      </c>
    </row>
    <row r="129" spans="2:11" x14ac:dyDescent="0.3">
      <c r="B129" s="115"/>
      <c r="C129" s="112" t="s">
        <v>1513</v>
      </c>
      <c r="D129" s="1499">
        <v>2.3635325784591878</v>
      </c>
      <c r="E129" s="1499">
        <v>1.4815109505748105</v>
      </c>
      <c r="F129" s="1499">
        <v>0.96099854082948244</v>
      </c>
      <c r="G129" s="1499">
        <v>0.68349675580642377</v>
      </c>
      <c r="H129" s="1499">
        <v>0.77908297568456375</v>
      </c>
      <c r="I129" s="1499">
        <v>2.1945778388031645</v>
      </c>
      <c r="J129" s="1499">
        <v>1.8168270850786916</v>
      </c>
      <c r="K129" s="113">
        <v>0.54403889522359195</v>
      </c>
    </row>
    <row r="130" spans="2:11" x14ac:dyDescent="0.3">
      <c r="B130" s="115"/>
      <c r="C130" s="112" t="s">
        <v>1517</v>
      </c>
      <c r="D130" s="1499">
        <v>2.3192354839846026</v>
      </c>
      <c r="E130" s="1499">
        <v>1.437213856100225</v>
      </c>
      <c r="F130" s="1499">
        <v>0.91670144635489703</v>
      </c>
      <c r="G130" s="1499">
        <v>0.63919966133183848</v>
      </c>
      <c r="H130" s="1499">
        <v>0.73478588120997845</v>
      </c>
      <c r="I130" s="1499">
        <v>2.1502807443285792</v>
      </c>
      <c r="J130" s="1499">
        <v>1.7725299906041061</v>
      </c>
      <c r="K130" s="113">
        <v>0.49974180074900665</v>
      </c>
    </row>
    <row r="131" spans="2:11" ht="14.5" thickBot="1" x14ac:dyDescent="0.35">
      <c r="B131" s="1233"/>
      <c r="C131" s="116" t="s">
        <v>1519</v>
      </c>
      <c r="D131" s="117">
        <v>2.5003020398445681</v>
      </c>
      <c r="E131" s="117">
        <v>1.6287568200216649</v>
      </c>
      <c r="F131" s="117">
        <v>1.09703684566017</v>
      </c>
      <c r="G131" s="117">
        <v>0.82837653503090503</v>
      </c>
      <c r="H131" s="117">
        <v>0.91831805545412204</v>
      </c>
      <c r="I131" s="117">
        <v>2.3389840868736234</v>
      </c>
      <c r="J131" s="117">
        <v>1.9598871171290859</v>
      </c>
      <c r="K131" s="118">
        <v>0.66529191532927123</v>
      </c>
    </row>
    <row r="132" spans="2:11" x14ac:dyDescent="0.3">
      <c r="B132" s="120" t="s">
        <v>1990</v>
      </c>
      <c r="C132" s="108" t="s">
        <v>1416</v>
      </c>
      <c r="D132" s="109">
        <v>2.2061192257599531</v>
      </c>
      <c r="E132" s="109">
        <v>1.2983722025830036</v>
      </c>
      <c r="F132" s="109">
        <v>0.79781466430138548</v>
      </c>
      <c r="G132" s="109">
        <v>0.56872258802406994</v>
      </c>
      <c r="H132" s="109">
        <v>0.63765088465652697</v>
      </c>
      <c r="I132" s="109">
        <v>2.0134826540436883</v>
      </c>
      <c r="J132" s="109">
        <v>1.6341325720067923</v>
      </c>
      <c r="K132" s="110">
        <v>0.45584247844611608</v>
      </c>
    </row>
    <row r="133" spans="2:11" x14ac:dyDescent="0.3">
      <c r="B133" s="111"/>
      <c r="C133" s="112" t="s">
        <v>1483</v>
      </c>
      <c r="D133" s="1499">
        <v>2.5154149800439365</v>
      </c>
      <c r="E133" s="1499">
        <v>1.6428196194296039</v>
      </c>
      <c r="F133" s="1499">
        <v>1.1142119144284115</v>
      </c>
      <c r="G133" s="1499">
        <v>0.84407549464411191</v>
      </c>
      <c r="H133" s="1499">
        <v>0.93494608605674556</v>
      </c>
      <c r="I133" s="1499">
        <v>2.3523624421319611</v>
      </c>
      <c r="J133" s="1499">
        <v>1.9741044295606973</v>
      </c>
      <c r="K133" s="113">
        <v>0.68478457912357771</v>
      </c>
    </row>
    <row r="134" spans="2:11" x14ac:dyDescent="0.3">
      <c r="B134" s="111" t="s">
        <v>1986</v>
      </c>
      <c r="C134" s="112" t="s">
        <v>1489</v>
      </c>
      <c r="D134" s="1499">
        <v>2.4791161555388359</v>
      </c>
      <c r="E134" s="1499">
        <v>1.6065207949245028</v>
      </c>
      <c r="F134" s="1499">
        <v>1.0779130899233105</v>
      </c>
      <c r="G134" s="1499">
        <v>0.80777667013901089</v>
      </c>
      <c r="H134" s="1499">
        <v>0.89864726155164454</v>
      </c>
      <c r="I134" s="1499">
        <v>2.3160636176268601</v>
      </c>
      <c r="J134" s="1499">
        <v>1.9378056050555965</v>
      </c>
      <c r="K134" s="113">
        <v>0.64848575461847668</v>
      </c>
    </row>
    <row r="135" spans="2:11" x14ac:dyDescent="0.3">
      <c r="B135" s="114">
        <v>0</v>
      </c>
      <c r="C135" s="112" t="s">
        <v>1496</v>
      </c>
      <c r="D135" s="1499">
        <v>2.4246679187811844</v>
      </c>
      <c r="E135" s="1499">
        <v>1.5520725581668513</v>
      </c>
      <c r="F135" s="1499">
        <v>1.0234648531656592</v>
      </c>
      <c r="G135" s="1499">
        <v>0.75332843338135946</v>
      </c>
      <c r="H135" s="1499">
        <v>0.84419902479399311</v>
      </c>
      <c r="I135" s="1499">
        <v>2.261615380869209</v>
      </c>
      <c r="J135" s="1499">
        <v>1.8833573682979448</v>
      </c>
      <c r="K135" s="113">
        <v>0.59403751786082526</v>
      </c>
    </row>
    <row r="136" spans="2:11" x14ac:dyDescent="0.3">
      <c r="B136" s="115"/>
      <c r="C136" s="112" t="s">
        <v>1500</v>
      </c>
      <c r="D136" s="1499">
        <v>2.3702196820235328</v>
      </c>
      <c r="E136" s="1499">
        <v>1.4976243214092</v>
      </c>
      <c r="F136" s="1499">
        <v>0.96901661640800762</v>
      </c>
      <c r="G136" s="1499">
        <v>0.69888019662370793</v>
      </c>
      <c r="H136" s="1499">
        <v>0.78975078803634158</v>
      </c>
      <c r="I136" s="1499">
        <v>2.2071671441115575</v>
      </c>
      <c r="J136" s="1499">
        <v>1.8289091315402934</v>
      </c>
      <c r="K136" s="113">
        <v>0.53958928110317383</v>
      </c>
    </row>
    <row r="137" spans="2:11" x14ac:dyDescent="0.3">
      <c r="B137" s="115"/>
      <c r="C137" s="112" t="s">
        <v>1504</v>
      </c>
      <c r="D137" s="1499">
        <v>2.4523509114860387</v>
      </c>
      <c r="E137" s="1499">
        <v>1.569162506130783</v>
      </c>
      <c r="F137" s="1499">
        <v>1.0519128321631417</v>
      </c>
      <c r="G137" s="1499">
        <v>0.77391997028330262</v>
      </c>
      <c r="H137" s="1499">
        <v>0.86943026149320479</v>
      </c>
      <c r="I137" s="1499">
        <v>2.2816521419645794</v>
      </c>
      <c r="J137" s="1499">
        <v>1.9046342237079879</v>
      </c>
      <c r="K137" s="113">
        <v>0.63893994551718192</v>
      </c>
    </row>
    <row r="138" spans="2:11" x14ac:dyDescent="0.3">
      <c r="B138" s="115"/>
      <c r="C138" s="112" t="s">
        <v>1508</v>
      </c>
      <c r="D138" s="1499">
        <v>2.4228195151696483</v>
      </c>
      <c r="E138" s="1499">
        <v>1.5396311098143929</v>
      </c>
      <c r="F138" s="1499">
        <v>1.0223814358467513</v>
      </c>
      <c r="G138" s="1499">
        <v>0.74438857396691249</v>
      </c>
      <c r="H138" s="1499">
        <v>0.83989886517681456</v>
      </c>
      <c r="I138" s="1499">
        <v>2.2521207456481895</v>
      </c>
      <c r="J138" s="1499">
        <v>1.8751028273915977</v>
      </c>
      <c r="K138" s="113">
        <v>0.60940854920079168</v>
      </c>
    </row>
    <row r="139" spans="2:11" x14ac:dyDescent="0.3">
      <c r="B139" s="115"/>
      <c r="C139" s="112" t="s">
        <v>1513</v>
      </c>
      <c r="D139" s="1499">
        <v>2.378522420695063</v>
      </c>
      <c r="E139" s="1499">
        <v>1.4953340153398074</v>
      </c>
      <c r="F139" s="1499">
        <v>0.97808434137216616</v>
      </c>
      <c r="G139" s="1499">
        <v>0.7000914794923272</v>
      </c>
      <c r="H139" s="1499">
        <v>0.79560177070222926</v>
      </c>
      <c r="I139" s="1499">
        <v>2.2078236511736038</v>
      </c>
      <c r="J139" s="1499">
        <v>1.8308057329170122</v>
      </c>
      <c r="K139" s="113">
        <v>0.5651114547262065</v>
      </c>
    </row>
    <row r="140" spans="2:11" x14ac:dyDescent="0.3">
      <c r="B140" s="115"/>
      <c r="C140" s="112" t="s">
        <v>1517</v>
      </c>
      <c r="D140" s="1499">
        <v>2.3342253262204777</v>
      </c>
      <c r="E140" s="1499">
        <v>1.4510369208652221</v>
      </c>
      <c r="F140" s="1499">
        <v>0.93378724689758075</v>
      </c>
      <c r="G140" s="1499">
        <v>0.65579438501774179</v>
      </c>
      <c r="H140" s="1499">
        <v>0.75130467622764396</v>
      </c>
      <c r="I140" s="1499">
        <v>2.1635265566990185</v>
      </c>
      <c r="J140" s="1499">
        <v>1.7865086384424269</v>
      </c>
      <c r="K140" s="113">
        <v>0.52081436025162109</v>
      </c>
    </row>
    <row r="141" spans="2:11" ht="14.5" thickBot="1" x14ac:dyDescent="0.35">
      <c r="B141" s="1233"/>
      <c r="C141" s="116" t="s">
        <v>1519</v>
      </c>
      <c r="D141" s="117">
        <v>2.5154149800439365</v>
      </c>
      <c r="E141" s="117">
        <v>1.6428196194296039</v>
      </c>
      <c r="F141" s="117">
        <v>1.1142119144284115</v>
      </c>
      <c r="G141" s="117">
        <v>0.84407549464411191</v>
      </c>
      <c r="H141" s="117">
        <v>0.93494608605674556</v>
      </c>
      <c r="I141" s="117">
        <v>2.3523624421319611</v>
      </c>
      <c r="J141" s="117">
        <v>1.9741044295606973</v>
      </c>
      <c r="K141" s="118">
        <v>0.68478457912357771</v>
      </c>
    </row>
    <row r="142" spans="2:11" x14ac:dyDescent="0.3">
      <c r="B142" s="120" t="s">
        <v>1990</v>
      </c>
      <c r="C142" s="108" t="s">
        <v>1416</v>
      </c>
      <c r="D142" s="109">
        <v>2.1997073574663757</v>
      </c>
      <c r="E142" s="109">
        <v>1.2919603342894264</v>
      </c>
      <c r="F142" s="109">
        <v>0.79140279600780838</v>
      </c>
      <c r="G142" s="109">
        <v>0.56231071973049274</v>
      </c>
      <c r="H142" s="109">
        <v>0.63123901636294977</v>
      </c>
      <c r="I142" s="109">
        <v>2.0070707857501109</v>
      </c>
      <c r="J142" s="109">
        <v>1.6277207037132151</v>
      </c>
      <c r="K142" s="110">
        <v>0.44943061015253888</v>
      </c>
    </row>
    <row r="143" spans="2:11" x14ac:dyDescent="0.3">
      <c r="B143" s="111"/>
      <c r="C143" s="112" t="s">
        <v>1483</v>
      </c>
      <c r="D143" s="1499">
        <v>2.5090031117503595</v>
      </c>
      <c r="E143" s="1499">
        <v>1.6364077511360267</v>
      </c>
      <c r="F143" s="1499">
        <v>1.1078000461348345</v>
      </c>
      <c r="G143" s="1499">
        <v>0.8376636263505346</v>
      </c>
      <c r="H143" s="1499">
        <v>0.92853421776316836</v>
      </c>
      <c r="I143" s="1499">
        <v>2.3459505738383841</v>
      </c>
      <c r="J143" s="1499">
        <v>1.9676925612671201</v>
      </c>
      <c r="K143" s="113">
        <v>0.6783727108300005</v>
      </c>
    </row>
    <row r="144" spans="2:11" x14ac:dyDescent="0.3">
      <c r="B144" s="111" t="s">
        <v>1987</v>
      </c>
      <c r="C144" s="112" t="s">
        <v>1489</v>
      </c>
      <c r="D144" s="1499">
        <v>2.4727042872452585</v>
      </c>
      <c r="E144" s="1499">
        <v>1.6001089266309256</v>
      </c>
      <c r="F144" s="1499">
        <v>1.0715012216297333</v>
      </c>
      <c r="G144" s="1499">
        <v>0.80136480184543368</v>
      </c>
      <c r="H144" s="1499">
        <v>0.89223539325806733</v>
      </c>
      <c r="I144" s="1499">
        <v>2.3096517493332831</v>
      </c>
      <c r="J144" s="1499">
        <v>1.9313937367620191</v>
      </c>
      <c r="K144" s="113">
        <v>0.64207388632489948</v>
      </c>
    </row>
    <row r="145" spans="2:11" x14ac:dyDescent="0.3">
      <c r="B145" s="114">
        <v>0</v>
      </c>
      <c r="C145" s="112" t="s">
        <v>1496</v>
      </c>
      <c r="D145" s="1499">
        <v>2.4182560504876074</v>
      </c>
      <c r="E145" s="1499">
        <v>1.5456606898732743</v>
      </c>
      <c r="F145" s="1499">
        <v>1.017052984872082</v>
      </c>
      <c r="G145" s="1499">
        <v>0.74691656508778215</v>
      </c>
      <c r="H145" s="1499">
        <v>0.8377871565004158</v>
      </c>
      <c r="I145" s="1499">
        <v>2.2552035125756316</v>
      </c>
      <c r="J145" s="1499">
        <v>1.8769455000043678</v>
      </c>
      <c r="K145" s="113">
        <v>0.58762564956724805</v>
      </c>
    </row>
    <row r="146" spans="2:11" x14ac:dyDescent="0.3">
      <c r="B146" s="115"/>
      <c r="C146" s="112" t="s">
        <v>1500</v>
      </c>
      <c r="D146" s="1499">
        <v>2.3638078137299559</v>
      </c>
      <c r="E146" s="1499">
        <v>1.4912124531156226</v>
      </c>
      <c r="F146" s="1499">
        <v>0.96260474811443042</v>
      </c>
      <c r="G146" s="1499">
        <v>0.69246832833013072</v>
      </c>
      <c r="H146" s="1499">
        <v>0.78333891974276448</v>
      </c>
      <c r="I146" s="1499">
        <v>2.20075527581798</v>
      </c>
      <c r="J146" s="1499">
        <v>1.8224972632467162</v>
      </c>
      <c r="K146" s="113">
        <v>0.53317741280959652</v>
      </c>
    </row>
    <row r="147" spans="2:11" x14ac:dyDescent="0.3">
      <c r="B147" s="115"/>
      <c r="C147" s="112" t="s">
        <v>1504</v>
      </c>
      <c r="D147" s="1499">
        <v>2.4459390431924617</v>
      </c>
      <c r="E147" s="1499">
        <v>1.5627506378372058</v>
      </c>
      <c r="F147" s="1499">
        <v>1.0455009638695645</v>
      </c>
      <c r="G147" s="1499">
        <v>0.76750810198972552</v>
      </c>
      <c r="H147" s="1499">
        <v>0.86301839319962759</v>
      </c>
      <c r="I147" s="1499">
        <v>2.2752402736710025</v>
      </c>
      <c r="J147" s="1499">
        <v>1.8982223554144106</v>
      </c>
      <c r="K147" s="113">
        <v>0.63252807722360471</v>
      </c>
    </row>
    <row r="148" spans="2:11" x14ac:dyDescent="0.3">
      <c r="B148" s="115"/>
      <c r="C148" s="112" t="s">
        <v>1508</v>
      </c>
      <c r="D148" s="1499">
        <v>2.4164076468760713</v>
      </c>
      <c r="E148" s="1499">
        <v>1.5332192415208157</v>
      </c>
      <c r="F148" s="1499">
        <v>1.0159695675531741</v>
      </c>
      <c r="G148" s="1499">
        <v>0.73797670567333529</v>
      </c>
      <c r="H148" s="1499">
        <v>0.83348699688323735</v>
      </c>
      <c r="I148" s="1499">
        <v>2.2457088773546121</v>
      </c>
      <c r="J148" s="1499">
        <v>1.8686909590980203</v>
      </c>
      <c r="K148" s="113">
        <v>0.60299668090721459</v>
      </c>
    </row>
    <row r="149" spans="2:11" x14ac:dyDescent="0.3">
      <c r="B149" s="115"/>
      <c r="C149" s="112" t="s">
        <v>1513</v>
      </c>
      <c r="D149" s="1499">
        <v>2.372110552401486</v>
      </c>
      <c r="E149" s="1499">
        <v>1.4889221470462304</v>
      </c>
      <c r="F149" s="1499">
        <v>0.97167247307858884</v>
      </c>
      <c r="G149" s="1499">
        <v>0.69367961119874988</v>
      </c>
      <c r="H149" s="1499">
        <v>0.78918990240865206</v>
      </c>
      <c r="I149" s="1499">
        <v>2.2014117828800268</v>
      </c>
      <c r="J149" s="1499">
        <v>1.8243938646234352</v>
      </c>
      <c r="K149" s="113">
        <v>0.55869958643262918</v>
      </c>
    </row>
    <row r="150" spans="2:11" x14ac:dyDescent="0.3">
      <c r="B150" s="115"/>
      <c r="C150" s="112" t="s">
        <v>1517</v>
      </c>
      <c r="D150" s="1499">
        <v>2.3278134579269008</v>
      </c>
      <c r="E150" s="1499">
        <v>1.4446250525716449</v>
      </c>
      <c r="F150" s="1499">
        <v>0.92737537860400365</v>
      </c>
      <c r="G150" s="1499">
        <v>0.64938251672416469</v>
      </c>
      <c r="H150" s="1499">
        <v>0.74489280793406676</v>
      </c>
      <c r="I150" s="1499">
        <v>2.1571146884054411</v>
      </c>
      <c r="J150" s="1499">
        <v>1.7800967701488497</v>
      </c>
      <c r="K150" s="113">
        <v>0.51440249195804388</v>
      </c>
    </row>
    <row r="151" spans="2:11" ht="14.5" thickBot="1" x14ac:dyDescent="0.35">
      <c r="B151" s="1233"/>
      <c r="C151" s="116" t="s">
        <v>1519</v>
      </c>
      <c r="D151" s="117">
        <v>2.5090031117503595</v>
      </c>
      <c r="E151" s="117">
        <v>1.6364077511360267</v>
      </c>
      <c r="F151" s="117">
        <v>1.1078000461348345</v>
      </c>
      <c r="G151" s="117">
        <v>0.8376636263505346</v>
      </c>
      <c r="H151" s="117">
        <v>0.92853421776316836</v>
      </c>
      <c r="I151" s="117">
        <v>2.3459505738383841</v>
      </c>
      <c r="J151" s="117">
        <v>1.9676925612671201</v>
      </c>
      <c r="K151" s="118">
        <v>0.6783727108300005</v>
      </c>
    </row>
    <row r="152" spans="2:11" x14ac:dyDescent="0.3">
      <c r="B152" s="120" t="s">
        <v>1990</v>
      </c>
      <c r="C152" s="108" t="s">
        <v>1416</v>
      </c>
      <c r="D152" s="109">
        <v>2.19008955502601</v>
      </c>
      <c r="E152" s="109">
        <v>1.2823425318490604</v>
      </c>
      <c r="F152" s="109">
        <v>0.78178499356744258</v>
      </c>
      <c r="G152" s="109">
        <v>0.55269291729012693</v>
      </c>
      <c r="H152" s="109">
        <v>0.62162121392258396</v>
      </c>
      <c r="I152" s="109">
        <v>1.9974529833097452</v>
      </c>
      <c r="J152" s="109">
        <v>1.6181029012728492</v>
      </c>
      <c r="K152" s="110">
        <v>0.43981280771217307</v>
      </c>
    </row>
    <row r="153" spans="2:11" x14ac:dyDescent="0.3">
      <c r="B153" s="111"/>
      <c r="C153" s="112" t="s">
        <v>1483</v>
      </c>
      <c r="D153" s="1499">
        <v>2.4993853093099938</v>
      </c>
      <c r="E153" s="1499">
        <v>1.6267899486956607</v>
      </c>
      <c r="F153" s="1499">
        <v>1.0981822436944684</v>
      </c>
      <c r="G153" s="1499">
        <v>0.82804582391016879</v>
      </c>
      <c r="H153" s="1499">
        <v>0.91891641532280244</v>
      </c>
      <c r="I153" s="1499">
        <v>2.3363327713980184</v>
      </c>
      <c r="J153" s="1499">
        <v>1.9580747588267542</v>
      </c>
      <c r="K153" s="113">
        <v>0.66875490838963469</v>
      </c>
    </row>
    <row r="154" spans="2:11" x14ac:dyDescent="0.3">
      <c r="B154" s="111" t="s">
        <v>1988</v>
      </c>
      <c r="C154" s="112" t="s">
        <v>1489</v>
      </c>
      <c r="D154" s="1499">
        <v>2.4630864848048928</v>
      </c>
      <c r="E154" s="1499">
        <v>1.5904911241905599</v>
      </c>
      <c r="F154" s="1499">
        <v>1.0618834191893676</v>
      </c>
      <c r="G154" s="1499">
        <v>0.79174699940506787</v>
      </c>
      <c r="H154" s="1499">
        <v>0.88261759081770153</v>
      </c>
      <c r="I154" s="1499">
        <v>2.3000339468929174</v>
      </c>
      <c r="J154" s="1499">
        <v>1.9217759343216534</v>
      </c>
      <c r="K154" s="113">
        <v>0.63245608388453367</v>
      </c>
    </row>
    <row r="155" spans="2:11" x14ac:dyDescent="0.3">
      <c r="B155" s="114">
        <v>0</v>
      </c>
      <c r="C155" s="112" t="s">
        <v>1496</v>
      </c>
      <c r="D155" s="1499">
        <v>2.4086382480472412</v>
      </c>
      <c r="E155" s="1499">
        <v>1.5360428874329084</v>
      </c>
      <c r="F155" s="1499">
        <v>1.007435182431716</v>
      </c>
      <c r="G155" s="1499">
        <v>0.73729876264741634</v>
      </c>
      <c r="H155" s="1499">
        <v>0.82816935406004999</v>
      </c>
      <c r="I155" s="1499">
        <v>2.2455857101352659</v>
      </c>
      <c r="J155" s="1499">
        <v>1.8673276975640021</v>
      </c>
      <c r="K155" s="113">
        <v>0.57800784712688225</v>
      </c>
    </row>
    <row r="156" spans="2:11" x14ac:dyDescent="0.3">
      <c r="B156" s="115"/>
      <c r="C156" s="112" t="s">
        <v>1500</v>
      </c>
      <c r="D156" s="1499">
        <v>2.3541900112895902</v>
      </c>
      <c r="E156" s="1499">
        <v>1.4815946506752569</v>
      </c>
      <c r="F156" s="1499">
        <v>0.9529869456740645</v>
      </c>
      <c r="G156" s="1499">
        <v>0.68285052588976491</v>
      </c>
      <c r="H156" s="1499">
        <v>0.77372111730239845</v>
      </c>
      <c r="I156" s="1499">
        <v>2.1911374733776143</v>
      </c>
      <c r="J156" s="1499">
        <v>1.8128794608063503</v>
      </c>
      <c r="K156" s="113">
        <v>0.52355961036923071</v>
      </c>
    </row>
    <row r="157" spans="2:11" x14ac:dyDescent="0.3">
      <c r="B157" s="115"/>
      <c r="C157" s="112" t="s">
        <v>1504</v>
      </c>
      <c r="D157" s="1499">
        <v>2.436321240752096</v>
      </c>
      <c r="E157" s="1499">
        <v>1.5531328353968399</v>
      </c>
      <c r="F157" s="1499">
        <v>1.0358831614291986</v>
      </c>
      <c r="G157" s="1499">
        <v>0.75789029954935971</v>
      </c>
      <c r="H157" s="1499">
        <v>0.85340059075926178</v>
      </c>
      <c r="I157" s="1499">
        <v>2.2656224712306363</v>
      </c>
      <c r="J157" s="1499">
        <v>1.8886045529740447</v>
      </c>
      <c r="K157" s="113">
        <v>0.6229102747832389</v>
      </c>
    </row>
    <row r="158" spans="2:11" x14ac:dyDescent="0.3">
      <c r="B158" s="115"/>
      <c r="C158" s="112" t="s">
        <v>1508</v>
      </c>
      <c r="D158" s="1499">
        <v>2.4067898444357056</v>
      </c>
      <c r="E158" s="1499">
        <v>1.5236014390804498</v>
      </c>
      <c r="F158" s="1499">
        <v>1.0063517651128084</v>
      </c>
      <c r="G158" s="1499">
        <v>0.72835890323296948</v>
      </c>
      <c r="H158" s="1499">
        <v>0.82386919444287154</v>
      </c>
      <c r="I158" s="1499">
        <v>2.2360910749142464</v>
      </c>
      <c r="J158" s="1499">
        <v>1.8590731566576546</v>
      </c>
      <c r="K158" s="113">
        <v>0.59337887846684878</v>
      </c>
    </row>
    <row r="159" spans="2:11" x14ac:dyDescent="0.3">
      <c r="B159" s="115"/>
      <c r="C159" s="112" t="s">
        <v>1513</v>
      </c>
      <c r="D159" s="1499">
        <v>2.3624927499611204</v>
      </c>
      <c r="E159" s="1499">
        <v>1.4793043446058645</v>
      </c>
      <c r="F159" s="1499">
        <v>0.96205467063822303</v>
      </c>
      <c r="G159" s="1499">
        <v>0.68406180875838407</v>
      </c>
      <c r="H159" s="1499">
        <v>0.77957209996828625</v>
      </c>
      <c r="I159" s="1499">
        <v>2.1917939804396611</v>
      </c>
      <c r="J159" s="1499">
        <v>1.8147760621830693</v>
      </c>
      <c r="K159" s="113">
        <v>0.54908178399226337</v>
      </c>
    </row>
    <row r="160" spans="2:11" x14ac:dyDescent="0.3">
      <c r="B160" s="115"/>
      <c r="C160" s="112" t="s">
        <v>1517</v>
      </c>
      <c r="D160" s="1499">
        <v>2.3181956554865351</v>
      </c>
      <c r="E160" s="1499">
        <v>1.4350072501312789</v>
      </c>
      <c r="F160" s="1499">
        <v>0.91775757616363784</v>
      </c>
      <c r="G160" s="1499">
        <v>0.63976471428379889</v>
      </c>
      <c r="H160" s="1499">
        <v>0.73527500549370095</v>
      </c>
      <c r="I160" s="1499">
        <v>2.1474968859650754</v>
      </c>
      <c r="J160" s="1499">
        <v>1.7704789677084838</v>
      </c>
      <c r="K160" s="113">
        <v>0.50478468951767808</v>
      </c>
    </row>
    <row r="161" spans="2:11" ht="14.5" thickBot="1" x14ac:dyDescent="0.35">
      <c r="B161" s="1233"/>
      <c r="C161" s="116" t="s">
        <v>1519</v>
      </c>
      <c r="D161" s="117">
        <v>2.4993853093099938</v>
      </c>
      <c r="E161" s="117">
        <v>1.6267899486956607</v>
      </c>
      <c r="F161" s="117">
        <v>1.0981822436944684</v>
      </c>
      <c r="G161" s="117">
        <v>0.82804582391016879</v>
      </c>
      <c r="H161" s="117">
        <v>0.91891641532280244</v>
      </c>
      <c r="I161" s="117">
        <v>2.3363327713980184</v>
      </c>
      <c r="J161" s="117">
        <v>1.9580747588267542</v>
      </c>
      <c r="K161" s="118">
        <v>0.66875490838963469</v>
      </c>
    </row>
    <row r="162" spans="2:11" x14ac:dyDescent="0.3">
      <c r="B162" s="120" t="s">
        <v>1990</v>
      </c>
      <c r="C162" s="108" t="s">
        <v>1416</v>
      </c>
      <c r="D162" s="109">
        <v>2.1804717525856443</v>
      </c>
      <c r="E162" s="109">
        <v>1.2727247294086947</v>
      </c>
      <c r="F162" s="109">
        <v>0.77216719112707677</v>
      </c>
      <c r="G162" s="109">
        <v>0.54307511484976112</v>
      </c>
      <c r="H162" s="109">
        <v>0.61200341148221815</v>
      </c>
      <c r="I162" s="109">
        <v>1.9878351808693795</v>
      </c>
      <c r="J162" s="109">
        <v>1.6084850988324835</v>
      </c>
      <c r="K162" s="110">
        <v>0.43019500527180721</v>
      </c>
    </row>
    <row r="163" spans="2:11" x14ac:dyDescent="0.3">
      <c r="B163" s="111"/>
      <c r="C163" s="112" t="s">
        <v>1483</v>
      </c>
      <c r="D163" s="1499">
        <v>2.4897675068696281</v>
      </c>
      <c r="E163" s="1499">
        <v>1.617172146255295</v>
      </c>
      <c r="F163" s="1499">
        <v>1.0885644412541027</v>
      </c>
      <c r="G163" s="1499">
        <v>0.81842802146980298</v>
      </c>
      <c r="H163" s="1499">
        <v>0.90929861288243663</v>
      </c>
      <c r="I163" s="1499">
        <v>2.3267149689576523</v>
      </c>
      <c r="J163" s="1499">
        <v>1.9484569563863885</v>
      </c>
      <c r="K163" s="113">
        <v>0.65913710594926889</v>
      </c>
    </row>
    <row r="164" spans="2:11" x14ac:dyDescent="0.3">
      <c r="B164" s="111" t="s">
        <v>1989</v>
      </c>
      <c r="C164" s="112" t="s">
        <v>1489</v>
      </c>
      <c r="D164" s="1499">
        <v>2.4534686823645271</v>
      </c>
      <c r="E164" s="1499">
        <v>1.580873321750194</v>
      </c>
      <c r="F164" s="1499">
        <v>1.0522656167490017</v>
      </c>
      <c r="G164" s="1499">
        <v>0.78212919696470207</v>
      </c>
      <c r="H164" s="1499">
        <v>0.87299978837733572</v>
      </c>
      <c r="I164" s="1499">
        <v>2.2904161444525517</v>
      </c>
      <c r="J164" s="1499">
        <v>1.9121581318812875</v>
      </c>
      <c r="K164" s="113">
        <v>0.62283828144416786</v>
      </c>
    </row>
    <row r="165" spans="2:11" x14ac:dyDescent="0.3">
      <c r="B165" s="114">
        <v>0</v>
      </c>
      <c r="C165" s="112" t="s">
        <v>1496</v>
      </c>
      <c r="D165" s="1499">
        <v>2.3990204456068756</v>
      </c>
      <c r="E165" s="1499">
        <v>1.5264250849925427</v>
      </c>
      <c r="F165" s="1499">
        <v>0.99781737999135023</v>
      </c>
      <c r="G165" s="1499">
        <v>0.72768096020705053</v>
      </c>
      <c r="H165" s="1499">
        <v>0.81855155161968418</v>
      </c>
      <c r="I165" s="1499">
        <v>2.2359679076949002</v>
      </c>
      <c r="J165" s="1499">
        <v>1.8577098951236359</v>
      </c>
      <c r="K165" s="113">
        <v>0.56839004468651644</v>
      </c>
    </row>
    <row r="166" spans="2:11" x14ac:dyDescent="0.3">
      <c r="B166" s="115"/>
      <c r="C166" s="112" t="s">
        <v>1500</v>
      </c>
      <c r="D166" s="1499">
        <v>2.3445722088492245</v>
      </c>
      <c r="E166" s="1499">
        <v>1.4719768482348909</v>
      </c>
      <c r="F166" s="1499">
        <v>0.94336914323369869</v>
      </c>
      <c r="G166" s="1499">
        <v>0.67323272344939911</v>
      </c>
      <c r="H166" s="1499">
        <v>0.76410331486203265</v>
      </c>
      <c r="I166" s="1499">
        <v>2.1815196709372486</v>
      </c>
      <c r="J166" s="1499">
        <v>1.8032616583659846</v>
      </c>
      <c r="K166" s="113">
        <v>0.5139418079288649</v>
      </c>
    </row>
    <row r="167" spans="2:11" x14ac:dyDescent="0.3">
      <c r="B167" s="115"/>
      <c r="C167" s="112" t="s">
        <v>1504</v>
      </c>
      <c r="D167" s="1499">
        <v>2.4267034383117299</v>
      </c>
      <c r="E167" s="1499">
        <v>1.543515032956474</v>
      </c>
      <c r="F167" s="1499">
        <v>1.0262653589888329</v>
      </c>
      <c r="G167" s="1499">
        <v>0.74827249710899391</v>
      </c>
      <c r="H167" s="1499">
        <v>0.84378278831889597</v>
      </c>
      <c r="I167" s="1499">
        <v>2.2560046687902706</v>
      </c>
      <c r="J167" s="1499">
        <v>1.8789867505336788</v>
      </c>
      <c r="K167" s="113">
        <v>0.6132924723428731</v>
      </c>
    </row>
    <row r="168" spans="2:11" x14ac:dyDescent="0.3">
      <c r="B168" s="115"/>
      <c r="C168" s="112" t="s">
        <v>1508</v>
      </c>
      <c r="D168" s="1499">
        <v>2.3971720419953395</v>
      </c>
      <c r="E168" s="1499">
        <v>1.5139836366400841</v>
      </c>
      <c r="F168" s="1499">
        <v>0.99673396267244263</v>
      </c>
      <c r="G168" s="1499">
        <v>0.71874110079260367</v>
      </c>
      <c r="H168" s="1499">
        <v>0.81425139200250574</v>
      </c>
      <c r="I168" s="1499">
        <v>2.2264732724738803</v>
      </c>
      <c r="J168" s="1499">
        <v>1.8494553542172887</v>
      </c>
      <c r="K168" s="113">
        <v>0.58376107602648297</v>
      </c>
    </row>
    <row r="169" spans="2:11" x14ac:dyDescent="0.3">
      <c r="B169" s="115"/>
      <c r="C169" s="112" t="s">
        <v>1513</v>
      </c>
      <c r="D169" s="1499">
        <v>2.3528749475207542</v>
      </c>
      <c r="E169" s="1499">
        <v>1.4696865421654988</v>
      </c>
      <c r="F169" s="1499">
        <v>0.95243686819785722</v>
      </c>
      <c r="G169" s="1499">
        <v>0.67444400631801826</v>
      </c>
      <c r="H169" s="1499">
        <v>0.76995429752792044</v>
      </c>
      <c r="I169" s="1499">
        <v>2.182176177999295</v>
      </c>
      <c r="J169" s="1499">
        <v>1.8051582597427036</v>
      </c>
      <c r="K169" s="113">
        <v>0.53946398155189756</v>
      </c>
    </row>
    <row r="170" spans="2:11" x14ac:dyDescent="0.3">
      <c r="B170" s="115"/>
      <c r="C170" s="112" t="s">
        <v>1517</v>
      </c>
      <c r="D170" s="1499">
        <v>2.3085778530461689</v>
      </c>
      <c r="E170" s="1499">
        <v>1.4253894476909132</v>
      </c>
      <c r="F170" s="1499">
        <v>0.90813977372327204</v>
      </c>
      <c r="G170" s="1499">
        <v>0.63014691184343286</v>
      </c>
      <c r="H170" s="1499">
        <v>0.72565720305333503</v>
      </c>
      <c r="I170" s="1499">
        <v>2.1378790835247097</v>
      </c>
      <c r="J170" s="1499">
        <v>1.7608611652681181</v>
      </c>
      <c r="K170" s="113">
        <v>0.49516688707731221</v>
      </c>
    </row>
    <row r="171" spans="2:11" ht="14.5" thickBot="1" x14ac:dyDescent="0.35">
      <c r="B171" s="1233"/>
      <c r="C171" s="116" t="s">
        <v>1519</v>
      </c>
      <c r="D171" s="117">
        <v>2.4897675068696281</v>
      </c>
      <c r="E171" s="117">
        <v>1.617172146255295</v>
      </c>
      <c r="F171" s="117">
        <v>1.0885644412541027</v>
      </c>
      <c r="G171" s="117">
        <v>0.81842802146980298</v>
      </c>
      <c r="H171" s="117">
        <v>0.90929861288243663</v>
      </c>
      <c r="I171" s="117">
        <v>2.3267149689576523</v>
      </c>
      <c r="J171" s="117">
        <v>1.9484569563863885</v>
      </c>
      <c r="K171" s="118">
        <v>0.65913710594926889</v>
      </c>
    </row>
    <row r="173" spans="2:11" ht="14.5" thickBot="1" x14ac:dyDescent="0.35"/>
    <row r="174" spans="2:11" ht="25.5" thickBot="1" x14ac:dyDescent="0.55000000000000004">
      <c r="B174" s="88" t="s">
        <v>1960</v>
      </c>
      <c r="C174" s="89"/>
      <c r="D174" s="90">
        <v>2</v>
      </c>
      <c r="E174" s="91" t="s">
        <v>1991</v>
      </c>
      <c r="F174" s="92"/>
      <c r="G174" s="92"/>
      <c r="H174" s="92"/>
      <c r="I174" s="93"/>
      <c r="J174" s="89" t="s">
        <v>176</v>
      </c>
      <c r="K174" s="94" t="s">
        <v>214</v>
      </c>
    </row>
    <row r="175" spans="2:11" ht="14.5" thickBot="1" x14ac:dyDescent="0.35">
      <c r="B175" s="95" t="s">
        <v>1962</v>
      </c>
      <c r="C175" s="96" t="s">
        <v>1963</v>
      </c>
      <c r="D175" s="95" t="s">
        <v>1964</v>
      </c>
      <c r="E175" s="97" t="s">
        <v>1965</v>
      </c>
      <c r="F175" s="97" t="s">
        <v>1966</v>
      </c>
      <c r="G175" s="97" t="s">
        <v>1967</v>
      </c>
      <c r="H175" s="97" t="s">
        <v>1968</v>
      </c>
      <c r="I175" s="97" t="s">
        <v>1969</v>
      </c>
      <c r="J175" s="97" t="s">
        <v>1970</v>
      </c>
      <c r="K175" s="98" t="s">
        <v>1971</v>
      </c>
    </row>
    <row r="176" spans="2:11" ht="14.5" thickBot="1" x14ac:dyDescent="0.35">
      <c r="B176" s="99"/>
      <c r="C176" s="99"/>
      <c r="D176" s="100"/>
      <c r="E176" s="944"/>
      <c r="F176" s="944"/>
      <c r="G176" s="944"/>
      <c r="H176" s="944"/>
      <c r="I176" s="944"/>
      <c r="J176" s="944"/>
      <c r="K176" s="102"/>
    </row>
    <row r="177" spans="2:11" ht="90.5" thickBot="1" x14ac:dyDescent="0.45">
      <c r="B177" s="103" t="s">
        <v>1972</v>
      </c>
      <c r="C177" s="103" t="s">
        <v>1973</v>
      </c>
      <c r="D177" s="105" t="s">
        <v>1974</v>
      </c>
      <c r="E177" s="105" t="s">
        <v>1525</v>
      </c>
      <c r="F177" s="105" t="s">
        <v>1527</v>
      </c>
      <c r="G177" s="105" t="s">
        <v>1975</v>
      </c>
      <c r="H177" s="105" t="s">
        <v>1976</v>
      </c>
      <c r="I177" s="105" t="s">
        <v>1445</v>
      </c>
      <c r="J177" s="105" t="s">
        <v>1538</v>
      </c>
      <c r="K177" s="106" t="s">
        <v>1541</v>
      </c>
    </row>
    <row r="178" spans="2:11" x14ac:dyDescent="0.3">
      <c r="B178" s="120" t="s">
        <v>1992</v>
      </c>
      <c r="C178" s="108" t="s">
        <v>1416</v>
      </c>
      <c r="D178" s="109">
        <v>2.425274122919411</v>
      </c>
      <c r="E178" s="109">
        <v>1.5315963483725814</v>
      </c>
      <c r="F178" s="109">
        <v>0.9903713284935447</v>
      </c>
      <c r="G178" s="109">
        <v>0.70032728869309524</v>
      </c>
      <c r="H178" s="109">
        <v>0.80084432303751574</v>
      </c>
      <c r="I178" s="109">
        <v>2.2630520681382698</v>
      </c>
      <c r="J178" s="109">
        <v>1.877056417940423</v>
      </c>
      <c r="K178" s="110">
        <v>0.57726072432964726</v>
      </c>
    </row>
    <row r="179" spans="2:11" x14ac:dyDescent="0.3">
      <c r="B179" s="128"/>
      <c r="C179" s="112" t="s">
        <v>1483</v>
      </c>
      <c r="D179" s="1499">
        <v>2.8239699058988443</v>
      </c>
      <c r="E179" s="1499">
        <v>1.97920606582874</v>
      </c>
      <c r="F179" s="1499">
        <v>1.3891533794822357</v>
      </c>
      <c r="G179" s="1499">
        <v>1.1506031864999362</v>
      </c>
      <c r="H179" s="1499">
        <v>1.2188374799511708</v>
      </c>
      <c r="I179" s="1499">
        <v>2.7003407378448059</v>
      </c>
      <c r="J179" s="1499">
        <v>2.3205148905835502</v>
      </c>
      <c r="K179" s="113">
        <v>0.96349308628323826</v>
      </c>
    </row>
    <row r="180" spans="2:11" x14ac:dyDescent="0.3">
      <c r="B180" s="128"/>
      <c r="C180" s="112" t="s">
        <v>1489</v>
      </c>
      <c r="D180" s="1499">
        <v>2.7876710813937433</v>
      </c>
      <c r="E180" s="1499">
        <v>1.9429072413236392</v>
      </c>
      <c r="F180" s="1499">
        <v>1.3528545549771349</v>
      </c>
      <c r="G180" s="1499">
        <v>1.1143043619948354</v>
      </c>
      <c r="H180" s="1499">
        <v>1.18253865544607</v>
      </c>
      <c r="I180" s="1499">
        <v>2.6640419133397049</v>
      </c>
      <c r="J180" s="1499">
        <v>2.2842160660784487</v>
      </c>
      <c r="K180" s="113">
        <v>0.92719426177813735</v>
      </c>
    </row>
    <row r="181" spans="2:11" x14ac:dyDescent="0.3">
      <c r="B181" s="122">
        <v>0</v>
      </c>
      <c r="C181" s="112" t="s">
        <v>1496</v>
      </c>
      <c r="D181" s="1499">
        <v>2.7332228446360918</v>
      </c>
      <c r="E181" s="1499">
        <v>1.8884590045659877</v>
      </c>
      <c r="F181" s="1499">
        <v>1.2984063182194834</v>
      </c>
      <c r="G181" s="1499">
        <v>1.0598561252371839</v>
      </c>
      <c r="H181" s="1499">
        <v>1.1280904186884184</v>
      </c>
      <c r="I181" s="1499">
        <v>2.6095936765820533</v>
      </c>
      <c r="J181" s="1499">
        <v>2.2297678293207976</v>
      </c>
      <c r="K181" s="113">
        <v>0.87274602502048582</v>
      </c>
    </row>
    <row r="182" spans="2:11" x14ac:dyDescent="0.3">
      <c r="B182" s="123"/>
      <c r="C182" s="112" t="s">
        <v>1500</v>
      </c>
      <c r="D182" s="1499">
        <v>2.6787746078784407</v>
      </c>
      <c r="E182" s="1499">
        <v>1.8340107678083362</v>
      </c>
      <c r="F182" s="1499">
        <v>1.2439580814618318</v>
      </c>
      <c r="G182" s="1499">
        <v>1.0054078884795323</v>
      </c>
      <c r="H182" s="1499">
        <v>1.0736421819307669</v>
      </c>
      <c r="I182" s="1499">
        <v>2.5551454398244022</v>
      </c>
      <c r="J182" s="1499">
        <v>2.1753195925631457</v>
      </c>
      <c r="K182" s="113">
        <v>0.81829778826283439</v>
      </c>
    </row>
    <row r="183" spans="2:11" x14ac:dyDescent="0.3">
      <c r="B183" s="123"/>
      <c r="C183" s="112" t="s">
        <v>1504</v>
      </c>
      <c r="D183" s="1499">
        <v>2.7440563549940009</v>
      </c>
      <c r="E183" s="1499">
        <v>1.8926838673968449</v>
      </c>
      <c r="F183" s="1499">
        <v>1.3104761633690742</v>
      </c>
      <c r="G183" s="1499">
        <v>1.0664538579075116</v>
      </c>
      <c r="H183" s="1499">
        <v>1.1407811058984958</v>
      </c>
      <c r="I183" s="1499">
        <v>2.6147152288094397</v>
      </c>
      <c r="J183" s="1499">
        <v>2.2311768015702818</v>
      </c>
      <c r="K183" s="113">
        <v>0.87828440692632925</v>
      </c>
    </row>
    <row r="184" spans="2:11" x14ac:dyDescent="0.3">
      <c r="B184" s="123"/>
      <c r="C184" s="112" t="s">
        <v>1508</v>
      </c>
      <c r="D184" s="1499">
        <v>2.7145249586776106</v>
      </c>
      <c r="E184" s="1499">
        <v>1.8631524710804546</v>
      </c>
      <c r="F184" s="1499">
        <v>1.2809447670526839</v>
      </c>
      <c r="G184" s="1499">
        <v>1.0369224615911212</v>
      </c>
      <c r="H184" s="1499">
        <v>1.1112497095821054</v>
      </c>
      <c r="I184" s="1499">
        <v>2.5851838324930494</v>
      </c>
      <c r="J184" s="1499">
        <v>2.2016454052538914</v>
      </c>
      <c r="K184" s="113">
        <v>0.84875301060993913</v>
      </c>
    </row>
    <row r="185" spans="2:11" x14ac:dyDescent="0.3">
      <c r="B185" s="123"/>
      <c r="C185" s="112" t="s">
        <v>1513</v>
      </c>
      <c r="D185" s="1499">
        <v>2.6702278642030253</v>
      </c>
      <c r="E185" s="1499">
        <v>1.8188553766058693</v>
      </c>
      <c r="F185" s="1499">
        <v>1.2366476725780986</v>
      </c>
      <c r="G185" s="1499">
        <v>0.99262536711653593</v>
      </c>
      <c r="H185" s="1499">
        <v>1.0669526151075202</v>
      </c>
      <c r="I185" s="1499">
        <v>2.5408867380184641</v>
      </c>
      <c r="J185" s="1499">
        <v>2.1573483107793061</v>
      </c>
      <c r="K185" s="113">
        <v>0.80445591613535372</v>
      </c>
    </row>
    <row r="186" spans="2:11" x14ac:dyDescent="0.3">
      <c r="B186" s="123"/>
      <c r="C186" s="112" t="s">
        <v>1517</v>
      </c>
      <c r="D186" s="1499">
        <v>2.62593076972844</v>
      </c>
      <c r="E186" s="1499">
        <v>1.7745582821312837</v>
      </c>
      <c r="F186" s="1499">
        <v>1.1923505781035131</v>
      </c>
      <c r="G186" s="1499">
        <v>0.94832827264195063</v>
      </c>
      <c r="H186" s="1499">
        <v>1.0226555206329349</v>
      </c>
      <c r="I186" s="1499">
        <v>2.4965896435438788</v>
      </c>
      <c r="J186" s="1499">
        <v>2.1130512163047204</v>
      </c>
      <c r="K186" s="113">
        <v>0.76015882166076842</v>
      </c>
    </row>
    <row r="187" spans="2:11" ht="14.5" thickBot="1" x14ac:dyDescent="0.35">
      <c r="B187" s="124"/>
      <c r="C187" s="116" t="s">
        <v>1519</v>
      </c>
      <c r="D187" s="117">
        <v>2.8239699058988443</v>
      </c>
      <c r="E187" s="117">
        <v>1.97920606582874</v>
      </c>
      <c r="F187" s="117">
        <v>1.3891533794822357</v>
      </c>
      <c r="G187" s="117">
        <v>1.1506031864999362</v>
      </c>
      <c r="H187" s="117">
        <v>1.2188374799511708</v>
      </c>
      <c r="I187" s="117">
        <v>2.7003407378448059</v>
      </c>
      <c r="J187" s="117">
        <v>2.3205148905835502</v>
      </c>
      <c r="K187" s="118">
        <v>0.96349308628323826</v>
      </c>
    </row>
    <row r="188" spans="2:11" x14ac:dyDescent="0.3">
      <c r="B188" s="120" t="s">
        <v>1993</v>
      </c>
      <c r="C188" s="1234" t="s">
        <v>1416</v>
      </c>
      <c r="D188" s="109">
        <v>2.2710228068070006</v>
      </c>
      <c r="E188" s="109">
        <v>1.3683590811614863</v>
      </c>
      <c r="F188" s="109">
        <v>0.85356357604214117</v>
      </c>
      <c r="G188" s="109">
        <v>0.60286587812852221</v>
      </c>
      <c r="H188" s="109">
        <v>0.66941534020392512</v>
      </c>
      <c r="I188" s="109">
        <v>2.095892512789689</v>
      </c>
      <c r="J188" s="109">
        <v>1.7121705613394991</v>
      </c>
      <c r="K188" s="110">
        <v>0.48940274583491461</v>
      </c>
    </row>
    <row r="189" spans="2:11" x14ac:dyDescent="0.3">
      <c r="B189" s="121"/>
      <c r="C189" s="1500" t="s">
        <v>1483</v>
      </c>
      <c r="D189" s="1499">
        <v>2.6728066164688253</v>
      </c>
      <c r="E189" s="1499">
        <v>1.8274127977163723</v>
      </c>
      <c r="F189" s="1499">
        <v>1.2589556480681778</v>
      </c>
      <c r="G189" s="1499">
        <v>1.0105950833192607</v>
      </c>
      <c r="H189" s="1499">
        <v>1.0863931017720962</v>
      </c>
      <c r="I189" s="1499">
        <v>2.5449423104972788</v>
      </c>
      <c r="J189" s="1499">
        <v>2.1594233044762374</v>
      </c>
      <c r="K189" s="113">
        <v>0.82642173267585062</v>
      </c>
    </row>
    <row r="190" spans="2:11" x14ac:dyDescent="0.3">
      <c r="B190" s="128"/>
      <c r="C190" s="1500" t="s">
        <v>1489</v>
      </c>
      <c r="D190" s="1499">
        <v>2.6365077919637243</v>
      </c>
      <c r="E190" s="1499">
        <v>1.7911139732112713</v>
      </c>
      <c r="F190" s="1499">
        <v>1.2226568235630768</v>
      </c>
      <c r="G190" s="1499">
        <v>0.97429625881415971</v>
      </c>
      <c r="H190" s="1499">
        <v>1.0500942772669952</v>
      </c>
      <c r="I190" s="1499">
        <v>2.5086434859921778</v>
      </c>
      <c r="J190" s="1499">
        <v>2.1231244799711364</v>
      </c>
      <c r="K190" s="113">
        <v>0.79012290817074959</v>
      </c>
    </row>
    <row r="191" spans="2:11" x14ac:dyDescent="0.3">
      <c r="B191" s="122">
        <v>0</v>
      </c>
      <c r="C191" s="1500" t="s">
        <v>1496</v>
      </c>
      <c r="D191" s="1499">
        <v>2.5820595552060732</v>
      </c>
      <c r="E191" s="1499">
        <v>1.73666573645362</v>
      </c>
      <c r="F191" s="1499">
        <v>1.1682085868054255</v>
      </c>
      <c r="G191" s="1499">
        <v>0.91984802205650817</v>
      </c>
      <c r="H191" s="1499">
        <v>0.99564604050934369</v>
      </c>
      <c r="I191" s="1499">
        <v>2.4541952492345263</v>
      </c>
      <c r="J191" s="1499">
        <v>2.0686762432134853</v>
      </c>
      <c r="K191" s="113">
        <v>0.73567467141309806</v>
      </c>
    </row>
    <row r="192" spans="2:11" x14ac:dyDescent="0.3">
      <c r="B192" s="123"/>
      <c r="C192" s="1500" t="s">
        <v>1500</v>
      </c>
      <c r="D192" s="1499">
        <v>2.5276113184484217</v>
      </c>
      <c r="E192" s="1499">
        <v>1.6822174996959685</v>
      </c>
      <c r="F192" s="1499">
        <v>1.1137603500477737</v>
      </c>
      <c r="G192" s="1499">
        <v>0.86539978529885675</v>
      </c>
      <c r="H192" s="1499">
        <v>0.94119780375169215</v>
      </c>
      <c r="I192" s="1499">
        <v>2.3997470124768752</v>
      </c>
      <c r="J192" s="1499">
        <v>2.0142280064558333</v>
      </c>
      <c r="K192" s="113">
        <v>0.68122643465544674</v>
      </c>
    </row>
    <row r="193" spans="2:11" x14ac:dyDescent="0.3">
      <c r="B193" s="123"/>
      <c r="C193" s="1500" t="s">
        <v>1504</v>
      </c>
      <c r="D193" s="1499">
        <v>2.5954125218800819</v>
      </c>
      <c r="E193" s="1499">
        <v>1.7378289057191296</v>
      </c>
      <c r="F193" s="1499">
        <v>1.1829779833578178</v>
      </c>
      <c r="G193" s="1499">
        <v>0.92468226976468526</v>
      </c>
      <c r="H193" s="1499">
        <v>1.0072066799249946</v>
      </c>
      <c r="I193" s="1499">
        <v>2.4566675959287236</v>
      </c>
      <c r="J193" s="1499">
        <v>2.0685800063756505</v>
      </c>
      <c r="K193" s="113">
        <v>0.74819813930956891</v>
      </c>
    </row>
    <row r="194" spans="2:11" x14ac:dyDescent="0.3">
      <c r="B194" s="123"/>
      <c r="C194" s="1500" t="s">
        <v>1508</v>
      </c>
      <c r="D194" s="1499">
        <v>2.5658811255636915</v>
      </c>
      <c r="E194" s="1499">
        <v>1.7082975094027395</v>
      </c>
      <c r="F194" s="1499">
        <v>1.1534465870414274</v>
      </c>
      <c r="G194" s="1499">
        <v>0.89515087344829514</v>
      </c>
      <c r="H194" s="1499">
        <v>0.97767528360860445</v>
      </c>
      <c r="I194" s="1499">
        <v>2.4271361996123333</v>
      </c>
      <c r="J194" s="1499">
        <v>2.0390486100592602</v>
      </c>
      <c r="K194" s="113">
        <v>0.71866674299317868</v>
      </c>
    </row>
    <row r="195" spans="2:11" x14ac:dyDescent="0.3">
      <c r="B195" s="123"/>
      <c r="C195" s="1500" t="s">
        <v>1513</v>
      </c>
      <c r="D195" s="1499">
        <v>2.5215840310891062</v>
      </c>
      <c r="E195" s="1499">
        <v>1.6640004149281542</v>
      </c>
      <c r="F195" s="1499">
        <v>1.1091494925668421</v>
      </c>
      <c r="G195" s="1499">
        <v>0.85085377897370973</v>
      </c>
      <c r="H195" s="1499">
        <v>0.93337818913401904</v>
      </c>
      <c r="I195" s="1499">
        <v>2.382839105137748</v>
      </c>
      <c r="J195" s="1499">
        <v>1.9947515155846749</v>
      </c>
      <c r="K195" s="113">
        <v>0.67436964851859338</v>
      </c>
    </row>
    <row r="196" spans="2:11" x14ac:dyDescent="0.3">
      <c r="B196" s="123"/>
      <c r="C196" s="1500" t="s">
        <v>1517</v>
      </c>
      <c r="D196" s="1499">
        <v>2.4772869366145209</v>
      </c>
      <c r="E196" s="1499">
        <v>1.6197033204535687</v>
      </c>
      <c r="F196" s="1499">
        <v>1.0648523980922568</v>
      </c>
      <c r="G196" s="1499">
        <v>0.80655668449912443</v>
      </c>
      <c r="H196" s="1499">
        <v>0.88908109465943375</v>
      </c>
      <c r="I196" s="1499">
        <v>2.3385420106631627</v>
      </c>
      <c r="J196" s="1499">
        <v>1.9504544211100894</v>
      </c>
      <c r="K196" s="113">
        <v>0.63007255404400808</v>
      </c>
    </row>
    <row r="197" spans="2:11" ht="14.5" thickBot="1" x14ac:dyDescent="0.35">
      <c r="B197" s="124"/>
      <c r="C197" s="125" t="s">
        <v>1519</v>
      </c>
      <c r="D197" s="117">
        <v>2.6728066164688253</v>
      </c>
      <c r="E197" s="117">
        <v>1.8274127977163723</v>
      </c>
      <c r="F197" s="117">
        <v>1.2589556480681778</v>
      </c>
      <c r="G197" s="117">
        <v>1.0105950833192607</v>
      </c>
      <c r="H197" s="117">
        <v>1.0863931017720962</v>
      </c>
      <c r="I197" s="117">
        <v>2.5449423104972788</v>
      </c>
      <c r="J197" s="117">
        <v>2.1594233044762374</v>
      </c>
      <c r="K197" s="118">
        <v>0.82642173267585062</v>
      </c>
    </row>
    <row r="198" spans="2:11" x14ac:dyDescent="0.3">
      <c r="B198" s="119" t="s">
        <v>1994</v>
      </c>
      <c r="C198" s="108" t="s">
        <v>1416</v>
      </c>
      <c r="D198" s="109">
        <v>2.3757169452677678</v>
      </c>
      <c r="E198" s="109">
        <v>1.4829989195557414</v>
      </c>
      <c r="F198" s="109">
        <v>0.9453887935793156</v>
      </c>
      <c r="G198" s="109">
        <v>0.66385951578539315</v>
      </c>
      <c r="H198" s="109">
        <v>0.75281686150756855</v>
      </c>
      <c r="I198" s="109">
        <v>2.2216729833286402</v>
      </c>
      <c r="J198" s="109">
        <v>1.8315402843214579</v>
      </c>
      <c r="K198" s="110">
        <v>0.54834751075156396</v>
      </c>
    </row>
    <row r="199" spans="2:11" x14ac:dyDescent="0.3">
      <c r="B199" s="111"/>
      <c r="C199" s="112" t="s">
        <v>1483</v>
      </c>
      <c r="D199" s="1499">
        <v>2.7740330967825648</v>
      </c>
      <c r="E199" s="1499">
        <v>1.9388375547968439</v>
      </c>
      <c r="F199" s="1499">
        <v>1.3448668873573588</v>
      </c>
      <c r="G199" s="1499">
        <v>1.1076982847274128</v>
      </c>
      <c r="H199" s="1499">
        <v>1.1757898927198718</v>
      </c>
      <c r="I199" s="1499">
        <v>2.6662698262343336</v>
      </c>
      <c r="J199" s="1499">
        <v>2.2801728981109579</v>
      </c>
      <c r="K199" s="113">
        <v>0.91868972324104436</v>
      </c>
    </row>
    <row r="200" spans="2:11" x14ac:dyDescent="0.3">
      <c r="B200" s="111"/>
      <c r="C200" s="112" t="s">
        <v>1489</v>
      </c>
      <c r="D200" s="1499">
        <v>2.7377342722774642</v>
      </c>
      <c r="E200" s="1499">
        <v>1.9025387302917429</v>
      </c>
      <c r="F200" s="1499">
        <v>1.308568062852258</v>
      </c>
      <c r="G200" s="1499">
        <v>1.0713994602223118</v>
      </c>
      <c r="H200" s="1499">
        <v>1.1394910682147708</v>
      </c>
      <c r="I200" s="1499">
        <v>2.6299710017292326</v>
      </c>
      <c r="J200" s="1499">
        <v>2.2438740736058569</v>
      </c>
      <c r="K200" s="113">
        <v>0.88239089873594323</v>
      </c>
    </row>
    <row r="201" spans="2:11" x14ac:dyDescent="0.3">
      <c r="B201" s="114">
        <v>0</v>
      </c>
      <c r="C201" s="112" t="s">
        <v>1496</v>
      </c>
      <c r="D201" s="1499">
        <v>2.6832860355198127</v>
      </c>
      <c r="E201" s="1499">
        <v>1.8480904935340916</v>
      </c>
      <c r="F201" s="1499">
        <v>1.2541198260946065</v>
      </c>
      <c r="G201" s="1499">
        <v>1.0169512234646603</v>
      </c>
      <c r="H201" s="1499">
        <v>1.0850428314571192</v>
      </c>
      <c r="I201" s="1499">
        <v>2.5755227649715811</v>
      </c>
      <c r="J201" s="1499">
        <v>2.1894258368482054</v>
      </c>
      <c r="K201" s="113">
        <v>0.82794266197829181</v>
      </c>
    </row>
    <row r="202" spans="2:11" x14ac:dyDescent="0.3">
      <c r="B202" s="115"/>
      <c r="C202" s="112" t="s">
        <v>1500</v>
      </c>
      <c r="D202" s="1499">
        <v>2.6288377987621612</v>
      </c>
      <c r="E202" s="1499">
        <v>1.7936422567764398</v>
      </c>
      <c r="F202" s="1499">
        <v>1.1996715893369549</v>
      </c>
      <c r="G202" s="1499">
        <v>0.96250298670700885</v>
      </c>
      <c r="H202" s="1499">
        <v>1.0305945946994679</v>
      </c>
      <c r="I202" s="1499">
        <v>2.5210745282139295</v>
      </c>
      <c r="J202" s="1499">
        <v>2.1349776000905538</v>
      </c>
      <c r="K202" s="113">
        <v>0.77349442522064038</v>
      </c>
    </row>
    <row r="203" spans="2:11" x14ac:dyDescent="0.3">
      <c r="B203" s="115"/>
      <c r="C203" s="112" t="s">
        <v>1504</v>
      </c>
      <c r="D203" s="1499">
        <v>2.6971201778965535</v>
      </c>
      <c r="E203" s="1499">
        <v>1.8507735355990795</v>
      </c>
      <c r="F203" s="1499">
        <v>1.269346168713311</v>
      </c>
      <c r="G203" s="1499">
        <v>1.0224806590478039</v>
      </c>
      <c r="H203" s="1499">
        <v>1.0971992757065059</v>
      </c>
      <c r="I203" s="1499">
        <v>2.5791867520783707</v>
      </c>
      <c r="J203" s="1499">
        <v>2.1892557620784596</v>
      </c>
      <c r="K203" s="113">
        <v>0.83244646851526027</v>
      </c>
    </row>
    <row r="204" spans="2:11" x14ac:dyDescent="0.3">
      <c r="B204" s="115"/>
      <c r="C204" s="112" t="s">
        <v>1508</v>
      </c>
      <c r="D204" s="1499">
        <v>2.6675887815801631</v>
      </c>
      <c r="E204" s="1499">
        <v>1.8212421392826892</v>
      </c>
      <c r="F204" s="1499">
        <v>1.2398147723969206</v>
      </c>
      <c r="G204" s="1499">
        <v>0.9929492627314136</v>
      </c>
      <c r="H204" s="1499">
        <v>1.0676678793901158</v>
      </c>
      <c r="I204" s="1499">
        <v>2.5496553557619803</v>
      </c>
      <c r="J204" s="1499">
        <v>2.1597243657620693</v>
      </c>
      <c r="K204" s="113">
        <v>0.80291507219887015</v>
      </c>
    </row>
    <row r="205" spans="2:11" x14ac:dyDescent="0.3">
      <c r="B205" s="115"/>
      <c r="C205" s="112" t="s">
        <v>1513</v>
      </c>
      <c r="D205" s="1499">
        <v>2.6232916871055778</v>
      </c>
      <c r="E205" s="1499">
        <v>1.7769450448081039</v>
      </c>
      <c r="F205" s="1499">
        <v>1.1955176779223353</v>
      </c>
      <c r="G205" s="1499">
        <v>0.9486521682568283</v>
      </c>
      <c r="H205" s="1499">
        <v>1.0233707849155302</v>
      </c>
      <c r="I205" s="1499">
        <v>2.505358261287395</v>
      </c>
      <c r="J205" s="1499">
        <v>2.115427271287484</v>
      </c>
      <c r="K205" s="113">
        <v>0.75861797772428474</v>
      </c>
    </row>
    <row r="206" spans="2:11" x14ac:dyDescent="0.3">
      <c r="B206" s="115"/>
      <c r="C206" s="112" t="s">
        <v>1517</v>
      </c>
      <c r="D206" s="1499">
        <v>2.5789945926309925</v>
      </c>
      <c r="E206" s="1499">
        <v>1.7326479503335184</v>
      </c>
      <c r="F206" s="1499">
        <v>1.1512205834477498</v>
      </c>
      <c r="G206" s="1499">
        <v>0.904355073782243</v>
      </c>
      <c r="H206" s="1499">
        <v>0.97907369044094505</v>
      </c>
      <c r="I206" s="1499">
        <v>2.4610611668128097</v>
      </c>
      <c r="J206" s="1499">
        <v>2.0711301768128982</v>
      </c>
      <c r="K206" s="113">
        <v>0.71432088324969945</v>
      </c>
    </row>
    <row r="207" spans="2:11" ht="14.5" thickBot="1" x14ac:dyDescent="0.35">
      <c r="B207" s="1233"/>
      <c r="C207" s="116" t="s">
        <v>1519</v>
      </c>
      <c r="D207" s="117">
        <v>2.7740330967825648</v>
      </c>
      <c r="E207" s="117">
        <v>1.9388375547968439</v>
      </c>
      <c r="F207" s="117">
        <v>1.3448668873573588</v>
      </c>
      <c r="G207" s="117">
        <v>1.1076982847274128</v>
      </c>
      <c r="H207" s="117">
        <v>1.1757898927198718</v>
      </c>
      <c r="I207" s="117">
        <v>2.6662698262343336</v>
      </c>
      <c r="J207" s="117">
        <v>2.2801728981109579</v>
      </c>
      <c r="K207" s="118">
        <v>0.91868972324104436</v>
      </c>
    </row>
    <row r="208" spans="2:11" x14ac:dyDescent="0.3">
      <c r="B208" s="120" t="s">
        <v>1519</v>
      </c>
      <c r="C208" s="108" t="s">
        <v>1416</v>
      </c>
      <c r="D208" s="129">
        <v>2.2217910327752239</v>
      </c>
      <c r="E208" s="109">
        <v>1.3139042333240143</v>
      </c>
      <c r="F208" s="109">
        <v>0.81177993944921489</v>
      </c>
      <c r="G208" s="109">
        <v>0.57817865874982699</v>
      </c>
      <c r="H208" s="109">
        <v>0.64661826325726934</v>
      </c>
      <c r="I208" s="109">
        <v>2.0306527933939078</v>
      </c>
      <c r="J208" s="109">
        <v>1.6512382293566528</v>
      </c>
      <c r="K208" s="110">
        <v>0.46522187773435503</v>
      </c>
    </row>
    <row r="209" spans="2:11" x14ac:dyDescent="0.3">
      <c r="B209" s="111"/>
      <c r="C209" s="112" t="s">
        <v>1483</v>
      </c>
      <c r="D209" s="130">
        <v>2.5306527583469061</v>
      </c>
      <c r="E209" s="1499">
        <v>1.6591075385240033</v>
      </c>
      <c r="F209" s="1499">
        <v>1.1273875641625082</v>
      </c>
      <c r="G209" s="1499">
        <v>0.8587272535332432</v>
      </c>
      <c r="H209" s="1499">
        <v>0.94866877395646021</v>
      </c>
      <c r="I209" s="1499">
        <v>2.3693348053759617</v>
      </c>
      <c r="J209" s="1499">
        <v>1.9902378356314243</v>
      </c>
      <c r="K209" s="113">
        <v>0.6956426338316094</v>
      </c>
    </row>
    <row r="210" spans="2:11" x14ac:dyDescent="0.3">
      <c r="B210" s="111"/>
      <c r="C210" s="112" t="s">
        <v>1489</v>
      </c>
      <c r="D210" s="130">
        <v>2.494353933841805</v>
      </c>
      <c r="E210" s="1499">
        <v>1.6228087140189023</v>
      </c>
      <c r="F210" s="1499">
        <v>1.0910887396574072</v>
      </c>
      <c r="G210" s="1499">
        <v>0.82242842902814206</v>
      </c>
      <c r="H210" s="1499">
        <v>0.91236994945135919</v>
      </c>
      <c r="I210" s="1499">
        <v>2.3330359808708607</v>
      </c>
      <c r="J210" s="1499">
        <v>1.9539390111263233</v>
      </c>
      <c r="K210" s="113">
        <v>0.65934380932650838</v>
      </c>
    </row>
    <row r="211" spans="2:11" x14ac:dyDescent="0.3">
      <c r="B211" s="114">
        <v>0</v>
      </c>
      <c r="C211" s="112" t="s">
        <v>1496</v>
      </c>
      <c r="D211" s="130">
        <v>2.4399056970841535</v>
      </c>
      <c r="E211" s="1499">
        <v>1.5683604772612507</v>
      </c>
      <c r="F211" s="1499">
        <v>1.0366405028997556</v>
      </c>
      <c r="G211" s="1499">
        <v>0.76798019227049064</v>
      </c>
      <c r="H211" s="1499">
        <v>0.85792171269370765</v>
      </c>
      <c r="I211" s="1499">
        <v>2.2785877441132092</v>
      </c>
      <c r="J211" s="1499">
        <v>1.8994907743686718</v>
      </c>
      <c r="K211" s="113">
        <v>0.60489557256885684</v>
      </c>
    </row>
    <row r="212" spans="2:11" x14ac:dyDescent="0.3">
      <c r="B212" s="115"/>
      <c r="C212" s="112" t="s">
        <v>1500</v>
      </c>
      <c r="D212" s="130">
        <v>2.3854574603265024</v>
      </c>
      <c r="E212" s="1499">
        <v>1.5139122405035994</v>
      </c>
      <c r="F212" s="1499">
        <v>0.9821922661421042</v>
      </c>
      <c r="G212" s="1499">
        <v>0.71353195551283921</v>
      </c>
      <c r="H212" s="1499">
        <v>0.80347347593605623</v>
      </c>
      <c r="I212" s="1499">
        <v>2.2241395073555577</v>
      </c>
      <c r="J212" s="1499">
        <v>1.8450425376110202</v>
      </c>
      <c r="K212" s="113">
        <v>0.55044733581120542</v>
      </c>
    </row>
    <row r="213" spans="2:11" x14ac:dyDescent="0.3">
      <c r="B213" s="115"/>
      <c r="C213" s="112" t="s">
        <v>1504</v>
      </c>
      <c r="D213" s="130">
        <v>2.4677117877525014</v>
      </c>
      <c r="E213" s="1499">
        <v>1.5856901598681241</v>
      </c>
      <c r="F213" s="1499">
        <v>1.0651777501227961</v>
      </c>
      <c r="G213" s="1499">
        <v>0.78767596509973747</v>
      </c>
      <c r="H213" s="1499">
        <v>0.88326218497787745</v>
      </c>
      <c r="I213" s="1499">
        <v>2.2987570480964781</v>
      </c>
      <c r="J213" s="1499">
        <v>1.9210062943720052</v>
      </c>
      <c r="K213" s="113">
        <v>0.64821810451690565</v>
      </c>
    </row>
    <row r="214" spans="2:11" x14ac:dyDescent="0.3">
      <c r="B214" s="115"/>
      <c r="C214" s="112" t="s">
        <v>1508</v>
      </c>
      <c r="D214" s="130">
        <v>2.4381803914361111</v>
      </c>
      <c r="E214" s="1499">
        <v>1.556158763551734</v>
      </c>
      <c r="F214" s="1499">
        <v>1.0356463538064058</v>
      </c>
      <c r="G214" s="1499">
        <v>0.75814456878334724</v>
      </c>
      <c r="H214" s="1499">
        <v>0.85373078866148722</v>
      </c>
      <c r="I214" s="1499">
        <v>2.2692256517800882</v>
      </c>
      <c r="J214" s="1499">
        <v>1.8914748980556151</v>
      </c>
      <c r="K214" s="113">
        <v>0.61868670820051541</v>
      </c>
    </row>
    <row r="215" spans="2:11" x14ac:dyDescent="0.3">
      <c r="B215" s="115"/>
      <c r="C215" s="112" t="s">
        <v>1513</v>
      </c>
      <c r="D215" s="130">
        <v>2.3938832969615258</v>
      </c>
      <c r="E215" s="1499">
        <v>1.5118616690771485</v>
      </c>
      <c r="F215" s="1499">
        <v>0.99134925933182061</v>
      </c>
      <c r="G215" s="1499">
        <v>0.71384747430876194</v>
      </c>
      <c r="H215" s="1499">
        <v>0.80943369418690192</v>
      </c>
      <c r="I215" s="1499">
        <v>2.2249285573055024</v>
      </c>
      <c r="J215" s="1499">
        <v>1.8471778035810296</v>
      </c>
      <c r="K215" s="113">
        <v>0.57438961372593023</v>
      </c>
    </row>
    <row r="216" spans="2:11" x14ac:dyDescent="0.3">
      <c r="B216" s="115"/>
      <c r="C216" s="112" t="s">
        <v>1517</v>
      </c>
      <c r="D216" s="130">
        <v>2.3495862024869405</v>
      </c>
      <c r="E216" s="1499">
        <v>1.4675645746025632</v>
      </c>
      <c r="F216" s="1499">
        <v>0.9470521648572352</v>
      </c>
      <c r="G216" s="1499">
        <v>0.66955037983417653</v>
      </c>
      <c r="H216" s="1499">
        <v>0.76513659971231651</v>
      </c>
      <c r="I216" s="1499">
        <v>2.1806314628309171</v>
      </c>
      <c r="J216" s="1499">
        <v>1.8028807091064445</v>
      </c>
      <c r="K216" s="113">
        <v>0.53009251925134482</v>
      </c>
    </row>
    <row r="217" spans="2:11" ht="14.5" thickBot="1" x14ac:dyDescent="0.35">
      <c r="B217" s="1233"/>
      <c r="C217" s="116" t="s">
        <v>1519</v>
      </c>
      <c r="D217" s="131">
        <v>2.5306527583469061</v>
      </c>
      <c r="E217" s="117">
        <v>1.6591075385240033</v>
      </c>
      <c r="F217" s="117">
        <v>1.1273875641625082</v>
      </c>
      <c r="G217" s="117">
        <v>0.8587272535332432</v>
      </c>
      <c r="H217" s="117">
        <v>0.94866877395646021</v>
      </c>
      <c r="I217" s="117">
        <v>2.3693348053759617</v>
      </c>
      <c r="J217" s="117">
        <v>1.9902378356314243</v>
      </c>
      <c r="K217" s="118">
        <v>0.6956426338316094</v>
      </c>
    </row>
    <row r="221" spans="2:11" ht="14.5" thickBot="1" x14ac:dyDescent="0.35"/>
    <row r="222" spans="2:11" x14ac:dyDescent="0.3">
      <c r="C222" s="132" t="s">
        <v>1995</v>
      </c>
      <c r="D222" s="132"/>
      <c r="E222" s="132"/>
      <c r="F222" s="132"/>
    </row>
    <row r="223" spans="2:11" x14ac:dyDescent="0.3">
      <c r="C223" s="1504" t="s">
        <v>1996</v>
      </c>
      <c r="D223" s="1504" t="s">
        <v>1997</v>
      </c>
      <c r="E223" s="1504" t="s">
        <v>1998</v>
      </c>
      <c r="F223" s="1504" t="s">
        <v>1999</v>
      </c>
    </row>
    <row r="224" spans="2:11" x14ac:dyDescent="0.3">
      <c r="C224" s="1498">
        <v>1</v>
      </c>
      <c r="D224" s="1505">
        <v>292.11071169373326</v>
      </c>
      <c r="E224" s="1506">
        <v>5.2541110732262988E-2</v>
      </c>
      <c r="F224" s="1507">
        <v>2.1016444292905194</v>
      </c>
      <c r="H224" s="134" t="s">
        <v>2000</v>
      </c>
    </row>
    <row r="225" spans="2:11" x14ac:dyDescent="0.3">
      <c r="C225" s="1498">
        <v>1.5</v>
      </c>
      <c r="D225" s="1505">
        <v>246.32613024921088</v>
      </c>
      <c r="E225" s="1506">
        <v>4.4305970194078573E-2</v>
      </c>
      <c r="F225" s="1507">
        <v>1.7722388077631428</v>
      </c>
      <c r="H225" s="134" t="s">
        <v>2001</v>
      </c>
    </row>
    <row r="226" spans="2:11" x14ac:dyDescent="0.3">
      <c r="C226" s="1498">
        <v>2</v>
      </c>
      <c r="D226" s="1505">
        <v>213.841452744522</v>
      </c>
      <c r="E226" s="1506">
        <v>3.8463044996370641E-2</v>
      </c>
      <c r="F226" s="1507">
        <v>1.5385217998548253</v>
      </c>
    </row>
    <row r="227" spans="2:11" x14ac:dyDescent="0.3">
      <c r="C227" s="1498">
        <v>2.5</v>
      </c>
      <c r="D227" s="1505">
        <v>188.64437932275672</v>
      </c>
      <c r="E227" s="1506">
        <v>3.3930920114315755E-2</v>
      </c>
      <c r="F227" s="1507">
        <v>1.3572368045726302</v>
      </c>
    </row>
    <row r="228" spans="2:11" x14ac:dyDescent="0.3">
      <c r="B228" s="2"/>
      <c r="C228" s="1498">
        <v>3</v>
      </c>
      <c r="D228" s="1505">
        <v>168.05687129999961</v>
      </c>
      <c r="E228" s="1506">
        <v>3.0227904458186218E-2</v>
      </c>
      <c r="F228" s="1507">
        <v>1.2091161783274487</v>
      </c>
      <c r="I228" s="135"/>
      <c r="J228" s="135"/>
      <c r="K228" s="135"/>
    </row>
    <row r="229" spans="2:11" x14ac:dyDescent="0.3">
      <c r="B229" s="136"/>
      <c r="C229" s="1498">
        <v>3.5</v>
      </c>
      <c r="D229" s="1505">
        <v>150.65038128607506</v>
      </c>
      <c r="E229" s="1506">
        <v>2.7097049331447434E-2</v>
      </c>
      <c r="F229" s="1507">
        <v>1.0838819732578973</v>
      </c>
      <c r="I229" s="135"/>
      <c r="J229" s="135"/>
      <c r="K229" s="135"/>
    </row>
    <row r="230" spans="2:11" x14ac:dyDescent="0.3">
      <c r="B230" s="136"/>
      <c r="C230" s="1498">
        <v>4</v>
      </c>
      <c r="D230" s="1505">
        <v>135.57219379531071</v>
      </c>
      <c r="E230" s="1506">
        <v>2.4384979260478282E-2</v>
      </c>
      <c r="F230" s="1507">
        <v>0.97539917041913138</v>
      </c>
      <c r="I230" s="135"/>
      <c r="J230" s="135"/>
      <c r="K230" s="135"/>
    </row>
    <row r="231" spans="2:11" x14ac:dyDescent="0.3">
      <c r="B231" s="137"/>
      <c r="C231" s="1498">
        <v>4.5</v>
      </c>
      <c r="D231" s="1505">
        <v>122.27228985547725</v>
      </c>
      <c r="E231" s="1506">
        <v>2.1992763920001806E-2</v>
      </c>
      <c r="F231" s="1507">
        <v>0.87971055680007226</v>
      </c>
      <c r="I231" s="135"/>
      <c r="J231" s="135"/>
      <c r="K231" s="135"/>
    </row>
    <row r="232" spans="2:11" x14ac:dyDescent="0.3">
      <c r="C232" s="1498">
        <v>5</v>
      </c>
      <c r="D232" s="1505">
        <v>110.37512037354549</v>
      </c>
      <c r="E232" s="1506">
        <v>1.9852854378423407E-2</v>
      </c>
      <c r="F232" s="1507">
        <v>0.79411417513693627</v>
      </c>
      <c r="I232" s="135"/>
      <c r="J232" s="135"/>
      <c r="K232" s="135"/>
    </row>
    <row r="233" spans="2:11" x14ac:dyDescent="0.3">
      <c r="C233" s="1498">
        <v>5.5</v>
      </c>
      <c r="D233" s="1505">
        <v>99.612821466732782</v>
      </c>
      <c r="E233" s="1506">
        <v>1.7917070732154983E-2</v>
      </c>
      <c r="F233" s="1507">
        <v>0.71668282928619931</v>
      </c>
      <c r="I233" s="135"/>
      <c r="J233" s="135"/>
      <c r="K233" s="135"/>
    </row>
    <row r="234" spans="2:11" x14ac:dyDescent="0.3">
      <c r="C234" s="1498">
        <v>6</v>
      </c>
      <c r="D234" s="1505">
        <v>89.787612350788351</v>
      </c>
      <c r="E234" s="1506">
        <v>1.614983872229387E-2</v>
      </c>
      <c r="F234" s="1507">
        <v>0.64599354889175475</v>
      </c>
      <c r="I234" s="135"/>
      <c r="J234" s="135"/>
      <c r="K234" s="135"/>
    </row>
    <row r="235" spans="2:11" x14ac:dyDescent="0.3">
      <c r="C235" s="1498">
        <v>6.5</v>
      </c>
      <c r="D235" s="1505">
        <v>80.749296117813017</v>
      </c>
      <c r="E235" s="1506">
        <v>1.452414286445808E-2</v>
      </c>
      <c r="F235" s="1507">
        <v>0.58096571457832313</v>
      </c>
      <c r="I235" s="135"/>
      <c r="J235" s="135"/>
      <c r="K235" s="135"/>
    </row>
    <row r="236" spans="2:11" x14ac:dyDescent="0.3">
      <c r="C236" s="1498">
        <v>7</v>
      </c>
      <c r="D236" s="1505">
        <v>72.381122336863797</v>
      </c>
      <c r="E236" s="1506">
        <v>1.3018983595555086E-2</v>
      </c>
      <c r="F236" s="1507">
        <v>0.52075934382220335</v>
      </c>
      <c r="I236" s="135"/>
      <c r="J236" s="135"/>
      <c r="K236" s="135"/>
    </row>
    <row r="237" spans="2:11" x14ac:dyDescent="0.3">
      <c r="C237" s="1498">
        <v>7.5</v>
      </c>
      <c r="D237" s="1505">
        <v>64.590538929023126</v>
      </c>
      <c r="E237" s="1506">
        <v>1.1617713840238995E-2</v>
      </c>
      <c r="F237" s="1507">
        <v>0.46470855360955976</v>
      </c>
      <c r="I237" s="135"/>
      <c r="J237" s="135"/>
      <c r="K237" s="135"/>
    </row>
    <row r="238" spans="2:11" x14ac:dyDescent="0.3">
      <c r="B238" s="2"/>
      <c r="C238" s="1498">
        <v>8</v>
      </c>
      <c r="D238" s="1505">
        <v>57.302934846099447</v>
      </c>
      <c r="E238" s="1506">
        <v>1.0306913524585935E-2</v>
      </c>
      <c r="F238" s="1507">
        <v>0.41227654098343736</v>
      </c>
      <c r="I238" s="135"/>
      <c r="J238" s="135"/>
      <c r="K238" s="135"/>
    </row>
    <row r="239" spans="2:11" x14ac:dyDescent="0.3">
      <c r="B239" s="136"/>
      <c r="C239" s="1498">
        <v>8.5</v>
      </c>
      <c r="D239" s="1505">
        <v>50.457283075842859</v>
      </c>
      <c r="E239" s="1506">
        <v>9.0756058960157378E-3</v>
      </c>
      <c r="F239" s="1507">
        <v>0.36302423584062948</v>
      </c>
      <c r="I239" s="135"/>
      <c r="J239" s="135"/>
      <c r="K239" s="135"/>
    </row>
    <row r="240" spans="2:11" x14ac:dyDescent="0.3">
      <c r="B240" s="136"/>
      <c r="C240" s="1498">
        <v>9</v>
      </c>
      <c r="D240" s="1505">
        <v>44.003030906265941</v>
      </c>
      <c r="E240" s="1506">
        <v>7.9146981841094477E-3</v>
      </c>
      <c r="F240" s="1507">
        <v>0.31658792736437791</v>
      </c>
      <c r="I240" s="135"/>
      <c r="J240" s="135"/>
      <c r="K240" s="135"/>
    </row>
    <row r="241" spans="2:11" x14ac:dyDescent="0.3">
      <c r="B241" s="137"/>
      <c r="C241" s="1498">
        <v>9.5</v>
      </c>
      <c r="D241" s="1505">
        <v>37.897832095749351</v>
      </c>
      <c r="E241" s="1506">
        <v>6.8165736925907966E-3</v>
      </c>
      <c r="F241" s="1507">
        <v>0.27266294770363186</v>
      </c>
      <c r="I241" s="135"/>
      <c r="J241" s="135"/>
      <c r="K241" s="135"/>
    </row>
    <row r="242" spans="2:11" x14ac:dyDescent="0.3">
      <c r="C242" s="1498">
        <v>10</v>
      </c>
      <c r="D242" s="1505">
        <v>32.105861424334151</v>
      </c>
      <c r="E242" s="1506">
        <v>5.7747886425310443E-3</v>
      </c>
      <c r="F242" s="1507">
        <v>0.23099154570124181</v>
      </c>
      <c r="I242" s="135"/>
      <c r="J242" s="135"/>
      <c r="K242" s="135"/>
    </row>
    <row r="243" spans="2:11" x14ac:dyDescent="0.3">
      <c r="I243" s="135"/>
      <c r="J243" s="135"/>
      <c r="K243" s="135"/>
    </row>
    <row r="244" spans="2:11" ht="14.5" thickBot="1" x14ac:dyDescent="0.35">
      <c r="I244" s="135"/>
      <c r="J244" s="135"/>
      <c r="K244" s="135"/>
    </row>
    <row r="245" spans="2:11" x14ac:dyDescent="0.3">
      <c r="C245" s="132" t="s">
        <v>2002</v>
      </c>
      <c r="D245" s="132"/>
      <c r="E245" s="132"/>
      <c r="F245" s="132"/>
      <c r="H245" s="134" t="s">
        <v>2003</v>
      </c>
      <c r="I245" s="135"/>
      <c r="J245" s="135"/>
      <c r="K245" s="135"/>
    </row>
    <row r="246" spans="2:11" x14ac:dyDescent="0.3">
      <c r="C246" s="1508" t="s">
        <v>1996</v>
      </c>
      <c r="D246" s="1508" t="s">
        <v>2004</v>
      </c>
      <c r="E246" s="1508" t="s">
        <v>2005</v>
      </c>
      <c r="F246" s="1508" t="s">
        <v>2006</v>
      </c>
      <c r="H246" s="134" t="s">
        <v>2007</v>
      </c>
      <c r="I246" s="135"/>
      <c r="J246" s="135"/>
      <c r="K246" s="135"/>
    </row>
    <row r="247" spans="2:11" x14ac:dyDescent="0.3">
      <c r="C247" s="1498" t="s">
        <v>376</v>
      </c>
      <c r="D247" s="1509">
        <v>349.18714777526418</v>
      </c>
      <c r="E247" s="1510">
        <v>6.2807284577701544E-2</v>
      </c>
      <c r="F247" s="1511">
        <v>2.5122913831080611</v>
      </c>
      <c r="I247" s="135"/>
      <c r="J247" s="135"/>
      <c r="K247" s="135"/>
    </row>
    <row r="248" spans="2:11" x14ac:dyDescent="0.3">
      <c r="B248" s="2"/>
      <c r="D248" s="135"/>
      <c r="E248" s="135"/>
      <c r="F248" s="135"/>
      <c r="G248" s="135"/>
      <c r="H248" s="135"/>
      <c r="I248" s="135"/>
      <c r="J248" s="135"/>
      <c r="K248" s="135"/>
    </row>
    <row r="249" spans="2:11" x14ac:dyDescent="0.3">
      <c r="B249" s="136"/>
      <c r="D249" s="135"/>
      <c r="E249" s="135"/>
      <c r="F249" s="135"/>
      <c r="G249" s="135"/>
      <c r="H249" s="135"/>
      <c r="I249" s="135"/>
      <c r="J249" s="135"/>
      <c r="K249" s="135"/>
    </row>
  </sheetData>
  <sheetProtection algorithmName="SHA-512" hashValue="zh2Bf7FjXOXKRgYvyrq3Ves6ItHl96T3dOKyti1MiHWkaxRCfauND1MwD2kBSzmci9Va32sHw9Y/ypsGsb4eUw==" saltValue="/7KnO+4E/N6SNxzOUhWZ4A==" spinCount="100000" sheet="1" objects="1" scenarios="1" autoFilter="0"/>
  <pageMargins left="0.7" right="0.7" top="0.75" bottom="0.75" header="0.3" footer="0.3"/>
  <pageSetup paperSize="9" orientation="portrait"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1"/>
  <dimension ref="B1:K250"/>
  <sheetViews>
    <sheetView topLeftCell="A85" workbookViewId="0">
      <selection activeCell="G9" sqref="G9"/>
    </sheetView>
  </sheetViews>
  <sheetFormatPr defaultColWidth="7.58203125" defaultRowHeight="14" x14ac:dyDescent="0.3"/>
  <cols>
    <col min="3" max="3" width="25.58203125" customWidth="1"/>
  </cols>
  <sheetData>
    <row r="1" spans="2:11" ht="14.5" thickBot="1" x14ac:dyDescent="0.35"/>
    <row r="2" spans="2:11" ht="25.5" thickBot="1" x14ac:dyDescent="0.55000000000000004">
      <c r="B2" s="88" t="s">
        <v>1960</v>
      </c>
      <c r="C2" s="89"/>
      <c r="D2" s="90">
        <v>2</v>
      </c>
      <c r="E2" s="91" t="s">
        <v>1961</v>
      </c>
      <c r="F2" s="92"/>
      <c r="G2" s="92"/>
      <c r="H2" s="92"/>
      <c r="I2" s="93"/>
      <c r="J2" s="89" t="s">
        <v>176</v>
      </c>
      <c r="K2" s="94" t="s">
        <v>230</v>
      </c>
    </row>
    <row r="3" spans="2:11" ht="14.5" thickBot="1" x14ac:dyDescent="0.35">
      <c r="B3" s="95" t="s">
        <v>1962</v>
      </c>
      <c r="C3" s="96" t="s">
        <v>1963</v>
      </c>
      <c r="D3" s="95" t="s">
        <v>1964</v>
      </c>
      <c r="E3" s="97" t="s">
        <v>1965</v>
      </c>
      <c r="F3" s="97" t="s">
        <v>1966</v>
      </c>
      <c r="G3" s="97" t="s">
        <v>1967</v>
      </c>
      <c r="H3" s="97" t="s">
        <v>1968</v>
      </c>
      <c r="I3" s="97" t="s">
        <v>1969</v>
      </c>
      <c r="J3" s="97" t="s">
        <v>1970</v>
      </c>
      <c r="K3" s="98" t="s">
        <v>1971</v>
      </c>
    </row>
    <row r="4" spans="2:11" ht="18.5" thickBot="1" x14ac:dyDescent="0.45">
      <c r="B4" s="99" t="s">
        <v>34</v>
      </c>
      <c r="C4" s="100" t="s">
        <v>34</v>
      </c>
      <c r="D4" s="101" t="s">
        <v>34</v>
      </c>
      <c r="E4" s="944"/>
      <c r="F4" s="944"/>
      <c r="G4" s="944"/>
      <c r="H4" s="944"/>
      <c r="I4" s="944" t="s">
        <v>34</v>
      </c>
      <c r="J4" s="944" t="s">
        <v>34</v>
      </c>
      <c r="K4" s="102"/>
    </row>
    <row r="5" spans="2:11" ht="90.5" thickBot="1" x14ac:dyDescent="0.45">
      <c r="B5" s="103" t="s">
        <v>1972</v>
      </c>
      <c r="C5" s="104" t="s">
        <v>1973</v>
      </c>
      <c r="D5" s="105" t="s">
        <v>1974</v>
      </c>
      <c r="E5" s="105" t="s">
        <v>1525</v>
      </c>
      <c r="F5" s="105" t="s">
        <v>1527</v>
      </c>
      <c r="G5" s="105" t="s">
        <v>1975</v>
      </c>
      <c r="H5" s="105" t="s">
        <v>1976</v>
      </c>
      <c r="I5" s="105" t="s">
        <v>1445</v>
      </c>
      <c r="J5" s="105" t="s">
        <v>1538</v>
      </c>
      <c r="K5" s="106" t="s">
        <v>1541</v>
      </c>
    </row>
    <row r="6" spans="2:11" x14ac:dyDescent="0.3">
      <c r="B6" s="107" t="s">
        <v>1977</v>
      </c>
      <c r="C6" s="108" t="s">
        <v>1416</v>
      </c>
      <c r="D6" s="109">
        <v>2.3398721183728375</v>
      </c>
      <c r="E6" s="109">
        <v>1.9564925156981425</v>
      </c>
      <c r="F6" s="109">
        <v>1.0881982472166505</v>
      </c>
      <c r="G6" s="109">
        <v>0.96445936029743118</v>
      </c>
      <c r="H6" s="109">
        <v>0.92075707876014645</v>
      </c>
      <c r="I6" s="109">
        <v>3.3149871384897689</v>
      </c>
      <c r="J6" s="109">
        <v>2.7523902189281859</v>
      </c>
      <c r="K6" s="110">
        <v>0.76043939102500813</v>
      </c>
    </row>
    <row r="7" spans="2:11" x14ac:dyDescent="0.3">
      <c r="B7" s="111" t="s">
        <v>1978</v>
      </c>
      <c r="C7" s="112" t="s">
        <v>1483</v>
      </c>
      <c r="D7" s="1499">
        <v>2.6076594914172762</v>
      </c>
      <c r="E7" s="1499">
        <v>2.2388275923065342</v>
      </c>
      <c r="F7" s="1499">
        <v>1.3552152156839703</v>
      </c>
      <c r="G7" s="1499">
        <v>1.254940797068556</v>
      </c>
      <c r="H7" s="1499">
        <v>1.1992006889496625</v>
      </c>
      <c r="I7" s="1499">
        <v>3.5871124672397245</v>
      </c>
      <c r="J7" s="1499">
        <v>3.0307221613560293</v>
      </c>
      <c r="K7" s="113">
        <v>1.060975123049531</v>
      </c>
    </row>
    <row r="8" spans="2:11" x14ac:dyDescent="0.3">
      <c r="B8" s="111" t="s">
        <v>1979</v>
      </c>
      <c r="C8" s="112" t="s">
        <v>1489</v>
      </c>
      <c r="D8" s="1499">
        <v>2.5763440087410503</v>
      </c>
      <c r="E8" s="1499">
        <v>2.2075121096303083</v>
      </c>
      <c r="F8" s="1499">
        <v>1.3238997330077444</v>
      </c>
      <c r="G8" s="1499">
        <v>1.2236253143923301</v>
      </c>
      <c r="H8" s="1499">
        <v>1.1678852062734368</v>
      </c>
      <c r="I8" s="1499">
        <v>3.5557969845634987</v>
      </c>
      <c r="J8" s="1499">
        <v>2.9994066786798035</v>
      </c>
      <c r="K8" s="113">
        <v>1.0296596403733052</v>
      </c>
    </row>
    <row r="9" spans="2:11" x14ac:dyDescent="0.3">
      <c r="B9" s="114">
        <v>0</v>
      </c>
      <c r="C9" s="112" t="s">
        <v>1496</v>
      </c>
      <c r="D9" s="1499">
        <v>2.5293707847267117</v>
      </c>
      <c r="E9" s="1499">
        <v>2.1605388856159697</v>
      </c>
      <c r="F9" s="1499">
        <v>1.2769265089934059</v>
      </c>
      <c r="G9" s="1499">
        <v>1.1766520903779916</v>
      </c>
      <c r="H9" s="1499">
        <v>1.120911982259098</v>
      </c>
      <c r="I9" s="1499">
        <v>3.5088237605491601</v>
      </c>
      <c r="J9" s="1499">
        <v>2.9524334546654649</v>
      </c>
      <c r="K9" s="113">
        <v>0.98268641635896647</v>
      </c>
    </row>
    <row r="10" spans="2:11" x14ac:dyDescent="0.3">
      <c r="B10" s="115"/>
      <c r="C10" s="112" t="s">
        <v>1500</v>
      </c>
      <c r="D10" s="1499">
        <v>2.4823975607123732</v>
      </c>
      <c r="E10" s="1499">
        <v>2.1135656616016312</v>
      </c>
      <c r="F10" s="1499">
        <v>1.2299532849790671</v>
      </c>
      <c r="G10" s="1499">
        <v>1.1296788663636528</v>
      </c>
      <c r="H10" s="1499">
        <v>1.0739387582447593</v>
      </c>
      <c r="I10" s="1499">
        <v>3.4618505365348216</v>
      </c>
      <c r="J10" s="1499">
        <v>2.9054602306511264</v>
      </c>
      <c r="K10" s="113">
        <v>0.9357131923446278</v>
      </c>
    </row>
    <row r="11" spans="2:11" x14ac:dyDescent="0.3">
      <c r="B11" s="115"/>
      <c r="C11" s="112" t="s">
        <v>1504</v>
      </c>
      <c r="D11" s="1499">
        <v>2.5539176786565596</v>
      </c>
      <c r="E11" s="1499">
        <v>2.1804098331908413</v>
      </c>
      <c r="F11" s="1499">
        <v>1.3019458661188805</v>
      </c>
      <c r="G11" s="1499">
        <v>1.1973133163519545</v>
      </c>
      <c r="H11" s="1499">
        <v>1.1441183935689807</v>
      </c>
      <c r="I11" s="1499">
        <v>3.5313569789589505</v>
      </c>
      <c r="J11" s="1499">
        <v>2.9736746425188123</v>
      </c>
      <c r="K11" s="113">
        <v>1.0021578931452444</v>
      </c>
    </row>
    <row r="12" spans="2:11" x14ac:dyDescent="0.3">
      <c r="B12" s="115"/>
      <c r="C12" s="112" t="s">
        <v>1508</v>
      </c>
      <c r="D12" s="1499">
        <v>2.5279459010935912</v>
      </c>
      <c r="E12" s="1499">
        <v>2.1544380556278728</v>
      </c>
      <c r="F12" s="1499">
        <v>1.2759740885559121</v>
      </c>
      <c r="G12" s="1499">
        <v>1.1713415387889861</v>
      </c>
      <c r="H12" s="1499">
        <v>1.1181466160060121</v>
      </c>
      <c r="I12" s="1499">
        <v>3.5053852013959816</v>
      </c>
      <c r="J12" s="1499">
        <v>2.9477028649558434</v>
      </c>
      <c r="K12" s="113">
        <v>0.97618611558227575</v>
      </c>
    </row>
    <row r="13" spans="2:11" x14ac:dyDescent="0.3">
      <c r="B13" s="115"/>
      <c r="C13" s="112" t="s">
        <v>1513</v>
      </c>
      <c r="D13" s="1499">
        <v>2.4889882347491379</v>
      </c>
      <c r="E13" s="1499">
        <v>2.11548038928342</v>
      </c>
      <c r="F13" s="1499">
        <v>1.2370164222114592</v>
      </c>
      <c r="G13" s="1499">
        <v>1.132383872444533</v>
      </c>
      <c r="H13" s="1499">
        <v>1.0791889496615592</v>
      </c>
      <c r="I13" s="1499">
        <v>3.4664275350515288</v>
      </c>
      <c r="J13" s="1499">
        <v>2.9087451986113906</v>
      </c>
      <c r="K13" s="113">
        <v>0.93722844923782289</v>
      </c>
    </row>
    <row r="14" spans="2:11" x14ac:dyDescent="0.3">
      <c r="B14" s="115"/>
      <c r="C14" s="112" t="s">
        <v>1517</v>
      </c>
      <c r="D14" s="1499">
        <v>2.4500305684046855</v>
      </c>
      <c r="E14" s="1499">
        <v>2.0765227229389671</v>
      </c>
      <c r="F14" s="1499">
        <v>1.1980587558670064</v>
      </c>
      <c r="G14" s="1499">
        <v>1.0934262061000803</v>
      </c>
      <c r="H14" s="1499">
        <v>1.0402312833171066</v>
      </c>
      <c r="I14" s="1499">
        <v>3.4274698687070764</v>
      </c>
      <c r="J14" s="1499">
        <v>2.8697875322669382</v>
      </c>
      <c r="K14" s="113">
        <v>0.89827078289337026</v>
      </c>
    </row>
    <row r="15" spans="2:11" ht="14.5" thickBot="1" x14ac:dyDescent="0.35">
      <c r="B15" s="1233"/>
      <c r="C15" s="116" t="s">
        <v>1519</v>
      </c>
      <c r="D15" s="117">
        <v>2.6076594914172762</v>
      </c>
      <c r="E15" s="117">
        <v>2.2388275923065342</v>
      </c>
      <c r="F15" s="117">
        <v>1.3552152156839703</v>
      </c>
      <c r="G15" s="117">
        <v>1.254940797068556</v>
      </c>
      <c r="H15" s="117">
        <v>1.1992006889496625</v>
      </c>
      <c r="I15" s="117">
        <v>3.5871124672397245</v>
      </c>
      <c r="J15" s="117">
        <v>3.0307221613560293</v>
      </c>
      <c r="K15" s="118">
        <v>1.060975123049531</v>
      </c>
    </row>
    <row r="16" spans="2:11" x14ac:dyDescent="0.3">
      <c r="B16" s="107" t="s">
        <v>1977</v>
      </c>
      <c r="C16" s="108" t="s">
        <v>1416</v>
      </c>
      <c r="D16" s="109">
        <v>2.300572967397656</v>
      </c>
      <c r="E16" s="109">
        <v>1.9171933647229613</v>
      </c>
      <c r="F16" s="109">
        <v>1.0488990962414695</v>
      </c>
      <c r="G16" s="109">
        <v>0.92516020932225007</v>
      </c>
      <c r="H16" s="109">
        <v>0.88145792778496523</v>
      </c>
      <c r="I16" s="109">
        <v>3.2756879875145879</v>
      </c>
      <c r="J16" s="109">
        <v>2.7130910679530049</v>
      </c>
      <c r="K16" s="110">
        <v>0.72114024004982702</v>
      </c>
    </row>
    <row r="17" spans="2:11" x14ac:dyDescent="0.3">
      <c r="B17" s="111" t="s">
        <v>1978</v>
      </c>
      <c r="C17" s="112" t="s">
        <v>1483</v>
      </c>
      <c r="D17" s="1499">
        <v>2.5683603404420952</v>
      </c>
      <c r="E17" s="1499">
        <v>2.1995284413313532</v>
      </c>
      <c r="F17" s="1499">
        <v>1.3159160647087891</v>
      </c>
      <c r="G17" s="1499">
        <v>1.2156416460933748</v>
      </c>
      <c r="H17" s="1499">
        <v>1.1599015379744813</v>
      </c>
      <c r="I17" s="1499">
        <v>3.5478133162645435</v>
      </c>
      <c r="J17" s="1499">
        <v>2.9914230103808483</v>
      </c>
      <c r="K17" s="113">
        <v>1.0216759720743498</v>
      </c>
    </row>
    <row r="18" spans="2:11" x14ac:dyDescent="0.3">
      <c r="B18" s="111" t="s">
        <v>1980</v>
      </c>
      <c r="C18" s="112" t="s">
        <v>1489</v>
      </c>
      <c r="D18" s="1499">
        <v>2.5370448577658693</v>
      </c>
      <c r="E18" s="1499">
        <v>2.1682129586551273</v>
      </c>
      <c r="F18" s="1499">
        <v>1.2846005820325632</v>
      </c>
      <c r="G18" s="1499">
        <v>1.1843261634171489</v>
      </c>
      <c r="H18" s="1499">
        <v>1.1285860552982554</v>
      </c>
      <c r="I18" s="1499">
        <v>3.5164978335883177</v>
      </c>
      <c r="J18" s="1499">
        <v>2.9601075277046225</v>
      </c>
      <c r="K18" s="113">
        <v>0.99036048939812393</v>
      </c>
    </row>
    <row r="19" spans="2:11" x14ac:dyDescent="0.3">
      <c r="B19" s="114">
        <v>0</v>
      </c>
      <c r="C19" s="112" t="s">
        <v>1496</v>
      </c>
      <c r="D19" s="1499">
        <v>2.4900716337515307</v>
      </c>
      <c r="E19" s="1499">
        <v>2.1212397346407887</v>
      </c>
      <c r="F19" s="1499">
        <v>1.2376273580182247</v>
      </c>
      <c r="G19" s="1499">
        <v>1.1373529394028101</v>
      </c>
      <c r="H19" s="1499">
        <v>1.0816128312839168</v>
      </c>
      <c r="I19" s="1499">
        <v>3.4695246095739791</v>
      </c>
      <c r="J19" s="1499">
        <v>2.9131343036902839</v>
      </c>
      <c r="K19" s="113">
        <v>0.94338726538378526</v>
      </c>
    </row>
    <row r="20" spans="2:11" x14ac:dyDescent="0.3">
      <c r="B20" s="115"/>
      <c r="C20" s="112" t="s">
        <v>1500</v>
      </c>
      <c r="D20" s="1499">
        <v>2.4430984097371922</v>
      </c>
      <c r="E20" s="1499">
        <v>2.0742665106264497</v>
      </c>
      <c r="F20" s="1499">
        <v>1.1906541340038859</v>
      </c>
      <c r="G20" s="1499">
        <v>1.0903797153884716</v>
      </c>
      <c r="H20" s="1499">
        <v>1.034639607269578</v>
      </c>
      <c r="I20" s="1499">
        <v>3.4225513855596406</v>
      </c>
      <c r="J20" s="1499">
        <v>2.8661610796759454</v>
      </c>
      <c r="K20" s="113">
        <v>0.89641404136944658</v>
      </c>
    </row>
    <row r="21" spans="2:11" x14ac:dyDescent="0.3">
      <c r="B21" s="115"/>
      <c r="C21" s="112" t="s">
        <v>1504</v>
      </c>
      <c r="D21" s="1499">
        <v>2.5146185276813786</v>
      </c>
      <c r="E21" s="1499">
        <v>2.1411106822156603</v>
      </c>
      <c r="F21" s="1499">
        <v>1.2626467151436995</v>
      </c>
      <c r="G21" s="1499">
        <v>1.1580141653767733</v>
      </c>
      <c r="H21" s="1499">
        <v>1.1048192425937993</v>
      </c>
      <c r="I21" s="1499">
        <v>3.4920578279837691</v>
      </c>
      <c r="J21" s="1499">
        <v>2.9343754915436313</v>
      </c>
      <c r="K21" s="113">
        <v>0.96285874217006306</v>
      </c>
    </row>
    <row r="22" spans="2:11" x14ac:dyDescent="0.3">
      <c r="B22" s="115"/>
      <c r="C22" s="112" t="s">
        <v>1508</v>
      </c>
      <c r="D22" s="1499">
        <v>2.4886467501184097</v>
      </c>
      <c r="E22" s="1499">
        <v>2.1151389046526914</v>
      </c>
      <c r="F22" s="1499">
        <v>1.2366749375807309</v>
      </c>
      <c r="G22" s="1499">
        <v>1.1320423878138046</v>
      </c>
      <c r="H22" s="1499">
        <v>1.0788474650308308</v>
      </c>
      <c r="I22" s="1499">
        <v>3.4660860504208006</v>
      </c>
      <c r="J22" s="1499">
        <v>2.9084037139806624</v>
      </c>
      <c r="K22" s="113">
        <v>0.93688696460709453</v>
      </c>
    </row>
    <row r="23" spans="2:11" x14ac:dyDescent="0.3">
      <c r="B23" s="115"/>
      <c r="C23" s="112" t="s">
        <v>1513</v>
      </c>
      <c r="D23" s="1499">
        <v>2.4496890837739569</v>
      </c>
      <c r="E23" s="1499">
        <v>2.076181238308239</v>
      </c>
      <c r="F23" s="1499">
        <v>1.1977172712362782</v>
      </c>
      <c r="G23" s="1499">
        <v>1.093084721469352</v>
      </c>
      <c r="H23" s="1499">
        <v>1.039889798686378</v>
      </c>
      <c r="I23" s="1499">
        <v>3.4271283840763478</v>
      </c>
      <c r="J23" s="1499">
        <v>2.8694460476362096</v>
      </c>
      <c r="K23" s="113">
        <v>0.89792929826264178</v>
      </c>
    </row>
    <row r="24" spans="2:11" x14ac:dyDescent="0.3">
      <c r="B24" s="115"/>
      <c r="C24" s="112" t="s">
        <v>1517</v>
      </c>
      <c r="D24" s="1499">
        <v>2.4107314174295045</v>
      </c>
      <c r="E24" s="1499">
        <v>2.0372235719637857</v>
      </c>
      <c r="F24" s="1499">
        <v>1.1587596048918252</v>
      </c>
      <c r="G24" s="1499">
        <v>1.0541270551248991</v>
      </c>
      <c r="H24" s="1499">
        <v>1.0009321323419251</v>
      </c>
      <c r="I24" s="1499">
        <v>3.3881707177318954</v>
      </c>
      <c r="J24" s="1499">
        <v>2.8304883812917572</v>
      </c>
      <c r="K24" s="113">
        <v>0.85897163191818893</v>
      </c>
    </row>
    <row r="25" spans="2:11" ht="14.5" thickBot="1" x14ac:dyDescent="0.35">
      <c r="B25" s="1233"/>
      <c r="C25" s="116" t="s">
        <v>1519</v>
      </c>
      <c r="D25" s="117">
        <v>2.5683603404420952</v>
      </c>
      <c r="E25" s="117">
        <v>2.1995284413313532</v>
      </c>
      <c r="F25" s="117">
        <v>1.3159160647087891</v>
      </c>
      <c r="G25" s="117">
        <v>1.2156416460933748</v>
      </c>
      <c r="H25" s="117">
        <v>1.1599015379744813</v>
      </c>
      <c r="I25" s="117">
        <v>3.5478133162645435</v>
      </c>
      <c r="J25" s="117">
        <v>2.9914230103808483</v>
      </c>
      <c r="K25" s="118">
        <v>1.0216759720743498</v>
      </c>
    </row>
    <row r="26" spans="2:11" x14ac:dyDescent="0.3">
      <c r="B26" s="107" t="s">
        <v>1977</v>
      </c>
      <c r="C26" s="108" t="s">
        <v>1416</v>
      </c>
      <c r="D26" s="109">
        <v>2.2416242409348843</v>
      </c>
      <c r="E26" s="109">
        <v>1.8582446382601896</v>
      </c>
      <c r="F26" s="109">
        <v>0.98995036977869755</v>
      </c>
      <c r="G26" s="109">
        <v>0.86621148285947813</v>
      </c>
      <c r="H26" s="109">
        <v>0.82250920132219352</v>
      </c>
      <c r="I26" s="109">
        <v>3.2167392610518157</v>
      </c>
      <c r="J26" s="109">
        <v>2.6541423414902328</v>
      </c>
      <c r="K26" s="110">
        <v>0.6621915135870553</v>
      </c>
    </row>
    <row r="27" spans="2:11" x14ac:dyDescent="0.3">
      <c r="B27" s="111" t="s">
        <v>1978</v>
      </c>
      <c r="C27" s="112" t="s">
        <v>1483</v>
      </c>
      <c r="D27" s="1499">
        <v>2.509411613979323</v>
      </c>
      <c r="E27" s="1499">
        <v>2.140579714868581</v>
      </c>
      <c r="F27" s="1499">
        <v>1.2569673382460171</v>
      </c>
      <c r="G27" s="1499">
        <v>1.1566929196306026</v>
      </c>
      <c r="H27" s="1499">
        <v>1.1009528115117095</v>
      </c>
      <c r="I27" s="1499">
        <v>3.4888645898017714</v>
      </c>
      <c r="J27" s="1499">
        <v>2.9324742839180762</v>
      </c>
      <c r="K27" s="113">
        <v>0.96272724561157796</v>
      </c>
    </row>
    <row r="28" spans="2:11" x14ac:dyDescent="0.3">
      <c r="B28" s="111" t="s">
        <v>1981</v>
      </c>
      <c r="C28" s="112" t="s">
        <v>1489</v>
      </c>
      <c r="D28" s="1499">
        <v>2.4780961313030971</v>
      </c>
      <c r="E28" s="1499">
        <v>2.1092642321923556</v>
      </c>
      <c r="F28" s="1499">
        <v>1.2256518555697915</v>
      </c>
      <c r="G28" s="1499">
        <v>1.1253774369543772</v>
      </c>
      <c r="H28" s="1499">
        <v>1.0696373288354837</v>
      </c>
      <c r="I28" s="1499">
        <v>3.4575491071255455</v>
      </c>
      <c r="J28" s="1499">
        <v>2.9011588012418503</v>
      </c>
      <c r="K28" s="113">
        <v>0.93141176293535211</v>
      </c>
    </row>
    <row r="29" spans="2:11" x14ac:dyDescent="0.3">
      <c r="B29" s="114">
        <v>0</v>
      </c>
      <c r="C29" s="112" t="s">
        <v>1496</v>
      </c>
      <c r="D29" s="1499">
        <v>2.4311229072887586</v>
      </c>
      <c r="E29" s="1499">
        <v>2.0622910081780166</v>
      </c>
      <c r="F29" s="1499">
        <v>1.1786786315554527</v>
      </c>
      <c r="G29" s="1499">
        <v>1.0784042129400384</v>
      </c>
      <c r="H29" s="1499">
        <v>1.0226641048211451</v>
      </c>
      <c r="I29" s="1499">
        <v>3.410575883111207</v>
      </c>
      <c r="J29" s="1499">
        <v>2.8541855772275118</v>
      </c>
      <c r="K29" s="113">
        <v>0.88443853892101354</v>
      </c>
    </row>
    <row r="30" spans="2:11" x14ac:dyDescent="0.3">
      <c r="B30" s="115"/>
      <c r="C30" s="112" t="s">
        <v>1500</v>
      </c>
      <c r="D30" s="1499">
        <v>2.38414968327442</v>
      </c>
      <c r="E30" s="1499">
        <v>2.015317784163678</v>
      </c>
      <c r="F30" s="1499">
        <v>1.1317054075411142</v>
      </c>
      <c r="G30" s="1499">
        <v>1.0314309889256998</v>
      </c>
      <c r="H30" s="1499">
        <v>0.97569088080680633</v>
      </c>
      <c r="I30" s="1499">
        <v>3.3636026590968684</v>
      </c>
      <c r="J30" s="1499">
        <v>2.8072123532131732</v>
      </c>
      <c r="K30" s="113">
        <v>0.83746531490667475</v>
      </c>
    </row>
    <row r="31" spans="2:11" x14ac:dyDescent="0.3">
      <c r="B31" s="115"/>
      <c r="C31" s="112" t="s">
        <v>1504</v>
      </c>
      <c r="D31" s="1499">
        <v>2.4556698012186065</v>
      </c>
      <c r="E31" s="1499">
        <v>2.0821619557528881</v>
      </c>
      <c r="F31" s="1499">
        <v>1.2036979886809274</v>
      </c>
      <c r="G31" s="1499">
        <v>1.0990654389140015</v>
      </c>
      <c r="H31" s="1499">
        <v>1.0458705161310275</v>
      </c>
      <c r="I31" s="1499">
        <v>3.4331091015209974</v>
      </c>
      <c r="J31" s="1499">
        <v>2.8754267650808591</v>
      </c>
      <c r="K31" s="113">
        <v>0.90391001570729135</v>
      </c>
    </row>
    <row r="32" spans="2:11" x14ac:dyDescent="0.3">
      <c r="B32" s="115"/>
      <c r="C32" s="112" t="s">
        <v>1508</v>
      </c>
      <c r="D32" s="1499">
        <v>2.429698023655638</v>
      </c>
      <c r="E32" s="1499">
        <v>2.0561901781899197</v>
      </c>
      <c r="F32" s="1499">
        <v>1.1777262111179592</v>
      </c>
      <c r="G32" s="1499">
        <v>1.0730936613510329</v>
      </c>
      <c r="H32" s="1499">
        <v>1.0198987385680589</v>
      </c>
      <c r="I32" s="1499">
        <v>3.4071373239580285</v>
      </c>
      <c r="J32" s="1499">
        <v>2.8494549875178903</v>
      </c>
      <c r="K32" s="113">
        <v>0.8779382381443227</v>
      </c>
    </row>
    <row r="33" spans="2:11" x14ac:dyDescent="0.3">
      <c r="B33" s="115"/>
      <c r="C33" s="112" t="s">
        <v>1513</v>
      </c>
      <c r="D33" s="1499">
        <v>2.3907403573111852</v>
      </c>
      <c r="E33" s="1499">
        <v>2.0172325118454668</v>
      </c>
      <c r="F33" s="1499">
        <v>1.1387685447735063</v>
      </c>
      <c r="G33" s="1499">
        <v>1.0341359950065803</v>
      </c>
      <c r="H33" s="1499">
        <v>0.98094107222360627</v>
      </c>
      <c r="I33" s="1499">
        <v>3.3681796576135761</v>
      </c>
      <c r="J33" s="1499">
        <v>2.8104973211734379</v>
      </c>
      <c r="K33" s="113">
        <v>0.83898057179986996</v>
      </c>
    </row>
    <row r="34" spans="2:11" x14ac:dyDescent="0.3">
      <c r="B34" s="115"/>
      <c r="C34" s="112" t="s">
        <v>1517</v>
      </c>
      <c r="D34" s="1499">
        <v>2.3517826909667323</v>
      </c>
      <c r="E34" s="1499">
        <v>1.9782748455010142</v>
      </c>
      <c r="F34" s="1499">
        <v>1.0998108784290535</v>
      </c>
      <c r="G34" s="1499">
        <v>0.9951783286621273</v>
      </c>
      <c r="H34" s="1499">
        <v>0.94198340587915352</v>
      </c>
      <c r="I34" s="1499">
        <v>3.3292219912691232</v>
      </c>
      <c r="J34" s="1499">
        <v>2.771539654828985</v>
      </c>
      <c r="K34" s="113">
        <v>0.80002290545541721</v>
      </c>
    </row>
    <row r="35" spans="2:11" ht="14.5" thickBot="1" x14ac:dyDescent="0.35">
      <c r="B35" s="1233"/>
      <c r="C35" s="116" t="s">
        <v>1519</v>
      </c>
      <c r="D35" s="117">
        <v>2.509411613979323</v>
      </c>
      <c r="E35" s="117">
        <v>2.140579714868581</v>
      </c>
      <c r="F35" s="117">
        <v>1.2569673382460171</v>
      </c>
      <c r="G35" s="117">
        <v>1.1566929196306026</v>
      </c>
      <c r="H35" s="117">
        <v>1.1009528115117095</v>
      </c>
      <c r="I35" s="117">
        <v>3.4888645898017714</v>
      </c>
      <c r="J35" s="117">
        <v>2.9324742839180762</v>
      </c>
      <c r="K35" s="118">
        <v>0.96272724561157796</v>
      </c>
    </row>
    <row r="36" spans="2:11" x14ac:dyDescent="0.3">
      <c r="B36" s="107" t="s">
        <v>1977</v>
      </c>
      <c r="C36" s="108" t="s">
        <v>1416</v>
      </c>
      <c r="D36" s="109">
        <v>2.1826755144721126</v>
      </c>
      <c r="E36" s="109">
        <v>1.7992959117974177</v>
      </c>
      <c r="F36" s="109">
        <v>0.93100164331592572</v>
      </c>
      <c r="G36" s="109">
        <v>0.80726275639670642</v>
      </c>
      <c r="H36" s="109">
        <v>0.76356047485942169</v>
      </c>
      <c r="I36" s="109">
        <v>3.157790534589044</v>
      </c>
      <c r="J36" s="109">
        <v>2.5951936150274615</v>
      </c>
      <c r="K36" s="110">
        <v>0.60324278712428336</v>
      </c>
    </row>
    <row r="37" spans="2:11" x14ac:dyDescent="0.3">
      <c r="B37" s="111" t="s">
        <v>1978</v>
      </c>
      <c r="C37" s="112" t="s">
        <v>1483</v>
      </c>
      <c r="D37" s="1499">
        <v>2.4504628875165517</v>
      </c>
      <c r="E37" s="1499">
        <v>2.0816309884058093</v>
      </c>
      <c r="F37" s="1499">
        <v>1.1980186117832454</v>
      </c>
      <c r="G37" s="1499">
        <v>1.0977441931678309</v>
      </c>
      <c r="H37" s="1499">
        <v>1.0420040850489376</v>
      </c>
      <c r="I37" s="1499">
        <v>3.4299158633390001</v>
      </c>
      <c r="J37" s="1499">
        <v>2.8735255574553045</v>
      </c>
      <c r="K37" s="113">
        <v>0.90377851914880603</v>
      </c>
    </row>
    <row r="38" spans="2:11" x14ac:dyDescent="0.3">
      <c r="B38" s="111" t="s">
        <v>1982</v>
      </c>
      <c r="C38" s="112" t="s">
        <v>1489</v>
      </c>
      <c r="D38" s="1499">
        <v>2.4191474048403259</v>
      </c>
      <c r="E38" s="1499">
        <v>2.0503155057295834</v>
      </c>
      <c r="F38" s="1499">
        <v>1.1667031291070198</v>
      </c>
      <c r="G38" s="1499">
        <v>1.0664287104916053</v>
      </c>
      <c r="H38" s="1499">
        <v>1.010688602372712</v>
      </c>
      <c r="I38" s="1499">
        <v>3.3986003806627743</v>
      </c>
      <c r="J38" s="1499">
        <v>2.8422100747790786</v>
      </c>
      <c r="K38" s="113">
        <v>0.87246303647258028</v>
      </c>
    </row>
    <row r="39" spans="2:11" x14ac:dyDescent="0.3">
      <c r="B39" s="114">
        <v>0</v>
      </c>
      <c r="C39" s="112" t="s">
        <v>1496</v>
      </c>
      <c r="D39" s="1499">
        <v>2.3721741808259869</v>
      </c>
      <c r="E39" s="1499">
        <v>2.0033422817152449</v>
      </c>
      <c r="F39" s="1499">
        <v>1.119729905092681</v>
      </c>
      <c r="G39" s="1499">
        <v>1.0194554864772665</v>
      </c>
      <c r="H39" s="1499">
        <v>0.96371537835837318</v>
      </c>
      <c r="I39" s="1499">
        <v>3.3516271566484352</v>
      </c>
      <c r="J39" s="1499">
        <v>2.79523685076474</v>
      </c>
      <c r="K39" s="113">
        <v>0.8254898124582416</v>
      </c>
    </row>
    <row r="40" spans="2:11" x14ac:dyDescent="0.3">
      <c r="B40" s="115"/>
      <c r="C40" s="112" t="s">
        <v>1500</v>
      </c>
      <c r="D40" s="1499">
        <v>2.3252009568116483</v>
      </c>
      <c r="E40" s="1499">
        <v>1.9563690577009063</v>
      </c>
      <c r="F40" s="1499">
        <v>1.0727566810783422</v>
      </c>
      <c r="G40" s="1499">
        <v>0.9724822624629279</v>
      </c>
      <c r="H40" s="1499">
        <v>0.9167421543440345</v>
      </c>
      <c r="I40" s="1499">
        <v>3.3046539326340967</v>
      </c>
      <c r="J40" s="1499">
        <v>2.748263626750401</v>
      </c>
      <c r="K40" s="113">
        <v>0.77851658844390303</v>
      </c>
    </row>
    <row r="41" spans="2:11" x14ac:dyDescent="0.3">
      <c r="B41" s="115"/>
      <c r="C41" s="112" t="s">
        <v>1504</v>
      </c>
      <c r="D41" s="1499">
        <v>2.3967210747558347</v>
      </c>
      <c r="E41" s="1499">
        <v>2.0232132292901164</v>
      </c>
      <c r="F41" s="1499">
        <v>1.1447492622181556</v>
      </c>
      <c r="G41" s="1499">
        <v>1.0401167124512296</v>
      </c>
      <c r="H41" s="1499">
        <v>0.98692178966825572</v>
      </c>
      <c r="I41" s="1499">
        <v>3.3741603750582256</v>
      </c>
      <c r="J41" s="1499">
        <v>2.8164780386180874</v>
      </c>
      <c r="K41" s="113">
        <v>0.84496128924451941</v>
      </c>
    </row>
    <row r="42" spans="2:11" x14ac:dyDescent="0.3">
      <c r="B42" s="115"/>
      <c r="C42" s="112" t="s">
        <v>1508</v>
      </c>
      <c r="D42" s="1499">
        <v>2.3707492971928663</v>
      </c>
      <c r="E42" s="1499">
        <v>1.997241451727148</v>
      </c>
      <c r="F42" s="1499">
        <v>1.1187774846551872</v>
      </c>
      <c r="G42" s="1499">
        <v>1.0141449348882612</v>
      </c>
      <c r="H42" s="1499">
        <v>0.96095001210528719</v>
      </c>
      <c r="I42" s="1499">
        <v>3.3481885974952572</v>
      </c>
      <c r="J42" s="1499">
        <v>2.790506261055119</v>
      </c>
      <c r="K42" s="113">
        <v>0.81898951168155099</v>
      </c>
    </row>
    <row r="43" spans="2:11" x14ac:dyDescent="0.3">
      <c r="B43" s="115"/>
      <c r="C43" s="112" t="s">
        <v>1513</v>
      </c>
      <c r="D43" s="1499">
        <v>2.3317916308484135</v>
      </c>
      <c r="E43" s="1499">
        <v>1.9582837853826951</v>
      </c>
      <c r="F43" s="1499">
        <v>1.0798198183107344</v>
      </c>
      <c r="G43" s="1499">
        <v>0.97518726854380833</v>
      </c>
      <c r="H43" s="1499">
        <v>0.92199234576083444</v>
      </c>
      <c r="I43" s="1499">
        <v>3.3092309311508039</v>
      </c>
      <c r="J43" s="1499">
        <v>2.7515485947106662</v>
      </c>
      <c r="K43" s="113">
        <v>0.78003184533709813</v>
      </c>
    </row>
    <row r="44" spans="2:11" x14ac:dyDescent="0.3">
      <c r="B44" s="115"/>
      <c r="C44" s="112" t="s">
        <v>1517</v>
      </c>
      <c r="D44" s="1499">
        <v>2.2928339645039606</v>
      </c>
      <c r="E44" s="1499">
        <v>1.9193261190382425</v>
      </c>
      <c r="F44" s="1499">
        <v>1.0408621519662815</v>
      </c>
      <c r="G44" s="1499">
        <v>0.93622960219935547</v>
      </c>
      <c r="H44" s="1499">
        <v>0.88303467941638158</v>
      </c>
      <c r="I44" s="1499">
        <v>3.2702732648063511</v>
      </c>
      <c r="J44" s="1499">
        <v>2.7125909283662133</v>
      </c>
      <c r="K44" s="113">
        <v>0.74107417899264527</v>
      </c>
    </row>
    <row r="45" spans="2:11" ht="14.5" thickBot="1" x14ac:dyDescent="0.35">
      <c r="B45" s="1233"/>
      <c r="C45" s="116" t="s">
        <v>1519</v>
      </c>
      <c r="D45" s="117">
        <v>2.4504628875165517</v>
      </c>
      <c r="E45" s="117">
        <v>2.0816309884058093</v>
      </c>
      <c r="F45" s="117">
        <v>1.1980186117832454</v>
      </c>
      <c r="G45" s="117">
        <v>1.0977441931678309</v>
      </c>
      <c r="H45" s="117">
        <v>1.0420040850489376</v>
      </c>
      <c r="I45" s="117">
        <v>3.4299158633390001</v>
      </c>
      <c r="J45" s="117">
        <v>2.8735255574553045</v>
      </c>
      <c r="K45" s="118">
        <v>0.90377851914880603</v>
      </c>
    </row>
    <row r="46" spans="2:11" x14ac:dyDescent="0.3">
      <c r="B46" s="119" t="s">
        <v>1983</v>
      </c>
      <c r="C46" s="108" t="s">
        <v>1416</v>
      </c>
      <c r="D46" s="109">
        <v>2.2420476693030982</v>
      </c>
      <c r="E46" s="109">
        <v>1.8524645184515849</v>
      </c>
      <c r="F46" s="109">
        <v>0.99739648534845171</v>
      </c>
      <c r="G46" s="109">
        <v>0.86659189508385648</v>
      </c>
      <c r="H46" s="109">
        <v>0.82735936115186715</v>
      </c>
      <c r="I46" s="109">
        <v>3.2067983404972313</v>
      </c>
      <c r="J46" s="109">
        <v>2.6451185508235771</v>
      </c>
      <c r="K46" s="110">
        <v>0.67799963442186351</v>
      </c>
    </row>
    <row r="47" spans="2:11" x14ac:dyDescent="0.3">
      <c r="B47" s="111"/>
      <c r="C47" s="112" t="s">
        <v>1483</v>
      </c>
      <c r="D47" s="1499">
        <v>2.5112817210391571</v>
      </c>
      <c r="E47" s="1499">
        <v>2.1338214273443152</v>
      </c>
      <c r="F47" s="1499">
        <v>1.267485439745289</v>
      </c>
      <c r="G47" s="1499">
        <v>1.1610607068294723</v>
      </c>
      <c r="H47" s="1499">
        <v>1.1092795020152315</v>
      </c>
      <c r="I47" s="1499">
        <v>3.4792211127152273</v>
      </c>
      <c r="J47" s="1499">
        <v>2.9236992269565079</v>
      </c>
      <c r="K47" s="113">
        <v>0.96704272801794733</v>
      </c>
    </row>
    <row r="48" spans="2:11" x14ac:dyDescent="0.3">
      <c r="B48" s="111" t="s">
        <v>1979</v>
      </c>
      <c r="C48" s="112" t="s">
        <v>1489</v>
      </c>
      <c r="D48" s="1499">
        <v>2.4799662383629313</v>
      </c>
      <c r="E48" s="1499">
        <v>2.1025059446680898</v>
      </c>
      <c r="F48" s="1499">
        <v>1.2361699570690634</v>
      </c>
      <c r="G48" s="1499">
        <v>1.1297452241532466</v>
      </c>
      <c r="H48" s="1499">
        <v>1.0779640193390057</v>
      </c>
      <c r="I48" s="1499">
        <v>3.4479056300390014</v>
      </c>
      <c r="J48" s="1499">
        <v>2.892383744280282</v>
      </c>
      <c r="K48" s="113">
        <v>0.93572724534172147</v>
      </c>
    </row>
    <row r="49" spans="2:11" x14ac:dyDescent="0.3">
      <c r="B49" s="114">
        <v>0</v>
      </c>
      <c r="C49" s="112" t="s">
        <v>1496</v>
      </c>
      <c r="D49" s="1499">
        <v>2.4329930143485927</v>
      </c>
      <c r="E49" s="1499">
        <v>2.0555327206537508</v>
      </c>
      <c r="F49" s="1499">
        <v>1.1891967330547246</v>
      </c>
      <c r="G49" s="1499">
        <v>1.0827720001389078</v>
      </c>
      <c r="H49" s="1499">
        <v>1.0309907953246671</v>
      </c>
      <c r="I49" s="1499">
        <v>3.4009324060246628</v>
      </c>
      <c r="J49" s="1499">
        <v>2.8454105202659434</v>
      </c>
      <c r="K49" s="113">
        <v>0.88875402132738279</v>
      </c>
    </row>
    <row r="50" spans="2:11" x14ac:dyDescent="0.3">
      <c r="B50" s="115"/>
      <c r="C50" s="112" t="s">
        <v>1500</v>
      </c>
      <c r="D50" s="1499">
        <v>2.3860197903342537</v>
      </c>
      <c r="E50" s="1499">
        <v>2.0085594966394122</v>
      </c>
      <c r="F50" s="1499">
        <v>1.1422235090403858</v>
      </c>
      <c r="G50" s="1499">
        <v>1.0357987761245693</v>
      </c>
      <c r="H50" s="1499">
        <v>0.98401757131032841</v>
      </c>
      <c r="I50" s="1499">
        <v>3.3539591820103234</v>
      </c>
      <c r="J50" s="1499">
        <v>2.7984372962516044</v>
      </c>
      <c r="K50" s="113">
        <v>0.84178079731304412</v>
      </c>
    </row>
    <row r="51" spans="2:11" x14ac:dyDescent="0.3">
      <c r="B51" s="115"/>
      <c r="C51" s="112" t="s">
        <v>1504</v>
      </c>
      <c r="D51" s="1499">
        <v>2.457112324213452</v>
      </c>
      <c r="E51" s="1499">
        <v>2.0760834020404428</v>
      </c>
      <c r="F51" s="1499">
        <v>1.2138718726782833</v>
      </c>
      <c r="G51" s="1499">
        <v>1.1029483175023229</v>
      </c>
      <c r="H51" s="1499">
        <v>1.0537825529031841</v>
      </c>
      <c r="I51" s="1499">
        <v>3.4236698911858321</v>
      </c>
      <c r="J51" s="1499">
        <v>2.8663560752019372</v>
      </c>
      <c r="K51" s="113">
        <v>0.90774058537794278</v>
      </c>
    </row>
    <row r="52" spans="2:11" x14ac:dyDescent="0.3">
      <c r="B52" s="115"/>
      <c r="C52" s="112" t="s">
        <v>1508</v>
      </c>
      <c r="D52" s="1499">
        <v>2.4311405466504836</v>
      </c>
      <c r="E52" s="1499">
        <v>2.0501116244774744</v>
      </c>
      <c r="F52" s="1499">
        <v>1.1879000951153149</v>
      </c>
      <c r="G52" s="1499">
        <v>1.0769765399393543</v>
      </c>
      <c r="H52" s="1499">
        <v>1.0278107753402155</v>
      </c>
      <c r="I52" s="1499">
        <v>3.3976981136228632</v>
      </c>
      <c r="J52" s="1499">
        <v>2.8403842976389688</v>
      </c>
      <c r="K52" s="113">
        <v>0.88176880781497435</v>
      </c>
    </row>
    <row r="53" spans="2:11" x14ac:dyDescent="0.3">
      <c r="B53" s="115"/>
      <c r="C53" s="112" t="s">
        <v>1513</v>
      </c>
      <c r="D53" s="1499">
        <v>2.3921828803060308</v>
      </c>
      <c r="E53" s="1499">
        <v>2.0111539581330216</v>
      </c>
      <c r="F53" s="1499">
        <v>1.1489424287708621</v>
      </c>
      <c r="G53" s="1499">
        <v>1.0380188735949016</v>
      </c>
      <c r="H53" s="1499">
        <v>0.98885310899576273</v>
      </c>
      <c r="I53" s="1499">
        <v>3.3587404472784104</v>
      </c>
      <c r="J53" s="1499">
        <v>2.801426631294516</v>
      </c>
      <c r="K53" s="113">
        <v>0.8428111414705215</v>
      </c>
    </row>
    <row r="54" spans="2:11" x14ac:dyDescent="0.3">
      <c r="B54" s="115"/>
      <c r="C54" s="112" t="s">
        <v>1517</v>
      </c>
      <c r="D54" s="1499">
        <v>2.3532252139615779</v>
      </c>
      <c r="E54" s="1499">
        <v>1.9721962917885687</v>
      </c>
      <c r="F54" s="1499">
        <v>1.1099847624264092</v>
      </c>
      <c r="G54" s="1499">
        <v>0.99906120725044878</v>
      </c>
      <c r="H54" s="1499">
        <v>0.94989544265130998</v>
      </c>
      <c r="I54" s="1499">
        <v>3.3197827809339575</v>
      </c>
      <c r="J54" s="1499">
        <v>2.7624689649500631</v>
      </c>
      <c r="K54" s="113">
        <v>0.80385347512606875</v>
      </c>
    </row>
    <row r="55" spans="2:11" ht="14.5" thickBot="1" x14ac:dyDescent="0.35">
      <c r="B55" s="1233"/>
      <c r="C55" s="116" t="s">
        <v>1519</v>
      </c>
      <c r="D55" s="117">
        <v>2.5112817210391571</v>
      </c>
      <c r="E55" s="117">
        <v>2.1338214273443152</v>
      </c>
      <c r="F55" s="117">
        <v>1.267485439745289</v>
      </c>
      <c r="G55" s="117">
        <v>1.1610607068294723</v>
      </c>
      <c r="H55" s="117">
        <v>1.1092795020152315</v>
      </c>
      <c r="I55" s="117">
        <v>3.4792211127152273</v>
      </c>
      <c r="J55" s="117">
        <v>2.9236992269565079</v>
      </c>
      <c r="K55" s="118">
        <v>0.96704272801794733</v>
      </c>
    </row>
    <row r="56" spans="2:11" x14ac:dyDescent="0.3">
      <c r="B56" s="119" t="s">
        <v>1983</v>
      </c>
      <c r="C56" s="108" t="s">
        <v>1416</v>
      </c>
      <c r="D56" s="109">
        <v>2.2217632002835099</v>
      </c>
      <c r="E56" s="109">
        <v>1.8321800494319964</v>
      </c>
      <c r="F56" s="109">
        <v>0.97711201632886335</v>
      </c>
      <c r="G56" s="109">
        <v>0.84630742606426801</v>
      </c>
      <c r="H56" s="109">
        <v>0.80707489213227879</v>
      </c>
      <c r="I56" s="109">
        <v>3.1865138714776431</v>
      </c>
      <c r="J56" s="109">
        <v>2.6248340818039884</v>
      </c>
      <c r="K56" s="110">
        <v>0.65771516540227515</v>
      </c>
    </row>
    <row r="57" spans="2:11" x14ac:dyDescent="0.3">
      <c r="B57" s="111"/>
      <c r="C57" s="112" t="s">
        <v>1483</v>
      </c>
      <c r="D57" s="1499">
        <v>2.4909972520195685</v>
      </c>
      <c r="E57" s="1499">
        <v>2.113536958324727</v>
      </c>
      <c r="F57" s="1499">
        <v>1.2472009707257008</v>
      </c>
      <c r="G57" s="1499">
        <v>1.140776237809884</v>
      </c>
      <c r="H57" s="1499">
        <v>1.088995032995643</v>
      </c>
      <c r="I57" s="1499">
        <v>3.4589366436956386</v>
      </c>
      <c r="J57" s="1499">
        <v>2.9034147579369192</v>
      </c>
      <c r="K57" s="113">
        <v>0.94675825899835886</v>
      </c>
    </row>
    <row r="58" spans="2:11" x14ac:dyDescent="0.3">
      <c r="B58" s="111" t="s">
        <v>1980</v>
      </c>
      <c r="C58" s="112" t="s">
        <v>1489</v>
      </c>
      <c r="D58" s="1499">
        <v>2.4596817693433426</v>
      </c>
      <c r="E58" s="1499">
        <v>2.0822214756485011</v>
      </c>
      <c r="F58" s="1499">
        <v>1.2158854880494749</v>
      </c>
      <c r="G58" s="1499">
        <v>1.1094607551336582</v>
      </c>
      <c r="H58" s="1499">
        <v>1.0576795503194174</v>
      </c>
      <c r="I58" s="1499">
        <v>3.4276211610194127</v>
      </c>
      <c r="J58" s="1499">
        <v>2.8720992752606933</v>
      </c>
      <c r="K58" s="113">
        <v>0.91544277632213311</v>
      </c>
    </row>
    <row r="59" spans="2:11" x14ac:dyDescent="0.3">
      <c r="B59" s="114">
        <v>0</v>
      </c>
      <c r="C59" s="112" t="s">
        <v>1496</v>
      </c>
      <c r="D59" s="1499">
        <v>2.412708545329004</v>
      </c>
      <c r="E59" s="1499">
        <v>2.0352482516341626</v>
      </c>
      <c r="F59" s="1499">
        <v>1.1689122640351364</v>
      </c>
      <c r="G59" s="1499">
        <v>1.0624875311193196</v>
      </c>
      <c r="H59" s="1499">
        <v>1.0107063263050786</v>
      </c>
      <c r="I59" s="1499">
        <v>3.3806479370050742</v>
      </c>
      <c r="J59" s="1499">
        <v>2.8251260512463547</v>
      </c>
      <c r="K59" s="113">
        <v>0.86846955230779443</v>
      </c>
    </row>
    <row r="60" spans="2:11" x14ac:dyDescent="0.3">
      <c r="B60" s="115"/>
      <c r="C60" s="112" t="s">
        <v>1500</v>
      </c>
      <c r="D60" s="1499">
        <v>2.3657353213146655</v>
      </c>
      <c r="E60" s="1499">
        <v>1.9882750276198238</v>
      </c>
      <c r="F60" s="1499">
        <v>1.1219390400207976</v>
      </c>
      <c r="G60" s="1499">
        <v>1.0155143071049808</v>
      </c>
      <c r="H60" s="1499">
        <v>0.96373310229074005</v>
      </c>
      <c r="I60" s="1499">
        <v>3.3336747129907356</v>
      </c>
      <c r="J60" s="1499">
        <v>2.7781528272320162</v>
      </c>
      <c r="K60" s="113">
        <v>0.82149632829345576</v>
      </c>
    </row>
    <row r="61" spans="2:11" x14ac:dyDescent="0.3">
      <c r="B61" s="115"/>
      <c r="C61" s="112" t="s">
        <v>1504</v>
      </c>
      <c r="D61" s="1499">
        <v>2.4368278551938638</v>
      </c>
      <c r="E61" s="1499">
        <v>2.0557989330208546</v>
      </c>
      <c r="F61" s="1499">
        <v>1.1935874036586951</v>
      </c>
      <c r="G61" s="1499">
        <v>1.0826638484827344</v>
      </c>
      <c r="H61" s="1499">
        <v>1.0334980838835957</v>
      </c>
      <c r="I61" s="1499">
        <v>3.4033854221662434</v>
      </c>
      <c r="J61" s="1499">
        <v>2.846071606182349</v>
      </c>
      <c r="K61" s="113">
        <v>0.88745611635835442</v>
      </c>
    </row>
    <row r="62" spans="2:11" x14ac:dyDescent="0.3">
      <c r="B62" s="115"/>
      <c r="C62" s="112" t="s">
        <v>1508</v>
      </c>
      <c r="D62" s="1499">
        <v>2.4108560776308949</v>
      </c>
      <c r="E62" s="1499">
        <v>2.0298271554578857</v>
      </c>
      <c r="F62" s="1499">
        <v>1.1676156260957264</v>
      </c>
      <c r="G62" s="1499">
        <v>1.056692070919766</v>
      </c>
      <c r="H62" s="1499">
        <v>1.0075263063206272</v>
      </c>
      <c r="I62" s="1499">
        <v>3.377413644603275</v>
      </c>
      <c r="J62" s="1499">
        <v>2.8200998286193801</v>
      </c>
      <c r="K62" s="113">
        <v>0.861484338795386</v>
      </c>
    </row>
    <row r="63" spans="2:11" x14ac:dyDescent="0.3">
      <c r="B63" s="115"/>
      <c r="C63" s="112" t="s">
        <v>1513</v>
      </c>
      <c r="D63" s="1499">
        <v>2.3718984112864421</v>
      </c>
      <c r="E63" s="1499">
        <v>1.9908694891134331</v>
      </c>
      <c r="F63" s="1499">
        <v>1.1286579597512736</v>
      </c>
      <c r="G63" s="1499">
        <v>1.0177344045753132</v>
      </c>
      <c r="H63" s="1499">
        <v>0.96856863997617437</v>
      </c>
      <c r="I63" s="1499">
        <v>3.3384559782588217</v>
      </c>
      <c r="J63" s="1499">
        <v>2.7811421622749273</v>
      </c>
      <c r="K63" s="113">
        <v>0.82252667245093314</v>
      </c>
    </row>
    <row r="64" spans="2:11" x14ac:dyDescent="0.3">
      <c r="B64" s="115"/>
      <c r="C64" s="112" t="s">
        <v>1517</v>
      </c>
      <c r="D64" s="1499">
        <v>2.3329407449419897</v>
      </c>
      <c r="E64" s="1499">
        <v>1.9519118227689802</v>
      </c>
      <c r="F64" s="1499">
        <v>1.0897002934068207</v>
      </c>
      <c r="G64" s="1499">
        <v>0.97877673823086031</v>
      </c>
      <c r="H64" s="1499">
        <v>0.92961097363172163</v>
      </c>
      <c r="I64" s="1499">
        <v>3.2994983119143693</v>
      </c>
      <c r="J64" s="1499">
        <v>2.7421844959304749</v>
      </c>
      <c r="K64" s="113">
        <v>0.78356900610648028</v>
      </c>
    </row>
    <row r="65" spans="2:11" ht="14.5" thickBot="1" x14ac:dyDescent="0.35">
      <c r="B65" s="1233"/>
      <c r="C65" s="116" t="s">
        <v>1519</v>
      </c>
      <c r="D65" s="117">
        <v>2.4909972520195685</v>
      </c>
      <c r="E65" s="117">
        <v>2.113536958324727</v>
      </c>
      <c r="F65" s="117">
        <v>1.2472009707257008</v>
      </c>
      <c r="G65" s="117">
        <v>1.140776237809884</v>
      </c>
      <c r="H65" s="117">
        <v>1.088995032995643</v>
      </c>
      <c r="I65" s="117">
        <v>3.4589366436956386</v>
      </c>
      <c r="J65" s="117">
        <v>2.9034147579369192</v>
      </c>
      <c r="K65" s="118">
        <v>0.94675825899835886</v>
      </c>
    </row>
    <row r="66" spans="2:11" x14ac:dyDescent="0.3">
      <c r="B66" s="119" t="s">
        <v>1983</v>
      </c>
      <c r="C66" s="108" t="s">
        <v>1416</v>
      </c>
      <c r="D66" s="109">
        <v>2.1913364967541273</v>
      </c>
      <c r="E66" s="109">
        <v>1.8017533459026138</v>
      </c>
      <c r="F66" s="109">
        <v>0.94668531279948065</v>
      </c>
      <c r="G66" s="109">
        <v>0.81588072253488542</v>
      </c>
      <c r="H66" s="109">
        <v>0.77664818860289608</v>
      </c>
      <c r="I66" s="109">
        <v>3.1560871679482601</v>
      </c>
      <c r="J66" s="109">
        <v>2.5944073782746058</v>
      </c>
      <c r="K66" s="110">
        <v>0.62728846187289244</v>
      </c>
    </row>
    <row r="67" spans="2:11" x14ac:dyDescent="0.3">
      <c r="B67" s="111"/>
      <c r="C67" s="112" t="s">
        <v>1483</v>
      </c>
      <c r="D67" s="1499">
        <v>2.4605705484901859</v>
      </c>
      <c r="E67" s="1499">
        <v>2.0831102547953444</v>
      </c>
      <c r="F67" s="1499">
        <v>1.216774267196318</v>
      </c>
      <c r="G67" s="1499">
        <v>1.1103495342805012</v>
      </c>
      <c r="H67" s="1499">
        <v>1.0585683294662604</v>
      </c>
      <c r="I67" s="1499">
        <v>3.428509940166256</v>
      </c>
      <c r="J67" s="1499">
        <v>2.8729880544075366</v>
      </c>
      <c r="K67" s="113">
        <v>0.91633155546897638</v>
      </c>
    </row>
    <row r="68" spans="2:11" x14ac:dyDescent="0.3">
      <c r="B68" s="111" t="s">
        <v>1981</v>
      </c>
      <c r="C68" s="112" t="s">
        <v>1489</v>
      </c>
      <c r="D68" s="1499">
        <v>2.42925506581396</v>
      </c>
      <c r="E68" s="1499">
        <v>2.0517947721191185</v>
      </c>
      <c r="F68" s="1499">
        <v>1.1854587845200923</v>
      </c>
      <c r="G68" s="1499">
        <v>1.0790340516042756</v>
      </c>
      <c r="H68" s="1499">
        <v>1.0272528467900348</v>
      </c>
      <c r="I68" s="1499">
        <v>3.3971944574900301</v>
      </c>
      <c r="J68" s="1499">
        <v>2.8416725717313107</v>
      </c>
      <c r="K68" s="113">
        <v>0.88501607279275052</v>
      </c>
    </row>
    <row r="69" spans="2:11" x14ac:dyDescent="0.3">
      <c r="B69" s="114">
        <v>0</v>
      </c>
      <c r="C69" s="112" t="s">
        <v>1496</v>
      </c>
      <c r="D69" s="1499">
        <v>2.3822818417996214</v>
      </c>
      <c r="E69" s="1499">
        <v>2.00482154810478</v>
      </c>
      <c r="F69" s="1499">
        <v>1.1384855605057536</v>
      </c>
      <c r="G69" s="1499">
        <v>1.0320608275899368</v>
      </c>
      <c r="H69" s="1499">
        <v>0.98027962277569602</v>
      </c>
      <c r="I69" s="1499">
        <v>3.3502212334756916</v>
      </c>
      <c r="J69" s="1499">
        <v>2.7946993477169721</v>
      </c>
      <c r="K69" s="113">
        <v>0.83804284877841184</v>
      </c>
    </row>
    <row r="70" spans="2:11" x14ac:dyDescent="0.3">
      <c r="B70" s="115"/>
      <c r="C70" s="112" t="s">
        <v>1500</v>
      </c>
      <c r="D70" s="1499">
        <v>2.3353086177852829</v>
      </c>
      <c r="E70" s="1499">
        <v>1.9578483240904414</v>
      </c>
      <c r="F70" s="1499">
        <v>1.0915123364914148</v>
      </c>
      <c r="G70" s="1499">
        <v>0.98508760357559821</v>
      </c>
      <c r="H70" s="1499">
        <v>0.93330639876135735</v>
      </c>
      <c r="I70" s="1499">
        <v>3.303248009461353</v>
      </c>
      <c r="J70" s="1499">
        <v>2.7477261237026336</v>
      </c>
      <c r="K70" s="113">
        <v>0.79106962476407316</v>
      </c>
    </row>
    <row r="71" spans="2:11" x14ac:dyDescent="0.3">
      <c r="B71" s="115"/>
      <c r="C71" s="112" t="s">
        <v>1504</v>
      </c>
      <c r="D71" s="1499">
        <v>2.4064011516644808</v>
      </c>
      <c r="E71" s="1499">
        <v>2.0253722294914716</v>
      </c>
      <c r="F71" s="1499">
        <v>1.1631607001293123</v>
      </c>
      <c r="G71" s="1499">
        <v>1.0522371449533519</v>
      </c>
      <c r="H71" s="1499">
        <v>1.0030713803542131</v>
      </c>
      <c r="I71" s="1499">
        <v>3.3729587186368608</v>
      </c>
      <c r="J71" s="1499">
        <v>2.815644902652966</v>
      </c>
      <c r="K71" s="113">
        <v>0.85702941282897183</v>
      </c>
    </row>
    <row r="72" spans="2:11" x14ac:dyDescent="0.3">
      <c r="B72" s="115"/>
      <c r="C72" s="112" t="s">
        <v>1508</v>
      </c>
      <c r="D72" s="1499">
        <v>2.3804293741015123</v>
      </c>
      <c r="E72" s="1499">
        <v>1.9994004519285034</v>
      </c>
      <c r="F72" s="1499">
        <v>1.1371889225663439</v>
      </c>
      <c r="G72" s="1499">
        <v>1.0262653673903834</v>
      </c>
      <c r="H72" s="1499">
        <v>0.97709960279124453</v>
      </c>
      <c r="I72" s="1499">
        <v>3.3469869410738919</v>
      </c>
      <c r="J72" s="1499">
        <v>2.7896731250899975</v>
      </c>
      <c r="K72" s="113">
        <v>0.83105763526600329</v>
      </c>
    </row>
    <row r="73" spans="2:11" x14ac:dyDescent="0.3">
      <c r="B73" s="115"/>
      <c r="C73" s="112" t="s">
        <v>1513</v>
      </c>
      <c r="D73" s="1499">
        <v>2.3414717077570599</v>
      </c>
      <c r="E73" s="1499">
        <v>1.9604427855840505</v>
      </c>
      <c r="F73" s="1499">
        <v>1.098231256221891</v>
      </c>
      <c r="G73" s="1499">
        <v>0.98730770104593057</v>
      </c>
      <c r="H73" s="1499">
        <v>0.93814193644679178</v>
      </c>
      <c r="I73" s="1499">
        <v>3.3080292747294395</v>
      </c>
      <c r="J73" s="1499">
        <v>2.7507154587455451</v>
      </c>
      <c r="K73" s="113">
        <v>0.79209996892155043</v>
      </c>
    </row>
    <row r="74" spans="2:11" x14ac:dyDescent="0.3">
      <c r="B74" s="115"/>
      <c r="C74" s="112" t="s">
        <v>1517</v>
      </c>
      <c r="D74" s="1499">
        <v>2.3025140414126071</v>
      </c>
      <c r="E74" s="1499">
        <v>1.9214851192395976</v>
      </c>
      <c r="F74" s="1499">
        <v>1.0592735898774384</v>
      </c>
      <c r="G74" s="1499">
        <v>0.94835003470147783</v>
      </c>
      <c r="H74" s="1499">
        <v>0.89918427010233892</v>
      </c>
      <c r="I74" s="1499">
        <v>3.2690716083849867</v>
      </c>
      <c r="J74" s="1499">
        <v>2.7117577924010923</v>
      </c>
      <c r="K74" s="113">
        <v>0.75314230257709769</v>
      </c>
    </row>
    <row r="75" spans="2:11" ht="14.5" thickBot="1" x14ac:dyDescent="0.35">
      <c r="B75" s="1233"/>
      <c r="C75" s="116" t="s">
        <v>1519</v>
      </c>
      <c r="D75" s="117">
        <v>2.4605705484901859</v>
      </c>
      <c r="E75" s="117">
        <v>2.0831102547953444</v>
      </c>
      <c r="F75" s="117">
        <v>1.216774267196318</v>
      </c>
      <c r="G75" s="117">
        <v>1.1103495342805012</v>
      </c>
      <c r="H75" s="117">
        <v>1.0585683294662604</v>
      </c>
      <c r="I75" s="117">
        <v>3.428509940166256</v>
      </c>
      <c r="J75" s="117">
        <v>2.8729880544075366</v>
      </c>
      <c r="K75" s="118">
        <v>0.91633155546897638</v>
      </c>
    </row>
    <row r="76" spans="2:11" x14ac:dyDescent="0.3">
      <c r="B76" s="119" t="s">
        <v>1983</v>
      </c>
      <c r="C76" s="108" t="s">
        <v>1416</v>
      </c>
      <c r="D76" s="109">
        <v>2.1609097932247443</v>
      </c>
      <c r="E76" s="109">
        <v>1.771326642373231</v>
      </c>
      <c r="F76" s="109">
        <v>0.91625860927009806</v>
      </c>
      <c r="G76" s="109">
        <v>0.78545401900550271</v>
      </c>
      <c r="H76" s="109">
        <v>0.74622148507351349</v>
      </c>
      <c r="I76" s="109">
        <v>3.1256604644188779</v>
      </c>
      <c r="J76" s="109">
        <v>2.5639806747452236</v>
      </c>
      <c r="K76" s="110">
        <v>0.59686175834350985</v>
      </c>
    </row>
    <row r="77" spans="2:11" x14ac:dyDescent="0.3">
      <c r="B77" s="111"/>
      <c r="C77" s="112" t="s">
        <v>1483</v>
      </c>
      <c r="D77" s="1499">
        <v>2.4301438449608033</v>
      </c>
      <c r="E77" s="1499">
        <v>2.0526835512659618</v>
      </c>
      <c r="F77" s="1499">
        <v>1.1863475636669354</v>
      </c>
      <c r="G77" s="1499">
        <v>1.0799228307511188</v>
      </c>
      <c r="H77" s="1499">
        <v>1.0281416259368779</v>
      </c>
      <c r="I77" s="1499">
        <v>3.398083236636873</v>
      </c>
      <c r="J77" s="1499">
        <v>2.8425613508781535</v>
      </c>
      <c r="K77" s="113">
        <v>0.88590485193959367</v>
      </c>
    </row>
    <row r="78" spans="2:11" x14ac:dyDescent="0.3">
      <c r="B78" s="111" t="s">
        <v>1982</v>
      </c>
      <c r="C78" s="112" t="s">
        <v>1489</v>
      </c>
      <c r="D78" s="1499">
        <v>2.3988283622845779</v>
      </c>
      <c r="E78" s="1499">
        <v>2.0213680685897359</v>
      </c>
      <c r="F78" s="1499">
        <v>1.1550320809907095</v>
      </c>
      <c r="G78" s="1499">
        <v>1.048607348074893</v>
      </c>
      <c r="H78" s="1499">
        <v>0.99682614326065211</v>
      </c>
      <c r="I78" s="1499">
        <v>3.3667677539606475</v>
      </c>
      <c r="J78" s="1499">
        <v>2.8112458682019286</v>
      </c>
      <c r="K78" s="113">
        <v>0.85458936926336782</v>
      </c>
    </row>
    <row r="79" spans="2:11" x14ac:dyDescent="0.3">
      <c r="B79" s="114">
        <v>0</v>
      </c>
      <c r="C79" s="112" t="s">
        <v>1496</v>
      </c>
      <c r="D79" s="1499">
        <v>2.3518551382702388</v>
      </c>
      <c r="E79" s="1499">
        <v>1.9743948445753974</v>
      </c>
      <c r="F79" s="1499">
        <v>1.108058856976371</v>
      </c>
      <c r="G79" s="1499">
        <v>1.0016341240605544</v>
      </c>
      <c r="H79" s="1499">
        <v>0.94985291924631354</v>
      </c>
      <c r="I79" s="1499">
        <v>3.3197945299463085</v>
      </c>
      <c r="J79" s="1499">
        <v>2.7642726441875891</v>
      </c>
      <c r="K79" s="113">
        <v>0.80761614524902914</v>
      </c>
    </row>
    <row r="80" spans="2:11" x14ac:dyDescent="0.3">
      <c r="B80" s="115"/>
      <c r="C80" s="112" t="s">
        <v>1500</v>
      </c>
      <c r="D80" s="1499">
        <v>2.3048819142559003</v>
      </c>
      <c r="E80" s="1499">
        <v>1.9274216205610586</v>
      </c>
      <c r="F80" s="1499">
        <v>1.0610856329620322</v>
      </c>
      <c r="G80" s="1499">
        <v>0.95466090004621562</v>
      </c>
      <c r="H80" s="1499">
        <v>0.90287969523197475</v>
      </c>
      <c r="I80" s="1499">
        <v>3.27282130593197</v>
      </c>
      <c r="J80" s="1499">
        <v>2.7172994201732505</v>
      </c>
      <c r="K80" s="113">
        <v>0.76064292123469057</v>
      </c>
    </row>
    <row r="81" spans="2:11" x14ac:dyDescent="0.3">
      <c r="B81" s="115"/>
      <c r="C81" s="112" t="s">
        <v>1504</v>
      </c>
      <c r="D81" s="1499">
        <v>2.3759744481350982</v>
      </c>
      <c r="E81" s="1499">
        <v>1.9949455259620892</v>
      </c>
      <c r="F81" s="1499">
        <v>1.1327339965999297</v>
      </c>
      <c r="G81" s="1499">
        <v>1.0218104414239693</v>
      </c>
      <c r="H81" s="1499">
        <v>0.97264467682483058</v>
      </c>
      <c r="I81" s="1499">
        <v>3.3425320151074778</v>
      </c>
      <c r="J81" s="1499">
        <v>2.7852181991235834</v>
      </c>
      <c r="K81" s="113">
        <v>0.82660270929958923</v>
      </c>
    </row>
    <row r="82" spans="2:11" x14ac:dyDescent="0.3">
      <c r="B82" s="115"/>
      <c r="C82" s="112" t="s">
        <v>1508</v>
      </c>
      <c r="D82" s="1499">
        <v>2.3500026705721302</v>
      </c>
      <c r="E82" s="1499">
        <v>1.9689737483991205</v>
      </c>
      <c r="F82" s="1499">
        <v>1.1067622190369613</v>
      </c>
      <c r="G82" s="1499">
        <v>0.99583866386100073</v>
      </c>
      <c r="H82" s="1499">
        <v>0.94667289926186193</v>
      </c>
      <c r="I82" s="1499">
        <v>3.3165602375445098</v>
      </c>
      <c r="J82" s="1499">
        <v>2.7592464215606154</v>
      </c>
      <c r="K82" s="113">
        <v>0.8006309317366207</v>
      </c>
    </row>
    <row r="83" spans="2:11" x14ac:dyDescent="0.3">
      <c r="B83" s="115"/>
      <c r="C83" s="112" t="s">
        <v>1513</v>
      </c>
      <c r="D83" s="1499">
        <v>2.3110450042276773</v>
      </c>
      <c r="E83" s="1499">
        <v>1.9300160820546679</v>
      </c>
      <c r="F83" s="1499">
        <v>1.0678045526925084</v>
      </c>
      <c r="G83" s="1499">
        <v>0.95688099751654798</v>
      </c>
      <c r="H83" s="1499">
        <v>0.90771523291740908</v>
      </c>
      <c r="I83" s="1499">
        <v>3.2776025712000569</v>
      </c>
      <c r="J83" s="1499">
        <v>2.7202887552161621</v>
      </c>
      <c r="K83" s="113">
        <v>0.76167326539216784</v>
      </c>
    </row>
    <row r="84" spans="2:11" x14ac:dyDescent="0.3">
      <c r="B84" s="115"/>
      <c r="C84" s="112" t="s">
        <v>1517</v>
      </c>
      <c r="D84" s="1499">
        <v>2.272087337883224</v>
      </c>
      <c r="E84" s="1499">
        <v>1.891058415710215</v>
      </c>
      <c r="F84" s="1499">
        <v>1.0288468863480558</v>
      </c>
      <c r="G84" s="1499">
        <v>0.91792333117209524</v>
      </c>
      <c r="H84" s="1499">
        <v>0.86875756657295644</v>
      </c>
      <c r="I84" s="1499">
        <v>3.2386449048556041</v>
      </c>
      <c r="J84" s="1499">
        <v>2.6813310888717092</v>
      </c>
      <c r="K84" s="113">
        <v>0.72271559904771521</v>
      </c>
    </row>
    <row r="85" spans="2:11" ht="14.5" thickBot="1" x14ac:dyDescent="0.35">
      <c r="B85" s="1233"/>
      <c r="C85" s="116" t="s">
        <v>1519</v>
      </c>
      <c r="D85" s="117">
        <v>2.4301438449608033</v>
      </c>
      <c r="E85" s="117">
        <v>2.0526835512659618</v>
      </c>
      <c r="F85" s="117">
        <v>1.1863475636669354</v>
      </c>
      <c r="G85" s="117">
        <v>1.0799228307511188</v>
      </c>
      <c r="H85" s="117">
        <v>1.0281416259368779</v>
      </c>
      <c r="I85" s="117">
        <v>3.398083236636873</v>
      </c>
      <c r="J85" s="117">
        <v>2.8425613508781535</v>
      </c>
      <c r="K85" s="118">
        <v>0.88590485193959367</v>
      </c>
    </row>
    <row r="87" spans="2:11" ht="14.5" thickBot="1" x14ac:dyDescent="0.35"/>
    <row r="88" spans="2:11" ht="25.5" thickBot="1" x14ac:dyDescent="0.55000000000000004">
      <c r="B88" s="88" t="s">
        <v>1960</v>
      </c>
      <c r="C88" s="89"/>
      <c r="D88" s="90">
        <v>2</v>
      </c>
      <c r="E88" s="91" t="s">
        <v>1984</v>
      </c>
      <c r="F88" s="92"/>
      <c r="G88" s="92"/>
      <c r="H88" s="92"/>
      <c r="I88" s="93"/>
      <c r="J88" s="89" t="s">
        <v>176</v>
      </c>
      <c r="K88" s="94" t="s">
        <v>230</v>
      </c>
    </row>
    <row r="89" spans="2:11" ht="14.5" thickBot="1" x14ac:dyDescent="0.35">
      <c r="B89" s="95" t="s">
        <v>1962</v>
      </c>
      <c r="C89" s="96" t="s">
        <v>1963</v>
      </c>
      <c r="D89" s="95" t="s">
        <v>1964</v>
      </c>
      <c r="E89" s="97" t="s">
        <v>1965</v>
      </c>
      <c r="F89" s="97" t="s">
        <v>1966</v>
      </c>
      <c r="G89" s="97" t="s">
        <v>1967</v>
      </c>
      <c r="H89" s="97" t="s">
        <v>1968</v>
      </c>
      <c r="I89" s="97" t="s">
        <v>1969</v>
      </c>
      <c r="J89" s="97" t="s">
        <v>1970</v>
      </c>
      <c r="K89" s="98" t="s">
        <v>1971</v>
      </c>
    </row>
    <row r="90" spans="2:11" ht="14.5" thickBot="1" x14ac:dyDescent="0.35">
      <c r="B90" s="99"/>
      <c r="C90" s="99"/>
      <c r="D90" s="100"/>
      <c r="E90" s="944"/>
      <c r="F90" s="944"/>
      <c r="G90" s="944"/>
      <c r="H90" s="944"/>
      <c r="I90" s="944"/>
      <c r="J90" s="944"/>
      <c r="K90" s="102"/>
    </row>
    <row r="91" spans="2:11" ht="90.5" thickBot="1" x14ac:dyDescent="0.45">
      <c r="B91" s="103" t="s">
        <v>1972</v>
      </c>
      <c r="C91" s="103" t="s">
        <v>1973</v>
      </c>
      <c r="D91" s="105" t="s">
        <v>1974</v>
      </c>
      <c r="E91" s="105" t="s">
        <v>1525</v>
      </c>
      <c r="F91" s="105" t="s">
        <v>1527</v>
      </c>
      <c r="G91" s="105" t="s">
        <v>1975</v>
      </c>
      <c r="H91" s="105" t="s">
        <v>1976</v>
      </c>
      <c r="I91" s="105" t="s">
        <v>1445</v>
      </c>
      <c r="J91" s="105" t="s">
        <v>1538</v>
      </c>
      <c r="K91" s="106" t="s">
        <v>1541</v>
      </c>
    </row>
    <row r="92" spans="2:11" x14ac:dyDescent="0.3">
      <c r="B92" s="107" t="s">
        <v>1985</v>
      </c>
      <c r="C92" s="108" t="s">
        <v>1416</v>
      </c>
      <c r="D92" s="109">
        <v>1.995168065189159</v>
      </c>
      <c r="E92" s="109">
        <v>1.5760208497078982</v>
      </c>
      <c r="F92" s="109">
        <v>0.765860455761745</v>
      </c>
      <c r="G92" s="109">
        <v>0.64062753675559425</v>
      </c>
      <c r="H92" s="109">
        <v>0.6231230638297216</v>
      </c>
      <c r="I92" s="109">
        <v>2.9100759984932143</v>
      </c>
      <c r="J92" s="109">
        <v>2.3547180223179107</v>
      </c>
      <c r="K92" s="110">
        <v>0.5077470922284063</v>
      </c>
    </row>
    <row r="93" spans="2:11" x14ac:dyDescent="0.3">
      <c r="B93" s="111"/>
      <c r="C93" s="112" t="s">
        <v>1483</v>
      </c>
      <c r="D93" s="1499">
        <v>2.2621773981213127</v>
      </c>
      <c r="E93" s="1499">
        <v>1.8633674421361746</v>
      </c>
      <c r="F93" s="1499">
        <v>1.0449108359601802</v>
      </c>
      <c r="G93" s="1499">
        <v>0.91873799540522638</v>
      </c>
      <c r="H93" s="1499">
        <v>0.88032276214591698</v>
      </c>
      <c r="I93" s="1499">
        <v>3.1854811686504414</v>
      </c>
      <c r="J93" s="1499">
        <v>2.6349965643889153</v>
      </c>
      <c r="K93" s="113">
        <v>0.7369030177345165</v>
      </c>
    </row>
    <row r="94" spans="2:11" x14ac:dyDescent="0.3">
      <c r="B94" s="111" t="s">
        <v>1986</v>
      </c>
      <c r="C94" s="112" t="s">
        <v>1489</v>
      </c>
      <c r="D94" s="1499">
        <v>2.2308619154450868</v>
      </c>
      <c r="E94" s="1499">
        <v>1.8320519594599487</v>
      </c>
      <c r="F94" s="1499">
        <v>1.0135953532839546</v>
      </c>
      <c r="G94" s="1499">
        <v>0.88742251272900063</v>
      </c>
      <c r="H94" s="1499">
        <v>0.84900727946969123</v>
      </c>
      <c r="I94" s="1499">
        <v>3.1541656859742155</v>
      </c>
      <c r="J94" s="1499">
        <v>2.6036810817126894</v>
      </c>
      <c r="K94" s="113">
        <v>0.70558753505829075</v>
      </c>
    </row>
    <row r="95" spans="2:11" x14ac:dyDescent="0.3">
      <c r="B95" s="114">
        <v>0</v>
      </c>
      <c r="C95" s="112" t="s">
        <v>1496</v>
      </c>
      <c r="D95" s="1499">
        <v>2.1838886914307483</v>
      </c>
      <c r="E95" s="1499">
        <v>1.7850787354456104</v>
      </c>
      <c r="F95" s="1499">
        <v>0.96662212926961588</v>
      </c>
      <c r="G95" s="1499">
        <v>0.84044928871466196</v>
      </c>
      <c r="H95" s="1499">
        <v>0.80203405545535256</v>
      </c>
      <c r="I95" s="1499">
        <v>3.107192461959877</v>
      </c>
      <c r="J95" s="1499">
        <v>2.5567078576983508</v>
      </c>
      <c r="K95" s="113">
        <v>0.65861431104395218</v>
      </c>
    </row>
    <row r="96" spans="2:11" x14ac:dyDescent="0.3">
      <c r="B96" s="115"/>
      <c r="C96" s="112" t="s">
        <v>1500</v>
      </c>
      <c r="D96" s="1499">
        <v>2.1369154674164097</v>
      </c>
      <c r="E96" s="1499">
        <v>1.7381055114312713</v>
      </c>
      <c r="F96" s="1499">
        <v>0.9196489052552772</v>
      </c>
      <c r="G96" s="1499">
        <v>0.79347606470032328</v>
      </c>
      <c r="H96" s="1499">
        <v>0.75506083144101388</v>
      </c>
      <c r="I96" s="1499">
        <v>3.0602192379455384</v>
      </c>
      <c r="J96" s="1499">
        <v>2.5097346336840123</v>
      </c>
      <c r="K96" s="113">
        <v>0.61164108702961351</v>
      </c>
    </row>
    <row r="97" spans="2:11" x14ac:dyDescent="0.3">
      <c r="B97" s="115"/>
      <c r="C97" s="112" t="s">
        <v>1504</v>
      </c>
      <c r="D97" s="1499">
        <v>2.2067890310298273</v>
      </c>
      <c r="E97" s="1499">
        <v>1.8050604074678223</v>
      </c>
      <c r="F97" s="1499">
        <v>0.99031752298125619</v>
      </c>
      <c r="G97" s="1499">
        <v>0.85938265976402461</v>
      </c>
      <c r="H97" s="1499">
        <v>0.823625972262225</v>
      </c>
      <c r="I97" s="1499">
        <v>3.1292115328442605</v>
      </c>
      <c r="J97" s="1499">
        <v>2.5778702156957638</v>
      </c>
      <c r="K97" s="113">
        <v>0.68163178111786848</v>
      </c>
    </row>
    <row r="98" spans="2:11" x14ac:dyDescent="0.3">
      <c r="B98" s="115"/>
      <c r="C98" s="112" t="s">
        <v>1508</v>
      </c>
      <c r="D98" s="1499">
        <v>2.1808172534668584</v>
      </c>
      <c r="E98" s="1499">
        <v>1.7790886299048536</v>
      </c>
      <c r="F98" s="1499">
        <v>0.96434574541828766</v>
      </c>
      <c r="G98" s="1499">
        <v>0.83341088220105608</v>
      </c>
      <c r="H98" s="1499">
        <v>0.79765419469925647</v>
      </c>
      <c r="I98" s="1499">
        <v>3.1032397552812916</v>
      </c>
      <c r="J98" s="1499">
        <v>2.5518984381327949</v>
      </c>
      <c r="K98" s="113">
        <v>0.65566000355489995</v>
      </c>
    </row>
    <row r="99" spans="2:11" x14ac:dyDescent="0.3">
      <c r="B99" s="115"/>
      <c r="C99" s="112" t="s">
        <v>1513</v>
      </c>
      <c r="D99" s="1499">
        <v>2.1418595871224055</v>
      </c>
      <c r="E99" s="1499">
        <v>1.740130963560401</v>
      </c>
      <c r="F99" s="1499">
        <v>0.92538807907383491</v>
      </c>
      <c r="G99" s="1499">
        <v>0.79445321585660322</v>
      </c>
      <c r="H99" s="1499">
        <v>0.75869652835480361</v>
      </c>
      <c r="I99" s="1499">
        <v>3.0642820889368387</v>
      </c>
      <c r="J99" s="1499">
        <v>2.5129407717883421</v>
      </c>
      <c r="K99" s="113">
        <v>0.61670233721044709</v>
      </c>
    </row>
    <row r="100" spans="2:11" x14ac:dyDescent="0.3">
      <c r="B100" s="115"/>
      <c r="C100" s="112" t="s">
        <v>1517</v>
      </c>
      <c r="D100" s="1499">
        <v>2.1029019207779527</v>
      </c>
      <c r="E100" s="1499">
        <v>1.7011732972159479</v>
      </c>
      <c r="F100" s="1499">
        <v>0.88643041272938206</v>
      </c>
      <c r="G100" s="1499">
        <v>0.75549554951215048</v>
      </c>
      <c r="H100" s="1499">
        <v>0.71973886201035087</v>
      </c>
      <c r="I100" s="1499">
        <v>3.0253244225923863</v>
      </c>
      <c r="J100" s="1499">
        <v>2.4739831054438897</v>
      </c>
      <c r="K100" s="113">
        <v>0.57774467086599435</v>
      </c>
    </row>
    <row r="101" spans="2:11" ht="14.5" thickBot="1" x14ac:dyDescent="0.35">
      <c r="B101" s="115"/>
      <c r="C101" s="116" t="s">
        <v>1519</v>
      </c>
      <c r="D101" s="117">
        <v>2.2621773981213127</v>
      </c>
      <c r="E101" s="117">
        <v>1.8633674421361746</v>
      </c>
      <c r="F101" s="117">
        <v>1.0449108359601802</v>
      </c>
      <c r="G101" s="117">
        <v>0.91873799540522638</v>
      </c>
      <c r="H101" s="117">
        <v>0.88032276214591698</v>
      </c>
      <c r="I101" s="117">
        <v>3.1854811686504414</v>
      </c>
      <c r="J101" s="117">
        <v>2.6349965643889153</v>
      </c>
      <c r="K101" s="118">
        <v>0.7369030177345165</v>
      </c>
    </row>
    <row r="102" spans="2:11" x14ac:dyDescent="0.3">
      <c r="B102" s="120" t="s">
        <v>1985</v>
      </c>
      <c r="C102" s="1234" t="s">
        <v>1416</v>
      </c>
      <c r="D102" s="109">
        <v>1.9886805831065499</v>
      </c>
      <c r="E102" s="109">
        <v>1.5695333676252892</v>
      </c>
      <c r="F102" s="109">
        <v>0.75937297367913581</v>
      </c>
      <c r="G102" s="109">
        <v>0.63414005467298507</v>
      </c>
      <c r="H102" s="109">
        <v>0.61663558174711242</v>
      </c>
      <c r="I102" s="109">
        <v>2.903588516410605</v>
      </c>
      <c r="J102" s="109">
        <v>2.3482305402353019</v>
      </c>
      <c r="K102" s="110">
        <v>0.50125961014579701</v>
      </c>
    </row>
    <row r="103" spans="2:11" x14ac:dyDescent="0.3">
      <c r="B103" s="121"/>
      <c r="C103" s="1500" t="s">
        <v>1483</v>
      </c>
      <c r="D103" s="1499">
        <v>2.2556899160387038</v>
      </c>
      <c r="E103" s="1499">
        <v>1.8568799600535655</v>
      </c>
      <c r="F103" s="1499">
        <v>1.0384233538775711</v>
      </c>
      <c r="G103" s="1499">
        <v>0.91225051332261708</v>
      </c>
      <c r="H103" s="1499">
        <v>0.8738352800633078</v>
      </c>
      <c r="I103" s="1499">
        <v>3.1789936865678321</v>
      </c>
      <c r="J103" s="1499">
        <v>2.628509082306306</v>
      </c>
      <c r="K103" s="113">
        <v>0.73041553565190731</v>
      </c>
    </row>
    <row r="104" spans="2:11" x14ac:dyDescent="0.3">
      <c r="B104" s="111" t="s">
        <v>1987</v>
      </c>
      <c r="C104" s="1500" t="s">
        <v>1489</v>
      </c>
      <c r="D104" s="1499">
        <v>2.224374433362478</v>
      </c>
      <c r="E104" s="1499">
        <v>1.8255644773773396</v>
      </c>
      <c r="F104" s="1499">
        <v>1.0071078712013453</v>
      </c>
      <c r="G104" s="1499">
        <v>0.88093503064639145</v>
      </c>
      <c r="H104" s="1499">
        <v>0.84251979738708205</v>
      </c>
      <c r="I104" s="1499">
        <v>3.1476782038916062</v>
      </c>
      <c r="J104" s="1499">
        <v>2.5971935996300801</v>
      </c>
      <c r="K104" s="113">
        <v>0.69910005297568156</v>
      </c>
    </row>
    <row r="105" spans="2:11" x14ac:dyDescent="0.3">
      <c r="B105" s="122">
        <v>0</v>
      </c>
      <c r="C105" s="1500" t="s">
        <v>1496</v>
      </c>
      <c r="D105" s="1499">
        <v>2.1774012093481394</v>
      </c>
      <c r="E105" s="1499">
        <v>1.7785912533630011</v>
      </c>
      <c r="F105" s="1499">
        <v>0.96013464718700658</v>
      </c>
      <c r="G105" s="1499">
        <v>0.83396180663205277</v>
      </c>
      <c r="H105" s="1499">
        <v>0.79554657337274337</v>
      </c>
      <c r="I105" s="1499">
        <v>3.1007049798772677</v>
      </c>
      <c r="J105" s="1499">
        <v>2.5502203756157416</v>
      </c>
      <c r="K105" s="113">
        <v>0.65212682896134289</v>
      </c>
    </row>
    <row r="106" spans="2:11" x14ac:dyDescent="0.3">
      <c r="B106" s="123"/>
      <c r="C106" s="1500" t="s">
        <v>1500</v>
      </c>
      <c r="D106" s="1499">
        <v>2.1304279853338004</v>
      </c>
      <c r="E106" s="1499">
        <v>1.7316180293486623</v>
      </c>
      <c r="F106" s="1499">
        <v>0.91316142317266791</v>
      </c>
      <c r="G106" s="1499">
        <v>0.78698858261771409</v>
      </c>
      <c r="H106" s="1499">
        <v>0.74857334935840469</v>
      </c>
      <c r="I106" s="1499">
        <v>3.0537317558629291</v>
      </c>
      <c r="J106" s="1499">
        <v>2.503247151601403</v>
      </c>
      <c r="K106" s="113">
        <v>0.60515360494700421</v>
      </c>
    </row>
    <row r="107" spans="2:11" x14ac:dyDescent="0.3">
      <c r="B107" s="123"/>
      <c r="C107" s="1500" t="s">
        <v>1504</v>
      </c>
      <c r="D107" s="1499">
        <v>2.200301548947218</v>
      </c>
      <c r="E107" s="1499">
        <v>1.798572925385213</v>
      </c>
      <c r="F107" s="1499">
        <v>0.98383004089864701</v>
      </c>
      <c r="G107" s="1499">
        <v>0.85289517768141532</v>
      </c>
      <c r="H107" s="1499">
        <v>0.81713849017961571</v>
      </c>
      <c r="I107" s="1499">
        <v>3.1227240507616512</v>
      </c>
      <c r="J107" s="1499">
        <v>2.5713827336131545</v>
      </c>
      <c r="K107" s="113">
        <v>0.67514429903525919</v>
      </c>
    </row>
    <row r="108" spans="2:11" x14ac:dyDescent="0.3">
      <c r="B108" s="123"/>
      <c r="C108" s="1500" t="s">
        <v>1508</v>
      </c>
      <c r="D108" s="1499">
        <v>2.1743297713842491</v>
      </c>
      <c r="E108" s="1499">
        <v>1.7726011478222443</v>
      </c>
      <c r="F108" s="1499">
        <v>0.95785826333567847</v>
      </c>
      <c r="G108" s="1499">
        <v>0.82692340011844689</v>
      </c>
      <c r="H108" s="1499">
        <v>0.79116671261664728</v>
      </c>
      <c r="I108" s="1499">
        <v>3.0967522731986823</v>
      </c>
      <c r="J108" s="1499">
        <v>2.5454109560501861</v>
      </c>
      <c r="K108" s="113">
        <v>0.64917252147229076</v>
      </c>
    </row>
    <row r="109" spans="2:11" x14ac:dyDescent="0.3">
      <c r="B109" s="123"/>
      <c r="C109" s="1500" t="s">
        <v>1513</v>
      </c>
      <c r="D109" s="1499">
        <v>2.1353721050397967</v>
      </c>
      <c r="E109" s="1499">
        <v>1.7336434814777917</v>
      </c>
      <c r="F109" s="1499">
        <v>0.91890059699122562</v>
      </c>
      <c r="G109" s="1499">
        <v>0.78796573377399404</v>
      </c>
      <c r="H109" s="1499">
        <v>0.75220904627219443</v>
      </c>
      <c r="I109" s="1499">
        <v>3.0577946068542294</v>
      </c>
      <c r="J109" s="1499">
        <v>2.5064532897057328</v>
      </c>
      <c r="K109" s="113">
        <v>0.61021485512783791</v>
      </c>
    </row>
    <row r="110" spans="2:11" x14ac:dyDescent="0.3">
      <c r="B110" s="123"/>
      <c r="C110" s="1500" t="s">
        <v>1517</v>
      </c>
      <c r="D110" s="1499">
        <v>2.0964144386953434</v>
      </c>
      <c r="E110" s="1499">
        <v>1.6946858151333388</v>
      </c>
      <c r="F110" s="1499">
        <v>0.87994293064677287</v>
      </c>
      <c r="G110" s="1499">
        <v>0.74900806742954118</v>
      </c>
      <c r="H110" s="1499">
        <v>0.71325137992774157</v>
      </c>
      <c r="I110" s="1499">
        <v>3.018836940509777</v>
      </c>
      <c r="J110" s="1499">
        <v>2.4674956233612804</v>
      </c>
      <c r="K110" s="113">
        <v>0.57125718878338505</v>
      </c>
    </row>
    <row r="111" spans="2:11" ht="14.5" thickBot="1" x14ac:dyDescent="0.35">
      <c r="B111" s="124"/>
      <c r="C111" s="125" t="s">
        <v>1519</v>
      </c>
      <c r="D111" s="117">
        <v>2.2556899160387038</v>
      </c>
      <c r="E111" s="117">
        <v>1.8568799600535655</v>
      </c>
      <c r="F111" s="117">
        <v>1.0384233538775711</v>
      </c>
      <c r="G111" s="117">
        <v>0.91225051332261708</v>
      </c>
      <c r="H111" s="117">
        <v>0.8738352800633078</v>
      </c>
      <c r="I111" s="117">
        <v>3.1789936865678321</v>
      </c>
      <c r="J111" s="117">
        <v>2.628509082306306</v>
      </c>
      <c r="K111" s="118">
        <v>0.73041553565190731</v>
      </c>
    </row>
    <row r="112" spans="2:11" x14ac:dyDescent="0.3">
      <c r="B112" s="119" t="s">
        <v>1985</v>
      </c>
      <c r="C112" s="108" t="s">
        <v>1416</v>
      </c>
      <c r="D112" s="109">
        <v>1.978949359982636</v>
      </c>
      <c r="E112" s="109">
        <v>1.5598021445013752</v>
      </c>
      <c r="F112" s="109">
        <v>0.74964175055522198</v>
      </c>
      <c r="G112" s="109">
        <v>0.62440883154907123</v>
      </c>
      <c r="H112" s="109">
        <v>0.60690435862319858</v>
      </c>
      <c r="I112" s="109">
        <v>2.8938572932866915</v>
      </c>
      <c r="J112" s="109">
        <v>2.3384993171113879</v>
      </c>
      <c r="K112" s="110">
        <v>0.49152838702188317</v>
      </c>
    </row>
    <row r="113" spans="2:11" x14ac:dyDescent="0.3">
      <c r="B113" s="111"/>
      <c r="C113" s="112" t="s">
        <v>1483</v>
      </c>
      <c r="D113" s="1499">
        <v>2.2459586929147899</v>
      </c>
      <c r="E113" s="1499">
        <v>1.8471487369296515</v>
      </c>
      <c r="F113" s="1499">
        <v>1.0286921307536572</v>
      </c>
      <c r="G113" s="1499">
        <v>0.90251929019870325</v>
      </c>
      <c r="H113" s="1499">
        <v>0.86410405693939396</v>
      </c>
      <c r="I113" s="1499">
        <v>3.1692624634439177</v>
      </c>
      <c r="J113" s="1499">
        <v>2.618777859182392</v>
      </c>
      <c r="K113" s="113">
        <v>0.72068431252799348</v>
      </c>
    </row>
    <row r="114" spans="2:11" ht="14.5" thickBot="1" x14ac:dyDescent="0.35">
      <c r="B114" s="111" t="s">
        <v>1988</v>
      </c>
      <c r="C114" s="112" t="s">
        <v>1489</v>
      </c>
      <c r="D114" s="1499">
        <v>2.214643210238564</v>
      </c>
      <c r="E114" s="1499">
        <v>1.8158332542534257</v>
      </c>
      <c r="F114" s="1501">
        <v>0.99737664807743143</v>
      </c>
      <c r="G114" s="1499">
        <v>0.8712038075224775</v>
      </c>
      <c r="H114" s="1499">
        <v>0.83278857426316821</v>
      </c>
      <c r="I114" s="1499">
        <v>3.1379469807676927</v>
      </c>
      <c r="J114" s="1499">
        <v>2.5874623765061666</v>
      </c>
      <c r="K114" s="113">
        <v>0.68936882985176773</v>
      </c>
    </row>
    <row r="115" spans="2:11" ht="14.5" thickBot="1" x14ac:dyDescent="0.35">
      <c r="B115" s="114">
        <v>0</v>
      </c>
      <c r="C115" s="112" t="s">
        <v>1496</v>
      </c>
      <c r="D115" s="1499">
        <v>2.1676699862242255</v>
      </c>
      <c r="E115" s="1502">
        <v>1.7688600302390871</v>
      </c>
      <c r="F115" s="126">
        <v>0.95040342406309275</v>
      </c>
      <c r="G115" s="1503">
        <v>0.82423058350813894</v>
      </c>
      <c r="H115" s="1499">
        <v>0.78581535024882954</v>
      </c>
      <c r="I115" s="1499">
        <v>3.0909737567533537</v>
      </c>
      <c r="J115" s="1499">
        <v>2.5404891524918276</v>
      </c>
      <c r="K115" s="113">
        <v>0.64239560583742905</v>
      </c>
    </row>
    <row r="116" spans="2:11" x14ac:dyDescent="0.3">
      <c r="B116" s="115"/>
      <c r="C116" s="112" t="s">
        <v>1500</v>
      </c>
      <c r="D116" s="1499">
        <v>2.1206967622098865</v>
      </c>
      <c r="E116" s="1499">
        <v>1.7218868062247483</v>
      </c>
      <c r="F116" s="127">
        <v>0.90343020004875407</v>
      </c>
      <c r="G116" s="1499">
        <v>0.77725735949380026</v>
      </c>
      <c r="H116" s="1499">
        <v>0.73884212623449086</v>
      </c>
      <c r="I116" s="1499">
        <v>3.0440005327390152</v>
      </c>
      <c r="J116" s="1499">
        <v>2.493515928477489</v>
      </c>
      <c r="K116" s="113">
        <v>0.59542238182309037</v>
      </c>
    </row>
    <row r="117" spans="2:11" x14ac:dyDescent="0.3">
      <c r="B117" s="115"/>
      <c r="C117" s="112" t="s">
        <v>1504</v>
      </c>
      <c r="D117" s="1499">
        <v>2.190570325823304</v>
      </c>
      <c r="E117" s="1499">
        <v>1.7888417022612992</v>
      </c>
      <c r="F117" s="1499">
        <v>0.97409881777473317</v>
      </c>
      <c r="G117" s="1499">
        <v>0.84316395455750148</v>
      </c>
      <c r="H117" s="1499">
        <v>0.80740726705570187</v>
      </c>
      <c r="I117" s="1499">
        <v>3.1129928276377372</v>
      </c>
      <c r="J117" s="1499">
        <v>2.5616515104892406</v>
      </c>
      <c r="K117" s="113">
        <v>0.66541307591134535</v>
      </c>
    </row>
    <row r="118" spans="2:11" x14ac:dyDescent="0.3">
      <c r="B118" s="115"/>
      <c r="C118" s="112" t="s">
        <v>1508</v>
      </c>
      <c r="D118" s="1499">
        <v>2.1645985482603352</v>
      </c>
      <c r="E118" s="1499">
        <v>1.7628699246983306</v>
      </c>
      <c r="F118" s="1499">
        <v>0.94812704021176464</v>
      </c>
      <c r="G118" s="1499">
        <v>0.81719217699453306</v>
      </c>
      <c r="H118" s="1499">
        <v>0.78143548949273345</v>
      </c>
      <c r="I118" s="1499">
        <v>3.0870210500747688</v>
      </c>
      <c r="J118" s="1499">
        <v>2.5356797329262721</v>
      </c>
      <c r="K118" s="113">
        <v>0.63944129834837693</v>
      </c>
    </row>
    <row r="119" spans="2:11" x14ac:dyDescent="0.3">
      <c r="B119" s="115"/>
      <c r="C119" s="112" t="s">
        <v>1513</v>
      </c>
      <c r="D119" s="1499">
        <v>2.1256408819158827</v>
      </c>
      <c r="E119" s="1499">
        <v>1.723912258353878</v>
      </c>
      <c r="F119" s="1499">
        <v>0.90916937386731178</v>
      </c>
      <c r="G119" s="1499">
        <v>0.7782345106500802</v>
      </c>
      <c r="H119" s="1499">
        <v>0.74247782314828059</v>
      </c>
      <c r="I119" s="1499">
        <v>3.0480633837303159</v>
      </c>
      <c r="J119" s="1499">
        <v>2.4967220665818193</v>
      </c>
      <c r="K119" s="113">
        <v>0.60048363200392407</v>
      </c>
    </row>
    <row r="120" spans="2:11" x14ac:dyDescent="0.3">
      <c r="B120" s="115"/>
      <c r="C120" s="112" t="s">
        <v>1517</v>
      </c>
      <c r="D120" s="1499">
        <v>2.0866832155714299</v>
      </c>
      <c r="E120" s="1499">
        <v>1.6849545920094249</v>
      </c>
      <c r="F120" s="1499">
        <v>0.87021170752285903</v>
      </c>
      <c r="G120" s="1499">
        <v>0.73927684430562735</v>
      </c>
      <c r="H120" s="1499">
        <v>0.70352015680382773</v>
      </c>
      <c r="I120" s="1499">
        <v>3.0091057173858631</v>
      </c>
      <c r="J120" s="1499">
        <v>2.4577644002373664</v>
      </c>
      <c r="K120" s="113">
        <v>0.56152596565947122</v>
      </c>
    </row>
    <row r="121" spans="2:11" ht="14.5" thickBot="1" x14ac:dyDescent="0.35">
      <c r="B121" s="1233"/>
      <c r="C121" s="116" t="s">
        <v>1519</v>
      </c>
      <c r="D121" s="117">
        <v>2.2459586929147899</v>
      </c>
      <c r="E121" s="117">
        <v>1.8471487369296515</v>
      </c>
      <c r="F121" s="117">
        <v>1.0286921307536572</v>
      </c>
      <c r="G121" s="117">
        <v>0.90251929019870325</v>
      </c>
      <c r="H121" s="117">
        <v>0.86410405693939396</v>
      </c>
      <c r="I121" s="117">
        <v>3.1692624634439177</v>
      </c>
      <c r="J121" s="117">
        <v>2.618777859182392</v>
      </c>
      <c r="K121" s="118">
        <v>0.72068431252799348</v>
      </c>
    </row>
    <row r="122" spans="2:11" x14ac:dyDescent="0.3">
      <c r="B122" s="107" t="s">
        <v>1985</v>
      </c>
      <c r="C122" s="108" t="s">
        <v>1416</v>
      </c>
      <c r="D122" s="109">
        <v>1.9692181368587223</v>
      </c>
      <c r="E122" s="109">
        <v>1.5500709213774615</v>
      </c>
      <c r="F122" s="109">
        <v>0.73991052743130814</v>
      </c>
      <c r="G122" s="109">
        <v>0.6146776084251574</v>
      </c>
      <c r="H122" s="109">
        <v>0.59717313549928475</v>
      </c>
      <c r="I122" s="109">
        <v>2.8841260701627776</v>
      </c>
      <c r="J122" s="109">
        <v>2.328768093987474</v>
      </c>
      <c r="K122" s="110">
        <v>0.48179716389796934</v>
      </c>
    </row>
    <row r="123" spans="2:11" x14ac:dyDescent="0.3">
      <c r="B123" s="111"/>
      <c r="C123" s="112" t="s">
        <v>1483</v>
      </c>
      <c r="D123" s="1499">
        <v>2.2362274697908759</v>
      </c>
      <c r="E123" s="1499">
        <v>1.8374175138057378</v>
      </c>
      <c r="F123" s="1499">
        <v>1.0189609076297435</v>
      </c>
      <c r="G123" s="1499">
        <v>0.89278806707478942</v>
      </c>
      <c r="H123" s="1499">
        <v>0.85437283381548013</v>
      </c>
      <c r="I123" s="1499">
        <v>3.1595312403200042</v>
      </c>
      <c r="J123" s="1499">
        <v>2.6090466360584785</v>
      </c>
      <c r="K123" s="113">
        <v>0.71095308940407964</v>
      </c>
    </row>
    <row r="124" spans="2:11" x14ac:dyDescent="0.3">
      <c r="B124" s="111" t="s">
        <v>1989</v>
      </c>
      <c r="C124" s="112" t="s">
        <v>1489</v>
      </c>
      <c r="D124" s="1499">
        <v>2.2049119871146501</v>
      </c>
      <c r="E124" s="1499">
        <v>1.806102031129512</v>
      </c>
      <c r="F124" s="1499">
        <v>0.98764542495351759</v>
      </c>
      <c r="G124" s="1499">
        <v>0.86147258439856367</v>
      </c>
      <c r="H124" s="1499">
        <v>0.82305735113925438</v>
      </c>
      <c r="I124" s="1499">
        <v>3.1282157576437783</v>
      </c>
      <c r="J124" s="1499">
        <v>2.5777311533822527</v>
      </c>
      <c r="K124" s="113">
        <v>0.67963760672785389</v>
      </c>
    </row>
    <row r="125" spans="2:11" x14ac:dyDescent="0.3">
      <c r="B125" s="114">
        <v>0</v>
      </c>
      <c r="C125" s="112" t="s">
        <v>1496</v>
      </c>
      <c r="D125" s="1499">
        <v>2.1579387631003115</v>
      </c>
      <c r="E125" s="1499">
        <v>1.7591288071151734</v>
      </c>
      <c r="F125" s="1499">
        <v>0.94067220093917892</v>
      </c>
      <c r="G125" s="1499">
        <v>0.8144993603842251</v>
      </c>
      <c r="H125" s="1499">
        <v>0.7760841271249157</v>
      </c>
      <c r="I125" s="1499">
        <v>3.0812425336294398</v>
      </c>
      <c r="J125" s="1499">
        <v>2.5307579293679141</v>
      </c>
      <c r="K125" s="113">
        <v>0.63266438271351522</v>
      </c>
    </row>
    <row r="126" spans="2:11" x14ac:dyDescent="0.3">
      <c r="B126" s="115"/>
      <c r="C126" s="112" t="s">
        <v>1500</v>
      </c>
      <c r="D126" s="1499">
        <v>2.110965539085973</v>
      </c>
      <c r="E126" s="1499">
        <v>1.7121555831008346</v>
      </c>
      <c r="F126" s="1499">
        <v>0.89369897692484024</v>
      </c>
      <c r="G126" s="1499">
        <v>0.76752613636988642</v>
      </c>
      <c r="H126" s="1499">
        <v>0.72911090311057702</v>
      </c>
      <c r="I126" s="1499">
        <v>3.0342693096151012</v>
      </c>
      <c r="J126" s="1499">
        <v>2.4837847053535755</v>
      </c>
      <c r="K126" s="113">
        <v>0.58569115869917654</v>
      </c>
    </row>
    <row r="127" spans="2:11" x14ac:dyDescent="0.3">
      <c r="B127" s="115"/>
      <c r="C127" s="112" t="s">
        <v>1504</v>
      </c>
      <c r="D127" s="1499">
        <v>2.1808391026993901</v>
      </c>
      <c r="E127" s="1499">
        <v>1.7791104791373853</v>
      </c>
      <c r="F127" s="1499">
        <v>0.96436759465081934</v>
      </c>
      <c r="G127" s="1499">
        <v>0.83343273143358765</v>
      </c>
      <c r="H127" s="1499">
        <v>0.79767604393178804</v>
      </c>
      <c r="I127" s="1499">
        <v>3.1032616045138233</v>
      </c>
      <c r="J127" s="1499">
        <v>2.5519202873653271</v>
      </c>
      <c r="K127" s="113">
        <v>0.65568185278743152</v>
      </c>
    </row>
    <row r="128" spans="2:11" x14ac:dyDescent="0.3">
      <c r="B128" s="115"/>
      <c r="C128" s="112" t="s">
        <v>1508</v>
      </c>
      <c r="D128" s="1499">
        <v>2.1548673251364217</v>
      </c>
      <c r="E128" s="1499">
        <v>1.7531387015744166</v>
      </c>
      <c r="F128" s="1499">
        <v>0.9383958170878508</v>
      </c>
      <c r="G128" s="1499">
        <v>0.80746095387061922</v>
      </c>
      <c r="H128" s="1499">
        <v>0.77170426636881961</v>
      </c>
      <c r="I128" s="1499">
        <v>3.0772898269508548</v>
      </c>
      <c r="J128" s="1499">
        <v>2.5259485098023582</v>
      </c>
      <c r="K128" s="113">
        <v>0.6297100752244631</v>
      </c>
    </row>
    <row r="129" spans="2:11" x14ac:dyDescent="0.3">
      <c r="B129" s="115"/>
      <c r="C129" s="112" t="s">
        <v>1513</v>
      </c>
      <c r="D129" s="1499">
        <v>2.1159096587919688</v>
      </c>
      <c r="E129" s="1499">
        <v>1.714181035229964</v>
      </c>
      <c r="F129" s="1499">
        <v>0.89943815074339795</v>
      </c>
      <c r="G129" s="1499">
        <v>0.76850328752616637</v>
      </c>
      <c r="H129" s="1499">
        <v>0.73274660002436676</v>
      </c>
      <c r="I129" s="1499">
        <v>3.038332160606402</v>
      </c>
      <c r="J129" s="1499">
        <v>2.4869908434579053</v>
      </c>
      <c r="K129" s="113">
        <v>0.59075240888001024</v>
      </c>
    </row>
    <row r="130" spans="2:11" x14ac:dyDescent="0.3">
      <c r="B130" s="115"/>
      <c r="C130" s="112" t="s">
        <v>1517</v>
      </c>
      <c r="D130" s="1499">
        <v>2.0769519924475159</v>
      </c>
      <c r="E130" s="1499">
        <v>1.6752233688855112</v>
      </c>
      <c r="F130" s="1499">
        <v>0.8604804843989452</v>
      </c>
      <c r="G130" s="1499">
        <v>0.72954562118171351</v>
      </c>
      <c r="H130" s="1499">
        <v>0.6937889336799139</v>
      </c>
      <c r="I130" s="1499">
        <v>2.9993744942619496</v>
      </c>
      <c r="J130" s="1499">
        <v>2.4480331771134529</v>
      </c>
      <c r="K130" s="113">
        <v>0.55179474253555738</v>
      </c>
    </row>
    <row r="131" spans="2:11" ht="14.5" thickBot="1" x14ac:dyDescent="0.35">
      <c r="B131" s="1233"/>
      <c r="C131" s="116" t="s">
        <v>1519</v>
      </c>
      <c r="D131" s="117">
        <v>2.2362274697908759</v>
      </c>
      <c r="E131" s="117">
        <v>1.8374175138057378</v>
      </c>
      <c r="F131" s="117">
        <v>1.0189609076297435</v>
      </c>
      <c r="G131" s="117">
        <v>0.89278806707478942</v>
      </c>
      <c r="H131" s="117">
        <v>0.85437283381548013</v>
      </c>
      <c r="I131" s="117">
        <v>3.1595312403200042</v>
      </c>
      <c r="J131" s="117">
        <v>2.6090466360584785</v>
      </c>
      <c r="K131" s="118">
        <v>0.71095308940407964</v>
      </c>
    </row>
    <row r="132" spans="2:11" x14ac:dyDescent="0.3">
      <c r="B132" s="120" t="s">
        <v>1990</v>
      </c>
      <c r="C132" s="108" t="s">
        <v>1416</v>
      </c>
      <c r="D132" s="109">
        <v>1.9832065536374122</v>
      </c>
      <c r="E132" s="109">
        <v>1.5624181483654866</v>
      </c>
      <c r="F132" s="109">
        <v>0.75394249802194679</v>
      </c>
      <c r="G132" s="109">
        <v>0.63176644389365333</v>
      </c>
      <c r="H132" s="109">
        <v>0.61460778110916758</v>
      </c>
      <c r="I132" s="109">
        <v>2.8964417311614379</v>
      </c>
      <c r="J132" s="109">
        <v>2.3409645968689747</v>
      </c>
      <c r="K132" s="110">
        <v>0.49892296569536726</v>
      </c>
    </row>
    <row r="133" spans="2:11" x14ac:dyDescent="0.3">
      <c r="B133" s="111"/>
      <c r="C133" s="112" t="s">
        <v>1483</v>
      </c>
      <c r="D133" s="1499">
        <v>2.2494743096850303</v>
      </c>
      <c r="E133" s="1499">
        <v>1.850284169737602</v>
      </c>
      <c r="F133" s="1499">
        <v>1.0334919671200897</v>
      </c>
      <c r="G133" s="1499">
        <v>0.90645881105909853</v>
      </c>
      <c r="H133" s="1499">
        <v>0.86855200162173962</v>
      </c>
      <c r="I133" s="1499">
        <v>3.1721257164070709</v>
      </c>
      <c r="J133" s="1499">
        <v>2.6215902886045748</v>
      </c>
      <c r="K133" s="113">
        <v>0.72610601828679311</v>
      </c>
    </row>
    <row r="134" spans="2:11" x14ac:dyDescent="0.3">
      <c r="B134" s="111" t="s">
        <v>1986</v>
      </c>
      <c r="C134" s="112" t="s">
        <v>1489</v>
      </c>
      <c r="D134" s="1499">
        <v>2.2181588270088048</v>
      </c>
      <c r="E134" s="1499">
        <v>1.8189686870613764</v>
      </c>
      <c r="F134" s="1499">
        <v>1.0021764844438639</v>
      </c>
      <c r="G134" s="1499">
        <v>0.87514332838287268</v>
      </c>
      <c r="H134" s="1499">
        <v>0.83723651894551387</v>
      </c>
      <c r="I134" s="1499">
        <v>3.140810233730845</v>
      </c>
      <c r="J134" s="1499">
        <v>2.5902748059283489</v>
      </c>
      <c r="K134" s="113">
        <v>0.69479053561056747</v>
      </c>
    </row>
    <row r="135" spans="2:11" x14ac:dyDescent="0.3">
      <c r="B135" s="114">
        <v>0</v>
      </c>
      <c r="C135" s="112" t="s">
        <v>1496</v>
      </c>
      <c r="D135" s="1499">
        <v>2.1711856029944658</v>
      </c>
      <c r="E135" s="1499">
        <v>1.7719954630470376</v>
      </c>
      <c r="F135" s="1499">
        <v>0.9552032604295253</v>
      </c>
      <c r="G135" s="1499">
        <v>0.828170104368534</v>
      </c>
      <c r="H135" s="1499">
        <v>0.7902632949311752</v>
      </c>
      <c r="I135" s="1499">
        <v>3.0938370097165064</v>
      </c>
      <c r="J135" s="1499">
        <v>2.5433015819140103</v>
      </c>
      <c r="K135" s="113">
        <v>0.6478173115962288</v>
      </c>
    </row>
    <row r="136" spans="2:11" x14ac:dyDescent="0.3">
      <c r="B136" s="115"/>
      <c r="C136" s="112" t="s">
        <v>1500</v>
      </c>
      <c r="D136" s="1499">
        <v>2.1242123789801273</v>
      </c>
      <c r="E136" s="1499">
        <v>1.725022239032699</v>
      </c>
      <c r="F136" s="1499">
        <v>0.90823003641518663</v>
      </c>
      <c r="G136" s="1499">
        <v>0.78119688035419532</v>
      </c>
      <c r="H136" s="1499">
        <v>0.74329007091683652</v>
      </c>
      <c r="I136" s="1499">
        <v>3.0468637857021674</v>
      </c>
      <c r="J136" s="1499">
        <v>2.4963283578996709</v>
      </c>
      <c r="K136" s="113">
        <v>0.60084408758189012</v>
      </c>
    </row>
    <row r="137" spans="2:11" x14ac:dyDescent="0.3">
      <c r="B137" s="115"/>
      <c r="C137" s="112" t="s">
        <v>1504</v>
      </c>
      <c r="D137" s="1499">
        <v>2.1940129746246764</v>
      </c>
      <c r="E137" s="1499">
        <v>1.7918484437738278</v>
      </c>
      <c r="F137" s="1499">
        <v>0.97884074679289546</v>
      </c>
      <c r="G137" s="1499">
        <v>0.84701277369212191</v>
      </c>
      <c r="H137" s="1499">
        <v>0.81178618215034049</v>
      </c>
      <c r="I137" s="1499">
        <v>3.1157911347882083</v>
      </c>
      <c r="J137" s="1499">
        <v>2.5643953355888742</v>
      </c>
      <c r="K137" s="113">
        <v>0.67288559503348488</v>
      </c>
    </row>
    <row r="138" spans="2:11" x14ac:dyDescent="0.3">
      <c r="B138" s="115"/>
      <c r="C138" s="112" t="s">
        <v>1508</v>
      </c>
      <c r="D138" s="1499">
        <v>2.1680411970617079</v>
      </c>
      <c r="E138" s="1499">
        <v>1.7658766662108594</v>
      </c>
      <c r="F138" s="1499">
        <v>0.95286896922992692</v>
      </c>
      <c r="G138" s="1499">
        <v>0.82104099612915349</v>
      </c>
      <c r="H138" s="1499">
        <v>0.78581440458737206</v>
      </c>
      <c r="I138" s="1499">
        <v>3.0898193572252399</v>
      </c>
      <c r="J138" s="1499">
        <v>2.5384235580259058</v>
      </c>
      <c r="K138" s="113">
        <v>0.64691381747051635</v>
      </c>
    </row>
    <row r="139" spans="2:11" x14ac:dyDescent="0.3">
      <c r="B139" s="115"/>
      <c r="C139" s="112" t="s">
        <v>1513</v>
      </c>
      <c r="D139" s="1499">
        <v>2.1290835307172551</v>
      </c>
      <c r="E139" s="1499">
        <v>1.7269189998664063</v>
      </c>
      <c r="F139" s="1499">
        <v>0.91391130288547417</v>
      </c>
      <c r="G139" s="1499">
        <v>0.78208332978470063</v>
      </c>
      <c r="H139" s="1499">
        <v>0.7468567382429192</v>
      </c>
      <c r="I139" s="1499">
        <v>3.0508616908807871</v>
      </c>
      <c r="J139" s="1499">
        <v>2.4994658916814529</v>
      </c>
      <c r="K139" s="113">
        <v>0.60795615112606349</v>
      </c>
    </row>
    <row r="140" spans="2:11" x14ac:dyDescent="0.3">
      <c r="B140" s="115"/>
      <c r="C140" s="112" t="s">
        <v>1517</v>
      </c>
      <c r="D140" s="1499">
        <v>2.0901258643728022</v>
      </c>
      <c r="E140" s="1499">
        <v>1.6879613335219537</v>
      </c>
      <c r="F140" s="1499">
        <v>0.87495363654102132</v>
      </c>
      <c r="G140" s="1499">
        <v>0.74312566344024777</v>
      </c>
      <c r="H140" s="1499">
        <v>0.70789907189846657</v>
      </c>
      <c r="I140" s="1499">
        <v>3.0119040245363338</v>
      </c>
      <c r="J140" s="1499">
        <v>2.4605082253369996</v>
      </c>
      <c r="K140" s="113">
        <v>0.56899848478161075</v>
      </c>
    </row>
    <row r="141" spans="2:11" ht="14.5" thickBot="1" x14ac:dyDescent="0.35">
      <c r="B141" s="1233"/>
      <c r="C141" s="116" t="s">
        <v>1519</v>
      </c>
      <c r="D141" s="117">
        <v>2.2494743096850303</v>
      </c>
      <c r="E141" s="117">
        <v>1.850284169737602</v>
      </c>
      <c r="F141" s="117">
        <v>1.0334919671200897</v>
      </c>
      <c r="G141" s="117">
        <v>0.90645881105909853</v>
      </c>
      <c r="H141" s="117">
        <v>0.86855200162173962</v>
      </c>
      <c r="I141" s="117">
        <v>3.1721257164070709</v>
      </c>
      <c r="J141" s="117">
        <v>2.6215902886045748</v>
      </c>
      <c r="K141" s="118">
        <v>0.72610601828679311</v>
      </c>
    </row>
    <row r="142" spans="2:11" x14ac:dyDescent="0.3">
      <c r="B142" s="120" t="s">
        <v>1990</v>
      </c>
      <c r="C142" s="108" t="s">
        <v>1416</v>
      </c>
      <c r="D142" s="109">
        <v>1.977700838084818</v>
      </c>
      <c r="E142" s="109">
        <v>1.5569124328128923</v>
      </c>
      <c r="F142" s="109">
        <v>0.74843678246935263</v>
      </c>
      <c r="G142" s="109">
        <v>0.62626072834105917</v>
      </c>
      <c r="H142" s="109">
        <v>0.60910206555657342</v>
      </c>
      <c r="I142" s="109">
        <v>2.8909360156088435</v>
      </c>
      <c r="J142" s="109">
        <v>2.3354588813163804</v>
      </c>
      <c r="K142" s="110">
        <v>0.4934172501427731</v>
      </c>
    </row>
    <row r="143" spans="2:11" x14ac:dyDescent="0.3">
      <c r="B143" s="111"/>
      <c r="C143" s="112" t="s">
        <v>1483</v>
      </c>
      <c r="D143" s="1499">
        <v>2.2439685941324363</v>
      </c>
      <c r="E143" s="1499">
        <v>1.8447784541850081</v>
      </c>
      <c r="F143" s="1499">
        <v>1.0279862515674956</v>
      </c>
      <c r="G143" s="1499">
        <v>0.90095309550650426</v>
      </c>
      <c r="H143" s="1499">
        <v>0.86304628606914546</v>
      </c>
      <c r="I143" s="1499">
        <v>3.1666200008544765</v>
      </c>
      <c r="J143" s="1499">
        <v>2.6160845730519804</v>
      </c>
      <c r="K143" s="113">
        <v>0.72060030273419906</v>
      </c>
    </row>
    <row r="144" spans="2:11" x14ac:dyDescent="0.3">
      <c r="B144" s="111" t="s">
        <v>1987</v>
      </c>
      <c r="C144" s="112" t="s">
        <v>1489</v>
      </c>
      <c r="D144" s="1499">
        <v>2.2126531114562105</v>
      </c>
      <c r="E144" s="1499">
        <v>1.8134629715087822</v>
      </c>
      <c r="F144" s="1499">
        <v>0.99667076889126982</v>
      </c>
      <c r="G144" s="1499">
        <v>0.86963761283027852</v>
      </c>
      <c r="H144" s="1499">
        <v>0.83173080339291972</v>
      </c>
      <c r="I144" s="1499">
        <v>3.1353045181782506</v>
      </c>
      <c r="J144" s="1499">
        <v>2.5847690903757545</v>
      </c>
      <c r="K144" s="113">
        <v>0.68928482005797331</v>
      </c>
    </row>
    <row r="145" spans="2:11" x14ac:dyDescent="0.3">
      <c r="B145" s="114">
        <v>0</v>
      </c>
      <c r="C145" s="112" t="s">
        <v>1496</v>
      </c>
      <c r="D145" s="1499">
        <v>2.1656798874418719</v>
      </c>
      <c r="E145" s="1499">
        <v>1.7664897474944437</v>
      </c>
      <c r="F145" s="1499">
        <v>0.94969754487693114</v>
      </c>
      <c r="G145" s="1499">
        <v>0.82266438881593984</v>
      </c>
      <c r="H145" s="1499">
        <v>0.78475757937858104</v>
      </c>
      <c r="I145" s="1499">
        <v>3.0883312941639121</v>
      </c>
      <c r="J145" s="1499">
        <v>2.537795866361416</v>
      </c>
      <c r="K145" s="113">
        <v>0.64231159604363464</v>
      </c>
    </row>
    <row r="146" spans="2:11" x14ac:dyDescent="0.3">
      <c r="B146" s="115"/>
      <c r="C146" s="112" t="s">
        <v>1500</v>
      </c>
      <c r="D146" s="1499">
        <v>2.1187066634275333</v>
      </c>
      <c r="E146" s="1499">
        <v>1.7195165234801049</v>
      </c>
      <c r="F146" s="1499">
        <v>0.90272432086259247</v>
      </c>
      <c r="G146" s="1499">
        <v>0.77569116480160116</v>
      </c>
      <c r="H146" s="1499">
        <v>0.73778435536424236</v>
      </c>
      <c r="I146" s="1499">
        <v>3.0413580701495735</v>
      </c>
      <c r="J146" s="1499">
        <v>2.4908226423470774</v>
      </c>
      <c r="K146" s="113">
        <v>0.59533837202929596</v>
      </c>
    </row>
    <row r="147" spans="2:11" x14ac:dyDescent="0.3">
      <c r="B147" s="115"/>
      <c r="C147" s="112" t="s">
        <v>1504</v>
      </c>
      <c r="D147" s="1499">
        <v>2.1885072590720824</v>
      </c>
      <c r="E147" s="1499">
        <v>1.7863427282212336</v>
      </c>
      <c r="F147" s="1499">
        <v>0.9733350312403013</v>
      </c>
      <c r="G147" s="1499">
        <v>0.84150705813952775</v>
      </c>
      <c r="H147" s="1499">
        <v>0.80628046659774633</v>
      </c>
      <c r="I147" s="1499">
        <v>3.110285419235614</v>
      </c>
      <c r="J147" s="1499">
        <v>2.5588896200362798</v>
      </c>
      <c r="K147" s="113">
        <v>0.66737987948089073</v>
      </c>
    </row>
    <row r="148" spans="2:11" x14ac:dyDescent="0.3">
      <c r="B148" s="115"/>
      <c r="C148" s="112" t="s">
        <v>1508</v>
      </c>
      <c r="D148" s="1499">
        <v>2.1625354815091136</v>
      </c>
      <c r="E148" s="1499">
        <v>1.760370950658265</v>
      </c>
      <c r="F148" s="1499">
        <v>0.94736325367733276</v>
      </c>
      <c r="G148" s="1499">
        <v>0.81553528057655933</v>
      </c>
      <c r="H148" s="1499">
        <v>0.7803086890347779</v>
      </c>
      <c r="I148" s="1499">
        <v>3.0843136416726455</v>
      </c>
      <c r="J148" s="1499">
        <v>2.5329178424733114</v>
      </c>
      <c r="K148" s="113">
        <v>0.64140810191792219</v>
      </c>
    </row>
    <row r="149" spans="2:11" x14ac:dyDescent="0.3">
      <c r="B149" s="115"/>
      <c r="C149" s="112" t="s">
        <v>1513</v>
      </c>
      <c r="D149" s="1499">
        <v>2.1235778151646612</v>
      </c>
      <c r="E149" s="1499">
        <v>1.7214132843138124</v>
      </c>
      <c r="F149" s="1499">
        <v>0.90840558733288002</v>
      </c>
      <c r="G149" s="1499">
        <v>0.77657761423210647</v>
      </c>
      <c r="H149" s="1499">
        <v>0.74135102269032505</v>
      </c>
      <c r="I149" s="1499">
        <v>3.0453559753281927</v>
      </c>
      <c r="J149" s="1499">
        <v>2.4939601761288586</v>
      </c>
      <c r="K149" s="113">
        <v>0.60245043557346933</v>
      </c>
    </row>
    <row r="150" spans="2:11" x14ac:dyDescent="0.3">
      <c r="B150" s="115"/>
      <c r="C150" s="112" t="s">
        <v>1517</v>
      </c>
      <c r="D150" s="1499">
        <v>2.0846201488202079</v>
      </c>
      <c r="E150" s="1499">
        <v>1.6824556179693595</v>
      </c>
      <c r="F150" s="1499">
        <v>0.86944792098842716</v>
      </c>
      <c r="G150" s="1499">
        <v>0.73761994788765373</v>
      </c>
      <c r="H150" s="1499">
        <v>0.70239335634587219</v>
      </c>
      <c r="I150" s="1499">
        <v>3.0063983089837403</v>
      </c>
      <c r="J150" s="1499">
        <v>2.4550025097844062</v>
      </c>
      <c r="K150" s="113">
        <v>0.56349276922901659</v>
      </c>
    </row>
    <row r="151" spans="2:11" ht="14.5" thickBot="1" x14ac:dyDescent="0.35">
      <c r="B151" s="1233"/>
      <c r="C151" s="116" t="s">
        <v>1519</v>
      </c>
      <c r="D151" s="117">
        <v>2.2439685941324363</v>
      </c>
      <c r="E151" s="117">
        <v>1.8447784541850081</v>
      </c>
      <c r="F151" s="117">
        <v>1.0279862515674956</v>
      </c>
      <c r="G151" s="117">
        <v>0.90095309550650426</v>
      </c>
      <c r="H151" s="117">
        <v>0.86304628606914546</v>
      </c>
      <c r="I151" s="117">
        <v>3.1666200008544765</v>
      </c>
      <c r="J151" s="117">
        <v>2.6160845730519804</v>
      </c>
      <c r="K151" s="118">
        <v>0.72060030273419906</v>
      </c>
    </row>
    <row r="152" spans="2:11" x14ac:dyDescent="0.3">
      <c r="B152" s="120" t="s">
        <v>1990</v>
      </c>
      <c r="C152" s="108" t="s">
        <v>1416</v>
      </c>
      <c r="D152" s="109">
        <v>1.9694422647559267</v>
      </c>
      <c r="E152" s="109">
        <v>1.5486538594840011</v>
      </c>
      <c r="F152" s="109">
        <v>0.7401782091404614</v>
      </c>
      <c r="G152" s="109">
        <v>0.61800215501216793</v>
      </c>
      <c r="H152" s="109">
        <v>0.60084349222768219</v>
      </c>
      <c r="I152" s="109">
        <v>2.8826774422799524</v>
      </c>
      <c r="J152" s="109">
        <v>2.3272003079874892</v>
      </c>
      <c r="K152" s="110">
        <v>0.48515867681388181</v>
      </c>
    </row>
    <row r="153" spans="2:11" x14ac:dyDescent="0.3">
      <c r="B153" s="111"/>
      <c r="C153" s="112" t="s">
        <v>1483</v>
      </c>
      <c r="D153" s="1499">
        <v>2.2357100208035448</v>
      </c>
      <c r="E153" s="1499">
        <v>1.8365198808561167</v>
      </c>
      <c r="F153" s="1499">
        <v>1.0197276782386044</v>
      </c>
      <c r="G153" s="1499">
        <v>0.89269452217761314</v>
      </c>
      <c r="H153" s="1499">
        <v>0.85478771274025411</v>
      </c>
      <c r="I153" s="1499">
        <v>3.1583614275255854</v>
      </c>
      <c r="J153" s="1499">
        <v>2.6078259997230893</v>
      </c>
      <c r="K153" s="113">
        <v>0.71234172940530771</v>
      </c>
    </row>
    <row r="154" spans="2:11" x14ac:dyDescent="0.3">
      <c r="B154" s="111" t="s">
        <v>1988</v>
      </c>
      <c r="C154" s="112" t="s">
        <v>1489</v>
      </c>
      <c r="D154" s="1499">
        <v>2.2043945381273193</v>
      </c>
      <c r="E154" s="1499">
        <v>1.8052043981798911</v>
      </c>
      <c r="F154" s="1499">
        <v>0.98841219556237847</v>
      </c>
      <c r="G154" s="1499">
        <v>0.86137903950138728</v>
      </c>
      <c r="H154" s="1499">
        <v>0.82347223006402837</v>
      </c>
      <c r="I154" s="1499">
        <v>3.1270459448493595</v>
      </c>
      <c r="J154" s="1499">
        <v>2.5765105170468634</v>
      </c>
      <c r="K154" s="113">
        <v>0.68102624672908196</v>
      </c>
    </row>
    <row r="155" spans="2:11" x14ac:dyDescent="0.3">
      <c r="B155" s="114">
        <v>0</v>
      </c>
      <c r="C155" s="112" t="s">
        <v>1496</v>
      </c>
      <c r="D155" s="1499">
        <v>2.1574213141129808</v>
      </c>
      <c r="E155" s="1499">
        <v>1.7582311741655523</v>
      </c>
      <c r="F155" s="1499">
        <v>0.9414389715480399</v>
      </c>
      <c r="G155" s="1499">
        <v>0.8144058154870486</v>
      </c>
      <c r="H155" s="1499">
        <v>0.77649900604968969</v>
      </c>
      <c r="I155" s="1499">
        <v>3.0800727208350209</v>
      </c>
      <c r="J155" s="1499">
        <v>2.5295372930325248</v>
      </c>
      <c r="K155" s="113">
        <v>0.63405302271474329</v>
      </c>
    </row>
    <row r="156" spans="2:11" x14ac:dyDescent="0.3">
      <c r="B156" s="115"/>
      <c r="C156" s="112" t="s">
        <v>1500</v>
      </c>
      <c r="D156" s="1499">
        <v>2.1104480900986422</v>
      </c>
      <c r="E156" s="1499">
        <v>1.7112579501512137</v>
      </c>
      <c r="F156" s="1499">
        <v>0.89446574753370123</v>
      </c>
      <c r="G156" s="1499">
        <v>0.76743259147270992</v>
      </c>
      <c r="H156" s="1499">
        <v>0.72952578203535101</v>
      </c>
      <c r="I156" s="1499">
        <v>3.0330994968206819</v>
      </c>
      <c r="J156" s="1499">
        <v>2.4825640690181858</v>
      </c>
      <c r="K156" s="113">
        <v>0.58707979870040461</v>
      </c>
    </row>
    <row r="157" spans="2:11" x14ac:dyDescent="0.3">
      <c r="B157" s="115"/>
      <c r="C157" s="112" t="s">
        <v>1504</v>
      </c>
      <c r="D157" s="1499">
        <v>2.1802486857431909</v>
      </c>
      <c r="E157" s="1499">
        <v>1.7780841548923423</v>
      </c>
      <c r="F157" s="1499">
        <v>0.96507645791141006</v>
      </c>
      <c r="G157" s="1499">
        <v>0.83324848481063651</v>
      </c>
      <c r="H157" s="1499">
        <v>0.79802189326885509</v>
      </c>
      <c r="I157" s="1499">
        <v>3.1020268459067228</v>
      </c>
      <c r="J157" s="1499">
        <v>2.5506310467073887</v>
      </c>
      <c r="K157" s="113">
        <v>0.65912130615199938</v>
      </c>
    </row>
    <row r="158" spans="2:11" x14ac:dyDescent="0.3">
      <c r="B158" s="115"/>
      <c r="C158" s="112" t="s">
        <v>1508</v>
      </c>
      <c r="D158" s="1499">
        <v>2.1542769081802224</v>
      </c>
      <c r="E158" s="1499">
        <v>1.7521123773293739</v>
      </c>
      <c r="F158" s="1499">
        <v>0.93910468034844152</v>
      </c>
      <c r="G158" s="1499">
        <v>0.80727670724766798</v>
      </c>
      <c r="H158" s="1499">
        <v>0.77205011570588655</v>
      </c>
      <c r="I158" s="1499">
        <v>3.0760550683437544</v>
      </c>
      <c r="J158" s="1499">
        <v>2.5246592691444203</v>
      </c>
      <c r="K158" s="113">
        <v>0.63314952858903095</v>
      </c>
    </row>
    <row r="159" spans="2:11" x14ac:dyDescent="0.3">
      <c r="B159" s="115"/>
      <c r="C159" s="112" t="s">
        <v>1513</v>
      </c>
      <c r="D159" s="1499">
        <v>2.1153192418357696</v>
      </c>
      <c r="E159" s="1499">
        <v>1.713154710984921</v>
      </c>
      <c r="F159" s="1499">
        <v>0.90014701400398867</v>
      </c>
      <c r="G159" s="1499">
        <v>0.76831904090321523</v>
      </c>
      <c r="H159" s="1499">
        <v>0.73309244936143381</v>
      </c>
      <c r="I159" s="1499">
        <v>3.0370974019993016</v>
      </c>
      <c r="J159" s="1499">
        <v>2.4857016027999674</v>
      </c>
      <c r="K159" s="113">
        <v>0.5941918622445781</v>
      </c>
    </row>
    <row r="160" spans="2:11" x14ac:dyDescent="0.3">
      <c r="B160" s="115"/>
      <c r="C160" s="112" t="s">
        <v>1517</v>
      </c>
      <c r="D160" s="1499">
        <v>2.0763615754913167</v>
      </c>
      <c r="E160" s="1499">
        <v>1.6741970446404684</v>
      </c>
      <c r="F160" s="1499">
        <v>0.86118934765953592</v>
      </c>
      <c r="G160" s="1499">
        <v>0.72936137455876238</v>
      </c>
      <c r="H160" s="1499">
        <v>0.69413478301698106</v>
      </c>
      <c r="I160" s="1499">
        <v>2.9981397356548487</v>
      </c>
      <c r="J160" s="1499">
        <v>2.4467439364555146</v>
      </c>
      <c r="K160" s="113">
        <v>0.55523419590012535</v>
      </c>
    </row>
    <row r="161" spans="2:11" ht="14.5" thickBot="1" x14ac:dyDescent="0.35">
      <c r="B161" s="1233"/>
      <c r="C161" s="116" t="s">
        <v>1519</v>
      </c>
      <c r="D161" s="117">
        <v>2.2357100208035448</v>
      </c>
      <c r="E161" s="117">
        <v>1.8365198808561167</v>
      </c>
      <c r="F161" s="117">
        <v>1.0197276782386044</v>
      </c>
      <c r="G161" s="117">
        <v>0.89269452217761314</v>
      </c>
      <c r="H161" s="117">
        <v>0.85478771274025411</v>
      </c>
      <c r="I161" s="117">
        <v>3.1583614275255854</v>
      </c>
      <c r="J161" s="117">
        <v>2.6078259997230893</v>
      </c>
      <c r="K161" s="118">
        <v>0.71234172940530771</v>
      </c>
    </row>
    <row r="162" spans="2:11" x14ac:dyDescent="0.3">
      <c r="B162" s="120" t="s">
        <v>1990</v>
      </c>
      <c r="C162" s="108" t="s">
        <v>1416</v>
      </c>
      <c r="D162" s="109">
        <v>1.9611836914270353</v>
      </c>
      <c r="E162" s="109">
        <v>1.5403952861551098</v>
      </c>
      <c r="F162" s="109">
        <v>0.73191963581157005</v>
      </c>
      <c r="G162" s="109">
        <v>0.60974358168327658</v>
      </c>
      <c r="H162" s="109">
        <v>0.59258491889879084</v>
      </c>
      <c r="I162" s="109">
        <v>2.8744188689510612</v>
      </c>
      <c r="J162" s="109">
        <v>2.3189417346585981</v>
      </c>
      <c r="K162" s="110">
        <v>0.47690010348499057</v>
      </c>
    </row>
    <row r="163" spans="2:11" x14ac:dyDescent="0.3">
      <c r="B163" s="111"/>
      <c r="C163" s="112" t="s">
        <v>1483</v>
      </c>
      <c r="D163" s="1499">
        <v>2.2274514474746536</v>
      </c>
      <c r="E163" s="1499">
        <v>1.8282613075272254</v>
      </c>
      <c r="F163" s="1499">
        <v>1.0114691049097131</v>
      </c>
      <c r="G163" s="1499">
        <v>0.88443594884872179</v>
      </c>
      <c r="H163" s="1499">
        <v>0.84652913941136299</v>
      </c>
      <c r="I163" s="1499">
        <v>3.1501028541966938</v>
      </c>
      <c r="J163" s="1499">
        <v>2.5995674263941972</v>
      </c>
      <c r="K163" s="113">
        <v>0.70408315607641658</v>
      </c>
    </row>
    <row r="164" spans="2:11" x14ac:dyDescent="0.3">
      <c r="B164" s="111" t="s">
        <v>1989</v>
      </c>
      <c r="C164" s="112" t="s">
        <v>1489</v>
      </c>
      <c r="D164" s="1499">
        <v>2.1961359647984278</v>
      </c>
      <c r="E164" s="1499">
        <v>1.7969458248509995</v>
      </c>
      <c r="F164" s="1499">
        <v>0.98015362223348723</v>
      </c>
      <c r="G164" s="1499">
        <v>0.85312046617249593</v>
      </c>
      <c r="H164" s="1499">
        <v>0.81521365673513713</v>
      </c>
      <c r="I164" s="1499">
        <v>3.1187873715204684</v>
      </c>
      <c r="J164" s="1499">
        <v>2.5682519437179723</v>
      </c>
      <c r="K164" s="113">
        <v>0.67276767340019072</v>
      </c>
    </row>
    <row r="165" spans="2:11" x14ac:dyDescent="0.3">
      <c r="B165" s="114">
        <v>0</v>
      </c>
      <c r="C165" s="112" t="s">
        <v>1496</v>
      </c>
      <c r="D165" s="1499">
        <v>2.1491627407840892</v>
      </c>
      <c r="E165" s="1499">
        <v>1.7499726008366612</v>
      </c>
      <c r="F165" s="1499">
        <v>0.93318039821914855</v>
      </c>
      <c r="G165" s="1499">
        <v>0.80614724215815725</v>
      </c>
      <c r="H165" s="1499">
        <v>0.76824043272079856</v>
      </c>
      <c r="I165" s="1499">
        <v>3.0718141475061294</v>
      </c>
      <c r="J165" s="1499">
        <v>2.5212787197036328</v>
      </c>
      <c r="K165" s="113">
        <v>0.62579444938585216</v>
      </c>
    </row>
    <row r="166" spans="2:11" x14ac:dyDescent="0.3">
      <c r="B166" s="115"/>
      <c r="C166" s="112" t="s">
        <v>1500</v>
      </c>
      <c r="D166" s="1499">
        <v>2.1021895167697506</v>
      </c>
      <c r="E166" s="1499">
        <v>1.7029993768223222</v>
      </c>
      <c r="F166" s="1499">
        <v>0.88620717420480999</v>
      </c>
      <c r="G166" s="1499">
        <v>0.7591740181438188</v>
      </c>
      <c r="H166" s="1499">
        <v>0.72126720870645977</v>
      </c>
      <c r="I166" s="1499">
        <v>3.0248409234917908</v>
      </c>
      <c r="J166" s="1499">
        <v>2.4743054956892947</v>
      </c>
      <c r="K166" s="113">
        <v>0.57882122537151337</v>
      </c>
    </row>
    <row r="167" spans="2:11" x14ac:dyDescent="0.3">
      <c r="B167" s="115"/>
      <c r="C167" s="112" t="s">
        <v>1504</v>
      </c>
      <c r="D167" s="1499">
        <v>2.1719901124142997</v>
      </c>
      <c r="E167" s="1499">
        <v>1.7698255815634512</v>
      </c>
      <c r="F167" s="1499">
        <v>0.95681788458251882</v>
      </c>
      <c r="G167" s="1499">
        <v>0.82498991148174539</v>
      </c>
      <c r="H167" s="1499">
        <v>0.78976331993996396</v>
      </c>
      <c r="I167" s="1499">
        <v>3.0937682725778313</v>
      </c>
      <c r="J167" s="1499">
        <v>2.5423724733784971</v>
      </c>
      <c r="K167" s="113">
        <v>0.65086273282310825</v>
      </c>
    </row>
    <row r="168" spans="2:11" x14ac:dyDescent="0.3">
      <c r="B168" s="115"/>
      <c r="C168" s="112" t="s">
        <v>1508</v>
      </c>
      <c r="D168" s="1499">
        <v>2.1460183348513313</v>
      </c>
      <c r="E168" s="1499">
        <v>1.7438538040004825</v>
      </c>
      <c r="F168" s="1499">
        <v>0.93084610701955017</v>
      </c>
      <c r="G168" s="1499">
        <v>0.79901813391877674</v>
      </c>
      <c r="H168" s="1499">
        <v>0.76379154237699531</v>
      </c>
      <c r="I168" s="1499">
        <v>3.0677964950148633</v>
      </c>
      <c r="J168" s="1499">
        <v>2.5164006958155292</v>
      </c>
      <c r="K168" s="113">
        <v>0.6248909552601396</v>
      </c>
    </row>
    <row r="169" spans="2:11" x14ac:dyDescent="0.3">
      <c r="B169" s="115"/>
      <c r="C169" s="112" t="s">
        <v>1513</v>
      </c>
      <c r="D169" s="1499">
        <v>2.1070606685068785</v>
      </c>
      <c r="E169" s="1499">
        <v>1.7048961376560299</v>
      </c>
      <c r="F169" s="1499">
        <v>0.89188844067509754</v>
      </c>
      <c r="G169" s="1499">
        <v>0.76006046757432399</v>
      </c>
      <c r="H169" s="1499">
        <v>0.72483387603254257</v>
      </c>
      <c r="I169" s="1499">
        <v>3.0288388286704104</v>
      </c>
      <c r="J169" s="1499">
        <v>2.4774430294710763</v>
      </c>
      <c r="K169" s="113">
        <v>0.58593328891568697</v>
      </c>
    </row>
    <row r="170" spans="2:11" x14ac:dyDescent="0.3">
      <c r="B170" s="115"/>
      <c r="C170" s="112" t="s">
        <v>1517</v>
      </c>
      <c r="D170" s="1499">
        <v>2.0681030021624256</v>
      </c>
      <c r="E170" s="1499">
        <v>1.6659384713115768</v>
      </c>
      <c r="F170" s="1499">
        <v>0.85293077433064468</v>
      </c>
      <c r="G170" s="1499">
        <v>0.72110280122987125</v>
      </c>
      <c r="H170" s="1499">
        <v>0.68587620968808982</v>
      </c>
      <c r="I170" s="1499">
        <v>2.9898811623259571</v>
      </c>
      <c r="J170" s="1499">
        <v>2.438485363126623</v>
      </c>
      <c r="K170" s="113">
        <v>0.54697562257123411</v>
      </c>
    </row>
    <row r="171" spans="2:11" ht="14.5" thickBot="1" x14ac:dyDescent="0.35">
      <c r="B171" s="1233"/>
      <c r="C171" s="116" t="s">
        <v>1519</v>
      </c>
      <c r="D171" s="117">
        <v>2.2274514474746536</v>
      </c>
      <c r="E171" s="117">
        <v>1.8282613075272254</v>
      </c>
      <c r="F171" s="117">
        <v>1.0114691049097131</v>
      </c>
      <c r="G171" s="117">
        <v>0.88443594884872179</v>
      </c>
      <c r="H171" s="117">
        <v>0.84652913941136299</v>
      </c>
      <c r="I171" s="117">
        <v>3.1501028541966938</v>
      </c>
      <c r="J171" s="117">
        <v>2.5995674263941972</v>
      </c>
      <c r="K171" s="118">
        <v>0.70408315607641658</v>
      </c>
    </row>
    <row r="173" spans="2:11" ht="14.5" thickBot="1" x14ac:dyDescent="0.35"/>
    <row r="174" spans="2:11" ht="25.5" thickBot="1" x14ac:dyDescent="0.55000000000000004">
      <c r="B174" s="88" t="s">
        <v>1960</v>
      </c>
      <c r="C174" s="89"/>
      <c r="D174" s="90">
        <v>2</v>
      </c>
      <c r="E174" s="91" t="s">
        <v>1991</v>
      </c>
      <c r="F174" s="92"/>
      <c r="G174" s="92"/>
      <c r="H174" s="92"/>
      <c r="I174" s="93"/>
      <c r="J174" s="89" t="s">
        <v>176</v>
      </c>
      <c r="K174" s="94" t="s">
        <v>230</v>
      </c>
    </row>
    <row r="175" spans="2:11" ht="14.5" thickBot="1" x14ac:dyDescent="0.35">
      <c r="B175" s="95" t="s">
        <v>1962</v>
      </c>
      <c r="C175" s="96" t="s">
        <v>1963</v>
      </c>
      <c r="D175" s="95" t="s">
        <v>1964</v>
      </c>
      <c r="E175" s="97" t="s">
        <v>1965</v>
      </c>
      <c r="F175" s="97" t="s">
        <v>1966</v>
      </c>
      <c r="G175" s="97" t="s">
        <v>1967</v>
      </c>
      <c r="H175" s="97" t="s">
        <v>1968</v>
      </c>
      <c r="I175" s="97" t="s">
        <v>1969</v>
      </c>
      <c r="J175" s="97" t="s">
        <v>1970</v>
      </c>
      <c r="K175" s="98" t="s">
        <v>1971</v>
      </c>
    </row>
    <row r="176" spans="2:11" ht="14.5" thickBot="1" x14ac:dyDescent="0.35">
      <c r="B176" s="99"/>
      <c r="C176" s="99"/>
      <c r="D176" s="100"/>
      <c r="E176" s="944"/>
      <c r="F176" s="944"/>
      <c r="G176" s="944"/>
      <c r="H176" s="944"/>
      <c r="I176" s="944"/>
      <c r="J176" s="944"/>
      <c r="K176" s="102"/>
    </row>
    <row r="177" spans="2:11" ht="90.5" thickBot="1" x14ac:dyDescent="0.45">
      <c r="B177" s="103" t="s">
        <v>1972</v>
      </c>
      <c r="C177" s="103" t="s">
        <v>1973</v>
      </c>
      <c r="D177" s="105" t="s">
        <v>1974</v>
      </c>
      <c r="E177" s="105" t="s">
        <v>1525</v>
      </c>
      <c r="F177" s="105" t="s">
        <v>1527</v>
      </c>
      <c r="G177" s="105" t="s">
        <v>1975</v>
      </c>
      <c r="H177" s="105" t="s">
        <v>1976</v>
      </c>
      <c r="I177" s="105" t="s">
        <v>1445</v>
      </c>
      <c r="J177" s="105" t="s">
        <v>1538</v>
      </c>
      <c r="K177" s="106" t="s">
        <v>1541</v>
      </c>
    </row>
    <row r="178" spans="2:11" x14ac:dyDescent="0.3">
      <c r="B178" s="120" t="s">
        <v>1992</v>
      </c>
      <c r="C178" s="108" t="s">
        <v>1416</v>
      </c>
      <c r="D178" s="109">
        <v>2.1568402114122871</v>
      </c>
      <c r="E178" s="109">
        <v>1.7544013728466572</v>
      </c>
      <c r="F178" s="109">
        <v>0.91864529663070749</v>
      </c>
      <c r="G178" s="109">
        <v>0.7811968909493</v>
      </c>
      <c r="H178" s="109">
        <v>0.74703827725058336</v>
      </c>
      <c r="I178" s="109">
        <v>3.0919359456162279</v>
      </c>
      <c r="J178" s="109">
        <v>2.5369622916022041</v>
      </c>
      <c r="K178" s="110">
        <v>0.6156295334968559</v>
      </c>
    </row>
    <row r="179" spans="2:11" x14ac:dyDescent="0.3">
      <c r="B179" s="128"/>
      <c r="C179" s="112" t="s">
        <v>1483</v>
      </c>
      <c r="D179" s="1499">
        <v>2.5090621430761963</v>
      </c>
      <c r="E179" s="1499">
        <v>2.1238775715591722</v>
      </c>
      <c r="F179" s="1499">
        <v>1.2715771455960305</v>
      </c>
      <c r="G179" s="1499">
        <v>1.1648788144912787</v>
      </c>
      <c r="H179" s="1499">
        <v>1.1148261259793975</v>
      </c>
      <c r="I179" s="1499">
        <v>3.4492449797593139</v>
      </c>
      <c r="J179" s="1499">
        <v>2.9010962609805921</v>
      </c>
      <c r="K179" s="113">
        <v>0.97363813873373661</v>
      </c>
    </row>
    <row r="180" spans="2:11" x14ac:dyDescent="0.3">
      <c r="B180" s="128"/>
      <c r="C180" s="112" t="s">
        <v>1489</v>
      </c>
      <c r="D180" s="1499">
        <v>2.4777466603999705</v>
      </c>
      <c r="E180" s="1499">
        <v>2.0925620888829464</v>
      </c>
      <c r="F180" s="1499">
        <v>1.2402616629198047</v>
      </c>
      <c r="G180" s="1499">
        <v>1.1335633318150529</v>
      </c>
      <c r="H180" s="1499">
        <v>1.0835106433031718</v>
      </c>
      <c r="I180" s="1499">
        <v>3.417929497083088</v>
      </c>
      <c r="J180" s="1499">
        <v>2.8697807783043663</v>
      </c>
      <c r="K180" s="113">
        <v>0.94232265605751087</v>
      </c>
    </row>
    <row r="181" spans="2:11" x14ac:dyDescent="0.3">
      <c r="B181" s="122">
        <v>0</v>
      </c>
      <c r="C181" s="112" t="s">
        <v>1496</v>
      </c>
      <c r="D181" s="1499">
        <v>2.4307734363856319</v>
      </c>
      <c r="E181" s="1499">
        <v>2.0455888648686078</v>
      </c>
      <c r="F181" s="1499">
        <v>1.1932884389054663</v>
      </c>
      <c r="G181" s="1499">
        <v>1.0865901078007141</v>
      </c>
      <c r="H181" s="1499">
        <v>1.036537419288833</v>
      </c>
      <c r="I181" s="1499">
        <v>3.3709562730687495</v>
      </c>
      <c r="J181" s="1499">
        <v>2.8228075542900277</v>
      </c>
      <c r="K181" s="113">
        <v>0.89534943204317219</v>
      </c>
    </row>
    <row r="182" spans="2:11" x14ac:dyDescent="0.3">
      <c r="B182" s="123"/>
      <c r="C182" s="112" t="s">
        <v>1500</v>
      </c>
      <c r="D182" s="1499">
        <v>2.3838002123712934</v>
      </c>
      <c r="E182" s="1499">
        <v>1.998615640854269</v>
      </c>
      <c r="F182" s="1499">
        <v>1.1463152148911273</v>
      </c>
      <c r="G182" s="1499">
        <v>1.0396168837863755</v>
      </c>
      <c r="H182" s="1499">
        <v>0.98956419527449446</v>
      </c>
      <c r="I182" s="1499">
        <v>3.3239830490544109</v>
      </c>
      <c r="J182" s="1499">
        <v>2.7758343302756892</v>
      </c>
      <c r="K182" s="113">
        <v>0.84837620802883351</v>
      </c>
    </row>
    <row r="183" spans="2:11" x14ac:dyDescent="0.3">
      <c r="B183" s="123"/>
      <c r="C183" s="112" t="s">
        <v>1504</v>
      </c>
      <c r="D183" s="1499">
        <v>2.4416634761565268</v>
      </c>
      <c r="E183" s="1499">
        <v>2.0507609834909175</v>
      </c>
      <c r="F183" s="1499">
        <v>1.2053677265136791</v>
      </c>
      <c r="G183" s="1499">
        <v>1.0935669042990799</v>
      </c>
      <c r="H183" s="1499">
        <v>1.0466196312994753</v>
      </c>
      <c r="I183" s="1499">
        <v>3.3795263677116267</v>
      </c>
      <c r="J183" s="1499">
        <v>2.8297374409512193</v>
      </c>
      <c r="K183" s="113">
        <v>0.90131417410206371</v>
      </c>
    </row>
    <row r="184" spans="2:11" x14ac:dyDescent="0.3">
      <c r="B184" s="123"/>
      <c r="C184" s="112" t="s">
        <v>1508</v>
      </c>
      <c r="D184" s="1499">
        <v>2.4156916985935579</v>
      </c>
      <c r="E184" s="1499">
        <v>2.0247892059279491</v>
      </c>
      <c r="F184" s="1499">
        <v>1.1793959489507104</v>
      </c>
      <c r="G184" s="1499">
        <v>1.0675951267361115</v>
      </c>
      <c r="H184" s="1499">
        <v>1.0206478537365069</v>
      </c>
      <c r="I184" s="1499">
        <v>3.3535545901486583</v>
      </c>
      <c r="J184" s="1499">
        <v>2.8037656633882504</v>
      </c>
      <c r="K184" s="113">
        <v>0.87534239653909529</v>
      </c>
    </row>
    <row r="185" spans="2:11" x14ac:dyDescent="0.3">
      <c r="B185" s="123"/>
      <c r="C185" s="112" t="s">
        <v>1513</v>
      </c>
      <c r="D185" s="1499">
        <v>2.3767340322491051</v>
      </c>
      <c r="E185" s="1499">
        <v>1.9858315395834962</v>
      </c>
      <c r="F185" s="1499">
        <v>1.1404382826062578</v>
      </c>
      <c r="G185" s="1499">
        <v>1.0286374603916586</v>
      </c>
      <c r="H185" s="1499">
        <v>0.98169018739205405</v>
      </c>
      <c r="I185" s="1499">
        <v>3.3145969238042055</v>
      </c>
      <c r="J185" s="1499">
        <v>2.7648079970437975</v>
      </c>
      <c r="K185" s="113">
        <v>0.83638473019464243</v>
      </c>
    </row>
    <row r="186" spans="2:11" x14ac:dyDescent="0.3">
      <c r="B186" s="123"/>
      <c r="C186" s="112" t="s">
        <v>1517</v>
      </c>
      <c r="D186" s="1499">
        <v>2.3377763659046527</v>
      </c>
      <c r="E186" s="1499">
        <v>1.9468738732390434</v>
      </c>
      <c r="F186" s="1499">
        <v>1.1014806162618049</v>
      </c>
      <c r="G186" s="1499">
        <v>0.98967979404720574</v>
      </c>
      <c r="H186" s="1499">
        <v>0.9427325210476013</v>
      </c>
      <c r="I186" s="1499">
        <v>3.275639257459753</v>
      </c>
      <c r="J186" s="1499">
        <v>2.7258503306993451</v>
      </c>
      <c r="K186" s="113">
        <v>0.79742706385018969</v>
      </c>
    </row>
    <row r="187" spans="2:11" ht="14.5" thickBot="1" x14ac:dyDescent="0.35">
      <c r="B187" s="124"/>
      <c r="C187" s="116" t="s">
        <v>1519</v>
      </c>
      <c r="D187" s="117">
        <v>2.5090621430761963</v>
      </c>
      <c r="E187" s="117">
        <v>2.1238775715591722</v>
      </c>
      <c r="F187" s="117">
        <v>1.2715771455960305</v>
      </c>
      <c r="G187" s="117">
        <v>1.1648788144912787</v>
      </c>
      <c r="H187" s="117">
        <v>1.1148261259793975</v>
      </c>
      <c r="I187" s="117">
        <v>3.4492449797593139</v>
      </c>
      <c r="J187" s="117">
        <v>2.9010962609805921</v>
      </c>
      <c r="K187" s="118">
        <v>0.97363813873373661</v>
      </c>
    </row>
    <row r="188" spans="2:11" x14ac:dyDescent="0.3">
      <c r="B188" s="120" t="s">
        <v>1993</v>
      </c>
      <c r="C188" s="1234" t="s">
        <v>1416</v>
      </c>
      <c r="D188" s="109">
        <v>2.0528634826059933</v>
      </c>
      <c r="E188" s="109">
        <v>1.647218184781337</v>
      </c>
      <c r="F188" s="109">
        <v>0.8219647445828312</v>
      </c>
      <c r="G188" s="109">
        <v>0.68163193534896516</v>
      </c>
      <c r="H188" s="109">
        <v>0.65964808044970458</v>
      </c>
      <c r="I188" s="109">
        <v>2.9911935409989847</v>
      </c>
      <c r="J188" s="109">
        <v>2.4321245236374769</v>
      </c>
      <c r="K188" s="110">
        <v>0.54630397811576059</v>
      </c>
    </row>
    <row r="189" spans="2:11" x14ac:dyDescent="0.3">
      <c r="B189" s="121"/>
      <c r="C189" s="1500" t="s">
        <v>1483</v>
      </c>
      <c r="D189" s="1499">
        <v>2.4074605078248674</v>
      </c>
      <c r="E189" s="1499">
        <v>2.0214160398620837</v>
      </c>
      <c r="F189" s="1499">
        <v>1.1804538781615721</v>
      </c>
      <c r="G189" s="1499">
        <v>1.0678895106841748</v>
      </c>
      <c r="H189" s="1499">
        <v>1.0204638628625828</v>
      </c>
      <c r="I189" s="1499">
        <v>3.3525917057784924</v>
      </c>
      <c r="J189" s="1499">
        <v>2.7998971919781166</v>
      </c>
      <c r="K189" s="113">
        <v>0.87533807572277755</v>
      </c>
    </row>
    <row r="190" spans="2:11" x14ac:dyDescent="0.3">
      <c r="B190" s="128"/>
      <c r="C190" s="1500" t="s">
        <v>1489</v>
      </c>
      <c r="D190" s="1499">
        <v>2.3761450251486416</v>
      </c>
      <c r="E190" s="1499">
        <v>1.9901005571858579</v>
      </c>
      <c r="F190" s="1499">
        <v>1.1491383954853462</v>
      </c>
      <c r="G190" s="1499">
        <v>1.036574028007949</v>
      </c>
      <c r="H190" s="1499">
        <v>0.98914838018635698</v>
      </c>
      <c r="I190" s="1499">
        <v>3.3212762231022666</v>
      </c>
      <c r="J190" s="1499">
        <v>2.7685817093018907</v>
      </c>
      <c r="K190" s="113">
        <v>0.84402259304655181</v>
      </c>
    </row>
    <row r="191" spans="2:11" x14ac:dyDescent="0.3">
      <c r="B191" s="122">
        <v>0</v>
      </c>
      <c r="C191" s="1500" t="s">
        <v>1496</v>
      </c>
      <c r="D191" s="1499">
        <v>2.329171801134303</v>
      </c>
      <c r="E191" s="1499">
        <v>1.9431273331715193</v>
      </c>
      <c r="F191" s="1499">
        <v>1.1021651714710077</v>
      </c>
      <c r="G191" s="1499">
        <v>0.98960080399361028</v>
      </c>
      <c r="H191" s="1499">
        <v>0.94217515617201841</v>
      </c>
      <c r="I191" s="1499">
        <v>3.274302999087928</v>
      </c>
      <c r="J191" s="1499">
        <v>2.7216084852875522</v>
      </c>
      <c r="K191" s="113">
        <v>0.79704936903221313</v>
      </c>
    </row>
    <row r="192" spans="2:11" x14ac:dyDescent="0.3">
      <c r="B192" s="123"/>
      <c r="C192" s="1500" t="s">
        <v>1500</v>
      </c>
      <c r="D192" s="1499">
        <v>2.282198577119964</v>
      </c>
      <c r="E192" s="1499">
        <v>1.8961541091571805</v>
      </c>
      <c r="F192" s="1499">
        <v>1.0551919474566689</v>
      </c>
      <c r="G192" s="1499">
        <v>0.9426275799792716</v>
      </c>
      <c r="H192" s="1499">
        <v>0.89520193215767974</v>
      </c>
      <c r="I192" s="1499">
        <v>3.2273297750735894</v>
      </c>
      <c r="J192" s="1499">
        <v>2.6746352612732136</v>
      </c>
      <c r="K192" s="113">
        <v>0.75007614501787445</v>
      </c>
    </row>
    <row r="193" spans="2:11" x14ac:dyDescent="0.3">
      <c r="B193" s="123"/>
      <c r="C193" s="1500" t="s">
        <v>1504</v>
      </c>
      <c r="D193" s="1499">
        <v>2.3391398343254153</v>
      </c>
      <c r="E193" s="1499">
        <v>1.9496096853414182</v>
      </c>
      <c r="F193" s="1499">
        <v>1.113719095971496</v>
      </c>
      <c r="G193" s="1499">
        <v>0.99560232319047937</v>
      </c>
      <c r="H193" s="1499">
        <v>0.95162897295318272</v>
      </c>
      <c r="I193" s="1499">
        <v>3.282209240263128</v>
      </c>
      <c r="J193" s="1499">
        <v>2.7282107005525562</v>
      </c>
      <c r="K193" s="113">
        <v>0.80251780996387434</v>
      </c>
    </row>
    <row r="194" spans="2:11" x14ac:dyDescent="0.3">
      <c r="B194" s="123"/>
      <c r="C194" s="1500" t="s">
        <v>1508</v>
      </c>
      <c r="D194" s="1499">
        <v>2.3131680567624464</v>
      </c>
      <c r="E194" s="1499">
        <v>1.9236379077784496</v>
      </c>
      <c r="F194" s="1499">
        <v>1.0877473184085273</v>
      </c>
      <c r="G194" s="1499">
        <v>0.96963054562751094</v>
      </c>
      <c r="H194" s="1499">
        <v>0.92565719539021418</v>
      </c>
      <c r="I194" s="1499">
        <v>3.2562374627001596</v>
      </c>
      <c r="J194" s="1499">
        <v>2.7022389229895878</v>
      </c>
      <c r="K194" s="113">
        <v>0.77654603240090581</v>
      </c>
    </row>
    <row r="195" spans="2:11" x14ac:dyDescent="0.3">
      <c r="B195" s="123"/>
      <c r="C195" s="1500" t="s">
        <v>1513</v>
      </c>
      <c r="D195" s="1499">
        <v>2.274210390417994</v>
      </c>
      <c r="E195" s="1499">
        <v>1.8846802414339969</v>
      </c>
      <c r="F195" s="1499">
        <v>1.0487896520640745</v>
      </c>
      <c r="G195" s="1499">
        <v>0.93067287928305809</v>
      </c>
      <c r="H195" s="1499">
        <v>0.88669952904576144</v>
      </c>
      <c r="I195" s="1499">
        <v>3.2172797963557063</v>
      </c>
      <c r="J195" s="1499">
        <v>2.6632812566451349</v>
      </c>
      <c r="K195" s="113">
        <v>0.73758836605645306</v>
      </c>
    </row>
    <row r="196" spans="2:11" x14ac:dyDescent="0.3">
      <c r="B196" s="123"/>
      <c r="C196" s="1500" t="s">
        <v>1517</v>
      </c>
      <c r="D196" s="1499">
        <v>2.2352527240735411</v>
      </c>
      <c r="E196" s="1499">
        <v>1.8457225750895438</v>
      </c>
      <c r="F196" s="1499">
        <v>1.0098319857196218</v>
      </c>
      <c r="G196" s="1499">
        <v>0.89171521293860534</v>
      </c>
      <c r="H196" s="1499">
        <v>0.84774186270130858</v>
      </c>
      <c r="I196" s="1499">
        <v>3.1783221300112539</v>
      </c>
      <c r="J196" s="1499">
        <v>2.6243235903006825</v>
      </c>
      <c r="K196" s="113">
        <v>0.6986306997120002</v>
      </c>
    </row>
    <row r="197" spans="2:11" ht="14.5" thickBot="1" x14ac:dyDescent="0.35">
      <c r="B197" s="124"/>
      <c r="C197" s="125" t="s">
        <v>1519</v>
      </c>
      <c r="D197" s="117">
        <v>2.4074605078248674</v>
      </c>
      <c r="E197" s="117">
        <v>2.0214160398620837</v>
      </c>
      <c r="F197" s="117">
        <v>1.1804538781615721</v>
      </c>
      <c r="G197" s="117">
        <v>1.0678895106841748</v>
      </c>
      <c r="H197" s="117">
        <v>1.0204638628625828</v>
      </c>
      <c r="I197" s="117">
        <v>3.3525917057784924</v>
      </c>
      <c r="J197" s="117">
        <v>2.7998971919781166</v>
      </c>
      <c r="K197" s="118">
        <v>0.87533807572277755</v>
      </c>
    </row>
    <row r="198" spans="2:11" x14ac:dyDescent="0.3">
      <c r="B198" s="119" t="s">
        <v>1994</v>
      </c>
      <c r="C198" s="108" t="s">
        <v>1416</v>
      </c>
      <c r="D198" s="109">
        <v>2.2019289992884112</v>
      </c>
      <c r="E198" s="109">
        <v>1.8108985481743238</v>
      </c>
      <c r="F198" s="109">
        <v>0.95904162893363554</v>
      </c>
      <c r="G198" s="109">
        <v>0.82646484744019788</v>
      </c>
      <c r="H198" s="109">
        <v>0.788345569091076</v>
      </c>
      <c r="I198" s="109">
        <v>3.164347631625219</v>
      </c>
      <c r="J198" s="109">
        <v>2.6028720591965206</v>
      </c>
      <c r="K198" s="110">
        <v>0.64473843423911981</v>
      </c>
    </row>
    <row r="199" spans="2:11" x14ac:dyDescent="0.3">
      <c r="B199" s="111"/>
      <c r="C199" s="112" t="s">
        <v>1483</v>
      </c>
      <c r="D199" s="1499">
        <v>2.5539287667914481</v>
      </c>
      <c r="E199" s="1499">
        <v>2.1834454081199621</v>
      </c>
      <c r="F199" s="1499">
        <v>1.3110038463950007</v>
      </c>
      <c r="G199" s="1499">
        <v>1.2102253920579193</v>
      </c>
      <c r="H199" s="1499">
        <v>1.1549207428188182</v>
      </c>
      <c r="I199" s="1499">
        <v>3.5235109680084467</v>
      </c>
      <c r="J199" s="1499">
        <v>2.9696909890722902</v>
      </c>
      <c r="K199" s="113">
        <v>1.0175923178470758</v>
      </c>
    </row>
    <row r="200" spans="2:11" x14ac:dyDescent="0.3">
      <c r="B200" s="111"/>
      <c r="C200" s="112" t="s">
        <v>1489</v>
      </c>
      <c r="D200" s="1499">
        <v>2.5226132841152222</v>
      </c>
      <c r="E200" s="1499">
        <v>2.1521299254437363</v>
      </c>
      <c r="F200" s="1499">
        <v>1.2796883637187748</v>
      </c>
      <c r="G200" s="1499">
        <v>1.1789099093816933</v>
      </c>
      <c r="H200" s="1499">
        <v>1.1236052601425923</v>
      </c>
      <c r="I200" s="1499">
        <v>3.4921954853322208</v>
      </c>
      <c r="J200" s="1499">
        <v>2.9383755063960644</v>
      </c>
      <c r="K200" s="113">
        <v>0.98627683517085007</v>
      </c>
    </row>
    <row r="201" spans="2:11" x14ac:dyDescent="0.3">
      <c r="B201" s="114">
        <v>0</v>
      </c>
      <c r="C201" s="112" t="s">
        <v>1496</v>
      </c>
      <c r="D201" s="1499">
        <v>2.4756400601008837</v>
      </c>
      <c r="E201" s="1499">
        <v>2.1051567014293977</v>
      </c>
      <c r="F201" s="1499">
        <v>1.2327151397044362</v>
      </c>
      <c r="G201" s="1499">
        <v>1.1319366853673547</v>
      </c>
      <c r="H201" s="1499">
        <v>1.0766320361282538</v>
      </c>
      <c r="I201" s="1499">
        <v>3.4452222613178822</v>
      </c>
      <c r="J201" s="1499">
        <v>2.8914022823817258</v>
      </c>
      <c r="K201" s="113">
        <v>0.9393036111565114</v>
      </c>
    </row>
    <row r="202" spans="2:11" x14ac:dyDescent="0.3">
      <c r="B202" s="115"/>
      <c r="C202" s="112" t="s">
        <v>1500</v>
      </c>
      <c r="D202" s="1499">
        <v>2.4286668360865451</v>
      </c>
      <c r="E202" s="1499">
        <v>2.0581834774150587</v>
      </c>
      <c r="F202" s="1499">
        <v>1.1857419156900975</v>
      </c>
      <c r="G202" s="1499">
        <v>1.0849634613530161</v>
      </c>
      <c r="H202" s="1499">
        <v>1.029658812113915</v>
      </c>
      <c r="I202" s="1499">
        <v>3.3982490373035437</v>
      </c>
      <c r="J202" s="1499">
        <v>2.8444290583673872</v>
      </c>
      <c r="K202" s="113">
        <v>0.89233038714217272</v>
      </c>
    </row>
    <row r="203" spans="2:11" x14ac:dyDescent="0.3">
      <c r="B203" s="115"/>
      <c r="C203" s="112" t="s">
        <v>1504</v>
      </c>
      <c r="D203" s="1499">
        <v>2.4866502265842199</v>
      </c>
      <c r="E203" s="1499">
        <v>2.1093235816722453</v>
      </c>
      <c r="F203" s="1499">
        <v>1.2447884225129049</v>
      </c>
      <c r="G203" s="1499">
        <v>1.1386837398151162</v>
      </c>
      <c r="H203" s="1499">
        <v>1.0867500189562473</v>
      </c>
      <c r="I203" s="1499">
        <v>3.4530331735798141</v>
      </c>
      <c r="J203" s="1499">
        <v>2.8980365084479938</v>
      </c>
      <c r="K203" s="113">
        <v>0.94504548357414975</v>
      </c>
    </row>
    <row r="204" spans="2:11" x14ac:dyDescent="0.3">
      <c r="B204" s="115"/>
      <c r="C204" s="112" t="s">
        <v>1508</v>
      </c>
      <c r="D204" s="1499">
        <v>2.460678449021251</v>
      </c>
      <c r="E204" s="1499">
        <v>2.0833518041092769</v>
      </c>
      <c r="F204" s="1499">
        <v>1.2188166449499362</v>
      </c>
      <c r="G204" s="1499">
        <v>1.1127119622521477</v>
      </c>
      <c r="H204" s="1499">
        <v>1.0607782413932787</v>
      </c>
      <c r="I204" s="1499">
        <v>3.4270613960168452</v>
      </c>
      <c r="J204" s="1499">
        <v>2.8720647308850249</v>
      </c>
      <c r="K204" s="113">
        <v>0.91907370601118132</v>
      </c>
    </row>
    <row r="205" spans="2:11" x14ac:dyDescent="0.3">
      <c r="B205" s="115"/>
      <c r="C205" s="112" t="s">
        <v>1513</v>
      </c>
      <c r="D205" s="1499">
        <v>2.4217207826767981</v>
      </c>
      <c r="E205" s="1499">
        <v>2.044394137764824</v>
      </c>
      <c r="F205" s="1499">
        <v>1.1798589786054836</v>
      </c>
      <c r="G205" s="1499">
        <v>1.0737542959076949</v>
      </c>
      <c r="H205" s="1499">
        <v>1.0218205750488258</v>
      </c>
      <c r="I205" s="1499">
        <v>3.3881037296723924</v>
      </c>
      <c r="J205" s="1499">
        <v>2.833107064540572</v>
      </c>
      <c r="K205" s="113">
        <v>0.88011603966672847</v>
      </c>
    </row>
    <row r="206" spans="2:11" x14ac:dyDescent="0.3">
      <c r="B206" s="115"/>
      <c r="C206" s="112" t="s">
        <v>1517</v>
      </c>
      <c r="D206" s="1499">
        <v>2.3827631163323457</v>
      </c>
      <c r="E206" s="1499">
        <v>2.0054364714203712</v>
      </c>
      <c r="F206" s="1499">
        <v>1.1409013122610308</v>
      </c>
      <c r="G206" s="1499">
        <v>1.034796629563242</v>
      </c>
      <c r="H206" s="1499">
        <v>0.98286290870437309</v>
      </c>
      <c r="I206" s="1499">
        <v>3.34914606332794</v>
      </c>
      <c r="J206" s="1499">
        <v>2.7941493981961196</v>
      </c>
      <c r="K206" s="113">
        <v>0.84115837332227561</v>
      </c>
    </row>
    <row r="207" spans="2:11" ht="14.5" thickBot="1" x14ac:dyDescent="0.35">
      <c r="B207" s="1233"/>
      <c r="C207" s="116" t="s">
        <v>1519</v>
      </c>
      <c r="D207" s="117">
        <v>2.5539287667914481</v>
      </c>
      <c r="E207" s="117">
        <v>2.1834454081199621</v>
      </c>
      <c r="F207" s="117">
        <v>1.3110038463950007</v>
      </c>
      <c r="G207" s="117">
        <v>1.2102253920579193</v>
      </c>
      <c r="H207" s="117">
        <v>1.1549207428188182</v>
      </c>
      <c r="I207" s="117">
        <v>3.5235109680084467</v>
      </c>
      <c r="J207" s="117">
        <v>2.9696909890722902</v>
      </c>
      <c r="K207" s="118">
        <v>1.0175923178470758</v>
      </c>
    </row>
    <row r="208" spans="2:11" x14ac:dyDescent="0.3">
      <c r="B208" s="120" t="s">
        <v>1519</v>
      </c>
      <c r="C208" s="108" t="s">
        <v>1416</v>
      </c>
      <c r="D208" s="129">
        <v>1.995168065189159</v>
      </c>
      <c r="E208" s="109">
        <v>1.5760208497078982</v>
      </c>
      <c r="F208" s="109">
        <v>0.765860455761745</v>
      </c>
      <c r="G208" s="109">
        <v>0.64062753675559425</v>
      </c>
      <c r="H208" s="109">
        <v>0.6231230638297216</v>
      </c>
      <c r="I208" s="109">
        <v>2.9100759984932143</v>
      </c>
      <c r="J208" s="109">
        <v>2.3547180223179107</v>
      </c>
      <c r="K208" s="110">
        <v>0.5077470922284063</v>
      </c>
    </row>
    <row r="209" spans="2:11" x14ac:dyDescent="0.3">
      <c r="B209" s="111"/>
      <c r="C209" s="112" t="s">
        <v>1483</v>
      </c>
      <c r="D209" s="130">
        <v>2.2621773981213127</v>
      </c>
      <c r="E209" s="1499">
        <v>1.8633674421361746</v>
      </c>
      <c r="F209" s="1499">
        <v>1.0449108359601802</v>
      </c>
      <c r="G209" s="1499">
        <v>0.91873799540522638</v>
      </c>
      <c r="H209" s="1499">
        <v>0.88032276214591698</v>
      </c>
      <c r="I209" s="1499">
        <v>3.1854811686504414</v>
      </c>
      <c r="J209" s="1499">
        <v>2.6349965643889153</v>
      </c>
      <c r="K209" s="113">
        <v>0.7369030177345165</v>
      </c>
    </row>
    <row r="210" spans="2:11" x14ac:dyDescent="0.3">
      <c r="B210" s="111"/>
      <c r="C210" s="112" t="s">
        <v>1489</v>
      </c>
      <c r="D210" s="130">
        <v>2.2308619154450868</v>
      </c>
      <c r="E210" s="1499">
        <v>1.8320519594599487</v>
      </c>
      <c r="F210" s="1499">
        <v>1.0135953532839546</v>
      </c>
      <c r="G210" s="1499">
        <v>0.88742251272900063</v>
      </c>
      <c r="H210" s="1499">
        <v>0.84900727946969123</v>
      </c>
      <c r="I210" s="1499">
        <v>3.1541656859742155</v>
      </c>
      <c r="J210" s="1499">
        <v>2.6036810817126894</v>
      </c>
      <c r="K210" s="113">
        <v>0.70558753505829075</v>
      </c>
    </row>
    <row r="211" spans="2:11" x14ac:dyDescent="0.3">
      <c r="B211" s="114">
        <v>0</v>
      </c>
      <c r="C211" s="112" t="s">
        <v>1496</v>
      </c>
      <c r="D211" s="130">
        <v>2.1838886914307483</v>
      </c>
      <c r="E211" s="1499">
        <v>1.7850787354456104</v>
      </c>
      <c r="F211" s="1499">
        <v>0.96662212926961588</v>
      </c>
      <c r="G211" s="1499">
        <v>0.84044928871466196</v>
      </c>
      <c r="H211" s="1499">
        <v>0.80203405545535256</v>
      </c>
      <c r="I211" s="1499">
        <v>3.107192461959877</v>
      </c>
      <c r="J211" s="1499">
        <v>2.5567078576983508</v>
      </c>
      <c r="K211" s="113">
        <v>0.65861431104395218</v>
      </c>
    </row>
    <row r="212" spans="2:11" x14ac:dyDescent="0.3">
      <c r="B212" s="115"/>
      <c r="C212" s="112" t="s">
        <v>1500</v>
      </c>
      <c r="D212" s="130">
        <v>2.1369154674164097</v>
      </c>
      <c r="E212" s="1499">
        <v>1.7381055114312713</v>
      </c>
      <c r="F212" s="1499">
        <v>0.9196489052552772</v>
      </c>
      <c r="G212" s="1499">
        <v>0.79347606470032328</v>
      </c>
      <c r="H212" s="1499">
        <v>0.75506083144101388</v>
      </c>
      <c r="I212" s="1499">
        <v>3.0602192379455384</v>
      </c>
      <c r="J212" s="1499">
        <v>2.5097346336840123</v>
      </c>
      <c r="K212" s="113">
        <v>0.61164108702961351</v>
      </c>
    </row>
    <row r="213" spans="2:11" x14ac:dyDescent="0.3">
      <c r="B213" s="115"/>
      <c r="C213" s="112" t="s">
        <v>1504</v>
      </c>
      <c r="D213" s="130">
        <v>2.2067890310298273</v>
      </c>
      <c r="E213" s="1499">
        <v>1.8050604074678223</v>
      </c>
      <c r="F213" s="1499">
        <v>0.99031752298125619</v>
      </c>
      <c r="G213" s="1499">
        <v>0.85938265976402461</v>
      </c>
      <c r="H213" s="1499">
        <v>0.823625972262225</v>
      </c>
      <c r="I213" s="1499">
        <v>3.1292115328442605</v>
      </c>
      <c r="J213" s="1499">
        <v>2.5778702156957638</v>
      </c>
      <c r="K213" s="113">
        <v>0.68163178111786848</v>
      </c>
    </row>
    <row r="214" spans="2:11" x14ac:dyDescent="0.3">
      <c r="B214" s="115"/>
      <c r="C214" s="112" t="s">
        <v>1508</v>
      </c>
      <c r="D214" s="130">
        <v>2.1808172534668584</v>
      </c>
      <c r="E214" s="1499">
        <v>1.7790886299048536</v>
      </c>
      <c r="F214" s="1499">
        <v>0.96434574541828766</v>
      </c>
      <c r="G214" s="1499">
        <v>0.83341088220105608</v>
      </c>
      <c r="H214" s="1499">
        <v>0.79765419469925647</v>
      </c>
      <c r="I214" s="1499">
        <v>3.1032397552812916</v>
      </c>
      <c r="J214" s="1499">
        <v>2.5518984381327949</v>
      </c>
      <c r="K214" s="113">
        <v>0.65566000355489995</v>
      </c>
    </row>
    <row r="215" spans="2:11" x14ac:dyDescent="0.3">
      <c r="B215" s="115"/>
      <c r="C215" s="112" t="s">
        <v>1513</v>
      </c>
      <c r="D215" s="130">
        <v>2.1418595871224055</v>
      </c>
      <c r="E215" s="1499">
        <v>1.740130963560401</v>
      </c>
      <c r="F215" s="1499">
        <v>0.92538807907383491</v>
      </c>
      <c r="G215" s="1499">
        <v>0.79445321585660322</v>
      </c>
      <c r="H215" s="1499">
        <v>0.75869652835480361</v>
      </c>
      <c r="I215" s="1499">
        <v>3.0642820889368387</v>
      </c>
      <c r="J215" s="1499">
        <v>2.5129407717883421</v>
      </c>
      <c r="K215" s="113">
        <v>0.61670233721044709</v>
      </c>
    </row>
    <row r="216" spans="2:11" x14ac:dyDescent="0.3">
      <c r="B216" s="115"/>
      <c r="C216" s="112" t="s">
        <v>1517</v>
      </c>
      <c r="D216" s="130">
        <v>2.1029019207779527</v>
      </c>
      <c r="E216" s="1499">
        <v>1.7011732972159479</v>
      </c>
      <c r="F216" s="1499">
        <v>0.88643041272938206</v>
      </c>
      <c r="G216" s="1499">
        <v>0.75549554951215048</v>
      </c>
      <c r="H216" s="1499">
        <v>0.71973886201035087</v>
      </c>
      <c r="I216" s="1499">
        <v>3.0253244225923863</v>
      </c>
      <c r="J216" s="1499">
        <v>2.4739831054438897</v>
      </c>
      <c r="K216" s="113">
        <v>0.57774467086599435</v>
      </c>
    </row>
    <row r="217" spans="2:11" ht="14.5" thickBot="1" x14ac:dyDescent="0.35">
      <c r="B217" s="1233"/>
      <c r="C217" s="116" t="s">
        <v>1519</v>
      </c>
      <c r="D217" s="131">
        <v>2.2621773981213127</v>
      </c>
      <c r="E217" s="117">
        <v>1.8633674421361746</v>
      </c>
      <c r="F217" s="117">
        <v>1.0449108359601802</v>
      </c>
      <c r="G217" s="117">
        <v>0.91873799540522638</v>
      </c>
      <c r="H217" s="117">
        <v>0.88032276214591698</v>
      </c>
      <c r="I217" s="117">
        <v>3.1854811686504414</v>
      </c>
      <c r="J217" s="117">
        <v>2.6349965643889153</v>
      </c>
      <c r="K217" s="118">
        <v>0.7369030177345165</v>
      </c>
    </row>
    <row r="221" spans="2:11" ht="14.5" thickBot="1" x14ac:dyDescent="0.35"/>
    <row r="222" spans="2:11" x14ac:dyDescent="0.3">
      <c r="C222" s="132" t="s">
        <v>1995</v>
      </c>
      <c r="D222" s="132"/>
      <c r="E222" s="132"/>
      <c r="F222" s="132"/>
    </row>
    <row r="223" spans="2:11" x14ac:dyDescent="0.3">
      <c r="C223" s="1504" t="s">
        <v>1996</v>
      </c>
      <c r="D223" s="1504" t="s">
        <v>1997</v>
      </c>
      <c r="E223" s="1504" t="s">
        <v>1998</v>
      </c>
      <c r="F223" s="1504" t="s">
        <v>1999</v>
      </c>
    </row>
    <row r="224" spans="2:11" x14ac:dyDescent="0.3">
      <c r="C224" s="1498">
        <v>1</v>
      </c>
      <c r="D224" s="1505">
        <v>248.88037225511604</v>
      </c>
      <c r="E224" s="1506">
        <v>4.4765394332587971E-2</v>
      </c>
      <c r="F224" s="1507">
        <v>1.7906157733035188</v>
      </c>
      <c r="H224" s="134" t="s">
        <v>2000</v>
      </c>
    </row>
    <row r="225" spans="2:11" x14ac:dyDescent="0.3">
      <c r="C225" s="1498">
        <v>1.5</v>
      </c>
      <c r="D225" s="1505">
        <v>210.02662597021475</v>
      </c>
      <c r="E225" s="1506">
        <v>3.7776883113394472E-2</v>
      </c>
      <c r="F225" s="1507">
        <v>1.5110753245357793</v>
      </c>
      <c r="H225" s="134" t="s">
        <v>2001</v>
      </c>
    </row>
    <row r="226" spans="2:11" x14ac:dyDescent="0.3">
      <c r="C226" s="1498">
        <v>2</v>
      </c>
      <c r="D226" s="1505">
        <v>182.45945426977266</v>
      </c>
      <c r="E226" s="1506">
        <v>3.2818455493640375E-2</v>
      </c>
      <c r="F226" s="1507">
        <v>1.312738219745615</v>
      </c>
    </row>
    <row r="227" spans="2:11" x14ac:dyDescent="0.3">
      <c r="C227" s="1498">
        <v>2.5</v>
      </c>
      <c r="D227" s="1505">
        <v>161.07669468208132</v>
      </c>
      <c r="E227" s="1506">
        <v>2.8972400233482139E-2</v>
      </c>
      <c r="F227" s="1507">
        <v>1.1588960093392855</v>
      </c>
    </row>
    <row r="228" spans="2:11" x14ac:dyDescent="0.3">
      <c r="B228" s="2"/>
      <c r="C228" s="1498">
        <v>3</v>
      </c>
      <c r="D228" s="1505">
        <v>143.60570798487137</v>
      </c>
      <c r="E228" s="1506">
        <v>2.5829944274446882E-2</v>
      </c>
      <c r="F228" s="1507">
        <v>1.0331977709778752</v>
      </c>
      <c r="I228" s="135"/>
      <c r="J228" s="135"/>
      <c r="K228" s="135"/>
    </row>
    <row r="229" spans="2:11" x14ac:dyDescent="0.3">
      <c r="B229" s="136"/>
      <c r="C229" s="1498">
        <v>3.5</v>
      </c>
      <c r="D229" s="1505">
        <v>128.83419920672125</v>
      </c>
      <c r="E229" s="1506">
        <v>2.3173035618494878E-2</v>
      </c>
      <c r="F229" s="1507">
        <v>0.92692142473979522</v>
      </c>
      <c r="I229" s="135"/>
      <c r="J229" s="135"/>
      <c r="K229" s="135"/>
    </row>
    <row r="230" spans="2:11" x14ac:dyDescent="0.3">
      <c r="B230" s="136"/>
      <c r="C230" s="1498">
        <v>4</v>
      </c>
      <c r="D230" s="1505">
        <v>116.03853628442931</v>
      </c>
      <c r="E230" s="1506">
        <v>2.0871516654692786E-2</v>
      </c>
      <c r="F230" s="1507">
        <v>0.83486066618771149</v>
      </c>
      <c r="I230" s="135"/>
      <c r="J230" s="135"/>
      <c r="K230" s="135"/>
    </row>
    <row r="231" spans="2:11" x14ac:dyDescent="0.3">
      <c r="B231" s="137"/>
      <c r="C231" s="1498">
        <v>4.5</v>
      </c>
      <c r="D231" s="1505">
        <v>104.75196169997011</v>
      </c>
      <c r="E231" s="1506">
        <v>1.8841433055253397E-2</v>
      </c>
      <c r="F231" s="1507">
        <v>0.75365732221013571</v>
      </c>
      <c r="I231" s="135"/>
      <c r="J231" s="135"/>
      <c r="K231" s="135"/>
    </row>
    <row r="232" spans="2:11" x14ac:dyDescent="0.3">
      <c r="C232" s="1498">
        <v>5</v>
      </c>
      <c r="D232" s="1505">
        <v>94.655776696737973</v>
      </c>
      <c r="E232" s="1506">
        <v>1.702546139453455E-2</v>
      </c>
      <c r="F232" s="1507">
        <v>0.68101845578138198</v>
      </c>
      <c r="I232" s="135"/>
      <c r="J232" s="135"/>
      <c r="K232" s="135"/>
    </row>
    <row r="233" spans="2:11" x14ac:dyDescent="0.3">
      <c r="C233" s="1498">
        <v>5.5</v>
      </c>
      <c r="D233" s="1505">
        <v>85.522666423047838</v>
      </c>
      <c r="E233" s="1506">
        <v>1.53827152061543E-2</v>
      </c>
      <c r="F233" s="1507">
        <v>0.61530860824617206</v>
      </c>
      <c r="I233" s="135"/>
      <c r="J233" s="135"/>
      <c r="K233" s="135"/>
    </row>
    <row r="234" spans="2:11" x14ac:dyDescent="0.3">
      <c r="C234" s="1498">
        <v>6</v>
      </c>
      <c r="D234" s="1505">
        <v>77.184789999528007</v>
      </c>
      <c r="E234" s="1506">
        <v>1.3883005435499293E-2</v>
      </c>
      <c r="F234" s="1507">
        <v>0.55532021741997173</v>
      </c>
      <c r="I234" s="135"/>
      <c r="J234" s="135"/>
      <c r="K234" s="135"/>
    </row>
    <row r="235" spans="2:11" x14ac:dyDescent="0.3">
      <c r="C235" s="1498">
        <v>6.5</v>
      </c>
      <c r="D235" s="1505">
        <v>69.514687212102785</v>
      </c>
      <c r="E235" s="1506">
        <v>1.2503406181691467E-2</v>
      </c>
      <c r="F235" s="1507">
        <v>0.50013624726765871</v>
      </c>
      <c r="I235" s="135"/>
      <c r="J235" s="135"/>
      <c r="K235" s="135"/>
    </row>
    <row r="236" spans="2:11" x14ac:dyDescent="0.3">
      <c r="C236" s="1498">
        <v>7</v>
      </c>
      <c r="D236" s="1505">
        <v>62.413281221377872</v>
      </c>
      <c r="E236" s="1506">
        <v>1.1226096779547286E-2</v>
      </c>
      <c r="F236" s="1507">
        <v>0.44904387118189149</v>
      </c>
      <c r="I236" s="135"/>
      <c r="J236" s="135"/>
      <c r="K236" s="135"/>
    </row>
    <row r="237" spans="2:11" x14ac:dyDescent="0.3">
      <c r="C237" s="1498">
        <v>7.5</v>
      </c>
      <c r="D237" s="1505">
        <v>55.802030411836697</v>
      </c>
      <c r="E237" s="1506">
        <v>1.003695017534106E-2</v>
      </c>
      <c r="F237" s="1507">
        <v>0.40147800701364245</v>
      </c>
      <c r="I237" s="135"/>
      <c r="J237" s="135"/>
      <c r="K237" s="135"/>
    </row>
    <row r="238" spans="2:11" x14ac:dyDescent="0.3">
      <c r="B238" s="2"/>
      <c r="C238" s="1498">
        <v>8</v>
      </c>
      <c r="D238" s="1505">
        <v>49.617618299085947</v>
      </c>
      <c r="E238" s="1506">
        <v>8.9245778157451966E-3</v>
      </c>
      <c r="F238" s="1507">
        <v>0.35698311262980792</v>
      </c>
      <c r="I238" s="135"/>
      <c r="J238" s="135"/>
      <c r="K238" s="135"/>
    </row>
    <row r="239" spans="2:11" x14ac:dyDescent="0.3">
      <c r="B239" s="136"/>
      <c r="C239" s="1498">
        <v>8.5</v>
      </c>
      <c r="D239" s="1505">
        <v>43.808256093632025</v>
      </c>
      <c r="E239" s="1506">
        <v>7.8796646006468046E-3</v>
      </c>
      <c r="F239" s="1507">
        <v>0.31518658402587219</v>
      </c>
      <c r="I239" s="135"/>
      <c r="J239" s="135"/>
      <c r="K239" s="135"/>
    </row>
    <row r="240" spans="2:11" x14ac:dyDescent="0.3">
      <c r="B240" s="136"/>
      <c r="C240" s="1498">
        <v>9</v>
      </c>
      <c r="D240" s="1505">
        <v>38.331043714626723</v>
      </c>
      <c r="E240" s="1506">
        <v>6.8944942163058033E-3</v>
      </c>
      <c r="F240" s="1507">
        <v>0.27577976865223208</v>
      </c>
      <c r="I240" s="135"/>
      <c r="J240" s="135"/>
      <c r="K240" s="135"/>
    </row>
    <row r="241" spans="2:11" x14ac:dyDescent="0.3">
      <c r="B241" s="137"/>
      <c r="C241" s="1498">
        <v>9.5</v>
      </c>
      <c r="D241" s="1505">
        <v>33.150045262339397</v>
      </c>
      <c r="E241" s="1506">
        <v>5.9626029761423163E-3</v>
      </c>
      <c r="F241" s="1507">
        <v>0.23850411904569269</v>
      </c>
      <c r="I241" s="135"/>
      <c r="J241" s="135"/>
      <c r="K241" s="135"/>
    </row>
    <row r="242" spans="2:11" x14ac:dyDescent="0.3">
      <c r="C242" s="1498">
        <v>10</v>
      </c>
      <c r="D242" s="1505">
        <v>28.234858711394573</v>
      </c>
      <c r="E242" s="1506">
        <v>5.0785225555869543E-3</v>
      </c>
      <c r="F242" s="1507">
        <v>0.20314090222347819</v>
      </c>
      <c r="I242" s="135"/>
      <c r="J242" s="135"/>
      <c r="K242" s="135"/>
    </row>
    <row r="243" spans="2:11" x14ac:dyDescent="0.3">
      <c r="I243" s="135"/>
      <c r="J243" s="135"/>
      <c r="K243" s="135"/>
    </row>
    <row r="244" spans="2:11" ht="14.5" thickBot="1" x14ac:dyDescent="0.35">
      <c r="I244" s="135"/>
      <c r="J244" s="135"/>
      <c r="K244" s="135"/>
    </row>
    <row r="245" spans="2:11" x14ac:dyDescent="0.3">
      <c r="C245" s="132" t="s">
        <v>2002</v>
      </c>
      <c r="D245" s="132"/>
      <c r="E245" s="132"/>
      <c r="F245" s="132"/>
      <c r="H245" s="134" t="s">
        <v>2003</v>
      </c>
      <c r="I245" s="135"/>
      <c r="J245" s="135"/>
      <c r="K245" s="135"/>
    </row>
    <row r="246" spans="2:11" x14ac:dyDescent="0.3">
      <c r="C246" s="1508" t="s">
        <v>1996</v>
      </c>
      <c r="D246" s="1508" t="s">
        <v>2004</v>
      </c>
      <c r="E246" s="1508" t="s">
        <v>2005</v>
      </c>
      <c r="F246" s="1508" t="s">
        <v>2006</v>
      </c>
      <c r="H246" s="134" t="s">
        <v>2007</v>
      </c>
      <c r="I246" s="135"/>
      <c r="J246" s="135"/>
      <c r="K246" s="135"/>
    </row>
    <row r="247" spans="2:11" x14ac:dyDescent="0.3">
      <c r="C247" s="1498" t="s">
        <v>376</v>
      </c>
      <c r="D247" s="1509">
        <v>296.61212127263809</v>
      </c>
      <c r="E247" s="1510">
        <v>5.3350766282945015E-2</v>
      </c>
      <c r="F247" s="1511">
        <v>2.1340306513178007</v>
      </c>
      <c r="I247" s="135"/>
      <c r="J247" s="135"/>
      <c r="K247" s="135"/>
    </row>
    <row r="248" spans="2:11" x14ac:dyDescent="0.3">
      <c r="B248" s="2"/>
      <c r="D248" s="135"/>
      <c r="E248" s="135"/>
      <c r="F248" s="135"/>
      <c r="G248" s="135"/>
      <c r="H248" s="135"/>
      <c r="I248" s="135"/>
      <c r="J248" s="135"/>
      <c r="K248" s="135"/>
    </row>
    <row r="249" spans="2:11" x14ac:dyDescent="0.3">
      <c r="B249" s="136"/>
      <c r="D249" s="135"/>
      <c r="E249" s="135"/>
      <c r="F249" s="135"/>
      <c r="G249" s="135"/>
      <c r="H249" s="135"/>
      <c r="I249" s="135"/>
      <c r="J249" s="135"/>
      <c r="K249" s="135"/>
    </row>
    <row r="250" spans="2:11" x14ac:dyDescent="0.3">
      <c r="B250" s="136"/>
      <c r="D250" s="135"/>
      <c r="E250" s="135"/>
      <c r="F250" s="135"/>
      <c r="G250" s="135"/>
      <c r="H250" s="135"/>
      <c r="I250" s="135"/>
      <c r="J250" s="135"/>
      <c r="K250" s="135"/>
    </row>
  </sheetData>
  <sheetProtection algorithmName="SHA-512" hashValue="G/ObNw8qTO3qVJOzQcLl/BgpJk+kIX/LhqJnkPKnWYzjl7HS1IMnNVVfrYdIpPaszcH4kSYAspRjmJ2SQeHvrg==" saltValue="sBuDS0hMq7/ljXc+mIA/yg==" spinCount="100000" sheet="1" objects="1" scenarios="1" autoFilter="0"/>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4"/>
    <pageSetUpPr fitToPage="1"/>
  </sheetPr>
  <dimension ref="A1:AM112"/>
  <sheetViews>
    <sheetView showGridLines="0" topLeftCell="H1" zoomScale="55" zoomScaleNormal="55" zoomScaleSheetLayoutView="25" workbookViewId="0">
      <selection activeCell="O25" sqref="O25"/>
    </sheetView>
  </sheetViews>
  <sheetFormatPr defaultColWidth="8.58203125" defaultRowHeight="14" zeroHeight="1" x14ac:dyDescent="0.3"/>
  <cols>
    <col min="1" max="1" width="12.83203125" style="795" hidden="1" customWidth="1"/>
    <col min="2" max="2" width="8.5" style="795" hidden="1" customWidth="1"/>
    <col min="3" max="7" width="10.5" style="795" hidden="1" customWidth="1"/>
    <col min="8" max="8" width="2.83203125" customWidth="1"/>
    <col min="9" max="9" width="6.08203125" customWidth="1"/>
    <col min="10" max="10" width="10" customWidth="1"/>
    <col min="11" max="11" width="9" customWidth="1"/>
    <col min="12" max="12" width="42.5" customWidth="1"/>
    <col min="13" max="13" width="26.75" customWidth="1"/>
    <col min="14" max="14" width="18" customWidth="1"/>
    <col min="15" max="15" width="26.83203125" customWidth="1"/>
    <col min="16" max="16" width="29.08203125" customWidth="1"/>
    <col min="17" max="17" width="28.33203125" customWidth="1"/>
    <col min="18" max="18" width="40.75" customWidth="1"/>
    <col min="19" max="19" width="43.33203125" customWidth="1"/>
    <col min="20" max="20" width="23.5" customWidth="1"/>
    <col min="21" max="21" width="54.83203125" customWidth="1"/>
    <col min="22" max="22" width="27" customWidth="1"/>
    <col min="23" max="23" width="33.08203125" customWidth="1"/>
    <col min="24" max="26" width="16.83203125" hidden="1" customWidth="1"/>
    <col min="27" max="27" width="4.58203125" hidden="1" customWidth="1"/>
    <col min="28" max="30" width="10.33203125" hidden="1" customWidth="1"/>
    <col min="31" max="31" width="5.5" hidden="1" customWidth="1"/>
    <col min="32" max="34" width="10.33203125" hidden="1" customWidth="1"/>
    <col min="35" max="35" width="12.33203125" hidden="1" customWidth="1"/>
    <col min="36" max="36" width="8.58203125" hidden="1" customWidth="1"/>
    <col min="37" max="39" width="0" hidden="1" customWidth="1"/>
  </cols>
  <sheetData>
    <row r="1" spans="1:39" x14ac:dyDescent="0.3">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row>
    <row r="2" spans="1:39" x14ac:dyDescent="0.3">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row>
    <row r="3" spans="1:39" x14ac:dyDescent="0.3">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row>
    <row r="4" spans="1:39" x14ac:dyDescent="0.3">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row>
    <row r="5" spans="1:39" x14ac:dyDescent="0.3">
      <c r="A5" s="1555" t="s">
        <v>107</v>
      </c>
      <c r="B5" s="1555"/>
      <c r="C5" s="1555"/>
      <c r="D5" s="1555"/>
      <c r="E5" s="1555"/>
      <c r="F5" s="1555"/>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row>
    <row r="6" spans="1:39" x14ac:dyDescent="0.3">
      <c r="A6" s="1555"/>
      <c r="B6" s="1555"/>
      <c r="C6" s="1555"/>
      <c r="D6" s="1555"/>
      <c r="E6" s="1555"/>
      <c r="F6" s="1555"/>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row>
    <row r="7" spans="1:39" s="22" customFormat="1" x14ac:dyDescent="0.3">
      <c r="A7" s="1555"/>
      <c r="B7" s="1555"/>
      <c r="C7" s="1555"/>
      <c r="D7" s="1555"/>
      <c r="E7" s="1555"/>
      <c r="F7" s="1555"/>
      <c r="G7" s="796"/>
    </row>
    <row r="8" spans="1:39" s="22" customFormat="1" ht="18" x14ac:dyDescent="0.4">
      <c r="A8" s="1555"/>
      <c r="B8" s="1555"/>
      <c r="C8" s="1555"/>
      <c r="D8" s="1555"/>
      <c r="E8" s="1555"/>
      <c r="F8" s="1555"/>
      <c r="G8" s="796"/>
      <c r="I8" s="729" t="s">
        <v>108</v>
      </c>
    </row>
    <row r="9" spans="1:39" s="22" customFormat="1" x14ac:dyDescent="0.3">
      <c r="A9" s="1555"/>
      <c r="B9" s="1555"/>
      <c r="C9" s="1555"/>
      <c r="D9" s="1555"/>
      <c r="E9" s="1555"/>
      <c r="F9" s="1555"/>
      <c r="G9" s="796"/>
    </row>
    <row r="10" spans="1:39" s="22" customFormat="1" ht="15.5" x14ac:dyDescent="0.35">
      <c r="A10" s="1555"/>
      <c r="B10" s="1555"/>
      <c r="C10" s="1555"/>
      <c r="D10" s="1555"/>
      <c r="E10" s="1555"/>
      <c r="F10" s="1555"/>
      <c r="G10" s="796"/>
      <c r="J10" s="784" t="s">
        <v>109</v>
      </c>
      <c r="P10" s="719"/>
      <c r="Q10" s="1073"/>
      <c r="T10" s="719"/>
      <c r="V10" s="719"/>
      <c r="Y10" s="719"/>
      <c r="AA10" s="719"/>
    </row>
    <row r="11" spans="1:39" s="22" customFormat="1" ht="15.5" x14ac:dyDescent="0.35">
      <c r="A11" s="1555"/>
      <c r="B11" s="1555"/>
      <c r="C11" s="1555"/>
      <c r="D11" s="1555"/>
      <c r="E11" s="1555"/>
      <c r="F11" s="1555"/>
      <c r="G11" s="796"/>
      <c r="J11" s="784"/>
      <c r="Q11" s="31"/>
    </row>
    <row r="12" spans="1:39" s="22" customFormat="1" ht="15.5" x14ac:dyDescent="0.35">
      <c r="A12" s="1555"/>
      <c r="B12" s="1555"/>
      <c r="C12" s="1555"/>
      <c r="D12" s="1555"/>
      <c r="E12" s="1555"/>
      <c r="F12" s="1555"/>
      <c r="G12" s="796"/>
      <c r="J12" s="828" t="s">
        <v>110</v>
      </c>
      <c r="Q12" s="1073"/>
      <c r="Y12" s="41"/>
    </row>
    <row r="13" spans="1:39" s="22" customFormat="1" ht="15.5" x14ac:dyDescent="0.35">
      <c r="A13" s="1555"/>
      <c r="B13" s="1555"/>
      <c r="C13" s="1555"/>
      <c r="D13" s="1555"/>
      <c r="E13" s="1555"/>
      <c r="F13" s="1555"/>
      <c r="G13" s="796"/>
      <c r="J13" s="784"/>
    </row>
    <row r="14" spans="1:39" s="22" customFormat="1" x14ac:dyDescent="0.3">
      <c r="A14" s="1555"/>
      <c r="B14" s="1555"/>
      <c r="C14" s="1555"/>
      <c r="D14" s="1555"/>
      <c r="E14" s="1555"/>
      <c r="F14" s="1555"/>
      <c r="G14" s="796"/>
    </row>
    <row r="15" spans="1:39" s="22" customFormat="1" ht="18" x14ac:dyDescent="0.4">
      <c r="A15" s="796"/>
      <c r="B15" s="796"/>
      <c r="C15" s="796"/>
      <c r="D15" s="796"/>
      <c r="E15" s="796"/>
      <c r="F15" s="796"/>
      <c r="G15" s="796"/>
      <c r="I15" s="729" t="s">
        <v>111</v>
      </c>
    </row>
    <row r="16" spans="1:39" s="22" customFormat="1" x14ac:dyDescent="0.3">
      <c r="A16" s="1555" t="s">
        <v>112</v>
      </c>
      <c r="B16" s="1555"/>
      <c r="C16" s="1555"/>
      <c r="D16" s="1555"/>
      <c r="E16" s="1555"/>
      <c r="F16" s="1555"/>
      <c r="G16" s="796"/>
    </row>
    <row r="17" spans="1:24" s="22" customFormat="1" ht="15.5" x14ac:dyDescent="0.35">
      <c r="A17" s="1555"/>
      <c r="B17" s="1555"/>
      <c r="C17" s="1555"/>
      <c r="D17" s="1555"/>
      <c r="E17" s="1555"/>
      <c r="F17" s="1555"/>
      <c r="G17" s="796"/>
      <c r="K17" s="784" t="s">
        <v>113</v>
      </c>
    </row>
    <row r="18" spans="1:24" s="22" customFormat="1" x14ac:dyDescent="0.3">
      <c r="A18" s="1555"/>
      <c r="B18" s="1555"/>
      <c r="C18" s="1555"/>
      <c r="D18" s="1555"/>
      <c r="E18" s="1555"/>
      <c r="F18" s="1555"/>
      <c r="G18" s="796"/>
    </row>
    <row r="19" spans="1:24" s="22" customFormat="1" x14ac:dyDescent="0.3">
      <c r="A19" s="1555"/>
      <c r="B19" s="1555"/>
      <c r="C19" s="1555"/>
      <c r="D19" s="1555"/>
      <c r="E19" s="1555"/>
      <c r="F19" s="1555"/>
      <c r="G19" s="796"/>
    </row>
    <row r="20" spans="1:24" s="22" customFormat="1" ht="18" x14ac:dyDescent="0.4">
      <c r="A20" s="1555"/>
      <c r="B20" s="1555"/>
      <c r="C20" s="1555"/>
      <c r="D20" s="1555"/>
      <c r="E20" s="1555"/>
      <c r="F20" s="1555"/>
      <c r="G20" s="796"/>
      <c r="I20" s="729" t="s">
        <v>44</v>
      </c>
      <c r="N20" s="737"/>
    </row>
    <row r="21" spans="1:24" s="22" customFormat="1" x14ac:dyDescent="0.3">
      <c r="A21" s="1555"/>
      <c r="B21" s="1555"/>
      <c r="C21" s="1555"/>
      <c r="D21" s="1555"/>
      <c r="E21" s="1555"/>
      <c r="F21" s="1555"/>
      <c r="G21" s="796"/>
    </row>
    <row r="22" spans="1:24" s="22" customFormat="1" ht="15.5" x14ac:dyDescent="0.35">
      <c r="A22" s="1555"/>
      <c r="B22" s="1555"/>
      <c r="C22" s="1555"/>
      <c r="D22" s="1555"/>
      <c r="E22" s="1555"/>
      <c r="F22" s="1555"/>
      <c r="G22" s="796"/>
      <c r="I22" s="784" t="s">
        <v>114</v>
      </c>
      <c r="K22" s="785">
        <v>2</v>
      </c>
      <c r="L22" s="792" t="str">
        <f>IF(RowsRequiredCeilings&gt;K30,"Not possible - maximum number available is "&amp;K30,IF(RowsRequiredCeilings&lt;&gt;B36,("Click filter arrow beside the table header 'Rows'. Select only '"&amp;RowsRequiredCeilings&amp;"' on the drop-down list, (as currently displayed)"),""))</f>
        <v/>
      </c>
    </row>
    <row r="23" spans="1:24" s="22" customFormat="1" x14ac:dyDescent="0.3">
      <c r="A23" s="1555"/>
      <c r="B23" s="1555"/>
      <c r="C23" s="1555"/>
      <c r="D23" s="1555"/>
      <c r="E23" s="1555"/>
      <c r="F23" s="1555"/>
      <c r="G23" s="796"/>
      <c r="V23" s="44"/>
    </row>
    <row r="24" spans="1:24" s="22" customFormat="1" ht="15.5" x14ac:dyDescent="0.35">
      <c r="A24" s="1555"/>
      <c r="B24" s="1555"/>
      <c r="C24" s="1555"/>
      <c r="D24" s="1555"/>
      <c r="E24" s="1555"/>
      <c r="F24" s="1555"/>
      <c r="G24" s="796"/>
      <c r="J24" s="806" t="s">
        <v>115</v>
      </c>
    </row>
    <row r="25" spans="1:24" s="22" customFormat="1" x14ac:dyDescent="0.3">
      <c r="A25" s="1555"/>
      <c r="B25" s="1555"/>
      <c r="C25" s="1555"/>
      <c r="D25" s="1555"/>
      <c r="E25" s="1555"/>
      <c r="F25" s="1555"/>
      <c r="G25" s="796"/>
    </row>
    <row r="26" spans="1:24" s="22" customFormat="1" ht="18" x14ac:dyDescent="0.4">
      <c r="A26" s="796"/>
      <c r="B26" s="796"/>
      <c r="C26" s="796"/>
      <c r="D26" s="796"/>
      <c r="E26" s="796"/>
      <c r="F26" s="796"/>
      <c r="G26" s="796"/>
      <c r="J26" s="783" t="s">
        <v>116</v>
      </c>
    </row>
    <row r="27" spans="1:24" s="22" customFormat="1" ht="31.5" customHeight="1" x14ac:dyDescent="0.3">
      <c r="A27" s="797" t="s">
        <v>117</v>
      </c>
      <c r="B27" s="796"/>
      <c r="C27" s="796"/>
      <c r="D27" s="796"/>
      <c r="E27" s="796"/>
      <c r="F27" s="796"/>
      <c r="G27" s="796"/>
      <c r="M27" s="719"/>
      <c r="N27" s="719"/>
      <c r="O27" s="719"/>
      <c r="R27" s="1268" t="s">
        <v>118</v>
      </c>
    </row>
    <row r="28" spans="1:24" s="738" customFormat="1" ht="59.25" customHeight="1" x14ac:dyDescent="0.3">
      <c r="A28" s="798" t="s">
        <v>119</v>
      </c>
      <c r="B28" s="799"/>
      <c r="C28" s="799"/>
      <c r="D28" s="799"/>
      <c r="E28" s="799"/>
      <c r="F28" s="799"/>
      <c r="G28" s="799"/>
      <c r="J28" s="779" t="s">
        <v>120</v>
      </c>
      <c r="K28" s="780" t="s">
        <v>121</v>
      </c>
      <c r="L28" s="781" t="s">
        <v>46</v>
      </c>
      <c r="M28" s="781" t="s">
        <v>122</v>
      </c>
      <c r="N28" s="781" t="s">
        <v>123</v>
      </c>
      <c r="O28" s="781" t="s">
        <v>124</v>
      </c>
      <c r="P28" s="781" t="s">
        <v>125</v>
      </c>
      <c r="Q28" s="781" t="s">
        <v>126</v>
      </c>
      <c r="R28" s="781" t="s">
        <v>127</v>
      </c>
      <c r="S28" s="782" t="s">
        <v>128</v>
      </c>
      <c r="T28" s="781" t="s">
        <v>129</v>
      </c>
      <c r="U28" s="781" t="s">
        <v>130</v>
      </c>
      <c r="V28" s="41"/>
      <c r="X28" s="719"/>
    </row>
    <row r="29" spans="1:24" s="41" customFormat="1" ht="59.15" customHeight="1" x14ac:dyDescent="0.3">
      <c r="A29" s="800">
        <v>1</v>
      </c>
      <c r="B29" s="801" t="str">
        <f>IF(Selection_ClimateZone=1,
CONCATENATE(
    Selection_ClimateZone,
    IF(OR(Table18[[#This Row],[Roof Type]]="Metal-framed pitched roof with horizontal ceiling", Table18[[#This Row],[Roof Type]]="Metal-framed flat, skillion or cathedral roof"),
        REPLACE(Table18[[#This Row],[Roof Type]], 1, 5, "Timber"),
        Table18[[#This Row],[Roof Type]]
    ),
        Selection_Storeys,
    IF(Table18[[#This Row],[Roof Type]]="Roofs constructed with insulated sandwich panels",
        "",IF(OR(Table18[[#This Row],[Roof Type]]="Timber-framed pitched roof with horizontal ceiling",Table18[[#This Row],[Roof Type]]="Metal-framed pitched roof with horizontal ceiling"),
        Table18[[#This Row],[Roof Ventilation]] &amp; Table18[[#This Row],[Reflective Insulation Under Roof]],Table18[[#This Row],[Reflective Insulation Under Roof]])
    )
),
CONCATENATE(
    Selection_ClimateZone,
    IF(OR(Table18[[#This Row],[Roof Type]]="Metal-framed pitched roof with horizontal ceiling", Table18[[#This Row],[Roof Type]]="Metal-framed flat, skillion or cathedral roof"),
        REPLACE(Table18[[#This Row],[Roof Type]], 1, 5, "Timber"),
        Table18[[#This Row],[Roof Type]]
    ),
    IF(Table18[[#This Row],[Roof Type]]="Roofs constructed with insulated sandwich panels",
        "",),
    IF(Table18[[#This Row],[Roof Type]]="Roofs constructed with insulated sandwich panels",
        Table18[[#This Row],[Direction of Heat Flow]],
IF(OR(Table18[[#This Row],[Roof Type]]="Timber-framed pitched roof with horizontal ceiling",Table18[[#This Row],[Roof Type]]="Metal-framed pitched roof with horizontal ceiling"),
        Table18[[#This Row],[Roof Ventilation]] &amp; Table18[[#This Row],[Reflective Insulation Under Roof]],Table18[[#This Row],[Reflective Insulation Under Roof]])
    )
)
)</f>
        <v>5</v>
      </c>
      <c r="C29" s="801" t="str">
        <f>IF(Selection_ClimateZone=1,IF(Table18[[#This Row],[Roof Type]]="Metal-framed pitched roof with horizontal ceiling",CONCATENATE(Selection_ClimateZone,REPLACE(Table18[[#This Row],[Roof Type]],1,5,"Timber"),Selection_Storeys),
IF(Table18[[#This Row],[Roof Type]]="Metal-framed flat, skillion or cathedral roof",CONCATENATE(Selection_ClimateZone,REPLACE(Table18[[#This Row],[Roof Type]],1,5,"Timber"),Selection_Storeys),
IF(Table18[[#This Row],[Roof Type]]="Roofs constructed with insulated sandwich panels",CONCATENATE(Table18[[#This Row],[Roof Type]]),CONCATENATE(Selection_ClimateZone,Table18[[#This Row],[Roof Type]],Selection_Storeys)))),
IF(Table18[[#This Row],[Roof Type]]="Metal-framed pitched roof with horizontal ceiling",CONCATENATE(Selection_ClimateZone,REPLACE(Table18[[#This Row],[Roof Type]],1,5,"Timber")),
IF(Table18[[#This Row],[Roof Type]]="Metal-framed flat, skillion or cathedral roof",CONCATENATE(Selection_ClimateZone,REPLACE(Table18[[#This Row],[Roof Type]],1,5,"Timber")),
IF(Table18[[#This Row],[Roof Type]]="Roofs constructed with insulated sandwich panels",CONCATENATE(Table18[[#This Row],[Roof Type]]),CONCATENATE(Selection_ClimateZone,Table18[[#This Row],[Roof Type]])))))</f>
        <v>5</v>
      </c>
      <c r="D29" s="801" t="str">
        <f>CONCATENATE(B29,Table18[[#This Row],[Under Roof Insulation R-Value]])</f>
        <v>5</v>
      </c>
      <c r="E29" s="801" t="e">
        <f>INDEX(D_List!$I$9:$I$13,MATCH(Table18[[#This Row],[Roof Type]],D_List!$H$9:$H$13,0))</f>
        <v>#N/A</v>
      </c>
      <c r="F29" s="801">
        <f>IFERROR(FIND("Metal",Table18[[#This Row],[Roof Type]]),0)</f>
        <v>0</v>
      </c>
      <c r="G29" s="801"/>
      <c r="H29" s="738"/>
      <c r="I29" s="22"/>
      <c r="J29" s="778">
        <f>IF(ISBLANK(RowsRequiredCeilings),"1",IF(ISBLANK(A29),"-",IF(A29&lt;=RowsRequiredCeilings,RowsRequiredCeilings,"-")))</f>
        <v>2</v>
      </c>
      <c r="K29" s="1269">
        <v>1</v>
      </c>
      <c r="L29" s="1270"/>
      <c r="M29" s="1271"/>
      <c r="N29" s="1271"/>
      <c r="O29" s="1272"/>
      <c r="P29" s="1272"/>
      <c r="Q29" s="1272"/>
      <c r="R29" s="787"/>
      <c r="S29" s="1273"/>
      <c r="T29" s="1274" t="str">
        <f>IFERROR(
IF(L29="","",
IF(L29&lt;&gt;"",D_Building_Fabric!$S$9,
"Review inputs, combination not permitted")),"Review inputs, combination not permitted")</f>
        <v/>
      </c>
      <c r="U29" s="1275" t="str">
        <f>IFERROR(IF(Table18[[#This Row],[Thermal Bridging Calculation]]=D_List!$F$24,"Add a layer of continuous insulation with a minimum R-Value of " &amp;
                    INDEX(Metal_framed_flat_skillion_or_cathedral_roof_thermal_bridging_mitigation103[Option 2 – add a layer of continuous insulation with specified minimum R- Value above or below the roof frame members],
                          MATCH(D_Building_Fabric!S$12,
                                Metal_framed_flat_skillion_or_cathedral_roof_thermal_bridging_mitigation103[Minimum ceiling insulation R-Value from Tables 13.2.3j to 13.2.3r],0))&amp;" above or below the roof frame members.",
IF(Table18[[#This Row],[Thermal Bridging Calculation]]=D_List!$F$21,"Additional methods for complying with 13.2.3(3) for thermal bridging are available in Part 13.2 (hyperlink located above in 13.2.1)","")),"")</f>
        <v/>
      </c>
      <c r="V29" s="22"/>
      <c r="X29" s="22"/>
    </row>
    <row r="30" spans="1:24" s="41" customFormat="1" ht="59.15" customHeight="1" x14ac:dyDescent="0.3">
      <c r="A30" s="800">
        <v>2</v>
      </c>
      <c r="B30" s="801" t="str">
        <f>IF(Selection_ClimateZone=1,
CONCATENATE(
    Selection_ClimateZone,
    IF(OR(Table18[[#This Row],[Roof Type]]="Metal-framed pitched roof with horizontal ceiling", Table18[[#This Row],[Roof Type]]="Metal-framed flat, skillion or cathedral roof"),
        REPLACE(Table18[[#This Row],[Roof Type]], 1, 5, "Timber"),
        Table18[[#This Row],[Roof Type]]
    ),
        Selection_Storeys,
    IF(Table18[[#This Row],[Roof Type]]="Roofs constructed with insulated sandwich panels",
        "",IF(OR(Table18[[#This Row],[Roof Type]]="Timber-framed pitched roof with horizontal ceiling",Table18[[#This Row],[Roof Type]]="Metal-framed pitched roof with horizontal ceiling"),
        Table18[[#This Row],[Roof Ventilation]] &amp; Table18[[#This Row],[Reflective Insulation Under Roof]],Table18[[#This Row],[Reflective Insulation Under Roof]])
    )
),
CONCATENATE(
    Selection_ClimateZone,
    IF(OR(Table18[[#This Row],[Roof Type]]="Metal-framed pitched roof with horizontal ceiling", Table18[[#This Row],[Roof Type]]="Metal-framed flat, skillion or cathedral roof"),
        REPLACE(Table18[[#This Row],[Roof Type]], 1, 5, "Timber"),
        Table18[[#This Row],[Roof Type]]
    ),
    IF(Table18[[#This Row],[Roof Type]]="Roofs constructed with insulated sandwich panels",
        "",),
    IF(Table18[[#This Row],[Roof Type]]="Roofs constructed with insulated sandwich panels",
        Table18[[#This Row],[Direction of Heat Flow]],
IF(OR(Table18[[#This Row],[Roof Type]]="Timber-framed pitched roof with horizontal ceiling",Table18[[#This Row],[Roof Type]]="Metal-framed pitched roof with horizontal ceiling"),
        Table18[[#This Row],[Roof Ventilation]] &amp; Table18[[#This Row],[Reflective Insulation Under Roof]],Table18[[#This Row],[Reflective Insulation Under Roof]])
    )
)
)</f>
        <v>5</v>
      </c>
      <c r="C30" s="801" t="str">
        <f>IF(Selection_ClimateZone=1,IF(Table18[[#This Row],[Roof Type]]="Metal-framed pitched roof with horizontal ceiling",CONCATENATE(Selection_ClimateZone,REPLACE(Table18[[#This Row],[Roof Type]],1,5,"Timber"),Selection_Storeys),
IF(Table18[[#This Row],[Roof Type]]="Metal-framed flat, skillion or cathedral roof",CONCATENATE(Selection_ClimateZone,REPLACE(Table18[[#This Row],[Roof Type]],1,5,"Timber"),Selection_Storeys),
IF(Table18[[#This Row],[Roof Type]]="Roofs constructed with insulated sandwich panels",CONCATENATE(Table18[[#This Row],[Roof Type]]),CONCATENATE(Selection_ClimateZone,Table18[[#This Row],[Roof Type]],Selection_Storeys)))),
IF(Table18[[#This Row],[Roof Type]]="Metal-framed pitched roof with horizontal ceiling",CONCATENATE(Selection_ClimateZone,REPLACE(Table18[[#This Row],[Roof Type]],1,5,"Timber")),
IF(Table18[[#This Row],[Roof Type]]="Metal-framed flat, skillion or cathedral roof",CONCATENATE(Selection_ClimateZone,REPLACE(Table18[[#This Row],[Roof Type]],1,5,"Timber")),
IF(Table18[[#This Row],[Roof Type]]="Roofs constructed with insulated sandwich panels",CONCATENATE(Table18[[#This Row],[Roof Type]]),CONCATENATE(Selection_ClimateZone,Table18[[#This Row],[Roof Type]])))))</f>
        <v>5</v>
      </c>
      <c r="D30" s="801" t="str">
        <f>CONCATENATE(B30,Table18[[#This Row],[Under Roof Insulation R-Value]])</f>
        <v>5</v>
      </c>
      <c r="E30" s="801" t="e">
        <f>INDEX(D_List!$I$9:$I$13,MATCH(Table18[[#This Row],[Roof Type]],D_List!$H$9:$H$13,0))</f>
        <v>#N/A</v>
      </c>
      <c r="F30" s="801">
        <f>IFERROR(FIND("Metal",Table18[[#This Row],[Roof Type]]),0)</f>
        <v>0</v>
      </c>
      <c r="G30" s="801"/>
      <c r="H30" s="738"/>
      <c r="J30" s="778">
        <f>IF(ISBLANK(A30),"-",IF(A30&lt;=RowsRequiredCeilings,RowsRequiredCeilings,"-"))</f>
        <v>2</v>
      </c>
      <c r="K30" s="1269">
        <v>2</v>
      </c>
      <c r="L30" s="1270"/>
      <c r="M30" s="1271"/>
      <c r="N30" s="1271"/>
      <c r="O30" s="1272"/>
      <c r="P30" s="1272"/>
      <c r="Q30" s="1272"/>
      <c r="R30" s="787"/>
      <c r="S30" s="1273"/>
      <c r="T30" s="1274" t="str">
        <f>IFERROR(
IF(L30="","",
IF(L30&lt;&gt;"",D_Building_Fabric!$T$9,
"Review inputs, combination not permitted")),"Review inputs, combination not permitted")</f>
        <v/>
      </c>
      <c r="U30" s="1275" t="str">
        <f>IFERROR(IF(Table18[[#This Row],[Thermal Bridging Calculation]]=D_List!$F$24,"Add a layer of continuous insulation with a minimum R-Value of " &amp;
                    INDEX(Metal_framed_flat_skillion_or_cathedral_roof_thermal_bridging_mitigation103[Option 2 – add a layer of continuous insulation with specified minimum R- Value above or below the roof frame members],
                          MATCH(D_Building_Fabric!T$12,
                                Metal_framed_flat_skillion_or_cathedral_roof_thermal_bridging_mitigation103[Minimum ceiling insulation R-Value from Tables 13.2.3j to 13.2.3r],0))&amp;" above or below the roof frame members.",
IF(Table18[[#This Row],[Thermal Bridging Calculation]]=D_List!$F$21,"Additional methods for complying with 13.2.3(3) for thermal bridging are available in Part 13.2 (hyperlink located above in 13.2.1)","")),"")</f>
        <v/>
      </c>
      <c r="V30" s="22"/>
      <c r="W30" s="22"/>
    </row>
    <row r="31" spans="1:24" s="22" customFormat="1" ht="14.5" x14ac:dyDescent="0.35">
      <c r="A31" s="796"/>
      <c r="B31" s="796"/>
      <c r="C31" s="796"/>
      <c r="D31" s="796"/>
      <c r="E31" s="796"/>
      <c r="F31" s="796"/>
      <c r="G31" s="796"/>
      <c r="H31" s="738"/>
      <c r="L31" s="737"/>
    </row>
    <row r="32" spans="1:24" s="22" customFormat="1" ht="18" x14ac:dyDescent="0.4">
      <c r="A32" s="796"/>
      <c r="B32" s="796"/>
      <c r="C32" s="796"/>
      <c r="D32" s="796"/>
      <c r="E32" s="796"/>
      <c r="F32" s="796"/>
      <c r="G32" s="796"/>
      <c r="H32" s="738"/>
      <c r="J32" s="783" t="s">
        <v>131</v>
      </c>
      <c r="L32" s="737"/>
    </row>
    <row r="33" spans="1:18" s="22" customFormat="1" ht="14.5" x14ac:dyDescent="0.35">
      <c r="A33" s="796"/>
      <c r="B33" s="796"/>
      <c r="C33" s="796"/>
      <c r="D33" s="796"/>
      <c r="E33" s="796"/>
      <c r="F33" s="796"/>
      <c r="G33" s="796"/>
      <c r="H33" s="738"/>
      <c r="L33" s="737"/>
    </row>
    <row r="34" spans="1:18" s="22" customFormat="1" ht="74.25" customHeight="1" x14ac:dyDescent="0.3">
      <c r="A34" s="796"/>
      <c r="B34" s="796"/>
      <c r="C34" s="796"/>
      <c r="D34" s="796"/>
      <c r="E34" s="1107" t="b">
        <v>0</v>
      </c>
      <c r="F34" s="796"/>
      <c r="G34" s="796"/>
      <c r="H34" s="738"/>
      <c r="K34" s="1554" t="str">
        <f>IF(SUM(F29:F30)&gt;0,$A$16,"NOT APPLICABLE")</f>
        <v>NOT APPLICABLE</v>
      </c>
      <c r="L34" s="1554"/>
      <c r="M34" s="1554"/>
      <c r="N34" s="1554"/>
      <c r="O34" s="1554"/>
      <c r="P34" s="1554"/>
      <c r="Q34" s="1554"/>
      <c r="R34" s="1554"/>
    </row>
    <row r="35" spans="1:18" s="22" customFormat="1" ht="14.25" customHeight="1" x14ac:dyDescent="0.35">
      <c r="A35" s="796"/>
      <c r="B35" s="796"/>
      <c r="C35" s="796"/>
      <c r="D35" s="796"/>
      <c r="E35" s="796"/>
      <c r="F35" s="796"/>
      <c r="G35" s="796"/>
      <c r="H35" s="738"/>
      <c r="K35" s="1120"/>
      <c r="L35" s="1120"/>
      <c r="M35" s="1120"/>
      <c r="N35" s="1120"/>
      <c r="O35" s="1120"/>
      <c r="P35" s="1120"/>
      <c r="Q35" s="1120"/>
      <c r="R35" s="1120"/>
    </row>
    <row r="36" spans="1:18" s="22" customFormat="1" ht="15.5" x14ac:dyDescent="0.35">
      <c r="A36" s="796" t="s">
        <v>132</v>
      </c>
      <c r="B36" s="800">
        <f>SUBTOTAL(2,Table18['#])</f>
        <v>2</v>
      </c>
      <c r="C36" s="796"/>
      <c r="D36" s="796"/>
      <c r="E36" s="796"/>
      <c r="F36" s="796"/>
      <c r="G36" s="796"/>
      <c r="H36" s="738"/>
      <c r="J36" s="732"/>
      <c r="L36" s="737"/>
      <c r="M36" s="737"/>
    </row>
    <row r="37" spans="1:18" s="22" customFormat="1" ht="18" x14ac:dyDescent="0.4">
      <c r="A37" s="796"/>
      <c r="B37" s="796"/>
      <c r="C37" s="796"/>
      <c r="D37" s="796"/>
      <c r="E37" s="796"/>
      <c r="F37" s="796"/>
      <c r="G37" s="796"/>
      <c r="I37" s="729" t="s">
        <v>49</v>
      </c>
    </row>
    <row r="38" spans="1:18" s="22" customFormat="1" x14ac:dyDescent="0.3">
      <c r="A38" s="796"/>
      <c r="B38" s="796"/>
      <c r="C38" s="796"/>
      <c r="D38" s="796"/>
      <c r="E38" s="796"/>
      <c r="F38" s="796"/>
      <c r="G38" s="796"/>
    </row>
    <row r="39" spans="1:18" s="22" customFormat="1" ht="15.5" x14ac:dyDescent="0.35">
      <c r="A39" s="796"/>
      <c r="B39" s="796"/>
      <c r="C39" s="796"/>
      <c r="D39" s="796"/>
      <c r="E39" s="796"/>
      <c r="F39" s="796"/>
      <c r="G39" s="796"/>
      <c r="I39" s="784" t="s">
        <v>114</v>
      </c>
      <c r="J39" s="784"/>
      <c r="K39" s="785">
        <v>2</v>
      </c>
      <c r="L39" s="792" t="str">
        <f>IF(RowsRequiredRoofLights_13_2&gt;K53,"Not possible - maximum number available is "&amp;K53,IF(RowsRequiredRoofLights_13_2&lt;&gt;B55,("Click filter arrow beside the table header 'Rows'. Select only '"&amp;RowsRequiredRoofLights_13_2&amp;"' on the drop-down list, (as currently displayed)"),""))</f>
        <v/>
      </c>
    </row>
    <row r="40" spans="1:18" s="22" customFormat="1" x14ac:dyDescent="0.3">
      <c r="A40" s="796"/>
      <c r="B40" s="796"/>
      <c r="C40" s="796"/>
      <c r="D40" s="796"/>
      <c r="E40" s="796"/>
      <c r="F40" s="796"/>
      <c r="G40" s="796"/>
    </row>
    <row r="41" spans="1:18" s="22" customFormat="1" ht="18" x14ac:dyDescent="0.4">
      <c r="A41" s="796"/>
      <c r="B41" s="796"/>
      <c r="C41" s="796"/>
      <c r="D41" s="796"/>
      <c r="E41" s="796"/>
      <c r="F41" s="796"/>
      <c r="G41" s="796"/>
      <c r="J41" s="783" t="s">
        <v>133</v>
      </c>
    </row>
    <row r="42" spans="1:18" s="22" customFormat="1" x14ac:dyDescent="0.3">
      <c r="A42" s="797" t="s">
        <v>117</v>
      </c>
      <c r="B42" s="796"/>
      <c r="C42" s="796"/>
      <c r="D42" s="796"/>
      <c r="E42" s="796"/>
      <c r="F42" s="796"/>
      <c r="G42" s="796"/>
    </row>
    <row r="43" spans="1:18" s="44" customFormat="1" ht="43.5" customHeight="1" x14ac:dyDescent="0.3">
      <c r="A43" s="802" t="s">
        <v>119</v>
      </c>
      <c r="B43" s="803"/>
      <c r="C43" s="803"/>
      <c r="D43" s="803"/>
      <c r="E43" s="803"/>
      <c r="F43" s="803"/>
      <c r="G43" s="803"/>
      <c r="J43" s="779" t="s">
        <v>120</v>
      </c>
      <c r="K43" s="781" t="s">
        <v>121</v>
      </c>
      <c r="L43" s="781" t="s">
        <v>50</v>
      </c>
      <c r="M43" s="781" t="s">
        <v>134</v>
      </c>
      <c r="N43" s="781" t="s">
        <v>135</v>
      </c>
      <c r="O43" s="781" t="s">
        <v>136</v>
      </c>
      <c r="P43" s="781" t="s">
        <v>137</v>
      </c>
      <c r="Q43" s="781" t="s">
        <v>52</v>
      </c>
      <c r="R43" s="781" t="s">
        <v>53</v>
      </c>
    </row>
    <row r="44" spans="1:18" s="22" customFormat="1" ht="59.15" customHeight="1" x14ac:dyDescent="0.3">
      <c r="A44" s="796">
        <v>1</v>
      </c>
      <c r="B44" s="796"/>
      <c r="C44" s="796"/>
      <c r="D44" s="796"/>
      <c r="E44" s="796"/>
      <c r="F44" s="796"/>
      <c r="G44" s="796"/>
      <c r="J44" s="778">
        <f>IF(ISBLANK($K$39),"1",IF(ISBLANK(A44),"-",IF(A44&lt;=$K$39,$K$39,"-")))</f>
        <v>2</v>
      </c>
      <c r="K44" s="1269">
        <v>1</v>
      </c>
      <c r="L44" s="1276"/>
      <c r="M44" s="1272"/>
      <c r="N44" s="787"/>
      <c r="O44" s="787"/>
      <c r="P44" s="788"/>
      <c r="Q44" s="789" t="str">
        <f>IFERROR(INDEX(Roof_lights_Total_System_SHGC107[[Total area of roof lights up to 3.5% of the floor area of the room or space]:[Total area of roof lights more than 3.5% and up to 5% of the floor area of the room or space]],MATCH(Table69[[#This Row],[Roof Light Shaft Index]],Roof_lights_Total_System_SHGC107[Roof light shaft index Note 1],0),MATCH(Table69[[#This Row],[Total Area of Roof Lights ]],D_List!$B$51:$B$52,0)),"")</f>
        <v/>
      </c>
      <c r="R44" s="1277" t="str">
        <f>IF(Table69[[#This Row],[Roof Light Size (m²)]]&lt;&gt;"","&lt;=3.9","")</f>
        <v/>
      </c>
    </row>
    <row r="45" spans="1:18" s="22" customFormat="1" ht="59.15" customHeight="1" x14ac:dyDescent="0.3">
      <c r="A45" s="796">
        <v>2</v>
      </c>
      <c r="B45" s="796"/>
      <c r="C45" s="796"/>
      <c r="D45" s="796"/>
      <c r="E45" s="796"/>
      <c r="F45" s="796"/>
      <c r="G45" s="796"/>
      <c r="J45" s="778">
        <f>IF(ISBLANK(A45),"-",IF(A45&lt;=K$39,K$39,"-"))</f>
        <v>2</v>
      </c>
      <c r="K45" s="1269">
        <v>2</v>
      </c>
      <c r="L45" s="1276"/>
      <c r="M45" s="1272"/>
      <c r="N45" s="787"/>
      <c r="O45" s="787"/>
      <c r="P45" s="788"/>
      <c r="Q45" s="789" t="str">
        <f>IFERROR(INDEX(Roof_lights_Total_System_SHGC107[[Total area of roof lights up to 3.5% of the floor area of the room or space]:[Total area of roof lights more than 3.5% and up to 5% of the floor area of the room or space]],MATCH(Table69[[#This Row],[Roof Light Shaft Index]],Roof_lights_Total_System_SHGC107[Roof light shaft index Note 1],0),MATCH(Table69[[#This Row],[Total Area of Roof Lights ]],D_List!$B$51:$B$52,0)),"")</f>
        <v/>
      </c>
      <c r="R45" s="1277" t="str">
        <f>IF(Table69[[#This Row],[Roof Light Size (m²)]]&lt;&gt;"","&lt;=3.9","")</f>
        <v/>
      </c>
    </row>
    <row r="46" spans="1:18" s="22" customFormat="1" ht="59.15" hidden="1" customHeight="1" x14ac:dyDescent="0.3">
      <c r="A46" s="796">
        <v>3</v>
      </c>
      <c r="B46" s="796"/>
      <c r="C46" s="796"/>
      <c r="D46" s="796"/>
      <c r="E46" s="796"/>
      <c r="F46" s="796"/>
      <c r="G46" s="796"/>
      <c r="J46" s="790" t="str">
        <f>IF(ISBLANK(A46),"-",IF(A46&lt;=K$39,K$39,"-"))</f>
        <v>-</v>
      </c>
      <c r="K46" s="1278">
        <v>3</v>
      </c>
      <c r="L46" s="1279"/>
      <c r="M46" s="1280"/>
      <c r="N46" s="1131"/>
      <c r="O46" s="1131"/>
      <c r="P46" s="1126"/>
      <c r="Q46" s="1132" t="str">
        <f>IFERROR(INDEX(Roof_lights_Total_System_SHGC107[[Total area of roof lights up to 3.5% of the floor area of the room or space]:[Total area of roof lights more than 3.5% and up to 5% of the floor area of the room or space]],MATCH(Table69[[#This Row],[Roof Light Shaft Index]],Roof_lights_Total_System_SHGC107[Roof light shaft index Note 1],0),MATCH(Table69[[#This Row],[Total Area of Roof Lights ]],D_List!$B$51:$B$52,0)),"")</f>
        <v/>
      </c>
      <c r="R46" s="1281" t="str">
        <f>IF(Table69[[#This Row],[Roof Light Size (m²)]]&lt;&gt;"","&lt;=3.9","")</f>
        <v/>
      </c>
    </row>
    <row r="47" spans="1:18" s="22" customFormat="1" ht="59.15" hidden="1" customHeight="1" x14ac:dyDescent="0.3">
      <c r="A47" s="796">
        <v>4</v>
      </c>
      <c r="B47" s="796"/>
      <c r="C47" s="796"/>
      <c r="D47" s="796"/>
      <c r="E47" s="796"/>
      <c r="F47" s="796"/>
      <c r="G47" s="796"/>
      <c r="J47" s="778" t="str">
        <f t="shared" ref="J47:J53" si="0">IF(ISBLANK(A47),"-",IF(A47&lt;=K$39,K$39,"-"))</f>
        <v>-</v>
      </c>
      <c r="K47" s="791">
        <v>4</v>
      </c>
      <c r="L47" s="788"/>
      <c r="M47" s="788"/>
      <c r="N47" s="787"/>
      <c r="O47" s="787"/>
      <c r="P47" s="788"/>
      <c r="Q47" s="789" t="str">
        <f>IFERROR(INDEX(Roof_lights_Total_System_SHGC107[[Total area of roof lights up to 3.5% of the floor area of the room or space]:[Total area of roof lights more than 3.5% and up to 5% of the floor area of the room or space]],MATCH(Table69[[#This Row],[Roof Light Shaft Index]],Roof_lights_Total_System_SHGC107[Roof light shaft index Note 1],0),MATCH(Table69[[#This Row],[Total Area of Roof Lights ]],D_List!$B$51:$B$52,0)),"")</f>
        <v/>
      </c>
      <c r="R47" s="789" t="str">
        <f>IF(Table69[[#This Row],[Roof Light Size (m²)]]&lt;&gt;"","&lt;=3.9","")</f>
        <v/>
      </c>
    </row>
    <row r="48" spans="1:18" s="22" customFormat="1" ht="59.15" hidden="1" customHeight="1" x14ac:dyDescent="0.3">
      <c r="A48" s="796">
        <v>5</v>
      </c>
      <c r="B48" s="796"/>
      <c r="C48" s="796"/>
      <c r="D48" s="796"/>
      <c r="E48" s="796"/>
      <c r="F48" s="796"/>
      <c r="G48" s="796"/>
      <c r="J48" s="778" t="str">
        <f t="shared" si="0"/>
        <v>-</v>
      </c>
      <c r="K48" s="1269">
        <v>5</v>
      </c>
      <c r="L48" s="1272"/>
      <c r="M48" s="1272"/>
      <c r="N48" s="787"/>
      <c r="O48" s="787"/>
      <c r="P48" s="788"/>
      <c r="Q48" s="789" t="str">
        <f>IFERROR(INDEX(Roof_lights_Total_System_SHGC107[[Total area of roof lights up to 3.5% of the floor area of the room or space]:[Total area of roof lights more than 3.5% and up to 5% of the floor area of the room or space]],MATCH(Table69[[#This Row],[Roof Light Shaft Index]],Roof_lights_Total_System_SHGC107[Roof light shaft index Note 1],0),MATCH(Table69[[#This Row],[Total Area of Roof Lights ]],D_List!$B$51:$B$52,0)),"")</f>
        <v/>
      </c>
      <c r="R48" s="1277" t="str">
        <f>IF(Table69[[#This Row],[Roof Light Size (m²)]]&lt;&gt;"","&lt;=3.9","")</f>
        <v/>
      </c>
    </row>
    <row r="49" spans="1:20" s="22" customFormat="1" ht="59.15" hidden="1" customHeight="1" x14ac:dyDescent="0.3">
      <c r="A49" s="796">
        <v>6</v>
      </c>
      <c r="B49" s="796"/>
      <c r="C49" s="796"/>
      <c r="D49" s="796"/>
      <c r="E49" s="796"/>
      <c r="F49" s="796"/>
      <c r="G49" s="796"/>
      <c r="J49" s="778" t="str">
        <f t="shared" si="0"/>
        <v>-</v>
      </c>
      <c r="K49" s="1269">
        <v>6</v>
      </c>
      <c r="L49" s="1272"/>
      <c r="M49" s="1272"/>
      <c r="N49" s="787"/>
      <c r="O49" s="787"/>
      <c r="P49" s="788"/>
      <c r="Q49" s="789" t="str">
        <f>IFERROR(INDEX(Roof_lights_Total_System_SHGC107[[Total area of roof lights up to 3.5% of the floor area of the room or space]:[Total area of roof lights more than 3.5% and up to 5% of the floor area of the room or space]],MATCH(Table69[[#This Row],[Roof Light Shaft Index]],Roof_lights_Total_System_SHGC107[Roof light shaft index Note 1],0),MATCH(Table69[[#This Row],[Total Area of Roof Lights ]],D_List!$B$51:$B$52,0)),"")</f>
        <v/>
      </c>
      <c r="R49" s="1277" t="str">
        <f>IF(Table69[[#This Row],[Roof Light Size (m²)]]&lt;&gt;"","&lt;=3.9","")</f>
        <v/>
      </c>
    </row>
    <row r="50" spans="1:20" s="22" customFormat="1" ht="59.15" hidden="1" customHeight="1" x14ac:dyDescent="0.3">
      <c r="A50" s="796">
        <v>7</v>
      </c>
      <c r="B50" s="796"/>
      <c r="C50" s="796"/>
      <c r="D50" s="796"/>
      <c r="E50" s="796"/>
      <c r="F50" s="796"/>
      <c r="G50" s="796"/>
      <c r="J50" s="778" t="str">
        <f t="shared" si="0"/>
        <v>-</v>
      </c>
      <c r="K50" s="1269">
        <v>7</v>
      </c>
      <c r="L50" s="1272"/>
      <c r="M50" s="1272"/>
      <c r="N50" s="787"/>
      <c r="O50" s="787"/>
      <c r="P50" s="788"/>
      <c r="Q50" s="789" t="str">
        <f>IFERROR(INDEX(Roof_lights_Total_System_SHGC107[[Total area of roof lights up to 3.5% of the floor area of the room or space]:[Total area of roof lights more than 3.5% and up to 5% of the floor area of the room or space]],MATCH(Table69[[#This Row],[Roof Light Shaft Index]],Roof_lights_Total_System_SHGC107[Roof light shaft index Note 1],0),MATCH(Table69[[#This Row],[Total Area of Roof Lights ]],D_List!$B$51:$B$52,0)),"")</f>
        <v/>
      </c>
      <c r="R50" s="1277" t="str">
        <f>IF(Table69[[#This Row],[Roof Light Size (m²)]]&lt;&gt;"","&lt;=3.9","")</f>
        <v/>
      </c>
    </row>
    <row r="51" spans="1:20" s="22" customFormat="1" ht="59.15" hidden="1" customHeight="1" x14ac:dyDescent="0.3">
      <c r="A51" s="796">
        <v>8</v>
      </c>
      <c r="B51" s="796"/>
      <c r="C51" s="796"/>
      <c r="D51" s="796"/>
      <c r="E51" s="796"/>
      <c r="F51" s="796"/>
      <c r="G51" s="796"/>
      <c r="J51" s="778" t="str">
        <f t="shared" si="0"/>
        <v>-</v>
      </c>
      <c r="K51" s="1269">
        <v>8</v>
      </c>
      <c r="L51" s="1272"/>
      <c r="M51" s="1272"/>
      <c r="N51" s="787"/>
      <c r="O51" s="787"/>
      <c r="P51" s="788"/>
      <c r="Q51" s="789" t="str">
        <f>IFERROR(INDEX(Roof_lights_Total_System_SHGC107[[Total area of roof lights up to 3.5% of the floor area of the room or space]:[Total area of roof lights more than 3.5% and up to 5% of the floor area of the room or space]],MATCH(Table69[[#This Row],[Roof Light Shaft Index]],Roof_lights_Total_System_SHGC107[Roof light shaft index Note 1],0),MATCH(Table69[[#This Row],[Total Area of Roof Lights ]],D_List!$B$51:$B$52,0)),"")</f>
        <v/>
      </c>
      <c r="R51" s="1277" t="str">
        <f>IF(Table69[[#This Row],[Roof Light Size (m²)]]&lt;&gt;"","&lt;=3.9","")</f>
        <v/>
      </c>
    </row>
    <row r="52" spans="1:20" s="22" customFormat="1" ht="59.15" hidden="1" customHeight="1" x14ac:dyDescent="0.3">
      <c r="A52" s="796">
        <v>9</v>
      </c>
      <c r="B52" s="796"/>
      <c r="C52" s="796"/>
      <c r="D52" s="796"/>
      <c r="E52" s="796"/>
      <c r="F52" s="796"/>
      <c r="G52" s="796"/>
      <c r="J52" s="778" t="str">
        <f t="shared" si="0"/>
        <v>-</v>
      </c>
      <c r="K52" s="1269">
        <v>9</v>
      </c>
      <c r="L52" s="1272"/>
      <c r="M52" s="1272"/>
      <c r="N52" s="787"/>
      <c r="O52" s="787"/>
      <c r="P52" s="788"/>
      <c r="Q52" s="789" t="str">
        <f>IFERROR(INDEX(Roof_lights_Total_System_SHGC107[[Total area of roof lights up to 3.5% of the floor area of the room or space]:[Total area of roof lights more than 3.5% and up to 5% of the floor area of the room or space]],MATCH(Table69[[#This Row],[Roof Light Shaft Index]],Roof_lights_Total_System_SHGC107[Roof light shaft index Note 1],0),MATCH(Table69[[#This Row],[Total Area of Roof Lights ]],D_List!$B$51:$B$52,0)),"")</f>
        <v/>
      </c>
      <c r="R52" s="1277" t="str">
        <f>IF(Table69[[#This Row],[Roof Light Size (m²)]]&lt;&gt;"","&lt;=3.9","")</f>
        <v/>
      </c>
    </row>
    <row r="53" spans="1:20" s="22" customFormat="1" ht="59.15" hidden="1" customHeight="1" x14ac:dyDescent="0.3">
      <c r="A53" s="796">
        <v>10</v>
      </c>
      <c r="B53" s="796"/>
      <c r="C53" s="796"/>
      <c r="D53" s="796"/>
      <c r="E53" s="796"/>
      <c r="F53" s="796"/>
      <c r="G53" s="796"/>
      <c r="J53" s="778" t="str">
        <f t="shared" si="0"/>
        <v>-</v>
      </c>
      <c r="K53" s="1269">
        <v>10</v>
      </c>
      <c r="L53" s="1272"/>
      <c r="M53" s="1272"/>
      <c r="N53" s="787"/>
      <c r="O53" s="787"/>
      <c r="P53" s="788"/>
      <c r="Q53" s="789" t="str">
        <f>IFERROR(INDEX(Roof_lights_Total_System_SHGC107[[Total area of roof lights up to 3.5% of the floor area of the room or space]:[Total area of roof lights more than 3.5% and up to 5% of the floor area of the room or space]],MATCH(Table69[[#This Row],[Roof Light Shaft Index]],Roof_lights_Total_System_SHGC107[Roof light shaft index Note 1],0),MATCH(Table69[[#This Row],[Total Area of Roof Lights ]],D_List!$B$51:$B$52,0)),"")</f>
        <v/>
      </c>
      <c r="R53" s="1277" t="str">
        <f>IF(Table69[[#This Row],[Roof Light Size (m²)]]&lt;&gt;"","&lt;=3.9","")</f>
        <v/>
      </c>
    </row>
    <row r="54" spans="1:20" s="22" customFormat="1" x14ac:dyDescent="0.3">
      <c r="A54" s="796"/>
      <c r="B54" s="796"/>
      <c r="C54" s="796"/>
      <c r="D54" s="796"/>
      <c r="E54" s="796"/>
      <c r="F54" s="796"/>
      <c r="G54" s="796"/>
    </row>
    <row r="55" spans="1:20" s="22" customFormat="1" ht="15.5" x14ac:dyDescent="0.35">
      <c r="A55" s="796" t="s">
        <v>132</v>
      </c>
      <c r="B55" s="800">
        <f>SUBTOTAL(2,Table69['#])</f>
        <v>2</v>
      </c>
      <c r="C55" s="796"/>
      <c r="D55" s="796"/>
      <c r="E55" s="796"/>
      <c r="F55" s="796"/>
      <c r="G55" s="796"/>
      <c r="K55" s="784"/>
    </row>
    <row r="56" spans="1:20" s="22" customFormat="1" ht="14.5" x14ac:dyDescent="0.35">
      <c r="A56" s="796"/>
      <c r="B56" s="796"/>
      <c r="C56" s="796"/>
      <c r="D56" s="796"/>
      <c r="E56" s="796"/>
      <c r="F56" s="796"/>
      <c r="G56" s="796"/>
      <c r="K56" s="737"/>
    </row>
    <row r="57" spans="1:20" s="22" customFormat="1" ht="18" x14ac:dyDescent="0.4">
      <c r="A57" s="796"/>
      <c r="B57" s="796"/>
      <c r="C57" s="796"/>
      <c r="D57" s="796"/>
      <c r="E57" s="796"/>
      <c r="F57" s="796"/>
      <c r="G57" s="796"/>
      <c r="I57" s="729" t="s">
        <v>54</v>
      </c>
    </row>
    <row r="58" spans="1:20" s="22" customFormat="1" x14ac:dyDescent="0.3">
      <c r="A58" s="796"/>
      <c r="B58" s="796"/>
      <c r="C58" s="796"/>
      <c r="D58" s="796"/>
      <c r="E58" s="796"/>
      <c r="F58" s="796"/>
      <c r="G58" s="796"/>
    </row>
    <row r="59" spans="1:20" s="22" customFormat="1" ht="15.5" x14ac:dyDescent="0.35">
      <c r="A59" s="796"/>
      <c r="B59" s="796"/>
      <c r="C59" s="796"/>
      <c r="D59" s="796"/>
      <c r="E59" s="796"/>
      <c r="F59" s="796"/>
      <c r="G59" s="796"/>
      <c r="I59" s="22" t="s">
        <v>114</v>
      </c>
      <c r="J59" s="784"/>
      <c r="K59" s="785">
        <v>4</v>
      </c>
      <c r="L59" s="792" t="str">
        <f>IF(RowsRequiredExternalWalls&gt;K68,"Not possible - maximum number available is "&amp;K68,IF(RowsRequiredExternalWalls&lt;&gt;B71,("Click filter arrow beside the table header 'Rows'. Select only '"&amp;RowsRequiredExternalWalls&amp;"' in the drop-down list, (as currently displayed)"),""))</f>
        <v/>
      </c>
    </row>
    <row r="60" spans="1:20" s="22" customFormat="1" x14ac:dyDescent="0.3">
      <c r="A60" s="796"/>
      <c r="B60" s="796"/>
      <c r="C60" s="796"/>
      <c r="D60" s="796"/>
      <c r="E60" s="796"/>
      <c r="F60" s="796"/>
      <c r="G60" s="796"/>
    </row>
    <row r="61" spans="1:20" s="22" customFormat="1" ht="18" x14ac:dyDescent="0.4">
      <c r="A61" s="796"/>
      <c r="B61" s="796"/>
      <c r="C61" s="796"/>
      <c r="D61" s="796"/>
      <c r="E61" s="796"/>
      <c r="F61" s="796"/>
      <c r="G61" s="796"/>
      <c r="J61" s="783" t="s">
        <v>138</v>
      </c>
      <c r="L61" s="786"/>
    </row>
    <row r="62" spans="1:20" s="22" customFormat="1" x14ac:dyDescent="0.3">
      <c r="A62" s="796"/>
      <c r="B62" s="796"/>
      <c r="C62" s="796"/>
      <c r="D62" s="796"/>
      <c r="E62" s="796"/>
      <c r="F62" s="796"/>
      <c r="G62" s="796"/>
    </row>
    <row r="63" spans="1:20" s="22" customFormat="1" ht="31" x14ac:dyDescent="0.35">
      <c r="A63" s="796"/>
      <c r="B63" s="796"/>
      <c r="C63" s="796"/>
      <c r="D63" s="796"/>
      <c r="E63" s="796"/>
      <c r="F63" s="796"/>
      <c r="G63" s="796"/>
      <c r="K63" s="737"/>
      <c r="P63" s="1268" t="s">
        <v>139</v>
      </c>
    </row>
    <row r="64" spans="1:20" s="727" customFormat="1" ht="61.5" customHeight="1" x14ac:dyDescent="0.3">
      <c r="A64" s="804" t="s">
        <v>119</v>
      </c>
      <c r="B64" s="805"/>
      <c r="C64" s="805"/>
      <c r="D64" s="805"/>
      <c r="E64" s="805"/>
      <c r="F64" s="805"/>
      <c r="G64" s="805"/>
      <c r="J64" s="779" t="s">
        <v>120</v>
      </c>
      <c r="K64" s="781" t="s">
        <v>121</v>
      </c>
      <c r="L64" s="781" t="s">
        <v>55</v>
      </c>
      <c r="M64" s="781" t="s">
        <v>125</v>
      </c>
      <c r="N64" s="781" t="s">
        <v>140</v>
      </c>
      <c r="O64" s="781" t="s">
        <v>141</v>
      </c>
      <c r="P64" s="781" t="s">
        <v>127</v>
      </c>
      <c r="Q64" s="781" t="s">
        <v>142</v>
      </c>
      <c r="R64" s="781" t="s">
        <v>129</v>
      </c>
      <c r="S64" s="781" t="s">
        <v>130</v>
      </c>
      <c r="T64" s="22"/>
    </row>
    <row r="65" spans="1:22" s="41" customFormat="1" ht="98.25" customHeight="1" x14ac:dyDescent="0.3">
      <c r="A65" s="800">
        <v>1</v>
      </c>
      <c r="B65" s="801" t="str">
        <f>IF(Table67[[#This Row],[Wall Type]]="Concrete block walls with internal lining fixed to a metal frame",CONCATENATE(Selection_ClimateZone,"Concrete block walls",Table67[[#This Row],[Solar Absorptance 
(Value between 0 and 1)]]),
     IF(Table67[[#This Row],[Wall Type]]="Lightweight metal-framed walls",CONCATENATE(Selection_ClimateZone,"Lightweight walls",Table67[[#This Row],[Solar Absorptance 
(Value between 0 and 1)]]),
  IF(OR(Table67[[#This Row],[Wall Type]]="Insulated sandwich panels with timber frame",Table67[[#This Row],[Wall Type]]="Insulated sandwich panels with metal frame"),CONCATENATE(Selection_ClimateZone,"Lightweight walls",Table67[[#This Row],[Solar Absorptance 
(Value between 0 and 1)]]),
IF(Table67[[#This Row],[Wall Type]]="Masonry veneer metal-framed walls",CONCATENATE(Selection_ClimateZone,"Masonry veneer walls",Table67[[#This Row],[Solar Absorptance 
(Value between 0 and 1)]]),
CONCATENATE(Selection_ClimateZone,Table67[[#This Row],[Wall Type]],Table67[[#This Row],[Solar Absorptance 
(Value between 0 and 1)]])))))</f>
        <v>5</v>
      </c>
      <c r="C65" s="801" t="str">
        <f>IF(Table67[[#This Row],[Wall Type]]="Concrete block walls with internal lining fixed to a metal frame",CONCATENATE(Selection_ClimateZone,"Concrete block walls"),
     IF(Table67[[#This Row],[Wall Type]]="Lightweight metal-framed walls",CONCATENATE(Selection_ClimateZone,"Lightweight walls"),
     IF(OR(Table67[[#This Row],[Wall Type]]="Insulated sandwich panels with timber frame",Table67[[#This Row],[Wall Type]]="Insulated sandwich panels with metal frame"),CONCATENATE(Selection_ClimateZone,"Lightweight walls"),
IF(Table67[[#This Row],[Wall Type]]="Masonry veneer metal-framed walls",CONCATENATE(Selection_ClimateZone,"Masonry veneer walls"),
CONCATENATE(Selection_ClimateZone,Table67[[#This Row],[Wall Type]])))))</f>
        <v>5</v>
      </c>
      <c r="D65" s="801" t="str">
        <f>CONCATENATE(C65,Selection_Storeys)</f>
        <v>5Single storey dwelling</v>
      </c>
      <c r="E65" s="801" t="str">
        <f>CONCATENATE(B65,Table67[[#This Row],[Overhang (mm)]])</f>
        <v>5</v>
      </c>
      <c r="F65" s="801" t="e">
        <f>INDEX(D_List!$P$9:$P$17,MATCH(Table67[[#This Row],[Wall Type]],D_List!$O$9:$O$17,0))</f>
        <v>#N/A</v>
      </c>
      <c r="G65" s="801">
        <f>IFERROR(FIND("metal",Table67[[#This Row],[Wall Type]]),0)</f>
        <v>0</v>
      </c>
      <c r="J65" s="778">
        <f>IF(ISBLANK($K$59),"1",IF(ISBLANK(A65),"-",IF(A65&lt;=$K$59,$K$59,"-")))</f>
        <v>4</v>
      </c>
      <c r="K65" s="1282">
        <v>1</v>
      </c>
      <c r="L65" s="1283"/>
      <c r="M65" s="1280"/>
      <c r="N65" s="1280"/>
      <c r="O65" s="1284"/>
      <c r="P65" s="1279"/>
      <c r="Q65" s="1285"/>
      <c r="R65" s="1286" t="str">
        <f>IFERROR(
IF(Table67[[#This Row],[Wall Type]]="","",
D_Building_Fabric!Q$291),"Review inputs, combination not permitted")</f>
        <v/>
      </c>
      <c r="S65" s="1090" t="str" cm="1">
        <f t="array" ref="S65">IFERROR(IF(Table67[[#This Row],[Thermal Bridging Calculation]:[Thermal Bridging Calculation]]=D_List!$H$23,
 IF(OR(INDEX(D_Building_Fabric!$L$772:$L$778,
              MATCH(D_Building_Fabric!Q$293,
                   D_Building_Fabric!$J$772:$J$778,0))="Not required",INDEX(D_Building_Fabric!$L$772:$L$778,
              MATCH(D_Building_Fabric!Q$293,
                   D_Building_Fabric!$J$772:$J$778,0))=0),"",
"Add a layer of continuous insulation with a minimum R-Value of " &amp; INDEX(D_Building_Fabric!$L$772:$L$778,
              MATCH(D_Building_Fabric!Q$293,
                   D_Building_Fabric!$J$772:$J$778,0)) &amp; " on the inside or outside of the wall framing."),""),"")</f>
        <v/>
      </c>
      <c r="T65" s="824"/>
    </row>
    <row r="66" spans="1:22" s="41" customFormat="1" ht="98.25" customHeight="1" x14ac:dyDescent="0.3">
      <c r="A66" s="800">
        <v>2</v>
      </c>
      <c r="B66" s="801" t="str">
        <f>IF(Table67[[#This Row],[Wall Type]]="Concrete block walls with internal lining fixed to a metal frame",CONCATENATE(Selection_ClimateZone,"Concrete block walls",Table67[[#This Row],[Solar Absorptance 
(Value between 0 and 1)]]),
     IF(Table67[[#This Row],[Wall Type]]="Lightweight metal-framed walls",CONCATENATE(Selection_ClimateZone,"Lightweight walls",Table67[[#This Row],[Solar Absorptance 
(Value between 0 and 1)]]),
  IF(OR(Table67[[#This Row],[Wall Type]]="Insulated sandwich panels with timber frame",Table67[[#This Row],[Wall Type]]="Insulated sandwich panels with metal frame"),CONCATENATE(Selection_ClimateZone,"Lightweight walls",Table67[[#This Row],[Solar Absorptance 
(Value between 0 and 1)]]),
IF(Table67[[#This Row],[Wall Type]]="Masonry veneer metal-framed walls",CONCATENATE(Selection_ClimateZone,"Masonry veneer walls",Table67[[#This Row],[Solar Absorptance 
(Value between 0 and 1)]]),
CONCATENATE(Selection_ClimateZone,Table67[[#This Row],[Wall Type]],Table67[[#This Row],[Solar Absorptance 
(Value between 0 and 1)]])))))</f>
        <v>5</v>
      </c>
      <c r="C66" s="801" t="str">
        <f>IF(Table67[[#This Row],[Wall Type]]="Concrete block walls with internal lining fixed to a metal frame",CONCATENATE(Selection_ClimateZone,"Concrete block walls"),
     IF(Table67[[#This Row],[Wall Type]]="Lightweight metal-framed walls",CONCATENATE(Selection_ClimateZone,"Lightweight walls"),
     IF(OR(Table67[[#This Row],[Wall Type]]="Insulated sandwich panels with timber frame",Table67[[#This Row],[Wall Type]]="Insulated sandwich panels with metal frame"),CONCATENATE(Selection_ClimateZone,"Lightweight walls"),
IF(Table67[[#This Row],[Wall Type]]="Masonry veneer metal-framed walls",CONCATENATE(Selection_ClimateZone,"Masonry veneer walls"),
CONCATENATE(Selection_ClimateZone,Table67[[#This Row],[Wall Type]])))))</f>
        <v>5</v>
      </c>
      <c r="D66" s="801" t="str">
        <f>CONCATENATE(C66,Selection_Storeys)</f>
        <v>5Single storey dwelling</v>
      </c>
      <c r="E66" s="801" t="str">
        <f>CONCATENATE(B66,Table67[[#This Row],[Overhang (mm)]])</f>
        <v>5</v>
      </c>
      <c r="F66" s="801" t="e">
        <f>INDEX(D_List!$P$9:$P$17,MATCH(Table67[[#This Row],[Wall Type]],D_List!$O$9:$O$17,0))</f>
        <v>#N/A</v>
      </c>
      <c r="G66" s="801">
        <f>IFERROR(FIND("metal",Table67[[#This Row],[Wall Type]]),0)</f>
        <v>0</v>
      </c>
      <c r="J66" s="778">
        <f t="shared" ref="J66:J68" si="1">IF(ISBLANK(A66),"-",IF(A66&lt;=$K$59,$K$59,"-"))</f>
        <v>4</v>
      </c>
      <c r="K66" s="1282">
        <v>2</v>
      </c>
      <c r="L66" s="1283"/>
      <c r="M66" s="1280"/>
      <c r="N66" s="1280"/>
      <c r="O66" s="1280"/>
      <c r="P66" s="1279"/>
      <c r="Q66" s="1285"/>
      <c r="R66" s="1286" t="str">
        <f>IFERROR(
IF(Table67[[#This Row],[Wall Type]]="","",
D_Building_Fabric!R$291),"Review inputs, combination not permitted")</f>
        <v/>
      </c>
      <c r="S66" s="1090" t="str" cm="1">
        <f t="array" ref="S66">IFERROR(IF(Table67[[#This Row],[Thermal Bridging Calculation]:[Thermal Bridging Calculation]]=D_List!$H$23,
 IF(OR(INDEX(D_Building_Fabric!$L$772:$L$778,
              MATCH(D_Building_Fabric!R$293,
                   D_Building_Fabric!$J$772:$J$778,0))="Not required",INDEX(D_Building_Fabric!$L$772:$L$778,
              MATCH(D_Building_Fabric!R$293,
                   D_Building_Fabric!$J$772:$J$778,0))=0),"",
"Add a layer of continuous insulation with a minimum R-Value of " &amp; INDEX(D_Building_Fabric!$L$772:$L$778,
              MATCH(D_Building_Fabric!R$293,
                   D_Building_Fabric!$J$772:$J$778,0)) &amp; " on the inside or outside of the wall framing."),""),"")</f>
        <v/>
      </c>
      <c r="T66" s="824"/>
    </row>
    <row r="67" spans="1:22" s="41" customFormat="1" ht="98.25" customHeight="1" x14ac:dyDescent="0.3">
      <c r="A67" s="800">
        <v>3</v>
      </c>
      <c r="B67" s="801" t="str">
        <f>IF(Table67[[#This Row],[Wall Type]]="Concrete block walls with internal lining fixed to a metal frame",CONCATENATE(Selection_ClimateZone,"Concrete block walls",Table67[[#This Row],[Solar Absorptance 
(Value between 0 and 1)]]),
     IF(Table67[[#This Row],[Wall Type]]="Lightweight metal-framed walls",CONCATENATE(Selection_ClimateZone,"Lightweight walls",Table67[[#This Row],[Solar Absorptance 
(Value between 0 and 1)]]),
  IF(OR(Table67[[#This Row],[Wall Type]]="Insulated sandwich panels with timber frame",Table67[[#This Row],[Wall Type]]="Insulated sandwich panels with metal frame"),CONCATENATE(Selection_ClimateZone,"Lightweight walls",Table67[[#This Row],[Solar Absorptance 
(Value between 0 and 1)]]),
IF(Table67[[#This Row],[Wall Type]]="Masonry veneer metal-framed walls",CONCATENATE(Selection_ClimateZone,"Masonry veneer walls",Table67[[#This Row],[Solar Absorptance 
(Value between 0 and 1)]]),
CONCATENATE(Selection_ClimateZone,Table67[[#This Row],[Wall Type]],Table67[[#This Row],[Solar Absorptance 
(Value between 0 and 1)]])))))</f>
        <v>5</v>
      </c>
      <c r="C67" s="801" t="str">
        <f>IF(Table67[[#This Row],[Wall Type]]="Concrete block walls with internal lining fixed to a metal frame",CONCATENATE(Selection_ClimateZone,"Concrete block walls"),
     IF(Table67[[#This Row],[Wall Type]]="Lightweight metal-framed walls",CONCATENATE(Selection_ClimateZone,"Lightweight walls"),
     IF(OR(Table67[[#This Row],[Wall Type]]="Insulated sandwich panels with timber frame",Table67[[#This Row],[Wall Type]]="Insulated sandwich panels with metal frame"),CONCATENATE(Selection_ClimateZone,"Lightweight walls"),
IF(Table67[[#This Row],[Wall Type]]="Masonry veneer metal-framed walls",CONCATENATE(Selection_ClimateZone,"Masonry veneer walls"),
CONCATENATE(Selection_ClimateZone,Table67[[#This Row],[Wall Type]])))))</f>
        <v>5</v>
      </c>
      <c r="D67" s="801" t="str">
        <f>CONCATENATE(C67,Selection_Storeys)</f>
        <v>5Single storey dwelling</v>
      </c>
      <c r="E67" s="801" t="str">
        <f>CONCATENATE(B67,Table67[[#This Row],[Overhang (mm)]])</f>
        <v>5</v>
      </c>
      <c r="F67" s="801" t="e">
        <f>INDEX(D_List!$P$9:$P$17,MATCH(Table67[[#This Row],[Wall Type]],D_List!$O$9:$O$17,0))</f>
        <v>#N/A</v>
      </c>
      <c r="G67" s="801">
        <f>IFERROR(FIND("metal",Table67[[#This Row],[Wall Type]]),0)</f>
        <v>0</v>
      </c>
      <c r="J67" s="778">
        <f t="shared" si="1"/>
        <v>4</v>
      </c>
      <c r="K67" s="1282">
        <v>3</v>
      </c>
      <c r="L67" s="1283"/>
      <c r="M67" s="1280"/>
      <c r="N67" s="1280"/>
      <c r="O67" s="1280"/>
      <c r="P67" s="1279"/>
      <c r="Q67" s="1285"/>
      <c r="R67" s="1286" t="str">
        <f>IFERROR(
IF(Table67[[#This Row],[Wall Type]]="","",
D_Building_Fabric!S$291),"Review inputs, combination not permitted")</f>
        <v/>
      </c>
      <c r="S67" s="1090" t="str" cm="1">
        <f t="array" ref="S67">IFERROR(IF(Table67[[#This Row],[Thermal Bridging Calculation]:[Thermal Bridging Calculation]]=D_List!$H$23,
 IF(OR(INDEX(D_Building_Fabric!$L$772:$L$778,
              MATCH(D_Building_Fabric!S$293,
                   D_Building_Fabric!$J$772:$J$778,0))="Not required",INDEX(D_Building_Fabric!$L$772:$L$778,
              MATCH(D_Building_Fabric!S$293,
                   D_Building_Fabric!$J$772:$J$778,0))=0),"",
"Add a layer of continuous insulation with a minimum R-Value of " &amp; INDEX(D_Building_Fabric!$L$772:$L$778,
              MATCH(D_Building_Fabric!S$293,
                   D_Building_Fabric!$J$772:$J$778,0)) &amp; " on the inside or outside of the wall framing."),""),"")</f>
        <v/>
      </c>
      <c r="T67" s="824"/>
    </row>
    <row r="68" spans="1:22" s="41" customFormat="1" ht="98.25" customHeight="1" x14ac:dyDescent="0.3">
      <c r="A68" s="800">
        <v>4</v>
      </c>
      <c r="B68" s="801" t="str">
        <f>IF(Table67[[#This Row],[Wall Type]]="Concrete block walls with internal lining fixed to a metal frame",CONCATENATE(Selection_ClimateZone,"Concrete block walls",Table67[[#This Row],[Solar Absorptance 
(Value between 0 and 1)]]),
     IF(Table67[[#This Row],[Wall Type]]="Lightweight metal-framed walls",CONCATENATE(Selection_ClimateZone,"Lightweight walls",Table67[[#This Row],[Solar Absorptance 
(Value between 0 and 1)]]),
  IF(OR(Table67[[#This Row],[Wall Type]]="Insulated sandwich panels with timber frame",Table67[[#This Row],[Wall Type]]="Insulated sandwich panels with metal frame"),CONCATENATE(Selection_ClimateZone,"Lightweight walls",Table67[[#This Row],[Solar Absorptance 
(Value between 0 and 1)]]),
IF(Table67[[#This Row],[Wall Type]]="Masonry veneer metal-framed walls",CONCATENATE(Selection_ClimateZone,"Masonry veneer walls",Table67[[#This Row],[Solar Absorptance 
(Value between 0 and 1)]]),
CONCATENATE(Selection_ClimateZone,Table67[[#This Row],[Wall Type]],Table67[[#This Row],[Solar Absorptance 
(Value between 0 and 1)]])))))</f>
        <v>5</v>
      </c>
      <c r="C68" s="801" t="str">
        <f>IF(Table67[[#This Row],[Wall Type]]="Concrete block walls with internal lining fixed to a metal frame",CONCATENATE(Selection_ClimateZone,"Concrete block walls"),
     IF(Table67[[#This Row],[Wall Type]]="Lightweight metal-framed walls",CONCATENATE(Selection_ClimateZone,"Lightweight walls"),
     IF(OR(Table67[[#This Row],[Wall Type]]="Insulated sandwich panels with timber frame",Table67[[#This Row],[Wall Type]]="Insulated sandwich panels with metal frame"),CONCATENATE(Selection_ClimateZone,"Lightweight walls"),
IF(Table67[[#This Row],[Wall Type]]="Masonry veneer metal-framed walls",CONCATENATE(Selection_ClimateZone,"Masonry veneer walls"),
CONCATENATE(Selection_ClimateZone,Table67[[#This Row],[Wall Type]])))))</f>
        <v>5</v>
      </c>
      <c r="D68" s="801" t="str">
        <f>CONCATENATE(C68,Selection_Storeys)</f>
        <v>5Single storey dwelling</v>
      </c>
      <c r="E68" s="801" t="str">
        <f>CONCATENATE(B68,Table67[[#This Row],[Overhang (mm)]])</f>
        <v>5</v>
      </c>
      <c r="F68" s="801" t="e">
        <f>INDEX(D_List!$P$9:$P$17,MATCH(Table67[[#This Row],[Wall Type]],D_List!$O$9:$O$17,0))</f>
        <v>#N/A</v>
      </c>
      <c r="G68" s="801">
        <f>IFERROR(FIND("metal",Table67[[#This Row],[Wall Type]]),0)</f>
        <v>0</v>
      </c>
      <c r="J68" s="778">
        <f t="shared" si="1"/>
        <v>4</v>
      </c>
      <c r="K68" s="1282">
        <v>4</v>
      </c>
      <c r="L68" s="1283"/>
      <c r="M68" s="1280"/>
      <c r="N68" s="1280"/>
      <c r="O68" s="1280"/>
      <c r="P68" s="1279"/>
      <c r="Q68" s="1285"/>
      <c r="R68" s="1286" t="str">
        <f>IFERROR(
IF(Table67[[#This Row],[Wall Type]]="","",
D_Building_Fabric!T$291),"Review inputs, combination not permitted")</f>
        <v/>
      </c>
      <c r="S68" s="1090" t="str" cm="1">
        <f t="array" ref="S68">IFERROR(IF(Table67[[#This Row],[Thermal Bridging Calculation]:[Thermal Bridging Calculation]]=D_List!$H$23,
 IF(OR(INDEX(D_Building_Fabric!$L$772:$L$778,
              MATCH(D_Building_Fabric!T$293,
                   D_Building_Fabric!$J$772:$J$778,0))="Not required",INDEX(D_Building_Fabric!$L$772:$L$778,
              MATCH(D_Building_Fabric!T$293,
                   D_Building_Fabric!$J$772:$J$778,0))=0),"",
"Add a layer of continuous insulation with a minimum R-Value of " &amp; INDEX(D_Building_Fabric!$L$772:$L$778,
              MATCH(D_Building_Fabric!T$293,
                   D_Building_Fabric!$J$772:$J$778,0)) &amp; " on the inside or outside of the wall framing."),""),"")</f>
        <v/>
      </c>
      <c r="T68" s="824"/>
    </row>
    <row r="69" spans="1:22" s="22" customFormat="1" x14ac:dyDescent="0.3">
      <c r="A69" s="796"/>
      <c r="B69" s="796"/>
      <c r="C69" s="796"/>
      <c r="D69" s="796"/>
      <c r="E69" s="796"/>
      <c r="F69" s="796"/>
      <c r="G69" s="796"/>
    </row>
    <row r="70" spans="1:22" s="22" customFormat="1" ht="18" x14ac:dyDescent="0.4">
      <c r="A70" s="796"/>
      <c r="B70" s="796"/>
      <c r="C70" s="796"/>
      <c r="D70" s="796"/>
      <c r="E70" s="796"/>
      <c r="F70" s="796"/>
      <c r="G70" s="796"/>
      <c r="J70" s="783" t="s">
        <v>131</v>
      </c>
    </row>
    <row r="71" spans="1:22" s="22" customFormat="1" x14ac:dyDescent="0.3">
      <c r="A71" s="796" t="s">
        <v>132</v>
      </c>
      <c r="B71" s="800">
        <f>SUBTOTAL(2,Table67['#])</f>
        <v>4</v>
      </c>
      <c r="C71" s="796"/>
      <c r="D71" s="796"/>
      <c r="E71" s="796"/>
      <c r="F71" s="796"/>
      <c r="G71" s="796"/>
    </row>
    <row r="72" spans="1:22" s="22" customFormat="1" ht="75" customHeight="1" x14ac:dyDescent="0.3">
      <c r="A72" s="796"/>
      <c r="B72" s="800"/>
      <c r="C72" s="796"/>
      <c r="D72" s="796"/>
      <c r="E72" s="1107" t="b">
        <v>0</v>
      </c>
      <c r="F72" s="796"/>
      <c r="G72" s="796"/>
      <c r="K72" s="1554" t="str">
        <f>IF(SUM(G65:G68)&gt;0,$A$5,"NOT APPLICABLE")</f>
        <v>NOT APPLICABLE</v>
      </c>
      <c r="L72" s="1554"/>
      <c r="M72" s="1554"/>
      <c r="N72" s="1554"/>
      <c r="O72" s="1554"/>
      <c r="P72" s="1554"/>
      <c r="Q72" s="1554"/>
      <c r="R72" s="1554"/>
    </row>
    <row r="73" spans="1:22" s="22" customFormat="1" x14ac:dyDescent="0.3">
      <c r="A73" s="796"/>
      <c r="B73" s="800"/>
      <c r="C73" s="796"/>
      <c r="D73" s="796"/>
      <c r="E73" s="796"/>
      <c r="F73" s="796"/>
      <c r="G73" s="796"/>
    </row>
    <row r="74" spans="1:22" s="22" customFormat="1" x14ac:dyDescent="0.3">
      <c r="A74" s="796"/>
      <c r="B74" s="800"/>
      <c r="C74" s="796"/>
      <c r="D74" s="796"/>
      <c r="E74" s="796"/>
      <c r="F74" s="796"/>
      <c r="G74" s="796"/>
    </row>
    <row r="75" spans="1:22" s="22" customFormat="1" ht="18" x14ac:dyDescent="0.4">
      <c r="A75" s="796"/>
      <c r="B75" s="796"/>
      <c r="C75" s="796"/>
      <c r="D75" s="796"/>
      <c r="E75" s="796"/>
      <c r="F75" s="796"/>
      <c r="G75" s="796"/>
      <c r="I75" s="729" t="s">
        <v>57</v>
      </c>
    </row>
    <row r="76" spans="1:22" s="22" customFormat="1" x14ac:dyDescent="0.3">
      <c r="A76" s="796"/>
      <c r="B76" s="796"/>
      <c r="C76" s="796"/>
      <c r="D76" s="1109"/>
      <c r="E76" s="796"/>
      <c r="F76" s="796"/>
      <c r="G76" s="796"/>
    </row>
    <row r="77" spans="1:22" s="22" customFormat="1" ht="15.5" x14ac:dyDescent="0.35">
      <c r="A77" s="796"/>
      <c r="B77" s="796"/>
      <c r="C77" s="796"/>
      <c r="D77" s="796"/>
      <c r="E77" s="796"/>
      <c r="F77" s="796"/>
      <c r="G77" s="796"/>
      <c r="I77" s="784" t="s">
        <v>114</v>
      </c>
      <c r="J77" s="784"/>
      <c r="K77" s="785">
        <v>8</v>
      </c>
      <c r="L77" s="792" t="str">
        <f>IF(RowsRequiredFloors&gt;K92,"Not possible - maximum number available is "&amp;K92,IF(RowsRequiredFloors&lt;&gt;B94,("Click filter arrow beside the table header 'Rows'. Select only '"&amp;RowsRequiredFloors&amp;"' on the drop-down list, (as currently displayed)"),""))</f>
        <v/>
      </c>
    </row>
    <row r="78" spans="1:22" s="22" customFormat="1" x14ac:dyDescent="0.3">
      <c r="A78" s="796"/>
      <c r="B78" s="796"/>
      <c r="C78" s="796"/>
      <c r="D78" s="796"/>
      <c r="E78" s="796"/>
      <c r="F78" s="796"/>
      <c r="G78" s="796"/>
    </row>
    <row r="79" spans="1:22" s="22" customFormat="1" ht="18" x14ac:dyDescent="0.4">
      <c r="A79" s="796"/>
      <c r="B79" s="796"/>
      <c r="C79" s="796"/>
      <c r="D79" s="796"/>
      <c r="E79" s="796"/>
      <c r="F79" s="796"/>
      <c r="G79" s="796"/>
      <c r="J79" s="783" t="s">
        <v>143</v>
      </c>
    </row>
    <row r="80" spans="1:22" s="22" customFormat="1" x14ac:dyDescent="0.3">
      <c r="A80" s="796"/>
      <c r="B80" s="796"/>
      <c r="C80" s="796"/>
      <c r="D80" s="796"/>
      <c r="E80" s="796"/>
      <c r="F80" s="796"/>
      <c r="G80" s="796"/>
      <c r="T80" s="771"/>
      <c r="U80" s="771"/>
      <c r="V80" s="771"/>
    </row>
    <row r="81" spans="1:36" s="22" customFormat="1" ht="15.5" x14ac:dyDescent="0.35">
      <c r="A81" s="796"/>
      <c r="B81" s="796"/>
      <c r="C81" s="796"/>
      <c r="D81" s="796"/>
      <c r="E81" s="796"/>
      <c r="F81" s="796"/>
      <c r="G81" s="796"/>
      <c r="R81" s="1552" t="s">
        <v>144</v>
      </c>
      <c r="S81" s="1552"/>
      <c r="AB81" s="1287" t="s">
        <v>145</v>
      </c>
      <c r="AC81" s="1288"/>
      <c r="AD81" s="1288"/>
      <c r="AF81" s="1287" t="s">
        <v>146</v>
      </c>
      <c r="AG81" s="1288"/>
      <c r="AH81" s="1288"/>
    </row>
    <row r="82" spans="1:36" s="738" customFormat="1" ht="54" x14ac:dyDescent="0.3">
      <c r="A82" s="798" t="s">
        <v>119</v>
      </c>
      <c r="B82" s="804"/>
      <c r="C82" s="804"/>
      <c r="D82" s="804"/>
      <c r="E82" s="804"/>
      <c r="F82" s="804"/>
      <c r="G82" s="804"/>
      <c r="J82" s="793" t="s">
        <v>120</v>
      </c>
      <c r="K82" s="1133" t="s">
        <v>121</v>
      </c>
      <c r="L82" s="1133" t="s">
        <v>147</v>
      </c>
      <c r="M82" s="1133" t="s">
        <v>148</v>
      </c>
      <c r="N82" s="1133" t="s">
        <v>149</v>
      </c>
      <c r="O82" s="1133" t="s">
        <v>150</v>
      </c>
      <c r="P82" s="1133" t="s">
        <v>151</v>
      </c>
      <c r="Q82" s="1089" t="s">
        <v>152</v>
      </c>
      <c r="R82" s="1133" t="s">
        <v>153</v>
      </c>
      <c r="S82" s="1133" t="s">
        <v>154</v>
      </c>
      <c r="T82" s="794" t="s">
        <v>155</v>
      </c>
      <c r="U82" s="1089" t="s">
        <v>58</v>
      </c>
      <c r="X82" s="1289" t="s">
        <v>145</v>
      </c>
      <c r="Y82" s="1553" t="s">
        <v>146</v>
      </c>
      <c r="Z82" s="1553"/>
      <c r="AB82" s="1289">
        <v>1</v>
      </c>
      <c r="AC82" s="1290">
        <v>2</v>
      </c>
      <c r="AD82" s="1290">
        <v>3</v>
      </c>
      <c r="AF82" s="1289">
        <v>1</v>
      </c>
      <c r="AG82" s="1290">
        <v>2</v>
      </c>
      <c r="AH82" s="1290">
        <v>3</v>
      </c>
      <c r="AJ82" s="1289" t="s">
        <v>153</v>
      </c>
    </row>
    <row r="83" spans="1:36" s="43" customFormat="1" ht="59.15" customHeight="1" x14ac:dyDescent="0.3">
      <c r="A83" s="801">
        <v>1</v>
      </c>
      <c r="B83" s="801"/>
      <c r="C83" s="801"/>
      <c r="D83" s="801"/>
      <c r="E83" s="801"/>
      <c r="F83" s="801"/>
      <c r="G83" s="801"/>
      <c r="J83" s="1291">
        <f t="shared" ref="J83:J92" si="2">IF(ISBLANK($K$77),"1",IF(ISBLANK(A83),"-",IF(A83&lt;=$K$77,$K$77,"-")))</f>
        <v>8</v>
      </c>
      <c r="K83" s="1292">
        <v>1</v>
      </c>
      <c r="L83" s="1279"/>
      <c r="M83" s="1279"/>
      <c r="N83" s="1279"/>
      <c r="O83" s="1279"/>
      <c r="P83" s="1279"/>
      <c r="Q83" s="1279"/>
      <c r="R83" s="1279"/>
      <c r="S83" s="1279"/>
      <c r="T83" s="1293" t="str">
        <f>IF(Table68[[#This Row],[Floor type]]="","",IF(AND(OR(Table68[[#This Row],[Floor type]]=D_List!$R$11,Table68[[#This Row],[Floor type]]=D_List!$R$12),Table68[[#This Row],[Frame Material]]="Metal",Table68[[#This Row],[Thermal Bridging Option]]="(a) Minimum Total R-Value of floor"),
INDEX(Floor_direction_of_heat_flow[Direction of heat flow],MATCH(Selection_ClimateZone,Floor_direction_of_heat_flow[Climate zone],0)),""))</f>
        <v/>
      </c>
      <c r="U83" s="1088" t="str" cm="1">
        <f t="array" ref="U83">IF(Table68[[#This Row],[Floor type]]="","",
IFERROR(IF(Table68[[#This Row],[Floor type]]=D_List!$R$9,IF(Table68[[#This Row],[In-Slab or In-Screed Heating or Cooling]]="Yes",D_List!$S$9,IF(Table68[[#This Row],[In-Slab or In-Screed Heating or Cooling]]&lt;&gt;"",
IF(Selection_ClimateZone&gt;5,INDEX(Table211[Requirement],MATCH(Selection_ClimateZone,Table211[Climate zone],0)),"No additional insulation requirements"),"Please complete all fields")),
IF(Table68[[#This Row],[Floor type]]=D_List!$R$12,"No additional insulation requirements",
IF(Table68[[#This Row],[Floor type]]=D_List!$R$10,
IF(Table68[[#This Row],[Frame Material]]="","Please complete frame material",
IF(Table68[[#This Row],[Frame Material]]="Timber",CONCATENATE("Floor insulation with minimum R-value of ",$X83),
IF(OR(Selection_ClimateZone=2,Selection_ClimateZone=3),"No additional insulation requirements",TRIM(MID(Table68[[#This Row],[Thermal Bridging Option]],4,500))&amp;" of "&amp;INDEX($AB83:$AD83,1,AJ83))
)),
IF(Table68[[#This Row],[Floor type]]=D_List!$R$11,
IF(Table68[[#This Row],[Frame Material]]="","Please complete frame material",
IF(Table68[[#This Row],[Frame Material]]="Timber",CONCATENATE(IF(Selection_ClimateZone&lt;=3,"Subfloor wall insulation with minimum R-Value of ","Floor insulation with minimum R-value of "),$Y83),
IF(OR(Selection_ClimateZone=2,Selection_ClimateZone=3),"No additional insulation requirements",TRIM(MID(Table68[[#This Row],[Thermal Bridging Option]],4,500))&amp;" of "&amp;INDEX($AF83:$AH83,1,AJ83))
)))))),
"Review inputs, combination not permitted"))</f>
        <v/>
      </c>
      <c r="X83" s="1294" t="e">
        <f>INDEX(Minimum_R_Value_of_floor_insulation_where_the_floor_is_over_an_unenclosed_space196[[R-Value]:[if used in conjunction with a reflective airspace]],MATCH(Selection_ClimateZone,Minimum_R_Value_of_floor_insulation_where_the_floor_is_over_an_unenclosed_space196[Climate zone],0),MATCH(Table68[[#This Row],[Reflective Insulation Facing Down Over the Subfloor Space]],D_Building_Fabric!$G$794:$H$794,0))</f>
        <v>#N/A</v>
      </c>
      <c r="Y83" s="1295" t="e">
        <f>IF(Selection_ClimateZone=1,"1.5",
IF(OR(Selection_ClimateZone=2,Selection_ClimateZone=3),INDEX(D_Building_Fabric!$H$808:$H$821,MATCH(Selection_ClimateZone&amp;Table68[[#This Row],[Subfloor Wall Height (mm)]],D_Building_Fabric!$C$808:$C$821,0)),
INDEX(D_Building_Fabric!$I$826:$I$906,MATCH(Z83,D_Building_Fabric!$C$826:$C$906,0))))</f>
        <v>#N/A</v>
      </c>
      <c r="Z83" s="1295" t="str">
        <f>CONCATENATE(Selection_ClimateZone,Table68[[#This Row],[Subfloor Wall Height (mm)]],Table68[[#This Row],[Reflective Insulation Facing Down Over the Subfloor Space]],Table68[[#This Row],[Minimum Subfloor Wall Insulation R-Value]])</f>
        <v>5</v>
      </c>
      <c r="AB83" s="1295" t="e">
        <f>INDEX(Metal_framed_suspended_floor_minimum_Total_R_Value_for_floor_to_account_for_thermal_bridging204[Minimum Total R-Value of floor],MATCH('13.2 Building Fabric'!X83&amp;Table68[[#This Row],[Floor Covering]],D_Building_Fabric!C911:$C$928,0))</f>
        <v>#N/A</v>
      </c>
      <c r="AC83" s="1295" t="e">
        <f>IF($X83&gt;=3, D_Building_Fabric!$G$938,INDEX(Metal_framed_suspended_floor_thermal_bridging_mitigation205[Option 1 – increase insulation between floor framing to specified minimum R-Value],MATCH($X83,Metal_framed_suspended_floor_thermal_bridging_mitigation205[Floor insulation from Tables 13.2.6a and 13.2.6d to 13.2.6h as applicable],0)))</f>
        <v>#N/A</v>
      </c>
      <c r="AD83" s="1295" t="e">
        <f>IF($X83&gt;=3,D_Building_Fabric!$H$938,INDEX(Metal_framed_suspended_floor_thermal_bridging_mitigation205[Option 2– add a layer of continuous insulation product above or below the floor framing with specified R-Value],MATCH($X83,Metal_framed_suspended_floor_thermal_bridging_mitigation205[Floor insulation from Tables 13.2.6a and 13.2.6d to 13.2.6h as applicable],0)))</f>
        <v>#N/A</v>
      </c>
      <c r="AF83" s="1295" t="e">
        <f>INDEX(Metal_framed_suspended_floor_minimum_Total_R_Value_for_floor_to_account_for_thermal_bridging204[Minimum Total R-Value of floor],MATCH('13.2 Building Fabric'!Y83&amp;Table68[[#This Row],[Floor Covering]],D_Building_Fabric!C911:$C$928,0))</f>
        <v>#N/A</v>
      </c>
      <c r="AG83" s="1295" t="e">
        <f>IF($Y83&gt;=3, D_Building_Fabric!$G$938,INDEX(Metal_framed_suspended_floor_thermal_bridging_mitigation205[Option 1 – increase insulation between floor framing to specified minimum R-Value],MATCH($Y83,Metal_framed_suspended_floor_thermal_bridging_mitigation205[Floor insulation from Tables 13.2.6a and 13.2.6d to 13.2.6h as applicable],0)))</f>
        <v>#N/A</v>
      </c>
      <c r="AH83" s="1295" t="e">
        <f>IF($Y83&gt;=3,D_Building_Fabric!$H$938,INDEX(Metal_framed_suspended_floor_thermal_bridging_mitigation205[Option 2– add a layer of continuous insulation product above or below the floor framing with specified R-Value],MATCH($Y83,Metal_framed_suspended_floor_thermal_bridging_mitigation205[Floor insulation from Tables 13.2.6a and 13.2.6d to 13.2.6h as applicable],0)))</f>
        <v>#N/A</v>
      </c>
      <c r="AJ83" s="1295" t="e">
        <f>MATCH(Table68[[#This Row],[Thermal Bridging Option]],D_List!$B$43:$B$45,0)</f>
        <v>#N/A</v>
      </c>
    </row>
    <row r="84" spans="1:36" s="43" customFormat="1" ht="59.15" customHeight="1" x14ac:dyDescent="0.3">
      <c r="A84" s="801">
        <v>2</v>
      </c>
      <c r="B84" s="801" t="str" cm="1">
        <f t="array" ref="B84">IFERROR(MATCH(1,('13.2 Building Fabric'!$O84&gt;#REF!)*('13.2 Building Fabric'!$O84&lt;=#REF!)*(Selection_ClimateZone=#REF!),0),"")</f>
        <v/>
      </c>
      <c r="C84" s="801"/>
      <c r="D84" s="801"/>
      <c r="E84" s="801"/>
      <c r="F84" s="801"/>
      <c r="G84" s="801"/>
      <c r="J84" s="1291">
        <f t="shared" si="2"/>
        <v>8</v>
      </c>
      <c r="K84" s="1292">
        <v>2</v>
      </c>
      <c r="L84" s="1279"/>
      <c r="M84" s="1279"/>
      <c r="N84" s="1279"/>
      <c r="O84" s="1279"/>
      <c r="P84" s="1279"/>
      <c r="Q84" s="1279"/>
      <c r="R84" s="1279"/>
      <c r="S84" s="1279"/>
      <c r="T84" s="1293" t="str">
        <f>IF(Table68[[#This Row],[Floor type]]="","",IF(AND(OR(Table68[[#This Row],[Floor type]]=D_List!$R$11,Table68[[#This Row],[Floor type]]=D_List!$R$12),Table68[[#This Row],[Frame Material]]="Metal",Table68[[#This Row],[Thermal Bridging Option]]="(a) Minimum Total R-Value of floor"),
INDEX(Floor_direction_of_heat_flow[Direction of heat flow],MATCH(Selection_ClimateZone,Floor_direction_of_heat_flow[Climate zone],0)),""))</f>
        <v/>
      </c>
      <c r="U84" s="1088" t="str" cm="1">
        <f t="array" ref="U84">IF(Table68[[#This Row],[Floor type]]="","",
IFERROR(IF(Table68[[#This Row],[Floor type]]=D_List!$R$9,IF(Table68[[#This Row],[In-Slab or In-Screed Heating or Cooling]]="Yes",D_List!$S$9,IF(Table68[[#This Row],[In-Slab or In-Screed Heating or Cooling]]&lt;&gt;"",
IF(Selection_ClimateZone&gt;5,INDEX(Table211[Requirement],MATCH(Selection_ClimateZone,Table211[Climate zone],0)),"No additional insulation requirements"),"Please complete all fields")),
IF(Table68[[#This Row],[Floor type]]=D_List!$R$12,"No additional insulation requirements",
IF(Table68[[#This Row],[Floor type]]=D_List!$R$10,
IF(Table68[[#This Row],[Frame Material]]="","Please complete frame material",
IF(Table68[[#This Row],[Frame Material]]="Timber",CONCATENATE("Floor insulation with minimum R-value of ",$X84),
IF(OR(Selection_ClimateZone=2,Selection_ClimateZone=3),"No additional insulation requirements",TRIM(MID(Table68[[#This Row],[Thermal Bridging Option]],4,500))&amp;" of "&amp;INDEX($AB84:$AD84,1,AJ84))
)),
IF(Table68[[#This Row],[Floor type]]=D_List!$R$11,
IF(Table68[[#This Row],[Frame Material]]="","Please complete frame material",
IF(Table68[[#This Row],[Frame Material]]="Timber",CONCATENATE(IF(Selection_ClimateZone&lt;=3,"Subfloor wall insulation with minimum R-Value of ","Floor insulation with minimum R-value of "),$Y84),
IF(OR(Selection_ClimateZone=2,Selection_ClimateZone=3),"No additional insulation requirements",TRIM(MID(Table68[[#This Row],[Thermal Bridging Option]],4,500))&amp;" of "&amp;INDEX($AF84:$AH84,1,AJ84))
)))))),
"Review inputs, combination not permitted"))</f>
        <v/>
      </c>
      <c r="X84" s="1294" t="e">
        <f>INDEX(Minimum_R_Value_of_floor_insulation_where_the_floor_is_over_an_unenclosed_space196[[R-Value]:[if used in conjunction with a reflective airspace]],MATCH(Selection_ClimateZone,Minimum_R_Value_of_floor_insulation_where_the_floor_is_over_an_unenclosed_space196[Climate zone],0),MATCH(Table68[[#This Row],[Reflective Insulation Facing Down Over the Subfloor Space]],D_Building_Fabric!$G$794:$H$794,0))</f>
        <v>#N/A</v>
      </c>
      <c r="Y84" s="1295" t="e">
        <f>IF(Selection_ClimateZone=1,"1.5",
IF(OR(Selection_ClimateZone=2,Selection_ClimateZone=3),INDEX(D_Building_Fabric!$H$808:$H$821,MATCH(Selection_ClimateZone&amp;Table68[[#This Row],[Subfloor Wall Height (mm)]],D_Building_Fabric!$C$808:$C$821,0)),
INDEX(D_Building_Fabric!$I$826:$I$906,MATCH(Z84,D_Building_Fabric!$C$826:$C$906,0))))</f>
        <v>#N/A</v>
      </c>
      <c r="Z84" s="1295" t="str">
        <f>CONCATENATE(Selection_ClimateZone,Table68[[#This Row],[Subfloor Wall Height (mm)]],Table68[[#This Row],[Reflective Insulation Facing Down Over the Subfloor Space]],Table68[[#This Row],[Minimum Subfloor Wall Insulation R-Value]])</f>
        <v>5</v>
      </c>
      <c r="AB84" s="1295" t="e">
        <f>INDEX(Metal_framed_suspended_floor_minimum_Total_R_Value_for_floor_to_account_for_thermal_bridging204[Minimum Total R-Value of floor],MATCH('13.2 Building Fabric'!X84&amp;Table68[[#This Row],[Floor Covering]],D_Building_Fabric!C912:$C$928,0))</f>
        <v>#N/A</v>
      </c>
      <c r="AC84" s="1295" t="e">
        <f>IF($X84&gt;=3, D_Building_Fabric!$G$938,INDEX(Metal_framed_suspended_floor_thermal_bridging_mitigation205[Option 1 – increase insulation between floor framing to specified minimum R-Value],MATCH($X84,Metal_framed_suspended_floor_thermal_bridging_mitigation205[Floor insulation from Tables 13.2.6a and 13.2.6d to 13.2.6h as applicable],0)))</f>
        <v>#N/A</v>
      </c>
      <c r="AD84" s="1295" t="e">
        <f>IF($X84&gt;=3,D_Building_Fabric!$H$938,INDEX(Metal_framed_suspended_floor_thermal_bridging_mitigation205[Option 2– add a layer of continuous insulation product above or below the floor framing with specified R-Value],MATCH($X84,Metal_framed_suspended_floor_thermal_bridging_mitigation205[Floor insulation from Tables 13.2.6a and 13.2.6d to 13.2.6h as applicable],0)))</f>
        <v>#N/A</v>
      </c>
      <c r="AF84" s="1295" t="e">
        <f>INDEX(Metal_framed_suspended_floor_minimum_Total_R_Value_for_floor_to_account_for_thermal_bridging204[Minimum Total R-Value of floor],MATCH('13.2 Building Fabric'!Y84&amp;Table68[[#This Row],[Floor Covering]],D_Building_Fabric!C912:$C$928,0))</f>
        <v>#N/A</v>
      </c>
      <c r="AG84" s="1295" t="e">
        <f>IF($Y84&gt;=3, D_Building_Fabric!$G$938,INDEX(Metal_framed_suspended_floor_thermal_bridging_mitigation205[Option 1 – increase insulation between floor framing to specified minimum R-Value],MATCH($Y84,Metal_framed_suspended_floor_thermal_bridging_mitigation205[Floor insulation from Tables 13.2.6a and 13.2.6d to 13.2.6h as applicable],0)))</f>
        <v>#N/A</v>
      </c>
      <c r="AH84" s="1295" t="e">
        <f>IF($Y84&gt;=3,D_Building_Fabric!$H$938,INDEX(Metal_framed_suspended_floor_thermal_bridging_mitigation205[Option 2– add a layer of continuous insulation product above or below the floor framing with specified R-Value],MATCH($Y84,Metal_framed_suspended_floor_thermal_bridging_mitigation205[Floor insulation from Tables 13.2.6a and 13.2.6d to 13.2.6h as applicable],0)))</f>
        <v>#N/A</v>
      </c>
      <c r="AJ84" s="1295" t="e">
        <f>MATCH(Table68[[#This Row],[Thermal Bridging Option]],D_List!$B$43:$B$45,0)</f>
        <v>#N/A</v>
      </c>
    </row>
    <row r="85" spans="1:36" s="43" customFormat="1" ht="59.15" customHeight="1" x14ac:dyDescent="0.3">
      <c r="A85" s="801">
        <v>3</v>
      </c>
      <c r="B85" s="801" t="str" cm="1">
        <f t="array" ref="B85">IFERROR(MATCH(1,('13.2 Building Fabric'!$O85&gt;#REF!)*('13.2 Building Fabric'!$O85&lt;=#REF!)*(Selection_ClimateZone=#REF!),0),"")</f>
        <v/>
      </c>
      <c r="C85" s="801"/>
      <c r="D85" s="801"/>
      <c r="E85" s="801"/>
      <c r="F85" s="801"/>
      <c r="G85" s="801"/>
      <c r="J85" s="1291">
        <f t="shared" si="2"/>
        <v>8</v>
      </c>
      <c r="K85" s="1292">
        <v>3</v>
      </c>
      <c r="L85" s="1279"/>
      <c r="M85" s="1279"/>
      <c r="N85" s="1279"/>
      <c r="O85" s="1279"/>
      <c r="P85" s="1279"/>
      <c r="Q85" s="1279"/>
      <c r="R85" s="1279"/>
      <c r="S85" s="1279"/>
      <c r="T85" s="1293" t="str">
        <f>IF(Table68[[#This Row],[Floor type]]="","",IF(AND(OR(Table68[[#This Row],[Floor type]]=D_List!$R$11,Table68[[#This Row],[Floor type]]=D_List!$R$12),Table68[[#This Row],[Frame Material]]="Metal",Table68[[#This Row],[Thermal Bridging Option]]="(a) Minimum Total R-Value of floor"),
INDEX(Floor_direction_of_heat_flow[Direction of heat flow],MATCH(Selection_ClimateZone,Floor_direction_of_heat_flow[Climate zone],0)),""))</f>
        <v/>
      </c>
      <c r="U85" s="1088" t="str" cm="1">
        <f t="array" ref="U85">IF(Table68[[#This Row],[Floor type]]="","",
IFERROR(IF(Table68[[#This Row],[Floor type]]=D_List!$R$9,IF(Table68[[#This Row],[In-Slab or In-Screed Heating or Cooling]]="Yes",D_List!$S$9,IF(Table68[[#This Row],[In-Slab or In-Screed Heating or Cooling]]&lt;&gt;"",
IF(Selection_ClimateZone&gt;5,INDEX(Table211[Requirement],MATCH(Selection_ClimateZone,Table211[Climate zone],0)),"No additional insulation requirements"),"Please complete all fields")),
IF(Table68[[#This Row],[Floor type]]=D_List!$R$12,"No additional insulation requirements",
IF(Table68[[#This Row],[Floor type]]=D_List!$R$10,
IF(Table68[[#This Row],[Frame Material]]="","Please complete frame material",
IF(Table68[[#This Row],[Frame Material]]="Timber",CONCATENATE("Floor insulation with minimum R-value of ",$X85),
IF(OR(Selection_ClimateZone=2,Selection_ClimateZone=3),"No additional insulation requirements",TRIM(MID(Table68[[#This Row],[Thermal Bridging Option]],4,500))&amp;" of "&amp;INDEX($AB85:$AD85,1,AJ85))
)),
IF(Table68[[#This Row],[Floor type]]=D_List!$R$11,
IF(Table68[[#This Row],[Frame Material]]="","Please complete frame material",
IF(Table68[[#This Row],[Frame Material]]="Timber",CONCATENATE(IF(Selection_ClimateZone&lt;=3,"Subfloor wall insulation with minimum R-Value of ","Floor insulation with minimum R-value of "),$Y85),
IF(OR(Selection_ClimateZone=2,Selection_ClimateZone=3),"No additional insulation requirements",TRIM(MID(Table68[[#This Row],[Thermal Bridging Option]],4,500))&amp;" of "&amp;INDEX($AF85:$AH85,1,AJ85))
)))))),
"Review inputs, combination not permitted"))</f>
        <v/>
      </c>
      <c r="X85" s="1294" t="e">
        <f>INDEX(Minimum_R_Value_of_floor_insulation_where_the_floor_is_over_an_unenclosed_space196[[R-Value]:[if used in conjunction with a reflective airspace]],MATCH(Selection_ClimateZone,Minimum_R_Value_of_floor_insulation_where_the_floor_is_over_an_unenclosed_space196[Climate zone],0),MATCH(Table68[[#This Row],[Reflective Insulation Facing Down Over the Subfloor Space]],D_Building_Fabric!$G$794:$H$794,0))</f>
        <v>#N/A</v>
      </c>
      <c r="Y85" s="1295" t="e">
        <f>IF(Selection_ClimateZone=1,"1.5",
IF(OR(Selection_ClimateZone=2,Selection_ClimateZone=3),INDEX(D_Building_Fabric!$H$808:$H$821,MATCH(Selection_ClimateZone&amp;Table68[[#This Row],[Subfloor Wall Height (mm)]],D_Building_Fabric!$C$808:$C$821,0)),
INDEX(D_Building_Fabric!$I$826:$I$906,MATCH(Z85,D_Building_Fabric!$C$826:$C$906,0))))</f>
        <v>#N/A</v>
      </c>
      <c r="Z85" s="1295" t="str">
        <f>CONCATENATE(Selection_ClimateZone,Table68[[#This Row],[Subfloor Wall Height (mm)]],Table68[[#This Row],[Reflective Insulation Facing Down Over the Subfloor Space]],Table68[[#This Row],[Minimum Subfloor Wall Insulation R-Value]])</f>
        <v>5</v>
      </c>
      <c r="AB85" s="1295" t="e">
        <f>INDEX(Metal_framed_suspended_floor_minimum_Total_R_Value_for_floor_to_account_for_thermal_bridging204[Minimum Total R-Value of floor],MATCH('13.2 Building Fabric'!X85&amp;Table68[[#This Row],[Floor Covering]],D_Building_Fabric!C913:$C$928,0))</f>
        <v>#N/A</v>
      </c>
      <c r="AC85" s="1295" t="e">
        <f>IF($X85&gt;=3, D_Building_Fabric!$G$938,INDEX(Metal_framed_suspended_floor_thermal_bridging_mitigation205[Option 1 – increase insulation between floor framing to specified minimum R-Value],MATCH($X85,Metal_framed_suspended_floor_thermal_bridging_mitigation205[Floor insulation from Tables 13.2.6a and 13.2.6d to 13.2.6h as applicable],0)))</f>
        <v>#N/A</v>
      </c>
      <c r="AD85" s="1295" t="e">
        <f>IF($X85&gt;=3,D_Building_Fabric!$H$938,INDEX(Metal_framed_suspended_floor_thermal_bridging_mitigation205[Option 2– add a layer of continuous insulation product above or below the floor framing with specified R-Value],MATCH($X85,Metal_framed_suspended_floor_thermal_bridging_mitigation205[Floor insulation from Tables 13.2.6a and 13.2.6d to 13.2.6h as applicable],0)))</f>
        <v>#N/A</v>
      </c>
      <c r="AF85" s="1295" t="e">
        <f>INDEX(Metal_framed_suspended_floor_minimum_Total_R_Value_for_floor_to_account_for_thermal_bridging204[Minimum Total R-Value of floor],MATCH('13.2 Building Fabric'!Y85&amp;Table68[[#This Row],[Floor Covering]],D_Building_Fabric!C913:$C$928,0))</f>
        <v>#N/A</v>
      </c>
      <c r="AG85" s="1295" t="e">
        <f>IF($Y85&gt;=3, D_Building_Fabric!$G$938,INDEX(Metal_framed_suspended_floor_thermal_bridging_mitigation205[Option 1 – increase insulation between floor framing to specified minimum R-Value],MATCH($Y85,Metal_framed_suspended_floor_thermal_bridging_mitigation205[Floor insulation from Tables 13.2.6a and 13.2.6d to 13.2.6h as applicable],0)))</f>
        <v>#N/A</v>
      </c>
      <c r="AH85" s="1295" t="e">
        <f>IF($Y85&gt;=3,D_Building_Fabric!$H$938,INDEX(Metal_framed_suspended_floor_thermal_bridging_mitigation205[Option 2– add a layer of continuous insulation product above or below the floor framing with specified R-Value],MATCH($Y85,Metal_framed_suspended_floor_thermal_bridging_mitigation205[Floor insulation from Tables 13.2.6a and 13.2.6d to 13.2.6h as applicable],0)))</f>
        <v>#N/A</v>
      </c>
      <c r="AJ85" s="1295" t="e">
        <f>MATCH(Table68[[#This Row],[Thermal Bridging Option]],D_List!$B$43:$B$45,0)</f>
        <v>#N/A</v>
      </c>
    </row>
    <row r="86" spans="1:36" s="43" customFormat="1" ht="59.15" customHeight="1" x14ac:dyDescent="0.3">
      <c r="A86" s="801">
        <v>4</v>
      </c>
      <c r="B86" s="801" t="str" cm="1">
        <f t="array" ref="B86">IFERROR(MATCH(1,('13.2 Building Fabric'!$O86&gt;#REF!)*('13.2 Building Fabric'!$O86&lt;=#REF!)*(Selection_ClimateZone=#REF!),0),"")</f>
        <v/>
      </c>
      <c r="C86" s="801"/>
      <c r="D86" s="801"/>
      <c r="E86" s="801"/>
      <c r="F86" s="801"/>
      <c r="G86" s="801"/>
      <c r="J86" s="1291">
        <f t="shared" si="2"/>
        <v>8</v>
      </c>
      <c r="K86" s="1292">
        <v>4</v>
      </c>
      <c r="L86" s="1279"/>
      <c r="M86" s="1279"/>
      <c r="N86" s="1279"/>
      <c r="O86" s="1279"/>
      <c r="P86" s="1279"/>
      <c r="Q86" s="1279"/>
      <c r="R86" s="1279"/>
      <c r="S86" s="1279"/>
      <c r="T86" s="1293" t="str">
        <f>IF(Table68[[#This Row],[Floor type]]="","",IF(AND(OR(Table68[[#This Row],[Floor type]]=D_List!$R$11,Table68[[#This Row],[Floor type]]=D_List!$R$12),Table68[[#This Row],[Frame Material]]="Metal",Table68[[#This Row],[Thermal Bridging Option]]="(a) Minimum Total R-Value of floor"),
INDEX(Floor_direction_of_heat_flow[Direction of heat flow],MATCH(Selection_ClimateZone,Floor_direction_of_heat_flow[Climate zone],0)),""))</f>
        <v/>
      </c>
      <c r="U86" s="1088" t="str" cm="1">
        <f t="array" ref="U86">IF(Table68[[#This Row],[Floor type]]="","",
IFERROR(IF(Table68[[#This Row],[Floor type]]=D_List!$R$9,IF(Table68[[#This Row],[In-Slab or In-Screed Heating or Cooling]]="Yes",D_List!$S$9,IF(Table68[[#This Row],[In-Slab or In-Screed Heating or Cooling]]&lt;&gt;"",
IF(Selection_ClimateZone&gt;5,INDEX(Table211[Requirement],MATCH(Selection_ClimateZone,Table211[Climate zone],0)),"No additional insulation requirements"),"Please complete all fields")),
IF(Table68[[#This Row],[Floor type]]=D_List!$R$12,"No additional insulation requirements",
IF(Table68[[#This Row],[Floor type]]=D_List!$R$10,
IF(Table68[[#This Row],[Frame Material]]="","Please complete frame material",
IF(Table68[[#This Row],[Frame Material]]="Timber",CONCATENATE("Floor insulation with minimum R-value of ",$X86),
IF(OR(Selection_ClimateZone=2,Selection_ClimateZone=3),"No additional insulation requirements",TRIM(MID(Table68[[#This Row],[Thermal Bridging Option]],4,500))&amp;" of "&amp;INDEX($AB86:$AD86,1,AJ86))
)),
IF(Table68[[#This Row],[Floor type]]=D_List!$R$11,
IF(Table68[[#This Row],[Frame Material]]="","Please complete frame material",
IF(Table68[[#This Row],[Frame Material]]="Timber",CONCATENATE(IF(Selection_ClimateZone&lt;=3,"Subfloor wall insulation with minimum R-Value of ","Floor insulation with minimum R-value of "),$Y86),
IF(OR(Selection_ClimateZone=2,Selection_ClimateZone=3),"No additional insulation requirements",TRIM(MID(Table68[[#This Row],[Thermal Bridging Option]],4,500))&amp;" of "&amp;INDEX($AF86:$AH86,1,AJ86))
)))))),
"Review inputs, combination not permitted"))</f>
        <v/>
      </c>
      <c r="X86" s="1294" t="e">
        <f>INDEX(Minimum_R_Value_of_floor_insulation_where_the_floor_is_over_an_unenclosed_space196[[R-Value]:[if used in conjunction with a reflective airspace]],MATCH(Selection_ClimateZone,Minimum_R_Value_of_floor_insulation_where_the_floor_is_over_an_unenclosed_space196[Climate zone],0),MATCH(Table68[[#This Row],[Reflective Insulation Facing Down Over the Subfloor Space]],D_Building_Fabric!$G$794:$H$794,0))</f>
        <v>#N/A</v>
      </c>
      <c r="Y86" s="1295" t="e">
        <f>IF(Selection_ClimateZone=1,"1.5",
IF(OR(Selection_ClimateZone=2,Selection_ClimateZone=3),INDEX(D_Building_Fabric!$H$808:$H$821,MATCH(Selection_ClimateZone&amp;Table68[[#This Row],[Subfloor Wall Height (mm)]],D_Building_Fabric!$C$808:$C$821,0)),
INDEX(D_Building_Fabric!$I$826:$I$906,MATCH(Z86,D_Building_Fabric!$C$826:$C$906,0))))</f>
        <v>#N/A</v>
      </c>
      <c r="Z86" s="1295" t="str">
        <f>CONCATENATE(Selection_ClimateZone,Table68[[#This Row],[Subfloor Wall Height (mm)]],Table68[[#This Row],[Reflective Insulation Facing Down Over the Subfloor Space]],Table68[[#This Row],[Minimum Subfloor Wall Insulation R-Value]])</f>
        <v>5</v>
      </c>
      <c r="AB86" s="1295" t="e">
        <f>INDEX(Metal_framed_suspended_floor_minimum_Total_R_Value_for_floor_to_account_for_thermal_bridging204[Minimum Total R-Value of floor],MATCH('13.2 Building Fabric'!X86&amp;Table68[[#This Row],[Floor Covering]],D_Building_Fabric!C914:$C$928,0))</f>
        <v>#N/A</v>
      </c>
      <c r="AC86" s="1295" t="e">
        <f>IF($X86&gt;=3, D_Building_Fabric!$G$938,INDEX(Metal_framed_suspended_floor_thermal_bridging_mitigation205[Option 1 – increase insulation between floor framing to specified minimum R-Value],MATCH($X86,Metal_framed_suspended_floor_thermal_bridging_mitigation205[Floor insulation from Tables 13.2.6a and 13.2.6d to 13.2.6h as applicable],0)))</f>
        <v>#N/A</v>
      </c>
      <c r="AD86" s="1295" t="e">
        <f>IF($X86&gt;=3,D_Building_Fabric!$H$938,INDEX(Metal_framed_suspended_floor_thermal_bridging_mitigation205[Option 2– add a layer of continuous insulation product above or below the floor framing with specified R-Value],MATCH($X86,Metal_framed_suspended_floor_thermal_bridging_mitigation205[Floor insulation from Tables 13.2.6a and 13.2.6d to 13.2.6h as applicable],0)))</f>
        <v>#N/A</v>
      </c>
      <c r="AF86" s="1295" t="e">
        <f>INDEX(Metal_framed_suspended_floor_minimum_Total_R_Value_for_floor_to_account_for_thermal_bridging204[Minimum Total R-Value of floor],MATCH('13.2 Building Fabric'!Y86&amp;Table68[[#This Row],[Floor Covering]],D_Building_Fabric!C914:$C$928,0))</f>
        <v>#N/A</v>
      </c>
      <c r="AG86" s="1295" t="e">
        <f>IF($Y86&gt;=3, D_Building_Fabric!$G$938,INDEX(Metal_framed_suspended_floor_thermal_bridging_mitigation205[Option 1 – increase insulation between floor framing to specified minimum R-Value],MATCH($Y86,Metal_framed_suspended_floor_thermal_bridging_mitigation205[Floor insulation from Tables 13.2.6a and 13.2.6d to 13.2.6h as applicable],0)))</f>
        <v>#N/A</v>
      </c>
      <c r="AH86" s="1295" t="e">
        <f>IF($Y86&gt;=3,D_Building_Fabric!$H$938,INDEX(Metal_framed_suspended_floor_thermal_bridging_mitigation205[Option 2– add a layer of continuous insulation product above or below the floor framing with specified R-Value],MATCH($Y86,Metal_framed_suspended_floor_thermal_bridging_mitigation205[Floor insulation from Tables 13.2.6a and 13.2.6d to 13.2.6h as applicable],0)))</f>
        <v>#N/A</v>
      </c>
      <c r="AJ86" s="1295" t="e">
        <f>MATCH(Table68[[#This Row],[Thermal Bridging Option]],D_List!$B$43:$B$45,0)</f>
        <v>#N/A</v>
      </c>
    </row>
    <row r="87" spans="1:36" s="43" customFormat="1" ht="59.15" customHeight="1" x14ac:dyDescent="0.3">
      <c r="A87" s="801">
        <v>5</v>
      </c>
      <c r="B87" s="801" t="str" cm="1">
        <f t="array" ref="B87">IFERROR(MATCH(1,('13.2 Building Fabric'!$O87&gt;#REF!)*('13.2 Building Fabric'!$O87&lt;=#REF!)*(Selection_ClimateZone=#REF!),0),"")</f>
        <v/>
      </c>
      <c r="C87" s="801"/>
      <c r="D87" s="801"/>
      <c r="E87" s="801"/>
      <c r="F87" s="801"/>
      <c r="G87" s="801"/>
      <c r="J87" s="1291">
        <f t="shared" si="2"/>
        <v>8</v>
      </c>
      <c r="K87" s="1292">
        <v>5</v>
      </c>
      <c r="L87" s="1279"/>
      <c r="M87" s="1279"/>
      <c r="N87" s="1279"/>
      <c r="O87" s="1279"/>
      <c r="P87" s="1279"/>
      <c r="Q87" s="1279"/>
      <c r="R87" s="1279"/>
      <c r="S87" s="1279"/>
      <c r="T87" s="1293" t="str">
        <f>IF(Table68[[#This Row],[Floor type]]="","",IF(AND(OR(Table68[[#This Row],[Floor type]]=D_List!$R$11,Table68[[#This Row],[Floor type]]=D_List!$R$12),Table68[[#This Row],[Frame Material]]="Metal",Table68[[#This Row],[Thermal Bridging Option]]="(a) Minimum Total R-Value of floor"),
INDEX(Floor_direction_of_heat_flow[Direction of heat flow],MATCH(Selection_ClimateZone,Floor_direction_of_heat_flow[Climate zone],0)),""))</f>
        <v/>
      </c>
      <c r="U87" s="1088" t="str" cm="1">
        <f t="array" ref="U87">IF(Table68[[#This Row],[Floor type]]="","",
IFERROR(IF(Table68[[#This Row],[Floor type]]=D_List!$R$9,IF(Table68[[#This Row],[In-Slab or In-Screed Heating or Cooling]]="Yes",D_List!$S$9,IF(Table68[[#This Row],[In-Slab or In-Screed Heating or Cooling]]&lt;&gt;"",
IF(Selection_ClimateZone&gt;5,INDEX(Table211[Requirement],MATCH(Selection_ClimateZone,Table211[Climate zone],0)),"No additional insulation requirements"),"Please complete all fields")),
IF(Table68[[#This Row],[Floor type]]=D_List!$R$12,"No additional insulation requirements",
IF(Table68[[#This Row],[Floor type]]=D_List!$R$10,
IF(Table68[[#This Row],[Frame Material]]="","Please complete frame material",
IF(Table68[[#This Row],[Frame Material]]="Timber",CONCATENATE("Floor insulation with minimum R-value of ",$X87),
IF(OR(Selection_ClimateZone=2,Selection_ClimateZone=3),"No additional insulation requirements",TRIM(MID(Table68[[#This Row],[Thermal Bridging Option]],4,500))&amp;" of "&amp;INDEX($AB87:$AD87,1,AJ87))
)),
IF(Table68[[#This Row],[Floor type]]=D_List!$R$11,
IF(Table68[[#This Row],[Frame Material]]="","Please complete frame material",
IF(Table68[[#This Row],[Frame Material]]="Timber",CONCATENATE(IF(Selection_ClimateZone&lt;=3,"Subfloor wall insulation with minimum R-Value of ","Floor insulation with minimum R-value of "),$Y87),
IF(OR(Selection_ClimateZone=2,Selection_ClimateZone=3),"No additional insulation requirements",TRIM(MID(Table68[[#This Row],[Thermal Bridging Option]],4,500))&amp;" of "&amp;INDEX($AF87:$AH87,1,AJ87))
)))))),
"Review inputs, combination not permitted"))</f>
        <v/>
      </c>
      <c r="X87" s="1294" t="e">
        <f>INDEX(Minimum_R_Value_of_floor_insulation_where_the_floor_is_over_an_unenclosed_space196[[R-Value]:[if used in conjunction with a reflective airspace]],MATCH(Selection_ClimateZone,Minimum_R_Value_of_floor_insulation_where_the_floor_is_over_an_unenclosed_space196[Climate zone],0),MATCH(Table68[[#This Row],[Reflective Insulation Facing Down Over the Subfloor Space]],D_Building_Fabric!$G$794:$H$794,0))</f>
        <v>#N/A</v>
      </c>
      <c r="Y87" s="1295" t="e">
        <f>IF(Selection_ClimateZone=1,"1.5",
IF(OR(Selection_ClimateZone=2,Selection_ClimateZone=3),INDEX(D_Building_Fabric!$H$808:$H$821,MATCH(Selection_ClimateZone&amp;Table68[[#This Row],[Subfloor Wall Height (mm)]],D_Building_Fabric!$C$808:$C$821,0)),
INDEX(D_Building_Fabric!$I$826:$I$906,MATCH(Z87,D_Building_Fabric!$C$826:$C$906,0))))</f>
        <v>#N/A</v>
      </c>
      <c r="Z87" s="1295" t="str">
        <f>CONCATENATE(Selection_ClimateZone,Table68[[#This Row],[Subfloor Wall Height (mm)]],Table68[[#This Row],[Reflective Insulation Facing Down Over the Subfloor Space]],Table68[[#This Row],[Minimum Subfloor Wall Insulation R-Value]])</f>
        <v>5</v>
      </c>
      <c r="AB87" s="1295" t="e">
        <f>INDEX(Metal_framed_suspended_floor_minimum_Total_R_Value_for_floor_to_account_for_thermal_bridging204[Minimum Total R-Value of floor],MATCH('13.2 Building Fabric'!X87&amp;Table68[[#This Row],[Floor Covering]],D_Building_Fabric!C915:$C$928,0))</f>
        <v>#N/A</v>
      </c>
      <c r="AC87" s="1295" t="e">
        <f>IF($X87&gt;=3, D_Building_Fabric!$G$938,INDEX(Metal_framed_suspended_floor_thermal_bridging_mitigation205[Option 1 – increase insulation between floor framing to specified minimum R-Value],MATCH($X87,Metal_framed_suspended_floor_thermal_bridging_mitigation205[Floor insulation from Tables 13.2.6a and 13.2.6d to 13.2.6h as applicable],0)))</f>
        <v>#N/A</v>
      </c>
      <c r="AD87" s="1295" t="e">
        <f>IF($X87&gt;=3,D_Building_Fabric!$H$938,INDEX(Metal_framed_suspended_floor_thermal_bridging_mitigation205[Option 2– add a layer of continuous insulation product above or below the floor framing with specified R-Value],MATCH($X87,Metal_framed_suspended_floor_thermal_bridging_mitigation205[Floor insulation from Tables 13.2.6a and 13.2.6d to 13.2.6h as applicable],0)))</f>
        <v>#N/A</v>
      </c>
      <c r="AF87" s="1295" t="e">
        <f>INDEX(Metal_framed_suspended_floor_minimum_Total_R_Value_for_floor_to_account_for_thermal_bridging204[Minimum Total R-Value of floor],MATCH('13.2 Building Fabric'!Y87&amp;Table68[[#This Row],[Floor Covering]],D_Building_Fabric!C915:$C$928,0))</f>
        <v>#N/A</v>
      </c>
      <c r="AG87" s="1295" t="e">
        <f>IF($Y87&gt;=3, D_Building_Fabric!$G$938,INDEX(Metal_framed_suspended_floor_thermal_bridging_mitigation205[Option 1 – increase insulation between floor framing to specified minimum R-Value],MATCH($Y87,Metal_framed_suspended_floor_thermal_bridging_mitigation205[Floor insulation from Tables 13.2.6a and 13.2.6d to 13.2.6h as applicable],0)))</f>
        <v>#N/A</v>
      </c>
      <c r="AH87" s="1295" t="e">
        <f>IF($Y87&gt;=3,D_Building_Fabric!$H$938,INDEX(Metal_framed_suspended_floor_thermal_bridging_mitigation205[Option 2– add a layer of continuous insulation product above or below the floor framing with specified R-Value],MATCH($Y87,Metal_framed_suspended_floor_thermal_bridging_mitigation205[Floor insulation from Tables 13.2.6a and 13.2.6d to 13.2.6h as applicable],0)))</f>
        <v>#N/A</v>
      </c>
      <c r="AJ87" s="1295" t="e">
        <f>MATCH(Table68[[#This Row],[Thermal Bridging Option]],D_List!$B$43:$B$45,0)</f>
        <v>#N/A</v>
      </c>
    </row>
    <row r="88" spans="1:36" s="43" customFormat="1" ht="59.15" customHeight="1" x14ac:dyDescent="0.3">
      <c r="A88" s="801">
        <v>6</v>
      </c>
      <c r="B88" s="801" t="str" cm="1">
        <f t="array" ref="B88">IFERROR(MATCH(1,('13.2 Building Fabric'!$O88&gt;#REF!)*('13.2 Building Fabric'!$O88&lt;=#REF!)*(Selection_ClimateZone=#REF!),0),"")</f>
        <v/>
      </c>
      <c r="C88" s="801"/>
      <c r="D88" s="801"/>
      <c r="E88" s="801"/>
      <c r="F88" s="801"/>
      <c r="G88" s="801"/>
      <c r="J88" s="1291">
        <f t="shared" si="2"/>
        <v>8</v>
      </c>
      <c r="K88" s="1292">
        <v>6</v>
      </c>
      <c r="L88" s="1279"/>
      <c r="M88" s="1279"/>
      <c r="N88" s="1279"/>
      <c r="O88" s="1279"/>
      <c r="P88" s="1279"/>
      <c r="Q88" s="1279"/>
      <c r="R88" s="1279"/>
      <c r="S88" s="1279"/>
      <c r="T88" s="1293" t="str">
        <f>IF(Table68[[#This Row],[Floor type]]="","",IF(AND(OR(Table68[[#This Row],[Floor type]]=D_List!$R$11,Table68[[#This Row],[Floor type]]=D_List!$R$12),Table68[[#This Row],[Frame Material]]="Metal",Table68[[#This Row],[Thermal Bridging Option]]="(a) Minimum Total R-Value of floor"),
INDEX(Floor_direction_of_heat_flow[Direction of heat flow],MATCH(Selection_ClimateZone,Floor_direction_of_heat_flow[Climate zone],0)),""))</f>
        <v/>
      </c>
      <c r="U88" s="1088" t="str" cm="1">
        <f t="array" ref="U88">IF(Table68[[#This Row],[Floor type]]="","",
IFERROR(IF(Table68[[#This Row],[Floor type]]=D_List!$R$9,IF(Table68[[#This Row],[In-Slab or In-Screed Heating or Cooling]]="Yes",D_List!$S$9,IF(Table68[[#This Row],[In-Slab or In-Screed Heating or Cooling]]&lt;&gt;"",
IF(Selection_ClimateZone&gt;5,INDEX(Table211[Requirement],MATCH(Selection_ClimateZone,Table211[Climate zone],0)),"No additional insulation requirements"),"Please complete all fields")),
IF(Table68[[#This Row],[Floor type]]=D_List!$R$12,"No additional insulation requirements",
IF(Table68[[#This Row],[Floor type]]=D_List!$R$10,
IF(Table68[[#This Row],[Frame Material]]="","Please complete frame material",
IF(Table68[[#This Row],[Frame Material]]="Timber",CONCATENATE("Floor insulation with minimum R-value of ",$X88),
IF(OR(Selection_ClimateZone=2,Selection_ClimateZone=3),"No additional insulation requirements",TRIM(MID(Table68[[#This Row],[Thermal Bridging Option]],4,500))&amp;" of "&amp;INDEX($AB88:$AD88,1,AJ88))
)),
IF(Table68[[#This Row],[Floor type]]=D_List!$R$11,
IF(Table68[[#This Row],[Frame Material]]="","Please complete frame material",
IF(Table68[[#This Row],[Frame Material]]="Timber",CONCATENATE(IF(Selection_ClimateZone&lt;=3,"Subfloor wall insulation with minimum R-Value of ","Floor insulation with minimum R-value of "),$Y88),
IF(OR(Selection_ClimateZone=2,Selection_ClimateZone=3),"No additional insulation requirements",TRIM(MID(Table68[[#This Row],[Thermal Bridging Option]],4,500))&amp;" of "&amp;INDEX($AF88:$AH88,1,AJ88))
)))))),
"Review inputs, combination not permitted"))</f>
        <v/>
      </c>
      <c r="X88" s="1294" t="e">
        <f>INDEX(Minimum_R_Value_of_floor_insulation_where_the_floor_is_over_an_unenclosed_space196[[R-Value]:[if used in conjunction with a reflective airspace]],MATCH(Selection_ClimateZone,Minimum_R_Value_of_floor_insulation_where_the_floor_is_over_an_unenclosed_space196[Climate zone],0),MATCH(Table68[[#This Row],[Reflective Insulation Facing Down Over the Subfloor Space]],D_Building_Fabric!$G$794:$H$794,0))</f>
        <v>#N/A</v>
      </c>
      <c r="Y88" s="1295" t="e">
        <f>IF(Selection_ClimateZone=1,"1.5",
IF(OR(Selection_ClimateZone=2,Selection_ClimateZone=3),INDEX(D_Building_Fabric!$H$808:$H$821,MATCH(Selection_ClimateZone&amp;Table68[[#This Row],[Subfloor Wall Height (mm)]],D_Building_Fabric!$C$808:$C$821,0)),
INDEX(D_Building_Fabric!$I$826:$I$906,MATCH(Z88,D_Building_Fabric!$C$826:$C$906,0))))</f>
        <v>#N/A</v>
      </c>
      <c r="Z88" s="1295" t="str">
        <f>CONCATENATE(Selection_ClimateZone,Table68[[#This Row],[Subfloor Wall Height (mm)]],Table68[[#This Row],[Reflective Insulation Facing Down Over the Subfloor Space]],Table68[[#This Row],[Minimum Subfloor Wall Insulation R-Value]])</f>
        <v>5</v>
      </c>
      <c r="AB88" s="1295" t="e">
        <f>INDEX(Metal_framed_suspended_floor_minimum_Total_R_Value_for_floor_to_account_for_thermal_bridging204[Minimum Total R-Value of floor],MATCH('13.2 Building Fabric'!X88&amp;Table68[[#This Row],[Floor Covering]],D_Building_Fabric!C916:$C$928,0))</f>
        <v>#N/A</v>
      </c>
      <c r="AC88" s="1295" t="e">
        <f>IF($X88&gt;=3, D_Building_Fabric!$G$938,INDEX(Metal_framed_suspended_floor_thermal_bridging_mitigation205[Option 1 – increase insulation between floor framing to specified minimum R-Value],MATCH($X88,Metal_framed_suspended_floor_thermal_bridging_mitigation205[Floor insulation from Tables 13.2.6a and 13.2.6d to 13.2.6h as applicable],0)))</f>
        <v>#N/A</v>
      </c>
      <c r="AD88" s="1295" t="e">
        <f>IF($X88&gt;=3,D_Building_Fabric!$H$938,INDEX(Metal_framed_suspended_floor_thermal_bridging_mitigation205[Option 2– add a layer of continuous insulation product above or below the floor framing with specified R-Value],MATCH($X88,Metal_framed_suspended_floor_thermal_bridging_mitigation205[Floor insulation from Tables 13.2.6a and 13.2.6d to 13.2.6h as applicable],0)))</f>
        <v>#N/A</v>
      </c>
      <c r="AF88" s="1295" t="e">
        <f>INDEX(Metal_framed_suspended_floor_minimum_Total_R_Value_for_floor_to_account_for_thermal_bridging204[Minimum Total R-Value of floor],MATCH('13.2 Building Fabric'!Y88&amp;Table68[[#This Row],[Floor Covering]],D_Building_Fabric!C916:$C$928,0))</f>
        <v>#N/A</v>
      </c>
      <c r="AG88" s="1295" t="e">
        <f>IF($Y88&gt;=3, D_Building_Fabric!$G$938,INDEX(Metal_framed_suspended_floor_thermal_bridging_mitigation205[Option 1 – increase insulation between floor framing to specified minimum R-Value],MATCH($Y88,Metal_framed_suspended_floor_thermal_bridging_mitigation205[Floor insulation from Tables 13.2.6a and 13.2.6d to 13.2.6h as applicable],0)))</f>
        <v>#N/A</v>
      </c>
      <c r="AH88" s="1295" t="e">
        <f>IF($Y88&gt;=3,D_Building_Fabric!$H$938,INDEX(Metal_framed_suspended_floor_thermal_bridging_mitigation205[Option 2– add a layer of continuous insulation product above or below the floor framing with specified R-Value],MATCH($Y88,Metal_framed_suspended_floor_thermal_bridging_mitigation205[Floor insulation from Tables 13.2.6a and 13.2.6d to 13.2.6h as applicable],0)))</f>
        <v>#N/A</v>
      </c>
      <c r="AJ88" s="1295" t="e">
        <f>MATCH(Table68[[#This Row],[Thermal Bridging Option]],D_List!$B$43:$B$45,0)</f>
        <v>#N/A</v>
      </c>
    </row>
    <row r="89" spans="1:36" s="43" customFormat="1" ht="59.15" customHeight="1" x14ac:dyDescent="0.3">
      <c r="A89" s="801">
        <v>7</v>
      </c>
      <c r="B89" s="801" t="str" cm="1">
        <f t="array" ref="B89">IFERROR(MATCH(1,('13.2 Building Fabric'!$O89&gt;#REF!)*('13.2 Building Fabric'!$O89&lt;=#REF!)*(Selection_ClimateZone=#REF!),0),"")</f>
        <v/>
      </c>
      <c r="C89" s="801"/>
      <c r="D89" s="801"/>
      <c r="E89" s="801"/>
      <c r="F89" s="801"/>
      <c r="G89" s="801"/>
      <c r="J89" s="1291">
        <f t="shared" si="2"/>
        <v>8</v>
      </c>
      <c r="K89" s="1292">
        <v>7</v>
      </c>
      <c r="L89" s="1279"/>
      <c r="M89" s="1279"/>
      <c r="N89" s="1279"/>
      <c r="O89" s="1279"/>
      <c r="P89" s="1279"/>
      <c r="Q89" s="1279"/>
      <c r="R89" s="1279"/>
      <c r="S89" s="1279"/>
      <c r="T89" s="1293" t="str">
        <f>IF(Table68[[#This Row],[Floor type]]="","",IF(AND(OR(Table68[[#This Row],[Floor type]]=D_List!$R$11,Table68[[#This Row],[Floor type]]=D_List!$R$12),Table68[[#This Row],[Frame Material]]="Metal",Table68[[#This Row],[Thermal Bridging Option]]="(a) Minimum Total R-Value of floor"),
INDEX(Floor_direction_of_heat_flow[Direction of heat flow],MATCH(Selection_ClimateZone,Floor_direction_of_heat_flow[Climate zone],0)),""))</f>
        <v/>
      </c>
      <c r="U89" s="1088" t="str" cm="1">
        <f t="array" ref="U89">IF(Table68[[#This Row],[Floor type]]="","",
IFERROR(IF(Table68[[#This Row],[Floor type]]=D_List!$R$9,IF(Table68[[#This Row],[In-Slab or In-Screed Heating or Cooling]]="Yes",D_List!$S$9,IF(Table68[[#This Row],[In-Slab or In-Screed Heating or Cooling]]&lt;&gt;"",
IF(Selection_ClimateZone&gt;5,INDEX(Table211[Requirement],MATCH(Selection_ClimateZone,Table211[Climate zone],0)),"No additional insulation requirements"),"Please complete all fields")),
IF(Table68[[#This Row],[Floor type]]=D_List!$R$12,"No additional insulation requirements",
IF(Table68[[#This Row],[Floor type]]=D_List!$R$10,
IF(Table68[[#This Row],[Frame Material]]="","Please complete frame material",
IF(Table68[[#This Row],[Frame Material]]="Timber",CONCATENATE("Floor insulation with minimum R-value of ",$X89),
IF(OR(Selection_ClimateZone=2,Selection_ClimateZone=3),"No additional insulation requirements",TRIM(MID(Table68[[#This Row],[Thermal Bridging Option]],4,500))&amp;" of "&amp;INDEX($AB89:$AD89,1,AJ89))
)),
IF(Table68[[#This Row],[Floor type]]=D_List!$R$11,
IF(Table68[[#This Row],[Frame Material]]="","Please complete frame material",
IF(Table68[[#This Row],[Frame Material]]="Timber",CONCATENATE(IF(Selection_ClimateZone&lt;=3,"Subfloor wall insulation with minimum R-Value of ","Floor insulation with minimum R-value of "),$Y89),
IF(OR(Selection_ClimateZone=2,Selection_ClimateZone=3),"No additional insulation requirements",TRIM(MID(Table68[[#This Row],[Thermal Bridging Option]],4,500))&amp;" of "&amp;INDEX($AF89:$AH89,1,AJ89))
)))))),
"Review inputs, combination not permitted"))</f>
        <v/>
      </c>
      <c r="X89" s="1294" t="e">
        <f>INDEX(Minimum_R_Value_of_floor_insulation_where_the_floor_is_over_an_unenclosed_space196[[R-Value]:[if used in conjunction with a reflective airspace]],MATCH(Selection_ClimateZone,Minimum_R_Value_of_floor_insulation_where_the_floor_is_over_an_unenclosed_space196[Climate zone],0),MATCH(Table68[[#This Row],[Reflective Insulation Facing Down Over the Subfloor Space]],D_Building_Fabric!$G$794:$H$794,0))</f>
        <v>#N/A</v>
      </c>
      <c r="Y89" s="1295" t="e">
        <f>IF(Selection_ClimateZone=1,"1.5",
IF(OR(Selection_ClimateZone=2,Selection_ClimateZone=3),INDEX(D_Building_Fabric!$H$808:$H$821,MATCH(Selection_ClimateZone&amp;Table68[[#This Row],[Subfloor Wall Height (mm)]],D_Building_Fabric!$C$808:$C$821,0)),
INDEX(D_Building_Fabric!$I$826:$I$906,MATCH(Z89,D_Building_Fabric!$C$826:$C$906,0))))</f>
        <v>#N/A</v>
      </c>
      <c r="Z89" s="1295" t="str">
        <f>CONCATENATE(Selection_ClimateZone,Table68[[#This Row],[Subfloor Wall Height (mm)]],Table68[[#This Row],[Reflective Insulation Facing Down Over the Subfloor Space]],Table68[[#This Row],[Minimum Subfloor Wall Insulation R-Value]])</f>
        <v>5</v>
      </c>
      <c r="AB89" s="1295" t="e">
        <f>INDEX(Metal_framed_suspended_floor_minimum_Total_R_Value_for_floor_to_account_for_thermal_bridging204[Minimum Total R-Value of floor],MATCH('13.2 Building Fabric'!X89&amp;Table68[[#This Row],[Floor Covering]],D_Building_Fabric!C917:$C$928,0))</f>
        <v>#N/A</v>
      </c>
      <c r="AC89" s="1295" t="e">
        <f>IF($X89&gt;=3, D_Building_Fabric!$G$938,INDEX(Metal_framed_suspended_floor_thermal_bridging_mitigation205[Option 1 – increase insulation between floor framing to specified minimum R-Value],MATCH($X89,Metal_framed_suspended_floor_thermal_bridging_mitigation205[Floor insulation from Tables 13.2.6a and 13.2.6d to 13.2.6h as applicable],0)))</f>
        <v>#N/A</v>
      </c>
      <c r="AD89" s="1295" t="e">
        <f>IF($X89&gt;=3,D_Building_Fabric!$H$938,INDEX(Metal_framed_suspended_floor_thermal_bridging_mitigation205[Option 2– add a layer of continuous insulation product above or below the floor framing with specified R-Value],MATCH($X89,Metal_framed_suspended_floor_thermal_bridging_mitigation205[Floor insulation from Tables 13.2.6a and 13.2.6d to 13.2.6h as applicable],0)))</f>
        <v>#N/A</v>
      </c>
      <c r="AF89" s="1295" t="e">
        <f>INDEX(Metal_framed_suspended_floor_minimum_Total_R_Value_for_floor_to_account_for_thermal_bridging204[Minimum Total R-Value of floor],MATCH('13.2 Building Fabric'!Y89&amp;Table68[[#This Row],[Floor Covering]],D_Building_Fabric!C917:$C$928,0))</f>
        <v>#N/A</v>
      </c>
      <c r="AG89" s="1295" t="e">
        <f>IF($Y89&gt;=3, D_Building_Fabric!$G$938,INDEX(Metal_framed_suspended_floor_thermal_bridging_mitigation205[Option 1 – increase insulation between floor framing to specified minimum R-Value],MATCH($Y89,Metal_framed_suspended_floor_thermal_bridging_mitigation205[Floor insulation from Tables 13.2.6a and 13.2.6d to 13.2.6h as applicable],0)))</f>
        <v>#N/A</v>
      </c>
      <c r="AH89" s="1295" t="e">
        <f>IF($Y89&gt;=3,D_Building_Fabric!$H$938,INDEX(Metal_framed_suspended_floor_thermal_bridging_mitigation205[Option 2– add a layer of continuous insulation product above or below the floor framing with specified R-Value],MATCH($Y89,Metal_framed_suspended_floor_thermal_bridging_mitigation205[Floor insulation from Tables 13.2.6a and 13.2.6d to 13.2.6h as applicable],0)))</f>
        <v>#N/A</v>
      </c>
      <c r="AJ89" s="1295" t="e">
        <f>MATCH(Table68[[#This Row],[Thermal Bridging Option]],D_List!$B$43:$B$45,0)</f>
        <v>#N/A</v>
      </c>
    </row>
    <row r="90" spans="1:36" s="43" customFormat="1" ht="59.15" customHeight="1" x14ac:dyDescent="0.3">
      <c r="A90" s="801">
        <v>8</v>
      </c>
      <c r="B90" s="801" t="str" cm="1">
        <f t="array" ref="B90">IFERROR(MATCH(1,('13.2 Building Fabric'!$O90&gt;#REF!)*('13.2 Building Fabric'!$O90&lt;=#REF!)*(Selection_ClimateZone=#REF!),0),"")</f>
        <v/>
      </c>
      <c r="C90" s="801"/>
      <c r="D90" s="801"/>
      <c r="E90" s="801"/>
      <c r="F90" s="801"/>
      <c r="G90" s="801"/>
      <c r="J90" s="1291">
        <f t="shared" si="2"/>
        <v>8</v>
      </c>
      <c r="K90" s="1292">
        <v>8</v>
      </c>
      <c r="L90" s="1279"/>
      <c r="M90" s="1279"/>
      <c r="N90" s="1279"/>
      <c r="O90" s="1279"/>
      <c r="P90" s="1279"/>
      <c r="Q90" s="1279"/>
      <c r="R90" s="1279"/>
      <c r="S90" s="1279"/>
      <c r="T90" s="1293" t="str">
        <f>IF(Table68[[#This Row],[Floor type]]="","",IF(AND(OR(Table68[[#This Row],[Floor type]]=D_List!$R$11,Table68[[#This Row],[Floor type]]=D_List!$R$12),Table68[[#This Row],[Frame Material]]="Metal",Table68[[#This Row],[Thermal Bridging Option]]="(a) Minimum Total R-Value of floor"),
INDEX(Floor_direction_of_heat_flow[Direction of heat flow],MATCH(Selection_ClimateZone,Floor_direction_of_heat_flow[Climate zone],0)),""))</f>
        <v/>
      </c>
      <c r="U90" s="1088" t="str" cm="1">
        <f t="array" ref="U90">IF(Table68[[#This Row],[Floor type]]="","",
IFERROR(IF(Table68[[#This Row],[Floor type]]=D_List!$R$9,IF(Table68[[#This Row],[In-Slab or In-Screed Heating or Cooling]]="Yes",D_List!$S$9,IF(Table68[[#This Row],[In-Slab or In-Screed Heating or Cooling]]&lt;&gt;"",
IF(Selection_ClimateZone&gt;5,INDEX(Table211[Requirement],MATCH(Selection_ClimateZone,Table211[Climate zone],0)),"No additional insulation requirements"),"Please complete all fields")),
IF(Table68[[#This Row],[Floor type]]=D_List!$R$12,"No additional insulation requirements",
IF(Table68[[#This Row],[Floor type]]=D_List!$R$10,
IF(Table68[[#This Row],[Frame Material]]="","Please complete frame material",
IF(Table68[[#This Row],[Frame Material]]="Timber",CONCATENATE("Floor insulation with minimum R-value of ",$X90),
IF(OR(Selection_ClimateZone=2,Selection_ClimateZone=3),"No additional insulation requirements",TRIM(MID(Table68[[#This Row],[Thermal Bridging Option]],4,500))&amp;" of "&amp;INDEX($AB90:$AD90,1,AJ90))
)),
IF(Table68[[#This Row],[Floor type]]=D_List!$R$11,
IF(Table68[[#This Row],[Frame Material]]="","Please complete frame material",
IF(Table68[[#This Row],[Frame Material]]="Timber",CONCATENATE(IF(Selection_ClimateZone&lt;=3,"Subfloor wall insulation with minimum R-Value of ","Floor insulation with minimum R-value of "),$Y90),
IF(OR(Selection_ClimateZone=2,Selection_ClimateZone=3),"No additional insulation requirements",TRIM(MID(Table68[[#This Row],[Thermal Bridging Option]],4,500))&amp;" of "&amp;INDEX($AF90:$AH90,1,AJ90))
)))))),
"Review inputs, combination not permitted"))</f>
        <v/>
      </c>
      <c r="X90" s="1294" t="e">
        <f>INDEX(Minimum_R_Value_of_floor_insulation_where_the_floor_is_over_an_unenclosed_space196[[R-Value]:[if used in conjunction with a reflective airspace]],MATCH(Selection_ClimateZone,Minimum_R_Value_of_floor_insulation_where_the_floor_is_over_an_unenclosed_space196[Climate zone],0),MATCH(Table68[[#This Row],[Reflective Insulation Facing Down Over the Subfloor Space]],D_Building_Fabric!$G$794:$H$794,0))</f>
        <v>#N/A</v>
      </c>
      <c r="Y90" s="1295" t="e">
        <f>IF(Selection_ClimateZone=1,"1.5",
IF(OR(Selection_ClimateZone=2,Selection_ClimateZone=3),INDEX(D_Building_Fabric!$H$808:$H$821,MATCH(Selection_ClimateZone&amp;Table68[[#This Row],[Subfloor Wall Height (mm)]],D_Building_Fabric!$C$808:$C$821,0)),
INDEX(D_Building_Fabric!$I$826:$I$906,MATCH(Z90,D_Building_Fabric!$C$826:$C$906,0))))</f>
        <v>#N/A</v>
      </c>
      <c r="Z90" s="1295" t="str">
        <f>CONCATENATE(Selection_ClimateZone,Table68[[#This Row],[Subfloor Wall Height (mm)]],Table68[[#This Row],[Reflective Insulation Facing Down Over the Subfloor Space]],Table68[[#This Row],[Minimum Subfloor Wall Insulation R-Value]])</f>
        <v>5</v>
      </c>
      <c r="AB90" s="1295" t="e">
        <f>INDEX(Metal_framed_suspended_floor_minimum_Total_R_Value_for_floor_to_account_for_thermal_bridging204[Minimum Total R-Value of floor],MATCH('13.2 Building Fabric'!X90&amp;Table68[[#This Row],[Floor Covering]],D_Building_Fabric!C918:$C$928,0))</f>
        <v>#N/A</v>
      </c>
      <c r="AC90" s="1295" t="e">
        <f>IF($X90&gt;=3, D_Building_Fabric!$G$938,INDEX(Metal_framed_suspended_floor_thermal_bridging_mitigation205[Option 1 – increase insulation between floor framing to specified minimum R-Value],MATCH($X90,Metal_framed_suspended_floor_thermal_bridging_mitigation205[Floor insulation from Tables 13.2.6a and 13.2.6d to 13.2.6h as applicable],0)))</f>
        <v>#N/A</v>
      </c>
      <c r="AD90" s="1295" t="e">
        <f>IF($X90&gt;=3,D_Building_Fabric!$H$938,INDEX(Metal_framed_suspended_floor_thermal_bridging_mitigation205[Option 2– add a layer of continuous insulation product above or below the floor framing with specified R-Value],MATCH($X90,Metal_framed_suspended_floor_thermal_bridging_mitigation205[Floor insulation from Tables 13.2.6a and 13.2.6d to 13.2.6h as applicable],0)))</f>
        <v>#N/A</v>
      </c>
      <c r="AF90" s="1295" t="e">
        <f>INDEX(Metal_framed_suspended_floor_minimum_Total_R_Value_for_floor_to_account_for_thermal_bridging204[Minimum Total R-Value of floor],MATCH('13.2 Building Fabric'!Y90&amp;Table68[[#This Row],[Floor Covering]],D_Building_Fabric!C918:$C$928,0))</f>
        <v>#N/A</v>
      </c>
      <c r="AG90" s="1295" t="e">
        <f>IF($Y90&gt;=3, D_Building_Fabric!$G$938,INDEX(Metal_framed_suspended_floor_thermal_bridging_mitigation205[Option 1 – increase insulation between floor framing to specified minimum R-Value],MATCH($Y90,Metal_framed_suspended_floor_thermal_bridging_mitigation205[Floor insulation from Tables 13.2.6a and 13.2.6d to 13.2.6h as applicable],0)))</f>
        <v>#N/A</v>
      </c>
      <c r="AH90" s="1295" t="e">
        <f>IF($Y90&gt;=3,D_Building_Fabric!$H$938,INDEX(Metal_framed_suspended_floor_thermal_bridging_mitigation205[Option 2– add a layer of continuous insulation product above or below the floor framing with specified R-Value],MATCH($Y90,Metal_framed_suspended_floor_thermal_bridging_mitigation205[Floor insulation from Tables 13.2.6a and 13.2.6d to 13.2.6h as applicable],0)))</f>
        <v>#N/A</v>
      </c>
      <c r="AJ90" s="1295" t="e">
        <f>MATCH(Table68[[#This Row],[Thermal Bridging Option]],D_List!$B$43:$B$45,0)</f>
        <v>#N/A</v>
      </c>
    </row>
    <row r="91" spans="1:36" s="43" customFormat="1" ht="59.15" hidden="1" customHeight="1" x14ac:dyDescent="0.3">
      <c r="A91" s="801">
        <v>9</v>
      </c>
      <c r="B91" s="801" t="str" cm="1">
        <f t="array" ref="B91">IFERROR(MATCH(1,('13.2 Building Fabric'!$O91&gt;#REF!)*('13.2 Building Fabric'!$O91&lt;=#REF!)*(Selection_ClimateZone=#REF!),0),"")</f>
        <v/>
      </c>
      <c r="C91" s="801"/>
      <c r="D91" s="801"/>
      <c r="E91" s="801"/>
      <c r="F91" s="801"/>
      <c r="G91" s="801"/>
      <c r="J91" s="1291" t="str">
        <f t="shared" si="2"/>
        <v>-</v>
      </c>
      <c r="K91" s="1292">
        <v>9</v>
      </c>
      <c r="L91" s="1279"/>
      <c r="M91" s="1279"/>
      <c r="N91" s="1279"/>
      <c r="O91" s="1279"/>
      <c r="P91" s="1279"/>
      <c r="Q91" s="1279"/>
      <c r="R91" s="1279"/>
      <c r="S91" s="1279"/>
      <c r="T91" s="1293" t="str">
        <f>IF(Table68[[#This Row],[Floor type]]="","",IF(AND(OR(Table68[[#This Row],[Floor type]]=D_List!$R$11,Table68[[#This Row],[Floor type]]=D_List!$R$12),Table68[[#This Row],[Frame Material]]="Metal",Table68[[#This Row],[Thermal Bridging Option]]="(a) Minimum Total R-Value of floor"),
INDEX(Floor_direction_of_heat_flow[Direction of heat flow],MATCH(Selection_ClimateZone,Floor_direction_of_heat_flow[Climate zone],0)),""))</f>
        <v/>
      </c>
      <c r="U91" s="1088" t="str" cm="1">
        <f t="array" ref="U91">IF(Table68[[#This Row],[Floor type]]="","",
IFERROR(IF(Table68[[#This Row],[Floor type]]=D_List!$R$9,IF(Table68[[#This Row],[In-Slab or In-Screed Heating or Cooling]]="Yes",D_List!$S$9,IF(Table68[[#This Row],[In-Slab or In-Screed Heating or Cooling]]&lt;&gt;"",
IF(Selection_ClimateZone&gt;5,INDEX(Table211[Requirement],MATCH(Selection_ClimateZone,Table211[Climate zone],0)),"No additional insulation requirements"),"Please complete all fields")),
IF(Table68[[#This Row],[Floor type]]=D_List!$R$12,"No additional insulation requirements",
IF(Table68[[#This Row],[Floor type]]=D_List!$R$10,
IF(Table68[[#This Row],[Frame Material]]="","Please complete frame material",
IF(Table68[[#This Row],[Frame Material]]="Timber",CONCATENATE("Floor insulation with minimum R-value of ",$X91),
IF(OR(Selection_ClimateZone=2,Selection_ClimateZone=3),"No additional insulation requirements",TRIM(MID(Table68[[#This Row],[Thermal Bridging Option]],4,500))&amp;" of "&amp;INDEX($AB91:$AD91,1,AJ91))
)),
IF(Table68[[#This Row],[Floor type]]=D_List!$R$11,
IF(Table68[[#This Row],[Frame Material]]="","Please complete frame material",
IF(Table68[[#This Row],[Frame Material]]="Timber",CONCATENATE(IF(Selection_ClimateZone&lt;=3,"Subfloor wall insulation with minimum R-Value of ","Floor insulation with minimum R-value of "),$Y91),
IF(OR(Selection_ClimateZone=2,Selection_ClimateZone=3),"No additional insulation requirements",TRIM(MID(Table68[[#This Row],[Thermal Bridging Option]],4,500))&amp;" of "&amp;INDEX($AF91:$AH91,1,AJ91))
)))))),
"Review inputs, combination not permitted"))</f>
        <v/>
      </c>
      <c r="X91" s="1294" t="e">
        <f>INDEX(Minimum_R_Value_of_floor_insulation_where_the_floor_is_over_an_unenclosed_space196[[R-Value]:[if used in conjunction with a reflective airspace]],MATCH(Selection_ClimateZone,Minimum_R_Value_of_floor_insulation_where_the_floor_is_over_an_unenclosed_space196[Climate zone],0),MATCH(Table68[[#This Row],[Reflective Insulation Facing Down Over the Subfloor Space]],D_Building_Fabric!$G$794:$H$794,0))</f>
        <v>#N/A</v>
      </c>
      <c r="Y91" s="1295" t="e">
        <f>IF(Selection_ClimateZone=1,"1.5",
IF(OR(Selection_ClimateZone=2,Selection_ClimateZone=3),INDEX(D_Building_Fabric!$H$808:$H$821,MATCH(Selection_ClimateZone&amp;Table68[[#This Row],[Subfloor Wall Height (mm)]],D_Building_Fabric!$C$808:$C$821,0)),
INDEX(D_Building_Fabric!$I$826:$I$906,MATCH(Z91,D_Building_Fabric!$C$826:$C$906,0))))</f>
        <v>#N/A</v>
      </c>
      <c r="Z91" s="1295" t="str">
        <f>CONCATENATE(Selection_ClimateZone,Table68[[#This Row],[Subfloor Wall Height (mm)]],Table68[[#This Row],[Reflective Insulation Facing Down Over the Subfloor Space]],Table68[[#This Row],[Minimum Subfloor Wall Insulation R-Value]])</f>
        <v>5</v>
      </c>
      <c r="AB91" s="1295" t="e">
        <f>INDEX(Metal_framed_suspended_floor_minimum_Total_R_Value_for_floor_to_account_for_thermal_bridging204[Minimum Total R-Value of floor],MATCH('13.2 Building Fabric'!X91&amp;Table68[[#This Row],[Floor Covering]],D_Building_Fabric!C919:$C$928,0))</f>
        <v>#N/A</v>
      </c>
      <c r="AC91" s="1295" t="e">
        <f>IF($X91&gt;=3, D_Building_Fabric!$G$938,INDEX(Metal_framed_suspended_floor_thermal_bridging_mitigation205[Option 1 – increase insulation between floor framing to specified minimum R-Value],MATCH($X91,Metal_framed_suspended_floor_thermal_bridging_mitigation205[Floor insulation from Tables 13.2.6a and 13.2.6d to 13.2.6h as applicable],0)))</f>
        <v>#N/A</v>
      </c>
      <c r="AD91" s="1295" t="e">
        <f>IF($X91&gt;=3,D_Building_Fabric!$H$938,INDEX(Metal_framed_suspended_floor_thermal_bridging_mitigation205[Option 2– add a layer of continuous insulation product above or below the floor framing with specified R-Value],MATCH($X91,Metal_framed_suspended_floor_thermal_bridging_mitigation205[Floor insulation from Tables 13.2.6a and 13.2.6d to 13.2.6h as applicable],0)))</f>
        <v>#N/A</v>
      </c>
      <c r="AF91" s="1295" t="e">
        <f>INDEX(Metal_framed_suspended_floor_minimum_Total_R_Value_for_floor_to_account_for_thermal_bridging204[Minimum Total R-Value of floor],MATCH('13.2 Building Fabric'!Y91&amp;Table68[[#This Row],[Floor Covering]],D_Building_Fabric!C919:$C$928,0))</f>
        <v>#N/A</v>
      </c>
      <c r="AG91" s="1295" t="e">
        <f>IF($Y91&gt;=3, D_Building_Fabric!$G$938,INDEX(Metal_framed_suspended_floor_thermal_bridging_mitigation205[Option 1 – increase insulation between floor framing to specified minimum R-Value],MATCH($Y91,Metal_framed_suspended_floor_thermal_bridging_mitigation205[Floor insulation from Tables 13.2.6a and 13.2.6d to 13.2.6h as applicable],0)))</f>
        <v>#N/A</v>
      </c>
      <c r="AH91" s="1295" t="e">
        <f>IF($Y91&gt;=3,D_Building_Fabric!$H$938,INDEX(Metal_framed_suspended_floor_thermal_bridging_mitigation205[Option 2– add a layer of continuous insulation product above or below the floor framing with specified R-Value],MATCH($Y91,Metal_framed_suspended_floor_thermal_bridging_mitigation205[Floor insulation from Tables 13.2.6a and 13.2.6d to 13.2.6h as applicable],0)))</f>
        <v>#N/A</v>
      </c>
      <c r="AJ91" s="1295" t="e">
        <f>MATCH(Table68[[#This Row],[Thermal Bridging Option]],D_List!$B$43:$B$45,0)</f>
        <v>#N/A</v>
      </c>
    </row>
    <row r="92" spans="1:36" s="43" customFormat="1" ht="59.15" hidden="1" customHeight="1" x14ac:dyDescent="0.3">
      <c r="A92" s="801">
        <v>10</v>
      </c>
      <c r="B92" s="801" t="str" cm="1">
        <f t="array" ref="B92">IFERROR(MATCH(1,('13.2 Building Fabric'!$O92&gt;#REF!)*('13.2 Building Fabric'!$O92&lt;=#REF!)*(Selection_ClimateZone=#REF!),0),"")</f>
        <v/>
      </c>
      <c r="C92" s="801"/>
      <c r="D92" s="801"/>
      <c r="E92" s="801"/>
      <c r="F92" s="801"/>
      <c r="G92" s="801"/>
      <c r="J92" s="865" t="str">
        <f t="shared" si="2"/>
        <v>-</v>
      </c>
      <c r="K92" s="1296">
        <v>10</v>
      </c>
      <c r="L92" s="1279"/>
      <c r="M92" s="1279"/>
      <c r="N92" s="1279"/>
      <c r="O92" s="1279"/>
      <c r="P92" s="1279"/>
      <c r="Q92" s="1279"/>
      <c r="R92" s="1279"/>
      <c r="S92" s="1279"/>
      <c r="T92" s="1293" t="str">
        <f>IF(Table68[[#This Row],[Floor type]]="","",IF(AND(OR(Table68[[#This Row],[Floor type]]=D_List!$R$11,Table68[[#This Row],[Floor type]]=D_List!$R$12),Table68[[#This Row],[Frame Material]]="Metal",Table68[[#This Row],[Thermal Bridging Option]]="(a) Minimum Total R-Value of floor"),
INDEX(Floor_direction_of_heat_flow[Direction of heat flow],MATCH(Selection_ClimateZone,Floor_direction_of_heat_flow[Climate zone],0)),""))</f>
        <v/>
      </c>
      <c r="U92" s="1088" t="str" cm="1">
        <f t="array" ref="U92">IF(Table68[[#This Row],[Floor type]]="","",
IFERROR(IF(Table68[[#This Row],[Floor type]]=D_List!$R$9,IF(Table68[[#This Row],[In-Slab or In-Screed Heating or Cooling]]="Yes",D_List!$S$9,IF(Table68[[#This Row],[In-Slab or In-Screed Heating or Cooling]]&lt;&gt;"",
IF(Selection_ClimateZone&gt;5,INDEX(Table211[Requirement],MATCH(Selection_ClimateZone,Table211[Climate zone],0)),"No additional insulation requirements"),"Please complete all fields")),
IF(Table68[[#This Row],[Floor type]]=D_List!$R$12,"No additional insulation requirements",
IF(Table68[[#This Row],[Floor type]]=D_List!$R$10,
IF(Table68[[#This Row],[Frame Material]]="","Please complete frame material",
IF(Table68[[#This Row],[Frame Material]]="Timber",CONCATENATE("Floor insulation with minimum R-value of ",$X92),
IF(OR(Selection_ClimateZone=2,Selection_ClimateZone=3),"No additional insulation requirements",TRIM(MID(Table68[[#This Row],[Thermal Bridging Option]],4,500))&amp;" of "&amp;INDEX($AB92:$AD92,1,AJ92))
)),
IF(Table68[[#This Row],[Floor type]]=D_List!$R$11,
IF(Table68[[#This Row],[Frame Material]]="","Please complete frame material",
IF(Table68[[#This Row],[Frame Material]]="Timber",CONCATENATE(IF(Selection_ClimateZone&lt;=3,"Subfloor wall insulation with minimum R-Value of ","Floor insulation with minimum R-value of "),$Y92),
IF(OR(Selection_ClimateZone=2,Selection_ClimateZone=3),"No additional insulation requirements",TRIM(MID(Table68[[#This Row],[Thermal Bridging Option]],4,500))&amp;" of "&amp;INDEX($AF92:$AH92,1,AJ92))
)))))),
"Review inputs, combination not permitted"))</f>
        <v/>
      </c>
      <c r="X92" s="1294" t="e">
        <f>INDEX(Minimum_R_Value_of_floor_insulation_where_the_floor_is_over_an_unenclosed_space196[[R-Value]:[if used in conjunction with a reflective airspace]],MATCH(Selection_ClimateZone,Minimum_R_Value_of_floor_insulation_where_the_floor_is_over_an_unenclosed_space196[Climate zone],0),MATCH(Table68[[#This Row],[Reflective Insulation Facing Down Over the Subfloor Space]],D_Building_Fabric!$G$794:$H$794,0))</f>
        <v>#N/A</v>
      </c>
      <c r="Y92" s="1295" t="e">
        <f>IF(Selection_ClimateZone=1,"1.5",
IF(OR(Selection_ClimateZone=2,Selection_ClimateZone=3),INDEX(D_Building_Fabric!$H$808:$H$821,MATCH(Selection_ClimateZone&amp;Table68[[#This Row],[Subfloor Wall Height (mm)]],D_Building_Fabric!$C$808:$C$821,0)),
INDEX(D_Building_Fabric!$I$826:$I$906,MATCH(Z92,D_Building_Fabric!$C$826:$C$906,0))))</f>
        <v>#N/A</v>
      </c>
      <c r="Z92" s="1295" t="str">
        <f>CONCATENATE(Selection_ClimateZone,Table68[[#This Row],[Subfloor Wall Height (mm)]],Table68[[#This Row],[Reflective Insulation Facing Down Over the Subfloor Space]],Table68[[#This Row],[Minimum Subfloor Wall Insulation R-Value]])</f>
        <v>5</v>
      </c>
      <c r="AB92" s="1295" t="e">
        <f>INDEX(Metal_framed_suspended_floor_minimum_Total_R_Value_for_floor_to_account_for_thermal_bridging204[Minimum Total R-Value of floor],MATCH('13.2 Building Fabric'!X92&amp;Table68[[#This Row],[Floor Covering]],D_Building_Fabric!C920:$C$928,0))</f>
        <v>#N/A</v>
      </c>
      <c r="AC92" s="1295" t="e">
        <f>IF($X92&gt;=3, D_Building_Fabric!$G$938,INDEX(Metal_framed_suspended_floor_thermal_bridging_mitigation205[Option 1 – increase insulation between floor framing to specified minimum R-Value],MATCH($X92,Metal_framed_suspended_floor_thermal_bridging_mitigation205[Floor insulation from Tables 13.2.6a and 13.2.6d to 13.2.6h as applicable],0)))</f>
        <v>#N/A</v>
      </c>
      <c r="AD92" s="1295" t="e">
        <f>IF($X92&gt;=3,D_Building_Fabric!$H$938,INDEX(Metal_framed_suspended_floor_thermal_bridging_mitigation205[Option 2– add a layer of continuous insulation product above or below the floor framing with specified R-Value],MATCH($X92,Metal_framed_suspended_floor_thermal_bridging_mitigation205[Floor insulation from Tables 13.2.6a and 13.2.6d to 13.2.6h as applicable],0)))</f>
        <v>#N/A</v>
      </c>
      <c r="AF92" s="1295" t="e">
        <f>INDEX(Metal_framed_suspended_floor_minimum_Total_R_Value_for_floor_to_account_for_thermal_bridging204[Minimum Total R-Value of floor],MATCH('13.2 Building Fabric'!Y92&amp;Table68[[#This Row],[Floor Covering]],D_Building_Fabric!C920:$C$928,0))</f>
        <v>#N/A</v>
      </c>
      <c r="AG92" s="1295" t="e">
        <f>IF($Y92&gt;=3, D_Building_Fabric!$G$938,INDEX(Metal_framed_suspended_floor_thermal_bridging_mitigation205[Option 1 – increase insulation between floor framing to specified minimum R-Value],MATCH($Y92,Metal_framed_suspended_floor_thermal_bridging_mitigation205[Floor insulation from Tables 13.2.6a and 13.2.6d to 13.2.6h as applicable],0)))</f>
        <v>#N/A</v>
      </c>
      <c r="AH92" s="1295" t="e">
        <f>IF($Y92&gt;=3,D_Building_Fabric!$H$938,INDEX(Metal_framed_suspended_floor_thermal_bridging_mitigation205[Option 2– add a layer of continuous insulation product above or below the floor framing with specified R-Value],MATCH($Y92,Metal_framed_suspended_floor_thermal_bridging_mitigation205[Floor insulation from Tables 13.2.6a and 13.2.6d to 13.2.6h as applicable],0)))</f>
        <v>#N/A</v>
      </c>
      <c r="AJ92" s="1295" t="e">
        <f>MATCH(Table68[[#This Row],[Thermal Bridging Option]],D_List!$B$43:$B$45,0)</f>
        <v>#N/A</v>
      </c>
    </row>
    <row r="93" spans="1:36" s="22" customFormat="1" x14ac:dyDescent="0.3">
      <c r="A93" s="796"/>
      <c r="B93" s="796"/>
      <c r="C93" s="796"/>
      <c r="D93" s="796"/>
      <c r="E93" s="796"/>
      <c r="F93" s="796"/>
      <c r="G93" s="796"/>
      <c r="V93" s="43"/>
    </row>
    <row r="94" spans="1:36" s="22" customFormat="1" x14ac:dyDescent="0.3">
      <c r="A94" s="796" t="s">
        <v>132</v>
      </c>
      <c r="B94" s="800">
        <f>SUBTOTAL(2,'13.2 Building Fabric'!$K$83:$K$92)</f>
        <v>8</v>
      </c>
      <c r="C94" s="796"/>
      <c r="D94" s="796"/>
      <c r="E94" s="796"/>
      <c r="F94" s="796"/>
      <c r="G94" s="796"/>
      <c r="V94" s="43"/>
    </row>
    <row r="95" spans="1:36" s="22" customFormat="1" ht="18" x14ac:dyDescent="0.4">
      <c r="A95" s="796"/>
      <c r="B95" s="796"/>
      <c r="C95" s="796"/>
      <c r="D95" s="796"/>
      <c r="E95" s="796"/>
      <c r="F95" s="796"/>
      <c r="G95" s="796"/>
      <c r="I95" s="729" t="s">
        <v>156</v>
      </c>
      <c r="V95" s="43"/>
    </row>
    <row r="96" spans="1:36" s="22" customFormat="1" x14ac:dyDescent="0.3">
      <c r="A96" s="796"/>
      <c r="B96" s="796"/>
      <c r="C96" s="796"/>
      <c r="D96" s="796"/>
      <c r="E96" s="796"/>
      <c r="F96" s="796"/>
      <c r="G96" s="796"/>
      <c r="J96" s="723"/>
      <c r="V96" s="43"/>
    </row>
    <row r="97" spans="1:18" s="22" customFormat="1" ht="18" x14ac:dyDescent="0.4">
      <c r="A97" s="796"/>
      <c r="B97" s="796"/>
      <c r="C97" s="796"/>
      <c r="D97" s="796"/>
      <c r="E97" s="796"/>
      <c r="F97" s="796"/>
      <c r="G97" s="796"/>
      <c r="J97" s="783" t="str">
        <f>IF(Home!$B$31=1,"NOT APPLICABLE","Please acknowledge the below requirement")</f>
        <v>NOT APPLICABLE</v>
      </c>
    </row>
    <row r="98" spans="1:18" s="22" customFormat="1" x14ac:dyDescent="0.3">
      <c r="A98" s="796"/>
      <c r="B98" s="796"/>
      <c r="C98" s="796"/>
      <c r="D98" s="796"/>
      <c r="E98" s="1108" t="b">
        <v>0</v>
      </c>
      <c r="F98" s="796"/>
      <c r="G98" s="796"/>
    </row>
    <row r="99" spans="1:18" s="22" customFormat="1" x14ac:dyDescent="0.3">
      <c r="A99" s="796"/>
      <c r="B99" s="796"/>
      <c r="C99" s="796"/>
      <c r="D99" s="796"/>
      <c r="E99" s="1108" t="b">
        <v>0</v>
      </c>
      <c r="F99" s="796"/>
      <c r="G99" s="796"/>
      <c r="J99" s="723"/>
    </row>
    <row r="100" spans="1:18" s="22" customFormat="1" x14ac:dyDescent="0.3">
      <c r="A100" s="796"/>
      <c r="B100" s="796"/>
      <c r="C100" s="796"/>
      <c r="D100" s="796"/>
      <c r="E100" s="796"/>
      <c r="F100" s="796"/>
      <c r="G100" s="796"/>
    </row>
    <row r="101" spans="1:18" s="22" customFormat="1" x14ac:dyDescent="0.3">
      <c r="A101" s="796"/>
      <c r="B101" s="796"/>
      <c r="C101" s="796"/>
      <c r="D101" s="796"/>
      <c r="E101" s="796"/>
      <c r="F101" s="796"/>
      <c r="G101" s="796"/>
    </row>
    <row r="102" spans="1:18" s="22" customFormat="1" x14ac:dyDescent="0.3">
      <c r="A102" s="796"/>
      <c r="B102" s="796"/>
      <c r="C102" s="796"/>
      <c r="D102" s="796"/>
      <c r="E102" s="796"/>
      <c r="F102" s="796"/>
      <c r="G102" s="796"/>
    </row>
    <row r="103" spans="1:18" s="22" customFormat="1" x14ac:dyDescent="0.3">
      <c r="A103" s="796"/>
      <c r="B103" s="796"/>
      <c r="C103" s="796"/>
      <c r="D103" s="796"/>
      <c r="E103" s="796"/>
      <c r="F103" s="796"/>
      <c r="G103" s="796"/>
    </row>
    <row r="104" spans="1:18" x14ac:dyDescent="0.3"/>
    <row r="105" spans="1:18" x14ac:dyDescent="0.3"/>
    <row r="106" spans="1:18" ht="43.4" hidden="1" customHeight="1" x14ac:dyDescent="0.3">
      <c r="J106" s="1297">
        <v>6</v>
      </c>
      <c r="K106" s="1297" t="s">
        <v>157</v>
      </c>
      <c r="L106" s="1297"/>
      <c r="M106" s="1297"/>
      <c r="N106" s="1297"/>
      <c r="O106" s="1297"/>
      <c r="P106" s="1297"/>
      <c r="Q106" s="1297"/>
      <c r="R106" s="1297"/>
    </row>
    <row r="107" spans="1:18" hidden="1" x14ac:dyDescent="0.3">
      <c r="J107" s="1297">
        <v>7</v>
      </c>
      <c r="K107" s="1297" t="s">
        <v>157</v>
      </c>
      <c r="L107" s="1297"/>
      <c r="M107" s="1297"/>
      <c r="N107" s="1297"/>
      <c r="O107" s="1297"/>
      <c r="P107" s="1297"/>
      <c r="Q107" s="1297"/>
      <c r="R107" s="1297"/>
    </row>
    <row r="108" spans="1:18" hidden="1" x14ac:dyDescent="0.3">
      <c r="J108" s="1297">
        <v>8</v>
      </c>
      <c r="K108" s="1297" t="s">
        <v>158</v>
      </c>
      <c r="L108" s="1297"/>
      <c r="M108" s="1297"/>
      <c r="N108" s="1297"/>
      <c r="O108" s="1297"/>
      <c r="P108" s="1297"/>
      <c r="Q108" s="1297"/>
      <c r="R108" s="1297"/>
    </row>
    <row r="109" spans="1:18" x14ac:dyDescent="0.3"/>
    <row r="110" spans="1:18" x14ac:dyDescent="0.3"/>
    <row r="111" spans="1:18" x14ac:dyDescent="0.3"/>
    <row r="112" spans="1:18" x14ac:dyDescent="0.3"/>
  </sheetData>
  <sheetProtection algorithmName="SHA-512" hashValue="J8i8H0be8sFDhYBZocWHKVmNcRQButVM74pYTEADMyNdbPQCxbowwFoMWqoylY4XQDG0zpVHknkHlZ3D5BY6/A==" saltValue="eaPKxAArA+XMQgsyS8KIvg==" spinCount="100000" sheet="1" autoFilter="0"/>
  <mergeCells count="6">
    <mergeCell ref="R81:S81"/>
    <mergeCell ref="Y82:Z82"/>
    <mergeCell ref="K34:R34"/>
    <mergeCell ref="A16:F25"/>
    <mergeCell ref="A5:F14"/>
    <mergeCell ref="K72:R72"/>
  </mergeCells>
  <phoneticPr fontId="27" type="noConversion"/>
  <conditionalFormatting sqref="J97">
    <cfRule type="containsText" dxfId="1638" priority="8" operator="containsText" text="NOT APPLICABLE">
      <formula>NOT(ISERROR(SEARCH("NOT APPLICABLE",J97)))</formula>
    </cfRule>
  </conditionalFormatting>
  <conditionalFormatting sqref="K34">
    <cfRule type="containsText" dxfId="1637" priority="3" operator="containsText" text="NOT APPLICABLE">
      <formula>NOT(ISERROR(SEARCH("NOT APPLICABLE",K34)))</formula>
    </cfRule>
  </conditionalFormatting>
  <conditionalFormatting sqref="K72">
    <cfRule type="containsText" dxfId="1636" priority="1" operator="containsText" text="NOT APPLICABLE">
      <formula>NOT(ISERROR(SEARCH("NOT APPLICABLE",K72)))</formula>
    </cfRule>
  </conditionalFormatting>
  <conditionalFormatting sqref="N65:O68">
    <cfRule type="expression" dxfId="1635" priority="6">
      <formula>$C65="3Concrete block walls"</formula>
    </cfRule>
  </conditionalFormatting>
  <conditionalFormatting sqref="O83:R92">
    <cfRule type="expression" dxfId="1634" priority="10">
      <formula>OR(AND($N83="Metal",Selection_ClimateZone=2),AND($N83="Metal",Selection_ClimateZone=3))</formula>
    </cfRule>
  </conditionalFormatting>
  <conditionalFormatting sqref="P65:P68">
    <cfRule type="expression" dxfId="1633" priority="13">
      <formula>NOT(ISNUMBER(SEARCH("Metal",$L65)))</formula>
    </cfRule>
  </conditionalFormatting>
  <conditionalFormatting sqref="Q65:Q68">
    <cfRule type="expression" dxfId="1632" priority="23">
      <formula>AND(Selection_ClimateZone=8, Selection_Storeys="Two (or more) storey dwelling")</formula>
    </cfRule>
  </conditionalFormatting>
  <conditionalFormatting sqref="R83:S92">
    <cfRule type="expression" dxfId="1631" priority="16">
      <formula>$N83="Timber"</formula>
    </cfRule>
  </conditionalFormatting>
  <conditionalFormatting sqref="S83:T92">
    <cfRule type="expression" dxfId="1630" priority="15">
      <formula>$R83&lt;&gt;"(a) Minimum Total R-Value of floor"</formula>
    </cfRule>
  </conditionalFormatting>
  <dataValidations count="13">
    <dataValidation type="whole" allowBlank="1" showInputMessage="1" showErrorMessage="1" sqref="K77" xr:uid="{00000000-0002-0000-0200-000000000000}">
      <formula1>1</formula1>
      <formula2>10</formula2>
    </dataValidation>
    <dataValidation type="whole" allowBlank="1" showInputMessage="1" showErrorMessage="1" sqref="K22" xr:uid="{00000000-0002-0000-0200-000001000000}">
      <formula1>1</formula1>
      <formula2>100</formula2>
    </dataValidation>
    <dataValidation type="list" allowBlank="1" showInputMessage="1" showErrorMessage="1" sqref="Q65:Q68 P83:P92" xr:uid="{00000000-0002-0000-0200-000002000000}">
      <formula1>"Yes, No"</formula1>
    </dataValidation>
    <dataValidation type="list" allowBlank="1" showInputMessage="1" showErrorMessage="1" sqref="S83:S92" xr:uid="{00000000-0002-0000-0200-000003000000}">
      <formula1>"Carpet,Other"</formula1>
    </dataValidation>
    <dataValidation showInputMessage="1" showErrorMessage="1" error="This only relates to Insulated sandwich Panel Roofs" sqref="T29:U30" xr:uid="{00000000-0002-0000-0200-000004000000}"/>
    <dataValidation type="list" allowBlank="1" showInputMessage="1" showErrorMessage="1" sqref="L83:L92" xr:uid="{00000000-0002-0000-0200-000005000000}">
      <formula1>List_FloorType</formula1>
    </dataValidation>
    <dataValidation type="list" showInputMessage="1" showErrorMessage="1" error="This only relates to Pitched roof with horizontal ceiling" sqref="M29:M30" xr:uid="{00000000-0002-0000-0200-000006000000}">
      <formula1>IF(OR($L29="Metal-framed pitched roof with horizontal ceiling",$L29="Timber-framed pitched roof with horizontal ceiling"),Roof_Ventilation)</formula1>
    </dataValidation>
    <dataValidation type="list" allowBlank="1" showInputMessage="1" showErrorMessage="1" sqref="O83:P92" xr:uid="{00000000-0002-0000-0200-000008000000}">
      <formula1>list_subfloorheight</formula1>
    </dataValidation>
    <dataValidation type="list" allowBlank="1" showInputMessage="1" showErrorMessage="1" sqref="S83:S92 Q83:Q92" xr:uid="{00000000-0002-0000-0200-000009000000}">
      <formula1>IF(Selection_ClimateZone&gt;2,INDIRECT("Min_SF_"&amp;Selection_ClimateZone))</formula1>
    </dataValidation>
    <dataValidation type="list" showInputMessage="1" showErrorMessage="1" error="This only relates to Insulated sandwich Panel Roofs and Metal-framed flat, skillion or cathedral roofs" sqref="Q29:Q30" xr:uid="{DAFF40A7-C558-46CC-B050-B11EAD771743}">
      <formula1>IF(OR(L29="Roofs constructed with insulated sandwich panels",L29="Metal-framed flat, skillion or cathedral roof"),INDIRECT("Heatflow_"&amp;Selection_ClimateZone))</formula1>
    </dataValidation>
    <dataValidation type="list" allowBlank="1" showInputMessage="1" showErrorMessage="1" sqref="R29:R30" xr:uid="{F15FE7DA-0872-45EA-A1E9-CEA6B03C3A86}">
      <formula1>INDIRECT($E29)</formula1>
    </dataValidation>
    <dataValidation type="list" showInputMessage="1" showErrorMessage="1" error="This only relates to Insulated sandwich Panel Roofs" sqref="R29:R30" xr:uid="{1671A515-F500-4398-B3E2-E9198E2FA29C}">
      <formula1>INDIRECT($E29)</formula1>
    </dataValidation>
    <dataValidation type="list" allowBlank="1" showInputMessage="1" showErrorMessage="1" sqref="P65:P68" xr:uid="{8A63191F-C030-4C24-8CF4-05200E87CB10}">
      <formula1>INDIRECT($F65)</formula1>
    </dataValidation>
  </dataValidations>
  <hyperlinks>
    <hyperlink ref="J12" r:id="rId1" display="Refer to National Construction Code Part 13.7" xr:uid="{00000000-0004-0000-0200-000000000000}"/>
    <hyperlink ref="J24" r:id="rId2" display="Climate zone 6,7, &amp; 8 must comply with Roof ventilation requirement as per Part 10.8.3" xr:uid="{00000000-0004-0000-0200-000001000000}"/>
  </hyperlinks>
  <pageMargins left="0.7" right="0.7" top="0.75" bottom="0.75" header="0.3" footer="0.3"/>
  <pageSetup paperSize="9" scale="19" fitToHeight="0"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2049" r:id="rId6" name="Check Box 1">
              <controlPr locked="0" defaultSize="0" autoFill="0" autoLine="0" autoPict="0">
                <anchor moveWithCells="1">
                  <from>
                    <xdr:col>9</xdr:col>
                    <xdr:colOff>298450</xdr:colOff>
                    <xdr:row>16</xdr:row>
                    <xdr:rowOff>12700</xdr:rowOff>
                  </from>
                  <to>
                    <xdr:col>9</xdr:col>
                    <xdr:colOff>514350</xdr:colOff>
                    <xdr:row>17</xdr:row>
                    <xdr:rowOff>31750</xdr:rowOff>
                  </to>
                </anchor>
              </controlPr>
            </control>
          </mc:Choice>
        </mc:AlternateContent>
        <mc:AlternateContent xmlns:mc="http://schemas.openxmlformats.org/markup-compatibility/2006">
          <mc:Choice Requires="x14">
            <control shapeId="2073" r:id="rId7" name="Check Box 25">
              <controlPr locked="0" defaultSize="0" autoFill="0" autoLine="0" autoPict="0">
                <anchor moveWithCells="1">
                  <from>
                    <xdr:col>9</xdr:col>
                    <xdr:colOff>0</xdr:colOff>
                    <xdr:row>97</xdr:row>
                    <xdr:rowOff>114300</xdr:rowOff>
                  </from>
                  <to>
                    <xdr:col>9</xdr:col>
                    <xdr:colOff>190500</xdr:colOff>
                    <xdr:row>99</xdr:row>
                    <xdr:rowOff>0</xdr:rowOff>
                  </to>
                </anchor>
              </controlPr>
            </control>
          </mc:Choice>
        </mc:AlternateContent>
        <mc:AlternateContent xmlns:mc="http://schemas.openxmlformats.org/markup-compatibility/2006">
          <mc:Choice Requires="x14">
            <control shapeId="2079" r:id="rId8" name="Check Box 31">
              <controlPr locked="0" defaultSize="0" autoFill="0" autoLine="0" autoPict="0">
                <anchor moveWithCells="1">
                  <from>
                    <xdr:col>9</xdr:col>
                    <xdr:colOff>260350</xdr:colOff>
                    <xdr:row>32</xdr:row>
                    <xdr:rowOff>171450</xdr:rowOff>
                  </from>
                  <to>
                    <xdr:col>9</xdr:col>
                    <xdr:colOff>469900</xdr:colOff>
                    <xdr:row>33</xdr:row>
                    <xdr:rowOff>203200</xdr:rowOff>
                  </to>
                </anchor>
              </controlPr>
            </control>
          </mc:Choice>
        </mc:AlternateContent>
        <mc:AlternateContent xmlns:mc="http://schemas.openxmlformats.org/markup-compatibility/2006">
          <mc:Choice Requires="x14">
            <control shapeId="2082" r:id="rId9" name="Check Box 34">
              <controlPr locked="0" defaultSize="0" autoFill="0" autoLine="0" autoPict="0">
                <anchor moveWithCells="1">
                  <from>
                    <xdr:col>9</xdr:col>
                    <xdr:colOff>260350</xdr:colOff>
                    <xdr:row>70</xdr:row>
                    <xdr:rowOff>171450</xdr:rowOff>
                  </from>
                  <to>
                    <xdr:col>9</xdr:col>
                    <xdr:colOff>469900</xdr:colOff>
                    <xdr:row>71</xdr:row>
                    <xdr:rowOff>209550</xdr:rowOff>
                  </to>
                </anchor>
              </controlPr>
            </control>
          </mc:Choice>
        </mc:AlternateContent>
        <mc:AlternateContent xmlns:mc="http://schemas.openxmlformats.org/markup-compatibility/2006">
          <mc:Choice Requires="x14">
            <control shapeId="2089" r:id="rId10" name="Check Box 41">
              <controlPr locked="0" defaultSize="0" autoFill="0" autoLine="0" autoPict="0">
                <anchor moveWithCells="1">
                  <from>
                    <xdr:col>9</xdr:col>
                    <xdr:colOff>0</xdr:colOff>
                    <xdr:row>98</xdr:row>
                    <xdr:rowOff>171450</xdr:rowOff>
                  </from>
                  <to>
                    <xdr:col>9</xdr:col>
                    <xdr:colOff>190500</xdr:colOff>
                    <xdr:row>100</xdr:row>
                    <xdr:rowOff>19050</xdr:rowOff>
                  </to>
                </anchor>
              </controlPr>
            </control>
          </mc:Choice>
        </mc:AlternateContent>
      </controls>
    </mc:Choice>
  </mc:AlternateContent>
  <tableParts count="4">
    <tablePart r:id="rId11"/>
    <tablePart r:id="rId12"/>
    <tablePart r:id="rId13"/>
    <tablePart r:id="rId14"/>
  </tableParts>
  <extLst>
    <ext xmlns:x14="http://schemas.microsoft.com/office/spreadsheetml/2009/9/main" uri="{78C0D931-6437-407d-A8EE-F0AAD7539E65}">
      <x14:conditionalFormattings>
        <x14:conditionalFormatting xmlns:xm="http://schemas.microsoft.com/office/excel/2006/main">
          <x14:cfRule type="expression" priority="42" id="{67AC7189-8BB2-42F0-B91F-464AE738A495}">
            <xm:f>AND($L29&lt;&gt;D_List!$H$9,$L29&lt;&gt;D_List!$H$11)</xm:f>
            <x14:dxf>
              <font>
                <strike val="0"/>
                <color rgb="FFFF0000"/>
              </font>
              <fill>
                <patternFill patternType="lightUp">
                  <fgColor theme="1"/>
                  <bgColor auto="1"/>
                </patternFill>
              </fill>
            </x14:dxf>
          </x14:cfRule>
          <xm:sqref>M29:M30 O29:O30</xm:sqref>
        </x14:conditionalFormatting>
        <x14:conditionalFormatting xmlns:xm="http://schemas.microsoft.com/office/excel/2006/main">
          <x14:cfRule type="expression" priority="19" id="{DDEBEA81-2265-49D7-B2EC-08D5D29438C5}">
            <xm:f>OR($L83=D_List!$R$10,$L83=D_List!$R$11)</xm:f>
            <x14:dxf>
              <font>
                <color theme="1" tint="0.34998626667073579"/>
              </font>
              <fill>
                <patternFill patternType="lightUp">
                  <fgColor theme="1"/>
                  <bgColor auto="1"/>
                </patternFill>
              </fill>
            </x14:dxf>
          </x14:cfRule>
          <x14:cfRule type="expression" priority="20" id="{AA5D87F6-FE5D-4EB0-8D57-6247ABF799F1}">
            <xm:f>$L83=D_List!$R$12</xm:f>
            <x14:dxf>
              <font>
                <color theme="1" tint="0.34998626667073579"/>
              </font>
              <fill>
                <patternFill patternType="lightUp">
                  <fgColor theme="1"/>
                  <bgColor auto="1"/>
                </patternFill>
              </fill>
            </x14:dxf>
          </x14:cfRule>
          <xm:sqref>M83:M92</xm:sqref>
        </x14:conditionalFormatting>
        <x14:conditionalFormatting xmlns:xm="http://schemas.microsoft.com/office/excel/2006/main">
          <x14:cfRule type="expression" priority="7" id="{2E68C91B-C39B-4640-A6ED-4407EE85A728}">
            <xm:f>$L29=D_List!$H$13</xm:f>
            <x14:dxf>
              <font>
                <color rgb="FFFF0000"/>
              </font>
              <fill>
                <patternFill patternType="lightUp">
                  <fgColor auto="1"/>
                  <bgColor auto="1"/>
                </patternFill>
              </fill>
            </x14:dxf>
          </x14:cfRule>
          <xm:sqref>N29:N30</xm:sqref>
        </x14:conditionalFormatting>
        <x14:conditionalFormatting xmlns:xm="http://schemas.microsoft.com/office/excel/2006/main">
          <x14:cfRule type="expression" priority="21" id="{12790055-B350-4A0A-8504-18F2DE3D060E}">
            <xm:f>OR($L83=D_List!$R$9,$L83=D_List!$R$12)</xm:f>
            <x14:dxf>
              <font>
                <color theme="1" tint="0.34998626667073579"/>
              </font>
              <fill>
                <patternFill patternType="lightUp">
                  <fgColor theme="1"/>
                  <bgColor auto="1"/>
                </patternFill>
              </fill>
            </x14:dxf>
          </x14:cfRule>
          <xm:sqref>N83:T92</xm:sqref>
        </x14:conditionalFormatting>
        <x14:conditionalFormatting xmlns:xm="http://schemas.microsoft.com/office/excel/2006/main">
          <x14:cfRule type="expression" priority="4" id="{A4737386-ED1F-4562-8569-C9AF2D881D45}">
            <xm:f>AND($L83=D_List!$R$11,Selection_ClimateZone=1)</xm:f>
            <x14:dxf>
              <font>
                <color theme="2" tint="-9.9948118533890809E-2"/>
              </font>
              <fill>
                <patternFill patternType="lightUp">
                  <fgColor theme="1"/>
                  <bgColor auto="1"/>
                </patternFill>
              </fill>
            </x14:dxf>
          </x14:cfRule>
          <xm:sqref>O83:P92</xm:sqref>
        </x14:conditionalFormatting>
        <x14:conditionalFormatting xmlns:xm="http://schemas.microsoft.com/office/excel/2006/main">
          <x14:cfRule type="expression" priority="12" id="{21F178C2-8AD0-4227-A172-6EA4225820BE}">
            <xm:f>AND($L83=D_List!$R$11,$N83="Timber",Selection_ClimateZone=1)</xm:f>
            <x14:dxf>
              <font>
                <color theme="1" tint="0.34998626667073579"/>
              </font>
              <fill>
                <patternFill patternType="lightUp">
                  <fgColor theme="1"/>
                  <bgColor auto="1"/>
                </patternFill>
              </fill>
            </x14:dxf>
          </x14:cfRule>
          <x14:cfRule type="expression" priority="14" id="{141946BE-7D40-4611-A507-34750D263A93}">
            <xm:f>AND($L83=D_List!$R$10,$N83="Metal")</xm:f>
            <x14:dxf>
              <font>
                <color theme="1" tint="0.34998626667073579"/>
              </font>
              <fill>
                <patternFill patternType="lightUp">
                  <fgColor theme="1"/>
                  <bgColor auto="1"/>
                </patternFill>
              </fill>
            </x14:dxf>
          </x14:cfRule>
          <xm:sqref>O83:Q92</xm:sqref>
        </x14:conditionalFormatting>
        <x14:conditionalFormatting xmlns:xm="http://schemas.microsoft.com/office/excel/2006/main">
          <x14:cfRule type="expression" priority="11" id="{BB4374BF-3453-4AB7-B5AA-4D89EFD4A849}">
            <xm:f>AND($L83=D_List!$R$11,$N83="Timber",OR(Selection_ClimateZone=2,Selection_ClimateZone=3))</xm:f>
            <x14:dxf>
              <font>
                <color theme="1" tint="0.34998626667073579"/>
              </font>
              <fill>
                <patternFill patternType="lightUp">
                  <fgColor theme="1"/>
                  <bgColor auto="1"/>
                </patternFill>
              </fill>
            </x14:dxf>
          </x14:cfRule>
          <xm:sqref>P83:Q92</xm:sqref>
        </x14:conditionalFormatting>
        <x14:conditionalFormatting xmlns:xm="http://schemas.microsoft.com/office/excel/2006/main">
          <x14:cfRule type="expression" priority="114" id="{8E21DA0E-6833-4D41-A3C0-A587CD38D612}">
            <xm:f>AND($L29&lt;&gt;D_List!$H$13,$L29&lt;&gt;D_List!$H$12,$R29&lt;&gt;D_List!$F$22)</xm:f>
            <x14:dxf>
              <font>
                <color theme="0" tint="-0.499984740745262"/>
              </font>
              <fill>
                <patternFill patternType="lightUp">
                  <fgColor theme="1"/>
                  <bgColor auto="1"/>
                </patternFill>
              </fill>
            </x14:dxf>
          </x14:cfRule>
          <xm:sqref>Q29:Q30</xm:sqref>
        </x14:conditionalFormatting>
        <x14:conditionalFormatting xmlns:xm="http://schemas.microsoft.com/office/excel/2006/main">
          <x14:cfRule type="expression" priority="24" id="{831441B3-C33F-4256-A2D3-F4A168FED405}">
            <xm:f>AND($L65=D_List!$R$12,Selection_ClimateZone&lt;4,Selection_ClimateZone&gt;1)</xm:f>
            <x14:dxf>
              <font>
                <color theme="0" tint="-0.499984740745262"/>
              </font>
              <fill>
                <patternFill patternType="lightUp">
                  <fgColor theme="1"/>
                  <bgColor auto="1"/>
                </patternFill>
              </fill>
            </x14:dxf>
          </x14:cfRule>
          <x14:cfRule type="expression" priority="25" id="{91424D6D-457C-4EA2-B721-EB731E63CF99}">
            <xm:f>AND($L65=D_List!$R$12,Selection_ClimateZone=1)</xm:f>
            <x14:dxf>
              <font>
                <color theme="0" tint="-0.499984740745262"/>
              </font>
              <fill>
                <patternFill patternType="lightUp">
                  <fgColor theme="1"/>
                  <bgColor auto="1"/>
                </patternFill>
              </fill>
            </x14:dxf>
          </x14:cfRule>
          <x14:cfRule type="expression" priority="26" id="{2B23B767-9660-4C22-AC28-ECBA471333BA}">
            <xm:f>AND($L65=D_List!$R$11,Selection_ClimateZone&lt;=5)</xm:f>
            <x14:dxf>
              <font>
                <color theme="0" tint="-0.499984740745262"/>
              </font>
              <fill>
                <patternFill patternType="lightUp">
                  <fgColor theme="1"/>
                  <bgColor auto="1"/>
                </patternFill>
              </fill>
            </x14:dxf>
          </x14:cfRule>
          <x14:cfRule type="expression" priority="27" id="{D7BA5722-EDDC-47FD-9746-3D7A54A0661D}">
            <xm:f>AND($L65=D_List!$R$10,Selection_ClimateZone=1)</xm:f>
            <x14:dxf>
              <font>
                <color theme="0" tint="-0.499984740745262"/>
              </font>
              <fill>
                <patternFill patternType="lightUp">
                  <fgColor theme="1"/>
                  <bgColor auto="1"/>
                </patternFill>
              </fill>
            </x14:dxf>
          </x14:cfRule>
          <x14:cfRule type="expression" priority="28" id="{C21407A9-B1FF-4B90-A4D5-B9E3F6B3F4D8}">
            <xm:f>AND($L65=D_List!$R$10,Selection_ClimateZone&lt;4,Selection_ClimateZone&gt;1)</xm:f>
            <x14:dxf>
              <font>
                <color theme="0" tint="-0.499984740745262"/>
              </font>
              <fill>
                <patternFill patternType="lightUp">
                  <fgColor theme="1"/>
                  <bgColor auto="1"/>
                </patternFill>
              </fill>
            </x14:dxf>
          </x14:cfRule>
          <x14:cfRule type="expression" priority="29" id="{ADE90280-042F-4EB9-97DB-4E7AA96CCB1B}">
            <xm:f>AND($L65=D_List!$R$9,Selection_ClimateZone&lt;=5)</xm:f>
            <x14:dxf>
              <font>
                <color theme="0" tint="-0.499984740745262"/>
              </font>
              <fill>
                <patternFill patternType="lightUp">
                  <fgColor theme="1"/>
                  <bgColor auto="1"/>
                </patternFill>
              </fill>
            </x14:dxf>
          </x14:cfRule>
          <xm:sqref>Q65:Q68</xm:sqref>
        </x14:conditionalFormatting>
        <x14:conditionalFormatting xmlns:xm="http://schemas.microsoft.com/office/excel/2006/main">
          <x14:cfRule type="expression" priority="5" id="{69B3ECBF-C8F8-4036-AB1F-F845AC98BA0F}">
            <xm:f>AND($L83=D_List!$R$11,Selection_ClimateZone=1)</xm:f>
            <x14:dxf>
              <font>
                <color theme="2"/>
              </font>
              <fill>
                <patternFill patternType="lightUp">
                  <fgColor theme="1"/>
                  <bgColor auto="1"/>
                </patternFill>
              </fill>
            </x14:dxf>
          </x14:cfRule>
          <xm:sqref>Q83:Q92</xm:sqref>
        </x14:conditionalFormatting>
        <x14:conditionalFormatting xmlns:xm="http://schemas.microsoft.com/office/excel/2006/main">
          <x14:cfRule type="expression" priority="18" id="{F64D08AB-1478-4D1C-9B2C-A7E33D9A835B}">
            <xm:f>AND($L83=D_List!$R$10,$N83="Timber")</xm:f>
            <x14:dxf>
              <font>
                <color theme="1" tint="0.34998626667073579"/>
              </font>
              <fill>
                <patternFill patternType="lightUp">
                  <fgColor theme="1"/>
                  <bgColor auto="1"/>
                </patternFill>
              </fill>
            </x14:dxf>
          </x14:cfRule>
          <xm:sqref>Q83:T92 O83:O92</xm:sqref>
        </x14:conditionalFormatting>
        <x14:conditionalFormatting xmlns:xm="http://schemas.microsoft.com/office/excel/2006/main">
          <x14:cfRule type="expression" priority="44" id="{1311EBF5-7E92-458C-9064-F88C4839374B}">
            <xm:f>AND($L29&lt;&gt;D_List!$H$11,$L29&lt;&gt;D_List!$H$12)</xm:f>
            <x14:dxf>
              <font>
                <color rgb="FFFF0000"/>
              </font>
              <fill>
                <patternFill patternType="lightUp">
                  <fgColor theme="1"/>
                  <bgColor auto="1"/>
                </patternFill>
              </fill>
            </x14:dxf>
          </x14:cfRule>
          <xm:sqref>R29:R30</xm:sqref>
        </x14:conditionalFormatting>
      </x14:conditionalFormattings>
    </ext>
    <ext xmlns:x14="http://schemas.microsoft.com/office/spreadsheetml/2009/9/main" uri="{CCE6A557-97BC-4b89-ADB6-D9C93CAAB3DF}">
      <x14:dataValidations xmlns:xm="http://schemas.microsoft.com/office/excel/2006/main" count="18">
        <x14:dataValidation type="list" allowBlank="1" showInputMessage="1" showErrorMessage="1" xr:uid="{00000000-0002-0000-0200-00000B000000}">
          <x14:formula1>
            <xm:f>D_List!$M$9:$M$10</xm:f>
          </x14:formula1>
          <xm:sqref>N29:N30</xm:sqref>
        </x14:dataValidation>
        <x14:dataValidation type="list" allowBlank="1" showInputMessage="1" showErrorMessage="1" xr:uid="{00000000-0002-0000-0200-00000C000000}">
          <x14:formula1>
            <xm:f>D_List!$H$9:$H$13</xm:f>
          </x14:formula1>
          <xm:sqref>L29:L30</xm:sqref>
        </x14:dataValidation>
        <x14:dataValidation type="list" allowBlank="1" showInputMessage="1" showErrorMessage="1" xr:uid="{00000000-0002-0000-0200-00000E000000}">
          <x14:formula1>
            <xm:f>D_List!$B$43:$B$45</xm:f>
          </x14:formula1>
          <xm:sqref>R83:S92</xm:sqref>
        </x14:dataValidation>
        <x14:dataValidation type="list" allowBlank="1" showInputMessage="1" showErrorMessage="1" xr:uid="{00000000-0002-0000-0200-000010000000}">
          <x14:formula1>
            <xm:f>D_List!$B$51:$B$52</xm:f>
          </x14:formula1>
          <xm:sqref>O44:O53</xm:sqref>
        </x14:dataValidation>
        <x14:dataValidation type="list" allowBlank="1" showInputMessage="1" showErrorMessage="1" xr:uid="{A93C83DE-6D95-4CE2-9526-25FE473565A9}">
          <x14:formula1>
            <xm:f>D_List!$B$55:$B$57</xm:f>
          </x14:formula1>
          <xm:sqref>P44:P53</xm:sqref>
        </x14:dataValidation>
        <x14:dataValidation type="list" allowBlank="1" showInputMessage="1" showErrorMessage="1" xr:uid="{00000000-0002-0000-0200-000012000000}">
          <x14:formula1>
            <xm:f>D_List!$R$20:$R$22</xm:f>
          </x14:formula1>
          <xm:sqref>M83:M92</xm:sqref>
        </x14:dataValidation>
        <x14:dataValidation type="list" allowBlank="1" showInputMessage="1" showErrorMessage="1" xr:uid="{00000000-0002-0000-0200-000013000000}">
          <x14:formula1>
            <xm:f>D_List!$R$38:$R$39</xm:f>
          </x14:formula1>
          <xm:sqref>N83:N92</xm:sqref>
        </x14:dataValidation>
        <x14:dataValidation type="list" allowBlank="1" showInputMessage="1" showErrorMessage="1" xr:uid="{00000000-0002-0000-0200-000017000000}">
          <x14:formula1>
            <xm:f>OFFSET(D_Building_Fabric!$AB$365,MATCH($C65,D_Building_Fabric!$AA$366:$AA$380,0),,,COUNTIF(OFFSET(D_Building_Fabric!$AB$365,MATCH($C65,D_Building_Fabric!$AA$366:$AA$380,0),,1,20),"?*"))</xm:f>
          </x14:formula1>
          <xm:sqref>M65:M68</xm:sqref>
        </x14:dataValidation>
        <x14:dataValidation type="list" allowBlank="1" showInputMessage="1" showErrorMessage="1" xr:uid="{00000000-0002-0000-0200-000018000000}">
          <x14:formula1>
            <xm:f>OFFSET(D_Building_Fabric!$AB$394,MATCH($C65,D_Building_Fabric!$AA$395:$AA$409,0),,,COUNTIF(OFFSET(D_Building_Fabric!$AB$394,MATCH($C65,D_Building_Fabric!$AA$395:$AA$409,0),,1,20),"?*"))</xm:f>
          </x14:formula1>
          <xm:sqref>O65:O68</xm:sqref>
        </x14:dataValidation>
        <x14:dataValidation type="list" allowBlank="1" showInputMessage="1" showErrorMessage="1" xr:uid="{AF2E1357-512A-4B61-B2CD-AF55282DB286}">
          <x14:formula1>
            <xm:f>D_Building_Fabric!$F$264:$F$270</xm:f>
          </x14:formula1>
          <xm:sqref>S29:S30</xm:sqref>
        </x14:dataValidation>
        <x14:dataValidation type="list" showInputMessage="1" showErrorMessage="1" error="This only relates to Insulated sandwich Panel Roofs" xr:uid="{CE1E07F3-D2A8-4011-B77C-111BF57161CD}">
          <x14:formula1>
            <xm:f>D_Building_Fabric!$F$264:$F$270</xm:f>
          </x14:formula1>
          <xm:sqref>S29:S30</xm:sqref>
        </x14:dataValidation>
        <x14:dataValidation type="list" allowBlank="1" showInputMessage="1" showErrorMessage="1" xr:uid="{45A0C759-B3E2-4FB7-A57D-8AEB69C5683E}">
          <x14:formula1>
            <xm:f>D_List!$O$9:$O$17</xm:f>
          </x14:formula1>
          <xm:sqref>L65:L68</xm:sqref>
        </x14:dataValidation>
        <x14:dataValidation type="list" allowBlank="1" showInputMessage="1" showErrorMessage="1" xr:uid="{00000000-0002-0000-0200-000016000000}">
          <x14:formula1>
            <xm:f>OFFSET(D_Building_Fabric!$AB$299,MATCH($B65,D_Building_Fabric!$AA$300:$AA$354,0),,,D_Building_Fabric!$AC282)</xm:f>
          </x14:formula1>
          <xm:sqref>N68 N65:N66</xm:sqref>
        </x14:dataValidation>
        <x14:dataValidation type="list" showInputMessage="1" showErrorMessage="1" xr:uid="{9507FECC-5ACF-4B51-84FE-909DD764F871}">
          <x14:formula1>
            <xm:f>OFFSET(D_Building_Fabric!$AB$299,MATCH($B67,D_Building_Fabric!$AA$300:$AA$354,0),,,D_Building_Fabric!$AC284)</xm:f>
          </x14:formula1>
          <xm:sqref>N67</xm:sqref>
        </x14:dataValidation>
        <x14:dataValidation type="list" showInputMessage="1" showErrorMessage="1" xr:uid="{00000000-0002-0000-0200-00001C000000}">
          <x14:formula1>
            <xm:f>OFFSET(D_Building_Fabric!AB11,MATCH(B30,D_Building_Fabric!$AA$12:$AA$47,0),,,COUNTIF(OFFSET(D_Building_Fabric!AB11,MATCH(B30,D_Building_Fabric!$AA$12:$AA$47,0),,1,20),"?*"))</xm:f>
          </x14:formula1>
          <xm:sqref>O30</xm:sqref>
        </x14:dataValidation>
        <x14:dataValidation type="list" showErrorMessage="1" errorTitle="Solar Apsorptance" error="SA is the proportion of the total incident solar radiation that is absorbed by the roofing material (the remainder is reflected) and is expressed as a ratio between 0 and 1" promptTitle="Solar Apsorptance" prompt="SA is the proportion of the total incident solar radiation that is absorbed by the roofing material (the remainder is reflected) and is expressed as a ratio between 0 and 1" xr:uid="{00000000-0002-0000-0200-000019000000}">
          <x14:formula1>
            <xm:f>OFFSET(D_Building_Fabric!AB$55,MATCH(C29,D_Building_Fabric!$AA$56:$AA$77,0),,,COUNTIF(OFFSET(D_Building_Fabric!AB$55,MATCH(C29,D_Building_Fabric!$AA$56:$AA$77,0),,1,20),"?*"))</xm:f>
          </x14:formula1>
          <xm:sqref>P29</xm:sqref>
        </x14:dataValidation>
        <x14:dataValidation type="list" showInputMessage="1" showErrorMessage="1" xr:uid="{00000000-0002-0000-0200-00001A000000}">
          <x14:formula1>
            <xm:f>OFFSET(D_Building_Fabric!AB11,MATCH(B29,D_Building_Fabric!$AA$12:$AA$47,0),,,COUNTIF(OFFSET(D_Building_Fabric!AB11,MATCH(B29,D_Building_Fabric!$AA$12:$AA$47,0),,1,20),"?*"))</xm:f>
          </x14:formula1>
          <xm:sqref>O29</xm:sqref>
        </x14:dataValidation>
        <x14:dataValidation type="list" allowBlank="1" showInputMessage="1" showErrorMessage="1" xr:uid="{00000000-0002-0000-0200-00001B000000}">
          <x14:formula1>
            <xm:f>OFFSET(D_Building_Fabric!AB$55,MATCH(C30,D_Building_Fabric!$AA$56:$AA$77,0),,,COUNTIF(OFFSET(D_Building_Fabric!AB$55,MATCH(C30,D_Building_Fabric!$AA$56:$AA$77,0),,1,20),"?*"))</xm:f>
          </x14:formula1>
          <xm:sqref>P30</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1"/>
  <dimension ref="B1:K251"/>
  <sheetViews>
    <sheetView topLeftCell="A46" workbookViewId="0">
      <selection activeCell="G9" sqref="G9"/>
    </sheetView>
  </sheetViews>
  <sheetFormatPr defaultColWidth="7.58203125" defaultRowHeight="14" x14ac:dyDescent="0.3"/>
  <cols>
    <col min="2" max="2" width="21.58203125" customWidth="1"/>
    <col min="3" max="3" width="30.5" customWidth="1"/>
  </cols>
  <sheetData>
    <row r="1" spans="2:11" ht="14.5" thickBot="1" x14ac:dyDescent="0.35"/>
    <row r="2" spans="2:11" ht="25.5" thickBot="1" x14ac:dyDescent="0.55000000000000004">
      <c r="B2" s="88" t="s">
        <v>1960</v>
      </c>
      <c r="C2" s="89"/>
      <c r="D2" s="90">
        <v>3</v>
      </c>
      <c r="E2" s="91" t="s">
        <v>1961</v>
      </c>
      <c r="F2" s="92"/>
      <c r="G2" s="92"/>
      <c r="H2" s="92"/>
      <c r="I2" s="93"/>
      <c r="J2" s="89" t="s">
        <v>176</v>
      </c>
      <c r="K2" s="94" t="s">
        <v>230</v>
      </c>
    </row>
    <row r="3" spans="2:11" ht="14.5" thickBot="1" x14ac:dyDescent="0.35">
      <c r="B3" s="95" t="s">
        <v>1962</v>
      </c>
      <c r="C3" s="96" t="s">
        <v>1963</v>
      </c>
      <c r="D3" s="95" t="s">
        <v>1964</v>
      </c>
      <c r="E3" s="97" t="s">
        <v>1965</v>
      </c>
      <c r="F3" s="97" t="s">
        <v>1966</v>
      </c>
      <c r="G3" s="97" t="s">
        <v>1967</v>
      </c>
      <c r="H3" s="97" t="s">
        <v>1968</v>
      </c>
      <c r="I3" s="97" t="s">
        <v>1969</v>
      </c>
      <c r="J3" s="97" t="s">
        <v>1970</v>
      </c>
      <c r="K3" s="98" t="s">
        <v>1971</v>
      </c>
    </row>
    <row r="4" spans="2:11" ht="18.5" thickBot="1" x14ac:dyDescent="0.45">
      <c r="B4" s="99" t="s">
        <v>34</v>
      </c>
      <c r="C4" s="100" t="s">
        <v>34</v>
      </c>
      <c r="D4" s="101" t="s">
        <v>34</v>
      </c>
      <c r="E4" s="944"/>
      <c r="F4" s="944"/>
      <c r="G4" s="944"/>
      <c r="H4" s="944"/>
      <c r="I4" s="944" t="s">
        <v>34</v>
      </c>
      <c r="J4" s="944" t="s">
        <v>34</v>
      </c>
      <c r="K4" s="102"/>
    </row>
    <row r="5" spans="2:11" ht="86.5" thickBot="1" x14ac:dyDescent="0.45">
      <c r="B5" s="103" t="s">
        <v>1972</v>
      </c>
      <c r="C5" s="104" t="s">
        <v>1973</v>
      </c>
      <c r="D5" s="105" t="s">
        <v>1974</v>
      </c>
      <c r="E5" s="105" t="s">
        <v>1525</v>
      </c>
      <c r="F5" s="105" t="s">
        <v>1527</v>
      </c>
      <c r="G5" s="105" t="s">
        <v>1975</v>
      </c>
      <c r="H5" s="105" t="s">
        <v>1976</v>
      </c>
      <c r="I5" s="105" t="s">
        <v>1445</v>
      </c>
      <c r="J5" s="105" t="s">
        <v>1538</v>
      </c>
      <c r="K5" s="106" t="s">
        <v>1541</v>
      </c>
    </row>
    <row r="6" spans="2:11" x14ac:dyDescent="0.3">
      <c r="B6" s="107" t="s">
        <v>1977</v>
      </c>
      <c r="C6" s="108" t="s">
        <v>1416</v>
      </c>
      <c r="D6" s="109">
        <v>2.4051899931025944</v>
      </c>
      <c r="E6" s="109">
        <v>2.0382346435900676</v>
      </c>
      <c r="F6" s="109">
        <v>1.2396306182433476</v>
      </c>
      <c r="G6" s="109">
        <v>1.1396893875663572</v>
      </c>
      <c r="H6" s="109">
        <v>0.84154734316590729</v>
      </c>
      <c r="I6" s="109">
        <v>3.2225848686940042</v>
      </c>
      <c r="J6" s="109">
        <v>2.7906734108298337</v>
      </c>
      <c r="K6" s="110">
        <v>0.80548460334318062</v>
      </c>
    </row>
    <row r="7" spans="2:11" x14ac:dyDescent="0.3">
      <c r="B7" s="111" t="s">
        <v>1978</v>
      </c>
      <c r="C7" s="112" t="s">
        <v>1483</v>
      </c>
      <c r="D7" s="1499">
        <v>3.7975236664619128</v>
      </c>
      <c r="E7" s="1499">
        <v>3.5018929797760596</v>
      </c>
      <c r="F7" s="1499">
        <v>2.6391616920646062</v>
      </c>
      <c r="G7" s="1499">
        <v>2.5759951699410948</v>
      </c>
      <c r="H7" s="1499">
        <v>2.2437806995967629</v>
      </c>
      <c r="I7" s="1499">
        <v>4.674972638495448</v>
      </c>
      <c r="J7" s="1499">
        <v>4.2496092571788546</v>
      </c>
      <c r="K7" s="113">
        <v>2.2162641227545148</v>
      </c>
    </row>
    <row r="8" spans="2:11" x14ac:dyDescent="0.3">
      <c r="B8" s="111" t="s">
        <v>1979</v>
      </c>
      <c r="C8" s="112" t="s">
        <v>1489</v>
      </c>
      <c r="D8" s="1499">
        <v>3.6352399392595944</v>
      </c>
      <c r="E8" s="1499">
        <v>3.3396092525737417</v>
      </c>
      <c r="F8" s="1499">
        <v>2.4768779648622883</v>
      </c>
      <c r="G8" s="1499">
        <v>2.4137114427387765</v>
      </c>
      <c r="H8" s="1499">
        <v>2.0814969723944445</v>
      </c>
      <c r="I8" s="1499">
        <v>4.5126889112931297</v>
      </c>
      <c r="J8" s="1499">
        <v>4.0873255299765363</v>
      </c>
      <c r="K8" s="113">
        <v>2.0539803955521965</v>
      </c>
    </row>
    <row r="9" spans="2:11" x14ac:dyDescent="0.3">
      <c r="B9" s="114">
        <v>0</v>
      </c>
      <c r="C9" s="112" t="s">
        <v>1496</v>
      </c>
      <c r="D9" s="1499">
        <v>3.3918143484561174</v>
      </c>
      <c r="E9" s="1499">
        <v>3.0961836617702643</v>
      </c>
      <c r="F9" s="1499">
        <v>2.2334523740588108</v>
      </c>
      <c r="G9" s="1499">
        <v>2.1702858519352994</v>
      </c>
      <c r="H9" s="1499">
        <v>1.8380713815909673</v>
      </c>
      <c r="I9" s="1499">
        <v>4.2692633204896522</v>
      </c>
      <c r="J9" s="1499">
        <v>3.8438999391730593</v>
      </c>
      <c r="K9" s="113">
        <v>1.8105548047487192</v>
      </c>
    </row>
    <row r="10" spans="2:11" x14ac:dyDescent="0.3">
      <c r="B10" s="115"/>
      <c r="C10" s="112" t="s">
        <v>1500</v>
      </c>
      <c r="D10" s="1499">
        <v>3.1483887576526399</v>
      </c>
      <c r="E10" s="1499">
        <v>2.8527580709667868</v>
      </c>
      <c r="F10" s="1499">
        <v>1.9900267832553336</v>
      </c>
      <c r="G10" s="1499">
        <v>1.926860261131822</v>
      </c>
      <c r="H10" s="1499">
        <v>1.59464579078749</v>
      </c>
      <c r="I10" s="1499">
        <v>4.0258377296861747</v>
      </c>
      <c r="J10" s="1499">
        <v>3.6004743483695818</v>
      </c>
      <c r="K10" s="113">
        <v>1.5671292139452417</v>
      </c>
    </row>
    <row r="11" spans="2:11" x14ac:dyDescent="0.3">
      <c r="B11" s="115"/>
      <c r="C11" s="112" t="s">
        <v>1504</v>
      </c>
      <c r="D11" s="1499">
        <v>3.5193427709946707</v>
      </c>
      <c r="E11" s="1499">
        <v>3.2121325677463903</v>
      </c>
      <c r="F11" s="1499">
        <v>2.3544282176068885</v>
      </c>
      <c r="G11" s="1499">
        <v>2.2843370304733499</v>
      </c>
      <c r="H11" s="1499">
        <v>1.9653804400023753</v>
      </c>
      <c r="I11" s="1499">
        <v>4.3868826923601603</v>
      </c>
      <c r="J11" s="1499">
        <v>3.9607768589678685</v>
      </c>
      <c r="K11" s="113">
        <v>1.9361599597907717</v>
      </c>
    </row>
    <row r="12" spans="2:11" x14ac:dyDescent="0.3">
      <c r="B12" s="115"/>
      <c r="C12" s="112" t="s">
        <v>1508</v>
      </c>
      <c r="D12" s="1499">
        <v>3.3832233843627213</v>
      </c>
      <c r="E12" s="1499">
        <v>3.0760131811144413</v>
      </c>
      <c r="F12" s="1499">
        <v>2.218308830974939</v>
      </c>
      <c r="G12" s="1499">
        <v>2.1482176438414009</v>
      </c>
      <c r="H12" s="1499">
        <v>1.8292610533704259</v>
      </c>
      <c r="I12" s="1499">
        <v>4.2507633057282117</v>
      </c>
      <c r="J12" s="1499">
        <v>3.824657472335919</v>
      </c>
      <c r="K12" s="113">
        <v>1.8000405731588223</v>
      </c>
    </row>
    <row r="13" spans="2:11" x14ac:dyDescent="0.3">
      <c r="B13" s="115"/>
      <c r="C13" s="112" t="s">
        <v>1513</v>
      </c>
      <c r="D13" s="1499">
        <v>3.1790443044147976</v>
      </c>
      <c r="E13" s="1499">
        <v>2.8718341011665172</v>
      </c>
      <c r="F13" s="1499">
        <v>2.0141297510270149</v>
      </c>
      <c r="G13" s="1499">
        <v>1.9440385638934765</v>
      </c>
      <c r="H13" s="1499">
        <v>1.6250819734225019</v>
      </c>
      <c r="I13" s="1499">
        <v>4.0465842257802871</v>
      </c>
      <c r="J13" s="1499">
        <v>3.6204783923879953</v>
      </c>
      <c r="K13" s="113">
        <v>1.5958614932108983</v>
      </c>
    </row>
    <row r="14" spans="2:11" x14ac:dyDescent="0.3">
      <c r="B14" s="115"/>
      <c r="C14" s="112" t="s">
        <v>1517</v>
      </c>
      <c r="D14" s="1499">
        <v>2.9748652244668734</v>
      </c>
      <c r="E14" s="1499">
        <v>2.6676550212185925</v>
      </c>
      <c r="F14" s="1499">
        <v>1.8099506710790909</v>
      </c>
      <c r="G14" s="1499">
        <v>1.7398594839455523</v>
      </c>
      <c r="H14" s="1499">
        <v>1.4209028934745778</v>
      </c>
      <c r="I14" s="1499">
        <v>3.8424051458323634</v>
      </c>
      <c r="J14" s="1499">
        <v>3.4162993124400707</v>
      </c>
      <c r="K14" s="113">
        <v>1.3916824132629741</v>
      </c>
    </row>
    <row r="15" spans="2:11" ht="14.5" thickBot="1" x14ac:dyDescent="0.35">
      <c r="B15" s="1233"/>
      <c r="C15" s="116" t="s">
        <v>1519</v>
      </c>
      <c r="D15" s="117">
        <v>3.7975236664619128</v>
      </c>
      <c r="E15" s="117">
        <v>3.5018929797760596</v>
      </c>
      <c r="F15" s="117">
        <v>2.6391616920646062</v>
      </c>
      <c r="G15" s="117">
        <v>2.5759951699410948</v>
      </c>
      <c r="H15" s="117">
        <v>2.2437806995967629</v>
      </c>
      <c r="I15" s="117">
        <v>4.674972638495448</v>
      </c>
      <c r="J15" s="117">
        <v>4.2496092571788546</v>
      </c>
      <c r="K15" s="118">
        <v>2.2162641227545148</v>
      </c>
    </row>
    <row r="16" spans="2:11" x14ac:dyDescent="0.3">
      <c r="B16" s="107" t="s">
        <v>1977</v>
      </c>
      <c r="C16" s="108" t="s">
        <v>1416</v>
      </c>
      <c r="D16" s="109">
        <v>2.3757084881535611</v>
      </c>
      <c r="E16" s="109">
        <v>2.0087531386410342</v>
      </c>
      <c r="F16" s="109">
        <v>1.2101491132943143</v>
      </c>
      <c r="G16" s="109">
        <v>1.1102078826173236</v>
      </c>
      <c r="H16" s="109">
        <v>0.81206583821687384</v>
      </c>
      <c r="I16" s="109">
        <v>3.1931033637449708</v>
      </c>
      <c r="J16" s="109">
        <v>2.7611919058807999</v>
      </c>
      <c r="K16" s="110">
        <v>0.77600309839414716</v>
      </c>
    </row>
    <row r="17" spans="2:11" x14ac:dyDescent="0.3">
      <c r="B17" s="111" t="s">
        <v>1978</v>
      </c>
      <c r="C17" s="112" t="s">
        <v>1483</v>
      </c>
      <c r="D17" s="1499">
        <v>3.768042161512879</v>
      </c>
      <c r="E17" s="1499">
        <v>3.4724114748270263</v>
      </c>
      <c r="F17" s="1499">
        <v>2.6096801871155728</v>
      </c>
      <c r="G17" s="1499">
        <v>2.546513664992061</v>
      </c>
      <c r="H17" s="1499">
        <v>2.2142991946477295</v>
      </c>
      <c r="I17" s="1499">
        <v>4.6454911335464146</v>
      </c>
      <c r="J17" s="1499">
        <v>4.2201277522298213</v>
      </c>
      <c r="K17" s="113">
        <v>2.186782617805481</v>
      </c>
    </row>
    <row r="18" spans="2:11" x14ac:dyDescent="0.3">
      <c r="B18" s="111" t="s">
        <v>1980</v>
      </c>
      <c r="C18" s="112" t="s">
        <v>1489</v>
      </c>
      <c r="D18" s="1499">
        <v>3.6057584343105611</v>
      </c>
      <c r="E18" s="1499">
        <v>3.310127747624708</v>
      </c>
      <c r="F18" s="1499">
        <v>2.4473964599132545</v>
      </c>
      <c r="G18" s="1499">
        <v>2.3842299377897431</v>
      </c>
      <c r="H18" s="1499">
        <v>2.0520154674454112</v>
      </c>
      <c r="I18" s="1499">
        <v>4.4832074063440963</v>
      </c>
      <c r="J18" s="1499">
        <v>4.057844025027503</v>
      </c>
      <c r="K18" s="113">
        <v>2.0244988906031627</v>
      </c>
    </row>
    <row r="19" spans="2:11" x14ac:dyDescent="0.3">
      <c r="B19" s="114">
        <v>0</v>
      </c>
      <c r="C19" s="112" t="s">
        <v>1496</v>
      </c>
      <c r="D19" s="1499">
        <v>3.3623328435070836</v>
      </c>
      <c r="E19" s="1499">
        <v>3.0667021568212305</v>
      </c>
      <c r="F19" s="1499">
        <v>2.2039708691097775</v>
      </c>
      <c r="G19" s="1499">
        <v>2.1408043469862656</v>
      </c>
      <c r="H19" s="1499">
        <v>1.8085898766419337</v>
      </c>
      <c r="I19" s="1499">
        <v>4.2397818155406188</v>
      </c>
      <c r="J19" s="1499">
        <v>3.8144184342240255</v>
      </c>
      <c r="K19" s="113">
        <v>1.7810732997996854</v>
      </c>
    </row>
    <row r="20" spans="2:11" x14ac:dyDescent="0.3">
      <c r="B20" s="115"/>
      <c r="C20" s="112" t="s">
        <v>1500</v>
      </c>
      <c r="D20" s="1499">
        <v>3.1189072527036061</v>
      </c>
      <c r="E20" s="1499">
        <v>2.8232765660177535</v>
      </c>
      <c r="F20" s="1499">
        <v>1.9605452783063</v>
      </c>
      <c r="G20" s="1499">
        <v>1.8973787561827882</v>
      </c>
      <c r="H20" s="1499">
        <v>1.5651642858384567</v>
      </c>
      <c r="I20" s="1499">
        <v>3.9963562247371414</v>
      </c>
      <c r="J20" s="1499">
        <v>3.570992843420548</v>
      </c>
      <c r="K20" s="113">
        <v>1.5376477089962082</v>
      </c>
    </row>
    <row r="21" spans="2:11" x14ac:dyDescent="0.3">
      <c r="B21" s="115"/>
      <c r="C21" s="112" t="s">
        <v>1504</v>
      </c>
      <c r="D21" s="1499">
        <v>3.489861266045637</v>
      </c>
      <c r="E21" s="1499">
        <v>3.182651062797357</v>
      </c>
      <c r="F21" s="1499">
        <v>2.3249467126578547</v>
      </c>
      <c r="G21" s="1499">
        <v>2.2548555255243161</v>
      </c>
      <c r="H21" s="1499">
        <v>1.935898935053342</v>
      </c>
      <c r="I21" s="1499">
        <v>4.3574011874111269</v>
      </c>
      <c r="J21" s="1499">
        <v>3.9312953540188347</v>
      </c>
      <c r="K21" s="113">
        <v>1.9066784548417384</v>
      </c>
    </row>
    <row r="22" spans="2:11" x14ac:dyDescent="0.3">
      <c r="B22" s="115"/>
      <c r="C22" s="112" t="s">
        <v>1508</v>
      </c>
      <c r="D22" s="1499">
        <v>3.353741879413688</v>
      </c>
      <c r="E22" s="1499">
        <v>3.0465316761654075</v>
      </c>
      <c r="F22" s="1499">
        <v>2.1888273260259057</v>
      </c>
      <c r="G22" s="1499">
        <v>2.1187361388923671</v>
      </c>
      <c r="H22" s="1499">
        <v>1.7997795484213925</v>
      </c>
      <c r="I22" s="1499">
        <v>4.2212818007791775</v>
      </c>
      <c r="J22" s="1499">
        <v>3.7951759673868857</v>
      </c>
      <c r="K22" s="113">
        <v>1.7705590682097889</v>
      </c>
    </row>
    <row r="23" spans="2:11" x14ac:dyDescent="0.3">
      <c r="B23" s="115"/>
      <c r="C23" s="112" t="s">
        <v>1513</v>
      </c>
      <c r="D23" s="1499">
        <v>3.1495627994657638</v>
      </c>
      <c r="E23" s="1499">
        <v>2.8423525962174834</v>
      </c>
      <c r="F23" s="1499">
        <v>1.9846482460779815</v>
      </c>
      <c r="G23" s="1499">
        <v>1.9145570589444429</v>
      </c>
      <c r="H23" s="1499">
        <v>1.5956004684734686</v>
      </c>
      <c r="I23" s="1499">
        <v>4.0171027208312537</v>
      </c>
      <c r="J23" s="1499">
        <v>3.5909968874389615</v>
      </c>
      <c r="K23" s="113">
        <v>1.5663799882618648</v>
      </c>
    </row>
    <row r="24" spans="2:11" x14ac:dyDescent="0.3">
      <c r="B24" s="115"/>
      <c r="C24" s="112" t="s">
        <v>1517</v>
      </c>
      <c r="D24" s="1499">
        <v>2.9453837195178396</v>
      </c>
      <c r="E24" s="1499">
        <v>2.6381735162695596</v>
      </c>
      <c r="F24" s="1499">
        <v>1.7804691661300573</v>
      </c>
      <c r="G24" s="1499">
        <v>1.710377978996519</v>
      </c>
      <c r="H24" s="1499">
        <v>1.3914213885255444</v>
      </c>
      <c r="I24" s="1499">
        <v>3.8129236408833296</v>
      </c>
      <c r="J24" s="1499">
        <v>3.3868178074910373</v>
      </c>
      <c r="K24" s="113">
        <v>1.3622009083139408</v>
      </c>
    </row>
    <row r="25" spans="2:11" ht="14.5" thickBot="1" x14ac:dyDescent="0.35">
      <c r="B25" s="1233"/>
      <c r="C25" s="116" t="s">
        <v>1519</v>
      </c>
      <c r="D25" s="117">
        <v>3.768042161512879</v>
      </c>
      <c r="E25" s="117">
        <v>3.4724114748270263</v>
      </c>
      <c r="F25" s="117">
        <v>2.6096801871155728</v>
      </c>
      <c r="G25" s="117">
        <v>2.546513664992061</v>
      </c>
      <c r="H25" s="117">
        <v>2.2142991946477295</v>
      </c>
      <c r="I25" s="117">
        <v>4.6454911335464146</v>
      </c>
      <c r="J25" s="117">
        <v>4.2201277522298213</v>
      </c>
      <c r="K25" s="118">
        <v>2.186782617805481</v>
      </c>
    </row>
    <row r="26" spans="2:11" x14ac:dyDescent="0.3">
      <c r="B26" s="107" t="s">
        <v>1977</v>
      </c>
      <c r="C26" s="108" t="s">
        <v>1416</v>
      </c>
      <c r="D26" s="109">
        <v>2.3314862307300106</v>
      </c>
      <c r="E26" s="109">
        <v>1.9645308812174838</v>
      </c>
      <c r="F26" s="109">
        <v>1.1659268558707641</v>
      </c>
      <c r="G26" s="109">
        <v>1.0659856251937734</v>
      </c>
      <c r="H26" s="109">
        <v>0.7678435807933236</v>
      </c>
      <c r="I26" s="109">
        <v>3.1488811063214204</v>
      </c>
      <c r="J26" s="109">
        <v>2.7169696484572494</v>
      </c>
      <c r="K26" s="110">
        <v>0.73178084097059692</v>
      </c>
    </row>
    <row r="27" spans="2:11" x14ac:dyDescent="0.3">
      <c r="B27" s="111" t="s">
        <v>1978</v>
      </c>
      <c r="C27" s="112" t="s">
        <v>1483</v>
      </c>
      <c r="D27" s="1499">
        <v>3.7238199040893285</v>
      </c>
      <c r="E27" s="1499">
        <v>3.4281892174034758</v>
      </c>
      <c r="F27" s="1499">
        <v>2.5654579296920224</v>
      </c>
      <c r="G27" s="1499">
        <v>2.5022914075685105</v>
      </c>
      <c r="H27" s="1499">
        <v>2.170076937224179</v>
      </c>
      <c r="I27" s="1499">
        <v>4.6012688761228642</v>
      </c>
      <c r="J27" s="1499">
        <v>4.1759054948062708</v>
      </c>
      <c r="K27" s="113">
        <v>2.1425603603819305</v>
      </c>
    </row>
    <row r="28" spans="2:11" x14ac:dyDescent="0.3">
      <c r="B28" s="111" t="s">
        <v>1981</v>
      </c>
      <c r="C28" s="112" t="s">
        <v>1489</v>
      </c>
      <c r="D28" s="1499">
        <v>3.5615361768870106</v>
      </c>
      <c r="E28" s="1499">
        <v>3.2659054902011575</v>
      </c>
      <c r="F28" s="1499">
        <v>2.4031742024897045</v>
      </c>
      <c r="G28" s="1499">
        <v>2.3400076803661927</v>
      </c>
      <c r="H28" s="1499">
        <v>2.0077932100218607</v>
      </c>
      <c r="I28" s="1499">
        <v>4.4389851489205459</v>
      </c>
      <c r="J28" s="1499">
        <v>4.0136217676039525</v>
      </c>
      <c r="K28" s="113">
        <v>1.9802766331796127</v>
      </c>
    </row>
    <row r="29" spans="2:11" x14ac:dyDescent="0.3">
      <c r="B29" s="114">
        <v>0</v>
      </c>
      <c r="C29" s="112" t="s">
        <v>1496</v>
      </c>
      <c r="D29" s="1499">
        <v>3.3181105860835332</v>
      </c>
      <c r="E29" s="1499">
        <v>3.0224798993976805</v>
      </c>
      <c r="F29" s="1499">
        <v>2.159748611686227</v>
      </c>
      <c r="G29" s="1499">
        <v>2.0965820895627152</v>
      </c>
      <c r="H29" s="1499">
        <v>1.7643676192183837</v>
      </c>
      <c r="I29" s="1499">
        <v>4.1955595581170684</v>
      </c>
      <c r="J29" s="1499">
        <v>3.770196176800475</v>
      </c>
      <c r="K29" s="113">
        <v>1.7368510423761352</v>
      </c>
    </row>
    <row r="30" spans="2:11" x14ac:dyDescent="0.3">
      <c r="B30" s="115"/>
      <c r="C30" s="112" t="s">
        <v>1500</v>
      </c>
      <c r="D30" s="1499">
        <v>3.0746849952800557</v>
      </c>
      <c r="E30" s="1499">
        <v>2.779054308594203</v>
      </c>
      <c r="F30" s="1499">
        <v>1.9163230208827495</v>
      </c>
      <c r="G30" s="1499">
        <v>1.8531564987592379</v>
      </c>
      <c r="H30" s="1499">
        <v>1.5209420284149064</v>
      </c>
      <c r="I30" s="1499">
        <v>3.9521339673135909</v>
      </c>
      <c r="J30" s="1499">
        <v>3.526770585996998</v>
      </c>
      <c r="K30" s="113">
        <v>1.4934254515726579</v>
      </c>
    </row>
    <row r="31" spans="2:11" x14ac:dyDescent="0.3">
      <c r="B31" s="115"/>
      <c r="C31" s="112" t="s">
        <v>1504</v>
      </c>
      <c r="D31" s="1499">
        <v>3.4456390086220869</v>
      </c>
      <c r="E31" s="1499">
        <v>3.1384288053738065</v>
      </c>
      <c r="F31" s="1499">
        <v>2.2807244552343047</v>
      </c>
      <c r="G31" s="1499">
        <v>2.2106332681007661</v>
      </c>
      <c r="H31" s="1499">
        <v>1.8916766776297917</v>
      </c>
      <c r="I31" s="1499">
        <v>4.3131789299875773</v>
      </c>
      <c r="J31" s="1499">
        <v>3.8870730965952847</v>
      </c>
      <c r="K31" s="113">
        <v>1.8624561974181881</v>
      </c>
    </row>
    <row r="32" spans="2:11" x14ac:dyDescent="0.3">
      <c r="B32" s="115"/>
      <c r="C32" s="112" t="s">
        <v>1508</v>
      </c>
      <c r="D32" s="1499">
        <v>3.3095196219901375</v>
      </c>
      <c r="E32" s="1499">
        <v>3.0023094187418575</v>
      </c>
      <c r="F32" s="1499">
        <v>2.1446050686023552</v>
      </c>
      <c r="G32" s="1499">
        <v>2.0745138814688167</v>
      </c>
      <c r="H32" s="1499">
        <v>1.7555572909978423</v>
      </c>
      <c r="I32" s="1499">
        <v>4.177059543355627</v>
      </c>
      <c r="J32" s="1499">
        <v>3.7509537099633352</v>
      </c>
      <c r="K32" s="113">
        <v>1.7263368107862387</v>
      </c>
    </row>
    <row r="33" spans="2:11" x14ac:dyDescent="0.3">
      <c r="B33" s="115"/>
      <c r="C33" s="112" t="s">
        <v>1513</v>
      </c>
      <c r="D33" s="1499">
        <v>3.1053405420422133</v>
      </c>
      <c r="E33" s="1499">
        <v>2.7981303387939334</v>
      </c>
      <c r="F33" s="1499">
        <v>1.9404259886544313</v>
      </c>
      <c r="G33" s="1499">
        <v>1.8703348015208927</v>
      </c>
      <c r="H33" s="1499">
        <v>1.5513782110499181</v>
      </c>
      <c r="I33" s="1499">
        <v>3.9728804634077033</v>
      </c>
      <c r="J33" s="1499">
        <v>3.546774630015411</v>
      </c>
      <c r="K33" s="113">
        <v>1.5221577308383145</v>
      </c>
    </row>
    <row r="34" spans="2:11" x14ac:dyDescent="0.3">
      <c r="B34" s="115"/>
      <c r="C34" s="112" t="s">
        <v>1517</v>
      </c>
      <c r="D34" s="1499">
        <v>2.9011614620942896</v>
      </c>
      <c r="E34" s="1499">
        <v>2.5939512588460092</v>
      </c>
      <c r="F34" s="1499">
        <v>1.7362469087065071</v>
      </c>
      <c r="G34" s="1499">
        <v>1.6661557215729688</v>
      </c>
      <c r="H34" s="1499">
        <v>1.3471991311019942</v>
      </c>
      <c r="I34" s="1499">
        <v>3.7687013834597791</v>
      </c>
      <c r="J34" s="1499">
        <v>3.3425955500674873</v>
      </c>
      <c r="K34" s="113">
        <v>1.3179786508903906</v>
      </c>
    </row>
    <row r="35" spans="2:11" ht="14.5" thickBot="1" x14ac:dyDescent="0.35">
      <c r="B35" s="1233"/>
      <c r="C35" s="116" t="s">
        <v>1519</v>
      </c>
      <c r="D35" s="117">
        <v>3.7238199040893285</v>
      </c>
      <c r="E35" s="117">
        <v>3.4281892174034758</v>
      </c>
      <c r="F35" s="117">
        <v>2.5654579296920224</v>
      </c>
      <c r="G35" s="117">
        <v>2.5022914075685105</v>
      </c>
      <c r="H35" s="117">
        <v>2.170076937224179</v>
      </c>
      <c r="I35" s="117">
        <v>4.6012688761228642</v>
      </c>
      <c r="J35" s="117">
        <v>4.1759054948062708</v>
      </c>
      <c r="K35" s="118">
        <v>2.1425603603819305</v>
      </c>
    </row>
    <row r="36" spans="2:11" x14ac:dyDescent="0.3">
      <c r="B36" s="107" t="s">
        <v>1977</v>
      </c>
      <c r="C36" s="108" t="s">
        <v>1416</v>
      </c>
      <c r="D36" s="109">
        <v>2.2872639733064601</v>
      </c>
      <c r="E36" s="109">
        <v>1.9203086237939335</v>
      </c>
      <c r="F36" s="109">
        <v>1.1217045984472136</v>
      </c>
      <c r="G36" s="109">
        <v>1.0217633677702231</v>
      </c>
      <c r="H36" s="109">
        <v>0.72362132336977336</v>
      </c>
      <c r="I36" s="109">
        <v>3.1046588488978704</v>
      </c>
      <c r="J36" s="109">
        <v>2.6727473910336994</v>
      </c>
      <c r="K36" s="110">
        <v>0.68755858354704658</v>
      </c>
    </row>
    <row r="37" spans="2:11" x14ac:dyDescent="0.3">
      <c r="B37" s="111" t="s">
        <v>1978</v>
      </c>
      <c r="C37" s="112" t="s">
        <v>1483</v>
      </c>
      <c r="D37" s="1499">
        <v>3.6795976466657785</v>
      </c>
      <c r="E37" s="1499">
        <v>3.3839669599799254</v>
      </c>
      <c r="F37" s="1499">
        <v>2.5212356722684723</v>
      </c>
      <c r="G37" s="1499">
        <v>2.4580691501449605</v>
      </c>
      <c r="H37" s="1499">
        <v>2.125854679800629</v>
      </c>
      <c r="I37" s="1499">
        <v>4.5570466186993137</v>
      </c>
      <c r="J37" s="1499">
        <v>4.1316832373827204</v>
      </c>
      <c r="K37" s="113">
        <v>2.0983381029583805</v>
      </c>
    </row>
    <row r="38" spans="2:11" x14ac:dyDescent="0.3">
      <c r="B38" s="111" t="s">
        <v>1982</v>
      </c>
      <c r="C38" s="112" t="s">
        <v>1489</v>
      </c>
      <c r="D38" s="1499">
        <v>3.5173139194634602</v>
      </c>
      <c r="E38" s="1499">
        <v>3.2216832327776075</v>
      </c>
      <c r="F38" s="1499">
        <v>2.358951945066154</v>
      </c>
      <c r="G38" s="1499">
        <v>2.2957854229426422</v>
      </c>
      <c r="H38" s="1499">
        <v>1.9635709525983107</v>
      </c>
      <c r="I38" s="1499">
        <v>4.3947628914969954</v>
      </c>
      <c r="J38" s="1499">
        <v>3.969399510180402</v>
      </c>
      <c r="K38" s="113">
        <v>1.9360543757560624</v>
      </c>
    </row>
    <row r="39" spans="2:11" x14ac:dyDescent="0.3">
      <c r="B39" s="114">
        <v>0</v>
      </c>
      <c r="C39" s="112" t="s">
        <v>1496</v>
      </c>
      <c r="D39" s="1499">
        <v>3.2738883286599831</v>
      </c>
      <c r="E39" s="1499">
        <v>2.97825764197413</v>
      </c>
      <c r="F39" s="1499">
        <v>2.1155263542626765</v>
      </c>
      <c r="G39" s="1499">
        <v>2.0523598321391652</v>
      </c>
      <c r="H39" s="1499">
        <v>1.7201453617948335</v>
      </c>
      <c r="I39" s="1499">
        <v>4.1513373006935179</v>
      </c>
      <c r="J39" s="1499">
        <v>3.725973919376925</v>
      </c>
      <c r="K39" s="113">
        <v>1.692628784952585</v>
      </c>
    </row>
    <row r="40" spans="2:11" x14ac:dyDescent="0.3">
      <c r="B40" s="115"/>
      <c r="C40" s="112" t="s">
        <v>1500</v>
      </c>
      <c r="D40" s="1499">
        <v>3.0304627378565057</v>
      </c>
      <c r="E40" s="1499">
        <v>2.7348320511706534</v>
      </c>
      <c r="F40" s="1499">
        <v>1.8721007634591995</v>
      </c>
      <c r="G40" s="1499">
        <v>1.8089342413356879</v>
      </c>
      <c r="H40" s="1499">
        <v>1.4767197709913562</v>
      </c>
      <c r="I40" s="1499">
        <v>3.9079117098900409</v>
      </c>
      <c r="J40" s="1499">
        <v>3.482548328573448</v>
      </c>
      <c r="K40" s="113">
        <v>1.4492031941491079</v>
      </c>
    </row>
    <row r="41" spans="2:11" x14ac:dyDescent="0.3">
      <c r="B41" s="115"/>
      <c r="C41" s="112" t="s">
        <v>1504</v>
      </c>
      <c r="D41" s="1499">
        <v>3.4014167511985365</v>
      </c>
      <c r="E41" s="1499">
        <v>3.094206547950257</v>
      </c>
      <c r="F41" s="1499">
        <v>2.2365021978107542</v>
      </c>
      <c r="G41" s="1499">
        <v>2.1664110106772156</v>
      </c>
      <c r="H41" s="1499">
        <v>1.8474544202062415</v>
      </c>
      <c r="I41" s="1499">
        <v>4.268956672564026</v>
      </c>
      <c r="J41" s="1499">
        <v>3.8428508391717346</v>
      </c>
      <c r="K41" s="113">
        <v>1.8182339399946377</v>
      </c>
    </row>
    <row r="42" spans="2:11" x14ac:dyDescent="0.3">
      <c r="B42" s="115"/>
      <c r="C42" s="112" t="s">
        <v>1508</v>
      </c>
      <c r="D42" s="1499">
        <v>3.2652973645665875</v>
      </c>
      <c r="E42" s="1499">
        <v>2.9580871613183071</v>
      </c>
      <c r="F42" s="1499">
        <v>2.1003828111788052</v>
      </c>
      <c r="G42" s="1499">
        <v>2.0302916240452666</v>
      </c>
      <c r="H42" s="1499">
        <v>1.7113350335742921</v>
      </c>
      <c r="I42" s="1499">
        <v>4.1328372859320774</v>
      </c>
      <c r="J42" s="1499">
        <v>3.7067314525397848</v>
      </c>
      <c r="K42" s="113">
        <v>1.6821145533626882</v>
      </c>
    </row>
    <row r="43" spans="2:11" x14ac:dyDescent="0.3">
      <c r="B43" s="115"/>
      <c r="C43" s="112" t="s">
        <v>1513</v>
      </c>
      <c r="D43" s="1499">
        <v>3.0611182846186633</v>
      </c>
      <c r="E43" s="1499">
        <v>2.7539080813703829</v>
      </c>
      <c r="F43" s="1499">
        <v>1.896203731230881</v>
      </c>
      <c r="G43" s="1499">
        <v>1.8261125440973425</v>
      </c>
      <c r="H43" s="1499">
        <v>1.5071559536263679</v>
      </c>
      <c r="I43" s="1499">
        <v>3.9286582059841533</v>
      </c>
      <c r="J43" s="1499">
        <v>3.502552372591861</v>
      </c>
      <c r="K43" s="113">
        <v>1.4779354734147643</v>
      </c>
    </row>
    <row r="44" spans="2:11" x14ac:dyDescent="0.3">
      <c r="B44" s="115"/>
      <c r="C44" s="112" t="s">
        <v>1517</v>
      </c>
      <c r="D44" s="1499">
        <v>2.8569392046707391</v>
      </c>
      <c r="E44" s="1499">
        <v>2.5497290014224587</v>
      </c>
      <c r="F44" s="1499">
        <v>1.6920246512829569</v>
      </c>
      <c r="G44" s="1499">
        <v>1.6219334641494183</v>
      </c>
      <c r="H44" s="1499">
        <v>1.3029768736784439</v>
      </c>
      <c r="I44" s="1499">
        <v>3.7244791260362291</v>
      </c>
      <c r="J44" s="1499">
        <v>3.2983732926439369</v>
      </c>
      <c r="K44" s="113">
        <v>1.2737563934668401</v>
      </c>
    </row>
    <row r="45" spans="2:11" ht="14.5" thickBot="1" x14ac:dyDescent="0.35">
      <c r="B45" s="1233"/>
      <c r="C45" s="116" t="s">
        <v>1519</v>
      </c>
      <c r="D45" s="117">
        <v>3.6795976466657785</v>
      </c>
      <c r="E45" s="117">
        <v>3.3839669599799254</v>
      </c>
      <c r="F45" s="117">
        <v>2.5212356722684723</v>
      </c>
      <c r="G45" s="117">
        <v>2.4580691501449605</v>
      </c>
      <c r="H45" s="117">
        <v>2.125854679800629</v>
      </c>
      <c r="I45" s="117">
        <v>4.5570466186993137</v>
      </c>
      <c r="J45" s="117">
        <v>4.1316832373827204</v>
      </c>
      <c r="K45" s="118">
        <v>2.0983381029583805</v>
      </c>
    </row>
    <row r="46" spans="2:11" x14ac:dyDescent="0.3">
      <c r="B46" s="119" t="s">
        <v>1983</v>
      </c>
      <c r="C46" s="108" t="s">
        <v>1416</v>
      </c>
      <c r="D46" s="109">
        <v>2.3276393234598594</v>
      </c>
      <c r="E46" s="109">
        <v>1.9561415694429283</v>
      </c>
      <c r="F46" s="109">
        <v>1.1677499758675354</v>
      </c>
      <c r="G46" s="109">
        <v>1.0635182026840309</v>
      </c>
      <c r="H46" s="109">
        <v>0.76591061863251342</v>
      </c>
      <c r="I46" s="109">
        <v>3.136757592892037</v>
      </c>
      <c r="J46" s="109">
        <v>2.7052976911199975</v>
      </c>
      <c r="K46" s="110">
        <v>0.72926772430402542</v>
      </c>
    </row>
    <row r="47" spans="2:11" x14ac:dyDescent="0.3">
      <c r="B47" s="111"/>
      <c r="C47" s="112" t="s">
        <v>1483</v>
      </c>
      <c r="D47" s="1499">
        <v>3.717416756252387</v>
      </c>
      <c r="E47" s="1499">
        <v>3.4199547194594087</v>
      </c>
      <c r="F47" s="1499">
        <v>2.560243363654874</v>
      </c>
      <c r="G47" s="1499">
        <v>2.495451965880664</v>
      </c>
      <c r="H47" s="1499">
        <v>2.167356252400884</v>
      </c>
      <c r="I47" s="1499">
        <v>4.5902208047824278</v>
      </c>
      <c r="J47" s="1499">
        <v>4.1658644664717528</v>
      </c>
      <c r="K47" s="113">
        <v>2.1399212623187505</v>
      </c>
    </row>
    <row r="48" spans="2:11" x14ac:dyDescent="0.3">
      <c r="B48" s="111" t="s">
        <v>1979</v>
      </c>
      <c r="C48" s="112" t="s">
        <v>1489</v>
      </c>
      <c r="D48" s="1499">
        <v>3.5551330290500691</v>
      </c>
      <c r="E48" s="1499">
        <v>3.2576709922570903</v>
      </c>
      <c r="F48" s="1499">
        <v>2.3979596364525553</v>
      </c>
      <c r="G48" s="1499">
        <v>2.3331682386783457</v>
      </c>
      <c r="H48" s="1499">
        <v>2.0050725251985657</v>
      </c>
      <c r="I48" s="1499">
        <v>4.4279370775801095</v>
      </c>
      <c r="J48" s="1499">
        <v>4.0035807392694345</v>
      </c>
      <c r="K48" s="113">
        <v>1.9776375351164326</v>
      </c>
    </row>
    <row r="49" spans="2:11" x14ac:dyDescent="0.3">
      <c r="B49" s="114">
        <v>0</v>
      </c>
      <c r="C49" s="112" t="s">
        <v>1496</v>
      </c>
      <c r="D49" s="1499">
        <v>3.3117074382465916</v>
      </c>
      <c r="E49" s="1499">
        <v>3.0142454014536129</v>
      </c>
      <c r="F49" s="1499">
        <v>2.1545340456490778</v>
      </c>
      <c r="G49" s="1499">
        <v>2.0897426478748686</v>
      </c>
      <c r="H49" s="1499">
        <v>1.7616469343950887</v>
      </c>
      <c r="I49" s="1499">
        <v>4.184511486776632</v>
      </c>
      <c r="J49" s="1499">
        <v>3.7601551484659574</v>
      </c>
      <c r="K49" s="113">
        <v>1.7342119443129553</v>
      </c>
    </row>
    <row r="50" spans="2:11" x14ac:dyDescent="0.3">
      <c r="B50" s="115"/>
      <c r="C50" s="112" t="s">
        <v>1500</v>
      </c>
      <c r="D50" s="1499">
        <v>3.0682818474431146</v>
      </c>
      <c r="E50" s="1499">
        <v>2.7708198106501354</v>
      </c>
      <c r="F50" s="1499">
        <v>1.9111084548456008</v>
      </c>
      <c r="G50" s="1499">
        <v>1.8463170570713914</v>
      </c>
      <c r="H50" s="1499">
        <v>1.5182213435916112</v>
      </c>
      <c r="I50" s="1499">
        <v>3.9410858959731545</v>
      </c>
      <c r="J50" s="1499">
        <v>3.5167295576624804</v>
      </c>
      <c r="K50" s="113">
        <v>1.4907863535094781</v>
      </c>
    </row>
    <row r="51" spans="2:11" x14ac:dyDescent="0.3">
      <c r="B51" s="115"/>
      <c r="C51" s="112" t="s">
        <v>1504</v>
      </c>
      <c r="D51" s="1499">
        <v>3.4409090300253609</v>
      </c>
      <c r="E51" s="1499">
        <v>3.1293306688399016</v>
      </c>
      <c r="F51" s="1499">
        <v>2.2746695456791008</v>
      </c>
      <c r="G51" s="1499">
        <v>2.2054636034604314</v>
      </c>
      <c r="H51" s="1499">
        <v>1.8883142776893378</v>
      </c>
      <c r="I51" s="1499">
        <v>4.3020312776092187</v>
      </c>
      <c r="J51" s="1499">
        <v>3.8763791761855391</v>
      </c>
      <c r="K51" s="113">
        <v>1.8587395876547648</v>
      </c>
    </row>
    <row r="52" spans="2:11" x14ac:dyDescent="0.3">
      <c r="B52" s="115"/>
      <c r="C52" s="112" t="s">
        <v>1508</v>
      </c>
      <c r="D52" s="1499">
        <v>3.304789643393411</v>
      </c>
      <c r="E52" s="1499">
        <v>2.9932112822079522</v>
      </c>
      <c r="F52" s="1499">
        <v>2.1385501590471514</v>
      </c>
      <c r="G52" s="1499">
        <v>2.0693442168284819</v>
      </c>
      <c r="H52" s="1499">
        <v>1.7521948910573883</v>
      </c>
      <c r="I52" s="1499">
        <v>4.1659118909772683</v>
      </c>
      <c r="J52" s="1499">
        <v>3.7402597895535896</v>
      </c>
      <c r="K52" s="113">
        <v>1.7226202010228153</v>
      </c>
    </row>
    <row r="53" spans="2:11" x14ac:dyDescent="0.3">
      <c r="B53" s="115"/>
      <c r="C53" s="112" t="s">
        <v>1513</v>
      </c>
      <c r="D53" s="1499">
        <v>3.1006105634454868</v>
      </c>
      <c r="E53" s="1499">
        <v>2.789032202260028</v>
      </c>
      <c r="F53" s="1499">
        <v>1.9343710790992272</v>
      </c>
      <c r="G53" s="1499">
        <v>1.8651651368805577</v>
      </c>
      <c r="H53" s="1499">
        <v>1.5480158111094644</v>
      </c>
      <c r="I53" s="1499">
        <v>3.9617328110293446</v>
      </c>
      <c r="J53" s="1499">
        <v>3.5360807096056655</v>
      </c>
      <c r="K53" s="113">
        <v>1.5184411210748912</v>
      </c>
    </row>
    <row r="54" spans="2:11" x14ac:dyDescent="0.3">
      <c r="B54" s="115"/>
      <c r="C54" s="112" t="s">
        <v>1517</v>
      </c>
      <c r="D54" s="1499">
        <v>2.8964314834975631</v>
      </c>
      <c r="E54" s="1499">
        <v>2.5848531223121038</v>
      </c>
      <c r="F54" s="1499">
        <v>1.7301919991513031</v>
      </c>
      <c r="G54" s="1499">
        <v>1.6609860569326338</v>
      </c>
      <c r="H54" s="1499">
        <v>1.3438367311615402</v>
      </c>
      <c r="I54" s="1499">
        <v>3.7575537310814204</v>
      </c>
      <c r="J54" s="1499">
        <v>3.3319016296577413</v>
      </c>
      <c r="K54" s="113">
        <v>1.3142620411269672</v>
      </c>
    </row>
    <row r="55" spans="2:11" ht="14.5" thickBot="1" x14ac:dyDescent="0.35">
      <c r="B55" s="1233"/>
      <c r="C55" s="116" t="s">
        <v>1519</v>
      </c>
      <c r="D55" s="117">
        <v>3.717416756252387</v>
      </c>
      <c r="E55" s="117">
        <v>3.4199547194594087</v>
      </c>
      <c r="F55" s="117">
        <v>2.560243363654874</v>
      </c>
      <c r="G55" s="117">
        <v>2.495451965880664</v>
      </c>
      <c r="H55" s="117">
        <v>2.167356252400884</v>
      </c>
      <c r="I55" s="117">
        <v>4.5902208047824278</v>
      </c>
      <c r="J55" s="117">
        <v>4.1658644664717528</v>
      </c>
      <c r="K55" s="118">
        <v>2.1399212623187505</v>
      </c>
    </row>
    <row r="56" spans="2:11" x14ac:dyDescent="0.3">
      <c r="B56" s="119" t="s">
        <v>1983</v>
      </c>
      <c r="C56" s="108" t="s">
        <v>1416</v>
      </c>
      <c r="D56" s="109">
        <v>2.3121863597261951</v>
      </c>
      <c r="E56" s="109">
        <v>1.940688605709264</v>
      </c>
      <c r="F56" s="109">
        <v>1.1522970121338711</v>
      </c>
      <c r="G56" s="109">
        <v>1.0480652389503666</v>
      </c>
      <c r="H56" s="109">
        <v>0.75045765489884908</v>
      </c>
      <c r="I56" s="109">
        <v>3.1213046291583728</v>
      </c>
      <c r="J56" s="109">
        <v>2.6898447273863333</v>
      </c>
      <c r="K56" s="110">
        <v>0.71381476057036108</v>
      </c>
    </row>
    <row r="57" spans="2:11" x14ac:dyDescent="0.3">
      <c r="B57" s="111"/>
      <c r="C57" s="112" t="s">
        <v>1483</v>
      </c>
      <c r="D57" s="1499">
        <v>3.7019637925187228</v>
      </c>
      <c r="E57" s="1499">
        <v>3.404501755725744</v>
      </c>
      <c r="F57" s="1499">
        <v>2.5447903999212094</v>
      </c>
      <c r="G57" s="1499">
        <v>2.4799990021469998</v>
      </c>
      <c r="H57" s="1499">
        <v>2.1519032886672198</v>
      </c>
      <c r="I57" s="1499">
        <v>4.5747678410487636</v>
      </c>
      <c r="J57" s="1499">
        <v>4.1504115027380886</v>
      </c>
      <c r="K57" s="113">
        <v>2.1244682985850862</v>
      </c>
    </row>
    <row r="58" spans="2:11" x14ac:dyDescent="0.3">
      <c r="B58" s="111" t="s">
        <v>1980</v>
      </c>
      <c r="C58" s="112" t="s">
        <v>1489</v>
      </c>
      <c r="D58" s="1499">
        <v>3.5396800653164049</v>
      </c>
      <c r="E58" s="1499">
        <v>3.2422180285234261</v>
      </c>
      <c r="F58" s="1499">
        <v>2.382506672718891</v>
      </c>
      <c r="G58" s="1499">
        <v>2.3177152749446814</v>
      </c>
      <c r="H58" s="1499">
        <v>1.9896195614649015</v>
      </c>
      <c r="I58" s="1499">
        <v>4.4124841138464452</v>
      </c>
      <c r="J58" s="1499">
        <v>3.9881277755357707</v>
      </c>
      <c r="K58" s="113">
        <v>1.9621845713827684</v>
      </c>
    </row>
    <row r="59" spans="2:11" x14ac:dyDescent="0.3">
      <c r="B59" s="114">
        <v>0</v>
      </c>
      <c r="C59" s="112" t="s">
        <v>1496</v>
      </c>
      <c r="D59" s="1499">
        <v>3.2962544745129274</v>
      </c>
      <c r="E59" s="1499">
        <v>2.9987924377199486</v>
      </c>
      <c r="F59" s="1499">
        <v>2.1390810819154136</v>
      </c>
      <c r="G59" s="1499">
        <v>2.0742896841412044</v>
      </c>
      <c r="H59" s="1499">
        <v>1.7461939706614242</v>
      </c>
      <c r="I59" s="1499">
        <v>4.1690585230429678</v>
      </c>
      <c r="J59" s="1499">
        <v>3.7447021847322932</v>
      </c>
      <c r="K59" s="113">
        <v>1.7187589805792909</v>
      </c>
    </row>
    <row r="60" spans="2:11" x14ac:dyDescent="0.3">
      <c r="B60" s="115"/>
      <c r="C60" s="112" t="s">
        <v>1500</v>
      </c>
      <c r="D60" s="1499">
        <v>3.0528288837094499</v>
      </c>
      <c r="E60" s="1499">
        <v>2.7553668469164712</v>
      </c>
      <c r="F60" s="1499">
        <v>1.8956554911119365</v>
      </c>
      <c r="G60" s="1499">
        <v>1.8308640933377269</v>
      </c>
      <c r="H60" s="1499">
        <v>1.502768379857947</v>
      </c>
      <c r="I60" s="1499">
        <v>3.9256329322394903</v>
      </c>
      <c r="J60" s="1499">
        <v>3.5012765939288157</v>
      </c>
      <c r="K60" s="113">
        <v>1.4753333897758136</v>
      </c>
    </row>
    <row r="61" spans="2:11" x14ac:dyDescent="0.3">
      <c r="B61" s="115"/>
      <c r="C61" s="112" t="s">
        <v>1504</v>
      </c>
      <c r="D61" s="1499">
        <v>3.4254560662916962</v>
      </c>
      <c r="E61" s="1499">
        <v>3.113877705106237</v>
      </c>
      <c r="F61" s="1499">
        <v>2.2592165819454366</v>
      </c>
      <c r="G61" s="1499">
        <v>2.1900106397267667</v>
      </c>
      <c r="H61" s="1499">
        <v>1.8728613139556736</v>
      </c>
      <c r="I61" s="1499">
        <v>4.2865783138755544</v>
      </c>
      <c r="J61" s="1499">
        <v>3.8609262124518744</v>
      </c>
      <c r="K61" s="113">
        <v>1.8432866239211005</v>
      </c>
    </row>
    <row r="62" spans="2:11" x14ac:dyDescent="0.3">
      <c r="B62" s="115"/>
      <c r="C62" s="112" t="s">
        <v>1508</v>
      </c>
      <c r="D62" s="1499">
        <v>3.2893366796597467</v>
      </c>
      <c r="E62" s="1499">
        <v>2.977758318474288</v>
      </c>
      <c r="F62" s="1499">
        <v>2.1230971953134872</v>
      </c>
      <c r="G62" s="1499">
        <v>2.0538912530948177</v>
      </c>
      <c r="H62" s="1499">
        <v>1.7367419273237241</v>
      </c>
      <c r="I62" s="1499">
        <v>4.1504589272436041</v>
      </c>
      <c r="J62" s="1499">
        <v>3.7248068258199254</v>
      </c>
      <c r="K62" s="113">
        <v>1.7071672372891511</v>
      </c>
    </row>
    <row r="63" spans="2:11" x14ac:dyDescent="0.3">
      <c r="B63" s="115"/>
      <c r="C63" s="112" t="s">
        <v>1513</v>
      </c>
      <c r="D63" s="1499">
        <v>3.0851575997118226</v>
      </c>
      <c r="E63" s="1499">
        <v>2.7735792385263638</v>
      </c>
      <c r="F63" s="1499">
        <v>1.918918115365563</v>
      </c>
      <c r="G63" s="1499">
        <v>1.8497121731468937</v>
      </c>
      <c r="H63" s="1499">
        <v>1.5325628473758002</v>
      </c>
      <c r="I63" s="1499">
        <v>3.9462798472956804</v>
      </c>
      <c r="J63" s="1499">
        <v>3.5206277458720012</v>
      </c>
      <c r="K63" s="113">
        <v>1.5029881573412271</v>
      </c>
    </row>
    <row r="64" spans="2:11" x14ac:dyDescent="0.3">
      <c r="B64" s="115"/>
      <c r="C64" s="112" t="s">
        <v>1517</v>
      </c>
      <c r="D64" s="1499">
        <v>2.8809785197638988</v>
      </c>
      <c r="E64" s="1499">
        <v>2.5694001585784396</v>
      </c>
      <c r="F64" s="1499">
        <v>1.7147390354176388</v>
      </c>
      <c r="G64" s="1499">
        <v>1.6455330931989696</v>
      </c>
      <c r="H64" s="1499">
        <v>1.328383767427876</v>
      </c>
      <c r="I64" s="1499">
        <v>3.7421007673477562</v>
      </c>
      <c r="J64" s="1499">
        <v>3.3164486659240771</v>
      </c>
      <c r="K64" s="113">
        <v>1.298809077393303</v>
      </c>
    </row>
    <row r="65" spans="2:11" ht="14.5" thickBot="1" x14ac:dyDescent="0.35">
      <c r="B65" s="1233"/>
      <c r="C65" s="116" t="s">
        <v>1519</v>
      </c>
      <c r="D65" s="117">
        <v>3.7019637925187228</v>
      </c>
      <c r="E65" s="117">
        <v>3.404501755725744</v>
      </c>
      <c r="F65" s="117">
        <v>2.5447903999212094</v>
      </c>
      <c r="G65" s="117">
        <v>2.4799990021469998</v>
      </c>
      <c r="H65" s="117">
        <v>2.1519032886672198</v>
      </c>
      <c r="I65" s="117">
        <v>4.5747678410487636</v>
      </c>
      <c r="J65" s="117">
        <v>4.1504115027380886</v>
      </c>
      <c r="K65" s="118">
        <v>2.1244682985850862</v>
      </c>
    </row>
    <row r="66" spans="2:11" x14ac:dyDescent="0.3">
      <c r="B66" s="119" t="s">
        <v>1983</v>
      </c>
      <c r="C66" s="108" t="s">
        <v>1416</v>
      </c>
      <c r="D66" s="109">
        <v>2.2890069141256988</v>
      </c>
      <c r="E66" s="109">
        <v>1.9175091601087675</v>
      </c>
      <c r="F66" s="109">
        <v>1.1291175665333748</v>
      </c>
      <c r="G66" s="109">
        <v>1.0248857933498701</v>
      </c>
      <c r="H66" s="109">
        <v>0.72727820929835274</v>
      </c>
      <c r="I66" s="109">
        <v>3.0981251835578769</v>
      </c>
      <c r="J66" s="109">
        <v>2.6666652817858369</v>
      </c>
      <c r="K66" s="110">
        <v>0.69063531496986474</v>
      </c>
    </row>
    <row r="67" spans="2:11" x14ac:dyDescent="0.3">
      <c r="B67" s="111"/>
      <c r="C67" s="112" t="s">
        <v>1483</v>
      </c>
      <c r="D67" s="1499">
        <v>3.6787843469182264</v>
      </c>
      <c r="E67" s="1499">
        <v>3.3813223101252476</v>
      </c>
      <c r="F67" s="1499">
        <v>2.521610954320713</v>
      </c>
      <c r="G67" s="1499">
        <v>2.4568195565465034</v>
      </c>
      <c r="H67" s="1499">
        <v>2.1287238430667235</v>
      </c>
      <c r="I67" s="1499">
        <v>4.5515883954482668</v>
      </c>
      <c r="J67" s="1499">
        <v>4.1272320571375927</v>
      </c>
      <c r="K67" s="113">
        <v>2.1012888529845899</v>
      </c>
    </row>
    <row r="68" spans="2:11" x14ac:dyDescent="0.3">
      <c r="B68" s="111" t="s">
        <v>1981</v>
      </c>
      <c r="C68" s="112" t="s">
        <v>1489</v>
      </c>
      <c r="D68" s="1499">
        <v>3.5165006197159085</v>
      </c>
      <c r="E68" s="1499">
        <v>3.2190385829229298</v>
      </c>
      <c r="F68" s="1499">
        <v>2.3593272271183947</v>
      </c>
      <c r="G68" s="1499">
        <v>2.2945358293441851</v>
      </c>
      <c r="H68" s="1499">
        <v>1.9664401158644049</v>
      </c>
      <c r="I68" s="1499">
        <v>4.3893046682459484</v>
      </c>
      <c r="J68" s="1499">
        <v>3.9649483299352744</v>
      </c>
      <c r="K68" s="113">
        <v>1.9390051257822718</v>
      </c>
    </row>
    <row r="69" spans="2:11" x14ac:dyDescent="0.3">
      <c r="B69" s="114">
        <v>0</v>
      </c>
      <c r="C69" s="112" t="s">
        <v>1496</v>
      </c>
      <c r="D69" s="1499">
        <v>3.2730750289124311</v>
      </c>
      <c r="E69" s="1499">
        <v>2.9756129921194523</v>
      </c>
      <c r="F69" s="1499">
        <v>2.1159016363149177</v>
      </c>
      <c r="G69" s="1499">
        <v>2.0511102385407081</v>
      </c>
      <c r="H69" s="1499">
        <v>1.7230145250609279</v>
      </c>
      <c r="I69" s="1499">
        <v>4.145879077442471</v>
      </c>
      <c r="J69" s="1499">
        <v>3.7215227391317969</v>
      </c>
      <c r="K69" s="113">
        <v>1.6955795349787945</v>
      </c>
    </row>
    <row r="70" spans="2:11" x14ac:dyDescent="0.3">
      <c r="B70" s="115"/>
      <c r="C70" s="112" t="s">
        <v>1500</v>
      </c>
      <c r="D70" s="1499">
        <v>3.029649438108954</v>
      </c>
      <c r="E70" s="1499">
        <v>2.7321874013159748</v>
      </c>
      <c r="F70" s="1499">
        <v>1.8724760455114402</v>
      </c>
      <c r="G70" s="1499">
        <v>1.8076846477372306</v>
      </c>
      <c r="H70" s="1499">
        <v>1.4795889342574506</v>
      </c>
      <c r="I70" s="1499">
        <v>3.9024534866389939</v>
      </c>
      <c r="J70" s="1499">
        <v>3.4780971483283198</v>
      </c>
      <c r="K70" s="113">
        <v>1.4521539441753173</v>
      </c>
    </row>
    <row r="71" spans="2:11" x14ac:dyDescent="0.3">
      <c r="B71" s="115"/>
      <c r="C71" s="112" t="s">
        <v>1504</v>
      </c>
      <c r="D71" s="1499">
        <v>3.4022766206911998</v>
      </c>
      <c r="E71" s="1499">
        <v>3.0906982595057406</v>
      </c>
      <c r="F71" s="1499">
        <v>2.2360371363449403</v>
      </c>
      <c r="G71" s="1499">
        <v>2.1668311941262708</v>
      </c>
      <c r="H71" s="1499">
        <v>1.849681868355177</v>
      </c>
      <c r="I71" s="1499">
        <v>4.2633988682750577</v>
      </c>
      <c r="J71" s="1499">
        <v>3.8377467668513781</v>
      </c>
      <c r="K71" s="113">
        <v>1.820107178320604</v>
      </c>
    </row>
    <row r="72" spans="2:11" x14ac:dyDescent="0.3">
      <c r="B72" s="115"/>
      <c r="C72" s="112" t="s">
        <v>1508</v>
      </c>
      <c r="D72" s="1499">
        <v>3.2661572340592504</v>
      </c>
      <c r="E72" s="1499">
        <v>2.9545788728737916</v>
      </c>
      <c r="F72" s="1499">
        <v>2.0999177497129904</v>
      </c>
      <c r="G72" s="1499">
        <v>2.0307118074943213</v>
      </c>
      <c r="H72" s="1499">
        <v>1.7135624817232276</v>
      </c>
      <c r="I72" s="1499">
        <v>4.1272794816431082</v>
      </c>
      <c r="J72" s="1499">
        <v>3.7016273802194291</v>
      </c>
      <c r="K72" s="113">
        <v>1.6839877916886545</v>
      </c>
    </row>
    <row r="73" spans="2:11" x14ac:dyDescent="0.3">
      <c r="B73" s="115"/>
      <c r="C73" s="112" t="s">
        <v>1513</v>
      </c>
      <c r="D73" s="1499">
        <v>3.0619781541113267</v>
      </c>
      <c r="E73" s="1499">
        <v>2.7503997929258674</v>
      </c>
      <c r="F73" s="1499">
        <v>1.8957386697650664</v>
      </c>
      <c r="G73" s="1499">
        <v>1.8265327275463972</v>
      </c>
      <c r="H73" s="1499">
        <v>1.5093834017753036</v>
      </c>
      <c r="I73" s="1499">
        <v>3.923100401695184</v>
      </c>
      <c r="J73" s="1499">
        <v>3.4974483002715049</v>
      </c>
      <c r="K73" s="113">
        <v>1.4798087117407306</v>
      </c>
    </row>
    <row r="74" spans="2:11" x14ac:dyDescent="0.3">
      <c r="B74" s="115"/>
      <c r="C74" s="112" t="s">
        <v>1517</v>
      </c>
      <c r="D74" s="1499">
        <v>2.8577990741634021</v>
      </c>
      <c r="E74" s="1499">
        <v>2.5462207129779433</v>
      </c>
      <c r="F74" s="1499">
        <v>1.6915595898171425</v>
      </c>
      <c r="G74" s="1499">
        <v>1.622353647598473</v>
      </c>
      <c r="H74" s="1499">
        <v>1.3052043218273794</v>
      </c>
      <c r="I74" s="1499">
        <v>3.7189213217472594</v>
      </c>
      <c r="J74" s="1499">
        <v>3.2932692203235803</v>
      </c>
      <c r="K74" s="113">
        <v>1.2756296317928064</v>
      </c>
    </row>
    <row r="75" spans="2:11" ht="14.5" thickBot="1" x14ac:dyDescent="0.35">
      <c r="B75" s="1233"/>
      <c r="C75" s="116" t="s">
        <v>1519</v>
      </c>
      <c r="D75" s="117">
        <v>3.6787843469182264</v>
      </c>
      <c r="E75" s="117">
        <v>3.3813223101252476</v>
      </c>
      <c r="F75" s="117">
        <v>2.521610954320713</v>
      </c>
      <c r="G75" s="117">
        <v>2.4568195565465034</v>
      </c>
      <c r="H75" s="117">
        <v>2.1287238430667235</v>
      </c>
      <c r="I75" s="117">
        <v>4.5515883954482668</v>
      </c>
      <c r="J75" s="117">
        <v>4.1272320571375927</v>
      </c>
      <c r="K75" s="118">
        <v>2.1012888529845899</v>
      </c>
    </row>
    <row r="76" spans="2:11" x14ac:dyDescent="0.3">
      <c r="B76" s="119" t="s">
        <v>1983</v>
      </c>
      <c r="C76" s="108" t="s">
        <v>1416</v>
      </c>
      <c r="D76" s="109">
        <v>2.265827468525202</v>
      </c>
      <c r="E76" s="109">
        <v>1.8943297145082714</v>
      </c>
      <c r="F76" s="109">
        <v>1.1059381209328785</v>
      </c>
      <c r="G76" s="109">
        <v>1.0017063477493735</v>
      </c>
      <c r="H76" s="109">
        <v>0.70409876369785618</v>
      </c>
      <c r="I76" s="109">
        <v>3.0749457379573801</v>
      </c>
      <c r="J76" s="109">
        <v>2.6434858361853402</v>
      </c>
      <c r="K76" s="110">
        <v>0.66745586936936818</v>
      </c>
    </row>
    <row r="77" spans="2:11" x14ac:dyDescent="0.3">
      <c r="B77" s="111"/>
      <c r="C77" s="112" t="s">
        <v>1483</v>
      </c>
      <c r="D77" s="1499">
        <v>3.6556049013177305</v>
      </c>
      <c r="E77" s="1499">
        <v>3.3581428645247513</v>
      </c>
      <c r="F77" s="1499">
        <v>2.4984315087202167</v>
      </c>
      <c r="G77" s="1499">
        <v>2.4336401109460071</v>
      </c>
      <c r="H77" s="1499">
        <v>2.1055443974662267</v>
      </c>
      <c r="I77" s="1499">
        <v>4.52840894984777</v>
      </c>
      <c r="J77" s="1499">
        <v>4.1040526115370959</v>
      </c>
      <c r="K77" s="113">
        <v>2.0781094073840936</v>
      </c>
    </row>
    <row r="78" spans="2:11" x14ac:dyDescent="0.3">
      <c r="B78" s="111" t="s">
        <v>1982</v>
      </c>
      <c r="C78" s="112" t="s">
        <v>1489</v>
      </c>
      <c r="D78" s="1499">
        <v>3.4933211741154118</v>
      </c>
      <c r="E78" s="1499">
        <v>3.195859137322433</v>
      </c>
      <c r="F78" s="1499">
        <v>2.3361477815178979</v>
      </c>
      <c r="G78" s="1499">
        <v>2.2713563837436888</v>
      </c>
      <c r="H78" s="1499">
        <v>1.9432606702639088</v>
      </c>
      <c r="I78" s="1499">
        <v>4.3661252226454526</v>
      </c>
      <c r="J78" s="1499">
        <v>3.9417688843347776</v>
      </c>
      <c r="K78" s="113">
        <v>1.9158256801817755</v>
      </c>
    </row>
    <row r="79" spans="2:11" x14ac:dyDescent="0.3">
      <c r="B79" s="114">
        <v>0</v>
      </c>
      <c r="C79" s="112" t="s">
        <v>1496</v>
      </c>
      <c r="D79" s="1499">
        <v>3.2498955833119347</v>
      </c>
      <c r="E79" s="1499">
        <v>2.9524335465189555</v>
      </c>
      <c r="F79" s="1499">
        <v>2.0927221907144209</v>
      </c>
      <c r="G79" s="1499">
        <v>2.0279307929402113</v>
      </c>
      <c r="H79" s="1499">
        <v>1.6998350794604313</v>
      </c>
      <c r="I79" s="1499">
        <v>4.1226996318419742</v>
      </c>
      <c r="J79" s="1499">
        <v>3.6983432935313005</v>
      </c>
      <c r="K79" s="113">
        <v>1.6724000893782982</v>
      </c>
    </row>
    <row r="80" spans="2:11" x14ac:dyDescent="0.3">
      <c r="B80" s="115"/>
      <c r="C80" s="112" t="s">
        <v>1500</v>
      </c>
      <c r="D80" s="1499">
        <v>3.0064699925084577</v>
      </c>
      <c r="E80" s="1499">
        <v>2.7090079557154785</v>
      </c>
      <c r="F80" s="1499">
        <v>1.8492965999109436</v>
      </c>
      <c r="G80" s="1499">
        <v>1.784505202136734</v>
      </c>
      <c r="H80" s="1499">
        <v>1.4564094886569541</v>
      </c>
      <c r="I80" s="1499">
        <v>3.8792740410384976</v>
      </c>
      <c r="J80" s="1499">
        <v>3.4549177027278235</v>
      </c>
      <c r="K80" s="113">
        <v>1.4289744985748207</v>
      </c>
    </row>
    <row r="81" spans="2:11" x14ac:dyDescent="0.3">
      <c r="B81" s="115"/>
      <c r="C81" s="112" t="s">
        <v>1504</v>
      </c>
      <c r="D81" s="1499">
        <v>3.3790971750907035</v>
      </c>
      <c r="E81" s="1499">
        <v>3.0675188139052447</v>
      </c>
      <c r="F81" s="1499">
        <v>2.2128576907444435</v>
      </c>
      <c r="G81" s="1499">
        <v>2.1436517485257744</v>
      </c>
      <c r="H81" s="1499">
        <v>1.8265024227546807</v>
      </c>
      <c r="I81" s="1499">
        <v>4.2402194226745609</v>
      </c>
      <c r="J81" s="1499">
        <v>3.8145673212508822</v>
      </c>
      <c r="K81" s="113">
        <v>1.7969277327201074</v>
      </c>
    </row>
    <row r="82" spans="2:11" x14ac:dyDescent="0.3">
      <c r="B82" s="115"/>
      <c r="C82" s="112" t="s">
        <v>1508</v>
      </c>
      <c r="D82" s="1499">
        <v>3.2429777884587536</v>
      </c>
      <c r="E82" s="1499">
        <v>2.9313994272732948</v>
      </c>
      <c r="F82" s="1499">
        <v>2.076738304112494</v>
      </c>
      <c r="G82" s="1499">
        <v>2.007532361893825</v>
      </c>
      <c r="H82" s="1499">
        <v>1.6903830361227314</v>
      </c>
      <c r="I82" s="1499">
        <v>4.1041000360426114</v>
      </c>
      <c r="J82" s="1499">
        <v>3.6784479346189323</v>
      </c>
      <c r="K82" s="113">
        <v>1.6608083460881582</v>
      </c>
    </row>
    <row r="83" spans="2:11" x14ac:dyDescent="0.3">
      <c r="B83" s="115"/>
      <c r="C83" s="112" t="s">
        <v>1513</v>
      </c>
      <c r="D83" s="1499">
        <v>3.0387987085108299</v>
      </c>
      <c r="E83" s="1499">
        <v>2.7272203473253707</v>
      </c>
      <c r="F83" s="1499">
        <v>1.8725592241645701</v>
      </c>
      <c r="G83" s="1499">
        <v>1.8033532819459006</v>
      </c>
      <c r="H83" s="1499">
        <v>1.4862039561748073</v>
      </c>
      <c r="I83" s="1499">
        <v>3.8999209560946873</v>
      </c>
      <c r="J83" s="1499">
        <v>3.4742688546710081</v>
      </c>
      <c r="K83" s="113">
        <v>1.4566292661402342</v>
      </c>
    </row>
    <row r="84" spans="2:11" x14ac:dyDescent="0.3">
      <c r="B84" s="115"/>
      <c r="C84" s="112" t="s">
        <v>1517</v>
      </c>
      <c r="D84" s="1499">
        <v>2.8346196285629057</v>
      </c>
      <c r="E84" s="1499">
        <v>2.5230412673774465</v>
      </c>
      <c r="F84" s="1499">
        <v>1.6683801442166462</v>
      </c>
      <c r="G84" s="1499">
        <v>1.5991742019979764</v>
      </c>
      <c r="H84" s="1499">
        <v>1.2820248762268833</v>
      </c>
      <c r="I84" s="1499">
        <v>3.6957418761467635</v>
      </c>
      <c r="J84" s="1499">
        <v>3.2700897747230839</v>
      </c>
      <c r="K84" s="113">
        <v>1.2524501861923101</v>
      </c>
    </row>
    <row r="85" spans="2:11" ht="14.5" thickBot="1" x14ac:dyDescent="0.35">
      <c r="B85" s="1233"/>
      <c r="C85" s="116" t="s">
        <v>1519</v>
      </c>
      <c r="D85" s="117">
        <v>3.6556049013177305</v>
      </c>
      <c r="E85" s="117">
        <v>3.3581428645247513</v>
      </c>
      <c r="F85" s="117">
        <v>2.4984315087202167</v>
      </c>
      <c r="G85" s="117">
        <v>2.4336401109460071</v>
      </c>
      <c r="H85" s="117">
        <v>2.1055443974662267</v>
      </c>
      <c r="I85" s="117">
        <v>4.52840894984777</v>
      </c>
      <c r="J85" s="117">
        <v>4.1040526115370959</v>
      </c>
      <c r="K85" s="118">
        <v>2.0781094073840936</v>
      </c>
    </row>
    <row r="87" spans="2:11" ht="14.5" thickBot="1" x14ac:dyDescent="0.35"/>
    <row r="88" spans="2:11" ht="25.5" thickBot="1" x14ac:dyDescent="0.55000000000000004">
      <c r="B88" s="88" t="s">
        <v>1960</v>
      </c>
      <c r="C88" s="89"/>
      <c r="D88" s="90">
        <v>3</v>
      </c>
      <c r="E88" s="91" t="s">
        <v>1984</v>
      </c>
      <c r="F88" s="92"/>
      <c r="G88" s="92"/>
      <c r="H88" s="92"/>
      <c r="I88" s="93"/>
      <c r="J88" s="89" t="s">
        <v>176</v>
      </c>
      <c r="K88" s="94" t="s">
        <v>230</v>
      </c>
    </row>
    <row r="89" spans="2:11" ht="14.5" thickBot="1" x14ac:dyDescent="0.35">
      <c r="B89" s="95" t="s">
        <v>1962</v>
      </c>
      <c r="C89" s="96" t="s">
        <v>1963</v>
      </c>
      <c r="D89" s="95" t="s">
        <v>1964</v>
      </c>
      <c r="E89" s="97" t="s">
        <v>1965</v>
      </c>
      <c r="F89" s="97" t="s">
        <v>1966</v>
      </c>
      <c r="G89" s="97" t="s">
        <v>1967</v>
      </c>
      <c r="H89" s="97" t="s">
        <v>1968</v>
      </c>
      <c r="I89" s="97" t="s">
        <v>1969</v>
      </c>
      <c r="J89" s="97" t="s">
        <v>1970</v>
      </c>
      <c r="K89" s="98" t="s">
        <v>1971</v>
      </c>
    </row>
    <row r="90" spans="2:11" ht="14.5" thickBot="1" x14ac:dyDescent="0.35">
      <c r="B90" s="99"/>
      <c r="C90" s="99"/>
      <c r="D90" s="100"/>
      <c r="E90" s="944"/>
      <c r="F90" s="944"/>
      <c r="G90" s="944"/>
      <c r="H90" s="944"/>
      <c r="I90" s="944"/>
      <c r="J90" s="944"/>
      <c r="K90" s="102"/>
    </row>
    <row r="91" spans="2:11" ht="88" thickBot="1" x14ac:dyDescent="0.45">
      <c r="B91" s="103" t="s">
        <v>1972</v>
      </c>
      <c r="C91" s="103" t="s">
        <v>1973</v>
      </c>
      <c r="D91" s="105" t="s">
        <v>1974</v>
      </c>
      <c r="E91" s="105" t="s">
        <v>1525</v>
      </c>
      <c r="F91" s="105" t="s">
        <v>1527</v>
      </c>
      <c r="G91" s="105" t="s">
        <v>1975</v>
      </c>
      <c r="H91" s="105" t="s">
        <v>1976</v>
      </c>
      <c r="I91" s="105" t="s">
        <v>1445</v>
      </c>
      <c r="J91" s="105" t="s">
        <v>1538</v>
      </c>
      <c r="K91" s="106" t="s">
        <v>1541</v>
      </c>
    </row>
    <row r="92" spans="2:11" x14ac:dyDescent="0.3">
      <c r="B92" s="107" t="s">
        <v>1985</v>
      </c>
      <c r="C92" s="108" t="s">
        <v>1416</v>
      </c>
      <c r="D92" s="109">
        <v>2.1342644783655471</v>
      </c>
      <c r="E92" s="109">
        <v>1.7426329899688049</v>
      </c>
      <c r="F92" s="109">
        <v>0.99138788840760783</v>
      </c>
      <c r="G92" s="109">
        <v>0.87318094226361653</v>
      </c>
      <c r="H92" s="109">
        <v>0.61631171906925086</v>
      </c>
      <c r="I92" s="109">
        <v>2.9035535804726749</v>
      </c>
      <c r="J92" s="109">
        <v>2.4782389544862862</v>
      </c>
      <c r="K92" s="110">
        <v>0.5903226264649194</v>
      </c>
    </row>
    <row r="93" spans="2:11" x14ac:dyDescent="0.3">
      <c r="B93" s="111"/>
      <c r="C93" s="112" t="s">
        <v>1483</v>
      </c>
      <c r="D93" s="1499">
        <v>3.5166455897705426</v>
      </c>
      <c r="E93" s="1499">
        <v>3.1981026836587603</v>
      </c>
      <c r="F93" s="1499">
        <v>2.3577348697983225</v>
      </c>
      <c r="G93" s="1499">
        <v>2.284055243635378</v>
      </c>
      <c r="H93" s="1499">
        <v>1.9743507764472474</v>
      </c>
      <c r="I93" s="1499">
        <v>4.3546354381495291</v>
      </c>
      <c r="J93" s="1499">
        <v>3.935751079980172</v>
      </c>
      <c r="K93" s="113">
        <v>1.9449995591834086</v>
      </c>
    </row>
    <row r="94" spans="2:11" x14ac:dyDescent="0.3">
      <c r="B94" s="111" t="s">
        <v>1986</v>
      </c>
      <c r="C94" s="112" t="s">
        <v>1489</v>
      </c>
      <c r="D94" s="1499">
        <v>3.3543618625682248</v>
      </c>
      <c r="E94" s="1499">
        <v>3.0358189564564424</v>
      </c>
      <c r="F94" s="1499">
        <v>2.1954511425960046</v>
      </c>
      <c r="G94" s="1499">
        <v>2.1217715164330597</v>
      </c>
      <c r="H94" s="1499">
        <v>1.8120670492449293</v>
      </c>
      <c r="I94" s="1499">
        <v>4.1923517109472117</v>
      </c>
      <c r="J94" s="1499">
        <v>3.7734673527778542</v>
      </c>
      <c r="K94" s="113">
        <v>1.7827158319810905</v>
      </c>
    </row>
    <row r="95" spans="2:11" x14ac:dyDescent="0.3">
      <c r="B95" s="114">
        <v>0</v>
      </c>
      <c r="C95" s="112" t="s">
        <v>1496</v>
      </c>
      <c r="D95" s="1499">
        <v>3.1109362717647473</v>
      </c>
      <c r="E95" s="1499">
        <v>2.7923933656529649</v>
      </c>
      <c r="F95" s="1499">
        <v>1.9520255517925271</v>
      </c>
      <c r="G95" s="1499">
        <v>1.8783459256295825</v>
      </c>
      <c r="H95" s="1499">
        <v>1.5686414584414521</v>
      </c>
      <c r="I95" s="1499">
        <v>3.9489261201437342</v>
      </c>
      <c r="J95" s="1499">
        <v>3.5300417619743767</v>
      </c>
      <c r="K95" s="113">
        <v>1.539290241177613</v>
      </c>
    </row>
    <row r="96" spans="2:11" x14ac:dyDescent="0.3">
      <c r="B96" s="115"/>
      <c r="C96" s="112" t="s">
        <v>1500</v>
      </c>
      <c r="D96" s="1499">
        <v>2.8675106809612698</v>
      </c>
      <c r="E96" s="1499">
        <v>2.5489677748494879</v>
      </c>
      <c r="F96" s="1499">
        <v>1.7085999609890499</v>
      </c>
      <c r="G96" s="1499">
        <v>1.6349203348261052</v>
      </c>
      <c r="H96" s="1499">
        <v>1.3252158676379746</v>
      </c>
      <c r="I96" s="1499">
        <v>3.7055005293402568</v>
      </c>
      <c r="J96" s="1499">
        <v>3.2866161711708992</v>
      </c>
      <c r="K96" s="113">
        <v>1.2958646503741358</v>
      </c>
    </row>
    <row r="97" spans="2:11" x14ac:dyDescent="0.3">
      <c r="B97" s="115"/>
      <c r="C97" s="112" t="s">
        <v>1504</v>
      </c>
      <c r="D97" s="1499">
        <v>3.2424021660379387</v>
      </c>
      <c r="E97" s="1499">
        <v>2.9078598258286332</v>
      </c>
      <c r="F97" s="1499">
        <v>2.0824659986937517</v>
      </c>
      <c r="G97" s="1499">
        <v>2.0047355127447601</v>
      </c>
      <c r="H97" s="1499">
        <v>1.6927724547242899</v>
      </c>
      <c r="I97" s="1499">
        <v>4.0676967121689174</v>
      </c>
      <c r="J97" s="1499">
        <v>3.6453806597602507</v>
      </c>
      <c r="K97" s="113">
        <v>1.6611778414278044</v>
      </c>
    </row>
    <row r="98" spans="2:11" x14ac:dyDescent="0.3">
      <c r="B98" s="115"/>
      <c r="C98" s="112" t="s">
        <v>1508</v>
      </c>
      <c r="D98" s="1499">
        <v>3.1062827794059897</v>
      </c>
      <c r="E98" s="1499">
        <v>2.7717404391966842</v>
      </c>
      <c r="F98" s="1499">
        <v>1.9463466120618025</v>
      </c>
      <c r="G98" s="1499">
        <v>1.8686161261128107</v>
      </c>
      <c r="H98" s="1499">
        <v>1.5566530680923405</v>
      </c>
      <c r="I98" s="1499">
        <v>3.9315773255369679</v>
      </c>
      <c r="J98" s="1499">
        <v>3.5092612731283017</v>
      </c>
      <c r="K98" s="113">
        <v>1.5250584547958552</v>
      </c>
    </row>
    <row r="99" spans="2:11" x14ac:dyDescent="0.3">
      <c r="B99" s="115"/>
      <c r="C99" s="112" t="s">
        <v>1513</v>
      </c>
      <c r="D99" s="1499">
        <v>2.9021036994580656</v>
      </c>
      <c r="E99" s="1499">
        <v>2.5675613592487601</v>
      </c>
      <c r="F99" s="1499">
        <v>1.7421675321138783</v>
      </c>
      <c r="G99" s="1499">
        <v>1.6644370461648867</v>
      </c>
      <c r="H99" s="1499">
        <v>1.3524739881444166</v>
      </c>
      <c r="I99" s="1499">
        <v>3.7273982455890438</v>
      </c>
      <c r="J99" s="1499">
        <v>3.3050821931803775</v>
      </c>
      <c r="K99" s="113">
        <v>1.3208793748479313</v>
      </c>
    </row>
    <row r="100" spans="2:11" x14ac:dyDescent="0.3">
      <c r="B100" s="115"/>
      <c r="C100" s="112" t="s">
        <v>1517</v>
      </c>
      <c r="D100" s="1499">
        <v>2.6979246195101414</v>
      </c>
      <c r="E100" s="1499">
        <v>2.3633822793008359</v>
      </c>
      <c r="F100" s="1499">
        <v>1.5379884521659544</v>
      </c>
      <c r="G100" s="1499">
        <v>1.4602579662169626</v>
      </c>
      <c r="H100" s="1499">
        <v>1.1482949081964922</v>
      </c>
      <c r="I100" s="1499">
        <v>3.5232191656411196</v>
      </c>
      <c r="J100" s="1499">
        <v>3.1009031132324534</v>
      </c>
      <c r="K100" s="113">
        <v>1.1167002949000071</v>
      </c>
    </row>
    <row r="101" spans="2:11" ht="14.5" thickBot="1" x14ac:dyDescent="0.35">
      <c r="B101" s="115"/>
      <c r="C101" s="116" t="s">
        <v>1519</v>
      </c>
      <c r="D101" s="117">
        <v>3.5166455897705426</v>
      </c>
      <c r="E101" s="117">
        <v>3.1981026836587603</v>
      </c>
      <c r="F101" s="117">
        <v>2.3577348697983225</v>
      </c>
      <c r="G101" s="117">
        <v>2.284055243635378</v>
      </c>
      <c r="H101" s="117">
        <v>1.9743507764472474</v>
      </c>
      <c r="I101" s="117">
        <v>4.3546354381495291</v>
      </c>
      <c r="J101" s="117">
        <v>3.935751079980172</v>
      </c>
      <c r="K101" s="118">
        <v>1.9449995591834086</v>
      </c>
    </row>
    <row r="102" spans="2:11" x14ac:dyDescent="0.3">
      <c r="B102" s="120" t="s">
        <v>1985</v>
      </c>
      <c r="C102" s="1234" t="s">
        <v>1416</v>
      </c>
      <c r="D102" s="109">
        <v>2.128508360681479</v>
      </c>
      <c r="E102" s="109">
        <v>1.7368768722847368</v>
      </c>
      <c r="F102" s="109">
        <v>0.9856317707235398</v>
      </c>
      <c r="G102" s="109">
        <v>0.8674248245795485</v>
      </c>
      <c r="H102" s="109">
        <v>0.61055560138518283</v>
      </c>
      <c r="I102" s="109">
        <v>2.8977974627886067</v>
      </c>
      <c r="J102" s="109">
        <v>2.472482836802218</v>
      </c>
      <c r="K102" s="110">
        <v>0.58456650878085126</v>
      </c>
    </row>
    <row r="103" spans="2:11" x14ac:dyDescent="0.3">
      <c r="B103" s="121"/>
      <c r="C103" s="1500" t="s">
        <v>1483</v>
      </c>
      <c r="D103" s="1499">
        <v>3.5108894720864745</v>
      </c>
      <c r="E103" s="1499">
        <v>3.1923465659746921</v>
      </c>
      <c r="F103" s="1499">
        <v>2.3519787521142543</v>
      </c>
      <c r="G103" s="1499">
        <v>2.2782991259513099</v>
      </c>
      <c r="H103" s="1499">
        <v>1.9685946587631795</v>
      </c>
      <c r="I103" s="1499">
        <v>4.3488793204654614</v>
      </c>
      <c r="J103" s="1499">
        <v>3.9299949622961039</v>
      </c>
      <c r="K103" s="113">
        <v>1.9392434414993407</v>
      </c>
    </row>
    <row r="104" spans="2:11" x14ac:dyDescent="0.3">
      <c r="B104" s="111" t="s">
        <v>1987</v>
      </c>
      <c r="C104" s="1500" t="s">
        <v>1489</v>
      </c>
      <c r="D104" s="1499">
        <v>3.3486057448841566</v>
      </c>
      <c r="E104" s="1499">
        <v>3.0300628387723743</v>
      </c>
      <c r="F104" s="1499">
        <v>2.1896950249119365</v>
      </c>
      <c r="G104" s="1499">
        <v>2.1160153987489916</v>
      </c>
      <c r="H104" s="1499">
        <v>1.8063109315608612</v>
      </c>
      <c r="I104" s="1499">
        <v>4.1865955932631431</v>
      </c>
      <c r="J104" s="1499">
        <v>3.767711235093786</v>
      </c>
      <c r="K104" s="113">
        <v>1.7769597142970224</v>
      </c>
    </row>
    <row r="105" spans="2:11" x14ac:dyDescent="0.3">
      <c r="B105" s="122">
        <v>0</v>
      </c>
      <c r="C105" s="1500" t="s">
        <v>1496</v>
      </c>
      <c r="D105" s="1499">
        <v>3.1051801540806792</v>
      </c>
      <c r="E105" s="1499">
        <v>2.7866372479688968</v>
      </c>
      <c r="F105" s="1499">
        <v>1.946269434108459</v>
      </c>
      <c r="G105" s="1499">
        <v>1.8725898079455143</v>
      </c>
      <c r="H105" s="1499">
        <v>1.5628853407573839</v>
      </c>
      <c r="I105" s="1499">
        <v>3.9431700024596661</v>
      </c>
      <c r="J105" s="1499">
        <v>3.5242856442903086</v>
      </c>
      <c r="K105" s="113">
        <v>1.5335341234935449</v>
      </c>
    </row>
    <row r="106" spans="2:11" x14ac:dyDescent="0.3">
      <c r="B106" s="123"/>
      <c r="C106" s="1500" t="s">
        <v>1500</v>
      </c>
      <c r="D106" s="1499">
        <v>2.8617545632772017</v>
      </c>
      <c r="E106" s="1499">
        <v>2.5432116571654193</v>
      </c>
      <c r="F106" s="1499">
        <v>1.7028438433049817</v>
      </c>
      <c r="G106" s="1499">
        <v>1.6291642171420369</v>
      </c>
      <c r="H106" s="1499">
        <v>1.3194597499539067</v>
      </c>
      <c r="I106" s="1499">
        <v>3.6997444116561886</v>
      </c>
      <c r="J106" s="1499">
        <v>3.2808600534868311</v>
      </c>
      <c r="K106" s="113">
        <v>1.2901085326900679</v>
      </c>
    </row>
    <row r="107" spans="2:11" x14ac:dyDescent="0.3">
      <c r="B107" s="123"/>
      <c r="C107" s="1500" t="s">
        <v>1504</v>
      </c>
      <c r="D107" s="1499">
        <v>3.2366460483538706</v>
      </c>
      <c r="E107" s="1499">
        <v>2.9021037081445651</v>
      </c>
      <c r="F107" s="1499">
        <v>2.0767098810096836</v>
      </c>
      <c r="G107" s="1499">
        <v>1.998979395060692</v>
      </c>
      <c r="H107" s="1499">
        <v>1.6870163370402218</v>
      </c>
      <c r="I107" s="1499">
        <v>4.0619405944848488</v>
      </c>
      <c r="J107" s="1499">
        <v>3.6396245420761826</v>
      </c>
      <c r="K107" s="113">
        <v>1.6554217237437365</v>
      </c>
    </row>
    <row r="108" spans="2:11" x14ac:dyDescent="0.3">
      <c r="B108" s="123"/>
      <c r="C108" s="1500" t="s">
        <v>1508</v>
      </c>
      <c r="D108" s="1499">
        <v>3.1005266617219216</v>
      </c>
      <c r="E108" s="1499">
        <v>2.7659843215126161</v>
      </c>
      <c r="F108" s="1499">
        <v>1.9405904943777343</v>
      </c>
      <c r="G108" s="1499">
        <v>1.8628600084287426</v>
      </c>
      <c r="H108" s="1499">
        <v>1.5508969504082724</v>
      </c>
      <c r="I108" s="1499">
        <v>3.9258212078528998</v>
      </c>
      <c r="J108" s="1499">
        <v>3.5035051554442336</v>
      </c>
      <c r="K108" s="113">
        <v>1.5193023371117871</v>
      </c>
    </row>
    <row r="109" spans="2:11" x14ac:dyDescent="0.3">
      <c r="B109" s="123"/>
      <c r="C109" s="1500" t="s">
        <v>1513</v>
      </c>
      <c r="D109" s="1499">
        <v>2.8963475817739974</v>
      </c>
      <c r="E109" s="1499">
        <v>2.5618052415646919</v>
      </c>
      <c r="F109" s="1499">
        <v>1.7364114144298102</v>
      </c>
      <c r="G109" s="1499">
        <v>1.6586809284808184</v>
      </c>
      <c r="H109" s="1499">
        <v>1.3467178704603484</v>
      </c>
      <c r="I109" s="1499">
        <v>3.7216421279049756</v>
      </c>
      <c r="J109" s="1499">
        <v>3.2993260754963094</v>
      </c>
      <c r="K109" s="113">
        <v>1.3151232571638629</v>
      </c>
    </row>
    <row r="110" spans="2:11" x14ac:dyDescent="0.3">
      <c r="B110" s="123"/>
      <c r="C110" s="1500" t="s">
        <v>1517</v>
      </c>
      <c r="D110" s="1499">
        <v>2.6921685018260733</v>
      </c>
      <c r="E110" s="1499">
        <v>2.3576261616167677</v>
      </c>
      <c r="F110" s="1499">
        <v>1.532232334481886</v>
      </c>
      <c r="G110" s="1499">
        <v>1.4545018485328944</v>
      </c>
      <c r="H110" s="1499">
        <v>1.1425387905124242</v>
      </c>
      <c r="I110" s="1499">
        <v>3.5174630479570514</v>
      </c>
      <c r="J110" s="1499">
        <v>3.0951469955483852</v>
      </c>
      <c r="K110" s="113">
        <v>1.110944177215939</v>
      </c>
    </row>
    <row r="111" spans="2:11" ht="14.5" thickBot="1" x14ac:dyDescent="0.35">
      <c r="B111" s="124"/>
      <c r="C111" s="125" t="s">
        <v>1519</v>
      </c>
      <c r="D111" s="117">
        <v>3.5108894720864745</v>
      </c>
      <c r="E111" s="117">
        <v>3.1923465659746921</v>
      </c>
      <c r="F111" s="117">
        <v>2.3519787521142543</v>
      </c>
      <c r="G111" s="117">
        <v>2.2782991259513099</v>
      </c>
      <c r="H111" s="117">
        <v>1.9685946587631795</v>
      </c>
      <c r="I111" s="117">
        <v>4.3488793204654614</v>
      </c>
      <c r="J111" s="117">
        <v>3.9299949622961039</v>
      </c>
      <c r="K111" s="118">
        <v>1.9392434414993407</v>
      </c>
    </row>
    <row r="112" spans="2:11" x14ac:dyDescent="0.3">
      <c r="B112" s="119" t="s">
        <v>1985</v>
      </c>
      <c r="C112" s="108" t="s">
        <v>1416</v>
      </c>
      <c r="D112" s="109">
        <v>2.119874184155377</v>
      </c>
      <c r="E112" s="109">
        <v>1.7282426957586345</v>
      </c>
      <c r="F112" s="109">
        <v>0.97699759419743759</v>
      </c>
      <c r="G112" s="109">
        <v>0.8587906480534464</v>
      </c>
      <c r="H112" s="109">
        <v>0.60192142485908073</v>
      </c>
      <c r="I112" s="109">
        <v>2.8891632862625047</v>
      </c>
      <c r="J112" s="109">
        <v>2.463848660276116</v>
      </c>
      <c r="K112" s="110">
        <v>0.57593233225474916</v>
      </c>
    </row>
    <row r="113" spans="2:11" x14ac:dyDescent="0.3">
      <c r="B113" s="111"/>
      <c r="C113" s="112" t="s">
        <v>1483</v>
      </c>
      <c r="D113" s="1499">
        <v>3.5022552955603725</v>
      </c>
      <c r="E113" s="1499">
        <v>3.1837123894485901</v>
      </c>
      <c r="F113" s="1499">
        <v>2.3433445755881523</v>
      </c>
      <c r="G113" s="1499">
        <v>2.2696649494252075</v>
      </c>
      <c r="H113" s="1499">
        <v>1.9599604822370773</v>
      </c>
      <c r="I113" s="1499">
        <v>4.3402451439393586</v>
      </c>
      <c r="J113" s="1499">
        <v>3.9213607857700019</v>
      </c>
      <c r="K113" s="113">
        <v>1.9306092649732383</v>
      </c>
    </row>
    <row r="114" spans="2:11" ht="14.5" thickBot="1" x14ac:dyDescent="0.35">
      <c r="B114" s="111" t="s">
        <v>1988</v>
      </c>
      <c r="C114" s="112" t="s">
        <v>1489</v>
      </c>
      <c r="D114" s="1499">
        <v>3.3399715683580546</v>
      </c>
      <c r="E114" s="1499">
        <v>3.0214286622462723</v>
      </c>
      <c r="F114" s="1501">
        <v>2.1810608483858345</v>
      </c>
      <c r="G114" s="1499">
        <v>2.1073812222228891</v>
      </c>
      <c r="H114" s="1499">
        <v>1.797676755034759</v>
      </c>
      <c r="I114" s="1499">
        <v>4.1779614167370411</v>
      </c>
      <c r="J114" s="1499">
        <v>3.759077058567684</v>
      </c>
      <c r="K114" s="113">
        <v>1.7683255377709199</v>
      </c>
    </row>
    <row r="115" spans="2:11" ht="14.5" thickBot="1" x14ac:dyDescent="0.35">
      <c r="B115" s="114">
        <v>0</v>
      </c>
      <c r="C115" s="112" t="s">
        <v>1496</v>
      </c>
      <c r="D115" s="1499">
        <v>3.0965459775545772</v>
      </c>
      <c r="E115" s="1502">
        <v>2.7780030714427948</v>
      </c>
      <c r="F115" s="126">
        <v>1.937635257582357</v>
      </c>
      <c r="G115" s="1503">
        <v>1.8639556314194123</v>
      </c>
      <c r="H115" s="1499">
        <v>1.554251164231282</v>
      </c>
      <c r="I115" s="1499">
        <v>3.9345358259335641</v>
      </c>
      <c r="J115" s="1499">
        <v>3.5156514677642066</v>
      </c>
      <c r="K115" s="113">
        <v>1.5248999469674429</v>
      </c>
    </row>
    <row r="116" spans="2:11" x14ac:dyDescent="0.3">
      <c r="B116" s="115"/>
      <c r="C116" s="112" t="s">
        <v>1500</v>
      </c>
      <c r="D116" s="1499">
        <v>2.8531203867510997</v>
      </c>
      <c r="E116" s="1499">
        <v>2.5345774806393173</v>
      </c>
      <c r="F116" s="127">
        <v>1.6942096667788795</v>
      </c>
      <c r="G116" s="1499">
        <v>1.6205300406159349</v>
      </c>
      <c r="H116" s="1499">
        <v>1.3108255734278045</v>
      </c>
      <c r="I116" s="1499">
        <v>3.6911102351300866</v>
      </c>
      <c r="J116" s="1499">
        <v>3.2722258769607291</v>
      </c>
      <c r="K116" s="113">
        <v>1.2814743561639654</v>
      </c>
    </row>
    <row r="117" spans="2:11" x14ac:dyDescent="0.3">
      <c r="B117" s="115"/>
      <c r="C117" s="112" t="s">
        <v>1504</v>
      </c>
      <c r="D117" s="1499">
        <v>3.2280118718277686</v>
      </c>
      <c r="E117" s="1499">
        <v>2.8934695316184631</v>
      </c>
      <c r="F117" s="1499">
        <v>2.0680757044835816</v>
      </c>
      <c r="G117" s="1499">
        <v>1.9903452185345898</v>
      </c>
      <c r="H117" s="1499">
        <v>1.6783821605141196</v>
      </c>
      <c r="I117" s="1499">
        <v>4.0533064179587468</v>
      </c>
      <c r="J117" s="1499">
        <v>3.6309903655500806</v>
      </c>
      <c r="K117" s="113">
        <v>1.6467875472176343</v>
      </c>
    </row>
    <row r="118" spans="2:11" x14ac:dyDescent="0.3">
      <c r="B118" s="115"/>
      <c r="C118" s="112" t="s">
        <v>1508</v>
      </c>
      <c r="D118" s="1499">
        <v>3.0918924851958196</v>
      </c>
      <c r="E118" s="1499">
        <v>2.7573501449865137</v>
      </c>
      <c r="F118" s="1499">
        <v>1.9319563178516319</v>
      </c>
      <c r="G118" s="1499">
        <v>1.8542258319026403</v>
      </c>
      <c r="H118" s="1499">
        <v>1.5422627738821701</v>
      </c>
      <c r="I118" s="1499">
        <v>3.9171870313267974</v>
      </c>
      <c r="J118" s="1499">
        <v>3.4948709789181316</v>
      </c>
      <c r="K118" s="113">
        <v>1.5106681605856849</v>
      </c>
    </row>
    <row r="119" spans="2:11" x14ac:dyDescent="0.3">
      <c r="B119" s="115"/>
      <c r="C119" s="112" t="s">
        <v>1513</v>
      </c>
      <c r="D119" s="1499">
        <v>2.8877134052478954</v>
      </c>
      <c r="E119" s="1499">
        <v>2.5531710650385899</v>
      </c>
      <c r="F119" s="1499">
        <v>1.727777237903708</v>
      </c>
      <c r="G119" s="1499">
        <v>1.6500467519547162</v>
      </c>
      <c r="H119" s="1499">
        <v>1.338083693934246</v>
      </c>
      <c r="I119" s="1499">
        <v>3.7130079513788736</v>
      </c>
      <c r="J119" s="1499">
        <v>3.2906918989702074</v>
      </c>
      <c r="K119" s="113">
        <v>1.3064890806377607</v>
      </c>
    </row>
    <row r="120" spans="2:11" x14ac:dyDescent="0.3">
      <c r="B120" s="115"/>
      <c r="C120" s="112" t="s">
        <v>1517</v>
      </c>
      <c r="D120" s="1499">
        <v>2.6835343252999713</v>
      </c>
      <c r="E120" s="1499">
        <v>2.3489919850906658</v>
      </c>
      <c r="F120" s="1499">
        <v>1.5235981579557838</v>
      </c>
      <c r="G120" s="1499">
        <v>1.4458676720067922</v>
      </c>
      <c r="H120" s="1499">
        <v>1.133904613986322</v>
      </c>
      <c r="I120" s="1499">
        <v>3.5088288714309495</v>
      </c>
      <c r="J120" s="1499">
        <v>3.0865128190222832</v>
      </c>
      <c r="K120" s="113">
        <v>1.1023100006898368</v>
      </c>
    </row>
    <row r="121" spans="2:11" ht="14.5" thickBot="1" x14ac:dyDescent="0.35">
      <c r="B121" s="1233"/>
      <c r="C121" s="116" t="s">
        <v>1519</v>
      </c>
      <c r="D121" s="117">
        <v>3.5022552955603725</v>
      </c>
      <c r="E121" s="117">
        <v>3.1837123894485901</v>
      </c>
      <c r="F121" s="117">
        <v>2.3433445755881523</v>
      </c>
      <c r="G121" s="117">
        <v>2.2696649494252075</v>
      </c>
      <c r="H121" s="117">
        <v>1.9599604822370773</v>
      </c>
      <c r="I121" s="117">
        <v>4.3402451439393586</v>
      </c>
      <c r="J121" s="117">
        <v>3.9213607857700019</v>
      </c>
      <c r="K121" s="118">
        <v>1.9306092649732383</v>
      </c>
    </row>
    <row r="122" spans="2:11" x14ac:dyDescent="0.3">
      <c r="B122" s="107" t="s">
        <v>1985</v>
      </c>
      <c r="C122" s="108" t="s">
        <v>1416</v>
      </c>
      <c r="D122" s="109">
        <v>2.1112400076292746</v>
      </c>
      <c r="E122" s="109">
        <v>1.7196085192325323</v>
      </c>
      <c r="F122" s="109">
        <v>0.96836341767133549</v>
      </c>
      <c r="G122" s="109">
        <v>0.85015647152734419</v>
      </c>
      <c r="H122" s="109">
        <v>0.59328724833297852</v>
      </c>
      <c r="I122" s="109">
        <v>2.8805291097364019</v>
      </c>
      <c r="J122" s="109">
        <v>2.4552144837500136</v>
      </c>
      <c r="K122" s="110">
        <v>0.56729815572864695</v>
      </c>
    </row>
    <row r="123" spans="2:11" x14ac:dyDescent="0.3">
      <c r="B123" s="111"/>
      <c r="C123" s="112" t="s">
        <v>1483</v>
      </c>
      <c r="D123" s="1499">
        <v>3.4936211190342705</v>
      </c>
      <c r="E123" s="1499">
        <v>3.1750782129224882</v>
      </c>
      <c r="F123" s="1499">
        <v>2.3347103990620504</v>
      </c>
      <c r="G123" s="1499">
        <v>2.2610307728991055</v>
      </c>
      <c r="H123" s="1499">
        <v>1.9513263057109751</v>
      </c>
      <c r="I123" s="1499">
        <v>4.3316109674132566</v>
      </c>
      <c r="J123" s="1499">
        <v>3.9127266092438999</v>
      </c>
      <c r="K123" s="113">
        <v>1.921975088447136</v>
      </c>
    </row>
    <row r="124" spans="2:11" x14ac:dyDescent="0.3">
      <c r="B124" s="111" t="s">
        <v>1989</v>
      </c>
      <c r="C124" s="112" t="s">
        <v>1489</v>
      </c>
      <c r="D124" s="1499">
        <v>3.3313373918319518</v>
      </c>
      <c r="E124" s="1499">
        <v>3.0127944857201698</v>
      </c>
      <c r="F124" s="1499">
        <v>2.172426671859732</v>
      </c>
      <c r="G124" s="1499">
        <v>2.0987470456967872</v>
      </c>
      <c r="H124" s="1499">
        <v>1.789042578508657</v>
      </c>
      <c r="I124" s="1499">
        <v>4.1693272402109391</v>
      </c>
      <c r="J124" s="1499">
        <v>3.7504428820415812</v>
      </c>
      <c r="K124" s="113">
        <v>1.759691361244818</v>
      </c>
    </row>
    <row r="125" spans="2:11" x14ac:dyDescent="0.3">
      <c r="B125" s="114">
        <v>0</v>
      </c>
      <c r="C125" s="112" t="s">
        <v>1496</v>
      </c>
      <c r="D125" s="1499">
        <v>3.0879118010284747</v>
      </c>
      <c r="E125" s="1499">
        <v>2.7693688949166924</v>
      </c>
      <c r="F125" s="1499">
        <v>1.9290010810562548</v>
      </c>
      <c r="G125" s="1499">
        <v>1.8553214548933099</v>
      </c>
      <c r="H125" s="1499">
        <v>1.5456169877051795</v>
      </c>
      <c r="I125" s="1499">
        <v>3.9259016494074612</v>
      </c>
      <c r="J125" s="1499">
        <v>3.5070172912381041</v>
      </c>
      <c r="K125" s="113">
        <v>1.5162657704413407</v>
      </c>
    </row>
    <row r="126" spans="2:11" x14ac:dyDescent="0.3">
      <c r="B126" s="115"/>
      <c r="C126" s="112" t="s">
        <v>1500</v>
      </c>
      <c r="D126" s="1499">
        <v>2.8444862102249977</v>
      </c>
      <c r="E126" s="1499">
        <v>2.5259433041132153</v>
      </c>
      <c r="F126" s="1499">
        <v>1.6855754902527773</v>
      </c>
      <c r="G126" s="1499">
        <v>1.6118958640898327</v>
      </c>
      <c r="H126" s="1499">
        <v>1.3021913969017023</v>
      </c>
      <c r="I126" s="1499">
        <v>3.6824760586039846</v>
      </c>
      <c r="J126" s="1499">
        <v>3.2635917004346271</v>
      </c>
      <c r="K126" s="113">
        <v>1.2728401796378632</v>
      </c>
    </row>
    <row r="127" spans="2:11" x14ac:dyDescent="0.3">
      <c r="B127" s="115"/>
      <c r="C127" s="112" t="s">
        <v>1504</v>
      </c>
      <c r="D127" s="1499">
        <v>3.2193776953016666</v>
      </c>
      <c r="E127" s="1499">
        <v>2.8848353550923611</v>
      </c>
      <c r="F127" s="1499">
        <v>2.0594415279574796</v>
      </c>
      <c r="G127" s="1499">
        <v>1.9817110420084876</v>
      </c>
      <c r="H127" s="1499">
        <v>1.6697479839880176</v>
      </c>
      <c r="I127" s="1499">
        <v>4.0446722414326448</v>
      </c>
      <c r="J127" s="1499">
        <v>3.6223561890239786</v>
      </c>
      <c r="K127" s="113">
        <v>1.6381533706915321</v>
      </c>
    </row>
    <row r="128" spans="2:11" x14ac:dyDescent="0.3">
      <c r="B128" s="115"/>
      <c r="C128" s="112" t="s">
        <v>1508</v>
      </c>
      <c r="D128" s="1499">
        <v>3.0832583086697172</v>
      </c>
      <c r="E128" s="1499">
        <v>2.7487159684604112</v>
      </c>
      <c r="F128" s="1499">
        <v>1.9233221413255299</v>
      </c>
      <c r="G128" s="1499">
        <v>1.8455916553765381</v>
      </c>
      <c r="H128" s="1499">
        <v>1.5336285973560682</v>
      </c>
      <c r="I128" s="1499">
        <v>3.9085528548006949</v>
      </c>
      <c r="J128" s="1499">
        <v>3.4862368023920292</v>
      </c>
      <c r="K128" s="113">
        <v>1.5020339840595827</v>
      </c>
    </row>
    <row r="129" spans="2:11" x14ac:dyDescent="0.3">
      <c r="B129" s="115"/>
      <c r="C129" s="112" t="s">
        <v>1513</v>
      </c>
      <c r="D129" s="1499">
        <v>2.879079228721793</v>
      </c>
      <c r="E129" s="1499">
        <v>2.5445368885124875</v>
      </c>
      <c r="F129" s="1499">
        <v>1.7191430613776058</v>
      </c>
      <c r="G129" s="1499">
        <v>1.6414125754286142</v>
      </c>
      <c r="H129" s="1499">
        <v>1.329449517408144</v>
      </c>
      <c r="I129" s="1499">
        <v>3.7043737748527712</v>
      </c>
      <c r="J129" s="1499">
        <v>3.282057722444105</v>
      </c>
      <c r="K129" s="113">
        <v>1.2978549041116587</v>
      </c>
    </row>
    <row r="130" spans="2:11" x14ac:dyDescent="0.3">
      <c r="B130" s="115"/>
      <c r="C130" s="112" t="s">
        <v>1517</v>
      </c>
      <c r="D130" s="1499">
        <v>2.6749001487738688</v>
      </c>
      <c r="E130" s="1499">
        <v>2.3403578085645633</v>
      </c>
      <c r="F130" s="1499">
        <v>1.5149639814296816</v>
      </c>
      <c r="G130" s="1499">
        <v>1.4372334954806898</v>
      </c>
      <c r="H130" s="1499">
        <v>1.12527043746022</v>
      </c>
      <c r="I130" s="1499">
        <v>3.500194694904847</v>
      </c>
      <c r="J130" s="1499">
        <v>3.0778786424961808</v>
      </c>
      <c r="K130" s="113">
        <v>1.0936758241637343</v>
      </c>
    </row>
    <row r="131" spans="2:11" ht="14.5" thickBot="1" x14ac:dyDescent="0.35">
      <c r="B131" s="1233"/>
      <c r="C131" s="116" t="s">
        <v>1519</v>
      </c>
      <c r="D131" s="117">
        <v>3.4936211190342705</v>
      </c>
      <c r="E131" s="117">
        <v>3.1750782129224882</v>
      </c>
      <c r="F131" s="117">
        <v>2.3347103990620504</v>
      </c>
      <c r="G131" s="117">
        <v>2.2610307728991055</v>
      </c>
      <c r="H131" s="117">
        <v>1.9513263057109751</v>
      </c>
      <c r="I131" s="117">
        <v>4.3316109674132566</v>
      </c>
      <c r="J131" s="117">
        <v>3.9127266092438999</v>
      </c>
      <c r="K131" s="118">
        <v>1.921975088447136</v>
      </c>
    </row>
    <row r="132" spans="2:11" x14ac:dyDescent="0.3">
      <c r="B132" s="120" t="s">
        <v>1990</v>
      </c>
      <c r="C132" s="108" t="s">
        <v>1416</v>
      </c>
      <c r="D132" s="109">
        <v>2.1226477537159556</v>
      </c>
      <c r="E132" s="109">
        <v>1.7306927566086554</v>
      </c>
      <c r="F132" s="109">
        <v>0.980709413407307</v>
      </c>
      <c r="G132" s="109">
        <v>0.86178206669381507</v>
      </c>
      <c r="H132" s="109">
        <v>0.60837377587095032</v>
      </c>
      <c r="I132" s="109">
        <v>2.8916227756661903</v>
      </c>
      <c r="J132" s="109">
        <v>2.4662551599393665</v>
      </c>
      <c r="K132" s="110">
        <v>0.58231663058595418</v>
      </c>
    </row>
    <row r="133" spans="2:11" x14ac:dyDescent="0.3">
      <c r="B133" s="111"/>
      <c r="C133" s="112" t="s">
        <v>1483</v>
      </c>
      <c r="D133" s="1499">
        <v>3.5050879076521468</v>
      </c>
      <c r="E133" s="1499">
        <v>3.1867663512949456</v>
      </c>
      <c r="F133" s="1499">
        <v>2.3461433312141069</v>
      </c>
      <c r="G133" s="1499">
        <v>2.2732686627067937</v>
      </c>
      <c r="H133" s="1499">
        <v>1.9633252737539018</v>
      </c>
      <c r="I133" s="1499">
        <v>4.3433355822781881</v>
      </c>
      <c r="J133" s="1499">
        <v>3.9242870227578566</v>
      </c>
      <c r="K133" s="113">
        <v>1.9340059497937738</v>
      </c>
    </row>
    <row r="134" spans="2:11" x14ac:dyDescent="0.3">
      <c r="B134" s="111" t="s">
        <v>1986</v>
      </c>
      <c r="C134" s="112" t="s">
        <v>1489</v>
      </c>
      <c r="D134" s="1499">
        <v>3.342804180449829</v>
      </c>
      <c r="E134" s="1499">
        <v>3.0244826240926272</v>
      </c>
      <c r="F134" s="1499">
        <v>2.183859604011789</v>
      </c>
      <c r="G134" s="1499">
        <v>2.1109849355044754</v>
      </c>
      <c r="H134" s="1499">
        <v>1.8010415465515839</v>
      </c>
      <c r="I134" s="1499">
        <v>4.1810518550758706</v>
      </c>
      <c r="J134" s="1499">
        <v>3.7620032955555387</v>
      </c>
      <c r="K134" s="113">
        <v>1.7717222225914557</v>
      </c>
    </row>
    <row r="135" spans="2:11" x14ac:dyDescent="0.3">
      <c r="B135" s="114">
        <v>0</v>
      </c>
      <c r="C135" s="112" t="s">
        <v>1496</v>
      </c>
      <c r="D135" s="1499">
        <v>3.0993785896463515</v>
      </c>
      <c r="E135" s="1499">
        <v>2.7810570332891498</v>
      </c>
      <c r="F135" s="1499">
        <v>1.9404340132083115</v>
      </c>
      <c r="G135" s="1499">
        <v>1.8675593447009982</v>
      </c>
      <c r="H135" s="1499">
        <v>1.5576159557481064</v>
      </c>
      <c r="I135" s="1499">
        <v>3.9376262642723932</v>
      </c>
      <c r="J135" s="1499">
        <v>3.5185777047520612</v>
      </c>
      <c r="K135" s="113">
        <v>1.5282966317879785</v>
      </c>
    </row>
    <row r="136" spans="2:11" x14ac:dyDescent="0.3">
      <c r="B136" s="115"/>
      <c r="C136" s="112" t="s">
        <v>1500</v>
      </c>
      <c r="D136" s="1499">
        <v>2.8559529988428745</v>
      </c>
      <c r="E136" s="1499">
        <v>2.5376314424856727</v>
      </c>
      <c r="F136" s="1499">
        <v>1.6970084224048343</v>
      </c>
      <c r="G136" s="1499">
        <v>1.6241337538975207</v>
      </c>
      <c r="H136" s="1499">
        <v>1.3141903649446292</v>
      </c>
      <c r="I136" s="1499">
        <v>3.6942006734689157</v>
      </c>
      <c r="J136" s="1499">
        <v>3.2751521139485837</v>
      </c>
      <c r="K136" s="113">
        <v>1.284871040984501</v>
      </c>
    </row>
    <row r="137" spans="2:11" x14ac:dyDescent="0.3">
      <c r="B137" s="115"/>
      <c r="C137" s="112" t="s">
        <v>1504</v>
      </c>
      <c r="D137" s="1499">
        <v>3.2307926443513661</v>
      </c>
      <c r="E137" s="1499">
        <v>2.8966002391743273</v>
      </c>
      <c r="F137" s="1499">
        <v>2.0714978092659813</v>
      </c>
      <c r="G137" s="1499">
        <v>1.9936597710872093</v>
      </c>
      <c r="H137" s="1499">
        <v>1.6813888568479536</v>
      </c>
      <c r="I137" s="1499">
        <v>4.0561934493774352</v>
      </c>
      <c r="J137" s="1499">
        <v>3.6339326778736085</v>
      </c>
      <c r="K137" s="113">
        <v>1.649764977160751</v>
      </c>
    </row>
    <row r="138" spans="2:11" x14ac:dyDescent="0.3">
      <c r="B138" s="115"/>
      <c r="C138" s="112" t="s">
        <v>1508</v>
      </c>
      <c r="D138" s="1499">
        <v>3.0946732577194171</v>
      </c>
      <c r="E138" s="1499">
        <v>2.7604808525423783</v>
      </c>
      <c r="F138" s="1499">
        <v>1.9353784226340318</v>
      </c>
      <c r="G138" s="1499">
        <v>1.8575403844552598</v>
      </c>
      <c r="H138" s="1499">
        <v>1.5452694702160041</v>
      </c>
      <c r="I138" s="1499">
        <v>3.9200740627454862</v>
      </c>
      <c r="J138" s="1499">
        <v>3.4978132912416591</v>
      </c>
      <c r="K138" s="113">
        <v>1.5136455905288015</v>
      </c>
    </row>
    <row r="139" spans="2:11" x14ac:dyDescent="0.3">
      <c r="B139" s="115"/>
      <c r="C139" s="112" t="s">
        <v>1513</v>
      </c>
      <c r="D139" s="1499">
        <v>2.890494177771493</v>
      </c>
      <c r="E139" s="1499">
        <v>2.5563017725944541</v>
      </c>
      <c r="F139" s="1499">
        <v>1.7311993426861079</v>
      </c>
      <c r="G139" s="1499">
        <v>1.6533613045073356</v>
      </c>
      <c r="H139" s="1499">
        <v>1.3410903902680802</v>
      </c>
      <c r="I139" s="1499">
        <v>3.715894982797562</v>
      </c>
      <c r="J139" s="1499">
        <v>3.2936342112937353</v>
      </c>
      <c r="K139" s="113">
        <v>1.3094665105808776</v>
      </c>
    </row>
    <row r="140" spans="2:11" x14ac:dyDescent="0.3">
      <c r="B140" s="115"/>
      <c r="C140" s="112" t="s">
        <v>1517</v>
      </c>
      <c r="D140" s="1499">
        <v>2.6863150978235688</v>
      </c>
      <c r="E140" s="1499">
        <v>2.35212269264653</v>
      </c>
      <c r="F140" s="1499">
        <v>1.5270202627381835</v>
      </c>
      <c r="G140" s="1499">
        <v>1.4491822245594117</v>
      </c>
      <c r="H140" s="1499">
        <v>1.136911310320156</v>
      </c>
      <c r="I140" s="1499">
        <v>3.5117159028496379</v>
      </c>
      <c r="J140" s="1499">
        <v>3.0894551313458112</v>
      </c>
      <c r="K140" s="113">
        <v>1.1052874306329534</v>
      </c>
    </row>
    <row r="141" spans="2:11" ht="14.5" thickBot="1" x14ac:dyDescent="0.35">
      <c r="B141" s="1233"/>
      <c r="C141" s="116" t="s">
        <v>1519</v>
      </c>
      <c r="D141" s="117">
        <v>3.5050879076521468</v>
      </c>
      <c r="E141" s="117">
        <v>3.1867663512949456</v>
      </c>
      <c r="F141" s="117">
        <v>2.3461433312141069</v>
      </c>
      <c r="G141" s="117">
        <v>2.2732686627067937</v>
      </c>
      <c r="H141" s="117">
        <v>1.9633252737539018</v>
      </c>
      <c r="I141" s="117">
        <v>4.3433355822781881</v>
      </c>
      <c r="J141" s="117">
        <v>3.9242870227578566</v>
      </c>
      <c r="K141" s="118">
        <v>1.9340059497937738</v>
      </c>
    </row>
    <row r="142" spans="2:11" x14ac:dyDescent="0.3">
      <c r="B142" s="120" t="s">
        <v>1990</v>
      </c>
      <c r="C142" s="108" t="s">
        <v>1416</v>
      </c>
      <c r="D142" s="109">
        <v>2.1177683797900078</v>
      </c>
      <c r="E142" s="109">
        <v>1.7258133826827076</v>
      </c>
      <c r="F142" s="109">
        <v>0.97583003948135916</v>
      </c>
      <c r="G142" s="109">
        <v>0.85690269276786735</v>
      </c>
      <c r="H142" s="109">
        <v>0.60349440194500248</v>
      </c>
      <c r="I142" s="109">
        <v>2.8867434017402425</v>
      </c>
      <c r="J142" s="109">
        <v>2.4613757860134187</v>
      </c>
      <c r="K142" s="110">
        <v>0.57743725666000645</v>
      </c>
    </row>
    <row r="143" spans="2:11" x14ac:dyDescent="0.3">
      <c r="B143" s="111"/>
      <c r="C143" s="112" t="s">
        <v>1483</v>
      </c>
      <c r="D143" s="1499">
        <v>3.5002085337261994</v>
      </c>
      <c r="E143" s="1499">
        <v>3.1818869773689977</v>
      </c>
      <c r="F143" s="1499">
        <v>2.3412639572881591</v>
      </c>
      <c r="G143" s="1499">
        <v>2.2683892887808459</v>
      </c>
      <c r="H143" s="1499">
        <v>1.9584458998279544</v>
      </c>
      <c r="I143" s="1499">
        <v>4.3384562083522411</v>
      </c>
      <c r="J143" s="1499">
        <v>3.9194076488319087</v>
      </c>
      <c r="K143" s="113">
        <v>1.9291265758678264</v>
      </c>
    </row>
    <row r="144" spans="2:11" x14ac:dyDescent="0.3">
      <c r="B144" s="111" t="s">
        <v>1987</v>
      </c>
      <c r="C144" s="112" t="s">
        <v>1489</v>
      </c>
      <c r="D144" s="1499">
        <v>3.3379248065238811</v>
      </c>
      <c r="E144" s="1499">
        <v>3.0196032501666794</v>
      </c>
      <c r="F144" s="1499">
        <v>2.1789802300858412</v>
      </c>
      <c r="G144" s="1499">
        <v>2.1061055615785276</v>
      </c>
      <c r="H144" s="1499">
        <v>1.796162172625636</v>
      </c>
      <c r="I144" s="1499">
        <v>4.1761724811499228</v>
      </c>
      <c r="J144" s="1499">
        <v>3.7571239216295909</v>
      </c>
      <c r="K144" s="113">
        <v>1.7668428486655081</v>
      </c>
    </row>
    <row r="145" spans="2:11" x14ac:dyDescent="0.3">
      <c r="B145" s="114">
        <v>0</v>
      </c>
      <c r="C145" s="112" t="s">
        <v>1496</v>
      </c>
      <c r="D145" s="1499">
        <v>3.0944992157204037</v>
      </c>
      <c r="E145" s="1499">
        <v>2.7761776593632024</v>
      </c>
      <c r="F145" s="1499">
        <v>1.9355546392823637</v>
      </c>
      <c r="G145" s="1499">
        <v>1.8626799707750503</v>
      </c>
      <c r="H145" s="1499">
        <v>1.5527365818221586</v>
      </c>
      <c r="I145" s="1499">
        <v>3.9327468903464453</v>
      </c>
      <c r="J145" s="1499">
        <v>3.5136983308261134</v>
      </c>
      <c r="K145" s="113">
        <v>1.5234172578620306</v>
      </c>
    </row>
    <row r="146" spans="2:11" x14ac:dyDescent="0.3">
      <c r="B146" s="115"/>
      <c r="C146" s="112" t="s">
        <v>1500</v>
      </c>
      <c r="D146" s="1499">
        <v>2.8510736249169266</v>
      </c>
      <c r="E146" s="1499">
        <v>2.5327520685597249</v>
      </c>
      <c r="F146" s="1499">
        <v>1.6921290484788865</v>
      </c>
      <c r="G146" s="1499">
        <v>1.6192543799715731</v>
      </c>
      <c r="H146" s="1499">
        <v>1.3093109910186815</v>
      </c>
      <c r="I146" s="1499">
        <v>3.6893212995429678</v>
      </c>
      <c r="J146" s="1499">
        <v>3.2702727400226359</v>
      </c>
      <c r="K146" s="113">
        <v>1.2799916670585536</v>
      </c>
    </row>
    <row r="147" spans="2:11" x14ac:dyDescent="0.3">
      <c r="B147" s="115"/>
      <c r="C147" s="112" t="s">
        <v>1504</v>
      </c>
      <c r="D147" s="1499">
        <v>3.2259132704254183</v>
      </c>
      <c r="E147" s="1499">
        <v>2.8917208652483799</v>
      </c>
      <c r="F147" s="1499">
        <v>2.0666184353400334</v>
      </c>
      <c r="G147" s="1499">
        <v>1.9887803971612614</v>
      </c>
      <c r="H147" s="1499">
        <v>1.676509482922006</v>
      </c>
      <c r="I147" s="1499">
        <v>4.0513140754514874</v>
      </c>
      <c r="J147" s="1499">
        <v>3.6290533039476607</v>
      </c>
      <c r="K147" s="113">
        <v>1.6448856032348034</v>
      </c>
    </row>
    <row r="148" spans="2:11" x14ac:dyDescent="0.3">
      <c r="B148" s="115"/>
      <c r="C148" s="112" t="s">
        <v>1508</v>
      </c>
      <c r="D148" s="1499">
        <v>3.0897938837934693</v>
      </c>
      <c r="E148" s="1499">
        <v>2.7556014786164305</v>
      </c>
      <c r="F148" s="1499">
        <v>1.930499048708084</v>
      </c>
      <c r="G148" s="1499">
        <v>1.852661010529312</v>
      </c>
      <c r="H148" s="1499">
        <v>1.5403900962900565</v>
      </c>
      <c r="I148" s="1499">
        <v>3.9151946888195384</v>
      </c>
      <c r="J148" s="1499">
        <v>3.4929339173157117</v>
      </c>
      <c r="K148" s="113">
        <v>1.5087662166028539</v>
      </c>
    </row>
    <row r="149" spans="2:11" x14ac:dyDescent="0.3">
      <c r="B149" s="115"/>
      <c r="C149" s="112" t="s">
        <v>1513</v>
      </c>
      <c r="D149" s="1499">
        <v>2.8856148038455451</v>
      </c>
      <c r="E149" s="1499">
        <v>2.5514223986685063</v>
      </c>
      <c r="F149" s="1499">
        <v>1.72631996876016</v>
      </c>
      <c r="G149" s="1499">
        <v>1.6484819305813878</v>
      </c>
      <c r="H149" s="1499">
        <v>1.3362110163421324</v>
      </c>
      <c r="I149" s="1499">
        <v>3.7110156088716142</v>
      </c>
      <c r="J149" s="1499">
        <v>3.2887548373677875</v>
      </c>
      <c r="K149" s="113">
        <v>1.3045871366549298</v>
      </c>
    </row>
    <row r="150" spans="2:11" x14ac:dyDescent="0.3">
      <c r="B150" s="115"/>
      <c r="C150" s="112" t="s">
        <v>1517</v>
      </c>
      <c r="D150" s="1499">
        <v>2.681435723897621</v>
      </c>
      <c r="E150" s="1499">
        <v>2.3472433187205826</v>
      </c>
      <c r="F150" s="1499">
        <v>1.5221408888122359</v>
      </c>
      <c r="G150" s="1499">
        <v>1.4443028506334639</v>
      </c>
      <c r="H150" s="1499">
        <v>1.1320319363942084</v>
      </c>
      <c r="I150" s="1499">
        <v>3.50683652892369</v>
      </c>
      <c r="J150" s="1499">
        <v>3.0845757574198633</v>
      </c>
      <c r="K150" s="113">
        <v>1.1004080567070058</v>
      </c>
    </row>
    <row r="151" spans="2:11" ht="14.5" thickBot="1" x14ac:dyDescent="0.35">
      <c r="B151" s="1233"/>
      <c r="C151" s="116" t="s">
        <v>1519</v>
      </c>
      <c r="D151" s="117">
        <v>3.5002085337261994</v>
      </c>
      <c r="E151" s="117">
        <v>3.1818869773689977</v>
      </c>
      <c r="F151" s="117">
        <v>2.3412639572881591</v>
      </c>
      <c r="G151" s="117">
        <v>2.2683892887808459</v>
      </c>
      <c r="H151" s="117">
        <v>1.9584458998279544</v>
      </c>
      <c r="I151" s="117">
        <v>4.3384562083522411</v>
      </c>
      <c r="J151" s="117">
        <v>3.9194076488319087</v>
      </c>
      <c r="K151" s="118">
        <v>1.9291265758678264</v>
      </c>
    </row>
    <row r="152" spans="2:11" x14ac:dyDescent="0.3">
      <c r="B152" s="120" t="s">
        <v>1990</v>
      </c>
      <c r="C152" s="108" t="s">
        <v>1416</v>
      </c>
      <c r="D152" s="109">
        <v>2.110449318901086</v>
      </c>
      <c r="E152" s="109">
        <v>1.718494321793786</v>
      </c>
      <c r="F152" s="109">
        <v>0.96851097859243762</v>
      </c>
      <c r="G152" s="109">
        <v>0.8495836318789457</v>
      </c>
      <c r="H152" s="109">
        <v>0.59617534105608094</v>
      </c>
      <c r="I152" s="109">
        <v>2.8794243408513212</v>
      </c>
      <c r="J152" s="109">
        <v>2.4540567251244974</v>
      </c>
      <c r="K152" s="110">
        <v>0.5701181957710848</v>
      </c>
    </row>
    <row r="153" spans="2:11" x14ac:dyDescent="0.3">
      <c r="B153" s="111"/>
      <c r="C153" s="112" t="s">
        <v>1483</v>
      </c>
      <c r="D153" s="1499">
        <v>3.4928894728372777</v>
      </c>
      <c r="E153" s="1499">
        <v>3.1745679164800764</v>
      </c>
      <c r="F153" s="1499">
        <v>2.3339448963992377</v>
      </c>
      <c r="G153" s="1499">
        <v>2.2610702278919246</v>
      </c>
      <c r="H153" s="1499">
        <v>1.9511268389390326</v>
      </c>
      <c r="I153" s="1499">
        <v>4.3311371474633189</v>
      </c>
      <c r="J153" s="1499">
        <v>3.9120885879429874</v>
      </c>
      <c r="K153" s="113">
        <v>1.9218075149789047</v>
      </c>
    </row>
    <row r="154" spans="2:11" x14ac:dyDescent="0.3">
      <c r="B154" s="111" t="s">
        <v>1988</v>
      </c>
      <c r="C154" s="112" t="s">
        <v>1489</v>
      </c>
      <c r="D154" s="1499">
        <v>3.3306057456349598</v>
      </c>
      <c r="E154" s="1499">
        <v>3.0122841892777581</v>
      </c>
      <c r="F154" s="1499">
        <v>2.1716611691969199</v>
      </c>
      <c r="G154" s="1499">
        <v>2.0987865006896063</v>
      </c>
      <c r="H154" s="1499">
        <v>1.7888431117367143</v>
      </c>
      <c r="I154" s="1499">
        <v>4.1688534202610015</v>
      </c>
      <c r="J154" s="1499">
        <v>3.7498048607406695</v>
      </c>
      <c r="K154" s="113">
        <v>1.7595237877765864</v>
      </c>
    </row>
    <row r="155" spans="2:11" x14ac:dyDescent="0.3">
      <c r="B155" s="114">
        <v>0</v>
      </c>
      <c r="C155" s="112" t="s">
        <v>1496</v>
      </c>
      <c r="D155" s="1499">
        <v>3.0871801548314823</v>
      </c>
      <c r="E155" s="1499">
        <v>2.7688585984742806</v>
      </c>
      <c r="F155" s="1499">
        <v>1.9282355783934424</v>
      </c>
      <c r="G155" s="1499">
        <v>1.855360909886129</v>
      </c>
      <c r="H155" s="1499">
        <v>1.545417520933237</v>
      </c>
      <c r="I155" s="1499">
        <v>3.925427829457524</v>
      </c>
      <c r="J155" s="1499">
        <v>3.5063792699371921</v>
      </c>
      <c r="K155" s="113">
        <v>1.5160981969731091</v>
      </c>
    </row>
    <row r="156" spans="2:11" x14ac:dyDescent="0.3">
      <c r="B156" s="115"/>
      <c r="C156" s="112" t="s">
        <v>1500</v>
      </c>
      <c r="D156" s="1499">
        <v>2.8437545640280053</v>
      </c>
      <c r="E156" s="1499">
        <v>2.5254330076708036</v>
      </c>
      <c r="F156" s="1499">
        <v>1.6848099875899651</v>
      </c>
      <c r="G156" s="1499">
        <v>1.6119353190826515</v>
      </c>
      <c r="H156" s="1499">
        <v>1.30199193012976</v>
      </c>
      <c r="I156" s="1499">
        <v>3.6820022386540465</v>
      </c>
      <c r="J156" s="1499">
        <v>3.2629536791337146</v>
      </c>
      <c r="K156" s="113">
        <v>1.2726726061696318</v>
      </c>
    </row>
    <row r="157" spans="2:11" x14ac:dyDescent="0.3">
      <c r="B157" s="115"/>
      <c r="C157" s="112" t="s">
        <v>1504</v>
      </c>
      <c r="D157" s="1499">
        <v>3.218594209536497</v>
      </c>
      <c r="E157" s="1499">
        <v>2.8844018043594581</v>
      </c>
      <c r="F157" s="1499">
        <v>2.0592993744511121</v>
      </c>
      <c r="G157" s="1499">
        <v>1.9814613362723399</v>
      </c>
      <c r="H157" s="1499">
        <v>1.6691904220330842</v>
      </c>
      <c r="I157" s="1499">
        <v>4.043995014562566</v>
      </c>
      <c r="J157" s="1499">
        <v>3.6217342430587394</v>
      </c>
      <c r="K157" s="113">
        <v>1.6375665423458816</v>
      </c>
    </row>
    <row r="158" spans="2:11" x14ac:dyDescent="0.3">
      <c r="B158" s="115"/>
      <c r="C158" s="112" t="s">
        <v>1508</v>
      </c>
      <c r="D158" s="1499">
        <v>3.082474822904548</v>
      </c>
      <c r="E158" s="1499">
        <v>2.7482824177275091</v>
      </c>
      <c r="F158" s="1499">
        <v>1.9231799878191624</v>
      </c>
      <c r="G158" s="1499">
        <v>1.8453419496403904</v>
      </c>
      <c r="H158" s="1499">
        <v>1.5330710354011348</v>
      </c>
      <c r="I158" s="1499">
        <v>3.907875627930617</v>
      </c>
      <c r="J158" s="1499">
        <v>3.4856148564267899</v>
      </c>
      <c r="K158" s="113">
        <v>1.5014471557139322</v>
      </c>
    </row>
    <row r="159" spans="2:11" x14ac:dyDescent="0.3">
      <c r="B159" s="115"/>
      <c r="C159" s="112" t="s">
        <v>1513</v>
      </c>
      <c r="D159" s="1499">
        <v>2.8782957429566238</v>
      </c>
      <c r="E159" s="1499">
        <v>2.544103337779585</v>
      </c>
      <c r="F159" s="1499">
        <v>1.7190009078712383</v>
      </c>
      <c r="G159" s="1499">
        <v>1.6411628696924663</v>
      </c>
      <c r="H159" s="1499">
        <v>1.3288919554532108</v>
      </c>
      <c r="I159" s="1499">
        <v>3.7036965479826929</v>
      </c>
      <c r="J159" s="1499">
        <v>3.2814357764788662</v>
      </c>
      <c r="K159" s="113">
        <v>1.2972680757660082</v>
      </c>
    </row>
    <row r="160" spans="2:11" x14ac:dyDescent="0.3">
      <c r="B160" s="115"/>
      <c r="C160" s="112" t="s">
        <v>1517</v>
      </c>
      <c r="D160" s="1499">
        <v>2.6741166630086997</v>
      </c>
      <c r="E160" s="1499">
        <v>2.3399242578316604</v>
      </c>
      <c r="F160" s="1499">
        <v>1.5148218279233143</v>
      </c>
      <c r="G160" s="1499">
        <v>1.4369837897445421</v>
      </c>
      <c r="H160" s="1499">
        <v>1.1247128755052866</v>
      </c>
      <c r="I160" s="1499">
        <v>3.4995174680347687</v>
      </c>
      <c r="J160" s="1499">
        <v>3.077256696530942</v>
      </c>
      <c r="K160" s="113">
        <v>1.0930889958180841</v>
      </c>
    </row>
    <row r="161" spans="2:11" ht="14.5" thickBot="1" x14ac:dyDescent="0.35">
      <c r="B161" s="1233"/>
      <c r="C161" s="116" t="s">
        <v>1519</v>
      </c>
      <c r="D161" s="117">
        <v>3.4928894728372777</v>
      </c>
      <c r="E161" s="117">
        <v>3.1745679164800764</v>
      </c>
      <c r="F161" s="117">
        <v>2.3339448963992377</v>
      </c>
      <c r="G161" s="117">
        <v>2.2610702278919246</v>
      </c>
      <c r="H161" s="117">
        <v>1.9511268389390326</v>
      </c>
      <c r="I161" s="117">
        <v>4.3311371474633189</v>
      </c>
      <c r="J161" s="117">
        <v>3.9120885879429874</v>
      </c>
      <c r="K161" s="118">
        <v>1.9218075149789047</v>
      </c>
    </row>
    <row r="162" spans="2:11" x14ac:dyDescent="0.3">
      <c r="B162" s="120" t="s">
        <v>1990</v>
      </c>
      <c r="C162" s="108" t="s">
        <v>1416</v>
      </c>
      <c r="D162" s="109">
        <v>2.1031302580121642</v>
      </c>
      <c r="E162" s="109">
        <v>1.7111752609048643</v>
      </c>
      <c r="F162" s="109">
        <v>0.96119191770351609</v>
      </c>
      <c r="G162" s="109">
        <v>0.84226457099002416</v>
      </c>
      <c r="H162" s="109">
        <v>0.58885628016715941</v>
      </c>
      <c r="I162" s="109">
        <v>2.8721052799623989</v>
      </c>
      <c r="J162" s="109">
        <v>2.4467376642355756</v>
      </c>
      <c r="K162" s="110">
        <v>0.56279913488216327</v>
      </c>
    </row>
    <row r="163" spans="2:11" x14ac:dyDescent="0.3">
      <c r="B163" s="111"/>
      <c r="C163" s="112" t="s">
        <v>1483</v>
      </c>
      <c r="D163" s="1499">
        <v>3.4855704119483559</v>
      </c>
      <c r="E163" s="1499">
        <v>3.1672488555911542</v>
      </c>
      <c r="F163" s="1499">
        <v>2.326625835510316</v>
      </c>
      <c r="G163" s="1499">
        <v>2.2537511670030024</v>
      </c>
      <c r="H163" s="1499">
        <v>1.9438077780501111</v>
      </c>
      <c r="I163" s="1499">
        <v>4.3238180865743976</v>
      </c>
      <c r="J163" s="1499">
        <v>3.9047695270540657</v>
      </c>
      <c r="K163" s="113">
        <v>1.9144884540899831</v>
      </c>
    </row>
    <row r="164" spans="2:11" x14ac:dyDescent="0.3">
      <c r="B164" s="111" t="s">
        <v>1989</v>
      </c>
      <c r="C164" s="112" t="s">
        <v>1489</v>
      </c>
      <c r="D164" s="1499">
        <v>3.3232866847460381</v>
      </c>
      <c r="E164" s="1499">
        <v>3.0049651283888363</v>
      </c>
      <c r="F164" s="1499">
        <v>2.1643421083079981</v>
      </c>
      <c r="G164" s="1499">
        <v>2.0914674398006845</v>
      </c>
      <c r="H164" s="1499">
        <v>1.7815240508477928</v>
      </c>
      <c r="I164" s="1499">
        <v>4.1615343593720793</v>
      </c>
      <c r="J164" s="1499">
        <v>3.7424857998517478</v>
      </c>
      <c r="K164" s="113">
        <v>1.7522047268876648</v>
      </c>
    </row>
    <row r="165" spans="2:11" x14ac:dyDescent="0.3">
      <c r="B165" s="114">
        <v>0</v>
      </c>
      <c r="C165" s="112" t="s">
        <v>1496</v>
      </c>
      <c r="D165" s="1499">
        <v>3.0798610939425606</v>
      </c>
      <c r="E165" s="1499">
        <v>2.7615395375853589</v>
      </c>
      <c r="F165" s="1499">
        <v>1.9209165175045209</v>
      </c>
      <c r="G165" s="1499">
        <v>1.8480418489972072</v>
      </c>
      <c r="H165" s="1499">
        <v>1.5380984600443157</v>
      </c>
      <c r="I165" s="1499">
        <v>3.9181087685686018</v>
      </c>
      <c r="J165" s="1499">
        <v>3.4990602090482703</v>
      </c>
      <c r="K165" s="113">
        <v>1.5087791360841876</v>
      </c>
    </row>
    <row r="166" spans="2:11" x14ac:dyDescent="0.3">
      <c r="B166" s="115"/>
      <c r="C166" s="112" t="s">
        <v>1500</v>
      </c>
      <c r="D166" s="1499">
        <v>2.8364355031390835</v>
      </c>
      <c r="E166" s="1499">
        <v>2.5181139467818818</v>
      </c>
      <c r="F166" s="1499">
        <v>1.6774909267010434</v>
      </c>
      <c r="G166" s="1499">
        <v>1.60461625819373</v>
      </c>
      <c r="H166" s="1499">
        <v>1.2946728692408382</v>
      </c>
      <c r="I166" s="1499">
        <v>3.6746831777651252</v>
      </c>
      <c r="J166" s="1499">
        <v>3.2556346182447928</v>
      </c>
      <c r="K166" s="113">
        <v>1.2653535452807103</v>
      </c>
    </row>
    <row r="167" spans="2:11" x14ac:dyDescent="0.3">
      <c r="B167" s="115"/>
      <c r="C167" s="112" t="s">
        <v>1504</v>
      </c>
      <c r="D167" s="1499">
        <v>3.2112751486475757</v>
      </c>
      <c r="E167" s="1499">
        <v>2.8770827434705368</v>
      </c>
      <c r="F167" s="1499">
        <v>2.0519803135621904</v>
      </c>
      <c r="G167" s="1499">
        <v>1.9741422753834181</v>
      </c>
      <c r="H167" s="1499">
        <v>1.6618713611441627</v>
      </c>
      <c r="I167" s="1499">
        <v>4.0366759536736447</v>
      </c>
      <c r="J167" s="1499">
        <v>3.6144151821698181</v>
      </c>
      <c r="K167" s="113">
        <v>1.6302474814569601</v>
      </c>
    </row>
    <row r="168" spans="2:11" x14ac:dyDescent="0.3">
      <c r="B168" s="115"/>
      <c r="C168" s="112" t="s">
        <v>1508</v>
      </c>
      <c r="D168" s="1499">
        <v>3.0751557620156262</v>
      </c>
      <c r="E168" s="1499">
        <v>2.7409633568385874</v>
      </c>
      <c r="F168" s="1499">
        <v>1.9158609269302409</v>
      </c>
      <c r="G168" s="1499">
        <v>1.8380228887514687</v>
      </c>
      <c r="H168" s="1499">
        <v>1.5257519745122132</v>
      </c>
      <c r="I168" s="1499">
        <v>3.9005565670416948</v>
      </c>
      <c r="J168" s="1499">
        <v>3.4782957955378682</v>
      </c>
      <c r="K168" s="113">
        <v>1.4941280948250106</v>
      </c>
    </row>
    <row r="169" spans="2:11" x14ac:dyDescent="0.3">
      <c r="B169" s="115"/>
      <c r="C169" s="112" t="s">
        <v>1513</v>
      </c>
      <c r="D169" s="1499">
        <v>2.8709766820677021</v>
      </c>
      <c r="E169" s="1499">
        <v>2.5367842768906632</v>
      </c>
      <c r="F169" s="1499">
        <v>1.7116818469823167</v>
      </c>
      <c r="G169" s="1499">
        <v>1.6338438088035447</v>
      </c>
      <c r="H169" s="1499">
        <v>1.3215728945642891</v>
      </c>
      <c r="I169" s="1499">
        <v>3.6963774870937711</v>
      </c>
      <c r="J169" s="1499">
        <v>3.274116715589944</v>
      </c>
      <c r="K169" s="113">
        <v>1.2899490148770865</v>
      </c>
    </row>
    <row r="170" spans="2:11" x14ac:dyDescent="0.3">
      <c r="B170" s="115"/>
      <c r="C170" s="112" t="s">
        <v>1517</v>
      </c>
      <c r="D170" s="1499">
        <v>2.6667976021197779</v>
      </c>
      <c r="E170" s="1499">
        <v>2.332605196942739</v>
      </c>
      <c r="F170" s="1499">
        <v>1.5075027670343928</v>
      </c>
      <c r="G170" s="1499">
        <v>1.4296647288556206</v>
      </c>
      <c r="H170" s="1499">
        <v>1.1173938146163651</v>
      </c>
      <c r="I170" s="1499">
        <v>3.492198407145847</v>
      </c>
      <c r="J170" s="1499">
        <v>3.0699376356420203</v>
      </c>
      <c r="K170" s="113">
        <v>1.0857699349291625</v>
      </c>
    </row>
    <row r="171" spans="2:11" ht="14.5" thickBot="1" x14ac:dyDescent="0.35">
      <c r="B171" s="1233"/>
      <c r="C171" s="116" t="s">
        <v>1519</v>
      </c>
      <c r="D171" s="117">
        <v>3.4855704119483559</v>
      </c>
      <c r="E171" s="117">
        <v>3.1672488555911542</v>
      </c>
      <c r="F171" s="117">
        <v>2.326625835510316</v>
      </c>
      <c r="G171" s="117">
        <v>2.2537511670030024</v>
      </c>
      <c r="H171" s="117">
        <v>1.9438077780501111</v>
      </c>
      <c r="I171" s="117">
        <v>4.3238180865743976</v>
      </c>
      <c r="J171" s="117">
        <v>3.9047695270540657</v>
      </c>
      <c r="K171" s="118">
        <v>1.9144884540899831</v>
      </c>
    </row>
    <row r="173" spans="2:11" ht="14.5" thickBot="1" x14ac:dyDescent="0.35"/>
    <row r="174" spans="2:11" ht="25.5" thickBot="1" x14ac:dyDescent="0.55000000000000004">
      <c r="B174" s="88" t="s">
        <v>1960</v>
      </c>
      <c r="C174" s="89"/>
      <c r="D174" s="90">
        <v>3</v>
      </c>
      <c r="E174" s="91" t="s">
        <v>1991</v>
      </c>
      <c r="F174" s="92"/>
      <c r="G174" s="92"/>
      <c r="H174" s="92"/>
      <c r="I174" s="93"/>
      <c r="J174" s="89" t="s">
        <v>176</v>
      </c>
      <c r="K174" s="94" t="s">
        <v>230</v>
      </c>
    </row>
    <row r="175" spans="2:11" ht="14.5" thickBot="1" x14ac:dyDescent="0.35">
      <c r="B175" s="95" t="s">
        <v>1962</v>
      </c>
      <c r="C175" s="96" t="s">
        <v>1963</v>
      </c>
      <c r="D175" s="95" t="s">
        <v>1964</v>
      </c>
      <c r="E175" s="97" t="s">
        <v>1965</v>
      </c>
      <c r="F175" s="97" t="s">
        <v>1966</v>
      </c>
      <c r="G175" s="97" t="s">
        <v>1967</v>
      </c>
      <c r="H175" s="97" t="s">
        <v>1968</v>
      </c>
      <c r="I175" s="97" t="s">
        <v>1969</v>
      </c>
      <c r="J175" s="97" t="s">
        <v>1970</v>
      </c>
      <c r="K175" s="98" t="s">
        <v>1971</v>
      </c>
    </row>
    <row r="176" spans="2:11" ht="14.5" thickBot="1" x14ac:dyDescent="0.35">
      <c r="B176" s="99"/>
      <c r="C176" s="99"/>
      <c r="D176" s="100"/>
      <c r="E176" s="944"/>
      <c r="F176" s="944"/>
      <c r="G176" s="944"/>
      <c r="H176" s="944"/>
      <c r="I176" s="944"/>
      <c r="J176" s="944"/>
      <c r="K176" s="102"/>
    </row>
    <row r="177" spans="2:11" ht="88" thickBot="1" x14ac:dyDescent="0.45">
      <c r="B177" s="103" t="s">
        <v>1972</v>
      </c>
      <c r="C177" s="103" t="s">
        <v>1973</v>
      </c>
      <c r="D177" s="105" t="s">
        <v>1974</v>
      </c>
      <c r="E177" s="105" t="s">
        <v>1525</v>
      </c>
      <c r="F177" s="105" t="s">
        <v>1527</v>
      </c>
      <c r="G177" s="105" t="s">
        <v>1975</v>
      </c>
      <c r="H177" s="105" t="s">
        <v>1976</v>
      </c>
      <c r="I177" s="105" t="s">
        <v>1445</v>
      </c>
      <c r="J177" s="105" t="s">
        <v>1538</v>
      </c>
      <c r="K177" s="106" t="s">
        <v>1541</v>
      </c>
    </row>
    <row r="178" spans="2:11" x14ac:dyDescent="0.3">
      <c r="B178" s="120" t="s">
        <v>1992</v>
      </c>
      <c r="C178" s="108" t="s">
        <v>1416</v>
      </c>
      <c r="D178" s="109">
        <v>2.2851002824378299</v>
      </c>
      <c r="E178" s="109">
        <v>1.9019270537016921</v>
      </c>
      <c r="F178" s="109">
        <v>1.1287250434474563</v>
      </c>
      <c r="G178" s="109">
        <v>1.0209730145295186</v>
      </c>
      <c r="H178" s="109">
        <v>0.72665908058198825</v>
      </c>
      <c r="I178" s="109">
        <v>3.0664785643266841</v>
      </c>
      <c r="J178" s="109">
        <v>2.6414565119190754</v>
      </c>
      <c r="K178" s="110">
        <v>0.69046694710100076</v>
      </c>
    </row>
    <row r="179" spans="2:11" x14ac:dyDescent="0.3">
      <c r="B179" s="128"/>
      <c r="C179" s="112" t="s">
        <v>1483</v>
      </c>
      <c r="D179" s="1499">
        <v>4.089810557819427</v>
      </c>
      <c r="E179" s="1499">
        <v>3.7891729922152511</v>
      </c>
      <c r="F179" s="1499">
        <v>2.9348061743435965</v>
      </c>
      <c r="G179" s="1499">
        <v>2.8732434260563915</v>
      </c>
      <c r="H179" s="1499">
        <v>2.5482316110828784</v>
      </c>
      <c r="I179" s="1499">
        <v>4.945041635875489</v>
      </c>
      <c r="J179" s="1499">
        <v>4.527373485295775</v>
      </c>
      <c r="K179" s="113">
        <v>2.519610028175586</v>
      </c>
    </row>
    <row r="180" spans="2:11" x14ac:dyDescent="0.3">
      <c r="B180" s="128"/>
      <c r="C180" s="112" t="s">
        <v>1489</v>
      </c>
      <c r="D180" s="1499">
        <v>3.9275268306171092</v>
      </c>
      <c r="E180" s="1499">
        <v>3.6268892650129327</v>
      </c>
      <c r="F180" s="1499">
        <v>2.7725224471412782</v>
      </c>
      <c r="G180" s="1499">
        <v>2.7109596988540736</v>
      </c>
      <c r="H180" s="1499">
        <v>2.3859478838805601</v>
      </c>
      <c r="I180" s="1499">
        <v>4.7827579086731706</v>
      </c>
      <c r="J180" s="1499">
        <v>4.3650897580934567</v>
      </c>
      <c r="K180" s="113">
        <v>2.3573263009732677</v>
      </c>
    </row>
    <row r="181" spans="2:11" x14ac:dyDescent="0.3">
      <c r="B181" s="122">
        <v>0</v>
      </c>
      <c r="C181" s="112" t="s">
        <v>1496</v>
      </c>
      <c r="D181" s="1499">
        <v>3.6841012398136321</v>
      </c>
      <c r="E181" s="1499">
        <v>3.3834636742094557</v>
      </c>
      <c r="F181" s="1499">
        <v>2.5290968563378011</v>
      </c>
      <c r="G181" s="1499">
        <v>2.4675341080505961</v>
      </c>
      <c r="H181" s="1499">
        <v>2.1425222930770826</v>
      </c>
      <c r="I181" s="1499">
        <v>4.539332317869694</v>
      </c>
      <c r="J181" s="1499">
        <v>4.1216641672899792</v>
      </c>
      <c r="K181" s="113">
        <v>2.1139007101697906</v>
      </c>
    </row>
    <row r="182" spans="2:11" x14ac:dyDescent="0.3">
      <c r="B182" s="123"/>
      <c r="C182" s="112" t="s">
        <v>1500</v>
      </c>
      <c r="D182" s="1499">
        <v>3.4406756490101547</v>
      </c>
      <c r="E182" s="1499">
        <v>3.1400380834059782</v>
      </c>
      <c r="F182" s="1499">
        <v>2.2856712655343236</v>
      </c>
      <c r="G182" s="1499">
        <v>2.2241085172471187</v>
      </c>
      <c r="H182" s="1499">
        <v>1.8990967022736054</v>
      </c>
      <c r="I182" s="1499">
        <v>4.2959067270662157</v>
      </c>
      <c r="J182" s="1499">
        <v>3.8782385764865022</v>
      </c>
      <c r="K182" s="113">
        <v>1.8704751193663132</v>
      </c>
    </row>
    <row r="183" spans="2:11" x14ac:dyDescent="0.3">
      <c r="B183" s="123"/>
      <c r="C183" s="112" t="s">
        <v>1504</v>
      </c>
      <c r="D183" s="1499">
        <v>3.7474676858638123</v>
      </c>
      <c r="E183" s="1499">
        <v>3.4345367239218305</v>
      </c>
      <c r="F183" s="1499">
        <v>2.5905109949460816</v>
      </c>
      <c r="G183" s="1499">
        <v>2.5213476313149874</v>
      </c>
      <c r="H183" s="1499">
        <v>2.1963758027895852</v>
      </c>
      <c r="I183" s="1499">
        <v>4.5918899428221227</v>
      </c>
      <c r="J183" s="1499">
        <v>4.1728231517908609</v>
      </c>
      <c r="K183" s="113">
        <v>2.1677354272918046</v>
      </c>
    </row>
    <row r="184" spans="2:11" x14ac:dyDescent="0.3">
      <c r="B184" s="123"/>
      <c r="C184" s="112" t="s">
        <v>1508</v>
      </c>
      <c r="D184" s="1499">
        <v>3.6113482992318633</v>
      </c>
      <c r="E184" s="1499">
        <v>3.2984173372898815</v>
      </c>
      <c r="F184" s="1499">
        <v>2.4543916083141326</v>
      </c>
      <c r="G184" s="1499">
        <v>2.385228244683038</v>
      </c>
      <c r="H184" s="1499">
        <v>2.0602564161576358</v>
      </c>
      <c r="I184" s="1499">
        <v>4.4557705561901733</v>
      </c>
      <c r="J184" s="1499">
        <v>4.0367037651589124</v>
      </c>
      <c r="K184" s="113">
        <v>2.0316160406598556</v>
      </c>
    </row>
    <row r="185" spans="2:11" x14ac:dyDescent="0.3">
      <c r="B185" s="123"/>
      <c r="C185" s="112" t="s">
        <v>1513</v>
      </c>
      <c r="D185" s="1499">
        <v>3.4071692192839391</v>
      </c>
      <c r="E185" s="1499">
        <v>3.0942382573419573</v>
      </c>
      <c r="F185" s="1499">
        <v>2.2502125283662084</v>
      </c>
      <c r="G185" s="1499">
        <v>2.1810491647351138</v>
      </c>
      <c r="H185" s="1499">
        <v>1.8560773362097116</v>
      </c>
      <c r="I185" s="1499">
        <v>4.2515914762422486</v>
      </c>
      <c r="J185" s="1499">
        <v>3.8325246852109878</v>
      </c>
      <c r="K185" s="113">
        <v>1.8274369607119314</v>
      </c>
    </row>
    <row r="186" spans="2:11" x14ac:dyDescent="0.3">
      <c r="B186" s="123"/>
      <c r="C186" s="112" t="s">
        <v>1517</v>
      </c>
      <c r="D186" s="1499">
        <v>3.202990139336015</v>
      </c>
      <c r="E186" s="1499">
        <v>2.8900591773940332</v>
      </c>
      <c r="F186" s="1499">
        <v>2.0460334484182843</v>
      </c>
      <c r="G186" s="1499">
        <v>1.9768700847871898</v>
      </c>
      <c r="H186" s="1499">
        <v>1.6518982562617874</v>
      </c>
      <c r="I186" s="1499">
        <v>4.0474123962943249</v>
      </c>
      <c r="J186" s="1499">
        <v>3.628345605263064</v>
      </c>
      <c r="K186" s="113">
        <v>1.6232578807640075</v>
      </c>
    </row>
    <row r="187" spans="2:11" ht="14.5" thickBot="1" x14ac:dyDescent="0.35">
      <c r="B187" s="124"/>
      <c r="C187" s="116" t="s">
        <v>1519</v>
      </c>
      <c r="D187" s="117">
        <v>4.089810557819427</v>
      </c>
      <c r="E187" s="117">
        <v>3.7891729922152511</v>
      </c>
      <c r="F187" s="117">
        <v>2.9348061743435965</v>
      </c>
      <c r="G187" s="117">
        <v>2.8732434260563915</v>
      </c>
      <c r="H187" s="117">
        <v>2.5482316110828784</v>
      </c>
      <c r="I187" s="117">
        <v>4.945041635875489</v>
      </c>
      <c r="J187" s="117">
        <v>4.527373485295775</v>
      </c>
      <c r="K187" s="118">
        <v>2.519610028175586</v>
      </c>
    </row>
    <row r="188" spans="2:11" x14ac:dyDescent="0.3">
      <c r="B188" s="120" t="s">
        <v>1993</v>
      </c>
      <c r="C188" s="1234" t="s">
        <v>1416</v>
      </c>
      <c r="D188" s="109">
        <v>2.1762555161233355</v>
      </c>
      <c r="E188" s="109">
        <v>1.7935415725685637</v>
      </c>
      <c r="F188" s="109">
        <v>1.0286901138928355</v>
      </c>
      <c r="G188" s="109">
        <v>0.91462275616823774</v>
      </c>
      <c r="H188" s="109">
        <v>0.64108951854849605</v>
      </c>
      <c r="I188" s="109">
        <v>2.963663487637628</v>
      </c>
      <c r="J188" s="109">
        <v>2.5351346815348479</v>
      </c>
      <c r="K188" s="110">
        <v>0.61555672442232312</v>
      </c>
    </row>
    <row r="189" spans="2:11" x14ac:dyDescent="0.3">
      <c r="B189" s="121"/>
      <c r="C189" s="1500" t="s">
        <v>1483</v>
      </c>
      <c r="D189" s="1499">
        <v>3.9852892359501477</v>
      </c>
      <c r="E189" s="1499">
        <v>3.6963916517637658</v>
      </c>
      <c r="F189" s="1499">
        <v>2.8344341263459465</v>
      </c>
      <c r="G189" s="1499">
        <v>2.7765030934194752</v>
      </c>
      <c r="H189" s="1499">
        <v>2.4466217412075615</v>
      </c>
      <c r="I189" s="1499">
        <v>4.859292711849478</v>
      </c>
      <c r="J189" s="1499">
        <v>4.4381245778352154</v>
      </c>
      <c r="K189" s="113">
        <v>2.4191265685118544</v>
      </c>
    </row>
    <row r="190" spans="2:11" x14ac:dyDescent="0.3">
      <c r="B190" s="128"/>
      <c r="C190" s="1500" t="s">
        <v>1489</v>
      </c>
      <c r="D190" s="1499">
        <v>3.8230055087478299</v>
      </c>
      <c r="E190" s="1499">
        <v>3.5341079245614475</v>
      </c>
      <c r="F190" s="1499">
        <v>2.6721503991436282</v>
      </c>
      <c r="G190" s="1499">
        <v>2.6142193662171573</v>
      </c>
      <c r="H190" s="1499">
        <v>2.2843380140052436</v>
      </c>
      <c r="I190" s="1499">
        <v>4.6970089846471597</v>
      </c>
      <c r="J190" s="1499">
        <v>4.2758408506328971</v>
      </c>
      <c r="K190" s="113">
        <v>2.2568428413095365</v>
      </c>
    </row>
    <row r="191" spans="2:11" x14ac:dyDescent="0.3">
      <c r="B191" s="122">
        <v>0</v>
      </c>
      <c r="C191" s="1500" t="s">
        <v>1496</v>
      </c>
      <c r="D191" s="1499">
        <v>3.5795799179443524</v>
      </c>
      <c r="E191" s="1499">
        <v>3.2906823337579705</v>
      </c>
      <c r="F191" s="1499">
        <v>2.4287248083401511</v>
      </c>
      <c r="G191" s="1499">
        <v>2.3707937754136799</v>
      </c>
      <c r="H191" s="1499">
        <v>2.0409124232017661</v>
      </c>
      <c r="I191" s="1499">
        <v>4.4535833938436831</v>
      </c>
      <c r="J191" s="1499">
        <v>4.0324152598294196</v>
      </c>
      <c r="K191" s="113">
        <v>2.013417250506059</v>
      </c>
    </row>
    <row r="192" spans="2:11" x14ac:dyDescent="0.3">
      <c r="B192" s="123"/>
      <c r="C192" s="1500" t="s">
        <v>1500</v>
      </c>
      <c r="D192" s="1499">
        <v>3.3361543271408749</v>
      </c>
      <c r="E192" s="1499">
        <v>3.047256742954493</v>
      </c>
      <c r="F192" s="1499">
        <v>2.1852992175366737</v>
      </c>
      <c r="G192" s="1499">
        <v>2.1273681846102024</v>
      </c>
      <c r="H192" s="1499">
        <v>1.7974868323982889</v>
      </c>
      <c r="I192" s="1499">
        <v>4.2101578030402047</v>
      </c>
      <c r="J192" s="1499">
        <v>3.7889896690259421</v>
      </c>
      <c r="K192" s="113">
        <v>1.7699916597025815</v>
      </c>
    </row>
    <row r="193" spans="2:11" x14ac:dyDescent="0.3">
      <c r="B193" s="123"/>
      <c r="C193" s="1500" t="s">
        <v>1504</v>
      </c>
      <c r="D193" s="1499">
        <v>3.6400842229763244</v>
      </c>
      <c r="E193" s="1499">
        <v>3.3394997977541054</v>
      </c>
      <c r="F193" s="1499">
        <v>2.4867851176765297</v>
      </c>
      <c r="G193" s="1499">
        <v>2.4203062029017137</v>
      </c>
      <c r="H193" s="1499">
        <v>2.097215808360771</v>
      </c>
      <c r="I193" s="1499">
        <v>4.5029793071021036</v>
      </c>
      <c r="J193" s="1499">
        <v>4.0813244565204281</v>
      </c>
      <c r="K193" s="113">
        <v>2.0698109890475598</v>
      </c>
    </row>
    <row r="194" spans="2:11" x14ac:dyDescent="0.3">
      <c r="B194" s="123"/>
      <c r="C194" s="1500" t="s">
        <v>1508</v>
      </c>
      <c r="D194" s="1499">
        <v>3.5039648363443749</v>
      </c>
      <c r="E194" s="1499">
        <v>3.2033804111221564</v>
      </c>
      <c r="F194" s="1499">
        <v>2.3506657310445807</v>
      </c>
      <c r="G194" s="1499">
        <v>2.2841868162697647</v>
      </c>
      <c r="H194" s="1499">
        <v>1.9610964217288216</v>
      </c>
      <c r="I194" s="1499">
        <v>4.3668599204701541</v>
      </c>
      <c r="J194" s="1499">
        <v>3.9452050698884791</v>
      </c>
      <c r="K194" s="113">
        <v>1.9336916024156106</v>
      </c>
    </row>
    <row r="195" spans="2:11" x14ac:dyDescent="0.3">
      <c r="B195" s="123"/>
      <c r="C195" s="1500" t="s">
        <v>1513</v>
      </c>
      <c r="D195" s="1499">
        <v>3.2997857563964508</v>
      </c>
      <c r="E195" s="1499">
        <v>2.9992013311742323</v>
      </c>
      <c r="F195" s="1499">
        <v>2.1464866510966565</v>
      </c>
      <c r="G195" s="1499">
        <v>2.0800077363218406</v>
      </c>
      <c r="H195" s="1499">
        <v>1.7569173417808974</v>
      </c>
      <c r="I195" s="1499">
        <v>4.1626808405222304</v>
      </c>
      <c r="J195" s="1499">
        <v>3.7410259899405549</v>
      </c>
      <c r="K195" s="113">
        <v>1.7295125224676864</v>
      </c>
    </row>
    <row r="196" spans="2:11" x14ac:dyDescent="0.3">
      <c r="B196" s="123"/>
      <c r="C196" s="1500" t="s">
        <v>1517</v>
      </c>
      <c r="D196" s="1499">
        <v>3.0956066764485271</v>
      </c>
      <c r="E196" s="1499">
        <v>2.7950222512263081</v>
      </c>
      <c r="F196" s="1499">
        <v>1.9423075711487325</v>
      </c>
      <c r="G196" s="1499">
        <v>1.8758286563739166</v>
      </c>
      <c r="H196" s="1499">
        <v>1.5527382618329735</v>
      </c>
      <c r="I196" s="1499">
        <v>3.9585017605743062</v>
      </c>
      <c r="J196" s="1499">
        <v>3.5368469099926307</v>
      </c>
      <c r="K196" s="113">
        <v>1.5253334425197624</v>
      </c>
    </row>
    <row r="197" spans="2:11" ht="14.5" thickBot="1" x14ac:dyDescent="0.35">
      <c r="B197" s="124"/>
      <c r="C197" s="125" t="s">
        <v>1519</v>
      </c>
      <c r="D197" s="117">
        <v>3.9852892359501477</v>
      </c>
      <c r="E197" s="117">
        <v>3.6963916517637658</v>
      </c>
      <c r="F197" s="117">
        <v>2.8344341263459465</v>
      </c>
      <c r="G197" s="117">
        <v>2.7765030934194752</v>
      </c>
      <c r="H197" s="117">
        <v>2.4466217412075615</v>
      </c>
      <c r="I197" s="117">
        <v>4.859292711849478</v>
      </c>
      <c r="J197" s="117">
        <v>4.4381245778352154</v>
      </c>
      <c r="K197" s="118">
        <v>2.4191265685118544</v>
      </c>
    </row>
    <row r="198" spans="2:11" x14ac:dyDescent="0.3">
      <c r="B198" s="119" t="s">
        <v>1994</v>
      </c>
      <c r="C198" s="108" t="s">
        <v>1416</v>
      </c>
      <c r="D198" s="109">
        <v>2.2960559937924243</v>
      </c>
      <c r="E198" s="109">
        <v>1.9235984602914014</v>
      </c>
      <c r="F198" s="109">
        <v>1.1375995271420545</v>
      </c>
      <c r="G198" s="109">
        <v>1.0323185778238932</v>
      </c>
      <c r="H198" s="109">
        <v>0.73477953266686036</v>
      </c>
      <c r="I198" s="109">
        <v>3.1035192378687722</v>
      </c>
      <c r="J198" s="109">
        <v>2.6722200987941243</v>
      </c>
      <c r="K198" s="110">
        <v>0.69799125481387869</v>
      </c>
    </row>
    <row r="199" spans="2:11" x14ac:dyDescent="0.3">
      <c r="B199" s="111"/>
      <c r="C199" s="112" t="s">
        <v>1483</v>
      </c>
      <c r="D199" s="1499">
        <v>4.1096391888379822</v>
      </c>
      <c r="E199" s="1499">
        <v>3.8296187882301806</v>
      </c>
      <c r="F199" s="1499">
        <v>2.9566655983405274</v>
      </c>
      <c r="G199" s="1499">
        <v>2.9026597404100039</v>
      </c>
      <c r="H199" s="1499">
        <v>2.5708427832527594</v>
      </c>
      <c r="I199" s="1499">
        <v>4.9956133568747099</v>
      </c>
      <c r="J199" s="1499">
        <v>4.5741385577542122</v>
      </c>
      <c r="K199" s="113">
        <v>2.5440751737399503</v>
      </c>
    </row>
    <row r="200" spans="2:11" x14ac:dyDescent="0.3">
      <c r="B200" s="111"/>
      <c r="C200" s="112" t="s">
        <v>1489</v>
      </c>
      <c r="D200" s="1499">
        <v>3.9473554616356639</v>
      </c>
      <c r="E200" s="1499">
        <v>3.6673350610278623</v>
      </c>
      <c r="F200" s="1499">
        <v>2.7943818711382096</v>
      </c>
      <c r="G200" s="1499">
        <v>2.740376013207686</v>
      </c>
      <c r="H200" s="1499">
        <v>2.4085590560504415</v>
      </c>
      <c r="I200" s="1499">
        <v>4.8333296296723915</v>
      </c>
      <c r="J200" s="1499">
        <v>4.4118548305518939</v>
      </c>
      <c r="K200" s="113">
        <v>2.3817914465376324</v>
      </c>
    </row>
    <row r="201" spans="2:11" x14ac:dyDescent="0.3">
      <c r="B201" s="114">
        <v>0</v>
      </c>
      <c r="C201" s="112" t="s">
        <v>1496</v>
      </c>
      <c r="D201" s="1499">
        <v>3.7039298708321864</v>
      </c>
      <c r="E201" s="1499">
        <v>3.4239094702243849</v>
      </c>
      <c r="F201" s="1499">
        <v>2.5509562803347321</v>
      </c>
      <c r="G201" s="1499">
        <v>2.4969504224042085</v>
      </c>
      <c r="H201" s="1499">
        <v>2.165133465246964</v>
      </c>
      <c r="I201" s="1499">
        <v>4.589904038868915</v>
      </c>
      <c r="J201" s="1499">
        <v>4.1684292397484164</v>
      </c>
      <c r="K201" s="113">
        <v>2.1383658557341549</v>
      </c>
    </row>
    <row r="202" spans="2:11" x14ac:dyDescent="0.3">
      <c r="B202" s="115"/>
      <c r="C202" s="112" t="s">
        <v>1500</v>
      </c>
      <c r="D202" s="1499">
        <v>3.4605042800287089</v>
      </c>
      <c r="E202" s="1499">
        <v>3.1804838794209078</v>
      </c>
      <c r="F202" s="1499">
        <v>2.3075306895312546</v>
      </c>
      <c r="G202" s="1499">
        <v>2.2535248316007315</v>
      </c>
      <c r="H202" s="1499">
        <v>1.9217078744434868</v>
      </c>
      <c r="I202" s="1499">
        <v>4.3464784480654366</v>
      </c>
      <c r="J202" s="1499">
        <v>3.9250036489449394</v>
      </c>
      <c r="K202" s="113">
        <v>1.8949402649306777</v>
      </c>
    </row>
    <row r="203" spans="2:11" x14ac:dyDescent="0.3">
      <c r="B203" s="115"/>
      <c r="C203" s="112" t="s">
        <v>1504</v>
      </c>
      <c r="D203" s="1499">
        <v>3.7653674614212438</v>
      </c>
      <c r="E203" s="1499">
        <v>3.4716083591345153</v>
      </c>
      <c r="F203" s="1499">
        <v>2.6097827552616728</v>
      </c>
      <c r="G203" s="1499">
        <v>2.5476165584166384</v>
      </c>
      <c r="H203" s="1499">
        <v>2.2149093664365815</v>
      </c>
      <c r="I203" s="1499">
        <v>4.6406376127335092</v>
      </c>
      <c r="J203" s="1499">
        <v>4.2167748492195036</v>
      </c>
      <c r="K203" s="113">
        <v>2.1878304993923825</v>
      </c>
    </row>
    <row r="204" spans="2:11" x14ac:dyDescent="0.3">
      <c r="B204" s="115"/>
      <c r="C204" s="112" t="s">
        <v>1508</v>
      </c>
      <c r="D204" s="1499">
        <v>3.6292480747892948</v>
      </c>
      <c r="E204" s="1499">
        <v>3.3354889725025663</v>
      </c>
      <c r="F204" s="1499">
        <v>2.4736633686297238</v>
      </c>
      <c r="G204" s="1499">
        <v>2.4114971717846894</v>
      </c>
      <c r="H204" s="1499">
        <v>2.0787899798046321</v>
      </c>
      <c r="I204" s="1499">
        <v>4.5045182261015597</v>
      </c>
      <c r="J204" s="1499">
        <v>4.0806554625875542</v>
      </c>
      <c r="K204" s="113">
        <v>2.0517111127604331</v>
      </c>
    </row>
    <row r="205" spans="2:11" x14ac:dyDescent="0.3">
      <c r="B205" s="115"/>
      <c r="C205" s="112" t="s">
        <v>1513</v>
      </c>
      <c r="D205" s="1499">
        <v>3.4250689948413706</v>
      </c>
      <c r="E205" s="1499">
        <v>3.1313098925546421</v>
      </c>
      <c r="F205" s="1499">
        <v>2.2694842886817996</v>
      </c>
      <c r="G205" s="1499">
        <v>2.2073180918367652</v>
      </c>
      <c r="H205" s="1499">
        <v>1.8746108998567081</v>
      </c>
      <c r="I205" s="1499">
        <v>4.3003391461536351</v>
      </c>
      <c r="J205" s="1499">
        <v>3.8764763826396305</v>
      </c>
      <c r="K205" s="113">
        <v>1.8475320328125091</v>
      </c>
    </row>
    <row r="206" spans="2:11" x14ac:dyDescent="0.3">
      <c r="B206" s="115"/>
      <c r="C206" s="112" t="s">
        <v>1517</v>
      </c>
      <c r="D206" s="1499">
        <v>3.2208899148934464</v>
      </c>
      <c r="E206" s="1499">
        <v>2.9271308126067179</v>
      </c>
      <c r="F206" s="1499">
        <v>2.0653052087338755</v>
      </c>
      <c r="G206" s="1499">
        <v>2.003139011888841</v>
      </c>
      <c r="H206" s="1499">
        <v>1.670431819908784</v>
      </c>
      <c r="I206" s="1499">
        <v>4.0961600662057114</v>
      </c>
      <c r="J206" s="1499">
        <v>3.6722973026917063</v>
      </c>
      <c r="K206" s="113">
        <v>1.6433529528645852</v>
      </c>
    </row>
    <row r="207" spans="2:11" ht="14.5" thickBot="1" x14ac:dyDescent="0.35">
      <c r="B207" s="1233"/>
      <c r="C207" s="116" t="s">
        <v>1519</v>
      </c>
      <c r="D207" s="117">
        <v>4.1096391888379822</v>
      </c>
      <c r="E207" s="117">
        <v>3.8296187882301806</v>
      </c>
      <c r="F207" s="117">
        <v>2.9566655983405274</v>
      </c>
      <c r="G207" s="117">
        <v>2.9026597404100039</v>
      </c>
      <c r="H207" s="117">
        <v>2.5708427832527594</v>
      </c>
      <c r="I207" s="117">
        <v>4.9956133568747099</v>
      </c>
      <c r="J207" s="117">
        <v>4.5741385577542122</v>
      </c>
      <c r="K207" s="118">
        <v>2.5440751737399503</v>
      </c>
    </row>
    <row r="208" spans="2:11" x14ac:dyDescent="0.3">
      <c r="B208" s="120" t="s">
        <v>1519</v>
      </c>
      <c r="C208" s="108" t="s">
        <v>1416</v>
      </c>
      <c r="D208" s="129">
        <v>2.1342644783655471</v>
      </c>
      <c r="E208" s="109">
        <v>1.7426329899688049</v>
      </c>
      <c r="F208" s="109">
        <v>0.99138788840760783</v>
      </c>
      <c r="G208" s="109">
        <v>0.87318094226361653</v>
      </c>
      <c r="H208" s="109">
        <v>0.61631171906925086</v>
      </c>
      <c r="I208" s="109">
        <v>2.9035535804726749</v>
      </c>
      <c r="J208" s="109">
        <v>2.4782389544862862</v>
      </c>
      <c r="K208" s="110">
        <v>0.5903226264649194</v>
      </c>
    </row>
    <row r="209" spans="2:11" x14ac:dyDescent="0.3">
      <c r="B209" s="111"/>
      <c r="C209" s="112" t="s">
        <v>1483</v>
      </c>
      <c r="D209" s="130">
        <v>3.5166455897705426</v>
      </c>
      <c r="E209" s="1499">
        <v>3.1981026836587603</v>
      </c>
      <c r="F209" s="1499">
        <v>2.3577348697983225</v>
      </c>
      <c r="G209" s="1499">
        <v>2.284055243635378</v>
      </c>
      <c r="H209" s="1499">
        <v>1.9743507764472474</v>
      </c>
      <c r="I209" s="1499">
        <v>4.3546354381495291</v>
      </c>
      <c r="J209" s="1499">
        <v>3.935751079980172</v>
      </c>
      <c r="K209" s="113">
        <v>1.9449995591834086</v>
      </c>
    </row>
    <row r="210" spans="2:11" x14ac:dyDescent="0.3">
      <c r="B210" s="111"/>
      <c r="C210" s="112" t="s">
        <v>1489</v>
      </c>
      <c r="D210" s="130">
        <v>3.3543618625682248</v>
      </c>
      <c r="E210" s="1499">
        <v>3.0358189564564424</v>
      </c>
      <c r="F210" s="1499">
        <v>2.1954511425960046</v>
      </c>
      <c r="G210" s="1499">
        <v>2.1217715164330597</v>
      </c>
      <c r="H210" s="1499">
        <v>1.8120670492449293</v>
      </c>
      <c r="I210" s="1499">
        <v>4.1923517109472117</v>
      </c>
      <c r="J210" s="1499">
        <v>3.7734673527778542</v>
      </c>
      <c r="K210" s="113">
        <v>1.7827158319810905</v>
      </c>
    </row>
    <row r="211" spans="2:11" x14ac:dyDescent="0.3">
      <c r="B211" s="114">
        <v>0</v>
      </c>
      <c r="C211" s="112" t="s">
        <v>1496</v>
      </c>
      <c r="D211" s="130">
        <v>3.1109362717647473</v>
      </c>
      <c r="E211" s="1499">
        <v>2.7923933656529649</v>
      </c>
      <c r="F211" s="1499">
        <v>1.9520255517925271</v>
      </c>
      <c r="G211" s="1499">
        <v>1.8783459256295825</v>
      </c>
      <c r="H211" s="1499">
        <v>1.5686414584414521</v>
      </c>
      <c r="I211" s="1499">
        <v>3.9489261201437342</v>
      </c>
      <c r="J211" s="1499">
        <v>3.5300417619743767</v>
      </c>
      <c r="K211" s="113">
        <v>1.539290241177613</v>
      </c>
    </row>
    <row r="212" spans="2:11" x14ac:dyDescent="0.3">
      <c r="B212" s="115"/>
      <c r="C212" s="112" t="s">
        <v>1500</v>
      </c>
      <c r="D212" s="130">
        <v>2.8675106809612698</v>
      </c>
      <c r="E212" s="1499">
        <v>2.5489677748494879</v>
      </c>
      <c r="F212" s="1499">
        <v>1.7085999609890499</v>
      </c>
      <c r="G212" s="1499">
        <v>1.6349203348261052</v>
      </c>
      <c r="H212" s="1499">
        <v>1.3252158676379746</v>
      </c>
      <c r="I212" s="1499">
        <v>3.7055005293402568</v>
      </c>
      <c r="J212" s="1499">
        <v>3.2866161711708992</v>
      </c>
      <c r="K212" s="113">
        <v>1.2958646503741358</v>
      </c>
    </row>
    <row r="213" spans="2:11" x14ac:dyDescent="0.3">
      <c r="B213" s="115"/>
      <c r="C213" s="112" t="s">
        <v>1504</v>
      </c>
      <c r="D213" s="130">
        <v>3.2424021660379387</v>
      </c>
      <c r="E213" s="1499">
        <v>2.9078598258286332</v>
      </c>
      <c r="F213" s="1499">
        <v>2.0824659986937517</v>
      </c>
      <c r="G213" s="1499">
        <v>2.0047355127447601</v>
      </c>
      <c r="H213" s="1499">
        <v>1.6927724547242899</v>
      </c>
      <c r="I213" s="1499">
        <v>4.0676967121689174</v>
      </c>
      <c r="J213" s="1499">
        <v>3.6453806597602507</v>
      </c>
      <c r="K213" s="113">
        <v>1.6611778414278044</v>
      </c>
    </row>
    <row r="214" spans="2:11" x14ac:dyDescent="0.3">
      <c r="B214" s="115"/>
      <c r="C214" s="112" t="s">
        <v>1508</v>
      </c>
      <c r="D214" s="130">
        <v>3.1062827794059897</v>
      </c>
      <c r="E214" s="1499">
        <v>2.7717404391966842</v>
      </c>
      <c r="F214" s="1499">
        <v>1.9463466120618025</v>
      </c>
      <c r="G214" s="1499">
        <v>1.8686161261128107</v>
      </c>
      <c r="H214" s="1499">
        <v>1.5566530680923405</v>
      </c>
      <c r="I214" s="1499">
        <v>3.9315773255369679</v>
      </c>
      <c r="J214" s="1499">
        <v>3.5092612731283017</v>
      </c>
      <c r="K214" s="113">
        <v>1.5250584547958552</v>
      </c>
    </row>
    <row r="215" spans="2:11" x14ac:dyDescent="0.3">
      <c r="B215" s="115"/>
      <c r="C215" s="112" t="s">
        <v>1513</v>
      </c>
      <c r="D215" s="130">
        <v>2.9021036994580656</v>
      </c>
      <c r="E215" s="1499">
        <v>2.5675613592487601</v>
      </c>
      <c r="F215" s="1499">
        <v>1.7421675321138783</v>
      </c>
      <c r="G215" s="1499">
        <v>1.6644370461648867</v>
      </c>
      <c r="H215" s="1499">
        <v>1.3524739881444166</v>
      </c>
      <c r="I215" s="1499">
        <v>3.7273982455890438</v>
      </c>
      <c r="J215" s="1499">
        <v>3.3050821931803775</v>
      </c>
      <c r="K215" s="113">
        <v>1.3208793748479313</v>
      </c>
    </row>
    <row r="216" spans="2:11" x14ac:dyDescent="0.3">
      <c r="B216" s="115"/>
      <c r="C216" s="112" t="s">
        <v>1517</v>
      </c>
      <c r="D216" s="130">
        <v>2.6979246195101414</v>
      </c>
      <c r="E216" s="1499">
        <v>2.3633822793008359</v>
      </c>
      <c r="F216" s="1499">
        <v>1.5379884521659544</v>
      </c>
      <c r="G216" s="1499">
        <v>1.4602579662169626</v>
      </c>
      <c r="H216" s="1499">
        <v>1.1482949081964922</v>
      </c>
      <c r="I216" s="1499">
        <v>3.5232191656411196</v>
      </c>
      <c r="J216" s="1499">
        <v>3.1009031132324534</v>
      </c>
      <c r="K216" s="113">
        <v>1.1167002949000071</v>
      </c>
    </row>
    <row r="217" spans="2:11" ht="14.5" thickBot="1" x14ac:dyDescent="0.35">
      <c r="B217" s="1233"/>
      <c r="C217" s="116" t="s">
        <v>1519</v>
      </c>
      <c r="D217" s="131">
        <v>3.5166455897705426</v>
      </c>
      <c r="E217" s="117">
        <v>3.1981026836587603</v>
      </c>
      <c r="F217" s="117">
        <v>2.3577348697983225</v>
      </c>
      <c r="G217" s="117">
        <v>2.284055243635378</v>
      </c>
      <c r="H217" s="117">
        <v>1.9743507764472474</v>
      </c>
      <c r="I217" s="117">
        <v>4.3546354381495291</v>
      </c>
      <c r="J217" s="117">
        <v>3.935751079980172</v>
      </c>
      <c r="K217" s="118">
        <v>1.9449995591834086</v>
      </c>
    </row>
    <row r="221" spans="2:11" ht="14.5" thickBot="1" x14ac:dyDescent="0.35"/>
    <row r="222" spans="2:11" x14ac:dyDescent="0.3">
      <c r="C222" s="132" t="s">
        <v>1995</v>
      </c>
      <c r="D222" s="132"/>
      <c r="E222" s="132"/>
      <c r="F222" s="132"/>
    </row>
    <row r="223" spans="2:11" x14ac:dyDescent="0.3">
      <c r="C223" s="1504" t="s">
        <v>1996</v>
      </c>
      <c r="D223" s="1504" t="s">
        <v>1997</v>
      </c>
      <c r="E223" s="1504" t="s">
        <v>1998</v>
      </c>
      <c r="F223" s="1504" t="s">
        <v>1999</v>
      </c>
    </row>
    <row r="224" spans="2:11" x14ac:dyDescent="0.3">
      <c r="C224" s="1498">
        <v>1</v>
      </c>
      <c r="D224" s="1505">
        <v>249.51726628064097</v>
      </c>
      <c r="E224" s="1506">
        <v>4.160909604960078E-2</v>
      </c>
      <c r="F224" s="1507">
        <v>1.664363841984031</v>
      </c>
      <c r="H224" s="134" t="s">
        <v>2000</v>
      </c>
    </row>
    <row r="225" spans="2:11" x14ac:dyDescent="0.3">
      <c r="C225" s="1498">
        <v>1.5</v>
      </c>
      <c r="D225" s="1505">
        <v>210.66713674610878</v>
      </c>
      <c r="E225" s="1506">
        <v>3.5130511238866166E-2</v>
      </c>
      <c r="F225" s="1507">
        <v>1.4052204495546468</v>
      </c>
      <c r="H225" s="134" t="s">
        <v>2001</v>
      </c>
    </row>
    <row r="226" spans="2:11" x14ac:dyDescent="0.3">
      <c r="C226" s="1498">
        <v>2</v>
      </c>
      <c r="D226" s="1505">
        <v>183.10253117089155</v>
      </c>
      <c r="E226" s="1506">
        <v>3.0533882163671946E-2</v>
      </c>
      <c r="F226" s="1507">
        <v>1.2213552865468777</v>
      </c>
    </row>
    <row r="227" spans="2:11" x14ac:dyDescent="0.3">
      <c r="C227" s="1498">
        <v>2.5</v>
      </c>
      <c r="D227" s="1505">
        <v>161.72176202456114</v>
      </c>
      <c r="E227" s="1506">
        <v>2.6968459656904815E-2</v>
      </c>
      <c r="F227" s="1507">
        <v>1.0787383862761928</v>
      </c>
    </row>
    <row r="228" spans="2:11" x14ac:dyDescent="0.3">
      <c r="B228" s="2"/>
      <c r="C228" s="1498">
        <v>3</v>
      </c>
      <c r="D228" s="1505">
        <v>144.25240163635937</v>
      </c>
      <c r="E228" s="1506">
        <v>2.4055297352937349E-2</v>
      </c>
      <c r="F228" s="1507">
        <v>0.96221189411749375</v>
      </c>
      <c r="I228" s="135"/>
      <c r="J228" s="135"/>
      <c r="K228" s="135"/>
    </row>
    <row r="229" spans="2:11" x14ac:dyDescent="0.3">
      <c r="B229" s="136"/>
      <c r="C229" s="1498">
        <v>3.5</v>
      </c>
      <c r="D229" s="1505">
        <v>129.48226788288343</v>
      </c>
      <c r="E229" s="1506">
        <v>2.1592253720026586E-2</v>
      </c>
      <c r="F229" s="1507">
        <v>0.86369014880106332</v>
      </c>
      <c r="I229" s="135"/>
      <c r="J229" s="135"/>
      <c r="K229" s="135"/>
    </row>
    <row r="230" spans="2:11" x14ac:dyDescent="0.3">
      <c r="B230" s="136"/>
      <c r="C230" s="1498">
        <v>4</v>
      </c>
      <c r="D230" s="1505">
        <v>116.68779606114217</v>
      </c>
      <c r="E230" s="1506">
        <v>1.9458668277743119E-2</v>
      </c>
      <c r="F230" s="1507">
        <v>0.77834673110972485</v>
      </c>
      <c r="I230" s="135"/>
      <c r="J230" s="135"/>
      <c r="K230" s="135"/>
    </row>
    <row r="231" spans="2:11" x14ac:dyDescent="0.3">
      <c r="B231" s="137"/>
      <c r="C231" s="1498">
        <v>4.5</v>
      </c>
      <c r="D231" s="1505">
        <v>105.40227210182719</v>
      </c>
      <c r="E231" s="1506">
        <v>1.7576712542202746E-2</v>
      </c>
      <c r="F231" s="1507">
        <v>0.70306850168810975</v>
      </c>
      <c r="I231" s="135"/>
      <c r="J231" s="135"/>
      <c r="K231" s="135"/>
    </row>
    <row r="232" spans="2:11" x14ac:dyDescent="0.3">
      <c r="C232" s="1498">
        <v>5</v>
      </c>
      <c r="D232" s="1505">
        <v>95.307026914811743</v>
      </c>
      <c r="E232" s="1506">
        <v>1.5893245770975992E-2</v>
      </c>
      <c r="F232" s="1507">
        <v>0.63572983083903978</v>
      </c>
      <c r="I232" s="135"/>
      <c r="J232" s="135"/>
      <c r="K232" s="135"/>
    </row>
    <row r="233" spans="2:11" x14ac:dyDescent="0.3">
      <c r="C233" s="1498">
        <v>5.5</v>
      </c>
      <c r="D233" s="1505">
        <v>86.17476680830265</v>
      </c>
      <c r="E233" s="1506">
        <v>1.4370364835376563E-2</v>
      </c>
      <c r="F233" s="1507">
        <v>0.57481459341506269</v>
      </c>
      <c r="I233" s="135"/>
      <c r="J233" s="135"/>
      <c r="K233" s="135"/>
    </row>
    <row r="234" spans="2:11" x14ac:dyDescent="0.3">
      <c r="C234" s="1498">
        <v>6</v>
      </c>
      <c r="D234" s="1505">
        <v>77.837666526609993</v>
      </c>
      <c r="E234" s="1506">
        <v>1.298008346700852E-2</v>
      </c>
      <c r="F234" s="1507">
        <v>0.51920333868034085</v>
      </c>
      <c r="I234" s="135"/>
      <c r="J234" s="135"/>
      <c r="K234" s="135"/>
    </row>
    <row r="235" spans="2:11" x14ac:dyDescent="0.3">
      <c r="C235" s="1498">
        <v>6.5</v>
      </c>
      <c r="D235" s="1505">
        <v>70.168277720454</v>
      </c>
      <c r="E235" s="1506">
        <v>1.170114858513082E-2</v>
      </c>
      <c r="F235" s="1507">
        <v>0.46804594340523287</v>
      </c>
      <c r="I235" s="135"/>
      <c r="J235" s="135"/>
      <c r="K235" s="135"/>
    </row>
    <row r="236" spans="2:11" x14ac:dyDescent="0.3">
      <c r="C236" s="1498">
        <v>7</v>
      </c>
      <c r="D236" s="1505">
        <v>63.067532773134026</v>
      </c>
      <c r="E236" s="1506">
        <v>1.0517039834097758E-2</v>
      </c>
      <c r="F236" s="1507">
        <v>0.42068159336391031</v>
      </c>
      <c r="I236" s="135"/>
      <c r="J236" s="135"/>
      <c r="K236" s="135"/>
    </row>
    <row r="237" spans="2:11" x14ac:dyDescent="0.3">
      <c r="C237" s="1498">
        <v>7.5</v>
      </c>
      <c r="D237" s="1505">
        <v>56.456897380279564</v>
      </c>
      <c r="E237" s="1506">
        <v>9.4146609602413917E-3</v>
      </c>
      <c r="F237" s="1507">
        <v>0.37658643840965572</v>
      </c>
      <c r="I237" s="135"/>
      <c r="J237" s="135"/>
      <c r="K237" s="135"/>
    </row>
    <row r="238" spans="2:11" x14ac:dyDescent="0.3">
      <c r="B238" s="2"/>
      <c r="C238" s="1498">
        <v>8</v>
      </c>
      <c r="D238" s="1505">
        <v>50.273060951392779</v>
      </c>
      <c r="E238" s="1506">
        <v>8.3834543918142948E-3</v>
      </c>
      <c r="F238" s="1507">
        <v>0.33533817567257174</v>
      </c>
      <c r="I238" s="135"/>
      <c r="J238" s="135"/>
      <c r="K238" s="135"/>
    </row>
    <row r="239" spans="2:11" x14ac:dyDescent="0.3">
      <c r="B239" s="136"/>
      <c r="C239" s="1498">
        <v>8.5</v>
      </c>
      <c r="D239" s="1505">
        <v>44.46423951780541</v>
      </c>
      <c r="E239" s="1506">
        <v>7.4147847178957435E-3</v>
      </c>
      <c r="F239" s="1507">
        <v>0.29659138871582974</v>
      </c>
      <c r="I239" s="135"/>
      <c r="J239" s="135"/>
      <c r="K239" s="135"/>
    </row>
    <row r="240" spans="2:11" x14ac:dyDescent="0.3">
      <c r="B240" s="136"/>
      <c r="C240" s="1498">
        <v>9</v>
      </c>
      <c r="D240" s="1505">
        <v>38.987536992077793</v>
      </c>
      <c r="E240" s="1506">
        <v>6.5014986562739168E-3</v>
      </c>
      <c r="F240" s="1507">
        <v>0.26005994625095663</v>
      </c>
      <c r="I240" s="135"/>
      <c r="J240" s="135"/>
      <c r="K240" s="135"/>
    </row>
    <row r="241" spans="2:11" x14ac:dyDescent="0.3">
      <c r="B241" s="137"/>
      <c r="C241" s="1498">
        <v>9.5</v>
      </c>
      <c r="D241" s="1505">
        <v>33.807020819618181</v>
      </c>
      <c r="E241" s="1506">
        <v>5.6376041522200847E-3</v>
      </c>
      <c r="F241" s="1507">
        <v>0.22550416608880339</v>
      </c>
      <c r="I241" s="135"/>
      <c r="J241" s="135"/>
      <c r="K241" s="135"/>
    </row>
    <row r="242" spans="2:11" x14ac:dyDescent="0.3">
      <c r="C242" s="1498">
        <v>10</v>
      </c>
      <c r="D242" s="1505">
        <v>28.8922918050623</v>
      </c>
      <c r="E242" s="1506">
        <v>4.8180318850471592E-3</v>
      </c>
      <c r="F242" s="1507">
        <v>0.19272127540188641</v>
      </c>
      <c r="I242" s="135"/>
      <c r="J242" s="135"/>
      <c r="K242" s="135"/>
    </row>
    <row r="243" spans="2:11" x14ac:dyDescent="0.3">
      <c r="I243" s="135"/>
      <c r="J243" s="135"/>
      <c r="K243" s="135"/>
    </row>
    <row r="244" spans="2:11" ht="14.5" thickBot="1" x14ac:dyDescent="0.35">
      <c r="I244" s="135"/>
      <c r="J244" s="135"/>
      <c r="K244" s="135"/>
    </row>
    <row r="245" spans="2:11" x14ac:dyDescent="0.3">
      <c r="C245" s="132" t="s">
        <v>2002</v>
      </c>
      <c r="D245" s="132"/>
      <c r="E245" s="132"/>
      <c r="F245" s="132"/>
      <c r="H245" s="134" t="s">
        <v>2003</v>
      </c>
      <c r="I245" s="135"/>
      <c r="J245" s="135"/>
      <c r="K245" s="135"/>
    </row>
    <row r="246" spans="2:11" x14ac:dyDescent="0.3">
      <c r="C246" s="1508" t="s">
        <v>1996</v>
      </c>
      <c r="D246" s="1508" t="s">
        <v>2004</v>
      </c>
      <c r="E246" s="1508" t="s">
        <v>2005</v>
      </c>
      <c r="F246" s="1508" t="s">
        <v>2006</v>
      </c>
      <c r="H246" s="134" t="s">
        <v>2007</v>
      </c>
      <c r="I246" s="135"/>
      <c r="J246" s="135"/>
      <c r="K246" s="135"/>
    </row>
    <row r="247" spans="2:11" x14ac:dyDescent="0.3">
      <c r="C247" s="1498" t="s">
        <v>376</v>
      </c>
      <c r="D247" s="1509">
        <v>296.16971752645202</v>
      </c>
      <c r="E247" s="1510">
        <v>4.9388783418622247E-2</v>
      </c>
      <c r="F247" s="1511">
        <v>1.9755513367448896</v>
      </c>
      <c r="I247" s="135"/>
      <c r="J247" s="135"/>
      <c r="K247" s="135"/>
    </row>
    <row r="248" spans="2:11" x14ac:dyDescent="0.3">
      <c r="B248" s="2"/>
      <c r="D248" s="135"/>
      <c r="E248" s="135"/>
      <c r="F248" s="135"/>
      <c r="G248" s="135"/>
      <c r="H248" s="135"/>
      <c r="I248" s="135"/>
      <c r="J248" s="135"/>
      <c r="K248" s="135"/>
    </row>
    <row r="249" spans="2:11" x14ac:dyDescent="0.3">
      <c r="B249" s="136"/>
      <c r="D249" s="135"/>
      <c r="E249" s="135"/>
      <c r="F249" s="135"/>
      <c r="G249" s="135"/>
      <c r="H249" s="135"/>
      <c r="I249" s="135"/>
      <c r="J249" s="135"/>
      <c r="K249" s="135"/>
    </row>
    <row r="250" spans="2:11" x14ac:dyDescent="0.3">
      <c r="B250" s="136"/>
      <c r="D250" s="135"/>
      <c r="E250" s="135"/>
      <c r="F250" s="135"/>
      <c r="G250" s="135"/>
      <c r="H250" s="135"/>
      <c r="I250" s="135"/>
      <c r="J250" s="135"/>
      <c r="K250" s="135"/>
    </row>
    <row r="251" spans="2:11" x14ac:dyDescent="0.3">
      <c r="B251" s="137"/>
      <c r="D251" s="135"/>
      <c r="E251" s="135"/>
      <c r="F251" s="135"/>
      <c r="G251" s="135"/>
      <c r="H251" s="135"/>
      <c r="I251" s="135"/>
      <c r="J251" s="135"/>
      <c r="K251" s="135"/>
    </row>
  </sheetData>
  <sheetProtection algorithmName="SHA-512" hashValue="EDRO/jPAtQPXeVKFocijJt8sWPMdNLP2dPapmK5pa0f11E0wX6wqdMHWTqWnAo+kW5vz+BJG/wlvQoWY4NIe1Q==" saltValue="YWhYqCpS/D4HJNDgNJNHkQ==" spinCount="100000" sheet="1" objects="1" scenarios="1" autoFilter="0"/>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21"/>
  <dimension ref="B1:K253"/>
  <sheetViews>
    <sheetView workbookViewId="0">
      <selection activeCell="G9" sqref="G9"/>
    </sheetView>
  </sheetViews>
  <sheetFormatPr defaultColWidth="7.58203125" defaultRowHeight="14" x14ac:dyDescent="0.3"/>
  <cols>
    <col min="2" max="2" width="22" customWidth="1"/>
    <col min="3" max="3" width="28.33203125" customWidth="1"/>
  </cols>
  <sheetData>
    <row r="1" spans="2:11" ht="14.5" thickBot="1" x14ac:dyDescent="0.35"/>
    <row r="2" spans="2:11" ht="25.5" thickBot="1" x14ac:dyDescent="0.55000000000000004">
      <c r="B2" s="88" t="s">
        <v>1960</v>
      </c>
      <c r="C2" s="89"/>
      <c r="D2" s="90">
        <v>3</v>
      </c>
      <c r="E2" s="91" t="s">
        <v>1961</v>
      </c>
      <c r="F2" s="92"/>
      <c r="G2" s="92"/>
      <c r="H2" s="92"/>
      <c r="I2" s="93"/>
      <c r="J2" s="89" t="s">
        <v>176</v>
      </c>
      <c r="K2" s="94" t="s">
        <v>243</v>
      </c>
    </row>
    <row r="3" spans="2:11" ht="14.5" thickBot="1" x14ac:dyDescent="0.35">
      <c r="B3" s="95" t="s">
        <v>1962</v>
      </c>
      <c r="C3" s="96" t="s">
        <v>1963</v>
      </c>
      <c r="D3" s="95" t="s">
        <v>1964</v>
      </c>
      <c r="E3" s="97" t="s">
        <v>1965</v>
      </c>
      <c r="F3" s="97" t="s">
        <v>1966</v>
      </c>
      <c r="G3" s="97" t="s">
        <v>1967</v>
      </c>
      <c r="H3" s="97" t="s">
        <v>1968</v>
      </c>
      <c r="I3" s="97" t="s">
        <v>1969</v>
      </c>
      <c r="J3" s="97" t="s">
        <v>1970</v>
      </c>
      <c r="K3" s="98" t="s">
        <v>1971</v>
      </c>
    </row>
    <row r="4" spans="2:11" ht="18.5" thickBot="1" x14ac:dyDescent="0.45">
      <c r="B4" s="99" t="s">
        <v>34</v>
      </c>
      <c r="C4" s="100" t="s">
        <v>34</v>
      </c>
      <c r="D4" s="101" t="s">
        <v>34</v>
      </c>
      <c r="E4" s="944"/>
      <c r="F4" s="944"/>
      <c r="G4" s="944"/>
      <c r="H4" s="944"/>
      <c r="I4" s="944" t="s">
        <v>34</v>
      </c>
      <c r="J4" s="944" t="s">
        <v>34</v>
      </c>
      <c r="K4" s="102"/>
    </row>
    <row r="5" spans="2:11" ht="86.5" thickBot="1" x14ac:dyDescent="0.45">
      <c r="B5" s="103" t="s">
        <v>1972</v>
      </c>
      <c r="C5" s="104" t="s">
        <v>1973</v>
      </c>
      <c r="D5" s="105" t="s">
        <v>1974</v>
      </c>
      <c r="E5" s="105" t="s">
        <v>1525</v>
      </c>
      <c r="F5" s="105" t="s">
        <v>1527</v>
      </c>
      <c r="G5" s="105" t="s">
        <v>1975</v>
      </c>
      <c r="H5" s="105" t="s">
        <v>1976</v>
      </c>
      <c r="I5" s="105" t="s">
        <v>1445</v>
      </c>
      <c r="J5" s="105" t="s">
        <v>1538</v>
      </c>
      <c r="K5" s="106" t="s">
        <v>1541</v>
      </c>
    </row>
    <row r="6" spans="2:11" x14ac:dyDescent="0.3">
      <c r="B6" s="107" t="s">
        <v>1977</v>
      </c>
      <c r="C6" s="108" t="s">
        <v>1416</v>
      </c>
      <c r="D6" s="109">
        <v>2.9551454504466537</v>
      </c>
      <c r="E6" s="109">
        <v>1.909371889306579</v>
      </c>
      <c r="F6" s="109">
        <v>1.3705013272028199</v>
      </c>
      <c r="G6" s="109">
        <v>1.0773583999804093</v>
      </c>
      <c r="H6" s="109">
        <v>0.85940117455872123</v>
      </c>
      <c r="I6" s="109">
        <v>3.2967799091134804</v>
      </c>
      <c r="J6" s="109">
        <v>2.8305467686268004</v>
      </c>
      <c r="K6" s="110">
        <v>0.79551838317413981</v>
      </c>
    </row>
    <row r="7" spans="2:11" x14ac:dyDescent="0.3">
      <c r="B7" s="111" t="s">
        <v>1978</v>
      </c>
      <c r="C7" s="112" t="s">
        <v>1483</v>
      </c>
      <c r="D7" s="1499">
        <v>5.0230805811178003</v>
      </c>
      <c r="E7" s="1499">
        <v>4.1153375025205454</v>
      </c>
      <c r="F7" s="1499">
        <v>3.4242721155767475</v>
      </c>
      <c r="G7" s="1499">
        <v>3.1812624578904498</v>
      </c>
      <c r="H7" s="1499">
        <v>2.8918427426301219</v>
      </c>
      <c r="I7" s="1499">
        <v>5.5170120625297061</v>
      </c>
      <c r="J7" s="1499">
        <v>5.05523166266887</v>
      </c>
      <c r="K7" s="113">
        <v>2.8403715951271682</v>
      </c>
    </row>
    <row r="8" spans="2:11" x14ac:dyDescent="0.3">
      <c r="B8" s="111" t="s">
        <v>1979</v>
      </c>
      <c r="C8" s="112" t="s">
        <v>1489</v>
      </c>
      <c r="D8" s="1499">
        <v>4.7797079372411551</v>
      </c>
      <c r="E8" s="1499">
        <v>3.8719648586439002</v>
      </c>
      <c r="F8" s="1499">
        <v>3.1808994717001027</v>
      </c>
      <c r="G8" s="1499">
        <v>2.937889814013805</v>
      </c>
      <c r="H8" s="1499">
        <v>2.6484700987534771</v>
      </c>
      <c r="I8" s="1499">
        <v>5.2736394186530609</v>
      </c>
      <c r="J8" s="1499">
        <v>4.8118590187922248</v>
      </c>
      <c r="K8" s="113">
        <v>2.5969989512505234</v>
      </c>
    </row>
    <row r="9" spans="2:11" x14ac:dyDescent="0.3">
      <c r="B9" s="114">
        <v>0</v>
      </c>
      <c r="C9" s="112" t="s">
        <v>1496</v>
      </c>
      <c r="D9" s="1499">
        <v>4.4146489714261881</v>
      </c>
      <c r="E9" s="1499">
        <v>3.5069058928289332</v>
      </c>
      <c r="F9" s="1499">
        <v>2.8158405058851357</v>
      </c>
      <c r="G9" s="1499">
        <v>2.5728308481988376</v>
      </c>
      <c r="H9" s="1499">
        <v>2.2834111329385101</v>
      </c>
      <c r="I9" s="1499">
        <v>4.9085804528380947</v>
      </c>
      <c r="J9" s="1499">
        <v>4.4468000529772587</v>
      </c>
      <c r="K9" s="113">
        <v>2.2319399854355559</v>
      </c>
    </row>
    <row r="10" spans="2:11" x14ac:dyDescent="0.3">
      <c r="B10" s="115"/>
      <c r="C10" s="112" t="s">
        <v>1500</v>
      </c>
      <c r="D10" s="1499">
        <v>4.0495900056112211</v>
      </c>
      <c r="E10" s="1499">
        <v>3.1418469270139657</v>
      </c>
      <c r="F10" s="1499">
        <v>2.4507815400701682</v>
      </c>
      <c r="G10" s="1499">
        <v>2.2077718823838701</v>
      </c>
      <c r="H10" s="1499">
        <v>1.9183521671235426</v>
      </c>
      <c r="I10" s="1499">
        <v>4.5435214870231277</v>
      </c>
      <c r="J10" s="1499">
        <v>4.0817410871622908</v>
      </c>
      <c r="K10" s="113">
        <v>1.8668810196205887</v>
      </c>
    </row>
    <row r="11" spans="2:11" x14ac:dyDescent="0.3">
      <c r="B11" s="115"/>
      <c r="C11" s="112" t="s">
        <v>1504</v>
      </c>
      <c r="D11" s="1499">
        <v>4.5961443919872185</v>
      </c>
      <c r="E11" s="1499">
        <v>3.6746596468103796</v>
      </c>
      <c r="F11" s="1499">
        <v>3.0005829214778794</v>
      </c>
      <c r="G11" s="1499">
        <v>2.7466424877677067</v>
      </c>
      <c r="H11" s="1499">
        <v>2.4611628368911793</v>
      </c>
      <c r="I11" s="1499">
        <v>5.0774641787651502</v>
      </c>
      <c r="J11" s="1499">
        <v>4.611539095777367</v>
      </c>
      <c r="K11" s="113">
        <v>2.4109795314449314</v>
      </c>
    </row>
    <row r="12" spans="2:11" x14ac:dyDescent="0.3">
      <c r="B12" s="115"/>
      <c r="C12" s="112" t="s">
        <v>1508</v>
      </c>
      <c r="D12" s="1499">
        <v>4.3935809023292238</v>
      </c>
      <c r="E12" s="1499">
        <v>3.472096157152385</v>
      </c>
      <c r="F12" s="1499">
        <v>2.7980194318198848</v>
      </c>
      <c r="G12" s="1499">
        <v>2.5440789981097121</v>
      </c>
      <c r="H12" s="1499">
        <v>2.2585993472331847</v>
      </c>
      <c r="I12" s="1499">
        <v>4.8749006891071556</v>
      </c>
      <c r="J12" s="1499">
        <v>4.4089756061193723</v>
      </c>
      <c r="K12" s="113">
        <v>2.2084160417869367</v>
      </c>
    </row>
    <row r="13" spans="2:11" x14ac:dyDescent="0.3">
      <c r="B13" s="115"/>
      <c r="C13" s="112" t="s">
        <v>1513</v>
      </c>
      <c r="D13" s="1499">
        <v>4.0897356678422323</v>
      </c>
      <c r="E13" s="1499">
        <v>3.168250922665393</v>
      </c>
      <c r="F13" s="1499">
        <v>2.4941741973328928</v>
      </c>
      <c r="G13" s="1499">
        <v>2.2402337636227201</v>
      </c>
      <c r="H13" s="1499">
        <v>1.9547541127461927</v>
      </c>
      <c r="I13" s="1499">
        <v>4.571055454620164</v>
      </c>
      <c r="J13" s="1499">
        <v>4.1051303716323808</v>
      </c>
      <c r="K13" s="113">
        <v>1.904570807299945</v>
      </c>
    </row>
    <row r="14" spans="2:11" x14ac:dyDescent="0.3">
      <c r="B14" s="115"/>
      <c r="C14" s="112" t="s">
        <v>1517</v>
      </c>
      <c r="D14" s="1499">
        <v>3.7858904333552403</v>
      </c>
      <c r="E14" s="1499">
        <v>2.864405688178401</v>
      </c>
      <c r="F14" s="1499">
        <v>2.1903289628459008</v>
      </c>
      <c r="G14" s="1499">
        <v>1.9363885291357281</v>
      </c>
      <c r="H14" s="1499">
        <v>1.6509088782592007</v>
      </c>
      <c r="I14" s="1499">
        <v>4.2672102201331725</v>
      </c>
      <c r="J14" s="1499">
        <v>3.8012851371453888</v>
      </c>
      <c r="K14" s="113">
        <v>1.600725572812953</v>
      </c>
    </row>
    <row r="15" spans="2:11" ht="14.5" thickBot="1" x14ac:dyDescent="0.35">
      <c r="B15" s="1233"/>
      <c r="C15" s="116" t="s">
        <v>1519</v>
      </c>
      <c r="D15" s="117">
        <v>5.0230805811178003</v>
      </c>
      <c r="E15" s="117">
        <v>4.1153375025205454</v>
      </c>
      <c r="F15" s="117">
        <v>3.4242721155767475</v>
      </c>
      <c r="G15" s="117">
        <v>3.1812624578904498</v>
      </c>
      <c r="H15" s="117">
        <v>2.8918427426301219</v>
      </c>
      <c r="I15" s="117">
        <v>5.5170120625297061</v>
      </c>
      <c r="J15" s="117">
        <v>5.05523166266887</v>
      </c>
      <c r="K15" s="118">
        <v>2.8403715951271682</v>
      </c>
    </row>
    <row r="16" spans="2:11" x14ac:dyDescent="0.3">
      <c r="B16" s="107" t="s">
        <v>1977</v>
      </c>
      <c r="C16" s="108" t="s">
        <v>1416</v>
      </c>
      <c r="D16" s="109">
        <v>2.9271338664146564</v>
      </c>
      <c r="E16" s="109">
        <v>1.8813603052745818</v>
      </c>
      <c r="F16" s="109">
        <v>1.3424897431708227</v>
      </c>
      <c r="G16" s="109">
        <v>1.0493468159484123</v>
      </c>
      <c r="H16" s="109">
        <v>0.83138959052672412</v>
      </c>
      <c r="I16" s="109">
        <v>3.2687683250814832</v>
      </c>
      <c r="J16" s="109">
        <v>2.8025351845948032</v>
      </c>
      <c r="K16" s="110">
        <v>0.7675067991421427</v>
      </c>
    </row>
    <row r="17" spans="2:11" x14ac:dyDescent="0.3">
      <c r="B17" s="111" t="s">
        <v>1978</v>
      </c>
      <c r="C17" s="112" t="s">
        <v>1483</v>
      </c>
      <c r="D17" s="1499">
        <v>4.995068997085804</v>
      </c>
      <c r="E17" s="1499">
        <v>4.0873259184885482</v>
      </c>
      <c r="F17" s="1499">
        <v>3.3962605315447503</v>
      </c>
      <c r="G17" s="1499">
        <v>3.1532508738584522</v>
      </c>
      <c r="H17" s="1499">
        <v>2.8638311585981246</v>
      </c>
      <c r="I17" s="1499">
        <v>5.4890004784977098</v>
      </c>
      <c r="J17" s="1499">
        <v>5.0272200786368737</v>
      </c>
      <c r="K17" s="113">
        <v>2.812360011095171</v>
      </c>
    </row>
    <row r="18" spans="2:11" x14ac:dyDescent="0.3">
      <c r="B18" s="111" t="s">
        <v>1980</v>
      </c>
      <c r="C18" s="112" t="s">
        <v>1489</v>
      </c>
      <c r="D18" s="1499">
        <v>4.7516963532091587</v>
      </c>
      <c r="E18" s="1499">
        <v>3.8439532746119029</v>
      </c>
      <c r="F18" s="1499">
        <v>3.1528878876681055</v>
      </c>
      <c r="G18" s="1499">
        <v>2.9098782299818078</v>
      </c>
      <c r="H18" s="1499">
        <v>2.6204585147214798</v>
      </c>
      <c r="I18" s="1499">
        <v>5.2456278346210645</v>
      </c>
      <c r="J18" s="1499">
        <v>4.7838474347602284</v>
      </c>
      <c r="K18" s="113">
        <v>2.5689873672185262</v>
      </c>
    </row>
    <row r="19" spans="2:11" x14ac:dyDescent="0.3">
      <c r="B19" s="114">
        <v>0</v>
      </c>
      <c r="C19" s="112" t="s">
        <v>1496</v>
      </c>
      <c r="D19" s="1499">
        <v>4.3866373873941908</v>
      </c>
      <c r="E19" s="1499">
        <v>3.478894308796936</v>
      </c>
      <c r="F19" s="1499">
        <v>2.7878289218531385</v>
      </c>
      <c r="G19" s="1499">
        <v>2.5448192641668403</v>
      </c>
      <c r="H19" s="1499">
        <v>2.2553995489065128</v>
      </c>
      <c r="I19" s="1499">
        <v>4.8805688688060975</v>
      </c>
      <c r="J19" s="1499">
        <v>4.4187884689452606</v>
      </c>
      <c r="K19" s="113">
        <v>2.2039284014035587</v>
      </c>
    </row>
    <row r="20" spans="2:11" x14ac:dyDescent="0.3">
      <c r="B20" s="115"/>
      <c r="C20" s="112" t="s">
        <v>1500</v>
      </c>
      <c r="D20" s="1499">
        <v>4.0215784215792238</v>
      </c>
      <c r="E20" s="1499">
        <v>3.1138353429819685</v>
      </c>
      <c r="F20" s="1499">
        <v>2.422769956038171</v>
      </c>
      <c r="G20" s="1499">
        <v>2.1797602983518729</v>
      </c>
      <c r="H20" s="1499">
        <v>1.8903405830915456</v>
      </c>
      <c r="I20" s="1499">
        <v>4.5155099029911296</v>
      </c>
      <c r="J20" s="1499">
        <v>4.0537295031302936</v>
      </c>
      <c r="K20" s="113">
        <v>1.8388694355885917</v>
      </c>
    </row>
    <row r="21" spans="2:11" x14ac:dyDescent="0.3">
      <c r="B21" s="115"/>
      <c r="C21" s="112" t="s">
        <v>1504</v>
      </c>
      <c r="D21" s="1499">
        <v>4.5681328079552221</v>
      </c>
      <c r="E21" s="1499">
        <v>3.6466480627783824</v>
      </c>
      <c r="F21" s="1499">
        <v>2.9725713374458822</v>
      </c>
      <c r="G21" s="1499">
        <v>2.7186309037357095</v>
      </c>
      <c r="H21" s="1499">
        <v>2.4331512528591821</v>
      </c>
      <c r="I21" s="1499">
        <v>5.0494525947331539</v>
      </c>
      <c r="J21" s="1499">
        <v>4.5835275117453698</v>
      </c>
      <c r="K21" s="113">
        <v>2.3829679474129342</v>
      </c>
    </row>
    <row r="22" spans="2:11" x14ac:dyDescent="0.3">
      <c r="B22" s="115"/>
      <c r="C22" s="112" t="s">
        <v>1508</v>
      </c>
      <c r="D22" s="1499">
        <v>4.3655693182972275</v>
      </c>
      <c r="E22" s="1499">
        <v>3.4440845731203877</v>
      </c>
      <c r="F22" s="1499">
        <v>2.7700078477878876</v>
      </c>
      <c r="G22" s="1499">
        <v>2.5160674140777148</v>
      </c>
      <c r="H22" s="1499">
        <v>2.2305877632011875</v>
      </c>
      <c r="I22" s="1499">
        <v>4.8468891050751592</v>
      </c>
      <c r="J22" s="1499">
        <v>4.3809640220873751</v>
      </c>
      <c r="K22" s="113">
        <v>2.1804044577549395</v>
      </c>
    </row>
    <row r="23" spans="2:11" x14ac:dyDescent="0.3">
      <c r="B23" s="115"/>
      <c r="C23" s="112" t="s">
        <v>1513</v>
      </c>
      <c r="D23" s="1499">
        <v>4.0617240838102351</v>
      </c>
      <c r="E23" s="1499">
        <v>3.1402393386333958</v>
      </c>
      <c r="F23" s="1499">
        <v>2.4661626133008956</v>
      </c>
      <c r="G23" s="1499">
        <v>2.2122221795907229</v>
      </c>
      <c r="H23" s="1499">
        <v>1.9267425287141955</v>
      </c>
      <c r="I23" s="1499">
        <v>4.5430438705881677</v>
      </c>
      <c r="J23" s="1499">
        <v>4.0771187876003836</v>
      </c>
      <c r="K23" s="113">
        <v>1.8765592232679476</v>
      </c>
    </row>
    <row r="24" spans="2:11" x14ac:dyDescent="0.3">
      <c r="B24" s="115"/>
      <c r="C24" s="112" t="s">
        <v>1517</v>
      </c>
      <c r="D24" s="1499">
        <v>3.7578788493232431</v>
      </c>
      <c r="E24" s="1499">
        <v>2.8363941041464038</v>
      </c>
      <c r="F24" s="1499">
        <v>2.1623173788139036</v>
      </c>
      <c r="G24" s="1499">
        <v>1.9083769451037311</v>
      </c>
      <c r="H24" s="1499">
        <v>1.6228972942272037</v>
      </c>
      <c r="I24" s="1499">
        <v>4.2391986361011753</v>
      </c>
      <c r="J24" s="1499">
        <v>3.7732735531133916</v>
      </c>
      <c r="K24" s="113">
        <v>1.572713988780956</v>
      </c>
    </row>
    <row r="25" spans="2:11" ht="14.5" thickBot="1" x14ac:dyDescent="0.35">
      <c r="B25" s="1233"/>
      <c r="C25" s="116" t="s">
        <v>1519</v>
      </c>
      <c r="D25" s="117">
        <v>4.995068997085804</v>
      </c>
      <c r="E25" s="117">
        <v>4.0873259184885482</v>
      </c>
      <c r="F25" s="117">
        <v>3.3962605315447503</v>
      </c>
      <c r="G25" s="117">
        <v>3.1532508738584522</v>
      </c>
      <c r="H25" s="117">
        <v>2.8638311585981246</v>
      </c>
      <c r="I25" s="117">
        <v>5.4890004784977098</v>
      </c>
      <c r="J25" s="117">
        <v>5.0272200786368737</v>
      </c>
      <c r="K25" s="118">
        <v>2.812360011095171</v>
      </c>
    </row>
    <row r="26" spans="2:11" x14ac:dyDescent="0.3">
      <c r="B26" s="107" t="s">
        <v>1977</v>
      </c>
      <c r="C26" s="108" t="s">
        <v>1416</v>
      </c>
      <c r="D26" s="109">
        <v>2.8851164903666606</v>
      </c>
      <c r="E26" s="109">
        <v>1.8393429292265862</v>
      </c>
      <c r="F26" s="109">
        <v>1.3004723671228271</v>
      </c>
      <c r="G26" s="109">
        <v>1.0073294399004165</v>
      </c>
      <c r="H26" s="109">
        <v>0.78937221447872841</v>
      </c>
      <c r="I26" s="109">
        <v>3.2267509490334878</v>
      </c>
      <c r="J26" s="109">
        <v>2.7605178085468078</v>
      </c>
      <c r="K26" s="110">
        <v>0.72548942309414699</v>
      </c>
    </row>
    <row r="27" spans="2:11" x14ac:dyDescent="0.3">
      <c r="B27" s="111" t="s">
        <v>1978</v>
      </c>
      <c r="C27" s="112" t="s">
        <v>1483</v>
      </c>
      <c r="D27" s="1499">
        <v>4.9530516210378073</v>
      </c>
      <c r="E27" s="1499">
        <v>4.0453085424405524</v>
      </c>
      <c r="F27" s="1499">
        <v>3.3542431554967549</v>
      </c>
      <c r="G27" s="1499">
        <v>3.1112334978104568</v>
      </c>
      <c r="H27" s="1499">
        <v>2.8218137825501293</v>
      </c>
      <c r="I27" s="1499">
        <v>5.446983102449714</v>
      </c>
      <c r="J27" s="1499">
        <v>4.9852027025888779</v>
      </c>
      <c r="K27" s="113">
        <v>2.7703426350471752</v>
      </c>
    </row>
    <row r="28" spans="2:11" x14ac:dyDescent="0.3">
      <c r="B28" s="111" t="s">
        <v>1981</v>
      </c>
      <c r="C28" s="112" t="s">
        <v>1489</v>
      </c>
      <c r="D28" s="1499">
        <v>4.7096789771611629</v>
      </c>
      <c r="E28" s="1499">
        <v>3.8019358985639076</v>
      </c>
      <c r="F28" s="1499">
        <v>3.1108705116201101</v>
      </c>
      <c r="G28" s="1499">
        <v>2.867860853933812</v>
      </c>
      <c r="H28" s="1499">
        <v>2.5784411386734845</v>
      </c>
      <c r="I28" s="1499">
        <v>5.2036104585730687</v>
      </c>
      <c r="J28" s="1499">
        <v>4.7418300587122326</v>
      </c>
      <c r="K28" s="113">
        <v>2.5269699911705303</v>
      </c>
    </row>
    <row r="29" spans="2:11" x14ac:dyDescent="0.3">
      <c r="B29" s="114">
        <v>0</v>
      </c>
      <c r="C29" s="112" t="s">
        <v>1496</v>
      </c>
      <c r="D29" s="1499">
        <v>4.344620011346195</v>
      </c>
      <c r="E29" s="1499">
        <v>3.4368769327489401</v>
      </c>
      <c r="F29" s="1499">
        <v>2.7458115458051426</v>
      </c>
      <c r="G29" s="1499">
        <v>2.5028018881188445</v>
      </c>
      <c r="H29" s="1499">
        <v>2.213382172858517</v>
      </c>
      <c r="I29" s="1499">
        <v>4.8385514927581017</v>
      </c>
      <c r="J29" s="1499">
        <v>4.3767710928972656</v>
      </c>
      <c r="K29" s="113">
        <v>2.1619110253555633</v>
      </c>
    </row>
    <row r="30" spans="2:11" x14ac:dyDescent="0.3">
      <c r="B30" s="115"/>
      <c r="C30" s="112" t="s">
        <v>1500</v>
      </c>
      <c r="D30" s="1499">
        <v>3.979561045531228</v>
      </c>
      <c r="E30" s="1499">
        <v>3.0718179669339727</v>
      </c>
      <c r="F30" s="1499">
        <v>2.3807525799901752</v>
      </c>
      <c r="G30" s="1499">
        <v>2.1377429223038775</v>
      </c>
      <c r="H30" s="1499">
        <v>1.8483232070435498</v>
      </c>
      <c r="I30" s="1499">
        <v>4.4734925269431338</v>
      </c>
      <c r="J30" s="1499">
        <v>4.0117121270822977</v>
      </c>
      <c r="K30" s="113">
        <v>1.7968520595405959</v>
      </c>
    </row>
    <row r="31" spans="2:11" x14ac:dyDescent="0.3">
      <c r="B31" s="115"/>
      <c r="C31" s="112" t="s">
        <v>1504</v>
      </c>
      <c r="D31" s="1499">
        <v>4.5261154319072263</v>
      </c>
      <c r="E31" s="1499">
        <v>3.6046306867303866</v>
      </c>
      <c r="F31" s="1499">
        <v>2.9305539613978868</v>
      </c>
      <c r="G31" s="1499">
        <v>2.6766135276877137</v>
      </c>
      <c r="H31" s="1499">
        <v>2.3911338768111863</v>
      </c>
      <c r="I31" s="1499">
        <v>5.0074352186851581</v>
      </c>
      <c r="J31" s="1499">
        <v>4.5415101356973748</v>
      </c>
      <c r="K31" s="113">
        <v>2.3409505713649388</v>
      </c>
    </row>
    <row r="32" spans="2:11" x14ac:dyDescent="0.3">
      <c r="B32" s="115"/>
      <c r="C32" s="112" t="s">
        <v>1508</v>
      </c>
      <c r="D32" s="1499">
        <v>4.3235519422492317</v>
      </c>
      <c r="E32" s="1499">
        <v>3.4020671970723919</v>
      </c>
      <c r="F32" s="1499">
        <v>2.7279904717398922</v>
      </c>
      <c r="G32" s="1499">
        <v>2.474050038029719</v>
      </c>
      <c r="H32" s="1499">
        <v>2.1885703871531916</v>
      </c>
      <c r="I32" s="1499">
        <v>4.8048717290271634</v>
      </c>
      <c r="J32" s="1499">
        <v>4.3389466460393802</v>
      </c>
      <c r="K32" s="113">
        <v>2.1383870817069441</v>
      </c>
    </row>
    <row r="33" spans="2:11" x14ac:dyDescent="0.3">
      <c r="B33" s="115"/>
      <c r="C33" s="112" t="s">
        <v>1513</v>
      </c>
      <c r="D33" s="1499">
        <v>4.0197067077622393</v>
      </c>
      <c r="E33" s="1499">
        <v>3.0982219625853999</v>
      </c>
      <c r="F33" s="1499">
        <v>2.4241452372529002</v>
      </c>
      <c r="G33" s="1499">
        <v>2.170204803542727</v>
      </c>
      <c r="H33" s="1499">
        <v>1.8847251526661999</v>
      </c>
      <c r="I33" s="1499">
        <v>4.5010264945401719</v>
      </c>
      <c r="J33" s="1499">
        <v>4.0351014115523878</v>
      </c>
      <c r="K33" s="113">
        <v>1.8345418472199522</v>
      </c>
    </row>
    <row r="34" spans="2:11" x14ac:dyDescent="0.3">
      <c r="B34" s="115"/>
      <c r="C34" s="112" t="s">
        <v>1517</v>
      </c>
      <c r="D34" s="1499">
        <v>3.7158614732752477</v>
      </c>
      <c r="E34" s="1499">
        <v>2.794376728098408</v>
      </c>
      <c r="F34" s="1499">
        <v>2.1203000027659082</v>
      </c>
      <c r="G34" s="1499">
        <v>1.8663595690557353</v>
      </c>
      <c r="H34" s="1499">
        <v>1.5808799181792079</v>
      </c>
      <c r="I34" s="1499">
        <v>4.1971812600531795</v>
      </c>
      <c r="J34" s="1499">
        <v>3.7312561770653958</v>
      </c>
      <c r="K34" s="113">
        <v>1.53069661273296</v>
      </c>
    </row>
    <row r="35" spans="2:11" ht="14.5" thickBot="1" x14ac:dyDescent="0.35">
      <c r="B35" s="1233"/>
      <c r="C35" s="116" t="s">
        <v>1519</v>
      </c>
      <c r="D35" s="117">
        <v>4.9530516210378073</v>
      </c>
      <c r="E35" s="117">
        <v>4.0453085424405524</v>
      </c>
      <c r="F35" s="117">
        <v>3.3542431554967549</v>
      </c>
      <c r="G35" s="117">
        <v>3.1112334978104568</v>
      </c>
      <c r="H35" s="117">
        <v>2.8218137825501293</v>
      </c>
      <c r="I35" s="117">
        <v>5.446983102449714</v>
      </c>
      <c r="J35" s="117">
        <v>4.9852027025888779</v>
      </c>
      <c r="K35" s="118">
        <v>2.7703426350471752</v>
      </c>
    </row>
    <row r="36" spans="2:11" x14ac:dyDescent="0.3">
      <c r="B36" s="107" t="s">
        <v>1977</v>
      </c>
      <c r="C36" s="108" t="s">
        <v>1416</v>
      </c>
      <c r="D36" s="109">
        <v>2.8430991143186652</v>
      </c>
      <c r="E36" s="109">
        <v>1.7973255531785903</v>
      </c>
      <c r="F36" s="109">
        <v>1.2584549910748313</v>
      </c>
      <c r="G36" s="109">
        <v>0.96531206385242085</v>
      </c>
      <c r="H36" s="109">
        <v>0.7473548384307328</v>
      </c>
      <c r="I36" s="109">
        <v>3.184733572985492</v>
      </c>
      <c r="J36" s="109">
        <v>2.718500432498812</v>
      </c>
      <c r="K36" s="110">
        <v>0.68347204704615139</v>
      </c>
    </row>
    <row r="37" spans="2:11" x14ac:dyDescent="0.3">
      <c r="B37" s="111" t="s">
        <v>1978</v>
      </c>
      <c r="C37" s="112" t="s">
        <v>1483</v>
      </c>
      <c r="D37" s="1499">
        <v>4.9110342449898114</v>
      </c>
      <c r="E37" s="1499">
        <v>4.0032911663925566</v>
      </c>
      <c r="F37" s="1499">
        <v>3.3122257794487591</v>
      </c>
      <c r="G37" s="1499">
        <v>3.0692161217624609</v>
      </c>
      <c r="H37" s="1499">
        <v>2.7797964065021334</v>
      </c>
      <c r="I37" s="1499">
        <v>5.4049657264017172</v>
      </c>
      <c r="J37" s="1499">
        <v>4.9431853265408812</v>
      </c>
      <c r="K37" s="113">
        <v>2.7283252589991798</v>
      </c>
    </row>
    <row r="38" spans="2:11" x14ac:dyDescent="0.3">
      <c r="B38" s="111" t="s">
        <v>1982</v>
      </c>
      <c r="C38" s="112" t="s">
        <v>1489</v>
      </c>
      <c r="D38" s="1499">
        <v>4.6676616011131671</v>
      </c>
      <c r="E38" s="1499">
        <v>3.7599185225159117</v>
      </c>
      <c r="F38" s="1499">
        <v>3.0688531355721143</v>
      </c>
      <c r="G38" s="1499">
        <v>2.8258434778858166</v>
      </c>
      <c r="H38" s="1499">
        <v>2.5364237626254886</v>
      </c>
      <c r="I38" s="1499">
        <v>5.1615930825250729</v>
      </c>
      <c r="J38" s="1499">
        <v>4.6998126826642368</v>
      </c>
      <c r="K38" s="113">
        <v>2.484952615122535</v>
      </c>
    </row>
    <row r="39" spans="2:11" x14ac:dyDescent="0.3">
      <c r="B39" s="114">
        <v>0</v>
      </c>
      <c r="C39" s="112" t="s">
        <v>1496</v>
      </c>
      <c r="D39" s="1499">
        <v>4.3026026352982001</v>
      </c>
      <c r="E39" s="1499">
        <v>3.3948595567009447</v>
      </c>
      <c r="F39" s="1499">
        <v>2.7037941697571473</v>
      </c>
      <c r="G39" s="1499">
        <v>2.4607845120708491</v>
      </c>
      <c r="H39" s="1499">
        <v>2.1713647968105216</v>
      </c>
      <c r="I39" s="1499">
        <v>4.7965341167101059</v>
      </c>
      <c r="J39" s="1499">
        <v>4.3347537168492698</v>
      </c>
      <c r="K39" s="113">
        <v>2.1198936493075675</v>
      </c>
    </row>
    <row r="40" spans="2:11" x14ac:dyDescent="0.3">
      <c r="B40" s="115"/>
      <c r="C40" s="112" t="s">
        <v>1500</v>
      </c>
      <c r="D40" s="1499">
        <v>3.9375436694832326</v>
      </c>
      <c r="E40" s="1499">
        <v>3.0298005908859773</v>
      </c>
      <c r="F40" s="1499">
        <v>2.3387352039421798</v>
      </c>
      <c r="G40" s="1499">
        <v>2.0957255462558817</v>
      </c>
      <c r="H40" s="1499">
        <v>1.8063058309955542</v>
      </c>
      <c r="I40" s="1499">
        <v>4.4314751508951389</v>
      </c>
      <c r="J40" s="1499">
        <v>3.9696947510343024</v>
      </c>
      <c r="K40" s="113">
        <v>1.7548346834926003</v>
      </c>
    </row>
    <row r="41" spans="2:11" x14ac:dyDescent="0.3">
      <c r="B41" s="115"/>
      <c r="C41" s="112" t="s">
        <v>1504</v>
      </c>
      <c r="D41" s="1499">
        <v>4.4840980558592305</v>
      </c>
      <c r="E41" s="1499">
        <v>3.5626133106823912</v>
      </c>
      <c r="F41" s="1499">
        <v>2.888536585349891</v>
      </c>
      <c r="G41" s="1499">
        <v>2.6345961516397183</v>
      </c>
      <c r="H41" s="1499">
        <v>2.3491165007631909</v>
      </c>
      <c r="I41" s="1499">
        <v>4.9654178426371622</v>
      </c>
      <c r="J41" s="1499">
        <v>4.499492759649379</v>
      </c>
      <c r="K41" s="113">
        <v>2.2989331953169425</v>
      </c>
    </row>
    <row r="42" spans="2:11" x14ac:dyDescent="0.3">
      <c r="B42" s="115"/>
      <c r="C42" s="112" t="s">
        <v>1508</v>
      </c>
      <c r="D42" s="1499">
        <v>4.2815345662012358</v>
      </c>
      <c r="E42" s="1499">
        <v>3.3600498210243965</v>
      </c>
      <c r="F42" s="1499">
        <v>2.6859730956918964</v>
      </c>
      <c r="G42" s="1499">
        <v>2.4320326619817236</v>
      </c>
      <c r="H42" s="1499">
        <v>2.1465530111051963</v>
      </c>
      <c r="I42" s="1499">
        <v>4.7628543529791676</v>
      </c>
      <c r="J42" s="1499">
        <v>4.2969292699913844</v>
      </c>
      <c r="K42" s="113">
        <v>2.0963697056589483</v>
      </c>
    </row>
    <row r="43" spans="2:11" x14ac:dyDescent="0.3">
      <c r="B43" s="115"/>
      <c r="C43" s="112" t="s">
        <v>1513</v>
      </c>
      <c r="D43" s="1499">
        <v>3.9776893317142439</v>
      </c>
      <c r="E43" s="1499">
        <v>3.0562045865374046</v>
      </c>
      <c r="F43" s="1499">
        <v>2.3821278612049044</v>
      </c>
      <c r="G43" s="1499">
        <v>2.1281874274947317</v>
      </c>
      <c r="H43" s="1499">
        <v>1.8427077766182043</v>
      </c>
      <c r="I43" s="1499">
        <v>4.4590091184921752</v>
      </c>
      <c r="J43" s="1499">
        <v>3.9930840355043924</v>
      </c>
      <c r="K43" s="113">
        <v>1.7925244711719566</v>
      </c>
    </row>
    <row r="44" spans="2:11" x14ac:dyDescent="0.3">
      <c r="B44" s="115"/>
      <c r="C44" s="112" t="s">
        <v>1517</v>
      </c>
      <c r="D44" s="1499">
        <v>3.6738440972272519</v>
      </c>
      <c r="E44" s="1499">
        <v>2.7523593520504126</v>
      </c>
      <c r="F44" s="1499">
        <v>2.0782826267179124</v>
      </c>
      <c r="G44" s="1499">
        <v>1.8243421930077397</v>
      </c>
      <c r="H44" s="1499">
        <v>1.5388625421312123</v>
      </c>
      <c r="I44" s="1499">
        <v>4.1551638840051837</v>
      </c>
      <c r="J44" s="1499">
        <v>3.6892388010174004</v>
      </c>
      <c r="K44" s="113">
        <v>1.4886792366849646</v>
      </c>
    </row>
    <row r="45" spans="2:11" ht="14.5" thickBot="1" x14ac:dyDescent="0.35">
      <c r="B45" s="1233"/>
      <c r="C45" s="116" t="s">
        <v>1519</v>
      </c>
      <c r="D45" s="117">
        <v>4.9110342449898114</v>
      </c>
      <c r="E45" s="117">
        <v>4.0032911663925566</v>
      </c>
      <c r="F45" s="117">
        <v>3.3122257794487591</v>
      </c>
      <c r="G45" s="117">
        <v>3.0692161217624609</v>
      </c>
      <c r="H45" s="117">
        <v>2.7797964065021334</v>
      </c>
      <c r="I45" s="117">
        <v>5.4049657264017172</v>
      </c>
      <c r="J45" s="117">
        <v>4.9431853265408812</v>
      </c>
      <c r="K45" s="118">
        <v>2.7283252589991798</v>
      </c>
    </row>
    <row r="46" spans="2:11" x14ac:dyDescent="0.3">
      <c r="B46" s="119" t="s">
        <v>1983</v>
      </c>
      <c r="C46" s="108" t="s">
        <v>1416</v>
      </c>
      <c r="D46" s="109">
        <v>2.8702502809901191</v>
      </c>
      <c r="E46" s="109">
        <v>1.82200302420034</v>
      </c>
      <c r="F46" s="109">
        <v>1.2991876331598751</v>
      </c>
      <c r="G46" s="109">
        <v>1.001779949721894</v>
      </c>
      <c r="H46" s="109">
        <v>0.78507558265601096</v>
      </c>
      <c r="I46" s="109">
        <v>3.2013432739001861</v>
      </c>
      <c r="J46" s="109">
        <v>2.7362857254367863</v>
      </c>
      <c r="K46" s="110">
        <v>0.73220936056123009</v>
      </c>
    </row>
    <row r="47" spans="2:11" x14ac:dyDescent="0.3">
      <c r="B47" s="111"/>
      <c r="C47" s="112" t="s">
        <v>1483</v>
      </c>
      <c r="D47" s="1499">
        <v>4.9351662697216891</v>
      </c>
      <c r="E47" s="1499">
        <v>4.0247490160061474</v>
      </c>
      <c r="F47" s="1499">
        <v>3.3371467993580599</v>
      </c>
      <c r="G47" s="1499">
        <v>3.0974019534692787</v>
      </c>
      <c r="H47" s="1499">
        <v>2.8074192111314358</v>
      </c>
      <c r="I47" s="1499">
        <v>5.4222914348013669</v>
      </c>
      <c r="J47" s="1499">
        <v>4.9620115079065696</v>
      </c>
      <c r="K47" s="113">
        <v>2.7556715310307442</v>
      </c>
    </row>
    <row r="48" spans="2:11" x14ac:dyDescent="0.3">
      <c r="B48" s="111" t="s">
        <v>1979</v>
      </c>
      <c r="C48" s="112" t="s">
        <v>1489</v>
      </c>
      <c r="D48" s="1499">
        <v>4.6917936258450439</v>
      </c>
      <c r="E48" s="1499">
        <v>3.7813763721295031</v>
      </c>
      <c r="F48" s="1499">
        <v>3.0937741554814151</v>
      </c>
      <c r="G48" s="1499">
        <v>2.8540293095926343</v>
      </c>
      <c r="H48" s="1499">
        <v>2.564046567254791</v>
      </c>
      <c r="I48" s="1499">
        <v>5.1789187909247216</v>
      </c>
      <c r="J48" s="1499">
        <v>4.7186388640299244</v>
      </c>
      <c r="K48" s="113">
        <v>2.5122988871540994</v>
      </c>
    </row>
    <row r="49" spans="2:11" x14ac:dyDescent="0.3">
      <c r="B49" s="114">
        <v>0</v>
      </c>
      <c r="C49" s="112" t="s">
        <v>1496</v>
      </c>
      <c r="D49" s="1499">
        <v>4.3267346600300769</v>
      </c>
      <c r="E49" s="1499">
        <v>3.4163174063145356</v>
      </c>
      <c r="F49" s="1499">
        <v>2.7287151896664477</v>
      </c>
      <c r="G49" s="1499">
        <v>2.4889703437776669</v>
      </c>
      <c r="H49" s="1499">
        <v>2.198987601439824</v>
      </c>
      <c r="I49" s="1499">
        <v>4.8138598251097546</v>
      </c>
      <c r="J49" s="1499">
        <v>4.3535798982149565</v>
      </c>
      <c r="K49" s="113">
        <v>2.147239921339132</v>
      </c>
    </row>
    <row r="50" spans="2:11" x14ac:dyDescent="0.3">
      <c r="B50" s="115"/>
      <c r="C50" s="112" t="s">
        <v>1500</v>
      </c>
      <c r="D50" s="1499">
        <v>3.9616756942151095</v>
      </c>
      <c r="E50" s="1499">
        <v>3.0512584404995686</v>
      </c>
      <c r="F50" s="1499">
        <v>2.3636562238514807</v>
      </c>
      <c r="G50" s="1499">
        <v>2.1239113779626999</v>
      </c>
      <c r="H50" s="1499">
        <v>1.8339286356248568</v>
      </c>
      <c r="I50" s="1499">
        <v>4.4488008592947867</v>
      </c>
      <c r="J50" s="1499">
        <v>3.9885209323999895</v>
      </c>
      <c r="K50" s="113">
        <v>1.782180955524165</v>
      </c>
    </row>
    <row r="51" spans="2:11" x14ac:dyDescent="0.3">
      <c r="B51" s="115"/>
      <c r="C51" s="112" t="s">
        <v>1504</v>
      </c>
      <c r="D51" s="1499">
        <v>4.5113301447133471</v>
      </c>
      <c r="E51" s="1499">
        <v>3.5855377755393385</v>
      </c>
      <c r="F51" s="1499">
        <v>2.9172025114226781</v>
      </c>
      <c r="G51" s="1499">
        <v>2.660102993120383</v>
      </c>
      <c r="H51" s="1499">
        <v>2.3826561170415421</v>
      </c>
      <c r="I51" s="1499">
        <v>4.9829084007515609</v>
      </c>
      <c r="J51" s="1499">
        <v>4.5189374476664552</v>
      </c>
      <c r="K51" s="113">
        <v>2.3319607339999471</v>
      </c>
    </row>
    <row r="52" spans="2:11" x14ac:dyDescent="0.3">
      <c r="B52" s="115"/>
      <c r="C52" s="112" t="s">
        <v>1508</v>
      </c>
      <c r="D52" s="1499">
        <v>4.3087666550553525</v>
      </c>
      <c r="E52" s="1499">
        <v>3.3829742858813439</v>
      </c>
      <c r="F52" s="1499">
        <v>2.7146390217646834</v>
      </c>
      <c r="G52" s="1499">
        <v>2.4575395034623884</v>
      </c>
      <c r="H52" s="1499">
        <v>2.1800926273835475</v>
      </c>
      <c r="I52" s="1499">
        <v>4.7803449110935663</v>
      </c>
      <c r="J52" s="1499">
        <v>4.3163739580084606</v>
      </c>
      <c r="K52" s="113">
        <v>2.1293972443419529</v>
      </c>
    </row>
    <row r="53" spans="2:11" x14ac:dyDescent="0.3">
      <c r="B53" s="115"/>
      <c r="C53" s="112" t="s">
        <v>1513</v>
      </c>
      <c r="D53" s="1499">
        <v>4.004921420568361</v>
      </c>
      <c r="E53" s="1499">
        <v>3.0791290513943519</v>
      </c>
      <c r="F53" s="1499">
        <v>2.4107937872776914</v>
      </c>
      <c r="G53" s="1499">
        <v>2.1536942689753964</v>
      </c>
      <c r="H53" s="1499">
        <v>1.8762473928965553</v>
      </c>
      <c r="I53" s="1499">
        <v>4.4764996766065748</v>
      </c>
      <c r="J53" s="1499">
        <v>4.0125287235214682</v>
      </c>
      <c r="K53" s="113">
        <v>1.8255520098549611</v>
      </c>
    </row>
    <row r="54" spans="2:11" x14ac:dyDescent="0.3">
      <c r="B54" s="115"/>
      <c r="C54" s="112" t="s">
        <v>1517</v>
      </c>
      <c r="D54" s="1499">
        <v>3.701076186081369</v>
      </c>
      <c r="E54" s="1499">
        <v>2.7752838169073604</v>
      </c>
      <c r="F54" s="1499">
        <v>2.1069485527906995</v>
      </c>
      <c r="G54" s="1499">
        <v>1.8498490344884049</v>
      </c>
      <c r="H54" s="1499">
        <v>1.5724021584095635</v>
      </c>
      <c r="I54" s="1499">
        <v>4.1726544421195824</v>
      </c>
      <c r="J54" s="1499">
        <v>3.7086834890344762</v>
      </c>
      <c r="K54" s="113">
        <v>1.5217067753679692</v>
      </c>
    </row>
    <row r="55" spans="2:11" ht="14.5" thickBot="1" x14ac:dyDescent="0.35">
      <c r="B55" s="1233"/>
      <c r="C55" s="116" t="s">
        <v>1519</v>
      </c>
      <c r="D55" s="117">
        <v>4.9351662697216891</v>
      </c>
      <c r="E55" s="117">
        <v>4.0247490160061474</v>
      </c>
      <c r="F55" s="117">
        <v>3.3371467993580599</v>
      </c>
      <c r="G55" s="117">
        <v>3.0974019534692787</v>
      </c>
      <c r="H55" s="117">
        <v>2.8074192111314358</v>
      </c>
      <c r="I55" s="117">
        <v>5.4222914348013669</v>
      </c>
      <c r="J55" s="117">
        <v>4.9620115079065696</v>
      </c>
      <c r="K55" s="118">
        <v>2.7556715310307442</v>
      </c>
    </row>
    <row r="56" spans="2:11" x14ac:dyDescent="0.3">
      <c r="B56" s="119" t="s">
        <v>1983</v>
      </c>
      <c r="C56" s="108" t="s">
        <v>1416</v>
      </c>
      <c r="D56" s="109">
        <v>2.8556122227218963</v>
      </c>
      <c r="E56" s="109">
        <v>1.8073649659321174</v>
      </c>
      <c r="F56" s="109">
        <v>1.2845495748916522</v>
      </c>
      <c r="G56" s="109">
        <v>0.98714189145367126</v>
      </c>
      <c r="H56" s="109">
        <v>0.77043752438778812</v>
      </c>
      <c r="I56" s="109">
        <v>3.1867052156319633</v>
      </c>
      <c r="J56" s="109">
        <v>2.7216476671685634</v>
      </c>
      <c r="K56" s="110">
        <v>0.71757130229300736</v>
      </c>
    </row>
    <row r="57" spans="2:11" x14ac:dyDescent="0.3">
      <c r="B57" s="111"/>
      <c r="C57" s="112" t="s">
        <v>1483</v>
      </c>
      <c r="D57" s="1499">
        <v>4.9205282114534663</v>
      </c>
      <c r="E57" s="1499">
        <v>4.0101109577379246</v>
      </c>
      <c r="F57" s="1499">
        <v>3.3225087410898371</v>
      </c>
      <c r="G57" s="1499">
        <v>3.0827638952010559</v>
      </c>
      <c r="H57" s="1499">
        <v>2.7927811528632129</v>
      </c>
      <c r="I57" s="1499">
        <v>5.407653376533144</v>
      </c>
      <c r="J57" s="1499">
        <v>4.9473734496383468</v>
      </c>
      <c r="K57" s="113">
        <v>2.7410334727625214</v>
      </c>
    </row>
    <row r="58" spans="2:11" x14ac:dyDescent="0.3">
      <c r="B58" s="111" t="s">
        <v>1980</v>
      </c>
      <c r="C58" s="112" t="s">
        <v>1489</v>
      </c>
      <c r="D58" s="1499">
        <v>4.677155567576821</v>
      </c>
      <c r="E58" s="1499">
        <v>3.7667383138612802</v>
      </c>
      <c r="F58" s="1499">
        <v>3.0791360972131923</v>
      </c>
      <c r="G58" s="1499">
        <v>2.8393912513244115</v>
      </c>
      <c r="H58" s="1499">
        <v>2.5494085089865681</v>
      </c>
      <c r="I58" s="1499">
        <v>5.1642807326564988</v>
      </c>
      <c r="J58" s="1499">
        <v>4.7040008057617015</v>
      </c>
      <c r="K58" s="113">
        <v>2.4976608288858766</v>
      </c>
    </row>
    <row r="59" spans="2:11" x14ac:dyDescent="0.3">
      <c r="B59" s="114">
        <v>0</v>
      </c>
      <c r="C59" s="112" t="s">
        <v>1496</v>
      </c>
      <c r="D59" s="1499">
        <v>4.3120966017618541</v>
      </c>
      <c r="E59" s="1499">
        <v>3.4016793480463128</v>
      </c>
      <c r="F59" s="1499">
        <v>2.7140771313982248</v>
      </c>
      <c r="G59" s="1499">
        <v>2.4743322855094441</v>
      </c>
      <c r="H59" s="1499">
        <v>2.1843495431716011</v>
      </c>
      <c r="I59" s="1499">
        <v>4.7992217668415318</v>
      </c>
      <c r="J59" s="1499">
        <v>4.3389418399467337</v>
      </c>
      <c r="K59" s="113">
        <v>2.1326018630709092</v>
      </c>
    </row>
    <row r="60" spans="2:11" x14ac:dyDescent="0.3">
      <c r="B60" s="115"/>
      <c r="C60" s="112" t="s">
        <v>1500</v>
      </c>
      <c r="D60" s="1499">
        <v>3.9470376359468866</v>
      </c>
      <c r="E60" s="1499">
        <v>3.0366203822313458</v>
      </c>
      <c r="F60" s="1499">
        <v>2.3490181655832578</v>
      </c>
      <c r="G60" s="1499">
        <v>2.1092733196944771</v>
      </c>
      <c r="H60" s="1499">
        <v>1.8192905773566339</v>
      </c>
      <c r="I60" s="1499">
        <v>4.4341628010265639</v>
      </c>
      <c r="J60" s="1499">
        <v>3.9738828741317667</v>
      </c>
      <c r="K60" s="113">
        <v>1.7675428972559422</v>
      </c>
    </row>
    <row r="61" spans="2:11" x14ac:dyDescent="0.3">
      <c r="B61" s="115"/>
      <c r="C61" s="112" t="s">
        <v>1504</v>
      </c>
      <c r="D61" s="1499">
        <v>4.4966920864451243</v>
      </c>
      <c r="E61" s="1499">
        <v>3.5708997172711157</v>
      </c>
      <c r="F61" s="1499">
        <v>2.9025644531544552</v>
      </c>
      <c r="G61" s="1499">
        <v>2.6454649348521606</v>
      </c>
      <c r="H61" s="1499">
        <v>2.3680180587733193</v>
      </c>
      <c r="I61" s="1499">
        <v>4.9682703424833381</v>
      </c>
      <c r="J61" s="1499">
        <v>4.5042993893982324</v>
      </c>
      <c r="K61" s="113">
        <v>2.3173226757317242</v>
      </c>
    </row>
    <row r="62" spans="2:11" x14ac:dyDescent="0.3">
      <c r="B62" s="115"/>
      <c r="C62" s="112" t="s">
        <v>1508</v>
      </c>
      <c r="D62" s="1499">
        <v>4.2941285967871297</v>
      </c>
      <c r="E62" s="1499">
        <v>3.368336227613121</v>
      </c>
      <c r="F62" s="1499">
        <v>2.7000009634964606</v>
      </c>
      <c r="G62" s="1499">
        <v>2.442901445194166</v>
      </c>
      <c r="H62" s="1499">
        <v>2.1654545691153246</v>
      </c>
      <c r="I62" s="1499">
        <v>4.7657068528253435</v>
      </c>
      <c r="J62" s="1499">
        <v>4.3017358997402377</v>
      </c>
      <c r="K62" s="113">
        <v>2.11475918607373</v>
      </c>
    </row>
    <row r="63" spans="2:11" x14ac:dyDescent="0.3">
      <c r="B63" s="115"/>
      <c r="C63" s="112" t="s">
        <v>1513</v>
      </c>
      <c r="D63" s="1499">
        <v>3.9902833623001381</v>
      </c>
      <c r="E63" s="1499">
        <v>3.064490993126129</v>
      </c>
      <c r="F63" s="1499">
        <v>2.3961557290094686</v>
      </c>
      <c r="G63" s="1499">
        <v>2.139056210707174</v>
      </c>
      <c r="H63" s="1499">
        <v>1.8616093346283324</v>
      </c>
      <c r="I63" s="1499">
        <v>4.4618616183383519</v>
      </c>
      <c r="J63" s="1499">
        <v>3.9978906652532453</v>
      </c>
      <c r="K63" s="113">
        <v>1.8109139515867383</v>
      </c>
    </row>
    <row r="64" spans="2:11" x14ac:dyDescent="0.3">
      <c r="B64" s="115"/>
      <c r="C64" s="112" t="s">
        <v>1517</v>
      </c>
      <c r="D64" s="1499">
        <v>3.6864381278131462</v>
      </c>
      <c r="E64" s="1499">
        <v>2.7606457586391375</v>
      </c>
      <c r="F64" s="1499">
        <v>2.0923104945224766</v>
      </c>
      <c r="G64" s="1499">
        <v>1.835210976220182</v>
      </c>
      <c r="H64" s="1499">
        <v>1.5577641001413409</v>
      </c>
      <c r="I64" s="1499">
        <v>4.1580163838513595</v>
      </c>
      <c r="J64" s="1499">
        <v>3.6940454307662534</v>
      </c>
      <c r="K64" s="113">
        <v>1.5070687170997463</v>
      </c>
    </row>
    <row r="65" spans="2:11" ht="14.5" thickBot="1" x14ac:dyDescent="0.35">
      <c r="B65" s="1233"/>
      <c r="C65" s="116" t="s">
        <v>1519</v>
      </c>
      <c r="D65" s="117">
        <v>4.9205282114534663</v>
      </c>
      <c r="E65" s="117">
        <v>4.0101109577379246</v>
      </c>
      <c r="F65" s="117">
        <v>3.3225087410898371</v>
      </c>
      <c r="G65" s="117">
        <v>3.0827638952010559</v>
      </c>
      <c r="H65" s="117">
        <v>2.7927811528632129</v>
      </c>
      <c r="I65" s="117">
        <v>5.407653376533144</v>
      </c>
      <c r="J65" s="117">
        <v>4.9473734496383468</v>
      </c>
      <c r="K65" s="118">
        <v>2.7410334727625214</v>
      </c>
    </row>
    <row r="66" spans="2:11" x14ac:dyDescent="0.3">
      <c r="B66" s="119" t="s">
        <v>1983</v>
      </c>
      <c r="C66" s="108" t="s">
        <v>1416</v>
      </c>
      <c r="D66" s="109">
        <v>2.833655135319562</v>
      </c>
      <c r="E66" s="109">
        <v>1.7854078785297831</v>
      </c>
      <c r="F66" s="109">
        <v>1.262592487489318</v>
      </c>
      <c r="G66" s="109">
        <v>0.965184804051337</v>
      </c>
      <c r="H66" s="109">
        <v>0.74848043698545397</v>
      </c>
      <c r="I66" s="109">
        <v>3.164748128229629</v>
      </c>
      <c r="J66" s="109">
        <v>2.6996905797662292</v>
      </c>
      <c r="K66" s="110">
        <v>0.6956142148906731</v>
      </c>
    </row>
    <row r="67" spans="2:11" x14ac:dyDescent="0.3">
      <c r="B67" s="111"/>
      <c r="C67" s="112" t="s">
        <v>1483</v>
      </c>
      <c r="D67" s="1499">
        <v>4.8985711240511325</v>
      </c>
      <c r="E67" s="1499">
        <v>3.9881538703355903</v>
      </c>
      <c r="F67" s="1499">
        <v>3.3005516536875028</v>
      </c>
      <c r="G67" s="1499">
        <v>3.0608068077987221</v>
      </c>
      <c r="H67" s="1499">
        <v>2.7708240654608787</v>
      </c>
      <c r="I67" s="1499">
        <v>5.3856962891308102</v>
      </c>
      <c r="J67" s="1499">
        <v>4.9254163622360121</v>
      </c>
      <c r="K67" s="113">
        <v>2.7190763853601871</v>
      </c>
    </row>
    <row r="68" spans="2:11" x14ac:dyDescent="0.3">
      <c r="B68" s="111" t="s">
        <v>1981</v>
      </c>
      <c r="C68" s="112" t="s">
        <v>1489</v>
      </c>
      <c r="D68" s="1499">
        <v>4.6551984801744872</v>
      </c>
      <c r="E68" s="1499">
        <v>3.744781226458946</v>
      </c>
      <c r="F68" s="1499">
        <v>3.057179009810858</v>
      </c>
      <c r="G68" s="1499">
        <v>2.8174341639220772</v>
      </c>
      <c r="H68" s="1499">
        <v>2.5274514215842343</v>
      </c>
      <c r="I68" s="1499">
        <v>5.142323645254165</v>
      </c>
      <c r="J68" s="1499">
        <v>4.6820437183593668</v>
      </c>
      <c r="K68" s="113">
        <v>2.4757037414835423</v>
      </c>
    </row>
    <row r="69" spans="2:11" x14ac:dyDescent="0.3">
      <c r="B69" s="114">
        <v>0</v>
      </c>
      <c r="C69" s="112" t="s">
        <v>1496</v>
      </c>
      <c r="D69" s="1499">
        <v>4.2901395143595193</v>
      </c>
      <c r="E69" s="1499">
        <v>3.3797222606439785</v>
      </c>
      <c r="F69" s="1499">
        <v>2.6921200439958906</v>
      </c>
      <c r="G69" s="1499">
        <v>2.4523751981071098</v>
      </c>
      <c r="H69" s="1499">
        <v>2.1623924557692669</v>
      </c>
      <c r="I69" s="1499">
        <v>4.7772646794391971</v>
      </c>
      <c r="J69" s="1499">
        <v>4.3169847525443998</v>
      </c>
      <c r="K69" s="113">
        <v>2.1106447756685749</v>
      </c>
    </row>
    <row r="70" spans="2:11" x14ac:dyDescent="0.3">
      <c r="B70" s="115"/>
      <c r="C70" s="112" t="s">
        <v>1500</v>
      </c>
      <c r="D70" s="1499">
        <v>3.9250805485445524</v>
      </c>
      <c r="E70" s="1499">
        <v>3.0146632948290115</v>
      </c>
      <c r="F70" s="1499">
        <v>2.3270610781809236</v>
      </c>
      <c r="G70" s="1499">
        <v>2.0873162322921428</v>
      </c>
      <c r="H70" s="1499">
        <v>1.7973334899542996</v>
      </c>
      <c r="I70" s="1499">
        <v>4.4122057136242301</v>
      </c>
      <c r="J70" s="1499">
        <v>3.9519257867294324</v>
      </c>
      <c r="K70" s="113">
        <v>1.7455858098536079</v>
      </c>
    </row>
    <row r="71" spans="2:11" x14ac:dyDescent="0.3">
      <c r="B71" s="115"/>
      <c r="C71" s="112" t="s">
        <v>1504</v>
      </c>
      <c r="D71" s="1499">
        <v>4.4747349990427905</v>
      </c>
      <c r="E71" s="1499">
        <v>3.5489426298687814</v>
      </c>
      <c r="F71" s="1499">
        <v>2.880607365752121</v>
      </c>
      <c r="G71" s="1499">
        <v>2.6235078474498263</v>
      </c>
      <c r="H71" s="1499">
        <v>2.346060971370985</v>
      </c>
      <c r="I71" s="1499">
        <v>4.9463132550810043</v>
      </c>
      <c r="J71" s="1499">
        <v>4.4823423019958977</v>
      </c>
      <c r="K71" s="113">
        <v>2.2953655883293904</v>
      </c>
    </row>
    <row r="72" spans="2:11" x14ac:dyDescent="0.3">
      <c r="B72" s="115"/>
      <c r="C72" s="112" t="s">
        <v>1508</v>
      </c>
      <c r="D72" s="1499">
        <v>4.2721715093847958</v>
      </c>
      <c r="E72" s="1499">
        <v>3.3463791402107868</v>
      </c>
      <c r="F72" s="1499">
        <v>2.6780438760941263</v>
      </c>
      <c r="G72" s="1499">
        <v>2.4209443577918317</v>
      </c>
      <c r="H72" s="1499">
        <v>2.1434974817129904</v>
      </c>
      <c r="I72" s="1499">
        <v>4.7437497654230096</v>
      </c>
      <c r="J72" s="1499">
        <v>4.279778812337903</v>
      </c>
      <c r="K72" s="113">
        <v>2.0928020986713958</v>
      </c>
    </row>
    <row r="73" spans="2:11" x14ac:dyDescent="0.3">
      <c r="B73" s="115"/>
      <c r="C73" s="112" t="s">
        <v>1513</v>
      </c>
      <c r="D73" s="1499">
        <v>3.9683262748978039</v>
      </c>
      <c r="E73" s="1499">
        <v>3.0425339057237948</v>
      </c>
      <c r="F73" s="1499">
        <v>2.3741986416071343</v>
      </c>
      <c r="G73" s="1499">
        <v>2.1170991233048397</v>
      </c>
      <c r="H73" s="1499">
        <v>1.8396522472259984</v>
      </c>
      <c r="I73" s="1499">
        <v>4.4399045309360181</v>
      </c>
      <c r="J73" s="1499">
        <v>3.9759335778509111</v>
      </c>
      <c r="K73" s="113">
        <v>1.7889568641844038</v>
      </c>
    </row>
    <row r="74" spans="2:11" x14ac:dyDescent="0.3">
      <c r="B74" s="115"/>
      <c r="C74" s="112" t="s">
        <v>1517</v>
      </c>
      <c r="D74" s="1499">
        <v>3.6644810404108119</v>
      </c>
      <c r="E74" s="1499">
        <v>2.7386886712368033</v>
      </c>
      <c r="F74" s="1499">
        <v>2.0703534071201424</v>
      </c>
      <c r="G74" s="1499">
        <v>1.8132538888178478</v>
      </c>
      <c r="H74" s="1499">
        <v>1.5358070127390067</v>
      </c>
      <c r="I74" s="1499">
        <v>4.1360592964490257</v>
      </c>
      <c r="J74" s="1499">
        <v>3.6720883433639191</v>
      </c>
      <c r="K74" s="113">
        <v>1.4851116296974121</v>
      </c>
    </row>
    <row r="75" spans="2:11" ht="14.5" thickBot="1" x14ac:dyDescent="0.35">
      <c r="B75" s="1233"/>
      <c r="C75" s="116" t="s">
        <v>1519</v>
      </c>
      <c r="D75" s="117">
        <v>4.8985711240511325</v>
      </c>
      <c r="E75" s="117">
        <v>3.9881538703355903</v>
      </c>
      <c r="F75" s="117">
        <v>3.3005516536875028</v>
      </c>
      <c r="G75" s="117">
        <v>3.0608068077987221</v>
      </c>
      <c r="H75" s="117">
        <v>2.7708240654608787</v>
      </c>
      <c r="I75" s="117">
        <v>5.3856962891308102</v>
      </c>
      <c r="J75" s="117">
        <v>4.9254163622360121</v>
      </c>
      <c r="K75" s="118">
        <v>2.7190763853601871</v>
      </c>
    </row>
    <row r="76" spans="2:11" x14ac:dyDescent="0.3">
      <c r="B76" s="119" t="s">
        <v>1983</v>
      </c>
      <c r="C76" s="108" t="s">
        <v>1416</v>
      </c>
      <c r="D76" s="109">
        <v>2.8116980479172278</v>
      </c>
      <c r="E76" s="109">
        <v>1.7634507911274488</v>
      </c>
      <c r="F76" s="109">
        <v>1.2406354000869839</v>
      </c>
      <c r="G76" s="109">
        <v>0.94322771664900273</v>
      </c>
      <c r="H76" s="109">
        <v>0.72652334958311959</v>
      </c>
      <c r="I76" s="109">
        <v>3.1427910408272952</v>
      </c>
      <c r="J76" s="109">
        <v>2.6777334923638949</v>
      </c>
      <c r="K76" s="110">
        <v>0.67365712748833873</v>
      </c>
    </row>
    <row r="77" spans="2:11" x14ac:dyDescent="0.3">
      <c r="B77" s="111"/>
      <c r="C77" s="112" t="s">
        <v>1483</v>
      </c>
      <c r="D77" s="1499">
        <v>4.8766140366487969</v>
      </c>
      <c r="E77" s="1499">
        <v>3.9661967829332565</v>
      </c>
      <c r="F77" s="1499">
        <v>3.2785945662851685</v>
      </c>
      <c r="G77" s="1499">
        <v>3.0388497203963878</v>
      </c>
      <c r="H77" s="1499">
        <v>2.7488669780585444</v>
      </c>
      <c r="I77" s="1499">
        <v>5.3637392017284746</v>
      </c>
      <c r="J77" s="1499">
        <v>4.9034592748336774</v>
      </c>
      <c r="K77" s="113">
        <v>2.6971192979578529</v>
      </c>
    </row>
    <row r="78" spans="2:11" x14ac:dyDescent="0.3">
      <c r="B78" s="111" t="s">
        <v>1982</v>
      </c>
      <c r="C78" s="112" t="s">
        <v>1489</v>
      </c>
      <c r="D78" s="1499">
        <v>4.6332413927721525</v>
      </c>
      <c r="E78" s="1499">
        <v>3.7228241390566117</v>
      </c>
      <c r="F78" s="1499">
        <v>3.0352219224085237</v>
      </c>
      <c r="G78" s="1499">
        <v>2.795477076519743</v>
      </c>
      <c r="H78" s="1499">
        <v>2.5054943341819</v>
      </c>
      <c r="I78" s="1499">
        <v>5.1203665578518303</v>
      </c>
      <c r="J78" s="1499">
        <v>4.660086630957033</v>
      </c>
      <c r="K78" s="113">
        <v>2.4537466540812081</v>
      </c>
    </row>
    <row r="79" spans="2:11" x14ac:dyDescent="0.3">
      <c r="B79" s="114">
        <v>0</v>
      </c>
      <c r="C79" s="112" t="s">
        <v>1496</v>
      </c>
      <c r="D79" s="1499">
        <v>4.2681824269571855</v>
      </c>
      <c r="E79" s="1499">
        <v>3.3577651732416443</v>
      </c>
      <c r="F79" s="1499">
        <v>2.6701629565935567</v>
      </c>
      <c r="G79" s="1499">
        <v>2.4304181107047755</v>
      </c>
      <c r="H79" s="1499">
        <v>2.1404353683669326</v>
      </c>
      <c r="I79" s="1499">
        <v>4.7553075920368633</v>
      </c>
      <c r="J79" s="1499">
        <v>4.2950276651420651</v>
      </c>
      <c r="K79" s="113">
        <v>2.0886876882662411</v>
      </c>
    </row>
    <row r="80" spans="2:11" x14ac:dyDescent="0.3">
      <c r="B80" s="115"/>
      <c r="C80" s="112" t="s">
        <v>1500</v>
      </c>
      <c r="D80" s="1499">
        <v>3.9031234611422181</v>
      </c>
      <c r="E80" s="1499">
        <v>2.9927062074266768</v>
      </c>
      <c r="F80" s="1499">
        <v>2.3051039907785893</v>
      </c>
      <c r="G80" s="1499">
        <v>2.0653591448898081</v>
      </c>
      <c r="H80" s="1499">
        <v>1.7753764025519652</v>
      </c>
      <c r="I80" s="1499">
        <v>4.3902486262218963</v>
      </c>
      <c r="J80" s="1499">
        <v>3.9299686993270981</v>
      </c>
      <c r="K80" s="113">
        <v>1.7236287224512734</v>
      </c>
    </row>
    <row r="81" spans="2:11" x14ac:dyDescent="0.3">
      <c r="B81" s="115"/>
      <c r="C81" s="112" t="s">
        <v>1504</v>
      </c>
      <c r="D81" s="1499">
        <v>4.4527779116404567</v>
      </c>
      <c r="E81" s="1499">
        <v>3.5269855424664471</v>
      </c>
      <c r="F81" s="1499">
        <v>2.8586502783497867</v>
      </c>
      <c r="G81" s="1499">
        <v>2.6015507600474921</v>
      </c>
      <c r="H81" s="1499">
        <v>2.3241038839686508</v>
      </c>
      <c r="I81" s="1499">
        <v>4.9243561676786696</v>
      </c>
      <c r="J81" s="1499">
        <v>4.4603852145935639</v>
      </c>
      <c r="K81" s="113">
        <v>2.2734085009270562</v>
      </c>
    </row>
    <row r="82" spans="2:11" x14ac:dyDescent="0.3">
      <c r="B82" s="115"/>
      <c r="C82" s="112" t="s">
        <v>1508</v>
      </c>
      <c r="D82" s="1499">
        <v>4.250214421982462</v>
      </c>
      <c r="E82" s="1499">
        <v>3.3244220528084525</v>
      </c>
      <c r="F82" s="1499">
        <v>2.656086788691792</v>
      </c>
      <c r="G82" s="1499">
        <v>2.3989872703894974</v>
      </c>
      <c r="H82" s="1499">
        <v>2.1215403943106561</v>
      </c>
      <c r="I82" s="1499">
        <v>4.7217926780206749</v>
      </c>
      <c r="J82" s="1499">
        <v>4.2578217249355692</v>
      </c>
      <c r="K82" s="113">
        <v>2.0708450112690615</v>
      </c>
    </row>
    <row r="83" spans="2:11" x14ac:dyDescent="0.3">
      <c r="B83" s="115"/>
      <c r="C83" s="112" t="s">
        <v>1513</v>
      </c>
      <c r="D83" s="1499">
        <v>3.9463691874954696</v>
      </c>
      <c r="E83" s="1499">
        <v>3.0205768183214605</v>
      </c>
      <c r="F83" s="1499">
        <v>2.3522415542048001</v>
      </c>
      <c r="G83" s="1499">
        <v>2.0951420359025055</v>
      </c>
      <c r="H83" s="1499">
        <v>1.8176951598236641</v>
      </c>
      <c r="I83" s="1499">
        <v>4.4179474435336843</v>
      </c>
      <c r="J83" s="1499">
        <v>3.9539764904485768</v>
      </c>
      <c r="K83" s="113">
        <v>1.7669997767820695</v>
      </c>
    </row>
    <row r="84" spans="2:11" x14ac:dyDescent="0.3">
      <c r="B84" s="115"/>
      <c r="C84" s="112" t="s">
        <v>1517</v>
      </c>
      <c r="D84" s="1499">
        <v>3.6425239530084776</v>
      </c>
      <c r="E84" s="1499">
        <v>2.7167315838344686</v>
      </c>
      <c r="F84" s="1499">
        <v>2.0483963197178081</v>
      </c>
      <c r="G84" s="1499">
        <v>1.7912968014155133</v>
      </c>
      <c r="H84" s="1499">
        <v>1.5138499253366722</v>
      </c>
      <c r="I84" s="1499">
        <v>4.114102209046691</v>
      </c>
      <c r="J84" s="1499">
        <v>3.6501312559615848</v>
      </c>
      <c r="K84" s="113">
        <v>1.4631545422950778</v>
      </c>
    </row>
    <row r="85" spans="2:11" ht="14.5" thickBot="1" x14ac:dyDescent="0.35">
      <c r="B85" s="1233"/>
      <c r="C85" s="116" t="s">
        <v>1519</v>
      </c>
      <c r="D85" s="117">
        <v>4.8766140366487969</v>
      </c>
      <c r="E85" s="117">
        <v>3.9661967829332565</v>
      </c>
      <c r="F85" s="117">
        <v>3.2785945662851685</v>
      </c>
      <c r="G85" s="117">
        <v>3.0388497203963878</v>
      </c>
      <c r="H85" s="117">
        <v>2.7488669780585444</v>
      </c>
      <c r="I85" s="117">
        <v>5.3637392017284746</v>
      </c>
      <c r="J85" s="117">
        <v>4.9034592748336774</v>
      </c>
      <c r="K85" s="118">
        <v>2.6971192979578529</v>
      </c>
    </row>
    <row r="87" spans="2:11" ht="14.5" thickBot="1" x14ac:dyDescent="0.35"/>
    <row r="88" spans="2:11" ht="25.5" thickBot="1" x14ac:dyDescent="0.55000000000000004">
      <c r="B88" s="88" t="s">
        <v>1960</v>
      </c>
      <c r="C88" s="89"/>
      <c r="D88" s="90">
        <v>3</v>
      </c>
      <c r="E88" s="91" t="s">
        <v>1984</v>
      </c>
      <c r="F88" s="92"/>
      <c r="G88" s="92"/>
      <c r="H88" s="92"/>
      <c r="I88" s="93"/>
      <c r="J88" s="89" t="s">
        <v>176</v>
      </c>
      <c r="K88" s="94" t="s">
        <v>243</v>
      </c>
    </row>
    <row r="89" spans="2:11" ht="14.5" thickBot="1" x14ac:dyDescent="0.35">
      <c r="B89" s="95" t="s">
        <v>1962</v>
      </c>
      <c r="C89" s="96" t="s">
        <v>1963</v>
      </c>
      <c r="D89" s="95" t="s">
        <v>1964</v>
      </c>
      <c r="E89" s="97" t="s">
        <v>1965</v>
      </c>
      <c r="F89" s="97" t="s">
        <v>1966</v>
      </c>
      <c r="G89" s="97" t="s">
        <v>1967</v>
      </c>
      <c r="H89" s="97" t="s">
        <v>1968</v>
      </c>
      <c r="I89" s="97" t="s">
        <v>1969</v>
      </c>
      <c r="J89" s="97" t="s">
        <v>1970</v>
      </c>
      <c r="K89" s="98" t="s">
        <v>1971</v>
      </c>
    </row>
    <row r="90" spans="2:11" ht="14.5" thickBot="1" x14ac:dyDescent="0.35">
      <c r="B90" s="99"/>
      <c r="C90" s="99"/>
      <c r="D90" s="100"/>
      <c r="E90" s="944"/>
      <c r="F90" s="944"/>
      <c r="G90" s="944"/>
      <c r="H90" s="944"/>
      <c r="I90" s="944"/>
      <c r="J90" s="944"/>
      <c r="K90" s="102"/>
    </row>
    <row r="91" spans="2:11" ht="88" thickBot="1" x14ac:dyDescent="0.45">
      <c r="B91" s="103" t="s">
        <v>1972</v>
      </c>
      <c r="C91" s="103" t="s">
        <v>1973</v>
      </c>
      <c r="D91" s="105" t="s">
        <v>1974</v>
      </c>
      <c r="E91" s="105" t="s">
        <v>1525</v>
      </c>
      <c r="F91" s="105" t="s">
        <v>1527</v>
      </c>
      <c r="G91" s="105" t="s">
        <v>1975</v>
      </c>
      <c r="H91" s="105" t="s">
        <v>1976</v>
      </c>
      <c r="I91" s="105" t="s">
        <v>1445</v>
      </c>
      <c r="J91" s="105" t="s">
        <v>1538</v>
      </c>
      <c r="K91" s="106" t="s">
        <v>1541</v>
      </c>
    </row>
    <row r="92" spans="2:11" x14ac:dyDescent="0.3">
      <c r="B92" s="107" t="s">
        <v>1985</v>
      </c>
      <c r="C92" s="108" t="s">
        <v>1416</v>
      </c>
      <c r="D92" s="109">
        <v>2.711106442591162</v>
      </c>
      <c r="E92" s="109">
        <v>1.6372782794012792</v>
      </c>
      <c r="F92" s="109">
        <v>1.1687302396260622</v>
      </c>
      <c r="G92" s="109">
        <v>0.8540234634028453</v>
      </c>
      <c r="H92" s="109">
        <v>0.67642736518371471</v>
      </c>
      <c r="I92" s="109">
        <v>2.9782558880357719</v>
      </c>
      <c r="J92" s="109">
        <v>2.5233886072816323</v>
      </c>
      <c r="K92" s="110">
        <v>0.6346622954136254</v>
      </c>
    </row>
    <row r="93" spans="2:11" x14ac:dyDescent="0.3">
      <c r="B93" s="111"/>
      <c r="C93" s="112" t="s">
        <v>1483</v>
      </c>
      <c r="D93" s="1499">
        <v>4.7454880012642269</v>
      </c>
      <c r="E93" s="1499">
        <v>3.8157113008435655</v>
      </c>
      <c r="F93" s="1499">
        <v>3.1567959282824432</v>
      </c>
      <c r="G93" s="1499">
        <v>2.9086313780322057</v>
      </c>
      <c r="H93" s="1499">
        <v>2.6255401102062375</v>
      </c>
      <c r="I93" s="1499">
        <v>5.1874202528918767</v>
      </c>
      <c r="J93" s="1499">
        <v>4.732030700708691</v>
      </c>
      <c r="K93" s="113">
        <v>2.5717966439201487</v>
      </c>
    </row>
    <row r="94" spans="2:11" x14ac:dyDescent="0.3">
      <c r="B94" s="111" t="s">
        <v>1986</v>
      </c>
      <c r="C94" s="112" t="s">
        <v>1489</v>
      </c>
      <c r="D94" s="1499">
        <v>4.5021153573875825</v>
      </c>
      <c r="E94" s="1499">
        <v>3.5723386569669207</v>
      </c>
      <c r="F94" s="1499">
        <v>2.9134232844057983</v>
      </c>
      <c r="G94" s="1499">
        <v>2.6652587341555609</v>
      </c>
      <c r="H94" s="1499">
        <v>2.3821674663295926</v>
      </c>
      <c r="I94" s="1499">
        <v>4.9440476090152323</v>
      </c>
      <c r="J94" s="1499">
        <v>4.4886580568320467</v>
      </c>
      <c r="K94" s="113">
        <v>2.3284240000435039</v>
      </c>
    </row>
    <row r="95" spans="2:11" x14ac:dyDescent="0.3">
      <c r="B95" s="114">
        <v>0</v>
      </c>
      <c r="C95" s="112" t="s">
        <v>1496</v>
      </c>
      <c r="D95" s="1499">
        <v>4.1370563915726146</v>
      </c>
      <c r="E95" s="1499">
        <v>3.2072796911519532</v>
      </c>
      <c r="F95" s="1499">
        <v>2.5483643185908309</v>
      </c>
      <c r="G95" s="1499">
        <v>2.3001997683405935</v>
      </c>
      <c r="H95" s="1499">
        <v>2.0171085005146256</v>
      </c>
      <c r="I95" s="1499">
        <v>4.5789886432002653</v>
      </c>
      <c r="J95" s="1499">
        <v>4.1235990910170788</v>
      </c>
      <c r="K95" s="113">
        <v>1.9633650342285367</v>
      </c>
    </row>
    <row r="96" spans="2:11" x14ac:dyDescent="0.3">
      <c r="B96" s="115"/>
      <c r="C96" s="112" t="s">
        <v>1500</v>
      </c>
      <c r="D96" s="1499">
        <v>3.7719974257576481</v>
      </c>
      <c r="E96" s="1499">
        <v>2.8422207253369867</v>
      </c>
      <c r="F96" s="1499">
        <v>2.1833053527758639</v>
      </c>
      <c r="G96" s="1499">
        <v>1.9351408025256267</v>
      </c>
      <c r="H96" s="1499">
        <v>1.6520495346996587</v>
      </c>
      <c r="I96" s="1499">
        <v>4.2139296773852974</v>
      </c>
      <c r="J96" s="1499">
        <v>3.7585401252021118</v>
      </c>
      <c r="K96" s="113">
        <v>1.5983060684135697</v>
      </c>
    </row>
    <row r="97" spans="2:11" x14ac:dyDescent="0.3">
      <c r="B97" s="115"/>
      <c r="C97" s="112" t="s">
        <v>1504</v>
      </c>
      <c r="D97" s="1499">
        <v>4.331655331569066</v>
      </c>
      <c r="E97" s="1499">
        <v>3.3774508853646394</v>
      </c>
      <c r="F97" s="1499">
        <v>2.7410252743689498</v>
      </c>
      <c r="G97" s="1499">
        <v>2.4741649235475451</v>
      </c>
      <c r="H97" s="1499">
        <v>2.219181044118669</v>
      </c>
      <c r="I97" s="1499">
        <v>4.7479087923265633</v>
      </c>
      <c r="J97" s="1499">
        <v>4.2940580538449113</v>
      </c>
      <c r="K97" s="113">
        <v>2.1657501057665183</v>
      </c>
    </row>
    <row r="98" spans="2:11" x14ac:dyDescent="0.3">
      <c r="B98" s="115"/>
      <c r="C98" s="112" t="s">
        <v>1508</v>
      </c>
      <c r="D98" s="1499">
        <v>4.1290918419110714</v>
      </c>
      <c r="E98" s="1499">
        <v>3.1748873957066448</v>
      </c>
      <c r="F98" s="1499">
        <v>2.5384617847109552</v>
      </c>
      <c r="G98" s="1499">
        <v>2.2716014338895505</v>
      </c>
      <c r="H98" s="1499">
        <v>2.0166175544606739</v>
      </c>
      <c r="I98" s="1499">
        <v>4.5453453026685695</v>
      </c>
      <c r="J98" s="1499">
        <v>4.0914945641869167</v>
      </c>
      <c r="K98" s="113">
        <v>1.9631866161085239</v>
      </c>
    </row>
    <row r="99" spans="2:11" x14ac:dyDescent="0.3">
      <c r="B99" s="115"/>
      <c r="C99" s="112" t="s">
        <v>1513</v>
      </c>
      <c r="D99" s="1499">
        <v>3.8252466074240794</v>
      </c>
      <c r="E99" s="1499">
        <v>2.8710421612196528</v>
      </c>
      <c r="F99" s="1499">
        <v>2.2346165502239632</v>
      </c>
      <c r="G99" s="1499">
        <v>1.9677561994025587</v>
      </c>
      <c r="H99" s="1499">
        <v>1.7127723199736822</v>
      </c>
      <c r="I99" s="1499">
        <v>4.2415000681815771</v>
      </c>
      <c r="J99" s="1499">
        <v>3.7876493296999252</v>
      </c>
      <c r="K99" s="113">
        <v>1.6593413816215321</v>
      </c>
    </row>
    <row r="100" spans="2:11" x14ac:dyDescent="0.3">
      <c r="B100" s="115"/>
      <c r="C100" s="112" t="s">
        <v>1517</v>
      </c>
      <c r="D100" s="1499">
        <v>3.5214013729370879</v>
      </c>
      <c r="E100" s="1499">
        <v>2.5671969267326613</v>
      </c>
      <c r="F100" s="1499">
        <v>1.9307713157369719</v>
      </c>
      <c r="G100" s="1499">
        <v>1.663910964915567</v>
      </c>
      <c r="H100" s="1499">
        <v>1.4089270854866902</v>
      </c>
      <c r="I100" s="1499">
        <v>3.9376548336945856</v>
      </c>
      <c r="J100" s="1499">
        <v>3.4838040952129337</v>
      </c>
      <c r="K100" s="113">
        <v>1.3554961471345404</v>
      </c>
    </row>
    <row r="101" spans="2:11" ht="14.5" thickBot="1" x14ac:dyDescent="0.35">
      <c r="B101" s="115"/>
      <c r="C101" s="116" t="s">
        <v>1519</v>
      </c>
      <c r="D101" s="117">
        <v>4.7454880012642269</v>
      </c>
      <c r="E101" s="117">
        <v>3.8157113008435655</v>
      </c>
      <c r="F101" s="117">
        <v>3.1567959282824432</v>
      </c>
      <c r="G101" s="117">
        <v>2.9086313780322057</v>
      </c>
      <c r="H101" s="117">
        <v>2.6255401102062375</v>
      </c>
      <c r="I101" s="117">
        <v>5.1874202528918767</v>
      </c>
      <c r="J101" s="117">
        <v>4.732030700708691</v>
      </c>
      <c r="K101" s="118">
        <v>2.5717966439201487</v>
      </c>
    </row>
    <row r="102" spans="2:11" x14ac:dyDescent="0.3">
      <c r="B102" s="120" t="s">
        <v>1985</v>
      </c>
      <c r="C102" s="1234" t="s">
        <v>1416</v>
      </c>
      <c r="D102" s="109">
        <v>2.7030463874397461</v>
      </c>
      <c r="E102" s="109">
        <v>1.6292182242498638</v>
      </c>
      <c r="F102" s="109">
        <v>1.1606701844746468</v>
      </c>
      <c r="G102" s="109">
        <v>0.84596340825142957</v>
      </c>
      <c r="H102" s="109">
        <v>0.6683673100322991</v>
      </c>
      <c r="I102" s="109">
        <v>2.9701958328843561</v>
      </c>
      <c r="J102" s="109">
        <v>2.5153285521302169</v>
      </c>
      <c r="K102" s="110">
        <v>0.62660224026220979</v>
      </c>
    </row>
    <row r="103" spans="2:11" x14ac:dyDescent="0.3">
      <c r="B103" s="121"/>
      <c r="C103" s="1500" t="s">
        <v>1483</v>
      </c>
      <c r="D103" s="1499">
        <v>4.7374279461128124</v>
      </c>
      <c r="E103" s="1499">
        <v>3.8076512456921501</v>
      </c>
      <c r="F103" s="1499">
        <v>3.1487358731310273</v>
      </c>
      <c r="G103" s="1499">
        <v>2.9005713228807903</v>
      </c>
      <c r="H103" s="1499">
        <v>2.6174800550548221</v>
      </c>
      <c r="I103" s="1499">
        <v>5.1793601977404613</v>
      </c>
      <c r="J103" s="1499">
        <v>4.7239706455572756</v>
      </c>
      <c r="K103" s="113">
        <v>2.5637365887687329</v>
      </c>
    </row>
    <row r="104" spans="2:11" x14ac:dyDescent="0.3">
      <c r="B104" s="111" t="s">
        <v>1987</v>
      </c>
      <c r="C104" s="1500" t="s">
        <v>1489</v>
      </c>
      <c r="D104" s="1499">
        <v>4.4940553022361671</v>
      </c>
      <c r="E104" s="1499">
        <v>3.5642786018155053</v>
      </c>
      <c r="F104" s="1499">
        <v>2.9053632292543825</v>
      </c>
      <c r="G104" s="1499">
        <v>2.6571986790041455</v>
      </c>
      <c r="H104" s="1499">
        <v>2.3741074111781773</v>
      </c>
      <c r="I104" s="1499">
        <v>4.9359875538638169</v>
      </c>
      <c r="J104" s="1499">
        <v>4.4805980016806304</v>
      </c>
      <c r="K104" s="113">
        <v>2.3203639448920885</v>
      </c>
    </row>
    <row r="105" spans="2:11" x14ac:dyDescent="0.3">
      <c r="B105" s="122">
        <v>0</v>
      </c>
      <c r="C105" s="1500" t="s">
        <v>1496</v>
      </c>
      <c r="D105" s="1499">
        <v>4.1289963364211992</v>
      </c>
      <c r="E105" s="1499">
        <v>3.1992196360005378</v>
      </c>
      <c r="F105" s="1499">
        <v>2.5403042634394155</v>
      </c>
      <c r="G105" s="1499">
        <v>2.2921397131891781</v>
      </c>
      <c r="H105" s="1499">
        <v>2.0090484453632098</v>
      </c>
      <c r="I105" s="1499">
        <v>4.5709285880488491</v>
      </c>
      <c r="J105" s="1499">
        <v>4.1155390358656634</v>
      </c>
      <c r="K105" s="113">
        <v>1.9553049790771211</v>
      </c>
    </row>
    <row r="106" spans="2:11" x14ac:dyDescent="0.3">
      <c r="B106" s="123"/>
      <c r="C106" s="1500" t="s">
        <v>1500</v>
      </c>
      <c r="D106" s="1499">
        <v>3.7639373706062322</v>
      </c>
      <c r="E106" s="1499">
        <v>2.8341606701855713</v>
      </c>
      <c r="F106" s="1499">
        <v>2.1752452976244481</v>
      </c>
      <c r="G106" s="1499">
        <v>1.9270807473742111</v>
      </c>
      <c r="H106" s="1499">
        <v>1.6439894795482428</v>
      </c>
      <c r="I106" s="1499">
        <v>4.2058696222338821</v>
      </c>
      <c r="J106" s="1499">
        <v>3.7504800700506959</v>
      </c>
      <c r="K106" s="113">
        <v>1.5902460132621539</v>
      </c>
    </row>
    <row r="107" spans="2:11" x14ac:dyDescent="0.3">
      <c r="B107" s="123"/>
      <c r="C107" s="1500" t="s">
        <v>1504</v>
      </c>
      <c r="D107" s="1499">
        <v>4.3235952764176497</v>
      </c>
      <c r="E107" s="1499">
        <v>3.3693908302132241</v>
      </c>
      <c r="F107" s="1499">
        <v>2.7329652192175344</v>
      </c>
      <c r="G107" s="1499">
        <v>2.4661048683961297</v>
      </c>
      <c r="H107" s="1499">
        <v>2.2111209889672527</v>
      </c>
      <c r="I107" s="1499">
        <v>4.7398487371751479</v>
      </c>
      <c r="J107" s="1499">
        <v>4.285997998693496</v>
      </c>
      <c r="K107" s="113">
        <v>2.1576900506151029</v>
      </c>
    </row>
    <row r="108" spans="2:11" x14ac:dyDescent="0.3">
      <c r="B108" s="123"/>
      <c r="C108" s="1500" t="s">
        <v>1508</v>
      </c>
      <c r="D108" s="1499">
        <v>4.121031786759656</v>
      </c>
      <c r="E108" s="1499">
        <v>3.1668273405552294</v>
      </c>
      <c r="F108" s="1499">
        <v>2.5304017295595398</v>
      </c>
      <c r="G108" s="1499">
        <v>2.2635413787381351</v>
      </c>
      <c r="H108" s="1499">
        <v>2.0085574993092585</v>
      </c>
      <c r="I108" s="1499">
        <v>4.5372852475171532</v>
      </c>
      <c r="J108" s="1499">
        <v>4.0834345090355013</v>
      </c>
      <c r="K108" s="113">
        <v>1.9551265609571082</v>
      </c>
    </row>
    <row r="109" spans="2:11" x14ac:dyDescent="0.3">
      <c r="B109" s="123"/>
      <c r="C109" s="1500" t="s">
        <v>1513</v>
      </c>
      <c r="D109" s="1499">
        <v>3.817186552272664</v>
      </c>
      <c r="E109" s="1499">
        <v>2.8629821060682374</v>
      </c>
      <c r="F109" s="1499">
        <v>2.2265564950725478</v>
      </c>
      <c r="G109" s="1499">
        <v>1.9596961442511431</v>
      </c>
      <c r="H109" s="1499">
        <v>1.7047122648222666</v>
      </c>
      <c r="I109" s="1499">
        <v>4.2334400130301617</v>
      </c>
      <c r="J109" s="1499">
        <v>3.7795892745485093</v>
      </c>
      <c r="K109" s="113">
        <v>1.6512813264701163</v>
      </c>
    </row>
    <row r="110" spans="2:11" x14ac:dyDescent="0.3">
      <c r="B110" s="123"/>
      <c r="C110" s="1500" t="s">
        <v>1517</v>
      </c>
      <c r="D110" s="1499">
        <v>3.5133413177856725</v>
      </c>
      <c r="E110" s="1499">
        <v>2.5591368715812455</v>
      </c>
      <c r="F110" s="1499">
        <v>1.9227112605855561</v>
      </c>
      <c r="G110" s="1499">
        <v>1.6558509097641514</v>
      </c>
      <c r="H110" s="1499">
        <v>1.4008670303352746</v>
      </c>
      <c r="I110" s="1499">
        <v>3.9295947785431693</v>
      </c>
      <c r="J110" s="1499">
        <v>3.4757440400615178</v>
      </c>
      <c r="K110" s="113">
        <v>1.3474360919831245</v>
      </c>
    </row>
    <row r="111" spans="2:11" ht="14.5" thickBot="1" x14ac:dyDescent="0.35">
      <c r="B111" s="124"/>
      <c r="C111" s="125" t="s">
        <v>1519</v>
      </c>
      <c r="D111" s="117">
        <v>4.7374279461128124</v>
      </c>
      <c r="E111" s="117">
        <v>3.8076512456921501</v>
      </c>
      <c r="F111" s="117">
        <v>3.1487358731310273</v>
      </c>
      <c r="G111" s="117">
        <v>2.9005713228807903</v>
      </c>
      <c r="H111" s="117">
        <v>2.6174800550548221</v>
      </c>
      <c r="I111" s="117">
        <v>5.1793601977404613</v>
      </c>
      <c r="J111" s="117">
        <v>4.7239706455572756</v>
      </c>
      <c r="K111" s="118">
        <v>2.5637365887687329</v>
      </c>
    </row>
    <row r="112" spans="2:11" x14ac:dyDescent="0.3">
      <c r="B112" s="119" t="s">
        <v>1985</v>
      </c>
      <c r="C112" s="108" t="s">
        <v>1416</v>
      </c>
      <c r="D112" s="109">
        <v>2.6909563047126226</v>
      </c>
      <c r="E112" s="109">
        <v>1.6171281415227405</v>
      </c>
      <c r="F112" s="109">
        <v>1.1485801017475232</v>
      </c>
      <c r="G112" s="109">
        <v>0.83387332552430626</v>
      </c>
      <c r="H112" s="109">
        <v>0.65627722730517568</v>
      </c>
      <c r="I112" s="109">
        <v>2.9581057501572325</v>
      </c>
      <c r="J112" s="109">
        <v>2.5032384694030934</v>
      </c>
      <c r="K112" s="110">
        <v>0.61451215753508648</v>
      </c>
    </row>
    <row r="113" spans="2:11" x14ac:dyDescent="0.3">
      <c r="B113" s="111"/>
      <c r="C113" s="112" t="s">
        <v>1483</v>
      </c>
      <c r="D113" s="1499">
        <v>4.725337863385688</v>
      </c>
      <c r="E113" s="1499">
        <v>3.7955611629650265</v>
      </c>
      <c r="F113" s="1499">
        <v>3.1366457904039038</v>
      </c>
      <c r="G113" s="1499">
        <v>2.8884812401536668</v>
      </c>
      <c r="H113" s="1499">
        <v>2.6053899723276985</v>
      </c>
      <c r="I113" s="1499">
        <v>5.1672701150133378</v>
      </c>
      <c r="J113" s="1499">
        <v>4.7118805628301521</v>
      </c>
      <c r="K113" s="113">
        <v>2.5516465060416098</v>
      </c>
    </row>
    <row r="114" spans="2:11" ht="14.5" thickBot="1" x14ac:dyDescent="0.35">
      <c r="B114" s="111" t="s">
        <v>1988</v>
      </c>
      <c r="C114" s="112" t="s">
        <v>1489</v>
      </c>
      <c r="D114" s="1499">
        <v>4.4819652195090436</v>
      </c>
      <c r="E114" s="1499">
        <v>3.5521885190883817</v>
      </c>
      <c r="F114" s="1501">
        <v>2.893273146527259</v>
      </c>
      <c r="G114" s="1499">
        <v>2.645108596277022</v>
      </c>
      <c r="H114" s="1499">
        <v>2.3620173284510537</v>
      </c>
      <c r="I114" s="1499">
        <v>4.9238974711366934</v>
      </c>
      <c r="J114" s="1499">
        <v>4.4685079189535077</v>
      </c>
      <c r="K114" s="113">
        <v>2.308273862164965</v>
      </c>
    </row>
    <row r="115" spans="2:11" ht="14.5" thickBot="1" x14ac:dyDescent="0.35">
      <c r="B115" s="114">
        <v>0</v>
      </c>
      <c r="C115" s="112" t="s">
        <v>1496</v>
      </c>
      <c r="D115" s="1499">
        <v>4.1169062536940766</v>
      </c>
      <c r="E115" s="1502">
        <v>3.1871295532734143</v>
      </c>
      <c r="F115" s="126">
        <v>2.5282141807122924</v>
      </c>
      <c r="G115" s="1503">
        <v>2.280049630462055</v>
      </c>
      <c r="H115" s="1499">
        <v>1.9969583626360867</v>
      </c>
      <c r="I115" s="1499">
        <v>4.5588385053217264</v>
      </c>
      <c r="J115" s="1499">
        <v>4.1034489531385399</v>
      </c>
      <c r="K115" s="113">
        <v>1.9432148963499978</v>
      </c>
    </row>
    <row r="116" spans="2:11" x14ac:dyDescent="0.3">
      <c r="B116" s="115"/>
      <c r="C116" s="112" t="s">
        <v>1500</v>
      </c>
      <c r="D116" s="1499">
        <v>3.7518472878791091</v>
      </c>
      <c r="E116" s="1499">
        <v>2.8220705874584477</v>
      </c>
      <c r="F116" s="127">
        <v>2.163155214897325</v>
      </c>
      <c r="G116" s="1499">
        <v>1.9149906646470878</v>
      </c>
      <c r="H116" s="1499">
        <v>1.6318993968211195</v>
      </c>
      <c r="I116" s="1499">
        <v>4.1937795395067585</v>
      </c>
      <c r="J116" s="1499">
        <v>3.7383899873235729</v>
      </c>
      <c r="K116" s="113">
        <v>1.5781559305350308</v>
      </c>
    </row>
    <row r="117" spans="2:11" x14ac:dyDescent="0.3">
      <c r="B117" s="115"/>
      <c r="C117" s="112" t="s">
        <v>1504</v>
      </c>
      <c r="D117" s="1499">
        <v>4.3115051936905271</v>
      </c>
      <c r="E117" s="1499">
        <v>3.3573007474861005</v>
      </c>
      <c r="F117" s="1499">
        <v>2.7208751364904109</v>
      </c>
      <c r="G117" s="1499">
        <v>2.4540147856690062</v>
      </c>
      <c r="H117" s="1499">
        <v>2.1990309062401296</v>
      </c>
      <c r="I117" s="1499">
        <v>4.7277586544480252</v>
      </c>
      <c r="J117" s="1499">
        <v>4.2739079159663724</v>
      </c>
      <c r="K117" s="113">
        <v>2.1455999678879794</v>
      </c>
    </row>
    <row r="118" spans="2:11" x14ac:dyDescent="0.3">
      <c r="B118" s="115"/>
      <c r="C118" s="112" t="s">
        <v>1508</v>
      </c>
      <c r="D118" s="1499">
        <v>4.1089417040325324</v>
      </c>
      <c r="E118" s="1499">
        <v>3.1547372578281059</v>
      </c>
      <c r="F118" s="1499">
        <v>2.5183116468324163</v>
      </c>
      <c r="G118" s="1499">
        <v>2.2514512960110116</v>
      </c>
      <c r="H118" s="1499">
        <v>1.9964674165821352</v>
      </c>
      <c r="I118" s="1499">
        <v>4.5251951647900306</v>
      </c>
      <c r="J118" s="1499">
        <v>4.0713444263083778</v>
      </c>
      <c r="K118" s="113">
        <v>1.9430364782299847</v>
      </c>
    </row>
    <row r="119" spans="2:11" x14ac:dyDescent="0.3">
      <c r="B119" s="115"/>
      <c r="C119" s="112" t="s">
        <v>1513</v>
      </c>
      <c r="D119" s="1499">
        <v>3.8050964695455409</v>
      </c>
      <c r="E119" s="1499">
        <v>2.8508920233411139</v>
      </c>
      <c r="F119" s="1499">
        <v>2.2144664123454247</v>
      </c>
      <c r="G119" s="1499">
        <v>1.9476060615240198</v>
      </c>
      <c r="H119" s="1499">
        <v>1.6926221820951433</v>
      </c>
      <c r="I119" s="1499">
        <v>4.2213499303030382</v>
      </c>
      <c r="J119" s="1499">
        <v>3.7674991918213867</v>
      </c>
      <c r="K119" s="113">
        <v>1.639191243742993</v>
      </c>
    </row>
    <row r="120" spans="2:11" x14ac:dyDescent="0.3">
      <c r="B120" s="115"/>
      <c r="C120" s="112" t="s">
        <v>1517</v>
      </c>
      <c r="D120" s="1499">
        <v>3.501251235058549</v>
      </c>
      <c r="E120" s="1499">
        <v>2.5470467888541224</v>
      </c>
      <c r="F120" s="1499">
        <v>1.9106211778584328</v>
      </c>
      <c r="G120" s="1499">
        <v>1.6437608270370281</v>
      </c>
      <c r="H120" s="1499">
        <v>1.3887769476081513</v>
      </c>
      <c r="I120" s="1499">
        <v>3.9175046958160462</v>
      </c>
      <c r="J120" s="1499">
        <v>3.4636539573343947</v>
      </c>
      <c r="K120" s="113">
        <v>1.3353460092560012</v>
      </c>
    </row>
    <row r="121" spans="2:11" ht="14.5" thickBot="1" x14ac:dyDescent="0.35">
      <c r="B121" s="1233"/>
      <c r="C121" s="116" t="s">
        <v>1519</v>
      </c>
      <c r="D121" s="117">
        <v>4.725337863385688</v>
      </c>
      <c r="E121" s="117">
        <v>3.7955611629650265</v>
      </c>
      <c r="F121" s="117">
        <v>3.1366457904039038</v>
      </c>
      <c r="G121" s="117">
        <v>2.8884812401536668</v>
      </c>
      <c r="H121" s="117">
        <v>2.6053899723276985</v>
      </c>
      <c r="I121" s="117">
        <v>5.1672701150133378</v>
      </c>
      <c r="J121" s="117">
        <v>4.7118805628301521</v>
      </c>
      <c r="K121" s="118">
        <v>2.5516465060416098</v>
      </c>
    </row>
    <row r="122" spans="2:11" x14ac:dyDescent="0.3">
      <c r="B122" s="107" t="s">
        <v>1985</v>
      </c>
      <c r="C122" s="108" t="s">
        <v>1416</v>
      </c>
      <c r="D122" s="109">
        <v>2.6788662219854991</v>
      </c>
      <c r="E122" s="109">
        <v>1.605038058795617</v>
      </c>
      <c r="F122" s="109">
        <v>1.1364900190203999</v>
      </c>
      <c r="G122" s="109">
        <v>0.82178324279718284</v>
      </c>
      <c r="H122" s="109">
        <v>0.64418714457805237</v>
      </c>
      <c r="I122" s="109">
        <v>2.946015667430109</v>
      </c>
      <c r="J122" s="109">
        <v>2.4911483866759703</v>
      </c>
      <c r="K122" s="110">
        <v>0.60242207480796306</v>
      </c>
    </row>
    <row r="123" spans="2:11" x14ac:dyDescent="0.3">
      <c r="B123" s="111"/>
      <c r="C123" s="112" t="s">
        <v>1483</v>
      </c>
      <c r="D123" s="1499">
        <v>4.7132477806585653</v>
      </c>
      <c r="E123" s="1499">
        <v>3.7834710802379035</v>
      </c>
      <c r="F123" s="1499">
        <v>3.1245557076767807</v>
      </c>
      <c r="G123" s="1499">
        <v>2.8763911574265437</v>
      </c>
      <c r="H123" s="1499">
        <v>2.5932998896005754</v>
      </c>
      <c r="I123" s="1499">
        <v>5.1551800322862151</v>
      </c>
      <c r="J123" s="1499">
        <v>4.6997904801030286</v>
      </c>
      <c r="K123" s="113">
        <v>2.5395564233144867</v>
      </c>
    </row>
    <row r="124" spans="2:11" x14ac:dyDescent="0.3">
      <c r="B124" s="111" t="s">
        <v>1989</v>
      </c>
      <c r="C124" s="112" t="s">
        <v>1489</v>
      </c>
      <c r="D124" s="1499">
        <v>4.4698751367819201</v>
      </c>
      <c r="E124" s="1499">
        <v>3.5400984363612586</v>
      </c>
      <c r="F124" s="1499">
        <v>2.8811830638001359</v>
      </c>
      <c r="G124" s="1499">
        <v>2.6330185135498985</v>
      </c>
      <c r="H124" s="1499">
        <v>2.3499272457239302</v>
      </c>
      <c r="I124" s="1499">
        <v>4.9118073884095699</v>
      </c>
      <c r="J124" s="1499">
        <v>4.4564178362263833</v>
      </c>
      <c r="K124" s="113">
        <v>2.2961837794378419</v>
      </c>
    </row>
    <row r="125" spans="2:11" x14ac:dyDescent="0.3">
      <c r="B125" s="114">
        <v>0</v>
      </c>
      <c r="C125" s="112" t="s">
        <v>1496</v>
      </c>
      <c r="D125" s="1499">
        <v>4.1048161709669531</v>
      </c>
      <c r="E125" s="1499">
        <v>3.1750394705462912</v>
      </c>
      <c r="F125" s="1499">
        <v>2.5161240979851689</v>
      </c>
      <c r="G125" s="1499">
        <v>2.2679595477349315</v>
      </c>
      <c r="H125" s="1499">
        <v>1.9848682799089634</v>
      </c>
      <c r="I125" s="1499">
        <v>4.546748422594602</v>
      </c>
      <c r="J125" s="1499">
        <v>4.0913588704114163</v>
      </c>
      <c r="K125" s="113">
        <v>1.9311248136228745</v>
      </c>
    </row>
    <row r="126" spans="2:11" x14ac:dyDescent="0.3">
      <c r="B126" s="115"/>
      <c r="C126" s="112" t="s">
        <v>1500</v>
      </c>
      <c r="D126" s="1499">
        <v>3.7397572051519856</v>
      </c>
      <c r="E126" s="1499">
        <v>2.8099805047313242</v>
      </c>
      <c r="F126" s="1499">
        <v>2.1510651321702015</v>
      </c>
      <c r="G126" s="1499">
        <v>1.9029005819199643</v>
      </c>
      <c r="H126" s="1499">
        <v>1.6198093140939962</v>
      </c>
      <c r="I126" s="1499">
        <v>4.181689456779635</v>
      </c>
      <c r="J126" s="1499">
        <v>3.7262999045964493</v>
      </c>
      <c r="K126" s="113">
        <v>1.5660658478079073</v>
      </c>
    </row>
    <row r="127" spans="2:11" x14ac:dyDescent="0.3">
      <c r="B127" s="115"/>
      <c r="C127" s="112" t="s">
        <v>1504</v>
      </c>
      <c r="D127" s="1499">
        <v>4.2994151109634036</v>
      </c>
      <c r="E127" s="1499">
        <v>3.345210664758977</v>
      </c>
      <c r="F127" s="1499">
        <v>2.7087850537632874</v>
      </c>
      <c r="G127" s="1499">
        <v>2.4419247029418827</v>
      </c>
      <c r="H127" s="1499">
        <v>2.1869408235130061</v>
      </c>
      <c r="I127" s="1499">
        <v>4.7156685717209008</v>
      </c>
      <c r="J127" s="1499">
        <v>4.2618178332392489</v>
      </c>
      <c r="K127" s="113">
        <v>2.1335098851608563</v>
      </c>
    </row>
    <row r="128" spans="2:11" x14ac:dyDescent="0.3">
      <c r="B128" s="115"/>
      <c r="C128" s="112" t="s">
        <v>1508</v>
      </c>
      <c r="D128" s="1499">
        <v>4.0968516213054089</v>
      </c>
      <c r="E128" s="1499">
        <v>3.1426471751009823</v>
      </c>
      <c r="F128" s="1499">
        <v>2.5062215641052932</v>
      </c>
      <c r="G128" s="1499">
        <v>2.2393612132838885</v>
      </c>
      <c r="H128" s="1499">
        <v>1.9843773338550117</v>
      </c>
      <c r="I128" s="1499">
        <v>4.5131050820629062</v>
      </c>
      <c r="J128" s="1499">
        <v>4.0592543435812551</v>
      </c>
      <c r="K128" s="113">
        <v>1.9309463955028614</v>
      </c>
    </row>
    <row r="129" spans="2:11" x14ac:dyDescent="0.3">
      <c r="B129" s="115"/>
      <c r="C129" s="112" t="s">
        <v>1513</v>
      </c>
      <c r="D129" s="1499">
        <v>3.7930063868184174</v>
      </c>
      <c r="E129" s="1499">
        <v>2.8388019406139908</v>
      </c>
      <c r="F129" s="1499">
        <v>2.2023763296183012</v>
      </c>
      <c r="G129" s="1499">
        <v>1.9355159787968965</v>
      </c>
      <c r="H129" s="1499">
        <v>1.6805320993680197</v>
      </c>
      <c r="I129" s="1499">
        <v>4.2092598475759146</v>
      </c>
      <c r="J129" s="1499">
        <v>3.7554091090942632</v>
      </c>
      <c r="K129" s="113">
        <v>1.6271011610158697</v>
      </c>
    </row>
    <row r="130" spans="2:11" x14ac:dyDescent="0.3">
      <c r="B130" s="115"/>
      <c r="C130" s="112" t="s">
        <v>1517</v>
      </c>
      <c r="D130" s="1499">
        <v>3.4891611523314254</v>
      </c>
      <c r="E130" s="1499">
        <v>2.5349567061269989</v>
      </c>
      <c r="F130" s="1499">
        <v>1.8985310951313092</v>
      </c>
      <c r="G130" s="1499">
        <v>1.6316707443099046</v>
      </c>
      <c r="H130" s="1499">
        <v>1.376686864881028</v>
      </c>
      <c r="I130" s="1499">
        <v>3.9054146130889231</v>
      </c>
      <c r="J130" s="1499">
        <v>3.4515638746072712</v>
      </c>
      <c r="K130" s="113">
        <v>1.3232559265288777</v>
      </c>
    </row>
    <row r="131" spans="2:11" ht="14.5" thickBot="1" x14ac:dyDescent="0.35">
      <c r="B131" s="1233"/>
      <c r="C131" s="116" t="s">
        <v>1519</v>
      </c>
      <c r="D131" s="117">
        <v>4.7132477806585653</v>
      </c>
      <c r="E131" s="117">
        <v>3.7834710802379035</v>
      </c>
      <c r="F131" s="117">
        <v>3.1245557076767807</v>
      </c>
      <c r="G131" s="117">
        <v>2.8763911574265437</v>
      </c>
      <c r="H131" s="117">
        <v>2.5932998896005754</v>
      </c>
      <c r="I131" s="117">
        <v>5.1551800322862151</v>
      </c>
      <c r="J131" s="117">
        <v>4.6997904801030286</v>
      </c>
      <c r="K131" s="118">
        <v>2.5395564233144867</v>
      </c>
    </row>
    <row r="132" spans="2:11" x14ac:dyDescent="0.3">
      <c r="B132" s="120" t="s">
        <v>1990</v>
      </c>
      <c r="C132" s="108" t="s">
        <v>1416</v>
      </c>
      <c r="D132" s="109">
        <v>2.6939194404851481</v>
      </c>
      <c r="E132" s="109">
        <v>1.6187486883027518</v>
      </c>
      <c r="F132" s="109">
        <v>1.154350065959068</v>
      </c>
      <c r="G132" s="109">
        <v>0.83774364360097886</v>
      </c>
      <c r="H132" s="109">
        <v>0.66500072571443214</v>
      </c>
      <c r="I132" s="109">
        <v>2.9592879318032934</v>
      </c>
      <c r="J132" s="109">
        <v>2.5045187278690912</v>
      </c>
      <c r="K132" s="110">
        <v>0.62564497078313464</v>
      </c>
    </row>
    <row r="133" spans="2:11" x14ac:dyDescent="0.3">
      <c r="B133" s="111"/>
      <c r="C133" s="112" t="s">
        <v>1483</v>
      </c>
      <c r="D133" s="1499">
        <v>4.7277348743989371</v>
      </c>
      <c r="E133" s="1499">
        <v>3.7985325114035966</v>
      </c>
      <c r="F133" s="1499">
        <v>3.1403565988765867</v>
      </c>
      <c r="G133" s="1499">
        <v>2.8918108166362697</v>
      </c>
      <c r="H133" s="1499">
        <v>2.6083965351156602</v>
      </c>
      <c r="I133" s="1499">
        <v>5.1703278315933012</v>
      </c>
      <c r="J133" s="1499">
        <v>4.7143280072756513</v>
      </c>
      <c r="K133" s="113">
        <v>2.5547803496673871</v>
      </c>
    </row>
    <row r="134" spans="2:11" x14ac:dyDescent="0.3">
      <c r="B134" s="111" t="s">
        <v>1986</v>
      </c>
      <c r="C134" s="112" t="s">
        <v>1489</v>
      </c>
      <c r="D134" s="1499">
        <v>4.4843622305222937</v>
      </c>
      <c r="E134" s="1499">
        <v>3.5551598675269518</v>
      </c>
      <c r="F134" s="1499">
        <v>2.8969839549999419</v>
      </c>
      <c r="G134" s="1499">
        <v>2.6484381727596249</v>
      </c>
      <c r="H134" s="1499">
        <v>2.3650238912390154</v>
      </c>
      <c r="I134" s="1499">
        <v>4.9269551877166577</v>
      </c>
      <c r="J134" s="1499">
        <v>4.4709553633990069</v>
      </c>
      <c r="K134" s="113">
        <v>2.3114077057907427</v>
      </c>
    </row>
    <row r="135" spans="2:11" x14ac:dyDescent="0.3">
      <c r="B135" s="114">
        <v>0</v>
      </c>
      <c r="C135" s="112" t="s">
        <v>1496</v>
      </c>
      <c r="D135" s="1499">
        <v>4.1193032647073258</v>
      </c>
      <c r="E135" s="1499">
        <v>3.1901009017119843</v>
      </c>
      <c r="F135" s="1499">
        <v>2.5319249891849749</v>
      </c>
      <c r="G135" s="1499">
        <v>2.2833792069446575</v>
      </c>
      <c r="H135" s="1499">
        <v>1.9999649254240481</v>
      </c>
      <c r="I135" s="1499">
        <v>4.5618962219016899</v>
      </c>
      <c r="J135" s="1499">
        <v>4.105896397584039</v>
      </c>
      <c r="K135" s="113">
        <v>1.9463487399757753</v>
      </c>
    </row>
    <row r="136" spans="2:11" x14ac:dyDescent="0.3">
      <c r="B136" s="115"/>
      <c r="C136" s="112" t="s">
        <v>1500</v>
      </c>
      <c r="D136" s="1499">
        <v>3.7542442988923588</v>
      </c>
      <c r="E136" s="1499">
        <v>2.8250419358970174</v>
      </c>
      <c r="F136" s="1499">
        <v>2.1668660233700079</v>
      </c>
      <c r="G136" s="1499">
        <v>1.9183202411296905</v>
      </c>
      <c r="H136" s="1499">
        <v>1.6349059596090809</v>
      </c>
      <c r="I136" s="1499">
        <v>4.1968372560867229</v>
      </c>
      <c r="J136" s="1499">
        <v>3.740837431769072</v>
      </c>
      <c r="K136" s="113">
        <v>1.5812897741608081</v>
      </c>
    </row>
    <row r="137" spans="2:11" x14ac:dyDescent="0.3">
      <c r="B137" s="115"/>
      <c r="C137" s="112" t="s">
        <v>1504</v>
      </c>
      <c r="D137" s="1499">
        <v>4.3141950926125743</v>
      </c>
      <c r="E137" s="1499">
        <v>3.3598366666201929</v>
      </c>
      <c r="F137" s="1499">
        <v>2.7236522060439134</v>
      </c>
      <c r="G137" s="1499">
        <v>2.4583502369282173</v>
      </c>
      <c r="H137" s="1499">
        <v>2.2028299790784676</v>
      </c>
      <c r="I137" s="1499">
        <v>4.7300719076725697</v>
      </c>
      <c r="J137" s="1499">
        <v>4.2761377924560033</v>
      </c>
      <c r="K137" s="113">
        <v>2.1493883606401467</v>
      </c>
    </row>
    <row r="138" spans="2:11" x14ac:dyDescent="0.3">
      <c r="B138" s="115"/>
      <c r="C138" s="112" t="s">
        <v>1508</v>
      </c>
      <c r="D138" s="1499">
        <v>4.1116316029545805</v>
      </c>
      <c r="E138" s="1499">
        <v>3.1572731769621982</v>
      </c>
      <c r="F138" s="1499">
        <v>2.5210887163859188</v>
      </c>
      <c r="G138" s="1499">
        <v>2.2557867472702227</v>
      </c>
      <c r="H138" s="1499">
        <v>2.0002664894204729</v>
      </c>
      <c r="I138" s="1499">
        <v>4.5275084180145759</v>
      </c>
      <c r="J138" s="1499">
        <v>4.0735743027980087</v>
      </c>
      <c r="K138" s="113">
        <v>1.9468248709821521</v>
      </c>
    </row>
    <row r="139" spans="2:11" x14ac:dyDescent="0.3">
      <c r="B139" s="115"/>
      <c r="C139" s="112" t="s">
        <v>1513</v>
      </c>
      <c r="D139" s="1499">
        <v>3.8077863684675886</v>
      </c>
      <c r="E139" s="1499">
        <v>2.8534279424752063</v>
      </c>
      <c r="F139" s="1499">
        <v>2.2172434818989268</v>
      </c>
      <c r="G139" s="1499">
        <v>1.9519415127832309</v>
      </c>
      <c r="H139" s="1499">
        <v>1.6964212549334809</v>
      </c>
      <c r="I139" s="1499">
        <v>4.2236631835275835</v>
      </c>
      <c r="J139" s="1499">
        <v>3.7697290683110172</v>
      </c>
      <c r="K139" s="113">
        <v>1.6429796364951603</v>
      </c>
    </row>
    <row r="140" spans="2:11" x14ac:dyDescent="0.3">
      <c r="B140" s="115"/>
      <c r="C140" s="112" t="s">
        <v>1517</v>
      </c>
      <c r="D140" s="1499">
        <v>3.503941133980597</v>
      </c>
      <c r="E140" s="1499">
        <v>2.5495827079882143</v>
      </c>
      <c r="F140" s="1499">
        <v>1.9133982474119351</v>
      </c>
      <c r="G140" s="1499">
        <v>1.6480962782962392</v>
      </c>
      <c r="H140" s="1499">
        <v>1.3925760204464892</v>
      </c>
      <c r="I140" s="1499">
        <v>3.919817949040592</v>
      </c>
      <c r="J140" s="1499">
        <v>3.4658838338240257</v>
      </c>
      <c r="K140" s="113">
        <v>1.3391344020081684</v>
      </c>
    </row>
    <row r="141" spans="2:11" ht="14.5" thickBot="1" x14ac:dyDescent="0.35">
      <c r="B141" s="1233"/>
      <c r="C141" s="116" t="s">
        <v>1519</v>
      </c>
      <c r="D141" s="117">
        <v>4.7277348743989371</v>
      </c>
      <c r="E141" s="117">
        <v>3.7985325114035966</v>
      </c>
      <c r="F141" s="117">
        <v>3.1403565988765867</v>
      </c>
      <c r="G141" s="117">
        <v>2.8918108166362697</v>
      </c>
      <c r="H141" s="117">
        <v>2.6083965351156602</v>
      </c>
      <c r="I141" s="117">
        <v>5.1703278315933012</v>
      </c>
      <c r="J141" s="117">
        <v>4.7143280072756513</v>
      </c>
      <c r="K141" s="118">
        <v>2.5547803496673871</v>
      </c>
    </row>
    <row r="142" spans="2:11" x14ac:dyDescent="0.3">
      <c r="B142" s="120" t="s">
        <v>1990</v>
      </c>
      <c r="C142" s="108" t="s">
        <v>1416</v>
      </c>
      <c r="D142" s="109">
        <v>2.6871851853362485</v>
      </c>
      <c r="E142" s="109">
        <v>1.6120144331538524</v>
      </c>
      <c r="F142" s="109">
        <v>1.1476158108101684</v>
      </c>
      <c r="G142" s="109">
        <v>0.83100938845207939</v>
      </c>
      <c r="H142" s="109">
        <v>0.65826647056553267</v>
      </c>
      <c r="I142" s="109">
        <v>2.9525536766543938</v>
      </c>
      <c r="J142" s="109">
        <v>2.4977844727201917</v>
      </c>
      <c r="K142" s="110">
        <v>0.61891071563423516</v>
      </c>
    </row>
    <row r="143" spans="2:11" x14ac:dyDescent="0.3">
      <c r="B143" s="111"/>
      <c r="C143" s="112" t="s">
        <v>1483</v>
      </c>
      <c r="D143" s="1499">
        <v>4.7210006192500389</v>
      </c>
      <c r="E143" s="1499">
        <v>3.791798256254697</v>
      </c>
      <c r="F143" s="1499">
        <v>3.1336223437276871</v>
      </c>
      <c r="G143" s="1499">
        <v>2.8850765614873701</v>
      </c>
      <c r="H143" s="1499">
        <v>2.6016622799667606</v>
      </c>
      <c r="I143" s="1499">
        <v>5.163593576444403</v>
      </c>
      <c r="J143" s="1499">
        <v>4.7075937521267521</v>
      </c>
      <c r="K143" s="113">
        <v>2.548046094518488</v>
      </c>
    </row>
    <row r="144" spans="2:11" x14ac:dyDescent="0.3">
      <c r="B144" s="111" t="s">
        <v>1987</v>
      </c>
      <c r="C144" s="112" t="s">
        <v>1489</v>
      </c>
      <c r="D144" s="1499">
        <v>4.4776279753733936</v>
      </c>
      <c r="E144" s="1499">
        <v>3.5484256123780522</v>
      </c>
      <c r="F144" s="1499">
        <v>2.8902496998510427</v>
      </c>
      <c r="G144" s="1499">
        <v>2.6417039176107253</v>
      </c>
      <c r="H144" s="1499">
        <v>2.3582896360901158</v>
      </c>
      <c r="I144" s="1499">
        <v>4.9202209325677577</v>
      </c>
      <c r="J144" s="1499">
        <v>4.4642211082501069</v>
      </c>
      <c r="K144" s="113">
        <v>2.3046734506418431</v>
      </c>
    </row>
    <row r="145" spans="2:11" x14ac:dyDescent="0.3">
      <c r="B145" s="114">
        <v>0</v>
      </c>
      <c r="C145" s="112" t="s">
        <v>1496</v>
      </c>
      <c r="D145" s="1499">
        <v>4.1125690095584257</v>
      </c>
      <c r="E145" s="1499">
        <v>3.1833666465630852</v>
      </c>
      <c r="F145" s="1499">
        <v>2.5251907340360753</v>
      </c>
      <c r="G145" s="1499">
        <v>2.2766449517957579</v>
      </c>
      <c r="H145" s="1499">
        <v>1.9932306702751486</v>
      </c>
      <c r="I145" s="1499">
        <v>4.5551619667527898</v>
      </c>
      <c r="J145" s="1499">
        <v>4.099162142435139</v>
      </c>
      <c r="K145" s="113">
        <v>1.9396144848268757</v>
      </c>
    </row>
    <row r="146" spans="2:11" x14ac:dyDescent="0.3">
      <c r="B146" s="115"/>
      <c r="C146" s="112" t="s">
        <v>1500</v>
      </c>
      <c r="D146" s="1499">
        <v>3.7475100437434588</v>
      </c>
      <c r="E146" s="1499">
        <v>2.8183076807481182</v>
      </c>
      <c r="F146" s="1499">
        <v>2.1601317682211079</v>
      </c>
      <c r="G146" s="1499">
        <v>1.9115859859807909</v>
      </c>
      <c r="H146" s="1499">
        <v>1.6281717044601816</v>
      </c>
      <c r="I146" s="1499">
        <v>4.1901030009378228</v>
      </c>
      <c r="J146" s="1499">
        <v>3.734103176620172</v>
      </c>
      <c r="K146" s="113">
        <v>1.5745555190119087</v>
      </c>
    </row>
    <row r="147" spans="2:11" x14ac:dyDescent="0.3">
      <c r="B147" s="115"/>
      <c r="C147" s="112" t="s">
        <v>1504</v>
      </c>
      <c r="D147" s="1499">
        <v>4.307460837463676</v>
      </c>
      <c r="E147" s="1499">
        <v>3.3531024114712937</v>
      </c>
      <c r="F147" s="1499">
        <v>2.7169179508950139</v>
      </c>
      <c r="G147" s="1499">
        <v>2.4516159817793182</v>
      </c>
      <c r="H147" s="1499">
        <v>2.196095723929568</v>
      </c>
      <c r="I147" s="1499">
        <v>4.7233376525236705</v>
      </c>
      <c r="J147" s="1499">
        <v>4.2694035373071042</v>
      </c>
      <c r="K147" s="113">
        <v>2.1426541054912471</v>
      </c>
    </row>
    <row r="148" spans="2:11" x14ac:dyDescent="0.3">
      <c r="B148" s="115"/>
      <c r="C148" s="112" t="s">
        <v>1508</v>
      </c>
      <c r="D148" s="1499">
        <v>4.1048973478056814</v>
      </c>
      <c r="E148" s="1499">
        <v>3.1505389218132991</v>
      </c>
      <c r="F148" s="1499">
        <v>2.5143544612370192</v>
      </c>
      <c r="G148" s="1499">
        <v>2.2490524921213235</v>
      </c>
      <c r="H148" s="1499">
        <v>1.9935322342715736</v>
      </c>
      <c r="I148" s="1499">
        <v>4.5207741628656759</v>
      </c>
      <c r="J148" s="1499">
        <v>4.0668400476491096</v>
      </c>
      <c r="K148" s="113">
        <v>1.9400906158332527</v>
      </c>
    </row>
    <row r="149" spans="2:11" x14ac:dyDescent="0.3">
      <c r="B149" s="115"/>
      <c r="C149" s="112" t="s">
        <v>1513</v>
      </c>
      <c r="D149" s="1499">
        <v>3.801052113318689</v>
      </c>
      <c r="E149" s="1499">
        <v>2.8466936873263071</v>
      </c>
      <c r="F149" s="1499">
        <v>2.2105092267500273</v>
      </c>
      <c r="G149" s="1499">
        <v>1.9452072576343313</v>
      </c>
      <c r="H149" s="1499">
        <v>1.6896869997845816</v>
      </c>
      <c r="I149" s="1499">
        <v>4.2169289283786844</v>
      </c>
      <c r="J149" s="1499">
        <v>3.7629948131621176</v>
      </c>
      <c r="K149" s="113">
        <v>1.636245381346261</v>
      </c>
    </row>
    <row r="150" spans="2:11" x14ac:dyDescent="0.3">
      <c r="B150" s="115"/>
      <c r="C150" s="112" t="s">
        <v>1517</v>
      </c>
      <c r="D150" s="1499">
        <v>3.497206878831697</v>
      </c>
      <c r="E150" s="1499">
        <v>2.5428484528393156</v>
      </c>
      <c r="F150" s="1499">
        <v>1.9066639922630357</v>
      </c>
      <c r="G150" s="1499">
        <v>1.6413620231473396</v>
      </c>
      <c r="H150" s="1499">
        <v>1.3858417652975898</v>
      </c>
      <c r="I150" s="1499">
        <v>3.913083693891692</v>
      </c>
      <c r="J150" s="1499">
        <v>3.4591495786751256</v>
      </c>
      <c r="K150" s="113">
        <v>1.332400146859269</v>
      </c>
    </row>
    <row r="151" spans="2:11" ht="14.5" thickBot="1" x14ac:dyDescent="0.35">
      <c r="B151" s="1233"/>
      <c r="C151" s="116" t="s">
        <v>1519</v>
      </c>
      <c r="D151" s="117">
        <v>4.7210006192500389</v>
      </c>
      <c r="E151" s="117">
        <v>3.791798256254697</v>
      </c>
      <c r="F151" s="117">
        <v>3.1336223437276871</v>
      </c>
      <c r="G151" s="117">
        <v>2.8850765614873701</v>
      </c>
      <c r="H151" s="117">
        <v>2.6016622799667606</v>
      </c>
      <c r="I151" s="117">
        <v>5.163593576444403</v>
      </c>
      <c r="J151" s="117">
        <v>4.7075937521267521</v>
      </c>
      <c r="K151" s="118">
        <v>2.548046094518488</v>
      </c>
    </row>
    <row r="152" spans="2:11" x14ac:dyDescent="0.3">
      <c r="B152" s="120" t="s">
        <v>1990</v>
      </c>
      <c r="C152" s="108" t="s">
        <v>1416</v>
      </c>
      <c r="D152" s="109">
        <v>2.6770838026128994</v>
      </c>
      <c r="E152" s="109">
        <v>1.6019130504305032</v>
      </c>
      <c r="F152" s="109">
        <v>1.1375144280868192</v>
      </c>
      <c r="G152" s="109">
        <v>0.82090800572873024</v>
      </c>
      <c r="H152" s="109">
        <v>0.64816508784218352</v>
      </c>
      <c r="I152" s="109">
        <v>2.9424522939310442</v>
      </c>
      <c r="J152" s="109">
        <v>2.4876830899968425</v>
      </c>
      <c r="K152" s="110">
        <v>0.6088093329108859</v>
      </c>
    </row>
    <row r="153" spans="2:11" x14ac:dyDescent="0.3">
      <c r="B153" s="111"/>
      <c r="C153" s="112" t="s">
        <v>1483</v>
      </c>
      <c r="D153" s="1499">
        <v>4.7108992365266893</v>
      </c>
      <c r="E153" s="1499">
        <v>3.7816968735313483</v>
      </c>
      <c r="F153" s="1499">
        <v>3.1235209610043384</v>
      </c>
      <c r="G153" s="1499">
        <v>2.874975178764021</v>
      </c>
      <c r="H153" s="1499">
        <v>2.5915608972434119</v>
      </c>
      <c r="I153" s="1499">
        <v>5.1534921937210534</v>
      </c>
      <c r="J153" s="1499">
        <v>4.6974923694034025</v>
      </c>
      <c r="K153" s="113">
        <v>2.5379447117951388</v>
      </c>
    </row>
    <row r="154" spans="2:11" x14ac:dyDescent="0.3">
      <c r="B154" s="111" t="s">
        <v>1988</v>
      </c>
      <c r="C154" s="112" t="s">
        <v>1489</v>
      </c>
      <c r="D154" s="1499">
        <v>4.467526592650044</v>
      </c>
      <c r="E154" s="1499">
        <v>3.5383242296547031</v>
      </c>
      <c r="F154" s="1499">
        <v>2.8801483171276931</v>
      </c>
      <c r="G154" s="1499">
        <v>2.6316025348873757</v>
      </c>
      <c r="H154" s="1499">
        <v>2.3481882533667666</v>
      </c>
      <c r="I154" s="1499">
        <v>4.9101195498444081</v>
      </c>
      <c r="J154" s="1499">
        <v>4.4541197255267573</v>
      </c>
      <c r="K154" s="113">
        <v>2.2945720679184936</v>
      </c>
    </row>
    <row r="155" spans="2:11" x14ac:dyDescent="0.3">
      <c r="B155" s="114">
        <v>0</v>
      </c>
      <c r="C155" s="112" t="s">
        <v>1496</v>
      </c>
      <c r="D155" s="1499">
        <v>4.102467626835077</v>
      </c>
      <c r="E155" s="1499">
        <v>3.1732652638397361</v>
      </c>
      <c r="F155" s="1499">
        <v>2.5150893513127262</v>
      </c>
      <c r="G155" s="1499">
        <v>2.2665435690724092</v>
      </c>
      <c r="H155" s="1499">
        <v>1.9831292875517996</v>
      </c>
      <c r="I155" s="1499">
        <v>4.5450605840294402</v>
      </c>
      <c r="J155" s="1499">
        <v>4.0890607597117903</v>
      </c>
      <c r="K155" s="113">
        <v>1.9295131021035268</v>
      </c>
    </row>
    <row r="156" spans="2:11" x14ac:dyDescent="0.3">
      <c r="B156" s="115"/>
      <c r="C156" s="112" t="s">
        <v>1500</v>
      </c>
      <c r="D156" s="1499">
        <v>3.7374086610201096</v>
      </c>
      <c r="E156" s="1499">
        <v>2.8082062980247686</v>
      </c>
      <c r="F156" s="1499">
        <v>2.1500303854977587</v>
      </c>
      <c r="G156" s="1499">
        <v>1.9014846032574417</v>
      </c>
      <c r="H156" s="1499">
        <v>1.6180703217368324</v>
      </c>
      <c r="I156" s="1499">
        <v>4.1800016182144741</v>
      </c>
      <c r="J156" s="1499">
        <v>3.7240017938968233</v>
      </c>
      <c r="K156" s="113">
        <v>1.5644541362885593</v>
      </c>
    </row>
    <row r="157" spans="2:11" x14ac:dyDescent="0.3">
      <c r="B157" s="115"/>
      <c r="C157" s="112" t="s">
        <v>1504</v>
      </c>
      <c r="D157" s="1499">
        <v>4.2973594547403264</v>
      </c>
      <c r="E157" s="1499">
        <v>3.3430010287479441</v>
      </c>
      <c r="F157" s="1499">
        <v>2.7068165681716647</v>
      </c>
      <c r="G157" s="1499">
        <v>2.4415145990559686</v>
      </c>
      <c r="H157" s="1499">
        <v>2.1859943412062188</v>
      </c>
      <c r="I157" s="1499">
        <v>4.713236269800321</v>
      </c>
      <c r="J157" s="1499">
        <v>4.2593021545837546</v>
      </c>
      <c r="K157" s="113">
        <v>2.132552722767898</v>
      </c>
    </row>
    <row r="158" spans="2:11" x14ac:dyDescent="0.3">
      <c r="B158" s="115"/>
      <c r="C158" s="112" t="s">
        <v>1508</v>
      </c>
      <c r="D158" s="1499">
        <v>4.0947959650823318</v>
      </c>
      <c r="E158" s="1499">
        <v>3.1404375390899495</v>
      </c>
      <c r="F158" s="1499">
        <v>2.5042530785136701</v>
      </c>
      <c r="G158" s="1499">
        <v>2.2389511093979739</v>
      </c>
      <c r="H158" s="1499">
        <v>1.9834308515482242</v>
      </c>
      <c r="I158" s="1499">
        <v>4.5106727801423263</v>
      </c>
      <c r="J158" s="1499">
        <v>4.05673866492576</v>
      </c>
      <c r="K158" s="113">
        <v>1.9299892331099033</v>
      </c>
    </row>
    <row r="159" spans="2:11" x14ac:dyDescent="0.3">
      <c r="B159" s="115"/>
      <c r="C159" s="112" t="s">
        <v>1513</v>
      </c>
      <c r="D159" s="1499">
        <v>3.7909507305953403</v>
      </c>
      <c r="E159" s="1499">
        <v>2.836592304602958</v>
      </c>
      <c r="F159" s="1499">
        <v>2.2004078440266785</v>
      </c>
      <c r="G159" s="1499">
        <v>1.9351058749109824</v>
      </c>
      <c r="H159" s="1499">
        <v>1.6795856170612324</v>
      </c>
      <c r="I159" s="1499">
        <v>4.2068275456553348</v>
      </c>
      <c r="J159" s="1499">
        <v>3.7528934304387684</v>
      </c>
      <c r="K159" s="113">
        <v>1.6261439986229114</v>
      </c>
    </row>
    <row r="160" spans="2:11" x14ac:dyDescent="0.3">
      <c r="B160" s="115"/>
      <c r="C160" s="112" t="s">
        <v>1517</v>
      </c>
      <c r="D160" s="1499">
        <v>3.4871054961083483</v>
      </c>
      <c r="E160" s="1499">
        <v>2.532747070115966</v>
      </c>
      <c r="F160" s="1499">
        <v>1.8965626095396864</v>
      </c>
      <c r="G160" s="1499">
        <v>1.6312606404239904</v>
      </c>
      <c r="H160" s="1499">
        <v>1.3757403825742405</v>
      </c>
      <c r="I160" s="1499">
        <v>3.9029823111683433</v>
      </c>
      <c r="J160" s="1499">
        <v>3.4490481959517765</v>
      </c>
      <c r="K160" s="113">
        <v>1.3222987641359196</v>
      </c>
    </row>
    <row r="161" spans="2:11" ht="14.5" thickBot="1" x14ac:dyDescent="0.35">
      <c r="B161" s="1233"/>
      <c r="C161" s="116" t="s">
        <v>1519</v>
      </c>
      <c r="D161" s="117">
        <v>4.7108992365266893</v>
      </c>
      <c r="E161" s="117">
        <v>3.7816968735313483</v>
      </c>
      <c r="F161" s="117">
        <v>3.1235209610043384</v>
      </c>
      <c r="G161" s="117">
        <v>2.874975178764021</v>
      </c>
      <c r="H161" s="117">
        <v>2.5915608972434119</v>
      </c>
      <c r="I161" s="117">
        <v>5.1534921937210534</v>
      </c>
      <c r="J161" s="117">
        <v>4.6974923694034025</v>
      </c>
      <c r="K161" s="118">
        <v>2.5379447117951388</v>
      </c>
    </row>
    <row r="162" spans="2:11" x14ac:dyDescent="0.3">
      <c r="B162" s="120" t="s">
        <v>1990</v>
      </c>
      <c r="C162" s="108" t="s">
        <v>1416</v>
      </c>
      <c r="D162" s="109">
        <v>2.6669824198895502</v>
      </c>
      <c r="E162" s="109">
        <v>1.5918116677071539</v>
      </c>
      <c r="F162" s="109">
        <v>1.1274130453634701</v>
      </c>
      <c r="G162" s="109">
        <v>0.81080662300538109</v>
      </c>
      <c r="H162" s="109">
        <v>0.63806370511883426</v>
      </c>
      <c r="I162" s="109">
        <v>2.9323509112076955</v>
      </c>
      <c r="J162" s="109">
        <v>2.4775817072734934</v>
      </c>
      <c r="K162" s="110">
        <v>0.59870795018753675</v>
      </c>
    </row>
    <row r="163" spans="2:11" x14ac:dyDescent="0.3">
      <c r="B163" s="111"/>
      <c r="C163" s="112" t="s">
        <v>1483</v>
      </c>
      <c r="D163" s="1499">
        <v>4.7007978538033397</v>
      </c>
      <c r="E163" s="1499">
        <v>3.7715954908079987</v>
      </c>
      <c r="F163" s="1499">
        <v>3.1134195782809888</v>
      </c>
      <c r="G163" s="1499">
        <v>2.8648737960406718</v>
      </c>
      <c r="H163" s="1499">
        <v>2.5814595145200623</v>
      </c>
      <c r="I163" s="1499">
        <v>5.1433908109977038</v>
      </c>
      <c r="J163" s="1499">
        <v>4.6873909866800529</v>
      </c>
      <c r="K163" s="113">
        <v>2.5278433290717892</v>
      </c>
    </row>
    <row r="164" spans="2:11" x14ac:dyDescent="0.3">
      <c r="B164" s="111" t="s">
        <v>1989</v>
      </c>
      <c r="C164" s="112" t="s">
        <v>1489</v>
      </c>
      <c r="D164" s="1499">
        <v>4.4574252099266944</v>
      </c>
      <c r="E164" s="1499">
        <v>3.5282228469313539</v>
      </c>
      <c r="F164" s="1499">
        <v>2.870046934404344</v>
      </c>
      <c r="G164" s="1499">
        <v>2.621501152164027</v>
      </c>
      <c r="H164" s="1499">
        <v>2.3380868706434175</v>
      </c>
      <c r="I164" s="1499">
        <v>4.9000181671210585</v>
      </c>
      <c r="J164" s="1499">
        <v>4.4440183428034077</v>
      </c>
      <c r="K164" s="113">
        <v>2.2844706851951448</v>
      </c>
    </row>
    <row r="165" spans="2:11" x14ac:dyDescent="0.3">
      <c r="B165" s="114">
        <v>0</v>
      </c>
      <c r="C165" s="112" t="s">
        <v>1496</v>
      </c>
      <c r="D165" s="1499">
        <v>4.0923662441117274</v>
      </c>
      <c r="E165" s="1499">
        <v>3.1631638811163865</v>
      </c>
      <c r="F165" s="1499">
        <v>2.504987968589377</v>
      </c>
      <c r="G165" s="1499">
        <v>2.2564421863490596</v>
      </c>
      <c r="H165" s="1499">
        <v>1.9730279048284503</v>
      </c>
      <c r="I165" s="1499">
        <v>4.5349592013060924</v>
      </c>
      <c r="J165" s="1499">
        <v>4.0789593769884407</v>
      </c>
      <c r="K165" s="113">
        <v>1.9194117193801774</v>
      </c>
    </row>
    <row r="166" spans="2:11" x14ac:dyDescent="0.3">
      <c r="B166" s="115"/>
      <c r="C166" s="112" t="s">
        <v>1500</v>
      </c>
      <c r="D166" s="1499">
        <v>3.7273072782967609</v>
      </c>
      <c r="E166" s="1499">
        <v>2.7981049153014195</v>
      </c>
      <c r="F166" s="1499">
        <v>2.13992900277441</v>
      </c>
      <c r="G166" s="1499">
        <v>1.8913832205340926</v>
      </c>
      <c r="H166" s="1499">
        <v>1.607968939013483</v>
      </c>
      <c r="I166" s="1499">
        <v>4.1699002354911245</v>
      </c>
      <c r="J166" s="1499">
        <v>3.7139004111734741</v>
      </c>
      <c r="K166" s="113">
        <v>1.5543527535652102</v>
      </c>
    </row>
    <row r="167" spans="2:11" x14ac:dyDescent="0.3">
      <c r="B167" s="115"/>
      <c r="C167" s="112" t="s">
        <v>1504</v>
      </c>
      <c r="D167" s="1499">
        <v>4.2872580720169768</v>
      </c>
      <c r="E167" s="1499">
        <v>3.332899646024595</v>
      </c>
      <c r="F167" s="1499">
        <v>2.6967151854483156</v>
      </c>
      <c r="G167" s="1499">
        <v>2.4314132163326194</v>
      </c>
      <c r="H167" s="1499">
        <v>2.1758929584828697</v>
      </c>
      <c r="I167" s="1499">
        <v>4.7031348870769714</v>
      </c>
      <c r="J167" s="1499">
        <v>4.2492007718604059</v>
      </c>
      <c r="K167" s="113">
        <v>2.1224513400445488</v>
      </c>
    </row>
    <row r="168" spans="2:11" x14ac:dyDescent="0.3">
      <c r="B168" s="115"/>
      <c r="C168" s="112" t="s">
        <v>1508</v>
      </c>
      <c r="D168" s="1499">
        <v>4.0846945823589822</v>
      </c>
      <c r="E168" s="1499">
        <v>3.1303361563666003</v>
      </c>
      <c r="F168" s="1499">
        <v>2.4941516957903209</v>
      </c>
      <c r="G168" s="1499">
        <v>2.2288497266746248</v>
      </c>
      <c r="H168" s="1499">
        <v>1.973329468824875</v>
      </c>
      <c r="I168" s="1499">
        <v>4.5005713974189767</v>
      </c>
      <c r="J168" s="1499">
        <v>4.0466372822024113</v>
      </c>
      <c r="K168" s="113">
        <v>1.9198878503865542</v>
      </c>
    </row>
    <row r="169" spans="2:11" x14ac:dyDescent="0.3">
      <c r="B169" s="115"/>
      <c r="C169" s="112" t="s">
        <v>1513</v>
      </c>
      <c r="D169" s="1499">
        <v>3.7808493478719907</v>
      </c>
      <c r="E169" s="1499">
        <v>2.8264909218796084</v>
      </c>
      <c r="F169" s="1499">
        <v>2.190306461303329</v>
      </c>
      <c r="G169" s="1499">
        <v>1.925004492187633</v>
      </c>
      <c r="H169" s="1499">
        <v>1.6694842343378831</v>
      </c>
      <c r="I169" s="1499">
        <v>4.1967261629319861</v>
      </c>
      <c r="J169" s="1499">
        <v>3.7427920477154193</v>
      </c>
      <c r="K169" s="113">
        <v>1.6160426158995624</v>
      </c>
    </row>
    <row r="170" spans="2:11" x14ac:dyDescent="0.3">
      <c r="B170" s="115"/>
      <c r="C170" s="112" t="s">
        <v>1517</v>
      </c>
      <c r="D170" s="1499">
        <v>3.4770041133849992</v>
      </c>
      <c r="E170" s="1499">
        <v>2.5226456873926164</v>
      </c>
      <c r="F170" s="1499">
        <v>1.8864612268163372</v>
      </c>
      <c r="G170" s="1499">
        <v>1.6211592577006413</v>
      </c>
      <c r="H170" s="1499">
        <v>1.3656389998508913</v>
      </c>
      <c r="I170" s="1499">
        <v>3.8928809284449941</v>
      </c>
      <c r="J170" s="1499">
        <v>3.4389468132284278</v>
      </c>
      <c r="K170" s="113">
        <v>1.3121973814125705</v>
      </c>
    </row>
    <row r="171" spans="2:11" ht="14.5" thickBot="1" x14ac:dyDescent="0.35">
      <c r="B171" s="1233"/>
      <c r="C171" s="116" t="s">
        <v>1519</v>
      </c>
      <c r="D171" s="117">
        <v>4.7007978538033397</v>
      </c>
      <c r="E171" s="117">
        <v>3.7715954908079987</v>
      </c>
      <c r="F171" s="117">
        <v>3.1134195782809888</v>
      </c>
      <c r="G171" s="117">
        <v>2.8648737960406718</v>
      </c>
      <c r="H171" s="117">
        <v>2.5814595145200623</v>
      </c>
      <c r="I171" s="117">
        <v>5.1433908109977038</v>
      </c>
      <c r="J171" s="117">
        <v>4.6873909866800529</v>
      </c>
      <c r="K171" s="118">
        <v>2.5278433290717892</v>
      </c>
    </row>
    <row r="173" spans="2:11" ht="14.5" thickBot="1" x14ac:dyDescent="0.35"/>
    <row r="174" spans="2:11" ht="25.5" thickBot="1" x14ac:dyDescent="0.55000000000000004">
      <c r="B174" s="88" t="s">
        <v>1960</v>
      </c>
      <c r="C174" s="89"/>
      <c r="D174" s="90">
        <v>3</v>
      </c>
      <c r="E174" s="91" t="s">
        <v>1991</v>
      </c>
      <c r="F174" s="92"/>
      <c r="G174" s="92"/>
      <c r="H174" s="92"/>
      <c r="I174" s="93"/>
      <c r="J174" s="89" t="s">
        <v>176</v>
      </c>
      <c r="K174" s="94" t="s">
        <v>243</v>
      </c>
    </row>
    <row r="175" spans="2:11" ht="14.5" thickBot="1" x14ac:dyDescent="0.35">
      <c r="B175" s="95" t="s">
        <v>1962</v>
      </c>
      <c r="C175" s="96" t="s">
        <v>1963</v>
      </c>
      <c r="D175" s="95" t="s">
        <v>1964</v>
      </c>
      <c r="E175" s="97" t="s">
        <v>1965</v>
      </c>
      <c r="F175" s="97" t="s">
        <v>1966</v>
      </c>
      <c r="G175" s="97" t="s">
        <v>1967</v>
      </c>
      <c r="H175" s="97" t="s">
        <v>1968</v>
      </c>
      <c r="I175" s="97" t="s">
        <v>1969</v>
      </c>
      <c r="J175" s="97" t="s">
        <v>1970</v>
      </c>
      <c r="K175" s="98" t="s">
        <v>1971</v>
      </c>
    </row>
    <row r="176" spans="2:11" ht="14.5" thickBot="1" x14ac:dyDescent="0.35">
      <c r="B176" s="99"/>
      <c r="C176" s="99"/>
      <c r="D176" s="100"/>
      <c r="E176" s="944"/>
      <c r="F176" s="944"/>
      <c r="G176" s="944"/>
      <c r="H176" s="944"/>
      <c r="I176" s="944"/>
      <c r="J176" s="944"/>
      <c r="K176" s="102"/>
    </row>
    <row r="177" spans="2:11" ht="88" thickBot="1" x14ac:dyDescent="0.45">
      <c r="B177" s="103" t="s">
        <v>1972</v>
      </c>
      <c r="C177" s="103" t="s">
        <v>1973</v>
      </c>
      <c r="D177" s="105" t="s">
        <v>1974</v>
      </c>
      <c r="E177" s="105" t="s">
        <v>1525</v>
      </c>
      <c r="F177" s="105" t="s">
        <v>1527</v>
      </c>
      <c r="G177" s="105" t="s">
        <v>1975</v>
      </c>
      <c r="H177" s="105" t="s">
        <v>1976</v>
      </c>
      <c r="I177" s="105" t="s">
        <v>1445</v>
      </c>
      <c r="J177" s="105" t="s">
        <v>1538</v>
      </c>
      <c r="K177" s="106" t="s">
        <v>1541</v>
      </c>
    </row>
    <row r="178" spans="2:11" x14ac:dyDescent="0.3">
      <c r="B178" s="120" t="s">
        <v>1992</v>
      </c>
      <c r="C178" s="108" t="s">
        <v>1416</v>
      </c>
      <c r="D178" s="109">
        <v>2.9399318977018574</v>
      </c>
      <c r="E178" s="109">
        <v>1.883392420647213</v>
      </c>
      <c r="F178" s="109">
        <v>1.3563012399206598</v>
      </c>
      <c r="G178" s="109">
        <v>1.0635034519644198</v>
      </c>
      <c r="H178" s="109">
        <v>0.84908026467195974</v>
      </c>
      <c r="I178" s="109">
        <v>3.2415405317965265</v>
      </c>
      <c r="J178" s="109">
        <v>2.7869435786018935</v>
      </c>
      <c r="K178" s="110">
        <v>0.78545487320522411</v>
      </c>
    </row>
    <row r="179" spans="2:11" x14ac:dyDescent="0.3">
      <c r="B179" s="128"/>
      <c r="C179" s="112" t="s">
        <v>1483</v>
      </c>
      <c r="D179" s="1499">
        <v>5.624665846226419</v>
      </c>
      <c r="E179" s="1499">
        <v>4.7137314483281747</v>
      </c>
      <c r="F179" s="1499">
        <v>4.0336238491255569</v>
      </c>
      <c r="G179" s="1499">
        <v>3.7942401924380618</v>
      </c>
      <c r="H179" s="1499">
        <v>3.5019006068099454</v>
      </c>
      <c r="I179" s="1499">
        <v>6.091136431902151</v>
      </c>
      <c r="J179" s="1499">
        <v>5.6396957714565854</v>
      </c>
      <c r="K179" s="113">
        <v>3.4501474812662041</v>
      </c>
    </row>
    <row r="180" spans="2:11" x14ac:dyDescent="0.3">
      <c r="B180" s="128"/>
      <c r="C180" s="112" t="s">
        <v>1489</v>
      </c>
      <c r="D180" s="1499">
        <v>5.3812932023497737</v>
      </c>
      <c r="E180" s="1499">
        <v>4.4703588044515294</v>
      </c>
      <c r="F180" s="1499">
        <v>3.7902512052489126</v>
      </c>
      <c r="G180" s="1499">
        <v>3.550867548561417</v>
      </c>
      <c r="H180" s="1499">
        <v>3.2585279629333006</v>
      </c>
      <c r="I180" s="1499">
        <v>5.8477637880255067</v>
      </c>
      <c r="J180" s="1499">
        <v>5.3963231275799401</v>
      </c>
      <c r="K180" s="113">
        <v>3.2067748373895593</v>
      </c>
    </row>
    <row r="181" spans="2:11" x14ac:dyDescent="0.3">
      <c r="B181" s="122">
        <v>0</v>
      </c>
      <c r="C181" s="112" t="s">
        <v>1496</v>
      </c>
      <c r="D181" s="1499">
        <v>5.0162342365348058</v>
      </c>
      <c r="E181" s="1499">
        <v>4.1052998386365624</v>
      </c>
      <c r="F181" s="1499">
        <v>3.4251922394339451</v>
      </c>
      <c r="G181" s="1499">
        <v>3.1858085827464495</v>
      </c>
      <c r="H181" s="1499">
        <v>2.8934689971183332</v>
      </c>
      <c r="I181" s="1499">
        <v>5.4827048222105388</v>
      </c>
      <c r="J181" s="1499">
        <v>5.0312641617649732</v>
      </c>
      <c r="K181" s="113">
        <v>2.8417158715745918</v>
      </c>
    </row>
    <row r="182" spans="2:11" x14ac:dyDescent="0.3">
      <c r="B182" s="123"/>
      <c r="C182" s="112" t="s">
        <v>1500</v>
      </c>
      <c r="D182" s="1499">
        <v>4.6511752707198388</v>
      </c>
      <c r="E182" s="1499">
        <v>3.740240872821595</v>
      </c>
      <c r="F182" s="1499">
        <v>3.0601332736189777</v>
      </c>
      <c r="G182" s="1499">
        <v>2.8207496169314825</v>
      </c>
      <c r="H182" s="1499">
        <v>2.5284100313033666</v>
      </c>
      <c r="I182" s="1499">
        <v>5.1176458563955718</v>
      </c>
      <c r="J182" s="1499">
        <v>4.6662051959500053</v>
      </c>
      <c r="K182" s="113">
        <v>2.4766569057596248</v>
      </c>
    </row>
    <row r="183" spans="2:11" x14ac:dyDescent="0.3">
      <c r="B183" s="123"/>
      <c r="C183" s="112" t="s">
        <v>1504</v>
      </c>
      <c r="D183" s="1499">
        <v>5.1040448549590876</v>
      </c>
      <c r="E183" s="1499">
        <v>4.1785942255951145</v>
      </c>
      <c r="F183" s="1499">
        <v>3.5111421709915245</v>
      </c>
      <c r="G183" s="1499">
        <v>3.2575172618543111</v>
      </c>
      <c r="H183" s="1499">
        <v>2.9777094867813325</v>
      </c>
      <c r="I183" s="1499">
        <v>5.5549031176692036</v>
      </c>
      <c r="J183" s="1499">
        <v>5.1017639736024014</v>
      </c>
      <c r="K183" s="113">
        <v>2.9253952577909046</v>
      </c>
    </row>
    <row r="184" spans="2:11" x14ac:dyDescent="0.3">
      <c r="B184" s="123"/>
      <c r="C184" s="112" t="s">
        <v>1508</v>
      </c>
      <c r="D184" s="1499">
        <v>4.9014813653010929</v>
      </c>
      <c r="E184" s="1499">
        <v>3.9760307359371199</v>
      </c>
      <c r="F184" s="1499">
        <v>3.3085786813335298</v>
      </c>
      <c r="G184" s="1499">
        <v>3.0549537721963165</v>
      </c>
      <c r="H184" s="1499">
        <v>2.7751459971233379</v>
      </c>
      <c r="I184" s="1499">
        <v>5.352339628011209</v>
      </c>
      <c r="J184" s="1499">
        <v>4.8992004839444068</v>
      </c>
      <c r="K184" s="113">
        <v>2.7228317681329099</v>
      </c>
    </row>
    <row r="185" spans="2:11" x14ac:dyDescent="0.3">
      <c r="B185" s="123"/>
      <c r="C185" s="112" t="s">
        <v>1513</v>
      </c>
      <c r="D185" s="1499">
        <v>4.5976361308141014</v>
      </c>
      <c r="E185" s="1499">
        <v>3.6721855014501279</v>
      </c>
      <c r="F185" s="1499">
        <v>3.0047334468465379</v>
      </c>
      <c r="G185" s="1499">
        <v>2.7511085377093245</v>
      </c>
      <c r="H185" s="1499">
        <v>2.4713007626363459</v>
      </c>
      <c r="I185" s="1499">
        <v>5.0484943935242175</v>
      </c>
      <c r="J185" s="1499">
        <v>4.5953552494574152</v>
      </c>
      <c r="K185" s="113">
        <v>2.418986533645918</v>
      </c>
    </row>
    <row r="186" spans="2:11" x14ac:dyDescent="0.3">
      <c r="B186" s="123"/>
      <c r="C186" s="112" t="s">
        <v>1517</v>
      </c>
      <c r="D186" s="1499">
        <v>4.293790896327109</v>
      </c>
      <c r="E186" s="1499">
        <v>3.3683402669631364</v>
      </c>
      <c r="F186" s="1499">
        <v>2.7008882123595459</v>
      </c>
      <c r="G186" s="1499">
        <v>2.447263303222333</v>
      </c>
      <c r="H186" s="1499">
        <v>2.1674555281493539</v>
      </c>
      <c r="I186" s="1499">
        <v>4.7446491590372251</v>
      </c>
      <c r="J186" s="1499">
        <v>4.2915100149704228</v>
      </c>
      <c r="K186" s="113">
        <v>2.115141299158926</v>
      </c>
    </row>
    <row r="187" spans="2:11" ht="14.5" thickBot="1" x14ac:dyDescent="0.35">
      <c r="B187" s="124"/>
      <c r="C187" s="116" t="s">
        <v>1519</v>
      </c>
      <c r="D187" s="117">
        <v>5.624665846226419</v>
      </c>
      <c r="E187" s="117">
        <v>4.7137314483281747</v>
      </c>
      <c r="F187" s="117">
        <v>4.0336238491255569</v>
      </c>
      <c r="G187" s="117">
        <v>3.7942401924380618</v>
      </c>
      <c r="H187" s="117">
        <v>3.5019006068099454</v>
      </c>
      <c r="I187" s="117">
        <v>6.091136431902151</v>
      </c>
      <c r="J187" s="117">
        <v>5.6396957714565854</v>
      </c>
      <c r="K187" s="118">
        <v>3.4501474812662041</v>
      </c>
    </row>
    <row r="188" spans="2:11" x14ac:dyDescent="0.3">
      <c r="B188" s="120" t="s">
        <v>1993</v>
      </c>
      <c r="C188" s="1234" t="s">
        <v>1416</v>
      </c>
      <c r="D188" s="109">
        <v>2.7449325678766545</v>
      </c>
      <c r="E188" s="109">
        <v>1.6830869759497424</v>
      </c>
      <c r="F188" s="109">
        <v>1.193621039884778</v>
      </c>
      <c r="G188" s="109">
        <v>0.88405953308942542</v>
      </c>
      <c r="H188" s="109">
        <v>0.69346323793935416</v>
      </c>
      <c r="I188" s="109">
        <v>3.0446760964903956</v>
      </c>
      <c r="J188" s="109">
        <v>2.5830928004973392</v>
      </c>
      <c r="K188" s="110">
        <v>0.6475184238265268</v>
      </c>
    </row>
    <row r="189" spans="2:11" x14ac:dyDescent="0.3">
      <c r="B189" s="121"/>
      <c r="C189" s="1500" t="s">
        <v>1483</v>
      </c>
      <c r="D189" s="1499">
        <v>5.437290660174761</v>
      </c>
      <c r="E189" s="1499">
        <v>4.5522650936728448</v>
      </c>
      <c r="F189" s="1499">
        <v>3.8546283708647051</v>
      </c>
      <c r="G189" s="1499">
        <v>3.6243931061766057</v>
      </c>
      <c r="H189" s="1499">
        <v>3.3202368615266633</v>
      </c>
      <c r="I189" s="1499">
        <v>5.9380877011226394</v>
      </c>
      <c r="J189" s="1499">
        <v>5.4805717939805714</v>
      </c>
      <c r="K189" s="113">
        <v>3.2727392623086105</v>
      </c>
    </row>
    <row r="190" spans="2:11" x14ac:dyDescent="0.3">
      <c r="B190" s="128"/>
      <c r="C190" s="1500" t="s">
        <v>1489</v>
      </c>
      <c r="D190" s="1499">
        <v>5.1939180162981158</v>
      </c>
      <c r="E190" s="1499">
        <v>4.3088924497961996</v>
      </c>
      <c r="F190" s="1499">
        <v>3.6112557269880603</v>
      </c>
      <c r="G190" s="1499">
        <v>3.3810204622999609</v>
      </c>
      <c r="H190" s="1499">
        <v>3.0768642176500185</v>
      </c>
      <c r="I190" s="1499">
        <v>5.6947150572459941</v>
      </c>
      <c r="J190" s="1499">
        <v>5.2371991501039261</v>
      </c>
      <c r="K190" s="113">
        <v>3.0293666184319656</v>
      </c>
    </row>
    <row r="191" spans="2:11" x14ac:dyDescent="0.3">
      <c r="B191" s="122">
        <v>0</v>
      </c>
      <c r="C191" s="1500" t="s">
        <v>1496</v>
      </c>
      <c r="D191" s="1499">
        <v>4.8288590504831488</v>
      </c>
      <c r="E191" s="1499">
        <v>3.9438334839812321</v>
      </c>
      <c r="F191" s="1499">
        <v>3.2461967611730933</v>
      </c>
      <c r="G191" s="1499">
        <v>3.0159614964849939</v>
      </c>
      <c r="H191" s="1499">
        <v>2.7118052518350511</v>
      </c>
      <c r="I191" s="1499">
        <v>5.3296560914310263</v>
      </c>
      <c r="J191" s="1499">
        <v>4.8721401842889582</v>
      </c>
      <c r="K191" s="113">
        <v>2.6643076526169982</v>
      </c>
    </row>
    <row r="192" spans="2:11" x14ac:dyDescent="0.3">
      <c r="B192" s="123"/>
      <c r="C192" s="1500" t="s">
        <v>1500</v>
      </c>
      <c r="D192" s="1499">
        <v>4.4638000846681818</v>
      </c>
      <c r="E192" s="1499">
        <v>3.5787745181662647</v>
      </c>
      <c r="F192" s="1499">
        <v>2.8811377953581263</v>
      </c>
      <c r="G192" s="1499">
        <v>2.6509025306700269</v>
      </c>
      <c r="H192" s="1499">
        <v>2.3467462860200841</v>
      </c>
      <c r="I192" s="1499">
        <v>4.9645971256160593</v>
      </c>
      <c r="J192" s="1499">
        <v>4.5070812184739912</v>
      </c>
      <c r="K192" s="113">
        <v>2.2992486868020316</v>
      </c>
    </row>
    <row r="193" spans="2:11" x14ac:dyDescent="0.3">
      <c r="B193" s="123"/>
      <c r="C193" s="1500" t="s">
        <v>1504</v>
      </c>
      <c r="D193" s="1499">
        <v>4.9152748103082127</v>
      </c>
      <c r="E193" s="1499">
        <v>4.0064309651714884</v>
      </c>
      <c r="F193" s="1499">
        <v>3.3236437672994317</v>
      </c>
      <c r="G193" s="1499">
        <v>3.0836689331555638</v>
      </c>
      <c r="H193" s="1499">
        <v>2.796121009004422</v>
      </c>
      <c r="I193" s="1499">
        <v>5.39371056663117</v>
      </c>
      <c r="J193" s="1499">
        <v>4.9365495341695445</v>
      </c>
      <c r="K193" s="113">
        <v>2.74522437726533</v>
      </c>
    </row>
    <row r="194" spans="2:11" x14ac:dyDescent="0.3">
      <c r="B194" s="123"/>
      <c r="C194" s="1500" t="s">
        <v>1508</v>
      </c>
      <c r="D194" s="1499">
        <v>4.712711320650218</v>
      </c>
      <c r="E194" s="1499">
        <v>3.8038674755134934</v>
      </c>
      <c r="F194" s="1499">
        <v>3.121080277641437</v>
      </c>
      <c r="G194" s="1499">
        <v>2.8811054434975691</v>
      </c>
      <c r="H194" s="1499">
        <v>2.5935575193464273</v>
      </c>
      <c r="I194" s="1499">
        <v>5.1911470769731753</v>
      </c>
      <c r="J194" s="1499">
        <v>4.7339860445115498</v>
      </c>
      <c r="K194" s="113">
        <v>2.5426608876073353</v>
      </c>
    </row>
    <row r="195" spans="2:11" x14ac:dyDescent="0.3">
      <c r="B195" s="123"/>
      <c r="C195" s="1500" t="s">
        <v>1513</v>
      </c>
      <c r="D195" s="1499">
        <v>4.4088660861632265</v>
      </c>
      <c r="E195" s="1499">
        <v>3.5000222410265014</v>
      </c>
      <c r="F195" s="1499">
        <v>2.8172350431544451</v>
      </c>
      <c r="G195" s="1499">
        <v>2.5772602090105772</v>
      </c>
      <c r="H195" s="1499">
        <v>2.2897122848594353</v>
      </c>
      <c r="I195" s="1499">
        <v>4.8873018424861838</v>
      </c>
      <c r="J195" s="1499">
        <v>4.4301408100245583</v>
      </c>
      <c r="K195" s="113">
        <v>2.2388156531203434</v>
      </c>
    </row>
    <row r="196" spans="2:11" x14ac:dyDescent="0.3">
      <c r="B196" s="123"/>
      <c r="C196" s="1500" t="s">
        <v>1517</v>
      </c>
      <c r="D196" s="1499">
        <v>4.1050208516762341</v>
      </c>
      <c r="E196" s="1499">
        <v>3.1961770065395099</v>
      </c>
      <c r="F196" s="1499">
        <v>2.5133898086674531</v>
      </c>
      <c r="G196" s="1499">
        <v>2.2734149745235852</v>
      </c>
      <c r="H196" s="1499">
        <v>1.9858670503724434</v>
      </c>
      <c r="I196" s="1499">
        <v>4.5834566079991914</v>
      </c>
      <c r="J196" s="1499">
        <v>4.1262955755375659</v>
      </c>
      <c r="K196" s="113">
        <v>1.9349704186333516</v>
      </c>
    </row>
    <row r="197" spans="2:11" ht="14.5" thickBot="1" x14ac:dyDescent="0.35">
      <c r="B197" s="124"/>
      <c r="C197" s="125" t="s">
        <v>1519</v>
      </c>
      <c r="D197" s="117">
        <v>5.437290660174761</v>
      </c>
      <c r="E197" s="117">
        <v>4.5522650936728448</v>
      </c>
      <c r="F197" s="117">
        <v>3.8546283708647051</v>
      </c>
      <c r="G197" s="117">
        <v>3.6243931061766057</v>
      </c>
      <c r="H197" s="117">
        <v>3.3202368615266633</v>
      </c>
      <c r="I197" s="117">
        <v>5.9380877011226394</v>
      </c>
      <c r="J197" s="117">
        <v>5.4805717939805714</v>
      </c>
      <c r="K197" s="118">
        <v>3.2727392623086105</v>
      </c>
    </row>
    <row r="198" spans="2:11" x14ac:dyDescent="0.3">
      <c r="B198" s="119" t="s">
        <v>1994</v>
      </c>
      <c r="C198" s="108" t="s">
        <v>1416</v>
      </c>
      <c r="D198" s="109">
        <v>2.8208119871500448</v>
      </c>
      <c r="E198" s="109">
        <v>1.7690535431654135</v>
      </c>
      <c r="F198" s="109">
        <v>1.2552874666713458</v>
      </c>
      <c r="G198" s="109">
        <v>0.95489726217489812</v>
      </c>
      <c r="H198" s="109">
        <v>0.74088632205421556</v>
      </c>
      <c r="I198" s="109">
        <v>3.1441695565875043</v>
      </c>
      <c r="J198" s="109">
        <v>2.679726252129667</v>
      </c>
      <c r="K198" s="110">
        <v>0.69556394031198709</v>
      </c>
    </row>
    <row r="199" spans="2:11" x14ac:dyDescent="0.3">
      <c r="B199" s="111"/>
      <c r="C199" s="112" t="s">
        <v>1483</v>
      </c>
      <c r="D199" s="1499">
        <v>5.5253629259190395</v>
      </c>
      <c r="E199" s="1499">
        <v>4.643452583640749</v>
      </c>
      <c r="F199" s="1499">
        <v>3.9389446881563872</v>
      </c>
      <c r="G199" s="1499">
        <v>3.7120258235929446</v>
      </c>
      <c r="H199" s="1499">
        <v>3.4069109338051975</v>
      </c>
      <c r="I199" s="1499">
        <v>6.035187848791062</v>
      </c>
      <c r="J199" s="1499">
        <v>5.5773863985089376</v>
      </c>
      <c r="K199" s="113">
        <v>3.3590080395141064</v>
      </c>
    </row>
    <row r="200" spans="2:11" x14ac:dyDescent="0.3">
      <c r="B200" s="111"/>
      <c r="C200" s="112" t="s">
        <v>1489</v>
      </c>
      <c r="D200" s="1499">
        <v>5.2819902820423943</v>
      </c>
      <c r="E200" s="1499">
        <v>4.4000799397641037</v>
      </c>
      <c r="F200" s="1499">
        <v>3.6955720442797428</v>
      </c>
      <c r="G200" s="1499">
        <v>3.4686531797162998</v>
      </c>
      <c r="H200" s="1499">
        <v>3.1635382899285527</v>
      </c>
      <c r="I200" s="1499">
        <v>5.7918152049144167</v>
      </c>
      <c r="J200" s="1499">
        <v>5.3340137546322932</v>
      </c>
      <c r="K200" s="113">
        <v>3.1156353956374616</v>
      </c>
    </row>
    <row r="201" spans="2:11" x14ac:dyDescent="0.3">
      <c r="B201" s="114">
        <v>0</v>
      </c>
      <c r="C201" s="112" t="s">
        <v>1496</v>
      </c>
      <c r="D201" s="1499">
        <v>4.9169313162274273</v>
      </c>
      <c r="E201" s="1499">
        <v>4.0350209739491367</v>
      </c>
      <c r="F201" s="1499">
        <v>3.3305130784647754</v>
      </c>
      <c r="G201" s="1499">
        <v>3.1035942139013324</v>
      </c>
      <c r="H201" s="1499">
        <v>2.7984793241135857</v>
      </c>
      <c r="I201" s="1499">
        <v>5.4267562390994497</v>
      </c>
      <c r="J201" s="1499">
        <v>4.9689547888173253</v>
      </c>
      <c r="K201" s="113">
        <v>2.7505764298224942</v>
      </c>
    </row>
    <row r="202" spans="2:11" x14ac:dyDescent="0.3">
      <c r="B202" s="115"/>
      <c r="C202" s="112" t="s">
        <v>1500</v>
      </c>
      <c r="D202" s="1499">
        <v>4.5518723504124603</v>
      </c>
      <c r="E202" s="1499">
        <v>3.6699620081341693</v>
      </c>
      <c r="F202" s="1499">
        <v>2.965454112649808</v>
      </c>
      <c r="G202" s="1499">
        <v>2.7385352480863658</v>
      </c>
      <c r="H202" s="1499">
        <v>2.4334203582986182</v>
      </c>
      <c r="I202" s="1499">
        <v>5.0616972732844818</v>
      </c>
      <c r="J202" s="1499">
        <v>4.6038958230023583</v>
      </c>
      <c r="K202" s="113">
        <v>2.3855174640075267</v>
      </c>
    </row>
    <row r="203" spans="2:11" x14ac:dyDescent="0.3">
      <c r="B203" s="115"/>
      <c r="C203" s="112" t="s">
        <v>1504</v>
      </c>
      <c r="D203" s="1499">
        <v>5.0011619578716786</v>
      </c>
      <c r="E203" s="1499">
        <v>4.099464132234619</v>
      </c>
      <c r="F203" s="1499">
        <v>3.408991232881279</v>
      </c>
      <c r="G203" s="1499">
        <v>3.1678080777572402</v>
      </c>
      <c r="H203" s="1499">
        <v>2.8783889169385137</v>
      </c>
      <c r="I203" s="1499">
        <v>5.4923830191347811</v>
      </c>
      <c r="J203" s="1499">
        <v>5.0330490722556585</v>
      </c>
      <c r="K203" s="113">
        <v>2.8285699451921884</v>
      </c>
    </row>
    <row r="204" spans="2:11" x14ac:dyDescent="0.3">
      <c r="B204" s="115"/>
      <c r="C204" s="112" t="s">
        <v>1508</v>
      </c>
      <c r="D204" s="1499">
        <v>4.798598468213684</v>
      </c>
      <c r="E204" s="1499">
        <v>3.8969006425766239</v>
      </c>
      <c r="F204" s="1499">
        <v>3.2064277432232844</v>
      </c>
      <c r="G204" s="1499">
        <v>2.9652445880992455</v>
      </c>
      <c r="H204" s="1499">
        <v>2.6758254272805191</v>
      </c>
      <c r="I204" s="1499">
        <v>5.2898195294767865</v>
      </c>
      <c r="J204" s="1499">
        <v>4.8304855825976638</v>
      </c>
      <c r="K204" s="113">
        <v>2.6260064555341938</v>
      </c>
    </row>
    <row r="205" spans="2:11" x14ac:dyDescent="0.3">
      <c r="B205" s="115"/>
      <c r="C205" s="112" t="s">
        <v>1513</v>
      </c>
      <c r="D205" s="1499">
        <v>4.4947532337266924</v>
      </c>
      <c r="E205" s="1499">
        <v>3.593055408089632</v>
      </c>
      <c r="F205" s="1499">
        <v>2.9025825087362924</v>
      </c>
      <c r="G205" s="1499">
        <v>2.6613993536122535</v>
      </c>
      <c r="H205" s="1499">
        <v>2.3719801927935271</v>
      </c>
      <c r="I205" s="1499">
        <v>4.9859742949897949</v>
      </c>
      <c r="J205" s="1499">
        <v>4.5266403481106723</v>
      </c>
      <c r="K205" s="113">
        <v>2.3221612210472018</v>
      </c>
    </row>
    <row r="206" spans="2:11" x14ac:dyDescent="0.3">
      <c r="B206" s="115"/>
      <c r="C206" s="112" t="s">
        <v>1517</v>
      </c>
      <c r="D206" s="1499">
        <v>4.1909079992397</v>
      </c>
      <c r="E206" s="1499">
        <v>3.28921017360264</v>
      </c>
      <c r="F206" s="1499">
        <v>2.5987372742493005</v>
      </c>
      <c r="G206" s="1499">
        <v>2.3575541191252616</v>
      </c>
      <c r="H206" s="1499">
        <v>2.0681349583065352</v>
      </c>
      <c r="I206" s="1499">
        <v>4.6821290605028025</v>
      </c>
      <c r="J206" s="1499">
        <v>4.2227951136236799</v>
      </c>
      <c r="K206" s="113">
        <v>2.0183159865602098</v>
      </c>
    </row>
    <row r="207" spans="2:11" ht="14.5" thickBot="1" x14ac:dyDescent="0.35">
      <c r="B207" s="1233"/>
      <c r="C207" s="116" t="s">
        <v>1519</v>
      </c>
      <c r="D207" s="117">
        <v>5.5253629259190395</v>
      </c>
      <c r="E207" s="117">
        <v>4.643452583640749</v>
      </c>
      <c r="F207" s="117">
        <v>3.9389446881563872</v>
      </c>
      <c r="G207" s="117">
        <v>3.7120258235929446</v>
      </c>
      <c r="H207" s="117">
        <v>3.4069109338051975</v>
      </c>
      <c r="I207" s="117">
        <v>6.035187848791062</v>
      </c>
      <c r="J207" s="117">
        <v>5.5773863985089376</v>
      </c>
      <c r="K207" s="118">
        <v>3.3590080395141064</v>
      </c>
    </row>
    <row r="208" spans="2:11" x14ac:dyDescent="0.3">
      <c r="B208" s="120" t="s">
        <v>1519</v>
      </c>
      <c r="C208" s="108" t="s">
        <v>1416</v>
      </c>
      <c r="D208" s="129">
        <v>2.711106442591162</v>
      </c>
      <c r="E208" s="109">
        <v>1.6372782794012792</v>
      </c>
      <c r="F208" s="109">
        <v>1.1687302396260622</v>
      </c>
      <c r="G208" s="109">
        <v>0.8540234634028453</v>
      </c>
      <c r="H208" s="109">
        <v>0.67642736518371471</v>
      </c>
      <c r="I208" s="109">
        <v>2.9782558880357719</v>
      </c>
      <c r="J208" s="109">
        <v>2.5233886072816323</v>
      </c>
      <c r="K208" s="110">
        <v>0.6346622954136254</v>
      </c>
    </row>
    <row r="209" spans="2:11" x14ac:dyDescent="0.3">
      <c r="B209" s="111"/>
      <c r="C209" s="112" t="s">
        <v>1483</v>
      </c>
      <c r="D209" s="130">
        <v>4.7454880012642269</v>
      </c>
      <c r="E209" s="1499">
        <v>3.8157113008435655</v>
      </c>
      <c r="F209" s="1499">
        <v>3.1567959282824432</v>
      </c>
      <c r="G209" s="1499">
        <v>2.9086313780322057</v>
      </c>
      <c r="H209" s="1499">
        <v>2.6255401102062375</v>
      </c>
      <c r="I209" s="1499">
        <v>5.1874202528918767</v>
      </c>
      <c r="J209" s="1499">
        <v>4.732030700708691</v>
      </c>
      <c r="K209" s="113">
        <v>2.5717966439201487</v>
      </c>
    </row>
    <row r="210" spans="2:11" x14ac:dyDescent="0.3">
      <c r="B210" s="111"/>
      <c r="C210" s="112" t="s">
        <v>1489</v>
      </c>
      <c r="D210" s="130">
        <v>4.5021153573875825</v>
      </c>
      <c r="E210" s="1499">
        <v>3.5723386569669207</v>
      </c>
      <c r="F210" s="1499">
        <v>2.9134232844057983</v>
      </c>
      <c r="G210" s="1499">
        <v>2.6652587341555609</v>
      </c>
      <c r="H210" s="1499">
        <v>2.3821674663295926</v>
      </c>
      <c r="I210" s="1499">
        <v>4.9440476090152323</v>
      </c>
      <c r="J210" s="1499">
        <v>4.4886580568320467</v>
      </c>
      <c r="K210" s="113">
        <v>2.3284240000435039</v>
      </c>
    </row>
    <row r="211" spans="2:11" x14ac:dyDescent="0.3">
      <c r="B211" s="114">
        <v>0</v>
      </c>
      <c r="C211" s="112" t="s">
        <v>1496</v>
      </c>
      <c r="D211" s="130">
        <v>4.1370563915726146</v>
      </c>
      <c r="E211" s="1499">
        <v>3.2072796911519532</v>
      </c>
      <c r="F211" s="1499">
        <v>2.5483643185908309</v>
      </c>
      <c r="G211" s="1499">
        <v>2.3001997683405935</v>
      </c>
      <c r="H211" s="1499">
        <v>2.0171085005146256</v>
      </c>
      <c r="I211" s="1499">
        <v>4.5789886432002653</v>
      </c>
      <c r="J211" s="1499">
        <v>4.1235990910170788</v>
      </c>
      <c r="K211" s="113">
        <v>1.9633650342285367</v>
      </c>
    </row>
    <row r="212" spans="2:11" x14ac:dyDescent="0.3">
      <c r="B212" s="115"/>
      <c r="C212" s="112" t="s">
        <v>1500</v>
      </c>
      <c r="D212" s="130">
        <v>3.7719974257576481</v>
      </c>
      <c r="E212" s="1499">
        <v>2.8422207253369867</v>
      </c>
      <c r="F212" s="1499">
        <v>2.1833053527758639</v>
      </c>
      <c r="G212" s="1499">
        <v>1.9351408025256267</v>
      </c>
      <c r="H212" s="1499">
        <v>1.6520495346996587</v>
      </c>
      <c r="I212" s="1499">
        <v>4.2139296773852974</v>
      </c>
      <c r="J212" s="1499">
        <v>3.7585401252021118</v>
      </c>
      <c r="K212" s="113">
        <v>1.5983060684135697</v>
      </c>
    </row>
    <row r="213" spans="2:11" x14ac:dyDescent="0.3">
      <c r="B213" s="115"/>
      <c r="C213" s="112" t="s">
        <v>1504</v>
      </c>
      <c r="D213" s="130">
        <v>4.331655331569066</v>
      </c>
      <c r="E213" s="1499">
        <v>3.3774508853646394</v>
      </c>
      <c r="F213" s="1499">
        <v>2.7410252743689498</v>
      </c>
      <c r="G213" s="1499">
        <v>2.4741649235475451</v>
      </c>
      <c r="H213" s="1499">
        <v>2.219181044118669</v>
      </c>
      <c r="I213" s="1499">
        <v>4.7479087923265633</v>
      </c>
      <c r="J213" s="1499">
        <v>4.2940580538449113</v>
      </c>
      <c r="K213" s="113">
        <v>2.1657501057665183</v>
      </c>
    </row>
    <row r="214" spans="2:11" x14ac:dyDescent="0.3">
      <c r="B214" s="115"/>
      <c r="C214" s="112" t="s">
        <v>1508</v>
      </c>
      <c r="D214" s="130">
        <v>4.1290918419110714</v>
      </c>
      <c r="E214" s="1499">
        <v>3.1748873957066448</v>
      </c>
      <c r="F214" s="1499">
        <v>2.5384617847109552</v>
      </c>
      <c r="G214" s="1499">
        <v>2.2716014338895505</v>
      </c>
      <c r="H214" s="1499">
        <v>2.0166175544606739</v>
      </c>
      <c r="I214" s="1499">
        <v>4.5453453026685695</v>
      </c>
      <c r="J214" s="1499">
        <v>4.0914945641869167</v>
      </c>
      <c r="K214" s="113">
        <v>1.9631866161085239</v>
      </c>
    </row>
    <row r="215" spans="2:11" x14ac:dyDescent="0.3">
      <c r="B215" s="115"/>
      <c r="C215" s="112" t="s">
        <v>1513</v>
      </c>
      <c r="D215" s="130">
        <v>3.8252466074240794</v>
      </c>
      <c r="E215" s="1499">
        <v>2.8710421612196528</v>
      </c>
      <c r="F215" s="1499">
        <v>2.2346165502239632</v>
      </c>
      <c r="G215" s="1499">
        <v>1.9677561994025587</v>
      </c>
      <c r="H215" s="1499">
        <v>1.7127723199736822</v>
      </c>
      <c r="I215" s="1499">
        <v>4.2415000681815771</v>
      </c>
      <c r="J215" s="1499">
        <v>3.7876493296999252</v>
      </c>
      <c r="K215" s="113">
        <v>1.6593413816215321</v>
      </c>
    </row>
    <row r="216" spans="2:11" x14ac:dyDescent="0.3">
      <c r="B216" s="115"/>
      <c r="C216" s="112" t="s">
        <v>1517</v>
      </c>
      <c r="D216" s="130">
        <v>3.5214013729370879</v>
      </c>
      <c r="E216" s="1499">
        <v>2.5671969267326613</v>
      </c>
      <c r="F216" s="1499">
        <v>1.9307713157369719</v>
      </c>
      <c r="G216" s="1499">
        <v>1.663910964915567</v>
      </c>
      <c r="H216" s="1499">
        <v>1.4089270854866902</v>
      </c>
      <c r="I216" s="1499">
        <v>3.9376548336945856</v>
      </c>
      <c r="J216" s="1499">
        <v>3.4838040952129337</v>
      </c>
      <c r="K216" s="113">
        <v>1.3554961471345404</v>
      </c>
    </row>
    <row r="217" spans="2:11" ht="14.5" thickBot="1" x14ac:dyDescent="0.35">
      <c r="B217" s="1233"/>
      <c r="C217" s="116" t="s">
        <v>1519</v>
      </c>
      <c r="D217" s="131">
        <v>4.7454880012642269</v>
      </c>
      <c r="E217" s="117">
        <v>3.8157113008435655</v>
      </c>
      <c r="F217" s="117">
        <v>3.1567959282824432</v>
      </c>
      <c r="G217" s="117">
        <v>2.9086313780322057</v>
      </c>
      <c r="H217" s="117">
        <v>2.6255401102062375</v>
      </c>
      <c r="I217" s="117">
        <v>5.1874202528918767</v>
      </c>
      <c r="J217" s="117">
        <v>4.732030700708691</v>
      </c>
      <c r="K217" s="118">
        <v>2.5717966439201487</v>
      </c>
    </row>
    <row r="221" spans="2:11" ht="14.5" thickBot="1" x14ac:dyDescent="0.35"/>
    <row r="222" spans="2:11" x14ac:dyDescent="0.3">
      <c r="C222" s="132" t="s">
        <v>1995</v>
      </c>
      <c r="D222" s="132"/>
      <c r="E222" s="132"/>
      <c r="F222" s="132"/>
    </row>
    <row r="223" spans="2:11" x14ac:dyDescent="0.3">
      <c r="C223" s="1504" t="s">
        <v>1996</v>
      </c>
      <c r="D223" s="1504" t="s">
        <v>1997</v>
      </c>
      <c r="E223" s="1504" t="s">
        <v>1998</v>
      </c>
      <c r="F223" s="1504" t="s">
        <v>1999</v>
      </c>
    </row>
    <row r="224" spans="2:11" x14ac:dyDescent="0.3">
      <c r="C224" s="1498">
        <v>1</v>
      </c>
      <c r="D224" s="1505">
        <v>358.2518245960373</v>
      </c>
      <c r="E224" s="1506">
        <v>5.9741495255063171E-2</v>
      </c>
      <c r="F224" s="1507">
        <v>2.3896598102025264</v>
      </c>
      <c r="H224" s="134" t="s">
        <v>2000</v>
      </c>
    </row>
    <row r="225" spans="2:11" x14ac:dyDescent="0.3">
      <c r="C225" s="1498">
        <v>1.5</v>
      </c>
      <c r="D225" s="1505">
        <v>302.46782387560069</v>
      </c>
      <c r="E225" s="1506">
        <v>5.0439045454266626E-2</v>
      </c>
      <c r="F225" s="1507">
        <v>2.0175618181706647</v>
      </c>
      <c r="H225" s="134" t="s">
        <v>2001</v>
      </c>
    </row>
    <row r="226" spans="2:11" x14ac:dyDescent="0.3">
      <c r="C226" s="1498">
        <v>2</v>
      </c>
      <c r="D226" s="1505">
        <v>262.88844548769316</v>
      </c>
      <c r="E226" s="1506">
        <v>4.383885228337138E-2</v>
      </c>
      <c r="F226" s="1507">
        <v>1.7535540913348553</v>
      </c>
    </row>
    <row r="227" spans="2:11" x14ac:dyDescent="0.3">
      <c r="C227" s="1498">
        <v>2.5</v>
      </c>
      <c r="D227" s="1505">
        <v>232.1882945293226</v>
      </c>
      <c r="E227" s="1506">
        <v>3.871934472782073E-2</v>
      </c>
      <c r="F227" s="1507">
        <v>1.5487737891128295</v>
      </c>
    </row>
    <row r="228" spans="2:11" x14ac:dyDescent="0.3">
      <c r="B228" s="2"/>
      <c r="C228" s="1498">
        <v>3</v>
      </c>
      <c r="D228" s="1505">
        <v>207.1044447672565</v>
      </c>
      <c r="E228" s="1506">
        <v>3.4536402482574828E-2</v>
      </c>
      <c r="F228" s="1507">
        <v>1.3814560993029932</v>
      </c>
      <c r="I228" s="135"/>
      <c r="J228" s="135"/>
      <c r="K228" s="135"/>
    </row>
    <row r="229" spans="2:11" x14ac:dyDescent="0.3">
      <c r="B229" s="136"/>
      <c r="C229" s="1498">
        <v>3.5</v>
      </c>
      <c r="D229" s="1505">
        <v>185.89635198052622</v>
      </c>
      <c r="E229" s="1506">
        <v>3.0999775206451249E-2</v>
      </c>
      <c r="F229" s="1507">
        <v>1.2399910082580501</v>
      </c>
      <c r="I229" s="135"/>
      <c r="J229" s="135"/>
      <c r="K229" s="135"/>
    </row>
    <row r="230" spans="2:11" x14ac:dyDescent="0.3">
      <c r="B230" s="136"/>
      <c r="C230" s="1498">
        <v>4</v>
      </c>
      <c r="D230" s="1505">
        <v>167.52506637934903</v>
      </c>
      <c r="E230" s="1506">
        <v>2.7936209311679592E-2</v>
      </c>
      <c r="F230" s="1507">
        <v>1.1174483724671838</v>
      </c>
      <c r="I230" s="135"/>
      <c r="J230" s="135"/>
      <c r="K230" s="135"/>
    </row>
    <row r="231" spans="2:11" x14ac:dyDescent="0.3">
      <c r="B231" s="137"/>
      <c r="C231" s="1498">
        <v>4.5</v>
      </c>
      <c r="D231" s="1505">
        <v>151.32044404681986</v>
      </c>
      <c r="E231" s="1506">
        <v>2.5233952681778284E-2</v>
      </c>
      <c r="F231" s="1507">
        <v>1.0093581072711313</v>
      </c>
      <c r="I231" s="135"/>
      <c r="J231" s="135"/>
      <c r="K231" s="135"/>
    </row>
    <row r="232" spans="2:11" x14ac:dyDescent="0.3">
      <c r="C232" s="1498">
        <v>5</v>
      </c>
      <c r="D232" s="1505">
        <v>136.82491542097847</v>
      </c>
      <c r="E232" s="1506">
        <v>2.2816701756128949E-2</v>
      </c>
      <c r="F232" s="1507">
        <v>0.91266807024515817</v>
      </c>
      <c r="I232" s="135"/>
      <c r="J232" s="135"/>
      <c r="K232" s="135"/>
    </row>
    <row r="233" spans="2:11" x14ac:dyDescent="0.3">
      <c r="C233" s="1498">
        <v>5.5</v>
      </c>
      <c r="D233" s="1505">
        <v>123.71211475688024</v>
      </c>
      <c r="E233" s="1506">
        <v>2.0630032310584193E-2</v>
      </c>
      <c r="F233" s="1507">
        <v>0.82520129242336782</v>
      </c>
      <c r="I233" s="135"/>
      <c r="J233" s="135"/>
      <c r="K233" s="135"/>
    </row>
    <row r="234" spans="2:11" x14ac:dyDescent="0.3">
      <c r="C234" s="1498">
        <v>6</v>
      </c>
      <c r="D234" s="1505">
        <v>111.74106565891239</v>
      </c>
      <c r="E234" s="1506">
        <v>1.8633759510883047E-2</v>
      </c>
      <c r="F234" s="1507">
        <v>0.74535038043532209</v>
      </c>
      <c r="I234" s="135"/>
      <c r="J234" s="135"/>
      <c r="K234" s="135"/>
    </row>
    <row r="235" spans="2:11" x14ac:dyDescent="0.3">
      <c r="C235" s="1498">
        <v>6.5</v>
      </c>
      <c r="D235" s="1505">
        <v>100.72876799571834</v>
      </c>
      <c r="E235" s="1506">
        <v>1.6797366550889377E-2</v>
      </c>
      <c r="F235" s="1507">
        <v>0.67189466203557513</v>
      </c>
      <c r="I235" s="135"/>
      <c r="J235" s="135"/>
      <c r="K235" s="135"/>
    </row>
    <row r="236" spans="2:11" x14ac:dyDescent="0.3">
      <c r="C236" s="1498">
        <v>7</v>
      </c>
      <c r="D236" s="1505">
        <v>90.532972872182086</v>
      </c>
      <c r="E236" s="1506">
        <v>1.5097132234759465E-2</v>
      </c>
      <c r="F236" s="1507">
        <v>0.60388528939037855</v>
      </c>
      <c r="I236" s="135"/>
      <c r="J236" s="135"/>
      <c r="K236" s="135"/>
    </row>
    <row r="237" spans="2:11" x14ac:dyDescent="0.3">
      <c r="C237" s="1498">
        <v>7.5</v>
      </c>
      <c r="D237" s="1505">
        <v>81.040914700541848</v>
      </c>
      <c r="E237" s="1506">
        <v>1.3514251955332407E-2</v>
      </c>
      <c r="F237" s="1507">
        <v>0.54057007821329628</v>
      </c>
      <c r="I237" s="135"/>
      <c r="J237" s="135"/>
      <c r="K237" s="135"/>
    </row>
    <row r="238" spans="2:11" x14ac:dyDescent="0.3">
      <c r="B238" s="2"/>
      <c r="C238" s="1498">
        <v>8</v>
      </c>
      <c r="D238" s="1505">
        <v>72.161687271004922</v>
      </c>
      <c r="E238" s="1506">
        <v>1.2033566339987813E-2</v>
      </c>
      <c r="F238" s="1507">
        <v>0.48134265359951245</v>
      </c>
      <c r="I238" s="135"/>
      <c r="J238" s="135"/>
      <c r="K238" s="135"/>
    </row>
    <row r="239" spans="2:11" x14ac:dyDescent="0.3">
      <c r="B239" s="136"/>
      <c r="C239" s="1498">
        <v>8.5</v>
      </c>
      <c r="D239" s="1505">
        <v>63.82093518295585</v>
      </c>
      <c r="E239" s="1506">
        <v>1.0642676002293903E-2</v>
      </c>
      <c r="F239" s="1507">
        <v>0.42570704009175608</v>
      </c>
      <c r="I239" s="135"/>
      <c r="J239" s="135"/>
      <c r="K239" s="135"/>
    </row>
    <row r="240" spans="2:11" x14ac:dyDescent="0.3">
      <c r="B240" s="136"/>
      <c r="C240" s="1498">
        <v>9</v>
      </c>
      <c r="D240" s="1505">
        <v>55.957064938475696</v>
      </c>
      <c r="E240" s="1506">
        <v>9.331309710086496E-3</v>
      </c>
      <c r="F240" s="1507">
        <v>0.37325238840345987</v>
      </c>
      <c r="I240" s="135"/>
      <c r="J240" s="135"/>
      <c r="K240" s="135"/>
    </row>
    <row r="241" spans="2:11" x14ac:dyDescent="0.3">
      <c r="B241" s="137"/>
      <c r="C241" s="1498">
        <v>9.5</v>
      </c>
      <c r="D241" s="1505">
        <v>48.518481815095114</v>
      </c>
      <c r="E241" s="1506">
        <v>8.0908636108351448E-3</v>
      </c>
      <c r="F241" s="1507">
        <v>0.32363454443340584</v>
      </c>
      <c r="I241" s="135"/>
      <c r="J241" s="135"/>
      <c r="K241" s="135"/>
    </row>
    <row r="242" spans="2:11" x14ac:dyDescent="0.3">
      <c r="C242" s="1498">
        <v>10</v>
      </c>
      <c r="D242" s="1505">
        <v>41.461536312634315</v>
      </c>
      <c r="E242" s="1506">
        <v>6.9140587844371583E-3</v>
      </c>
      <c r="F242" s="1507">
        <v>0.27656235137748636</v>
      </c>
      <c r="I242" s="135"/>
      <c r="J242" s="135"/>
      <c r="K242" s="135"/>
    </row>
    <row r="243" spans="2:11" x14ac:dyDescent="0.3">
      <c r="I243" s="135"/>
      <c r="J243" s="135"/>
      <c r="K243" s="135"/>
    </row>
    <row r="244" spans="2:11" ht="14.5" thickBot="1" x14ac:dyDescent="0.35">
      <c r="I244" s="135"/>
      <c r="J244" s="135"/>
      <c r="K244" s="135"/>
    </row>
    <row r="245" spans="2:11" x14ac:dyDescent="0.3">
      <c r="C245" s="132" t="s">
        <v>2002</v>
      </c>
      <c r="D245" s="132"/>
      <c r="E245" s="132"/>
      <c r="F245" s="132"/>
      <c r="H245" s="134" t="s">
        <v>2003</v>
      </c>
      <c r="I245" s="135"/>
      <c r="J245" s="135"/>
      <c r="K245" s="135"/>
    </row>
    <row r="246" spans="2:11" x14ac:dyDescent="0.3">
      <c r="C246" s="1508" t="s">
        <v>1996</v>
      </c>
      <c r="D246" s="1508" t="s">
        <v>2004</v>
      </c>
      <c r="E246" s="1508" t="s">
        <v>2005</v>
      </c>
      <c r="F246" s="1508" t="s">
        <v>2006</v>
      </c>
      <c r="H246" s="134" t="s">
        <v>2007</v>
      </c>
      <c r="I246" s="135"/>
      <c r="J246" s="135"/>
      <c r="K246" s="135"/>
    </row>
    <row r="247" spans="2:11" x14ac:dyDescent="0.3">
      <c r="C247" s="1498" t="s">
        <v>376</v>
      </c>
      <c r="D247" s="1509">
        <v>425.46763928753217</v>
      </c>
      <c r="E247" s="1510">
        <v>7.0950295877321212E-2</v>
      </c>
      <c r="F247" s="1511">
        <v>2.8380118350928489</v>
      </c>
      <c r="I247" s="135"/>
      <c r="J247" s="135"/>
      <c r="K247" s="135"/>
    </row>
    <row r="248" spans="2:11" x14ac:dyDescent="0.3">
      <c r="B248" s="2"/>
      <c r="D248" s="135"/>
      <c r="E248" s="135"/>
      <c r="F248" s="135"/>
      <c r="G248" s="135"/>
      <c r="H248" s="135"/>
      <c r="I248" s="135"/>
      <c r="J248" s="135"/>
      <c r="K248" s="135"/>
    </row>
    <row r="249" spans="2:11" x14ac:dyDescent="0.3">
      <c r="B249" s="136"/>
      <c r="D249" s="135"/>
      <c r="E249" s="135"/>
      <c r="F249" s="135"/>
      <c r="G249" s="135"/>
      <c r="H249" s="135"/>
      <c r="I249" s="135"/>
      <c r="J249" s="135"/>
      <c r="K249" s="135"/>
    </row>
    <row r="250" spans="2:11" x14ac:dyDescent="0.3">
      <c r="B250" s="136"/>
      <c r="D250" s="135"/>
      <c r="E250" s="135"/>
      <c r="F250" s="135"/>
      <c r="G250" s="135"/>
      <c r="H250" s="135"/>
      <c r="I250" s="135"/>
      <c r="J250" s="135"/>
      <c r="K250" s="135"/>
    </row>
    <row r="251" spans="2:11" x14ac:dyDescent="0.3">
      <c r="B251" s="137"/>
      <c r="D251" s="135"/>
      <c r="E251" s="135"/>
      <c r="F251" s="135"/>
      <c r="G251" s="135"/>
      <c r="H251" s="135"/>
      <c r="I251" s="135"/>
      <c r="J251" s="135"/>
      <c r="K251" s="135"/>
    </row>
    <row r="252" spans="2:11" x14ac:dyDescent="0.3">
      <c r="D252" s="135"/>
      <c r="E252" s="135"/>
      <c r="F252" s="135"/>
      <c r="G252" s="135"/>
      <c r="H252" s="135"/>
      <c r="I252" s="135"/>
      <c r="J252" s="135"/>
      <c r="K252" s="135"/>
    </row>
    <row r="253" spans="2:11" x14ac:dyDescent="0.3">
      <c r="D253" s="135"/>
      <c r="E253" s="135"/>
      <c r="F253" s="135"/>
      <c r="G253" s="135"/>
      <c r="H253" s="135"/>
      <c r="I253" s="135"/>
      <c r="J253" s="135"/>
      <c r="K253" s="135"/>
    </row>
  </sheetData>
  <sheetProtection algorithmName="SHA-512" hashValue="xoa6vpL2uvvYi6MxvkfFK1/ZNarlutYFbScWSLHsc5vnteIqONTNc+7u2d+WVFycyVwk/QZjU7eZWbbB7pIV9A==" saltValue="O15IiM8tNZCBaorfeoY2Bg==" spinCount="100000" sheet="1" objects="1" scenarios="1" autoFilter="0"/>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1"/>
  <dimension ref="B1:K257"/>
  <sheetViews>
    <sheetView topLeftCell="A269" workbookViewId="0">
      <selection activeCell="G9" sqref="G9"/>
    </sheetView>
  </sheetViews>
  <sheetFormatPr defaultColWidth="7.58203125" defaultRowHeight="14" x14ac:dyDescent="0.3"/>
  <cols>
    <col min="2" max="2" width="15.08203125" customWidth="1"/>
    <col min="3" max="3" width="28.33203125" customWidth="1"/>
  </cols>
  <sheetData>
    <row r="1" spans="2:11" ht="14.5" thickBot="1" x14ac:dyDescent="0.35"/>
    <row r="2" spans="2:11" ht="25.5" thickBot="1" x14ac:dyDescent="0.55000000000000004">
      <c r="B2" s="88" t="s">
        <v>1960</v>
      </c>
      <c r="C2" s="89"/>
      <c r="D2" s="90">
        <v>3</v>
      </c>
      <c r="E2" s="91" t="s">
        <v>1961</v>
      </c>
      <c r="F2" s="92"/>
      <c r="G2" s="92"/>
      <c r="H2" s="92"/>
      <c r="I2" s="93"/>
      <c r="J2" s="89" t="s">
        <v>176</v>
      </c>
      <c r="K2" s="94" t="s">
        <v>223</v>
      </c>
    </row>
    <row r="3" spans="2:11" ht="14.5" thickBot="1" x14ac:dyDescent="0.35">
      <c r="B3" s="95" t="s">
        <v>1962</v>
      </c>
      <c r="C3" s="96" t="s">
        <v>1963</v>
      </c>
      <c r="D3" s="95" t="s">
        <v>1964</v>
      </c>
      <c r="E3" s="97" t="s">
        <v>1965</v>
      </c>
      <c r="F3" s="97" t="s">
        <v>1966</v>
      </c>
      <c r="G3" s="97" t="s">
        <v>1967</v>
      </c>
      <c r="H3" s="97" t="s">
        <v>1968</v>
      </c>
      <c r="I3" s="97" t="s">
        <v>1969</v>
      </c>
      <c r="J3" s="97" t="s">
        <v>1970</v>
      </c>
      <c r="K3" s="98" t="s">
        <v>1971</v>
      </c>
    </row>
    <row r="4" spans="2:11" ht="18.5" thickBot="1" x14ac:dyDescent="0.45">
      <c r="B4" s="99" t="s">
        <v>34</v>
      </c>
      <c r="C4" s="100" t="s">
        <v>34</v>
      </c>
      <c r="D4" s="101" t="s">
        <v>34</v>
      </c>
      <c r="E4" s="944"/>
      <c r="F4" s="944"/>
      <c r="G4" s="944"/>
      <c r="H4" s="944"/>
      <c r="I4" s="944" t="s">
        <v>34</v>
      </c>
      <c r="J4" s="944" t="s">
        <v>34</v>
      </c>
      <c r="K4" s="102"/>
    </row>
    <row r="5" spans="2:11" ht="86.5" thickBot="1" x14ac:dyDescent="0.45">
      <c r="B5" s="103" t="s">
        <v>1972</v>
      </c>
      <c r="C5" s="104" t="s">
        <v>1973</v>
      </c>
      <c r="D5" s="105" t="s">
        <v>1974</v>
      </c>
      <c r="E5" s="105" t="s">
        <v>1525</v>
      </c>
      <c r="F5" s="105" t="s">
        <v>1527</v>
      </c>
      <c r="G5" s="105" t="s">
        <v>1975</v>
      </c>
      <c r="H5" s="105" t="s">
        <v>1976</v>
      </c>
      <c r="I5" s="105" t="s">
        <v>1445</v>
      </c>
      <c r="J5" s="105" t="s">
        <v>1538</v>
      </c>
      <c r="K5" s="106" t="s">
        <v>1541</v>
      </c>
    </row>
    <row r="6" spans="2:11" x14ac:dyDescent="0.3">
      <c r="B6" s="107" t="s">
        <v>1977</v>
      </c>
      <c r="C6" s="108" t="s">
        <v>1416</v>
      </c>
      <c r="D6" s="109">
        <v>1.6458178432577732</v>
      </c>
      <c r="E6" s="109">
        <v>1.513037866994281</v>
      </c>
      <c r="F6" s="109">
        <v>0.87281693610847122</v>
      </c>
      <c r="G6" s="109">
        <v>0.85263876869047395</v>
      </c>
      <c r="H6" s="109">
        <v>0.60200783029996552</v>
      </c>
      <c r="I6" s="109">
        <v>1.3750667016908946</v>
      </c>
      <c r="J6" s="109">
        <v>1.2526780271619165</v>
      </c>
      <c r="K6" s="110">
        <v>0.56795666702130643</v>
      </c>
    </row>
    <row r="7" spans="2:11" x14ac:dyDescent="0.3">
      <c r="B7" s="111" t="s">
        <v>1978</v>
      </c>
      <c r="C7" s="112" t="s">
        <v>1483</v>
      </c>
      <c r="D7" s="1499">
        <v>2.4790259291587549</v>
      </c>
      <c r="E7" s="1499">
        <v>2.3586541818324398</v>
      </c>
      <c r="F7" s="1499">
        <v>1.7071425254438737</v>
      </c>
      <c r="G7" s="1499">
        <v>1.6924014885141032</v>
      </c>
      <c r="H7" s="1499">
        <v>1.4401064997971806</v>
      </c>
      <c r="I7" s="1499">
        <v>2.2207315355482393</v>
      </c>
      <c r="J7" s="1499">
        <v>2.096856503715149</v>
      </c>
      <c r="K7" s="113">
        <v>1.4072670946610797</v>
      </c>
    </row>
    <row r="8" spans="2:11" x14ac:dyDescent="0.3">
      <c r="B8" s="111" t="s">
        <v>1979</v>
      </c>
      <c r="C8" s="112" t="s">
        <v>1489</v>
      </c>
      <c r="D8" s="1499">
        <v>2.3843101691996869</v>
      </c>
      <c r="E8" s="1499">
        <v>2.2639384218733718</v>
      </c>
      <c r="F8" s="1499">
        <v>1.6124267654848057</v>
      </c>
      <c r="G8" s="1499">
        <v>1.5976857285550354</v>
      </c>
      <c r="H8" s="1499">
        <v>1.3453907398381126</v>
      </c>
      <c r="I8" s="1499">
        <v>2.1260157755891713</v>
      </c>
      <c r="J8" s="1499">
        <v>2.002140743756081</v>
      </c>
      <c r="K8" s="113">
        <v>1.3125513347020117</v>
      </c>
    </row>
    <row r="9" spans="2:11" x14ac:dyDescent="0.3">
      <c r="B9" s="114">
        <v>0</v>
      </c>
      <c r="C9" s="112" t="s">
        <v>1496</v>
      </c>
      <c r="D9" s="1499">
        <v>2.2422365292610849</v>
      </c>
      <c r="E9" s="1499">
        <v>2.1218647819347698</v>
      </c>
      <c r="F9" s="1499">
        <v>1.4703531255462039</v>
      </c>
      <c r="G9" s="1499">
        <v>1.4556120886164334</v>
      </c>
      <c r="H9" s="1499">
        <v>1.2033170998995106</v>
      </c>
      <c r="I9" s="1499">
        <v>1.9839421356505693</v>
      </c>
      <c r="J9" s="1499">
        <v>1.8600671038174792</v>
      </c>
      <c r="K9" s="113">
        <v>1.1704776947634097</v>
      </c>
    </row>
    <row r="10" spans="2:11" x14ac:dyDescent="0.3">
      <c r="B10" s="115"/>
      <c r="C10" s="112" t="s">
        <v>1500</v>
      </c>
      <c r="D10" s="1499">
        <v>2.1001628893224829</v>
      </c>
      <c r="E10" s="1499">
        <v>1.9797911419961678</v>
      </c>
      <c r="F10" s="1499">
        <v>1.3282794856076019</v>
      </c>
      <c r="G10" s="1499">
        <v>1.3135384486778314</v>
      </c>
      <c r="H10" s="1499">
        <v>1.0612434599609089</v>
      </c>
      <c r="I10" s="1499">
        <v>1.8418684957119673</v>
      </c>
      <c r="J10" s="1499">
        <v>1.7179934638788772</v>
      </c>
      <c r="K10" s="113">
        <v>1.0284040548248079</v>
      </c>
    </row>
    <row r="11" spans="2:11" x14ac:dyDescent="0.3">
      <c r="B11" s="115"/>
      <c r="C11" s="112" t="s">
        <v>1504</v>
      </c>
      <c r="D11" s="1499">
        <v>2.3162139636020198</v>
      </c>
      <c r="E11" s="1499">
        <v>2.193709370452718</v>
      </c>
      <c r="F11" s="1499">
        <v>1.544191554956472</v>
      </c>
      <c r="G11" s="1499">
        <v>1.5285289954693397</v>
      </c>
      <c r="H11" s="1499">
        <v>1.2770238226195056</v>
      </c>
      <c r="I11" s="1499">
        <v>2.0559644440412792</v>
      </c>
      <c r="J11" s="1499">
        <v>1.9322954243629673</v>
      </c>
      <c r="K11" s="113">
        <v>1.2439535096228684</v>
      </c>
    </row>
    <row r="12" spans="2:11" x14ac:dyDescent="0.3">
      <c r="B12" s="115"/>
      <c r="C12" s="112" t="s">
        <v>1508</v>
      </c>
      <c r="D12" s="1499">
        <v>2.2357858230179692</v>
      </c>
      <c r="E12" s="1499">
        <v>2.113281229868667</v>
      </c>
      <c r="F12" s="1499">
        <v>1.463763414372421</v>
      </c>
      <c r="G12" s="1499">
        <v>1.4481008548852889</v>
      </c>
      <c r="H12" s="1499">
        <v>1.1965956820354546</v>
      </c>
      <c r="I12" s="1499">
        <v>1.9755363034572284</v>
      </c>
      <c r="J12" s="1499">
        <v>1.8518672837789163</v>
      </c>
      <c r="K12" s="113">
        <v>1.1635253690388174</v>
      </c>
    </row>
    <row r="13" spans="2:11" x14ac:dyDescent="0.3">
      <c r="B13" s="115"/>
      <c r="C13" s="112" t="s">
        <v>1513</v>
      </c>
      <c r="D13" s="1499">
        <v>2.1151436121418925</v>
      </c>
      <c r="E13" s="1499">
        <v>1.9926390189925907</v>
      </c>
      <c r="F13" s="1499">
        <v>1.3431212034963447</v>
      </c>
      <c r="G13" s="1499">
        <v>1.3274586440092124</v>
      </c>
      <c r="H13" s="1499">
        <v>1.0759534711593783</v>
      </c>
      <c r="I13" s="1499">
        <v>1.8548940925811521</v>
      </c>
      <c r="J13" s="1499">
        <v>1.73122507290284</v>
      </c>
      <c r="K13" s="113">
        <v>1.0428831581627411</v>
      </c>
    </row>
    <row r="14" spans="2:11" x14ac:dyDescent="0.3">
      <c r="B14" s="115"/>
      <c r="C14" s="112" t="s">
        <v>1517</v>
      </c>
      <c r="D14" s="1499">
        <v>1.9945014012658162</v>
      </c>
      <c r="E14" s="1499">
        <v>1.8719968081165144</v>
      </c>
      <c r="F14" s="1499">
        <v>1.2224789926202684</v>
      </c>
      <c r="G14" s="1499">
        <v>1.2068164331331361</v>
      </c>
      <c r="H14" s="1499">
        <v>0.95531126028330204</v>
      </c>
      <c r="I14" s="1499">
        <v>1.7342518817050756</v>
      </c>
      <c r="J14" s="1499">
        <v>1.6105828620267637</v>
      </c>
      <c r="K14" s="113">
        <v>0.92224094728666484</v>
      </c>
    </row>
    <row r="15" spans="2:11" ht="14.5" thickBot="1" x14ac:dyDescent="0.35">
      <c r="B15" s="1233"/>
      <c r="C15" s="116" t="s">
        <v>1519</v>
      </c>
      <c r="D15" s="117">
        <v>2.4790259291587549</v>
      </c>
      <c r="E15" s="117">
        <v>2.3586541818324398</v>
      </c>
      <c r="F15" s="117">
        <v>1.7071425254438737</v>
      </c>
      <c r="G15" s="117">
        <v>1.6924014885141032</v>
      </c>
      <c r="H15" s="117">
        <v>1.4401064997971806</v>
      </c>
      <c r="I15" s="117">
        <v>2.2207315355482393</v>
      </c>
      <c r="J15" s="117">
        <v>2.096856503715149</v>
      </c>
      <c r="K15" s="118">
        <v>1.4072670946610797</v>
      </c>
    </row>
    <row r="16" spans="2:11" x14ac:dyDescent="0.3">
      <c r="B16" s="107" t="s">
        <v>1977</v>
      </c>
      <c r="C16" s="108" t="s">
        <v>1416</v>
      </c>
      <c r="D16" s="109">
        <v>1.6339393410263798</v>
      </c>
      <c r="E16" s="109">
        <v>1.5011593647628878</v>
      </c>
      <c r="F16" s="109">
        <v>0.8609384338770778</v>
      </c>
      <c r="G16" s="109">
        <v>0.84076026645908053</v>
      </c>
      <c r="H16" s="109">
        <v>0.59012932806857221</v>
      </c>
      <c r="I16" s="109">
        <v>1.3631881994595014</v>
      </c>
      <c r="J16" s="109">
        <v>1.2407995249305233</v>
      </c>
      <c r="K16" s="110">
        <v>0.55607816478991312</v>
      </c>
    </row>
    <row r="17" spans="2:11" x14ac:dyDescent="0.3">
      <c r="B17" s="111" t="s">
        <v>1978</v>
      </c>
      <c r="C17" s="112" t="s">
        <v>1483</v>
      </c>
      <c r="D17" s="1499">
        <v>2.4671474269273612</v>
      </c>
      <c r="E17" s="1499">
        <v>2.3467756796010466</v>
      </c>
      <c r="F17" s="1499">
        <v>1.6952640232124805</v>
      </c>
      <c r="G17" s="1499">
        <v>1.68052298628271</v>
      </c>
      <c r="H17" s="1499">
        <v>1.4282279975657872</v>
      </c>
      <c r="I17" s="1499">
        <v>2.2088530333168461</v>
      </c>
      <c r="J17" s="1499">
        <v>2.0849780014837558</v>
      </c>
      <c r="K17" s="113">
        <v>1.3953885924296865</v>
      </c>
    </row>
    <row r="18" spans="2:11" x14ac:dyDescent="0.3">
      <c r="B18" s="111" t="s">
        <v>1980</v>
      </c>
      <c r="C18" s="112" t="s">
        <v>1489</v>
      </c>
      <c r="D18" s="1499">
        <v>2.3724316669682932</v>
      </c>
      <c r="E18" s="1499">
        <v>2.2520599196419786</v>
      </c>
      <c r="F18" s="1499">
        <v>1.6005482632534125</v>
      </c>
      <c r="G18" s="1499">
        <v>1.585807226323642</v>
      </c>
      <c r="H18" s="1499">
        <v>1.3335122376067194</v>
      </c>
      <c r="I18" s="1499">
        <v>2.1141372733577781</v>
      </c>
      <c r="J18" s="1499">
        <v>1.990262241524688</v>
      </c>
      <c r="K18" s="113">
        <v>1.3006728324706185</v>
      </c>
    </row>
    <row r="19" spans="2:11" x14ac:dyDescent="0.3">
      <c r="B19" s="114">
        <v>0</v>
      </c>
      <c r="C19" s="112" t="s">
        <v>1496</v>
      </c>
      <c r="D19" s="1499">
        <v>2.2303580270296912</v>
      </c>
      <c r="E19" s="1499">
        <v>2.1099862797033766</v>
      </c>
      <c r="F19" s="1499">
        <v>1.4584746233148105</v>
      </c>
      <c r="G19" s="1499">
        <v>1.4437335863850402</v>
      </c>
      <c r="H19" s="1499">
        <v>1.1914385976681174</v>
      </c>
      <c r="I19" s="1499">
        <v>1.9720636334191761</v>
      </c>
      <c r="J19" s="1499">
        <v>1.848188601586086</v>
      </c>
      <c r="K19" s="113">
        <v>1.1585991925320165</v>
      </c>
    </row>
    <row r="20" spans="2:11" x14ac:dyDescent="0.3">
      <c r="B20" s="115"/>
      <c r="C20" s="112" t="s">
        <v>1500</v>
      </c>
      <c r="D20" s="1499">
        <v>2.0882843870910897</v>
      </c>
      <c r="E20" s="1499">
        <v>1.9679126397647746</v>
      </c>
      <c r="F20" s="1499">
        <v>1.3164009833762087</v>
      </c>
      <c r="G20" s="1499">
        <v>1.3016599464464382</v>
      </c>
      <c r="H20" s="1499">
        <v>1.0493649577295154</v>
      </c>
      <c r="I20" s="1499">
        <v>1.8299899934805741</v>
      </c>
      <c r="J20" s="1499">
        <v>1.706114961647484</v>
      </c>
      <c r="K20" s="113">
        <v>1.0165255525934147</v>
      </c>
    </row>
    <row r="21" spans="2:11" x14ac:dyDescent="0.3">
      <c r="B21" s="115"/>
      <c r="C21" s="112" t="s">
        <v>1504</v>
      </c>
      <c r="D21" s="1499">
        <v>2.3043354613706262</v>
      </c>
      <c r="E21" s="1499">
        <v>2.1818308682213248</v>
      </c>
      <c r="F21" s="1499">
        <v>1.5323130527250788</v>
      </c>
      <c r="G21" s="1499">
        <v>1.5166504932379465</v>
      </c>
      <c r="H21" s="1499">
        <v>1.2651453203881124</v>
      </c>
      <c r="I21" s="1499">
        <v>2.044085941809886</v>
      </c>
      <c r="J21" s="1499">
        <v>1.9204169221315741</v>
      </c>
      <c r="K21" s="113">
        <v>1.2320750073914752</v>
      </c>
    </row>
    <row r="22" spans="2:11" x14ac:dyDescent="0.3">
      <c r="B22" s="115"/>
      <c r="C22" s="112" t="s">
        <v>1508</v>
      </c>
      <c r="D22" s="1499">
        <v>2.2239073207865756</v>
      </c>
      <c r="E22" s="1499">
        <v>2.1014027276372738</v>
      </c>
      <c r="F22" s="1499">
        <v>1.4518849121410278</v>
      </c>
      <c r="G22" s="1499">
        <v>1.4362223526538955</v>
      </c>
      <c r="H22" s="1499">
        <v>1.1847171798040614</v>
      </c>
      <c r="I22" s="1499">
        <v>1.963657801225835</v>
      </c>
      <c r="J22" s="1499">
        <v>1.8399887815475231</v>
      </c>
      <c r="K22" s="113">
        <v>1.1516468668074242</v>
      </c>
    </row>
    <row r="23" spans="2:11" x14ac:dyDescent="0.3">
      <c r="B23" s="115"/>
      <c r="C23" s="112" t="s">
        <v>1513</v>
      </c>
      <c r="D23" s="1499">
        <v>2.1032651099104993</v>
      </c>
      <c r="E23" s="1499">
        <v>1.9807605167611975</v>
      </c>
      <c r="F23" s="1499">
        <v>1.3312427012649515</v>
      </c>
      <c r="G23" s="1499">
        <v>1.3155801417778192</v>
      </c>
      <c r="H23" s="1499">
        <v>1.0640749689279849</v>
      </c>
      <c r="I23" s="1499">
        <v>1.8430155903497587</v>
      </c>
      <c r="J23" s="1499">
        <v>1.7193465706714468</v>
      </c>
      <c r="K23" s="113">
        <v>1.0310046559313477</v>
      </c>
    </row>
    <row r="24" spans="2:11" x14ac:dyDescent="0.3">
      <c r="B24" s="115"/>
      <c r="C24" s="112" t="s">
        <v>1517</v>
      </c>
      <c r="D24" s="1499">
        <v>1.9826228990344228</v>
      </c>
      <c r="E24" s="1499">
        <v>1.8601183058851209</v>
      </c>
      <c r="F24" s="1499">
        <v>1.210600490388875</v>
      </c>
      <c r="G24" s="1499">
        <v>1.1949379309017427</v>
      </c>
      <c r="H24" s="1499">
        <v>0.94343275805190874</v>
      </c>
      <c r="I24" s="1499">
        <v>1.7223733794736822</v>
      </c>
      <c r="J24" s="1499">
        <v>1.5987043597953703</v>
      </c>
      <c r="K24" s="113">
        <v>0.91036244505527153</v>
      </c>
    </row>
    <row r="25" spans="2:11" ht="14.5" thickBot="1" x14ac:dyDescent="0.35">
      <c r="B25" s="1233"/>
      <c r="C25" s="116" t="s">
        <v>1519</v>
      </c>
      <c r="D25" s="117">
        <v>2.4671474269273612</v>
      </c>
      <c r="E25" s="117">
        <v>2.3467756796010466</v>
      </c>
      <c r="F25" s="117">
        <v>1.6952640232124805</v>
      </c>
      <c r="G25" s="117">
        <v>1.68052298628271</v>
      </c>
      <c r="H25" s="117">
        <v>1.4282279975657872</v>
      </c>
      <c r="I25" s="117">
        <v>2.2088530333168461</v>
      </c>
      <c r="J25" s="117">
        <v>2.0849780014837558</v>
      </c>
      <c r="K25" s="118">
        <v>1.3953885924296865</v>
      </c>
    </row>
    <row r="26" spans="2:11" x14ac:dyDescent="0.3">
      <c r="B26" s="107" t="s">
        <v>1977</v>
      </c>
      <c r="C26" s="108" t="s">
        <v>1416</v>
      </c>
      <c r="D26" s="109">
        <v>1.61612158767929</v>
      </c>
      <c r="E26" s="109">
        <v>1.4833416114157978</v>
      </c>
      <c r="F26" s="109">
        <v>0.8431206805299879</v>
      </c>
      <c r="G26" s="109">
        <v>0.82294251311199063</v>
      </c>
      <c r="H26" s="109">
        <v>0.5723115747214822</v>
      </c>
      <c r="I26" s="109">
        <v>1.3453704461124114</v>
      </c>
      <c r="J26" s="109">
        <v>1.2229817715834332</v>
      </c>
      <c r="K26" s="110">
        <v>0.53826041144282311</v>
      </c>
    </row>
    <row r="27" spans="2:11" x14ac:dyDescent="0.3">
      <c r="B27" s="111" t="s">
        <v>1978</v>
      </c>
      <c r="C27" s="112" t="s">
        <v>1483</v>
      </c>
      <c r="D27" s="1499">
        <v>2.4493296735802716</v>
      </c>
      <c r="E27" s="1499">
        <v>2.3289579262539566</v>
      </c>
      <c r="F27" s="1499">
        <v>1.6774462698653905</v>
      </c>
      <c r="G27" s="1499">
        <v>1.6627052329356202</v>
      </c>
      <c r="H27" s="1499">
        <v>1.4104102442186974</v>
      </c>
      <c r="I27" s="1499">
        <v>2.1910352799697561</v>
      </c>
      <c r="J27" s="1499">
        <v>2.0671602481366658</v>
      </c>
      <c r="K27" s="113">
        <v>1.3775708390825965</v>
      </c>
    </row>
    <row r="28" spans="2:11" x14ac:dyDescent="0.3">
      <c r="B28" s="111" t="s">
        <v>1981</v>
      </c>
      <c r="C28" s="112" t="s">
        <v>1489</v>
      </c>
      <c r="D28" s="1499">
        <v>2.3546139136212032</v>
      </c>
      <c r="E28" s="1499">
        <v>2.2342421662948881</v>
      </c>
      <c r="F28" s="1499">
        <v>1.5827305099063225</v>
      </c>
      <c r="G28" s="1499">
        <v>1.5679894729765522</v>
      </c>
      <c r="H28" s="1499">
        <v>1.3156944842596294</v>
      </c>
      <c r="I28" s="1499">
        <v>2.0963195200106881</v>
      </c>
      <c r="J28" s="1499">
        <v>1.972444488177598</v>
      </c>
      <c r="K28" s="113">
        <v>1.2828550791235285</v>
      </c>
    </row>
    <row r="29" spans="2:11" x14ac:dyDescent="0.3">
      <c r="B29" s="114">
        <v>0</v>
      </c>
      <c r="C29" s="112" t="s">
        <v>1496</v>
      </c>
      <c r="D29" s="1499">
        <v>2.2125402736826016</v>
      </c>
      <c r="E29" s="1499">
        <v>2.0921685263562866</v>
      </c>
      <c r="F29" s="1499">
        <v>1.4406568699677207</v>
      </c>
      <c r="G29" s="1499">
        <v>1.4259158330379502</v>
      </c>
      <c r="H29" s="1499">
        <v>1.1736208443210274</v>
      </c>
      <c r="I29" s="1499">
        <v>1.9542458800720861</v>
      </c>
      <c r="J29" s="1499">
        <v>1.830370848238996</v>
      </c>
      <c r="K29" s="113">
        <v>1.1407814391849267</v>
      </c>
    </row>
    <row r="30" spans="2:11" x14ac:dyDescent="0.3">
      <c r="B30" s="115"/>
      <c r="C30" s="112" t="s">
        <v>1500</v>
      </c>
      <c r="D30" s="1499">
        <v>2.0704666337439996</v>
      </c>
      <c r="E30" s="1499">
        <v>1.9500948864176846</v>
      </c>
      <c r="F30" s="1499">
        <v>1.2985832300291187</v>
      </c>
      <c r="G30" s="1499">
        <v>1.2838421930993482</v>
      </c>
      <c r="H30" s="1499">
        <v>1.0315472043824256</v>
      </c>
      <c r="I30" s="1499">
        <v>1.8121722401334843</v>
      </c>
      <c r="J30" s="1499">
        <v>1.6882972083003942</v>
      </c>
      <c r="K30" s="113">
        <v>0.99870779924632469</v>
      </c>
    </row>
    <row r="31" spans="2:11" x14ac:dyDescent="0.3">
      <c r="B31" s="115"/>
      <c r="C31" s="112" t="s">
        <v>1504</v>
      </c>
      <c r="D31" s="1499">
        <v>2.2865177080235366</v>
      </c>
      <c r="E31" s="1499">
        <v>2.1640131148742343</v>
      </c>
      <c r="F31" s="1499">
        <v>1.5144952993779888</v>
      </c>
      <c r="G31" s="1499">
        <v>1.4988327398908565</v>
      </c>
      <c r="H31" s="1499">
        <v>1.2473275670410224</v>
      </c>
      <c r="I31" s="1499">
        <v>2.026268188462796</v>
      </c>
      <c r="J31" s="1499">
        <v>1.9025991687844841</v>
      </c>
      <c r="K31" s="113">
        <v>1.2142572540443852</v>
      </c>
    </row>
    <row r="32" spans="2:11" x14ac:dyDescent="0.3">
      <c r="B32" s="115"/>
      <c r="C32" s="112" t="s">
        <v>1508</v>
      </c>
      <c r="D32" s="1499">
        <v>2.206089567439486</v>
      </c>
      <c r="E32" s="1499">
        <v>2.0835849742901837</v>
      </c>
      <c r="F32" s="1499">
        <v>1.4340671587939378</v>
      </c>
      <c r="G32" s="1499">
        <v>1.4184045993068057</v>
      </c>
      <c r="H32" s="1499">
        <v>1.1668994264569714</v>
      </c>
      <c r="I32" s="1499">
        <v>1.9458400478787452</v>
      </c>
      <c r="J32" s="1499">
        <v>1.8221710282004333</v>
      </c>
      <c r="K32" s="113">
        <v>1.1338291134603342</v>
      </c>
    </row>
    <row r="33" spans="2:11" x14ac:dyDescent="0.3">
      <c r="B33" s="115"/>
      <c r="C33" s="112" t="s">
        <v>1513</v>
      </c>
      <c r="D33" s="1499">
        <v>2.0854473565634093</v>
      </c>
      <c r="E33" s="1499">
        <v>1.9629427634141074</v>
      </c>
      <c r="F33" s="1499">
        <v>1.3134249479178615</v>
      </c>
      <c r="G33" s="1499">
        <v>1.2977623884307294</v>
      </c>
      <c r="H33" s="1499">
        <v>1.0462572155808951</v>
      </c>
      <c r="I33" s="1499">
        <v>1.8251978370026689</v>
      </c>
      <c r="J33" s="1499">
        <v>1.7015288173243568</v>
      </c>
      <c r="K33" s="113">
        <v>1.0131869025842579</v>
      </c>
    </row>
    <row r="34" spans="2:11" x14ac:dyDescent="0.3">
      <c r="B34" s="115"/>
      <c r="C34" s="112" t="s">
        <v>1517</v>
      </c>
      <c r="D34" s="1499">
        <v>1.9648051456873328</v>
      </c>
      <c r="E34" s="1499">
        <v>1.8423005525380309</v>
      </c>
      <c r="F34" s="1499">
        <v>1.1927827370417849</v>
      </c>
      <c r="G34" s="1499">
        <v>1.1771201775546527</v>
      </c>
      <c r="H34" s="1499">
        <v>0.92561500470481872</v>
      </c>
      <c r="I34" s="1499">
        <v>1.7045556261265922</v>
      </c>
      <c r="J34" s="1499">
        <v>1.5808866064482803</v>
      </c>
      <c r="K34" s="113">
        <v>0.89254469170818151</v>
      </c>
    </row>
    <row r="35" spans="2:11" ht="14.5" thickBot="1" x14ac:dyDescent="0.35">
      <c r="B35" s="1233"/>
      <c r="C35" s="116" t="s">
        <v>1519</v>
      </c>
      <c r="D35" s="117">
        <v>2.4493296735802716</v>
      </c>
      <c r="E35" s="117">
        <v>2.3289579262539566</v>
      </c>
      <c r="F35" s="117">
        <v>1.6774462698653905</v>
      </c>
      <c r="G35" s="117">
        <v>1.6627052329356202</v>
      </c>
      <c r="H35" s="117">
        <v>1.4104102442186974</v>
      </c>
      <c r="I35" s="117">
        <v>2.1910352799697561</v>
      </c>
      <c r="J35" s="117">
        <v>2.0671602481366658</v>
      </c>
      <c r="K35" s="118">
        <v>1.3775708390825965</v>
      </c>
    </row>
    <row r="36" spans="2:11" x14ac:dyDescent="0.3">
      <c r="B36" s="107" t="s">
        <v>1977</v>
      </c>
      <c r="C36" s="108" t="s">
        <v>1416</v>
      </c>
      <c r="D36" s="109">
        <v>1.5983038343322</v>
      </c>
      <c r="E36" s="109">
        <v>1.4655238580687078</v>
      </c>
      <c r="F36" s="109">
        <v>0.82530292718289788</v>
      </c>
      <c r="G36" s="109">
        <v>0.80512475976490072</v>
      </c>
      <c r="H36" s="109">
        <v>0.55449382137439229</v>
      </c>
      <c r="I36" s="109">
        <v>1.3275526927653214</v>
      </c>
      <c r="J36" s="109">
        <v>1.2051640182363432</v>
      </c>
      <c r="K36" s="110">
        <v>0.5204426580957332</v>
      </c>
    </row>
    <row r="37" spans="2:11" x14ac:dyDescent="0.3">
      <c r="B37" s="111" t="s">
        <v>1978</v>
      </c>
      <c r="C37" s="112" t="s">
        <v>1483</v>
      </c>
      <c r="D37" s="1499">
        <v>2.4315119202331816</v>
      </c>
      <c r="E37" s="1499">
        <v>2.3111401729068666</v>
      </c>
      <c r="F37" s="1499">
        <v>1.6596285165183005</v>
      </c>
      <c r="G37" s="1499">
        <v>1.6448874795885302</v>
      </c>
      <c r="H37" s="1499">
        <v>1.3925924908716074</v>
      </c>
      <c r="I37" s="1499">
        <v>2.1732175266226661</v>
      </c>
      <c r="J37" s="1499">
        <v>2.0493424947895758</v>
      </c>
      <c r="K37" s="113">
        <v>1.3597530857355065</v>
      </c>
    </row>
    <row r="38" spans="2:11" x14ac:dyDescent="0.3">
      <c r="B38" s="111" t="s">
        <v>1982</v>
      </c>
      <c r="C38" s="112" t="s">
        <v>1489</v>
      </c>
      <c r="D38" s="1499">
        <v>2.3367961602741136</v>
      </c>
      <c r="E38" s="1499">
        <v>2.2164244129477986</v>
      </c>
      <c r="F38" s="1499">
        <v>1.5649127565592327</v>
      </c>
      <c r="G38" s="1499">
        <v>1.5501717196294622</v>
      </c>
      <c r="H38" s="1499">
        <v>1.2978767309125394</v>
      </c>
      <c r="I38" s="1499">
        <v>2.0785017666635981</v>
      </c>
      <c r="J38" s="1499">
        <v>1.954626734830508</v>
      </c>
      <c r="K38" s="113">
        <v>1.2650373257764385</v>
      </c>
    </row>
    <row r="39" spans="2:11" x14ac:dyDescent="0.3">
      <c r="B39" s="114">
        <v>0</v>
      </c>
      <c r="C39" s="112" t="s">
        <v>1496</v>
      </c>
      <c r="D39" s="1499">
        <v>2.1947225203355112</v>
      </c>
      <c r="E39" s="1499">
        <v>2.0743507730091966</v>
      </c>
      <c r="F39" s="1499">
        <v>1.4228391166206307</v>
      </c>
      <c r="G39" s="1499">
        <v>1.4080980796908602</v>
      </c>
      <c r="H39" s="1499">
        <v>1.1558030909739376</v>
      </c>
      <c r="I39" s="1499">
        <v>1.9364281267249961</v>
      </c>
      <c r="J39" s="1499">
        <v>1.8125530948919062</v>
      </c>
      <c r="K39" s="113">
        <v>1.1229636858378367</v>
      </c>
    </row>
    <row r="40" spans="2:11" x14ac:dyDescent="0.3">
      <c r="B40" s="115"/>
      <c r="C40" s="112" t="s">
        <v>1500</v>
      </c>
      <c r="D40" s="1499">
        <v>2.0526488803969096</v>
      </c>
      <c r="E40" s="1499">
        <v>1.9322771330705948</v>
      </c>
      <c r="F40" s="1499">
        <v>1.2807654766820287</v>
      </c>
      <c r="G40" s="1499">
        <v>1.2660244397522584</v>
      </c>
      <c r="H40" s="1499">
        <v>1.0137294510353356</v>
      </c>
      <c r="I40" s="1499">
        <v>1.7943544867863943</v>
      </c>
      <c r="J40" s="1499">
        <v>1.6704794549533042</v>
      </c>
      <c r="K40" s="113">
        <v>0.98089004589923467</v>
      </c>
    </row>
    <row r="41" spans="2:11" x14ac:dyDescent="0.3">
      <c r="B41" s="115"/>
      <c r="C41" s="112" t="s">
        <v>1504</v>
      </c>
      <c r="D41" s="1499">
        <v>2.2686999546764466</v>
      </c>
      <c r="E41" s="1499">
        <v>2.1461953615271447</v>
      </c>
      <c r="F41" s="1499">
        <v>1.4966775460308988</v>
      </c>
      <c r="G41" s="1499">
        <v>1.4810149865437667</v>
      </c>
      <c r="H41" s="1499">
        <v>1.2295098136939324</v>
      </c>
      <c r="I41" s="1499">
        <v>2.008450435115706</v>
      </c>
      <c r="J41" s="1499">
        <v>1.8847814154373943</v>
      </c>
      <c r="K41" s="113">
        <v>1.1964395006972952</v>
      </c>
    </row>
    <row r="42" spans="2:11" x14ac:dyDescent="0.3">
      <c r="B42" s="115"/>
      <c r="C42" s="112" t="s">
        <v>1508</v>
      </c>
      <c r="D42" s="1499">
        <v>2.1882718140923956</v>
      </c>
      <c r="E42" s="1499">
        <v>2.0657672209430937</v>
      </c>
      <c r="F42" s="1499">
        <v>1.4162494054468477</v>
      </c>
      <c r="G42" s="1499">
        <v>1.4005868459597157</v>
      </c>
      <c r="H42" s="1499">
        <v>1.1490816731098816</v>
      </c>
      <c r="I42" s="1499">
        <v>1.9280222945316552</v>
      </c>
      <c r="J42" s="1499">
        <v>1.8043532748533433</v>
      </c>
      <c r="K42" s="113">
        <v>1.1160113601132444</v>
      </c>
    </row>
    <row r="43" spans="2:11" x14ac:dyDescent="0.3">
      <c r="B43" s="115"/>
      <c r="C43" s="112" t="s">
        <v>1513</v>
      </c>
      <c r="D43" s="1499">
        <v>2.0676296032163193</v>
      </c>
      <c r="E43" s="1499">
        <v>1.9451250100670174</v>
      </c>
      <c r="F43" s="1499">
        <v>1.2956071945707714</v>
      </c>
      <c r="G43" s="1499">
        <v>1.2799446350836394</v>
      </c>
      <c r="H43" s="1499">
        <v>1.0284394622338053</v>
      </c>
      <c r="I43" s="1499">
        <v>1.8073800836555789</v>
      </c>
      <c r="J43" s="1499">
        <v>1.683711063977267</v>
      </c>
      <c r="K43" s="113">
        <v>0.99536914923716802</v>
      </c>
    </row>
    <row r="44" spans="2:11" x14ac:dyDescent="0.3">
      <c r="B44" s="115"/>
      <c r="C44" s="112" t="s">
        <v>1517</v>
      </c>
      <c r="D44" s="1499">
        <v>1.9469873923402432</v>
      </c>
      <c r="E44" s="1499">
        <v>1.8244827991909409</v>
      </c>
      <c r="F44" s="1499">
        <v>1.1749649836946952</v>
      </c>
      <c r="G44" s="1499">
        <v>1.1593024242075631</v>
      </c>
      <c r="H44" s="1499">
        <v>0.90779725135772882</v>
      </c>
      <c r="I44" s="1499">
        <v>1.6867378727795026</v>
      </c>
      <c r="J44" s="1499">
        <v>1.5630688531011905</v>
      </c>
      <c r="K44" s="113">
        <v>0.87472693836109161</v>
      </c>
    </row>
    <row r="45" spans="2:11" ht="14.5" thickBot="1" x14ac:dyDescent="0.35">
      <c r="B45" s="1233"/>
      <c r="C45" s="116" t="s">
        <v>1519</v>
      </c>
      <c r="D45" s="117">
        <v>2.4315119202331816</v>
      </c>
      <c r="E45" s="117">
        <v>2.3111401729068666</v>
      </c>
      <c r="F45" s="117">
        <v>1.6596285165183005</v>
      </c>
      <c r="G45" s="117">
        <v>1.6448874795885302</v>
      </c>
      <c r="H45" s="117">
        <v>1.3925924908716074</v>
      </c>
      <c r="I45" s="117">
        <v>2.1732175266226661</v>
      </c>
      <c r="J45" s="117">
        <v>2.0493424947895758</v>
      </c>
      <c r="K45" s="118">
        <v>1.3597530857355065</v>
      </c>
    </row>
    <row r="46" spans="2:11" x14ac:dyDescent="0.3">
      <c r="B46" s="119" t="s">
        <v>1983</v>
      </c>
      <c r="C46" s="108" t="s">
        <v>1416</v>
      </c>
      <c r="D46" s="109">
        <v>1.6161473863834102</v>
      </c>
      <c r="E46" s="109">
        <v>1.4828059904925466</v>
      </c>
      <c r="F46" s="109">
        <v>0.8429840853466124</v>
      </c>
      <c r="G46" s="109">
        <v>0.8226112699986885</v>
      </c>
      <c r="H46" s="109">
        <v>0.57149298399815673</v>
      </c>
      <c r="I46" s="109">
        <v>1.3449622918926674</v>
      </c>
      <c r="J46" s="109">
        <v>1.22270527866121</v>
      </c>
      <c r="K46" s="110">
        <v>0.53746210974858744</v>
      </c>
    </row>
    <row r="47" spans="2:11" x14ac:dyDescent="0.3">
      <c r="B47" s="111"/>
      <c r="C47" s="112" t="s">
        <v>1483</v>
      </c>
      <c r="D47" s="1499">
        <v>2.4490806911888305</v>
      </c>
      <c r="E47" s="1499">
        <v>2.3284776664265552</v>
      </c>
      <c r="F47" s="1499">
        <v>1.6769872936300589</v>
      </c>
      <c r="G47" s="1499">
        <v>1.6621799022069914</v>
      </c>
      <c r="H47" s="1499">
        <v>1.4099879555162012</v>
      </c>
      <c r="I47" s="1499">
        <v>2.1905712012586998</v>
      </c>
      <c r="J47" s="1499">
        <v>2.0666770024616512</v>
      </c>
      <c r="K47" s="113">
        <v>1.3771080972675291</v>
      </c>
    </row>
    <row r="48" spans="2:11" x14ac:dyDescent="0.3">
      <c r="B48" s="111" t="s">
        <v>1979</v>
      </c>
      <c r="C48" s="112" t="s">
        <v>1489</v>
      </c>
      <c r="D48" s="1499">
        <v>2.354364931229763</v>
      </c>
      <c r="E48" s="1499">
        <v>2.2337619064674872</v>
      </c>
      <c r="F48" s="1499">
        <v>1.5822715336709909</v>
      </c>
      <c r="G48" s="1499">
        <v>1.5674641422479234</v>
      </c>
      <c r="H48" s="1499">
        <v>1.3152721955571332</v>
      </c>
      <c r="I48" s="1499">
        <v>2.0958554412996317</v>
      </c>
      <c r="J48" s="1499">
        <v>1.971961242502583</v>
      </c>
      <c r="K48" s="113">
        <v>1.2823923373084614</v>
      </c>
    </row>
    <row r="49" spans="2:11" x14ac:dyDescent="0.3">
      <c r="B49" s="114">
        <v>0</v>
      </c>
      <c r="C49" s="112" t="s">
        <v>1496</v>
      </c>
      <c r="D49" s="1499">
        <v>2.2122912912911605</v>
      </c>
      <c r="E49" s="1499">
        <v>2.0916882665288856</v>
      </c>
      <c r="F49" s="1499">
        <v>1.4401978937323892</v>
      </c>
      <c r="G49" s="1499">
        <v>1.4253905023093214</v>
      </c>
      <c r="H49" s="1499">
        <v>1.1731985556185314</v>
      </c>
      <c r="I49" s="1499">
        <v>1.9537818013610297</v>
      </c>
      <c r="J49" s="1499">
        <v>1.8298876025639812</v>
      </c>
      <c r="K49" s="113">
        <v>1.1403186973698594</v>
      </c>
    </row>
    <row r="50" spans="2:11" x14ac:dyDescent="0.3">
      <c r="B50" s="115"/>
      <c r="C50" s="112" t="s">
        <v>1500</v>
      </c>
      <c r="D50" s="1499">
        <v>2.070217651352559</v>
      </c>
      <c r="E50" s="1499">
        <v>1.9496146265902836</v>
      </c>
      <c r="F50" s="1499">
        <v>1.2981242537937872</v>
      </c>
      <c r="G50" s="1499">
        <v>1.2833168623707196</v>
      </c>
      <c r="H50" s="1499">
        <v>1.0311249156799294</v>
      </c>
      <c r="I50" s="1499">
        <v>1.811708161422428</v>
      </c>
      <c r="J50" s="1499">
        <v>1.6878139626253792</v>
      </c>
      <c r="K50" s="113">
        <v>0.99824505743125747</v>
      </c>
    </row>
    <row r="51" spans="2:11" x14ac:dyDescent="0.3">
      <c r="B51" s="115"/>
      <c r="C51" s="112" t="s">
        <v>1504</v>
      </c>
      <c r="D51" s="1499">
        <v>2.2862721309498002</v>
      </c>
      <c r="E51" s="1499">
        <v>2.1635599394643767</v>
      </c>
      <c r="F51" s="1499">
        <v>1.5141738111412451</v>
      </c>
      <c r="G51" s="1499">
        <v>1.4984442955208352</v>
      </c>
      <c r="H51" s="1499">
        <v>1.2468653700601431</v>
      </c>
      <c r="I51" s="1499">
        <v>2.0258096677364401</v>
      </c>
      <c r="J51" s="1499">
        <v>1.9021397622172096</v>
      </c>
      <c r="K51" s="113">
        <v>1.2137713224200533</v>
      </c>
    </row>
    <row r="52" spans="2:11" x14ac:dyDescent="0.3">
      <c r="B52" s="115"/>
      <c r="C52" s="112" t="s">
        <v>1508</v>
      </c>
      <c r="D52" s="1499">
        <v>2.2058439903657496</v>
      </c>
      <c r="E52" s="1499">
        <v>2.0831317988803257</v>
      </c>
      <c r="F52" s="1499">
        <v>1.433745670557194</v>
      </c>
      <c r="G52" s="1499">
        <v>1.4180161549367842</v>
      </c>
      <c r="H52" s="1499">
        <v>1.1664372294760921</v>
      </c>
      <c r="I52" s="1499">
        <v>1.9453815271523889</v>
      </c>
      <c r="J52" s="1499">
        <v>1.8217116216331586</v>
      </c>
      <c r="K52" s="113">
        <v>1.1333431818360022</v>
      </c>
    </row>
    <row r="53" spans="2:11" x14ac:dyDescent="0.3">
      <c r="B53" s="115"/>
      <c r="C53" s="112" t="s">
        <v>1513</v>
      </c>
      <c r="D53" s="1499">
        <v>2.0852017794896733</v>
      </c>
      <c r="E53" s="1499">
        <v>1.9624895880042497</v>
      </c>
      <c r="F53" s="1499">
        <v>1.3131034596811177</v>
      </c>
      <c r="G53" s="1499">
        <v>1.2973739440607079</v>
      </c>
      <c r="H53" s="1499">
        <v>1.0457950186000156</v>
      </c>
      <c r="I53" s="1499">
        <v>1.8247393162763126</v>
      </c>
      <c r="J53" s="1499">
        <v>1.7010694107570823</v>
      </c>
      <c r="K53" s="113">
        <v>1.012700970959926</v>
      </c>
    </row>
    <row r="54" spans="2:11" x14ac:dyDescent="0.3">
      <c r="B54" s="115"/>
      <c r="C54" s="112" t="s">
        <v>1517</v>
      </c>
      <c r="D54" s="1499">
        <v>1.9645595686135966</v>
      </c>
      <c r="E54" s="1499">
        <v>1.8418473771281729</v>
      </c>
      <c r="F54" s="1499">
        <v>1.1924612488050412</v>
      </c>
      <c r="G54" s="1499">
        <v>1.1767317331846314</v>
      </c>
      <c r="H54" s="1499">
        <v>0.92515280772393937</v>
      </c>
      <c r="I54" s="1499">
        <v>1.7040971054002361</v>
      </c>
      <c r="J54" s="1499">
        <v>1.5804271998810058</v>
      </c>
      <c r="K54" s="113">
        <v>0.89205876008384954</v>
      </c>
    </row>
    <row r="55" spans="2:11" ht="14.5" thickBot="1" x14ac:dyDescent="0.35">
      <c r="B55" s="1233"/>
      <c r="C55" s="116" t="s">
        <v>1519</v>
      </c>
      <c r="D55" s="117">
        <v>2.4490806911888305</v>
      </c>
      <c r="E55" s="117">
        <v>2.3284776664265552</v>
      </c>
      <c r="F55" s="117">
        <v>1.6769872936300589</v>
      </c>
      <c r="G55" s="117">
        <v>1.6621799022069914</v>
      </c>
      <c r="H55" s="117">
        <v>1.4099879555162012</v>
      </c>
      <c r="I55" s="117">
        <v>2.1905712012586998</v>
      </c>
      <c r="J55" s="117">
        <v>2.0666770024616512</v>
      </c>
      <c r="K55" s="118">
        <v>1.3771080972675291</v>
      </c>
    </row>
    <row r="56" spans="2:11" x14ac:dyDescent="0.3">
      <c r="B56" s="119" t="s">
        <v>1983</v>
      </c>
      <c r="C56" s="108" t="s">
        <v>1416</v>
      </c>
      <c r="D56" s="109">
        <v>1.6099341557687326</v>
      </c>
      <c r="E56" s="109">
        <v>1.4765927598778692</v>
      </c>
      <c r="F56" s="109">
        <v>0.83677085473193491</v>
      </c>
      <c r="G56" s="109">
        <v>0.81639803938401101</v>
      </c>
      <c r="H56" s="109">
        <v>0.56527975338347924</v>
      </c>
      <c r="I56" s="109">
        <v>1.33874906127799</v>
      </c>
      <c r="J56" s="109">
        <v>1.2164920480465327</v>
      </c>
      <c r="K56" s="110">
        <v>0.53124887913390995</v>
      </c>
    </row>
    <row r="57" spans="2:11" x14ac:dyDescent="0.3">
      <c r="B57" s="111"/>
      <c r="C57" s="112" t="s">
        <v>1483</v>
      </c>
      <c r="D57" s="1499">
        <v>2.4428674605741532</v>
      </c>
      <c r="E57" s="1499">
        <v>2.3222644358118778</v>
      </c>
      <c r="F57" s="1499">
        <v>1.6707740630153816</v>
      </c>
      <c r="G57" s="1499">
        <v>1.6559666715923138</v>
      </c>
      <c r="H57" s="1499">
        <v>1.4037747249015238</v>
      </c>
      <c r="I57" s="1499">
        <v>2.1843579706440224</v>
      </c>
      <c r="J57" s="1499">
        <v>2.0604637718469734</v>
      </c>
      <c r="K57" s="113">
        <v>1.3708948666528518</v>
      </c>
    </row>
    <row r="58" spans="2:11" x14ac:dyDescent="0.3">
      <c r="B58" s="111" t="s">
        <v>1980</v>
      </c>
      <c r="C58" s="112" t="s">
        <v>1489</v>
      </c>
      <c r="D58" s="1499">
        <v>2.3481517006150852</v>
      </c>
      <c r="E58" s="1499">
        <v>2.2275486758528098</v>
      </c>
      <c r="F58" s="1499">
        <v>1.5760583030563136</v>
      </c>
      <c r="G58" s="1499">
        <v>1.561250911633246</v>
      </c>
      <c r="H58" s="1499">
        <v>1.3090589649424558</v>
      </c>
      <c r="I58" s="1499">
        <v>2.0896422106849544</v>
      </c>
      <c r="J58" s="1499">
        <v>1.9657480118879056</v>
      </c>
      <c r="K58" s="113">
        <v>1.2761791066937838</v>
      </c>
    </row>
    <row r="59" spans="2:11" x14ac:dyDescent="0.3">
      <c r="B59" s="114">
        <v>0</v>
      </c>
      <c r="C59" s="112" t="s">
        <v>1496</v>
      </c>
      <c r="D59" s="1499">
        <v>2.2060780606764832</v>
      </c>
      <c r="E59" s="1499">
        <v>2.0854750359142078</v>
      </c>
      <c r="F59" s="1499">
        <v>1.4339846631177116</v>
      </c>
      <c r="G59" s="1499">
        <v>1.419177271694644</v>
      </c>
      <c r="H59" s="1499">
        <v>1.1669853250038538</v>
      </c>
      <c r="I59" s="1499">
        <v>1.9475685707463524</v>
      </c>
      <c r="J59" s="1499">
        <v>1.8236743719493036</v>
      </c>
      <c r="K59" s="113">
        <v>1.134105466755182</v>
      </c>
    </row>
    <row r="60" spans="2:11" x14ac:dyDescent="0.3">
      <c r="B60" s="115"/>
      <c r="C60" s="112" t="s">
        <v>1500</v>
      </c>
      <c r="D60" s="1499">
        <v>2.0640044207378816</v>
      </c>
      <c r="E60" s="1499">
        <v>1.943401395975606</v>
      </c>
      <c r="F60" s="1499">
        <v>1.2919110231791098</v>
      </c>
      <c r="G60" s="1499">
        <v>1.277103631756042</v>
      </c>
      <c r="H60" s="1499">
        <v>1.024911685065252</v>
      </c>
      <c r="I60" s="1499">
        <v>1.8054949308077504</v>
      </c>
      <c r="J60" s="1499">
        <v>1.6816007320107018</v>
      </c>
      <c r="K60" s="113">
        <v>0.99203182681657998</v>
      </c>
    </row>
    <row r="61" spans="2:11" x14ac:dyDescent="0.3">
      <c r="B61" s="115"/>
      <c r="C61" s="112" t="s">
        <v>1504</v>
      </c>
      <c r="D61" s="1499">
        <v>2.2800589003351228</v>
      </c>
      <c r="E61" s="1499">
        <v>2.1573467088496989</v>
      </c>
      <c r="F61" s="1499">
        <v>1.5079605805265675</v>
      </c>
      <c r="G61" s="1499">
        <v>1.4922310649061576</v>
      </c>
      <c r="H61" s="1499">
        <v>1.2406521394454655</v>
      </c>
      <c r="I61" s="1499">
        <v>2.0195964371217623</v>
      </c>
      <c r="J61" s="1499">
        <v>1.8959265316025322</v>
      </c>
      <c r="K61" s="113">
        <v>1.2075580918053759</v>
      </c>
    </row>
    <row r="62" spans="2:11" x14ac:dyDescent="0.3">
      <c r="B62" s="115"/>
      <c r="C62" s="112" t="s">
        <v>1508</v>
      </c>
      <c r="D62" s="1499">
        <v>2.1996307597510723</v>
      </c>
      <c r="E62" s="1499">
        <v>2.0769185682656484</v>
      </c>
      <c r="F62" s="1499">
        <v>1.4275324399425164</v>
      </c>
      <c r="G62" s="1499">
        <v>1.4118029243221069</v>
      </c>
      <c r="H62" s="1499">
        <v>1.1602239988614147</v>
      </c>
      <c r="I62" s="1499">
        <v>1.9391682965377115</v>
      </c>
      <c r="J62" s="1499">
        <v>1.8154983910184812</v>
      </c>
      <c r="K62" s="113">
        <v>1.1271299512213249</v>
      </c>
    </row>
    <row r="63" spans="2:11" x14ac:dyDescent="0.3">
      <c r="B63" s="115"/>
      <c r="C63" s="112" t="s">
        <v>1513</v>
      </c>
      <c r="D63" s="1499">
        <v>2.078988548874996</v>
      </c>
      <c r="E63" s="1499">
        <v>1.9562763573895721</v>
      </c>
      <c r="F63" s="1499">
        <v>1.3068902290664401</v>
      </c>
      <c r="G63" s="1499">
        <v>1.2911607134460303</v>
      </c>
      <c r="H63" s="1499">
        <v>1.0395817879853382</v>
      </c>
      <c r="I63" s="1499">
        <v>1.8185260856616352</v>
      </c>
      <c r="J63" s="1499">
        <v>1.6948561801424049</v>
      </c>
      <c r="K63" s="113">
        <v>1.0064877403452483</v>
      </c>
    </row>
    <row r="64" spans="2:11" x14ac:dyDescent="0.3">
      <c r="B64" s="115"/>
      <c r="C64" s="112" t="s">
        <v>1517</v>
      </c>
      <c r="D64" s="1499">
        <v>1.9583463379989192</v>
      </c>
      <c r="E64" s="1499">
        <v>1.8356341465134955</v>
      </c>
      <c r="F64" s="1499">
        <v>1.1862480181903636</v>
      </c>
      <c r="G64" s="1499">
        <v>1.1705185025699538</v>
      </c>
      <c r="H64" s="1499">
        <v>0.91893957710926188</v>
      </c>
      <c r="I64" s="1499">
        <v>1.6978838747855587</v>
      </c>
      <c r="J64" s="1499">
        <v>1.5742139692663284</v>
      </c>
      <c r="K64" s="113">
        <v>0.88584552946917205</v>
      </c>
    </row>
    <row r="65" spans="2:11" ht="14.5" thickBot="1" x14ac:dyDescent="0.35">
      <c r="B65" s="1233"/>
      <c r="C65" s="116" t="s">
        <v>1519</v>
      </c>
      <c r="D65" s="117">
        <v>2.4428674605741532</v>
      </c>
      <c r="E65" s="117">
        <v>2.3222644358118778</v>
      </c>
      <c r="F65" s="117">
        <v>1.6707740630153816</v>
      </c>
      <c r="G65" s="117">
        <v>1.6559666715923138</v>
      </c>
      <c r="H65" s="117">
        <v>1.4037747249015238</v>
      </c>
      <c r="I65" s="117">
        <v>2.1843579706440224</v>
      </c>
      <c r="J65" s="117">
        <v>2.0604637718469734</v>
      </c>
      <c r="K65" s="118">
        <v>1.3708948666528518</v>
      </c>
    </row>
    <row r="66" spans="2:11" x14ac:dyDescent="0.3">
      <c r="B66" s="119" t="s">
        <v>1983</v>
      </c>
      <c r="C66" s="108" t="s">
        <v>1416</v>
      </c>
      <c r="D66" s="109">
        <v>1.6006143098467163</v>
      </c>
      <c r="E66" s="109">
        <v>1.4672729139558529</v>
      </c>
      <c r="F66" s="109">
        <v>0.82745100880991873</v>
      </c>
      <c r="G66" s="109">
        <v>0.80707819346199483</v>
      </c>
      <c r="H66" s="109">
        <v>0.55595990746146307</v>
      </c>
      <c r="I66" s="109">
        <v>1.3294292153559737</v>
      </c>
      <c r="J66" s="109">
        <v>1.2071722021245164</v>
      </c>
      <c r="K66" s="110">
        <v>0.52192903321189377</v>
      </c>
    </row>
    <row r="67" spans="2:11" x14ac:dyDescent="0.3">
      <c r="B67" s="111"/>
      <c r="C67" s="112" t="s">
        <v>1483</v>
      </c>
      <c r="D67" s="1499">
        <v>2.4335476146521371</v>
      </c>
      <c r="E67" s="1499">
        <v>2.3129445898898617</v>
      </c>
      <c r="F67" s="1499">
        <v>1.6614542170933653</v>
      </c>
      <c r="G67" s="1499">
        <v>1.6466468256702977</v>
      </c>
      <c r="H67" s="1499">
        <v>1.3944548789795075</v>
      </c>
      <c r="I67" s="1499">
        <v>2.1750381247220063</v>
      </c>
      <c r="J67" s="1499">
        <v>2.0511439259249573</v>
      </c>
      <c r="K67" s="113">
        <v>1.3615750207308355</v>
      </c>
    </row>
    <row r="68" spans="2:11" x14ac:dyDescent="0.3">
      <c r="B68" s="111" t="s">
        <v>1981</v>
      </c>
      <c r="C68" s="112" t="s">
        <v>1489</v>
      </c>
      <c r="D68" s="1499">
        <v>2.3388318546930691</v>
      </c>
      <c r="E68" s="1499">
        <v>2.2182288299307937</v>
      </c>
      <c r="F68" s="1499">
        <v>1.5667384571342973</v>
      </c>
      <c r="G68" s="1499">
        <v>1.5519310657112297</v>
      </c>
      <c r="H68" s="1499">
        <v>1.2997391190204395</v>
      </c>
      <c r="I68" s="1499">
        <v>2.0803223647629383</v>
      </c>
      <c r="J68" s="1499">
        <v>1.9564281659658893</v>
      </c>
      <c r="K68" s="113">
        <v>1.2668592607717677</v>
      </c>
    </row>
    <row r="69" spans="2:11" x14ac:dyDescent="0.3">
      <c r="B69" s="114">
        <v>0</v>
      </c>
      <c r="C69" s="112" t="s">
        <v>1496</v>
      </c>
      <c r="D69" s="1499">
        <v>2.1967582147544671</v>
      </c>
      <c r="E69" s="1499">
        <v>2.0761551899921917</v>
      </c>
      <c r="F69" s="1499">
        <v>1.4246648171956955</v>
      </c>
      <c r="G69" s="1499">
        <v>1.4098574257726277</v>
      </c>
      <c r="H69" s="1499">
        <v>1.1576654790818377</v>
      </c>
      <c r="I69" s="1499">
        <v>1.9382487248243361</v>
      </c>
      <c r="J69" s="1499">
        <v>1.8143545260272875</v>
      </c>
      <c r="K69" s="113">
        <v>1.1247856208331657</v>
      </c>
    </row>
    <row r="70" spans="2:11" x14ac:dyDescent="0.3">
      <c r="B70" s="115"/>
      <c r="C70" s="112" t="s">
        <v>1500</v>
      </c>
      <c r="D70" s="1499">
        <v>2.0546845748158651</v>
      </c>
      <c r="E70" s="1499">
        <v>1.9340815500535899</v>
      </c>
      <c r="F70" s="1499">
        <v>1.2825911772570935</v>
      </c>
      <c r="G70" s="1499">
        <v>1.267783785834026</v>
      </c>
      <c r="H70" s="1499">
        <v>1.0155918391432357</v>
      </c>
      <c r="I70" s="1499">
        <v>1.7961750848857343</v>
      </c>
      <c r="J70" s="1499">
        <v>1.6722808860886855</v>
      </c>
      <c r="K70" s="113">
        <v>0.9827119808945638</v>
      </c>
    </row>
    <row r="71" spans="2:11" x14ac:dyDescent="0.3">
      <c r="B71" s="115"/>
      <c r="C71" s="112" t="s">
        <v>1504</v>
      </c>
      <c r="D71" s="1499">
        <v>2.2707390544131068</v>
      </c>
      <c r="E71" s="1499">
        <v>2.1480268629276829</v>
      </c>
      <c r="F71" s="1499">
        <v>1.4986407346045514</v>
      </c>
      <c r="G71" s="1499">
        <v>1.4829112189841416</v>
      </c>
      <c r="H71" s="1499">
        <v>1.2313322935234494</v>
      </c>
      <c r="I71" s="1499">
        <v>2.0102765911997462</v>
      </c>
      <c r="J71" s="1499">
        <v>1.8866066856805159</v>
      </c>
      <c r="K71" s="113">
        <v>1.1982382458833596</v>
      </c>
    </row>
    <row r="72" spans="2:11" x14ac:dyDescent="0.3">
      <c r="B72" s="115"/>
      <c r="C72" s="112" t="s">
        <v>1508</v>
      </c>
      <c r="D72" s="1499">
        <v>2.1903109138290557</v>
      </c>
      <c r="E72" s="1499">
        <v>2.0675987223436323</v>
      </c>
      <c r="F72" s="1499">
        <v>1.4182125940205004</v>
      </c>
      <c r="G72" s="1499">
        <v>1.4024830784000906</v>
      </c>
      <c r="H72" s="1499">
        <v>1.1509041529393984</v>
      </c>
      <c r="I72" s="1499">
        <v>1.9298484506156952</v>
      </c>
      <c r="J72" s="1499">
        <v>1.8061785450964649</v>
      </c>
      <c r="K72" s="113">
        <v>1.1178101052993086</v>
      </c>
    </row>
    <row r="73" spans="2:11" x14ac:dyDescent="0.3">
      <c r="B73" s="115"/>
      <c r="C73" s="112" t="s">
        <v>1513</v>
      </c>
      <c r="D73" s="1499">
        <v>2.0696687029529794</v>
      </c>
      <c r="E73" s="1499">
        <v>1.9469565114675558</v>
      </c>
      <c r="F73" s="1499">
        <v>1.2975703831444241</v>
      </c>
      <c r="G73" s="1499">
        <v>1.2818408675240143</v>
      </c>
      <c r="H73" s="1499">
        <v>1.0302619420633219</v>
      </c>
      <c r="I73" s="1499">
        <v>1.8092062397396189</v>
      </c>
      <c r="J73" s="1499">
        <v>1.6855363342203886</v>
      </c>
      <c r="K73" s="113">
        <v>0.99716789442323217</v>
      </c>
    </row>
    <row r="74" spans="2:11" x14ac:dyDescent="0.3">
      <c r="B74" s="115"/>
      <c r="C74" s="112" t="s">
        <v>1517</v>
      </c>
      <c r="D74" s="1499">
        <v>1.9490264920769029</v>
      </c>
      <c r="E74" s="1499">
        <v>1.8263143005914793</v>
      </c>
      <c r="F74" s="1499">
        <v>1.1769281722683473</v>
      </c>
      <c r="G74" s="1499">
        <v>1.1611986566479378</v>
      </c>
      <c r="H74" s="1499">
        <v>0.90961973118724559</v>
      </c>
      <c r="I74" s="1499">
        <v>1.6885640288635424</v>
      </c>
      <c r="J74" s="1499">
        <v>1.5648941233443121</v>
      </c>
      <c r="K74" s="113">
        <v>0.87652568354715588</v>
      </c>
    </row>
    <row r="75" spans="2:11" ht="14.5" thickBot="1" x14ac:dyDescent="0.35">
      <c r="B75" s="1233"/>
      <c r="C75" s="116" t="s">
        <v>1519</v>
      </c>
      <c r="D75" s="117">
        <v>2.4335476146521371</v>
      </c>
      <c r="E75" s="117">
        <v>2.3129445898898617</v>
      </c>
      <c r="F75" s="117">
        <v>1.6614542170933653</v>
      </c>
      <c r="G75" s="117">
        <v>1.6466468256702977</v>
      </c>
      <c r="H75" s="117">
        <v>1.3944548789795075</v>
      </c>
      <c r="I75" s="117">
        <v>2.1750381247220063</v>
      </c>
      <c r="J75" s="117">
        <v>2.0511439259249573</v>
      </c>
      <c r="K75" s="118">
        <v>1.3615750207308355</v>
      </c>
    </row>
    <row r="76" spans="2:11" x14ac:dyDescent="0.3">
      <c r="B76" s="119" t="s">
        <v>1983</v>
      </c>
      <c r="C76" s="108" t="s">
        <v>1416</v>
      </c>
      <c r="D76" s="109">
        <v>1.5912944639247002</v>
      </c>
      <c r="E76" s="109">
        <v>1.4579530680338366</v>
      </c>
      <c r="F76" s="109">
        <v>0.81813116288790255</v>
      </c>
      <c r="G76" s="109">
        <v>0.79775834753997865</v>
      </c>
      <c r="H76" s="109">
        <v>0.54664006153944689</v>
      </c>
      <c r="I76" s="109">
        <v>1.3201093694339576</v>
      </c>
      <c r="J76" s="109">
        <v>1.1978523562025001</v>
      </c>
      <c r="K76" s="110">
        <v>0.51260918728987748</v>
      </c>
    </row>
    <row r="77" spans="2:11" x14ac:dyDescent="0.3">
      <c r="B77" s="111"/>
      <c r="C77" s="112" t="s">
        <v>1483</v>
      </c>
      <c r="D77" s="1499">
        <v>2.424227768730121</v>
      </c>
      <c r="E77" s="1499">
        <v>2.3036247439678452</v>
      </c>
      <c r="F77" s="1499">
        <v>1.652134371171349</v>
      </c>
      <c r="G77" s="1499">
        <v>1.6373269797482815</v>
      </c>
      <c r="H77" s="1499">
        <v>1.3851350330574912</v>
      </c>
      <c r="I77" s="1499">
        <v>2.1657182787999902</v>
      </c>
      <c r="J77" s="1499">
        <v>2.0418240800029412</v>
      </c>
      <c r="K77" s="113">
        <v>1.3522551748088194</v>
      </c>
    </row>
    <row r="78" spans="2:11" x14ac:dyDescent="0.3">
      <c r="B78" s="111" t="s">
        <v>1982</v>
      </c>
      <c r="C78" s="112" t="s">
        <v>1489</v>
      </c>
      <c r="D78" s="1499">
        <v>2.329512008771053</v>
      </c>
      <c r="E78" s="1499">
        <v>2.2089089840087777</v>
      </c>
      <c r="F78" s="1499">
        <v>1.557418611212281</v>
      </c>
      <c r="G78" s="1499">
        <v>1.5426112197892135</v>
      </c>
      <c r="H78" s="1499">
        <v>1.2904192730984234</v>
      </c>
      <c r="I78" s="1499">
        <v>2.0710025188409218</v>
      </c>
      <c r="J78" s="1499">
        <v>1.9471083200438732</v>
      </c>
      <c r="K78" s="113">
        <v>1.2575394148497514</v>
      </c>
    </row>
    <row r="79" spans="2:11" x14ac:dyDescent="0.3">
      <c r="B79" s="114">
        <v>0</v>
      </c>
      <c r="C79" s="112" t="s">
        <v>1496</v>
      </c>
      <c r="D79" s="1499">
        <v>2.1874383688324506</v>
      </c>
      <c r="E79" s="1499">
        <v>2.0668353440701757</v>
      </c>
      <c r="F79" s="1499">
        <v>1.4153449712736792</v>
      </c>
      <c r="G79" s="1499">
        <v>1.4005375798506117</v>
      </c>
      <c r="H79" s="1499">
        <v>1.1483456331598214</v>
      </c>
      <c r="I79" s="1499">
        <v>1.92892887890232</v>
      </c>
      <c r="J79" s="1499">
        <v>1.8050346801052712</v>
      </c>
      <c r="K79" s="113">
        <v>1.1154657749111494</v>
      </c>
    </row>
    <row r="80" spans="2:11" x14ac:dyDescent="0.3">
      <c r="B80" s="115"/>
      <c r="C80" s="112" t="s">
        <v>1500</v>
      </c>
      <c r="D80" s="1499">
        <v>2.045364728893849</v>
      </c>
      <c r="E80" s="1499">
        <v>1.9247617041315737</v>
      </c>
      <c r="F80" s="1499">
        <v>1.2732713313350772</v>
      </c>
      <c r="G80" s="1499">
        <v>1.2584639399120097</v>
      </c>
      <c r="H80" s="1499">
        <v>1.0062719932212194</v>
      </c>
      <c r="I80" s="1499">
        <v>1.786855238963718</v>
      </c>
      <c r="J80" s="1499">
        <v>1.6629610401666692</v>
      </c>
      <c r="K80" s="113">
        <v>0.97339213497254751</v>
      </c>
    </row>
    <row r="81" spans="2:11" x14ac:dyDescent="0.3">
      <c r="B81" s="115"/>
      <c r="C81" s="112" t="s">
        <v>1504</v>
      </c>
      <c r="D81" s="1499">
        <v>2.2614192084910902</v>
      </c>
      <c r="E81" s="1499">
        <v>2.1387070170056668</v>
      </c>
      <c r="F81" s="1499">
        <v>1.4893208886825351</v>
      </c>
      <c r="G81" s="1499">
        <v>1.4735913730621253</v>
      </c>
      <c r="H81" s="1499">
        <v>1.2220124476014331</v>
      </c>
      <c r="I81" s="1499">
        <v>2.0009567452777302</v>
      </c>
      <c r="J81" s="1499">
        <v>1.8772868397584996</v>
      </c>
      <c r="K81" s="113">
        <v>1.1889183999613433</v>
      </c>
    </row>
    <row r="82" spans="2:11" x14ac:dyDescent="0.3">
      <c r="B82" s="115"/>
      <c r="C82" s="112" t="s">
        <v>1508</v>
      </c>
      <c r="D82" s="1499">
        <v>2.1809910679070397</v>
      </c>
      <c r="E82" s="1499">
        <v>2.0582788764216158</v>
      </c>
      <c r="F82" s="1499">
        <v>1.4088927480984841</v>
      </c>
      <c r="G82" s="1499">
        <v>1.3931632324780743</v>
      </c>
      <c r="H82" s="1499">
        <v>1.1415843070173821</v>
      </c>
      <c r="I82" s="1499">
        <v>1.9205286046936791</v>
      </c>
      <c r="J82" s="1499">
        <v>1.7968586991744488</v>
      </c>
      <c r="K82" s="113">
        <v>1.1084902593772925</v>
      </c>
    </row>
    <row r="83" spans="2:11" x14ac:dyDescent="0.3">
      <c r="B83" s="115"/>
      <c r="C83" s="112" t="s">
        <v>1513</v>
      </c>
      <c r="D83" s="1499">
        <v>2.0603488570309634</v>
      </c>
      <c r="E83" s="1499">
        <v>1.9376366655455397</v>
      </c>
      <c r="F83" s="1499">
        <v>1.2882505372224078</v>
      </c>
      <c r="G83" s="1499">
        <v>1.272521021601998</v>
      </c>
      <c r="H83" s="1499">
        <v>1.0209420961413058</v>
      </c>
      <c r="I83" s="1499">
        <v>1.7998863938176028</v>
      </c>
      <c r="J83" s="1499">
        <v>1.6762164882983726</v>
      </c>
      <c r="K83" s="113">
        <v>0.9878480485012161</v>
      </c>
    </row>
    <row r="84" spans="2:11" x14ac:dyDescent="0.3">
      <c r="B84" s="115"/>
      <c r="C84" s="112" t="s">
        <v>1517</v>
      </c>
      <c r="D84" s="1499">
        <v>1.9397066461548869</v>
      </c>
      <c r="E84" s="1499">
        <v>1.8169944546694632</v>
      </c>
      <c r="F84" s="1499">
        <v>1.1676083263463313</v>
      </c>
      <c r="G84" s="1499">
        <v>1.1518788107259215</v>
      </c>
      <c r="H84" s="1499">
        <v>0.90029988526522942</v>
      </c>
      <c r="I84" s="1499">
        <v>1.6792441829415261</v>
      </c>
      <c r="J84" s="1499">
        <v>1.5555742774222958</v>
      </c>
      <c r="K84" s="113">
        <v>0.8672058376251397</v>
      </c>
    </row>
    <row r="85" spans="2:11" ht="14.5" thickBot="1" x14ac:dyDescent="0.35">
      <c r="B85" s="1233"/>
      <c r="C85" s="116" t="s">
        <v>1519</v>
      </c>
      <c r="D85" s="117">
        <v>2.424227768730121</v>
      </c>
      <c r="E85" s="117">
        <v>2.3036247439678452</v>
      </c>
      <c r="F85" s="117">
        <v>1.652134371171349</v>
      </c>
      <c r="G85" s="117">
        <v>1.6373269797482815</v>
      </c>
      <c r="H85" s="117">
        <v>1.3851350330574912</v>
      </c>
      <c r="I85" s="117">
        <v>2.1657182787999902</v>
      </c>
      <c r="J85" s="117">
        <v>2.0418240800029412</v>
      </c>
      <c r="K85" s="118">
        <v>1.3522551748088194</v>
      </c>
    </row>
    <row r="87" spans="2:11" ht="14.5" thickBot="1" x14ac:dyDescent="0.35"/>
    <row r="88" spans="2:11" ht="25.5" thickBot="1" x14ac:dyDescent="0.55000000000000004">
      <c r="B88" s="88" t="s">
        <v>1960</v>
      </c>
      <c r="C88" s="89"/>
      <c r="D88" s="90">
        <v>3</v>
      </c>
      <c r="E88" s="91" t="s">
        <v>1984</v>
      </c>
      <c r="F88" s="92"/>
      <c r="G88" s="92"/>
      <c r="H88" s="92"/>
      <c r="I88" s="93"/>
      <c r="J88" s="89" t="s">
        <v>176</v>
      </c>
      <c r="K88" s="94" t="s">
        <v>223</v>
      </c>
    </row>
    <row r="89" spans="2:11" ht="14.5" thickBot="1" x14ac:dyDescent="0.35">
      <c r="B89" s="95" t="s">
        <v>1962</v>
      </c>
      <c r="C89" s="96" t="s">
        <v>1963</v>
      </c>
      <c r="D89" s="95" t="s">
        <v>1964</v>
      </c>
      <c r="E89" s="97" t="s">
        <v>1965</v>
      </c>
      <c r="F89" s="97" t="s">
        <v>1966</v>
      </c>
      <c r="G89" s="97" t="s">
        <v>1967</v>
      </c>
      <c r="H89" s="97" t="s">
        <v>1968</v>
      </c>
      <c r="I89" s="97" t="s">
        <v>1969</v>
      </c>
      <c r="J89" s="97" t="s">
        <v>1970</v>
      </c>
      <c r="K89" s="98" t="s">
        <v>1971</v>
      </c>
    </row>
    <row r="90" spans="2:11" ht="14.5" thickBot="1" x14ac:dyDescent="0.35">
      <c r="B90" s="99"/>
      <c r="C90" s="99"/>
      <c r="D90" s="100"/>
      <c r="E90" s="944"/>
      <c r="F90" s="944"/>
      <c r="G90" s="944"/>
      <c r="H90" s="944"/>
      <c r="I90" s="944"/>
      <c r="J90" s="944"/>
      <c r="K90" s="102"/>
    </row>
    <row r="91" spans="2:11" ht="86.5" thickBot="1" x14ac:dyDescent="0.45">
      <c r="B91" s="103" t="s">
        <v>1972</v>
      </c>
      <c r="C91" s="103" t="s">
        <v>1973</v>
      </c>
      <c r="D91" s="105" t="s">
        <v>1974</v>
      </c>
      <c r="E91" s="105" t="s">
        <v>1525</v>
      </c>
      <c r="F91" s="105" t="s">
        <v>1527</v>
      </c>
      <c r="G91" s="105" t="s">
        <v>1975</v>
      </c>
      <c r="H91" s="105" t="s">
        <v>1976</v>
      </c>
      <c r="I91" s="105" t="s">
        <v>1445</v>
      </c>
      <c r="J91" s="105" t="s">
        <v>1538</v>
      </c>
      <c r="K91" s="106" t="s">
        <v>1541</v>
      </c>
    </row>
    <row r="92" spans="2:11" x14ac:dyDescent="0.3">
      <c r="B92" s="107" t="s">
        <v>1985</v>
      </c>
      <c r="C92" s="108" t="s">
        <v>1416</v>
      </c>
      <c r="D92" s="109">
        <v>1.5599144367921631</v>
      </c>
      <c r="E92" s="109">
        <v>1.4243054809746418</v>
      </c>
      <c r="F92" s="109">
        <v>0.7863554973506498</v>
      </c>
      <c r="G92" s="109">
        <v>0.76540663054820635</v>
      </c>
      <c r="H92" s="109">
        <v>0.51336323573347065</v>
      </c>
      <c r="I92" s="109">
        <v>1.2872118779426434</v>
      </c>
      <c r="J92" s="109">
        <v>1.1651597856992779</v>
      </c>
      <c r="K92" s="110">
        <v>0.47936840541264913</v>
      </c>
    </row>
    <row r="93" spans="2:11" x14ac:dyDescent="0.3">
      <c r="B93" s="111"/>
      <c r="C93" s="112" t="s">
        <v>1483</v>
      </c>
      <c r="D93" s="1499">
        <v>2.3920855950693825</v>
      </c>
      <c r="E93" s="1499">
        <v>2.2690905359725613</v>
      </c>
      <c r="F93" s="1499">
        <v>1.6192574499513954</v>
      </c>
      <c r="G93" s="1499">
        <v>1.6035563908252757</v>
      </c>
      <c r="H93" s="1499">
        <v>1.352172780581665</v>
      </c>
      <c r="I93" s="1499">
        <v>2.1313663245738357</v>
      </c>
      <c r="J93" s="1499">
        <v>2.0076515158170287</v>
      </c>
      <c r="K93" s="113">
        <v>1.3189937907447502</v>
      </c>
    </row>
    <row r="94" spans="2:11" x14ac:dyDescent="0.3">
      <c r="B94" s="111" t="s">
        <v>1986</v>
      </c>
      <c r="C94" s="112" t="s">
        <v>1489</v>
      </c>
      <c r="D94" s="1499">
        <v>2.2973698351103145</v>
      </c>
      <c r="E94" s="1499">
        <v>2.1743747760134933</v>
      </c>
      <c r="F94" s="1499">
        <v>1.5245416899923276</v>
      </c>
      <c r="G94" s="1499">
        <v>1.5088406308662079</v>
      </c>
      <c r="H94" s="1499">
        <v>1.257457020622597</v>
      </c>
      <c r="I94" s="1499">
        <v>2.0366505646147681</v>
      </c>
      <c r="J94" s="1499">
        <v>1.9129357558579605</v>
      </c>
      <c r="K94" s="113">
        <v>1.2242780307856822</v>
      </c>
    </row>
    <row r="95" spans="2:11" x14ac:dyDescent="0.3">
      <c r="B95" s="114">
        <v>0</v>
      </c>
      <c r="C95" s="112" t="s">
        <v>1496</v>
      </c>
      <c r="D95" s="1499">
        <v>2.1552961951717124</v>
      </c>
      <c r="E95" s="1499">
        <v>2.0323011360748913</v>
      </c>
      <c r="F95" s="1499">
        <v>1.3824680500537256</v>
      </c>
      <c r="G95" s="1499">
        <v>1.3667669909276059</v>
      </c>
      <c r="H95" s="1499">
        <v>1.115383380683995</v>
      </c>
      <c r="I95" s="1499">
        <v>1.8945769246761659</v>
      </c>
      <c r="J95" s="1499">
        <v>1.7708621159193587</v>
      </c>
      <c r="K95" s="113">
        <v>1.0822043908470804</v>
      </c>
    </row>
    <row r="96" spans="2:11" x14ac:dyDescent="0.3">
      <c r="B96" s="115"/>
      <c r="C96" s="112" t="s">
        <v>1500</v>
      </c>
      <c r="D96" s="1499">
        <v>2.0132225552331104</v>
      </c>
      <c r="E96" s="1499">
        <v>1.8902274961362893</v>
      </c>
      <c r="F96" s="1499">
        <v>1.2403944101151236</v>
      </c>
      <c r="G96" s="1499">
        <v>1.2246933509890039</v>
      </c>
      <c r="H96" s="1499">
        <v>0.97330974074539311</v>
      </c>
      <c r="I96" s="1499">
        <v>1.7525032847375641</v>
      </c>
      <c r="J96" s="1499">
        <v>1.6287884759807567</v>
      </c>
      <c r="K96" s="113">
        <v>0.94013075090847842</v>
      </c>
    </row>
    <row r="97" spans="2:11" x14ac:dyDescent="0.3">
      <c r="B97" s="115"/>
      <c r="C97" s="112" t="s">
        <v>1504</v>
      </c>
      <c r="D97" s="1499">
        <v>2.2294255816612991</v>
      </c>
      <c r="E97" s="1499">
        <v>2.1044130404785708</v>
      </c>
      <c r="F97" s="1499">
        <v>1.4569633427503903</v>
      </c>
      <c r="G97" s="1499">
        <v>1.4403150658831978</v>
      </c>
      <c r="H97" s="1499">
        <v>1.1891477659094403</v>
      </c>
      <c r="I97" s="1499">
        <v>1.9668382269023881</v>
      </c>
      <c r="J97" s="1499">
        <v>1.8433923761302473</v>
      </c>
      <c r="K97" s="113">
        <v>1.1558454147307038</v>
      </c>
    </row>
    <row r="98" spans="2:11" x14ac:dyDescent="0.3">
      <c r="B98" s="115"/>
      <c r="C98" s="112" t="s">
        <v>1508</v>
      </c>
      <c r="D98" s="1499">
        <v>2.1489974410772481</v>
      </c>
      <c r="E98" s="1499">
        <v>2.0239848998945198</v>
      </c>
      <c r="F98" s="1499">
        <v>1.3765352021663393</v>
      </c>
      <c r="G98" s="1499">
        <v>1.3598869252991468</v>
      </c>
      <c r="H98" s="1499">
        <v>1.1087196253253893</v>
      </c>
      <c r="I98" s="1499">
        <v>1.8864100863183371</v>
      </c>
      <c r="J98" s="1499">
        <v>1.7629642355461963</v>
      </c>
      <c r="K98" s="113">
        <v>1.0754172741466528</v>
      </c>
    </row>
    <row r="99" spans="2:11" x14ac:dyDescent="0.3">
      <c r="B99" s="115"/>
      <c r="C99" s="112" t="s">
        <v>1513</v>
      </c>
      <c r="D99" s="1499">
        <v>2.0283552302011718</v>
      </c>
      <c r="E99" s="1499">
        <v>1.9033426890184435</v>
      </c>
      <c r="F99" s="1499">
        <v>1.255892991290263</v>
      </c>
      <c r="G99" s="1499">
        <v>1.2392447144230705</v>
      </c>
      <c r="H99" s="1499">
        <v>0.98807741444931296</v>
      </c>
      <c r="I99" s="1499">
        <v>1.7657678754422608</v>
      </c>
      <c r="J99" s="1499">
        <v>1.64232202467012</v>
      </c>
      <c r="K99" s="113">
        <v>0.95477506327057649</v>
      </c>
    </row>
    <row r="100" spans="2:11" x14ac:dyDescent="0.3">
      <c r="B100" s="115"/>
      <c r="C100" s="112" t="s">
        <v>1517</v>
      </c>
      <c r="D100" s="1499">
        <v>1.9077130193250955</v>
      </c>
      <c r="E100" s="1499">
        <v>1.7827004781423672</v>
      </c>
      <c r="F100" s="1499">
        <v>1.1352507804141867</v>
      </c>
      <c r="G100" s="1499">
        <v>1.1186025035469942</v>
      </c>
      <c r="H100" s="1499">
        <v>0.86743520357323667</v>
      </c>
      <c r="I100" s="1499">
        <v>1.6451256645661845</v>
      </c>
      <c r="J100" s="1499">
        <v>1.5216798137940437</v>
      </c>
      <c r="K100" s="113">
        <v>0.83413285239450019</v>
      </c>
    </row>
    <row r="101" spans="2:11" ht="14.5" thickBot="1" x14ac:dyDescent="0.35">
      <c r="B101" s="115"/>
      <c r="C101" s="116" t="s">
        <v>1519</v>
      </c>
      <c r="D101" s="117">
        <v>2.3920855950693825</v>
      </c>
      <c r="E101" s="117">
        <v>2.2690905359725613</v>
      </c>
      <c r="F101" s="117">
        <v>1.6192574499513954</v>
      </c>
      <c r="G101" s="117">
        <v>1.6035563908252757</v>
      </c>
      <c r="H101" s="117">
        <v>1.352172780581665</v>
      </c>
      <c r="I101" s="117">
        <v>2.1313663245738357</v>
      </c>
      <c r="J101" s="117">
        <v>2.0076515158170287</v>
      </c>
      <c r="K101" s="118">
        <v>1.3189937907447502</v>
      </c>
    </row>
    <row r="102" spans="2:11" x14ac:dyDescent="0.3">
      <c r="B102" s="120" t="s">
        <v>1985</v>
      </c>
      <c r="C102" s="1234" t="s">
        <v>1416</v>
      </c>
      <c r="D102" s="109">
        <v>1.5561801580485639</v>
      </c>
      <c r="E102" s="109">
        <v>1.4205712022310426</v>
      </c>
      <c r="F102" s="109">
        <v>0.78262121860705047</v>
      </c>
      <c r="G102" s="109">
        <v>0.76167235180460691</v>
      </c>
      <c r="H102" s="109">
        <v>0.50962895698987121</v>
      </c>
      <c r="I102" s="109">
        <v>1.2834775991990441</v>
      </c>
      <c r="J102" s="109">
        <v>1.1614255069556787</v>
      </c>
      <c r="K102" s="110">
        <v>0.47563412666904969</v>
      </c>
    </row>
    <row r="103" spans="2:11" x14ac:dyDescent="0.3">
      <c r="B103" s="121"/>
      <c r="C103" s="1500" t="s">
        <v>1483</v>
      </c>
      <c r="D103" s="1499">
        <v>2.388351316325783</v>
      </c>
      <c r="E103" s="1499">
        <v>2.2653562572289618</v>
      </c>
      <c r="F103" s="1499">
        <v>1.6155231712077962</v>
      </c>
      <c r="G103" s="1499">
        <v>1.5998221120816765</v>
      </c>
      <c r="H103" s="1499">
        <v>1.3484385018380656</v>
      </c>
      <c r="I103" s="1499">
        <v>2.1276320458302367</v>
      </c>
      <c r="J103" s="1499">
        <v>2.0039172370734293</v>
      </c>
      <c r="K103" s="113">
        <v>1.315259512001151</v>
      </c>
    </row>
    <row r="104" spans="2:11" x14ac:dyDescent="0.3">
      <c r="B104" s="111" t="s">
        <v>1987</v>
      </c>
      <c r="C104" s="1500" t="s">
        <v>1489</v>
      </c>
      <c r="D104" s="1499">
        <v>2.293635556366715</v>
      </c>
      <c r="E104" s="1499">
        <v>2.1706404972698938</v>
      </c>
      <c r="F104" s="1499">
        <v>1.5208074112487282</v>
      </c>
      <c r="G104" s="1499">
        <v>1.5051063521226085</v>
      </c>
      <c r="H104" s="1499">
        <v>1.2537227418789978</v>
      </c>
      <c r="I104" s="1499">
        <v>2.0329162858711687</v>
      </c>
      <c r="J104" s="1499">
        <v>1.9092014771143613</v>
      </c>
      <c r="K104" s="113">
        <v>1.220543752042083</v>
      </c>
    </row>
    <row r="105" spans="2:11" x14ac:dyDescent="0.3">
      <c r="B105" s="122">
        <v>0</v>
      </c>
      <c r="C105" s="1500" t="s">
        <v>1496</v>
      </c>
      <c r="D105" s="1499">
        <v>2.151561916428113</v>
      </c>
      <c r="E105" s="1499">
        <v>2.0285668573312918</v>
      </c>
      <c r="F105" s="1499">
        <v>1.3787337713101264</v>
      </c>
      <c r="G105" s="1499">
        <v>1.3630327121840067</v>
      </c>
      <c r="H105" s="1499">
        <v>1.1116491019403958</v>
      </c>
      <c r="I105" s="1499">
        <v>1.8908426459325667</v>
      </c>
      <c r="J105" s="1499">
        <v>1.7671278371757593</v>
      </c>
      <c r="K105" s="113">
        <v>1.078470112103481</v>
      </c>
    </row>
    <row r="106" spans="2:11" x14ac:dyDescent="0.3">
      <c r="B106" s="123"/>
      <c r="C106" s="1500" t="s">
        <v>1500</v>
      </c>
      <c r="D106" s="1499">
        <v>2.0094882764895114</v>
      </c>
      <c r="E106" s="1499">
        <v>1.88649321739269</v>
      </c>
      <c r="F106" s="1499">
        <v>1.2366601313715244</v>
      </c>
      <c r="G106" s="1499">
        <v>1.2209590722454047</v>
      </c>
      <c r="H106" s="1499">
        <v>0.9695754620017939</v>
      </c>
      <c r="I106" s="1499">
        <v>1.7487690059939647</v>
      </c>
      <c r="J106" s="1499">
        <v>1.6250541972371575</v>
      </c>
      <c r="K106" s="113">
        <v>0.93639647216487909</v>
      </c>
    </row>
    <row r="107" spans="2:11" x14ac:dyDescent="0.3">
      <c r="B107" s="123"/>
      <c r="C107" s="1500" t="s">
        <v>1504</v>
      </c>
      <c r="D107" s="1499">
        <v>2.2256913029176997</v>
      </c>
      <c r="E107" s="1499">
        <v>2.1006787617349714</v>
      </c>
      <c r="F107" s="1499">
        <v>1.4532290640067911</v>
      </c>
      <c r="G107" s="1499">
        <v>1.4365807871395986</v>
      </c>
      <c r="H107" s="1499">
        <v>1.1854134871658411</v>
      </c>
      <c r="I107" s="1499">
        <v>1.9631039481587889</v>
      </c>
      <c r="J107" s="1499">
        <v>1.8396580973866479</v>
      </c>
      <c r="K107" s="113">
        <v>1.1521111359871044</v>
      </c>
    </row>
    <row r="108" spans="2:11" x14ac:dyDescent="0.3">
      <c r="B108" s="123"/>
      <c r="C108" s="1500" t="s">
        <v>1508</v>
      </c>
      <c r="D108" s="1499">
        <v>2.1452631623336487</v>
      </c>
      <c r="E108" s="1499">
        <v>2.0202506211509208</v>
      </c>
      <c r="F108" s="1499">
        <v>1.3728009234227401</v>
      </c>
      <c r="G108" s="1499">
        <v>1.3561526465555476</v>
      </c>
      <c r="H108" s="1499">
        <v>1.10498534658179</v>
      </c>
      <c r="I108" s="1499">
        <v>1.8826758075747378</v>
      </c>
      <c r="J108" s="1499">
        <v>1.7592299568025971</v>
      </c>
      <c r="K108" s="113">
        <v>1.0716829954030536</v>
      </c>
    </row>
    <row r="109" spans="2:11" x14ac:dyDescent="0.3">
      <c r="B109" s="123"/>
      <c r="C109" s="1500" t="s">
        <v>1513</v>
      </c>
      <c r="D109" s="1499">
        <v>2.0246209514575724</v>
      </c>
      <c r="E109" s="1499">
        <v>1.8996084102748443</v>
      </c>
      <c r="F109" s="1499">
        <v>1.2521587125466638</v>
      </c>
      <c r="G109" s="1499">
        <v>1.2355104356794713</v>
      </c>
      <c r="H109" s="1499">
        <v>0.98434313570571352</v>
      </c>
      <c r="I109" s="1499">
        <v>1.7620335966986616</v>
      </c>
      <c r="J109" s="1499">
        <v>1.6385877459265208</v>
      </c>
      <c r="K109" s="113">
        <v>0.95104078452697705</v>
      </c>
    </row>
    <row r="110" spans="2:11" x14ac:dyDescent="0.3">
      <c r="B110" s="123"/>
      <c r="C110" s="1500" t="s">
        <v>1517</v>
      </c>
      <c r="D110" s="1499">
        <v>1.9039787405814959</v>
      </c>
      <c r="E110" s="1499">
        <v>1.7789661993987678</v>
      </c>
      <c r="F110" s="1499">
        <v>1.1315165016705873</v>
      </c>
      <c r="G110" s="1499">
        <v>1.1148682248033948</v>
      </c>
      <c r="H110" s="1499">
        <v>0.86370092482963723</v>
      </c>
      <c r="I110" s="1499">
        <v>1.6413913858225848</v>
      </c>
      <c r="J110" s="1499">
        <v>1.5179455350504441</v>
      </c>
      <c r="K110" s="113">
        <v>0.83039857365090075</v>
      </c>
    </row>
    <row r="111" spans="2:11" ht="14.5" thickBot="1" x14ac:dyDescent="0.35">
      <c r="B111" s="124"/>
      <c r="C111" s="125" t="s">
        <v>1519</v>
      </c>
      <c r="D111" s="117">
        <v>2.388351316325783</v>
      </c>
      <c r="E111" s="117">
        <v>2.2653562572289618</v>
      </c>
      <c r="F111" s="117">
        <v>1.6155231712077962</v>
      </c>
      <c r="G111" s="117">
        <v>1.5998221120816765</v>
      </c>
      <c r="H111" s="117">
        <v>1.3484385018380656</v>
      </c>
      <c r="I111" s="117">
        <v>2.1276320458302367</v>
      </c>
      <c r="J111" s="117">
        <v>2.0039172370734293</v>
      </c>
      <c r="K111" s="118">
        <v>1.315259512001151</v>
      </c>
    </row>
    <row r="112" spans="2:11" x14ac:dyDescent="0.3">
      <c r="B112" s="119" t="s">
        <v>1985</v>
      </c>
      <c r="C112" s="108" t="s">
        <v>1416</v>
      </c>
      <c r="D112" s="109">
        <v>1.5505787399331648</v>
      </c>
      <c r="E112" s="109">
        <v>1.4149697841156434</v>
      </c>
      <c r="F112" s="109">
        <v>0.77701980049165131</v>
      </c>
      <c r="G112" s="109">
        <v>0.75607093368920775</v>
      </c>
      <c r="H112" s="109">
        <v>0.50402753887447216</v>
      </c>
      <c r="I112" s="109">
        <v>1.277876181083645</v>
      </c>
      <c r="J112" s="109">
        <v>1.1558240888402795</v>
      </c>
      <c r="K112" s="110">
        <v>0.47003270855365065</v>
      </c>
    </row>
    <row r="113" spans="2:11" x14ac:dyDescent="0.3">
      <c r="B113" s="111"/>
      <c r="C113" s="112" t="s">
        <v>1483</v>
      </c>
      <c r="D113" s="1499">
        <v>2.3827498982103839</v>
      </c>
      <c r="E113" s="1499">
        <v>2.2597548391135627</v>
      </c>
      <c r="F113" s="1499">
        <v>1.609921753092397</v>
      </c>
      <c r="G113" s="1499">
        <v>1.5942206939662773</v>
      </c>
      <c r="H113" s="1499">
        <v>1.3428370837226666</v>
      </c>
      <c r="I113" s="1499">
        <v>2.1220306277148375</v>
      </c>
      <c r="J113" s="1499">
        <v>1.9983158189580301</v>
      </c>
      <c r="K113" s="113">
        <v>1.3096580938857518</v>
      </c>
    </row>
    <row r="114" spans="2:11" ht="14.5" thickBot="1" x14ac:dyDescent="0.35">
      <c r="B114" s="111" t="s">
        <v>1988</v>
      </c>
      <c r="C114" s="112" t="s">
        <v>1489</v>
      </c>
      <c r="D114" s="1499">
        <v>2.2880341382513159</v>
      </c>
      <c r="E114" s="1499">
        <v>2.1650390791544947</v>
      </c>
      <c r="F114" s="1501">
        <v>1.5152059931333293</v>
      </c>
      <c r="G114" s="1499">
        <v>1.4995049340072095</v>
      </c>
      <c r="H114" s="1499">
        <v>1.2481213237635986</v>
      </c>
      <c r="I114" s="1499">
        <v>2.0273148677557695</v>
      </c>
      <c r="J114" s="1499">
        <v>1.9036000589989621</v>
      </c>
      <c r="K114" s="113">
        <v>1.2149423339266838</v>
      </c>
    </row>
    <row r="115" spans="2:11" ht="14.5" thickBot="1" x14ac:dyDescent="0.35">
      <c r="B115" s="114">
        <v>0</v>
      </c>
      <c r="C115" s="112" t="s">
        <v>1496</v>
      </c>
      <c r="D115" s="1499">
        <v>2.1459604983127138</v>
      </c>
      <c r="E115" s="1502">
        <v>2.0229654392158927</v>
      </c>
      <c r="F115" s="126">
        <v>1.3731323531947273</v>
      </c>
      <c r="G115" s="1503">
        <v>1.3574312940686075</v>
      </c>
      <c r="H115" s="1499">
        <v>1.1060476838249966</v>
      </c>
      <c r="I115" s="1499">
        <v>1.8852412278171675</v>
      </c>
      <c r="J115" s="1499">
        <v>1.7615264190603603</v>
      </c>
      <c r="K115" s="113">
        <v>1.072868693988082</v>
      </c>
    </row>
    <row r="116" spans="2:11" x14ac:dyDescent="0.3">
      <c r="B116" s="115"/>
      <c r="C116" s="112" t="s">
        <v>1500</v>
      </c>
      <c r="D116" s="1499">
        <v>2.0038868583741123</v>
      </c>
      <c r="E116" s="1499">
        <v>1.8808917992772909</v>
      </c>
      <c r="F116" s="127">
        <v>1.2310587132561253</v>
      </c>
      <c r="G116" s="1499">
        <v>1.2153576541300055</v>
      </c>
      <c r="H116" s="1499">
        <v>0.96397404388639474</v>
      </c>
      <c r="I116" s="1499">
        <v>1.7431675878785657</v>
      </c>
      <c r="J116" s="1499">
        <v>1.6194527791217583</v>
      </c>
      <c r="K116" s="113">
        <v>0.93079505404948004</v>
      </c>
    </row>
    <row r="117" spans="2:11" x14ac:dyDescent="0.3">
      <c r="B117" s="115"/>
      <c r="C117" s="112" t="s">
        <v>1504</v>
      </c>
      <c r="D117" s="1499">
        <v>2.2200898848023005</v>
      </c>
      <c r="E117" s="1499">
        <v>2.0950773436195727</v>
      </c>
      <c r="F117" s="1499">
        <v>1.4476276458913919</v>
      </c>
      <c r="G117" s="1499">
        <v>1.4309793690241994</v>
      </c>
      <c r="H117" s="1499">
        <v>1.1798120690504419</v>
      </c>
      <c r="I117" s="1499">
        <v>1.9575025300433897</v>
      </c>
      <c r="J117" s="1499">
        <v>1.8340566792712489</v>
      </c>
      <c r="K117" s="113">
        <v>1.1465097178717054</v>
      </c>
    </row>
    <row r="118" spans="2:11" x14ac:dyDescent="0.3">
      <c r="B118" s="115"/>
      <c r="C118" s="112" t="s">
        <v>1508</v>
      </c>
      <c r="D118" s="1499">
        <v>2.1396617442182495</v>
      </c>
      <c r="E118" s="1499">
        <v>2.0146492030355216</v>
      </c>
      <c r="F118" s="1499">
        <v>1.3671995053073409</v>
      </c>
      <c r="G118" s="1499">
        <v>1.3505512284401484</v>
      </c>
      <c r="H118" s="1499">
        <v>1.0993839284663909</v>
      </c>
      <c r="I118" s="1499">
        <v>1.8770743894593387</v>
      </c>
      <c r="J118" s="1499">
        <v>1.7536285386871979</v>
      </c>
      <c r="K118" s="113">
        <v>1.0660815772876544</v>
      </c>
    </row>
    <row r="119" spans="2:11" x14ac:dyDescent="0.3">
      <c r="B119" s="115"/>
      <c r="C119" s="112" t="s">
        <v>1513</v>
      </c>
      <c r="D119" s="1499">
        <v>2.0190195333421732</v>
      </c>
      <c r="E119" s="1499">
        <v>1.8940069921594451</v>
      </c>
      <c r="F119" s="1499">
        <v>1.2465572944312646</v>
      </c>
      <c r="G119" s="1499">
        <v>1.2299090175640721</v>
      </c>
      <c r="H119" s="1499">
        <v>0.97874171759031448</v>
      </c>
      <c r="I119" s="1499">
        <v>1.7564321785832624</v>
      </c>
      <c r="J119" s="1499">
        <v>1.6329863278111216</v>
      </c>
      <c r="K119" s="113">
        <v>0.945439366411578</v>
      </c>
    </row>
    <row r="120" spans="2:11" x14ac:dyDescent="0.3">
      <c r="B120" s="115"/>
      <c r="C120" s="112" t="s">
        <v>1517</v>
      </c>
      <c r="D120" s="1499">
        <v>1.8983773224660969</v>
      </c>
      <c r="E120" s="1499">
        <v>1.7733647812833686</v>
      </c>
      <c r="F120" s="1499">
        <v>1.1259150835551881</v>
      </c>
      <c r="G120" s="1499">
        <v>1.1092668066879956</v>
      </c>
      <c r="H120" s="1499">
        <v>0.85809950671423807</v>
      </c>
      <c r="I120" s="1499">
        <v>1.6357899677071859</v>
      </c>
      <c r="J120" s="1499">
        <v>1.5123441169350451</v>
      </c>
      <c r="K120" s="113">
        <v>0.82479715553550159</v>
      </c>
    </row>
    <row r="121" spans="2:11" ht="14.5" thickBot="1" x14ac:dyDescent="0.35">
      <c r="B121" s="1233"/>
      <c r="C121" s="116" t="s">
        <v>1519</v>
      </c>
      <c r="D121" s="117">
        <v>2.3827498982103839</v>
      </c>
      <c r="E121" s="117">
        <v>2.2597548391135627</v>
      </c>
      <c r="F121" s="117">
        <v>1.609921753092397</v>
      </c>
      <c r="G121" s="117">
        <v>1.5942206939662773</v>
      </c>
      <c r="H121" s="117">
        <v>1.3428370837226666</v>
      </c>
      <c r="I121" s="117">
        <v>2.1220306277148375</v>
      </c>
      <c r="J121" s="117">
        <v>1.9983158189580301</v>
      </c>
      <c r="K121" s="118">
        <v>1.3096580938857518</v>
      </c>
    </row>
    <row r="122" spans="2:11" x14ac:dyDescent="0.3">
      <c r="B122" s="107" t="s">
        <v>1985</v>
      </c>
      <c r="C122" s="108" t="s">
        <v>1416</v>
      </c>
      <c r="D122" s="109">
        <v>1.5449773218177658</v>
      </c>
      <c r="E122" s="109">
        <v>1.4093683660002443</v>
      </c>
      <c r="F122" s="109">
        <v>0.77141838237625227</v>
      </c>
      <c r="G122" s="109">
        <v>0.7504695155738087</v>
      </c>
      <c r="H122" s="109">
        <v>0.49842612075907305</v>
      </c>
      <c r="I122" s="109">
        <v>1.272274762968246</v>
      </c>
      <c r="J122" s="109">
        <v>1.1502226707248806</v>
      </c>
      <c r="K122" s="110">
        <v>0.46443129043825149</v>
      </c>
    </row>
    <row r="123" spans="2:11" x14ac:dyDescent="0.3">
      <c r="B123" s="111"/>
      <c r="C123" s="112" t="s">
        <v>1483</v>
      </c>
      <c r="D123" s="1499">
        <v>2.3771484800949851</v>
      </c>
      <c r="E123" s="1499">
        <v>2.2541534209981635</v>
      </c>
      <c r="F123" s="1499">
        <v>1.6043203349769981</v>
      </c>
      <c r="G123" s="1499">
        <v>1.5886192758508784</v>
      </c>
      <c r="H123" s="1499">
        <v>1.3372356656072675</v>
      </c>
      <c r="I123" s="1499">
        <v>2.1164292095994384</v>
      </c>
      <c r="J123" s="1499">
        <v>1.9927144008426312</v>
      </c>
      <c r="K123" s="113">
        <v>1.3040566757703527</v>
      </c>
    </row>
    <row r="124" spans="2:11" x14ac:dyDescent="0.3">
      <c r="B124" s="111" t="s">
        <v>1989</v>
      </c>
      <c r="C124" s="112" t="s">
        <v>1489</v>
      </c>
      <c r="D124" s="1499">
        <v>2.2824327201359171</v>
      </c>
      <c r="E124" s="1499">
        <v>2.1594376610390955</v>
      </c>
      <c r="F124" s="1499">
        <v>1.5096045750179301</v>
      </c>
      <c r="G124" s="1499">
        <v>1.4939035158918104</v>
      </c>
      <c r="H124" s="1499">
        <v>1.2425199056481995</v>
      </c>
      <c r="I124" s="1499">
        <v>2.0217134496403704</v>
      </c>
      <c r="J124" s="1499">
        <v>1.8979986408835632</v>
      </c>
      <c r="K124" s="113">
        <v>1.2093409158112849</v>
      </c>
    </row>
    <row r="125" spans="2:11" x14ac:dyDescent="0.3">
      <c r="B125" s="114">
        <v>0</v>
      </c>
      <c r="C125" s="112" t="s">
        <v>1496</v>
      </c>
      <c r="D125" s="1499">
        <v>2.1403590801973147</v>
      </c>
      <c r="E125" s="1499">
        <v>2.0173640211004935</v>
      </c>
      <c r="F125" s="1499">
        <v>1.3675309350793281</v>
      </c>
      <c r="G125" s="1499">
        <v>1.3518298759532084</v>
      </c>
      <c r="H125" s="1499">
        <v>1.1004462657095977</v>
      </c>
      <c r="I125" s="1499">
        <v>1.8796398097017686</v>
      </c>
      <c r="J125" s="1499">
        <v>1.7559250009449612</v>
      </c>
      <c r="K125" s="113">
        <v>1.0672672758726829</v>
      </c>
    </row>
    <row r="126" spans="2:11" x14ac:dyDescent="0.3">
      <c r="B126" s="115"/>
      <c r="C126" s="112" t="s">
        <v>1500</v>
      </c>
      <c r="D126" s="1499">
        <v>1.9982854402587131</v>
      </c>
      <c r="E126" s="1499">
        <v>1.8752903811618917</v>
      </c>
      <c r="F126" s="1499">
        <v>1.2254572951407263</v>
      </c>
      <c r="G126" s="1499">
        <v>1.2097562360146066</v>
      </c>
      <c r="H126" s="1499">
        <v>0.95837262577099558</v>
      </c>
      <c r="I126" s="1499">
        <v>1.7375661697631666</v>
      </c>
      <c r="J126" s="1499">
        <v>1.613851361006359</v>
      </c>
      <c r="K126" s="113">
        <v>0.92519363593408088</v>
      </c>
    </row>
    <row r="127" spans="2:11" x14ac:dyDescent="0.3">
      <c r="B127" s="115"/>
      <c r="C127" s="112" t="s">
        <v>1504</v>
      </c>
      <c r="D127" s="1499">
        <v>2.2144884666869014</v>
      </c>
      <c r="E127" s="1499">
        <v>2.0894759255041735</v>
      </c>
      <c r="F127" s="1499">
        <v>1.442026227775993</v>
      </c>
      <c r="G127" s="1499">
        <v>1.4253779509088003</v>
      </c>
      <c r="H127" s="1499">
        <v>1.1742106509350427</v>
      </c>
      <c r="I127" s="1499">
        <v>1.9519011119279905</v>
      </c>
      <c r="J127" s="1499">
        <v>1.8284552611558498</v>
      </c>
      <c r="K127" s="113">
        <v>1.1409082997563063</v>
      </c>
    </row>
    <row r="128" spans="2:11" x14ac:dyDescent="0.3">
      <c r="B128" s="115"/>
      <c r="C128" s="112" t="s">
        <v>1508</v>
      </c>
      <c r="D128" s="1499">
        <v>2.1340603261028508</v>
      </c>
      <c r="E128" s="1499">
        <v>2.0090477849201225</v>
      </c>
      <c r="F128" s="1499">
        <v>1.361598087191942</v>
      </c>
      <c r="G128" s="1499">
        <v>1.3449498103247495</v>
      </c>
      <c r="H128" s="1499">
        <v>1.0937825103509919</v>
      </c>
      <c r="I128" s="1499">
        <v>1.8714729713439398</v>
      </c>
      <c r="J128" s="1499">
        <v>1.7480271205717988</v>
      </c>
      <c r="K128" s="113">
        <v>1.0604801591722552</v>
      </c>
    </row>
    <row r="129" spans="2:11" x14ac:dyDescent="0.3">
      <c r="B129" s="115"/>
      <c r="C129" s="112" t="s">
        <v>1513</v>
      </c>
      <c r="D129" s="1499">
        <v>2.0134181152267745</v>
      </c>
      <c r="E129" s="1499">
        <v>1.8884055740440462</v>
      </c>
      <c r="F129" s="1499">
        <v>1.2409558763158657</v>
      </c>
      <c r="G129" s="1499">
        <v>1.2243075994486732</v>
      </c>
      <c r="H129" s="1499">
        <v>0.97314029947491543</v>
      </c>
      <c r="I129" s="1499">
        <v>1.7508307604678632</v>
      </c>
      <c r="J129" s="1499">
        <v>1.6273849096957225</v>
      </c>
      <c r="K129" s="113">
        <v>0.93983794829617895</v>
      </c>
    </row>
    <row r="130" spans="2:11" x14ac:dyDescent="0.3">
      <c r="B130" s="115"/>
      <c r="C130" s="112" t="s">
        <v>1517</v>
      </c>
      <c r="D130" s="1499">
        <v>1.8927759043506978</v>
      </c>
      <c r="E130" s="1499">
        <v>1.7677633631679697</v>
      </c>
      <c r="F130" s="1499">
        <v>1.1203136654397892</v>
      </c>
      <c r="G130" s="1499">
        <v>1.1036653885725964</v>
      </c>
      <c r="H130" s="1499">
        <v>0.85249808859883902</v>
      </c>
      <c r="I130" s="1499">
        <v>1.6301885495917867</v>
      </c>
      <c r="J130" s="1499">
        <v>1.506742698819646</v>
      </c>
      <c r="K130" s="113">
        <v>0.81919573742010243</v>
      </c>
    </row>
    <row r="131" spans="2:11" ht="14.5" thickBot="1" x14ac:dyDescent="0.35">
      <c r="B131" s="1233"/>
      <c r="C131" s="116" t="s">
        <v>1519</v>
      </c>
      <c r="D131" s="117">
        <v>2.3771484800949851</v>
      </c>
      <c r="E131" s="117">
        <v>2.2541534209981635</v>
      </c>
      <c r="F131" s="117">
        <v>1.6043203349769981</v>
      </c>
      <c r="G131" s="117">
        <v>1.5886192758508784</v>
      </c>
      <c r="H131" s="117">
        <v>1.3372356656072675</v>
      </c>
      <c r="I131" s="117">
        <v>2.1164292095994384</v>
      </c>
      <c r="J131" s="117">
        <v>1.9927144008426312</v>
      </c>
      <c r="K131" s="118">
        <v>1.3040566757703527</v>
      </c>
    </row>
    <row r="132" spans="2:11" x14ac:dyDescent="0.3">
      <c r="B132" s="120" t="s">
        <v>1990</v>
      </c>
      <c r="C132" s="108" t="s">
        <v>1416</v>
      </c>
      <c r="D132" s="109">
        <v>1.5535871101939718</v>
      </c>
      <c r="E132" s="109">
        <v>1.4178677864087554</v>
      </c>
      <c r="F132" s="109">
        <v>0.77999356386785446</v>
      </c>
      <c r="G132" s="109">
        <v>0.75899814098587359</v>
      </c>
      <c r="H132" s="109">
        <v>0.50683675983815013</v>
      </c>
      <c r="I132" s="109">
        <v>1.280823431617738</v>
      </c>
      <c r="J132" s="109">
        <v>1.1587630531003814</v>
      </c>
      <c r="K132" s="110">
        <v>0.47284615409254355</v>
      </c>
    </row>
    <row r="133" spans="2:11" x14ac:dyDescent="0.3">
      <c r="B133" s="111"/>
      <c r="C133" s="112" t="s">
        <v>1483</v>
      </c>
      <c r="D133" s="1499">
        <v>2.3856894049905244</v>
      </c>
      <c r="E133" s="1499">
        <v>2.2627932251497445</v>
      </c>
      <c r="F133" s="1499">
        <v>1.6128261817744083</v>
      </c>
      <c r="G133" s="1499">
        <v>1.5971452504454375</v>
      </c>
      <c r="H133" s="1499">
        <v>1.3457187939491357</v>
      </c>
      <c r="I133" s="1499">
        <v>2.1250537877409128</v>
      </c>
      <c r="J133" s="1499">
        <v>2.0013120759100671</v>
      </c>
      <c r="K133" s="113">
        <v>1.312539500007516</v>
      </c>
    </row>
    <row r="134" spans="2:11" x14ac:dyDescent="0.3">
      <c r="B134" s="111" t="s">
        <v>1986</v>
      </c>
      <c r="C134" s="112" t="s">
        <v>1489</v>
      </c>
      <c r="D134" s="1499">
        <v>2.2909736450314564</v>
      </c>
      <c r="E134" s="1499">
        <v>2.1680774651906765</v>
      </c>
      <c r="F134" s="1499">
        <v>1.5181104218153403</v>
      </c>
      <c r="G134" s="1499">
        <v>1.5024294904863695</v>
      </c>
      <c r="H134" s="1499">
        <v>1.2510030339900677</v>
      </c>
      <c r="I134" s="1499">
        <v>2.0303380277818452</v>
      </c>
      <c r="J134" s="1499">
        <v>1.9065963159509989</v>
      </c>
      <c r="K134" s="113">
        <v>1.217823740048448</v>
      </c>
    </row>
    <row r="135" spans="2:11" x14ac:dyDescent="0.3">
      <c r="B135" s="114">
        <v>0</v>
      </c>
      <c r="C135" s="112" t="s">
        <v>1496</v>
      </c>
      <c r="D135" s="1499">
        <v>2.1489000050928548</v>
      </c>
      <c r="E135" s="1499">
        <v>2.0260038252520749</v>
      </c>
      <c r="F135" s="1499">
        <v>1.3760367818767385</v>
      </c>
      <c r="G135" s="1499">
        <v>1.3603558505477675</v>
      </c>
      <c r="H135" s="1499">
        <v>1.1089293940514657</v>
      </c>
      <c r="I135" s="1499">
        <v>1.8882643878432432</v>
      </c>
      <c r="J135" s="1499">
        <v>1.7645226760123971</v>
      </c>
      <c r="K135" s="113">
        <v>1.0757501001098462</v>
      </c>
    </row>
    <row r="136" spans="2:11" x14ac:dyDescent="0.3">
      <c r="B136" s="115"/>
      <c r="C136" s="112" t="s">
        <v>1500</v>
      </c>
      <c r="D136" s="1499">
        <v>2.0068263651542524</v>
      </c>
      <c r="E136" s="1499">
        <v>1.8839301853134727</v>
      </c>
      <c r="F136" s="1499">
        <v>1.2339631419381363</v>
      </c>
      <c r="G136" s="1499">
        <v>1.2182822106091653</v>
      </c>
      <c r="H136" s="1499">
        <v>0.96685575411286373</v>
      </c>
      <c r="I136" s="1499">
        <v>1.746190747904641</v>
      </c>
      <c r="J136" s="1499">
        <v>1.6224490360737949</v>
      </c>
      <c r="K136" s="113">
        <v>0.93367646017124406</v>
      </c>
    </row>
    <row r="137" spans="2:11" x14ac:dyDescent="0.3">
      <c r="B137" s="115"/>
      <c r="C137" s="112" t="s">
        <v>1504</v>
      </c>
      <c r="D137" s="1499">
        <v>2.2230544133858805</v>
      </c>
      <c r="E137" s="1499">
        <v>2.0981010813948058</v>
      </c>
      <c r="F137" s="1499">
        <v>1.4505610975151781</v>
      </c>
      <c r="G137" s="1499">
        <v>1.4339077779126432</v>
      </c>
      <c r="H137" s="1499">
        <v>1.1826975527557668</v>
      </c>
      <c r="I137" s="1499">
        <v>1.9605098079354906</v>
      </c>
      <c r="J137" s="1499">
        <v>1.8370322687607621</v>
      </c>
      <c r="K137" s="113">
        <v>1.1493932264365716</v>
      </c>
    </row>
    <row r="138" spans="2:11" x14ac:dyDescent="0.3">
      <c r="B138" s="115"/>
      <c r="C138" s="112" t="s">
        <v>1508</v>
      </c>
      <c r="D138" s="1499">
        <v>2.1426262728018295</v>
      </c>
      <c r="E138" s="1499">
        <v>2.0176729408107548</v>
      </c>
      <c r="F138" s="1499">
        <v>1.3701329569311271</v>
      </c>
      <c r="G138" s="1499">
        <v>1.3534796373285924</v>
      </c>
      <c r="H138" s="1499">
        <v>1.1022694121717158</v>
      </c>
      <c r="I138" s="1499">
        <v>1.8800816673514398</v>
      </c>
      <c r="J138" s="1499">
        <v>1.7566041281767111</v>
      </c>
      <c r="K138" s="113">
        <v>1.0689650858525206</v>
      </c>
    </row>
    <row r="139" spans="2:11" x14ac:dyDescent="0.3">
      <c r="B139" s="115"/>
      <c r="C139" s="112" t="s">
        <v>1513</v>
      </c>
      <c r="D139" s="1499">
        <v>2.0219840619257532</v>
      </c>
      <c r="E139" s="1499">
        <v>1.8970307299346783</v>
      </c>
      <c r="F139" s="1499">
        <v>1.2494907460550506</v>
      </c>
      <c r="G139" s="1499">
        <v>1.2328374264525157</v>
      </c>
      <c r="H139" s="1499">
        <v>0.98162720129563941</v>
      </c>
      <c r="I139" s="1499">
        <v>1.759439456475363</v>
      </c>
      <c r="J139" s="1499">
        <v>1.6359619173006346</v>
      </c>
      <c r="K139" s="113">
        <v>0.9483228749764443</v>
      </c>
    </row>
    <row r="140" spans="2:11" x14ac:dyDescent="0.3">
      <c r="B140" s="115"/>
      <c r="C140" s="112" t="s">
        <v>1517</v>
      </c>
      <c r="D140" s="1499">
        <v>1.9013418510496769</v>
      </c>
      <c r="E140" s="1499">
        <v>1.776388519058602</v>
      </c>
      <c r="F140" s="1499">
        <v>1.1288485351789743</v>
      </c>
      <c r="G140" s="1499">
        <v>1.1121952155764394</v>
      </c>
      <c r="H140" s="1499">
        <v>0.860984990419563</v>
      </c>
      <c r="I140" s="1499">
        <v>1.6387972455992867</v>
      </c>
      <c r="J140" s="1499">
        <v>1.5153197064245583</v>
      </c>
      <c r="K140" s="113">
        <v>0.82768066410036778</v>
      </c>
    </row>
    <row r="141" spans="2:11" ht="14.5" thickBot="1" x14ac:dyDescent="0.35">
      <c r="B141" s="1233"/>
      <c r="C141" s="116" t="s">
        <v>1519</v>
      </c>
      <c r="D141" s="117">
        <v>2.3856894049905244</v>
      </c>
      <c r="E141" s="117">
        <v>2.2627932251497445</v>
      </c>
      <c r="F141" s="117">
        <v>1.6128261817744083</v>
      </c>
      <c r="G141" s="117">
        <v>1.5971452504454375</v>
      </c>
      <c r="H141" s="117">
        <v>1.3457187939491357</v>
      </c>
      <c r="I141" s="117">
        <v>2.1250537877409128</v>
      </c>
      <c r="J141" s="117">
        <v>2.0013120759100671</v>
      </c>
      <c r="K141" s="118">
        <v>1.312539500007516</v>
      </c>
    </row>
    <row r="142" spans="2:11" x14ac:dyDescent="0.3">
      <c r="B142" s="120" t="s">
        <v>1990</v>
      </c>
      <c r="C142" s="108" t="s">
        <v>1416</v>
      </c>
      <c r="D142" s="109">
        <v>1.5504136950731118</v>
      </c>
      <c r="E142" s="109">
        <v>1.4146943712878954</v>
      </c>
      <c r="F142" s="109">
        <v>0.77682014874699457</v>
      </c>
      <c r="G142" s="109">
        <v>0.7558247258650137</v>
      </c>
      <c r="H142" s="109">
        <v>0.50366334471729024</v>
      </c>
      <c r="I142" s="109">
        <v>1.277650016496878</v>
      </c>
      <c r="J142" s="109">
        <v>1.1555896379795214</v>
      </c>
      <c r="K142" s="110">
        <v>0.4696727389716836</v>
      </c>
    </row>
    <row r="143" spans="2:11" x14ac:dyDescent="0.3">
      <c r="B143" s="111"/>
      <c r="C143" s="112" t="s">
        <v>1483</v>
      </c>
      <c r="D143" s="1499">
        <v>2.3825159898696646</v>
      </c>
      <c r="E143" s="1499">
        <v>2.2596198100288847</v>
      </c>
      <c r="F143" s="1499">
        <v>1.6096527666535483</v>
      </c>
      <c r="G143" s="1499">
        <v>1.5939718353245775</v>
      </c>
      <c r="H143" s="1499">
        <v>1.3425453788282757</v>
      </c>
      <c r="I143" s="1499">
        <v>2.121880372620053</v>
      </c>
      <c r="J143" s="1499">
        <v>1.9981386607892069</v>
      </c>
      <c r="K143" s="113">
        <v>1.309366084886656</v>
      </c>
    </row>
    <row r="144" spans="2:11" x14ac:dyDescent="0.3">
      <c r="B144" s="111" t="s">
        <v>1987</v>
      </c>
      <c r="C144" s="112" t="s">
        <v>1489</v>
      </c>
      <c r="D144" s="1499">
        <v>2.2878002299105966</v>
      </c>
      <c r="E144" s="1499">
        <v>2.1649040500698167</v>
      </c>
      <c r="F144" s="1499">
        <v>1.5149370066944803</v>
      </c>
      <c r="G144" s="1499">
        <v>1.4992560753655095</v>
      </c>
      <c r="H144" s="1499">
        <v>1.2478296188692077</v>
      </c>
      <c r="I144" s="1499">
        <v>2.027164612660985</v>
      </c>
      <c r="J144" s="1499">
        <v>1.9034229008301389</v>
      </c>
      <c r="K144" s="113">
        <v>1.214650324927588</v>
      </c>
    </row>
    <row r="145" spans="2:11" x14ac:dyDescent="0.3">
      <c r="B145" s="114">
        <v>0</v>
      </c>
      <c r="C145" s="112" t="s">
        <v>1496</v>
      </c>
      <c r="D145" s="1499">
        <v>2.1457265899719946</v>
      </c>
      <c r="E145" s="1499">
        <v>2.0228304101312147</v>
      </c>
      <c r="F145" s="1499">
        <v>1.3728633667558785</v>
      </c>
      <c r="G145" s="1499">
        <v>1.3571824354269075</v>
      </c>
      <c r="H145" s="1499">
        <v>1.1057559789306057</v>
      </c>
      <c r="I145" s="1499">
        <v>1.8850909727223832</v>
      </c>
      <c r="J145" s="1499">
        <v>1.7613492608915371</v>
      </c>
      <c r="K145" s="113">
        <v>1.0725766849889862</v>
      </c>
    </row>
    <row r="146" spans="2:11" x14ac:dyDescent="0.3">
      <c r="B146" s="115"/>
      <c r="C146" s="112" t="s">
        <v>1500</v>
      </c>
      <c r="D146" s="1499">
        <v>2.0036529500333926</v>
      </c>
      <c r="E146" s="1499">
        <v>1.8807567701926129</v>
      </c>
      <c r="F146" s="1499">
        <v>1.2307897268172765</v>
      </c>
      <c r="G146" s="1499">
        <v>1.2151087954883057</v>
      </c>
      <c r="H146" s="1499">
        <v>0.96368233899200384</v>
      </c>
      <c r="I146" s="1499">
        <v>1.7430173327837812</v>
      </c>
      <c r="J146" s="1499">
        <v>1.6192756209529351</v>
      </c>
      <c r="K146" s="113">
        <v>0.93050304505038417</v>
      </c>
    </row>
    <row r="147" spans="2:11" x14ac:dyDescent="0.3">
      <c r="B147" s="115"/>
      <c r="C147" s="112" t="s">
        <v>1504</v>
      </c>
      <c r="D147" s="1499">
        <v>2.2198809982650203</v>
      </c>
      <c r="E147" s="1499">
        <v>2.094927666273946</v>
      </c>
      <c r="F147" s="1499">
        <v>1.4473876823943181</v>
      </c>
      <c r="G147" s="1499">
        <v>1.4307343627917832</v>
      </c>
      <c r="H147" s="1499">
        <v>1.1795241376349068</v>
      </c>
      <c r="I147" s="1499">
        <v>1.9573363928146306</v>
      </c>
      <c r="J147" s="1499">
        <v>1.8338588536399021</v>
      </c>
      <c r="K147" s="113">
        <v>1.1462198113157116</v>
      </c>
    </row>
    <row r="148" spans="2:11" x14ac:dyDescent="0.3">
      <c r="B148" s="115"/>
      <c r="C148" s="112" t="s">
        <v>1508</v>
      </c>
      <c r="D148" s="1499">
        <v>2.1394528576809697</v>
      </c>
      <c r="E148" s="1499">
        <v>2.014499525689895</v>
      </c>
      <c r="F148" s="1499">
        <v>1.3669595418102671</v>
      </c>
      <c r="G148" s="1499">
        <v>1.3503062222077324</v>
      </c>
      <c r="H148" s="1499">
        <v>1.0990959970508558</v>
      </c>
      <c r="I148" s="1499">
        <v>1.8769082522305796</v>
      </c>
      <c r="J148" s="1499">
        <v>1.7534307130558511</v>
      </c>
      <c r="K148" s="113">
        <v>1.0657916707316606</v>
      </c>
    </row>
    <row r="149" spans="2:11" x14ac:dyDescent="0.3">
      <c r="B149" s="115"/>
      <c r="C149" s="112" t="s">
        <v>1513</v>
      </c>
      <c r="D149" s="1499">
        <v>2.0188106468048934</v>
      </c>
      <c r="E149" s="1499">
        <v>1.8938573148138185</v>
      </c>
      <c r="F149" s="1499">
        <v>1.2463173309341908</v>
      </c>
      <c r="G149" s="1499">
        <v>1.2296640113316561</v>
      </c>
      <c r="H149" s="1499">
        <v>0.97845378617477941</v>
      </c>
      <c r="I149" s="1499">
        <v>1.7562660413545033</v>
      </c>
      <c r="J149" s="1499">
        <v>1.6327885021797748</v>
      </c>
      <c r="K149" s="113">
        <v>0.9451494598555843</v>
      </c>
    </row>
    <row r="150" spans="2:11" x14ac:dyDescent="0.3">
      <c r="B150" s="115"/>
      <c r="C150" s="112" t="s">
        <v>1517</v>
      </c>
      <c r="D150" s="1499">
        <v>1.8981684359288167</v>
      </c>
      <c r="E150" s="1499">
        <v>1.773215103937742</v>
      </c>
      <c r="F150" s="1499">
        <v>1.1256751200581143</v>
      </c>
      <c r="G150" s="1499">
        <v>1.1090218004555794</v>
      </c>
      <c r="H150" s="1499">
        <v>0.85781157529870311</v>
      </c>
      <c r="I150" s="1499">
        <v>1.6356238304784267</v>
      </c>
      <c r="J150" s="1499">
        <v>1.5121462913036983</v>
      </c>
      <c r="K150" s="113">
        <v>0.82450724897950789</v>
      </c>
    </row>
    <row r="151" spans="2:11" ht="14.5" thickBot="1" x14ac:dyDescent="0.35">
      <c r="B151" s="1233"/>
      <c r="C151" s="116" t="s">
        <v>1519</v>
      </c>
      <c r="D151" s="117">
        <v>2.3825159898696646</v>
      </c>
      <c r="E151" s="117">
        <v>2.2596198100288847</v>
      </c>
      <c r="F151" s="117">
        <v>1.6096527666535483</v>
      </c>
      <c r="G151" s="117">
        <v>1.5939718353245775</v>
      </c>
      <c r="H151" s="117">
        <v>1.3425453788282757</v>
      </c>
      <c r="I151" s="117">
        <v>2.121880372620053</v>
      </c>
      <c r="J151" s="117">
        <v>1.9981386607892069</v>
      </c>
      <c r="K151" s="118">
        <v>1.309366084886656</v>
      </c>
    </row>
    <row r="152" spans="2:11" x14ac:dyDescent="0.3">
      <c r="B152" s="120" t="s">
        <v>1990</v>
      </c>
      <c r="C152" s="108" t="s">
        <v>1416</v>
      </c>
      <c r="D152" s="109">
        <v>1.5456535723918219</v>
      </c>
      <c r="E152" s="109">
        <v>1.4099342486066055</v>
      </c>
      <c r="F152" s="109">
        <v>0.77206002606570467</v>
      </c>
      <c r="G152" s="109">
        <v>0.75106460318372381</v>
      </c>
      <c r="H152" s="109">
        <v>0.49890322203600029</v>
      </c>
      <c r="I152" s="109">
        <v>1.2728898938155881</v>
      </c>
      <c r="J152" s="109">
        <v>1.1508295152982315</v>
      </c>
      <c r="K152" s="110">
        <v>0.46491261629039371</v>
      </c>
    </row>
    <row r="153" spans="2:11" x14ac:dyDescent="0.3">
      <c r="B153" s="111"/>
      <c r="C153" s="112" t="s">
        <v>1483</v>
      </c>
      <c r="D153" s="1499">
        <v>2.3777558671883749</v>
      </c>
      <c r="E153" s="1499">
        <v>2.2548596873475946</v>
      </c>
      <c r="F153" s="1499">
        <v>1.6048926439722584</v>
      </c>
      <c r="G153" s="1499">
        <v>1.5892117126432876</v>
      </c>
      <c r="H153" s="1499">
        <v>1.3377852561469858</v>
      </c>
      <c r="I153" s="1499">
        <v>2.1171202499387629</v>
      </c>
      <c r="J153" s="1499">
        <v>1.993378538107917</v>
      </c>
      <c r="K153" s="113">
        <v>1.3046059622053661</v>
      </c>
    </row>
    <row r="154" spans="2:11" x14ac:dyDescent="0.3">
      <c r="B154" s="111" t="s">
        <v>1988</v>
      </c>
      <c r="C154" s="112" t="s">
        <v>1489</v>
      </c>
      <c r="D154" s="1499">
        <v>2.2830401072293065</v>
      </c>
      <c r="E154" s="1499">
        <v>2.1601439273885266</v>
      </c>
      <c r="F154" s="1499">
        <v>1.5101768840131904</v>
      </c>
      <c r="G154" s="1499">
        <v>1.4944959526842196</v>
      </c>
      <c r="H154" s="1499">
        <v>1.2430694961879178</v>
      </c>
      <c r="I154" s="1499">
        <v>2.0224044899796954</v>
      </c>
      <c r="J154" s="1499">
        <v>1.898662778148849</v>
      </c>
      <c r="K154" s="113">
        <v>1.2098902022462981</v>
      </c>
    </row>
    <row r="155" spans="2:11" x14ac:dyDescent="0.3">
      <c r="B155" s="114">
        <v>0</v>
      </c>
      <c r="C155" s="112" t="s">
        <v>1496</v>
      </c>
      <c r="D155" s="1499">
        <v>2.1409664672907049</v>
      </c>
      <c r="E155" s="1499">
        <v>2.018070287449925</v>
      </c>
      <c r="F155" s="1499">
        <v>1.3681032440745886</v>
      </c>
      <c r="G155" s="1499">
        <v>1.3524223127456176</v>
      </c>
      <c r="H155" s="1499">
        <v>1.1009958562493158</v>
      </c>
      <c r="I155" s="1499">
        <v>1.8803308500410933</v>
      </c>
      <c r="J155" s="1499">
        <v>1.7565891382102472</v>
      </c>
      <c r="K155" s="113">
        <v>1.0678165623076963</v>
      </c>
    </row>
    <row r="156" spans="2:11" x14ac:dyDescent="0.3">
      <c r="B156" s="115"/>
      <c r="C156" s="112" t="s">
        <v>1500</v>
      </c>
      <c r="D156" s="1499">
        <v>1.9988928273521029</v>
      </c>
      <c r="E156" s="1499">
        <v>1.875996647511323</v>
      </c>
      <c r="F156" s="1499">
        <v>1.2260296041359866</v>
      </c>
      <c r="G156" s="1499">
        <v>1.2103486728070159</v>
      </c>
      <c r="H156" s="1499">
        <v>0.95892221631071395</v>
      </c>
      <c r="I156" s="1499">
        <v>1.7382572101024913</v>
      </c>
      <c r="J156" s="1499">
        <v>1.6145154982716452</v>
      </c>
      <c r="K156" s="113">
        <v>0.92574292236909428</v>
      </c>
    </row>
    <row r="157" spans="2:11" x14ac:dyDescent="0.3">
      <c r="B157" s="115"/>
      <c r="C157" s="112" t="s">
        <v>1504</v>
      </c>
      <c r="D157" s="1499">
        <v>2.2151208755837306</v>
      </c>
      <c r="E157" s="1499">
        <v>2.0901675435926559</v>
      </c>
      <c r="F157" s="1499">
        <v>1.4426275597130283</v>
      </c>
      <c r="G157" s="1499">
        <v>1.4259742401104933</v>
      </c>
      <c r="H157" s="1499">
        <v>1.1747640149536169</v>
      </c>
      <c r="I157" s="1499">
        <v>1.9525762701333407</v>
      </c>
      <c r="J157" s="1499">
        <v>1.8290987309586122</v>
      </c>
      <c r="K157" s="113">
        <v>1.1414596886344217</v>
      </c>
    </row>
    <row r="158" spans="2:11" x14ac:dyDescent="0.3">
      <c r="B158" s="115"/>
      <c r="C158" s="112" t="s">
        <v>1508</v>
      </c>
      <c r="D158" s="1499">
        <v>2.1346927349996796</v>
      </c>
      <c r="E158" s="1499">
        <v>2.0097394030086049</v>
      </c>
      <c r="F158" s="1499">
        <v>1.3621994191289772</v>
      </c>
      <c r="G158" s="1499">
        <v>1.3455460995264426</v>
      </c>
      <c r="H158" s="1499">
        <v>1.0943358743695659</v>
      </c>
      <c r="I158" s="1499">
        <v>1.8721481295492897</v>
      </c>
      <c r="J158" s="1499">
        <v>1.7486705903745612</v>
      </c>
      <c r="K158" s="113">
        <v>1.0610315480503707</v>
      </c>
    </row>
    <row r="159" spans="2:11" x14ac:dyDescent="0.3">
      <c r="B159" s="115"/>
      <c r="C159" s="112" t="s">
        <v>1513</v>
      </c>
      <c r="D159" s="1499">
        <v>2.0140505241236033</v>
      </c>
      <c r="E159" s="1499">
        <v>1.8890971921325286</v>
      </c>
      <c r="F159" s="1499">
        <v>1.2415572082529009</v>
      </c>
      <c r="G159" s="1499">
        <v>1.2249038886503663</v>
      </c>
      <c r="H159" s="1499">
        <v>0.97369366349348951</v>
      </c>
      <c r="I159" s="1499">
        <v>1.7515059186732134</v>
      </c>
      <c r="J159" s="1499">
        <v>1.6280283794984849</v>
      </c>
      <c r="K159" s="113">
        <v>0.9403893371742944</v>
      </c>
    </row>
    <row r="160" spans="2:11" x14ac:dyDescent="0.3">
      <c r="B160" s="115"/>
      <c r="C160" s="112" t="s">
        <v>1517</v>
      </c>
      <c r="D160" s="1499">
        <v>1.8934083132475268</v>
      </c>
      <c r="E160" s="1499">
        <v>1.7684549812564521</v>
      </c>
      <c r="F160" s="1499">
        <v>1.1209149973768244</v>
      </c>
      <c r="G160" s="1499">
        <v>1.1042616777742895</v>
      </c>
      <c r="H160" s="1499">
        <v>0.85305145261741311</v>
      </c>
      <c r="I160" s="1499">
        <v>1.6308637077971369</v>
      </c>
      <c r="J160" s="1499">
        <v>1.5073861686224084</v>
      </c>
      <c r="K160" s="113">
        <v>0.81974712629821789</v>
      </c>
    </row>
    <row r="161" spans="2:11" ht="14.5" thickBot="1" x14ac:dyDescent="0.35">
      <c r="B161" s="1233"/>
      <c r="C161" s="116" t="s">
        <v>1519</v>
      </c>
      <c r="D161" s="117">
        <v>2.3777558671883749</v>
      </c>
      <c r="E161" s="117">
        <v>2.2548596873475946</v>
      </c>
      <c r="F161" s="117">
        <v>1.6048926439722584</v>
      </c>
      <c r="G161" s="117">
        <v>1.5892117126432876</v>
      </c>
      <c r="H161" s="117">
        <v>1.3377852561469858</v>
      </c>
      <c r="I161" s="117">
        <v>2.1171202499387629</v>
      </c>
      <c r="J161" s="117">
        <v>1.993378538107917</v>
      </c>
      <c r="K161" s="118">
        <v>1.3046059622053661</v>
      </c>
    </row>
    <row r="162" spans="2:11" x14ac:dyDescent="0.3">
      <c r="B162" s="120" t="s">
        <v>1990</v>
      </c>
      <c r="C162" s="108" t="s">
        <v>1416</v>
      </c>
      <c r="D162" s="109">
        <v>1.540893449710532</v>
      </c>
      <c r="E162" s="109">
        <v>1.4051741259253157</v>
      </c>
      <c r="F162" s="109">
        <v>0.76729990338441478</v>
      </c>
      <c r="G162" s="109">
        <v>0.74630448050243392</v>
      </c>
      <c r="H162" s="109">
        <v>0.4941430993547104</v>
      </c>
      <c r="I162" s="109">
        <v>1.2681297711342983</v>
      </c>
      <c r="J162" s="109">
        <v>1.1460693926169416</v>
      </c>
      <c r="K162" s="110">
        <v>0.46015249360910382</v>
      </c>
    </row>
    <row r="163" spans="2:11" x14ac:dyDescent="0.3">
      <c r="B163" s="111"/>
      <c r="C163" s="112" t="s">
        <v>1483</v>
      </c>
      <c r="D163" s="1499">
        <v>2.3729957445070848</v>
      </c>
      <c r="E163" s="1499">
        <v>2.2500995646663049</v>
      </c>
      <c r="F163" s="1499">
        <v>1.6001325212909685</v>
      </c>
      <c r="G163" s="1499">
        <v>1.5844515899619978</v>
      </c>
      <c r="H163" s="1499">
        <v>1.333025133465696</v>
      </c>
      <c r="I163" s="1499">
        <v>2.1123601272574732</v>
      </c>
      <c r="J163" s="1499">
        <v>1.9886184154266271</v>
      </c>
      <c r="K163" s="113">
        <v>1.2998458395240762</v>
      </c>
    </row>
    <row r="164" spans="2:11" x14ac:dyDescent="0.3">
      <c r="B164" s="111" t="s">
        <v>1989</v>
      </c>
      <c r="C164" s="112" t="s">
        <v>1489</v>
      </c>
      <c r="D164" s="1499">
        <v>2.2782799845480168</v>
      </c>
      <c r="E164" s="1499">
        <v>2.1553838047072369</v>
      </c>
      <c r="F164" s="1499">
        <v>1.5054167613319005</v>
      </c>
      <c r="G164" s="1499">
        <v>1.4897358300029298</v>
      </c>
      <c r="H164" s="1499">
        <v>1.238309373506628</v>
      </c>
      <c r="I164" s="1499">
        <v>2.0176443672984052</v>
      </c>
      <c r="J164" s="1499">
        <v>1.8939026554675591</v>
      </c>
      <c r="K164" s="113">
        <v>1.2051300795650082</v>
      </c>
    </row>
    <row r="165" spans="2:11" x14ac:dyDescent="0.3">
      <c r="B165" s="114">
        <v>0</v>
      </c>
      <c r="C165" s="112" t="s">
        <v>1496</v>
      </c>
      <c r="D165" s="1499">
        <v>2.1362063446094148</v>
      </c>
      <c r="E165" s="1499">
        <v>2.0133101647686349</v>
      </c>
      <c r="F165" s="1499">
        <v>1.3633431213932987</v>
      </c>
      <c r="G165" s="1499">
        <v>1.3476621900643277</v>
      </c>
      <c r="H165" s="1499">
        <v>1.0962357335680259</v>
      </c>
      <c r="I165" s="1499">
        <v>1.8755707273598035</v>
      </c>
      <c r="J165" s="1499">
        <v>1.7518290155289573</v>
      </c>
      <c r="K165" s="113">
        <v>1.0630564396264064</v>
      </c>
    </row>
    <row r="166" spans="2:11" x14ac:dyDescent="0.3">
      <c r="B166" s="115"/>
      <c r="C166" s="112" t="s">
        <v>1500</v>
      </c>
      <c r="D166" s="1499">
        <v>1.994132704670813</v>
      </c>
      <c r="E166" s="1499">
        <v>1.8712365248300331</v>
      </c>
      <c r="F166" s="1499">
        <v>1.2212694814546967</v>
      </c>
      <c r="G166" s="1499">
        <v>1.205588550125726</v>
      </c>
      <c r="H166" s="1499">
        <v>0.95416209362942395</v>
      </c>
      <c r="I166" s="1499">
        <v>1.7334970874212015</v>
      </c>
      <c r="J166" s="1499">
        <v>1.6097553755903553</v>
      </c>
      <c r="K166" s="113">
        <v>0.92098279968780428</v>
      </c>
    </row>
    <row r="167" spans="2:11" x14ac:dyDescent="0.3">
      <c r="B167" s="115"/>
      <c r="C167" s="112" t="s">
        <v>1504</v>
      </c>
      <c r="D167" s="1499">
        <v>2.2103607529024405</v>
      </c>
      <c r="E167" s="1499">
        <v>2.0854074209113662</v>
      </c>
      <c r="F167" s="1499">
        <v>1.4378674370317384</v>
      </c>
      <c r="G167" s="1499">
        <v>1.4212141174292034</v>
      </c>
      <c r="H167" s="1499">
        <v>1.170003892272327</v>
      </c>
      <c r="I167" s="1499">
        <v>1.9478161474520508</v>
      </c>
      <c r="J167" s="1499">
        <v>1.8243386082773223</v>
      </c>
      <c r="K167" s="113">
        <v>1.1366995659531318</v>
      </c>
    </row>
    <row r="168" spans="2:11" x14ac:dyDescent="0.3">
      <c r="B168" s="115"/>
      <c r="C168" s="112" t="s">
        <v>1508</v>
      </c>
      <c r="D168" s="1499">
        <v>2.1299326123183899</v>
      </c>
      <c r="E168" s="1499">
        <v>2.0049792803273152</v>
      </c>
      <c r="F168" s="1499">
        <v>1.3574392964476873</v>
      </c>
      <c r="G168" s="1499">
        <v>1.3407859768451527</v>
      </c>
      <c r="H168" s="1499">
        <v>1.089575751688276</v>
      </c>
      <c r="I168" s="1499">
        <v>1.8673880068679998</v>
      </c>
      <c r="J168" s="1499">
        <v>1.7439104676932713</v>
      </c>
      <c r="K168" s="113">
        <v>1.0562714253690808</v>
      </c>
    </row>
    <row r="169" spans="2:11" x14ac:dyDescent="0.3">
      <c r="B169" s="115"/>
      <c r="C169" s="112" t="s">
        <v>1513</v>
      </c>
      <c r="D169" s="1499">
        <v>2.0092904014423136</v>
      </c>
      <c r="E169" s="1499">
        <v>1.8843370694512387</v>
      </c>
      <c r="F169" s="1499">
        <v>1.2367970855716111</v>
      </c>
      <c r="G169" s="1499">
        <v>1.2201437659690764</v>
      </c>
      <c r="H169" s="1499">
        <v>0.96893354081219962</v>
      </c>
      <c r="I169" s="1499">
        <v>1.7467457959919235</v>
      </c>
      <c r="J169" s="1499">
        <v>1.623268256817195</v>
      </c>
      <c r="K169" s="113">
        <v>0.93562921449300451</v>
      </c>
    </row>
    <row r="170" spans="2:11" x14ac:dyDescent="0.3">
      <c r="B170" s="115"/>
      <c r="C170" s="112" t="s">
        <v>1517</v>
      </c>
      <c r="D170" s="1499">
        <v>1.8886481905662369</v>
      </c>
      <c r="E170" s="1499">
        <v>1.7636948585751622</v>
      </c>
      <c r="F170" s="1499">
        <v>1.1161548746955345</v>
      </c>
      <c r="G170" s="1499">
        <v>1.0995015550929996</v>
      </c>
      <c r="H170" s="1499">
        <v>0.84829132993612322</v>
      </c>
      <c r="I170" s="1499">
        <v>1.626103585115847</v>
      </c>
      <c r="J170" s="1499">
        <v>1.5026260459411185</v>
      </c>
      <c r="K170" s="113">
        <v>0.814987003616928</v>
      </c>
    </row>
    <row r="171" spans="2:11" ht="14.5" thickBot="1" x14ac:dyDescent="0.35">
      <c r="B171" s="1233"/>
      <c r="C171" s="116" t="s">
        <v>1519</v>
      </c>
      <c r="D171" s="117">
        <v>2.3729957445070848</v>
      </c>
      <c r="E171" s="117">
        <v>2.2500995646663049</v>
      </c>
      <c r="F171" s="117">
        <v>1.6001325212909685</v>
      </c>
      <c r="G171" s="117">
        <v>1.5844515899619978</v>
      </c>
      <c r="H171" s="117">
        <v>1.333025133465696</v>
      </c>
      <c r="I171" s="117">
        <v>2.1123601272574732</v>
      </c>
      <c r="J171" s="117">
        <v>1.9886184154266271</v>
      </c>
      <c r="K171" s="118">
        <v>1.2998458395240762</v>
      </c>
    </row>
    <row r="173" spans="2:11" ht="14.5" thickBot="1" x14ac:dyDescent="0.35"/>
    <row r="174" spans="2:11" ht="25.5" thickBot="1" x14ac:dyDescent="0.55000000000000004">
      <c r="B174" s="88" t="s">
        <v>1960</v>
      </c>
      <c r="C174" s="89"/>
      <c r="D174" s="90">
        <v>3</v>
      </c>
      <c r="E174" s="91" t="s">
        <v>1991</v>
      </c>
      <c r="F174" s="92"/>
      <c r="G174" s="92"/>
      <c r="H174" s="92"/>
      <c r="I174" s="93"/>
      <c r="J174" s="89" t="s">
        <v>176</v>
      </c>
      <c r="K174" s="94" t="s">
        <v>223</v>
      </c>
    </row>
    <row r="175" spans="2:11" ht="14.5" thickBot="1" x14ac:dyDescent="0.35">
      <c r="B175" s="95" t="s">
        <v>1962</v>
      </c>
      <c r="C175" s="96" t="s">
        <v>1963</v>
      </c>
      <c r="D175" s="95" t="s">
        <v>1964</v>
      </c>
      <c r="E175" s="97" t="s">
        <v>1965</v>
      </c>
      <c r="F175" s="97" t="s">
        <v>1966</v>
      </c>
      <c r="G175" s="97" t="s">
        <v>1967</v>
      </c>
      <c r="H175" s="97" t="s">
        <v>1968</v>
      </c>
      <c r="I175" s="97" t="s">
        <v>1969</v>
      </c>
      <c r="J175" s="97" t="s">
        <v>1970</v>
      </c>
      <c r="K175" s="98" t="s">
        <v>1971</v>
      </c>
    </row>
    <row r="176" spans="2:11" ht="14.5" thickBot="1" x14ac:dyDescent="0.35">
      <c r="B176" s="99"/>
      <c r="C176" s="99"/>
      <c r="D176" s="100"/>
      <c r="E176" s="944"/>
      <c r="F176" s="944"/>
      <c r="G176" s="944"/>
      <c r="H176" s="944"/>
      <c r="I176" s="944"/>
      <c r="J176" s="944"/>
      <c r="K176" s="102"/>
    </row>
    <row r="177" spans="2:11" ht="86.5" thickBot="1" x14ac:dyDescent="0.45">
      <c r="B177" s="103" t="s">
        <v>1972</v>
      </c>
      <c r="C177" s="103" t="s">
        <v>1973</v>
      </c>
      <c r="D177" s="105" t="s">
        <v>1974</v>
      </c>
      <c r="E177" s="105" t="s">
        <v>1525</v>
      </c>
      <c r="F177" s="105" t="s">
        <v>1527</v>
      </c>
      <c r="G177" s="105" t="s">
        <v>1975</v>
      </c>
      <c r="H177" s="105" t="s">
        <v>1976</v>
      </c>
      <c r="I177" s="105" t="s">
        <v>1445</v>
      </c>
      <c r="J177" s="105" t="s">
        <v>1538</v>
      </c>
      <c r="K177" s="106" t="s">
        <v>1541</v>
      </c>
    </row>
    <row r="178" spans="2:11" x14ac:dyDescent="0.3">
      <c r="B178" s="120" t="s">
        <v>1992</v>
      </c>
      <c r="C178" s="108" t="s">
        <v>1416</v>
      </c>
      <c r="D178" s="109">
        <v>1.64027456869083</v>
      </c>
      <c r="E178" s="109">
        <v>1.50664640327968</v>
      </c>
      <c r="F178" s="109">
        <v>0.86722474852203746</v>
      </c>
      <c r="G178" s="109">
        <v>0.8469705147829002</v>
      </c>
      <c r="H178" s="109">
        <v>0.59663627463719771</v>
      </c>
      <c r="I178" s="109">
        <v>1.3689368741792887</v>
      </c>
      <c r="J178" s="109">
        <v>1.2466928352535196</v>
      </c>
      <c r="K178" s="110">
        <v>0.56258841502902679</v>
      </c>
    </row>
    <row r="179" spans="2:11" x14ac:dyDescent="0.3">
      <c r="B179" s="128"/>
      <c r="C179" s="112" t="s">
        <v>1483</v>
      </c>
      <c r="D179" s="1499">
        <v>2.7209766368880195</v>
      </c>
      <c r="E179" s="1499">
        <v>2.6014744708023065</v>
      </c>
      <c r="F179" s="1499">
        <v>1.9497653547866334</v>
      </c>
      <c r="G179" s="1499">
        <v>1.9353959398154514</v>
      </c>
      <c r="H179" s="1499">
        <v>1.6820798690915399</v>
      </c>
      <c r="I179" s="1499">
        <v>2.4635715279387091</v>
      </c>
      <c r="J179" s="1499">
        <v>2.3395718856489514</v>
      </c>
      <c r="K179" s="113">
        <v>1.6490956339269081</v>
      </c>
    </row>
    <row r="180" spans="2:11" x14ac:dyDescent="0.3">
      <c r="B180" s="128"/>
      <c r="C180" s="112" t="s">
        <v>1489</v>
      </c>
      <c r="D180" s="1499">
        <v>2.6262608769289519</v>
      </c>
      <c r="E180" s="1499">
        <v>2.5067587108432385</v>
      </c>
      <c r="F180" s="1499">
        <v>1.8550495948275654</v>
      </c>
      <c r="G180" s="1499">
        <v>1.8406801798563834</v>
      </c>
      <c r="H180" s="1499">
        <v>1.5873641091324719</v>
      </c>
      <c r="I180" s="1499">
        <v>2.3688557679796411</v>
      </c>
      <c r="J180" s="1499">
        <v>2.2448561256898834</v>
      </c>
      <c r="K180" s="113">
        <v>1.5543798739678401</v>
      </c>
    </row>
    <row r="181" spans="2:11" x14ac:dyDescent="0.3">
      <c r="B181" s="122">
        <v>0</v>
      </c>
      <c r="C181" s="112" t="s">
        <v>1496</v>
      </c>
      <c r="D181" s="1499">
        <v>2.4841872369903495</v>
      </c>
      <c r="E181" s="1499">
        <v>2.3646850709046361</v>
      </c>
      <c r="F181" s="1499">
        <v>1.7129759548889636</v>
      </c>
      <c r="G181" s="1499">
        <v>1.6986065399177817</v>
      </c>
      <c r="H181" s="1499">
        <v>1.4452904691938699</v>
      </c>
      <c r="I181" s="1499">
        <v>2.2267821280410391</v>
      </c>
      <c r="J181" s="1499">
        <v>2.1027824857512813</v>
      </c>
      <c r="K181" s="113">
        <v>1.4123062340292381</v>
      </c>
    </row>
    <row r="182" spans="2:11" x14ac:dyDescent="0.3">
      <c r="B182" s="123"/>
      <c r="C182" s="112" t="s">
        <v>1500</v>
      </c>
      <c r="D182" s="1499">
        <v>2.3421135970517479</v>
      </c>
      <c r="E182" s="1499">
        <v>2.2226114309660345</v>
      </c>
      <c r="F182" s="1499">
        <v>1.5709023149503616</v>
      </c>
      <c r="G182" s="1499">
        <v>1.5565328999791797</v>
      </c>
      <c r="H182" s="1499">
        <v>1.3032168292552682</v>
      </c>
      <c r="I182" s="1499">
        <v>2.0847084881024376</v>
      </c>
      <c r="J182" s="1499">
        <v>1.9607088458126796</v>
      </c>
      <c r="K182" s="113">
        <v>1.2702325940906363</v>
      </c>
    </row>
    <row r="183" spans="2:11" x14ac:dyDescent="0.3">
      <c r="B183" s="123"/>
      <c r="C183" s="112" t="s">
        <v>1504</v>
      </c>
      <c r="D183" s="1499">
        <v>2.5209932423525814</v>
      </c>
      <c r="E183" s="1499">
        <v>2.3990742695947418</v>
      </c>
      <c r="F183" s="1499">
        <v>1.7490348306259043</v>
      </c>
      <c r="G183" s="1499">
        <v>1.7337989337959618</v>
      </c>
      <c r="H183" s="1499">
        <v>1.4818043224490345</v>
      </c>
      <c r="I183" s="1499">
        <v>2.2612664402647922</v>
      </c>
      <c r="J183" s="1499">
        <v>2.1376965077977053</v>
      </c>
      <c r="K183" s="113">
        <v>1.448831587183341</v>
      </c>
    </row>
    <row r="184" spans="2:11" x14ac:dyDescent="0.3">
      <c r="B184" s="123"/>
      <c r="C184" s="112" t="s">
        <v>1508</v>
      </c>
      <c r="D184" s="1499">
        <v>2.4405651017685304</v>
      </c>
      <c r="E184" s="1499">
        <v>2.3186461290106912</v>
      </c>
      <c r="F184" s="1499">
        <v>1.6686066900418532</v>
      </c>
      <c r="G184" s="1499">
        <v>1.6533707932119108</v>
      </c>
      <c r="H184" s="1499">
        <v>1.4013761818649835</v>
      </c>
      <c r="I184" s="1499">
        <v>2.1808382996807412</v>
      </c>
      <c r="J184" s="1499">
        <v>2.0572683672136547</v>
      </c>
      <c r="K184" s="113">
        <v>1.3684034465992903</v>
      </c>
    </row>
    <row r="185" spans="2:11" x14ac:dyDescent="0.3">
      <c r="B185" s="123"/>
      <c r="C185" s="112" t="s">
        <v>1513</v>
      </c>
      <c r="D185" s="1499">
        <v>2.3199228908924541</v>
      </c>
      <c r="E185" s="1499">
        <v>2.1980039181346145</v>
      </c>
      <c r="F185" s="1499">
        <v>1.547964479165777</v>
      </c>
      <c r="G185" s="1499">
        <v>1.5327285823358345</v>
      </c>
      <c r="H185" s="1499">
        <v>1.2807339709889072</v>
      </c>
      <c r="I185" s="1499">
        <v>2.0601960888046649</v>
      </c>
      <c r="J185" s="1499">
        <v>1.9366261563375784</v>
      </c>
      <c r="K185" s="113">
        <v>1.2477612357232137</v>
      </c>
    </row>
    <row r="186" spans="2:11" x14ac:dyDescent="0.3">
      <c r="B186" s="123"/>
      <c r="C186" s="112" t="s">
        <v>1517</v>
      </c>
      <c r="D186" s="1499">
        <v>2.1992806800163778</v>
      </c>
      <c r="E186" s="1499">
        <v>2.0773617072585382</v>
      </c>
      <c r="F186" s="1499">
        <v>1.4273222682897004</v>
      </c>
      <c r="G186" s="1499">
        <v>1.4120863714597578</v>
      </c>
      <c r="H186" s="1499">
        <v>1.1600917601128307</v>
      </c>
      <c r="I186" s="1499">
        <v>1.9395538779285886</v>
      </c>
      <c r="J186" s="1499">
        <v>1.8159839454615019</v>
      </c>
      <c r="K186" s="113">
        <v>1.1271190248471372</v>
      </c>
    </row>
    <row r="187" spans="2:11" ht="14.5" thickBot="1" x14ac:dyDescent="0.35">
      <c r="B187" s="124"/>
      <c r="C187" s="116" t="s">
        <v>1519</v>
      </c>
      <c r="D187" s="117">
        <v>2.7209766368880195</v>
      </c>
      <c r="E187" s="117">
        <v>2.6014744708023065</v>
      </c>
      <c r="F187" s="117">
        <v>1.9497653547866334</v>
      </c>
      <c r="G187" s="117">
        <v>1.9353959398154514</v>
      </c>
      <c r="H187" s="117">
        <v>1.6820798690915399</v>
      </c>
      <c r="I187" s="117">
        <v>2.4635715279387091</v>
      </c>
      <c r="J187" s="117">
        <v>2.3395718856489514</v>
      </c>
      <c r="K187" s="118">
        <v>1.6490956339269081</v>
      </c>
    </row>
    <row r="188" spans="2:11" x14ac:dyDescent="0.3">
      <c r="B188" s="120" t="s">
        <v>1993</v>
      </c>
      <c r="C188" s="1234" t="s">
        <v>1416</v>
      </c>
      <c r="D188" s="109">
        <v>1.5743521025873133</v>
      </c>
      <c r="E188" s="109">
        <v>1.4399738961601467</v>
      </c>
      <c r="F188" s="109">
        <v>0.80094259989957406</v>
      </c>
      <c r="G188" s="109">
        <v>0.78023290811993817</v>
      </c>
      <c r="H188" s="109">
        <v>0.52845031570375411</v>
      </c>
      <c r="I188" s="109">
        <v>1.3025386180309442</v>
      </c>
      <c r="J188" s="109">
        <v>1.1803096377337463</v>
      </c>
      <c r="K188" s="110">
        <v>0.49444173650269702</v>
      </c>
    </row>
    <row r="189" spans="2:11" x14ac:dyDescent="0.3">
      <c r="B189" s="121"/>
      <c r="C189" s="1500" t="s">
        <v>1483</v>
      </c>
      <c r="D189" s="1499">
        <v>2.6543733893943449</v>
      </c>
      <c r="E189" s="1499">
        <v>2.5369090831978509</v>
      </c>
      <c r="F189" s="1499">
        <v>1.8829546742008463</v>
      </c>
      <c r="G189" s="1499">
        <v>1.8693415508033733</v>
      </c>
      <c r="H189" s="1499">
        <v>1.6151783783674449</v>
      </c>
      <c r="I189" s="1499">
        <v>2.3987080642745462</v>
      </c>
      <c r="J189" s="1499">
        <v>2.2743847039716196</v>
      </c>
      <c r="K189" s="113">
        <v>1.5824607115429752</v>
      </c>
    </row>
    <row r="190" spans="2:11" x14ac:dyDescent="0.3">
      <c r="B190" s="128"/>
      <c r="C190" s="1500" t="s">
        <v>1489</v>
      </c>
      <c r="D190" s="1499">
        <v>2.5596576294352769</v>
      </c>
      <c r="E190" s="1499">
        <v>2.4421933232387829</v>
      </c>
      <c r="F190" s="1499">
        <v>1.7882389142417783</v>
      </c>
      <c r="G190" s="1499">
        <v>1.7746257908443053</v>
      </c>
      <c r="H190" s="1499">
        <v>1.5204626184083772</v>
      </c>
      <c r="I190" s="1499">
        <v>2.3039923043154786</v>
      </c>
      <c r="J190" s="1499">
        <v>2.1796689440125521</v>
      </c>
      <c r="K190" s="113">
        <v>1.4877449515839074</v>
      </c>
    </row>
    <row r="191" spans="2:11" x14ac:dyDescent="0.3">
      <c r="B191" s="122">
        <v>0</v>
      </c>
      <c r="C191" s="1500" t="s">
        <v>1496</v>
      </c>
      <c r="D191" s="1499">
        <v>2.4175839894966744</v>
      </c>
      <c r="E191" s="1499">
        <v>2.3001196833001805</v>
      </c>
      <c r="F191" s="1499">
        <v>1.6461652743031765</v>
      </c>
      <c r="G191" s="1499">
        <v>1.6325521509057035</v>
      </c>
      <c r="H191" s="1499">
        <v>1.3783889784697752</v>
      </c>
      <c r="I191" s="1499">
        <v>2.1619186643768762</v>
      </c>
      <c r="J191" s="1499">
        <v>2.0375953040739501</v>
      </c>
      <c r="K191" s="113">
        <v>1.3456713116453054</v>
      </c>
    </row>
    <row r="192" spans="2:11" x14ac:dyDescent="0.3">
      <c r="B192" s="123"/>
      <c r="C192" s="1500" t="s">
        <v>1500</v>
      </c>
      <c r="D192" s="1499">
        <v>2.2755103495580729</v>
      </c>
      <c r="E192" s="1499">
        <v>2.1580460433615789</v>
      </c>
      <c r="F192" s="1499">
        <v>1.5040916343645745</v>
      </c>
      <c r="G192" s="1499">
        <v>1.4904785109671015</v>
      </c>
      <c r="H192" s="1499">
        <v>1.2363153385311731</v>
      </c>
      <c r="I192" s="1499">
        <v>2.0198450244382746</v>
      </c>
      <c r="J192" s="1499">
        <v>1.8955216641353481</v>
      </c>
      <c r="K192" s="113">
        <v>1.2035976717067034</v>
      </c>
    </row>
    <row r="193" spans="2:11" x14ac:dyDescent="0.3">
      <c r="B193" s="123"/>
      <c r="C193" s="1500" t="s">
        <v>1504</v>
      </c>
      <c r="D193" s="1499">
        <v>2.4543961169789537</v>
      </c>
      <c r="E193" s="1499">
        <v>2.3341391504368647</v>
      </c>
      <c r="F193" s="1499">
        <v>1.6821444078779739</v>
      </c>
      <c r="G193" s="1499">
        <v>1.6674844564699063</v>
      </c>
      <c r="H193" s="1499">
        <v>1.4149511407607782</v>
      </c>
      <c r="I193" s="1499">
        <v>2.196159790480106</v>
      </c>
      <c r="J193" s="1499">
        <v>2.0722368582959065</v>
      </c>
      <c r="K193" s="113">
        <v>1.3821047999215377</v>
      </c>
    </row>
    <row r="194" spans="2:11" x14ac:dyDescent="0.3">
      <c r="B194" s="123"/>
      <c r="C194" s="1500" t="s">
        <v>1508</v>
      </c>
      <c r="D194" s="1499">
        <v>2.3739679763949031</v>
      </c>
      <c r="E194" s="1499">
        <v>2.2537110098528141</v>
      </c>
      <c r="F194" s="1499">
        <v>1.6017162672939229</v>
      </c>
      <c r="G194" s="1499">
        <v>1.5870563158858553</v>
      </c>
      <c r="H194" s="1499">
        <v>1.3345230001767272</v>
      </c>
      <c r="I194" s="1499">
        <v>2.1157316498960554</v>
      </c>
      <c r="J194" s="1499">
        <v>1.9918087177118557</v>
      </c>
      <c r="K194" s="113">
        <v>1.3016766593374867</v>
      </c>
    </row>
    <row r="195" spans="2:11" x14ac:dyDescent="0.3">
      <c r="B195" s="123"/>
      <c r="C195" s="1500" t="s">
        <v>1513</v>
      </c>
      <c r="D195" s="1499">
        <v>2.2533257655188264</v>
      </c>
      <c r="E195" s="1499">
        <v>2.1330687989767378</v>
      </c>
      <c r="F195" s="1499">
        <v>1.4810740564178466</v>
      </c>
      <c r="G195" s="1499">
        <v>1.466414105009779</v>
      </c>
      <c r="H195" s="1499">
        <v>1.2138807893006509</v>
      </c>
      <c r="I195" s="1499">
        <v>1.9950894390199791</v>
      </c>
      <c r="J195" s="1499">
        <v>1.8711665068357792</v>
      </c>
      <c r="K195" s="113">
        <v>1.1810344484614104</v>
      </c>
    </row>
    <row r="196" spans="2:11" x14ac:dyDescent="0.3">
      <c r="B196" s="123"/>
      <c r="C196" s="1500" t="s">
        <v>1517</v>
      </c>
      <c r="D196" s="1499">
        <v>2.1326835546427501</v>
      </c>
      <c r="E196" s="1499">
        <v>2.0124265881006611</v>
      </c>
      <c r="F196" s="1499">
        <v>1.3604318455417701</v>
      </c>
      <c r="G196" s="1499">
        <v>1.3457718941337025</v>
      </c>
      <c r="H196" s="1499">
        <v>1.0932385784245744</v>
      </c>
      <c r="I196" s="1499">
        <v>1.8744472281439024</v>
      </c>
      <c r="J196" s="1499">
        <v>1.7505242959597027</v>
      </c>
      <c r="K196" s="113">
        <v>1.0603922375853339</v>
      </c>
    </row>
    <row r="197" spans="2:11" ht="14.5" thickBot="1" x14ac:dyDescent="0.35">
      <c r="B197" s="124"/>
      <c r="C197" s="125" t="s">
        <v>1519</v>
      </c>
      <c r="D197" s="117">
        <v>2.6543733893943449</v>
      </c>
      <c r="E197" s="117">
        <v>2.5369090831978509</v>
      </c>
      <c r="F197" s="117">
        <v>1.8829546742008463</v>
      </c>
      <c r="G197" s="117">
        <v>1.8693415508033733</v>
      </c>
      <c r="H197" s="117">
        <v>1.6151783783674449</v>
      </c>
      <c r="I197" s="117">
        <v>2.3987080642745462</v>
      </c>
      <c r="J197" s="117">
        <v>2.2743847039716196</v>
      </c>
      <c r="K197" s="118">
        <v>1.5824607115429752</v>
      </c>
    </row>
    <row r="198" spans="2:11" x14ac:dyDescent="0.3">
      <c r="B198" s="119" t="s">
        <v>1994</v>
      </c>
      <c r="C198" s="108" t="s">
        <v>1416</v>
      </c>
      <c r="D198" s="109">
        <v>1.6992923862880824</v>
      </c>
      <c r="E198" s="109">
        <v>1.5685913169173771</v>
      </c>
      <c r="F198" s="109">
        <v>0.92674988378894807</v>
      </c>
      <c r="G198" s="109">
        <v>0.90723707182259716</v>
      </c>
      <c r="H198" s="109">
        <v>0.65768416777656247</v>
      </c>
      <c r="I198" s="109">
        <v>1.4303940528386345</v>
      </c>
      <c r="J198" s="109">
        <v>1.3073888350220566</v>
      </c>
      <c r="K198" s="110">
        <v>0.62368340088834262</v>
      </c>
    </row>
    <row r="199" spans="2:11" x14ac:dyDescent="0.3">
      <c r="B199" s="111"/>
      <c r="C199" s="112" t="s">
        <v>1483</v>
      </c>
      <c r="D199" s="1499">
        <v>2.7812813199261996</v>
      </c>
      <c r="E199" s="1499">
        <v>2.6658943535529076</v>
      </c>
      <c r="F199" s="1499">
        <v>2.0111877370691453</v>
      </c>
      <c r="G199" s="1499">
        <v>1.9983583716787476</v>
      </c>
      <c r="H199" s="1499">
        <v>1.7439135144189426</v>
      </c>
      <c r="I199" s="1499">
        <v>2.5277221949942166</v>
      </c>
      <c r="J199" s="1499">
        <v>2.4032754730084793</v>
      </c>
      <c r="K199" s="113">
        <v>1.7112426449588949</v>
      </c>
    </row>
    <row r="200" spans="2:11" x14ac:dyDescent="0.3">
      <c r="B200" s="111"/>
      <c r="C200" s="112" t="s">
        <v>1489</v>
      </c>
      <c r="D200" s="1499">
        <v>2.6865655599671316</v>
      </c>
      <c r="E200" s="1499">
        <v>2.5711785935938396</v>
      </c>
      <c r="F200" s="1499">
        <v>1.9164719771100773</v>
      </c>
      <c r="G200" s="1499">
        <v>1.9036426117196796</v>
      </c>
      <c r="H200" s="1499">
        <v>1.6491977544598746</v>
      </c>
      <c r="I200" s="1499">
        <v>2.433006435035149</v>
      </c>
      <c r="J200" s="1499">
        <v>2.3085597130494113</v>
      </c>
      <c r="K200" s="113">
        <v>1.6165268849998269</v>
      </c>
    </row>
    <row r="201" spans="2:11" x14ac:dyDescent="0.3">
      <c r="B201" s="114">
        <v>0</v>
      </c>
      <c r="C201" s="112" t="s">
        <v>1496</v>
      </c>
      <c r="D201" s="1499">
        <v>2.5444919200285292</v>
      </c>
      <c r="E201" s="1499">
        <v>2.4291049536552376</v>
      </c>
      <c r="F201" s="1499">
        <v>1.7743983371714753</v>
      </c>
      <c r="G201" s="1499">
        <v>1.7615689717810779</v>
      </c>
      <c r="H201" s="1499">
        <v>1.5071241145212726</v>
      </c>
      <c r="I201" s="1499">
        <v>2.2909327950965466</v>
      </c>
      <c r="J201" s="1499">
        <v>2.1664860731108093</v>
      </c>
      <c r="K201" s="113">
        <v>1.4744532450612249</v>
      </c>
    </row>
    <row r="202" spans="2:11" x14ac:dyDescent="0.3">
      <c r="B202" s="115"/>
      <c r="C202" s="112" t="s">
        <v>1500</v>
      </c>
      <c r="D202" s="1499">
        <v>2.4024182800899276</v>
      </c>
      <c r="E202" s="1499">
        <v>2.287031313716636</v>
      </c>
      <c r="F202" s="1499">
        <v>1.6323246972328735</v>
      </c>
      <c r="G202" s="1499">
        <v>1.6194953318424758</v>
      </c>
      <c r="H202" s="1499">
        <v>1.3650504745826708</v>
      </c>
      <c r="I202" s="1499">
        <v>2.148859155157945</v>
      </c>
      <c r="J202" s="1499">
        <v>2.0244124331722073</v>
      </c>
      <c r="K202" s="113">
        <v>1.3323796051226231</v>
      </c>
    </row>
    <row r="203" spans="2:11" x14ac:dyDescent="0.3">
      <c r="B203" s="115"/>
      <c r="C203" s="112" t="s">
        <v>1504</v>
      </c>
      <c r="D203" s="1499">
        <v>2.581000916433859</v>
      </c>
      <c r="E203" s="1499">
        <v>2.4629939664444627</v>
      </c>
      <c r="F203" s="1499">
        <v>1.8100537336814175</v>
      </c>
      <c r="G203" s="1499">
        <v>1.7961871772345395</v>
      </c>
      <c r="H203" s="1499">
        <v>1.542889225089531</v>
      </c>
      <c r="I203" s="1499">
        <v>2.3248891159218434</v>
      </c>
      <c r="J203" s="1499">
        <v>2.20077659245301</v>
      </c>
      <c r="K203" s="113">
        <v>1.5102017350482735</v>
      </c>
    </row>
    <row r="204" spans="2:11" x14ac:dyDescent="0.3">
      <c r="B204" s="115"/>
      <c r="C204" s="112" t="s">
        <v>1508</v>
      </c>
      <c r="D204" s="1499">
        <v>2.5005727758498084</v>
      </c>
      <c r="E204" s="1499">
        <v>2.3825658258604121</v>
      </c>
      <c r="F204" s="1499">
        <v>1.7296255930973665</v>
      </c>
      <c r="G204" s="1499">
        <v>1.7157590366504887</v>
      </c>
      <c r="H204" s="1499">
        <v>1.46246108450548</v>
      </c>
      <c r="I204" s="1499">
        <v>2.2444609753377924</v>
      </c>
      <c r="J204" s="1499">
        <v>2.1203484518689595</v>
      </c>
      <c r="K204" s="113">
        <v>1.4297735944642225</v>
      </c>
    </row>
    <row r="205" spans="2:11" x14ac:dyDescent="0.3">
      <c r="B205" s="115"/>
      <c r="C205" s="112" t="s">
        <v>1513</v>
      </c>
      <c r="D205" s="1499">
        <v>2.3799305649737317</v>
      </c>
      <c r="E205" s="1499">
        <v>2.2619236149843354</v>
      </c>
      <c r="F205" s="1499">
        <v>1.6089833822212902</v>
      </c>
      <c r="G205" s="1499">
        <v>1.5951168257744122</v>
      </c>
      <c r="H205" s="1499">
        <v>1.3418188736294037</v>
      </c>
      <c r="I205" s="1499">
        <v>2.1238187644617161</v>
      </c>
      <c r="J205" s="1499">
        <v>1.9997062409928832</v>
      </c>
      <c r="K205" s="113">
        <v>1.3091313835881462</v>
      </c>
    </row>
    <row r="206" spans="2:11" x14ac:dyDescent="0.3">
      <c r="B206" s="115"/>
      <c r="C206" s="112" t="s">
        <v>1517</v>
      </c>
      <c r="D206" s="1499">
        <v>2.2592883540976558</v>
      </c>
      <c r="E206" s="1499">
        <v>2.1412814041082595</v>
      </c>
      <c r="F206" s="1499">
        <v>1.4883411713452137</v>
      </c>
      <c r="G206" s="1499">
        <v>1.4744746148983356</v>
      </c>
      <c r="H206" s="1499">
        <v>1.2211766627533271</v>
      </c>
      <c r="I206" s="1499">
        <v>2.0031765535856398</v>
      </c>
      <c r="J206" s="1499">
        <v>1.8790640301168067</v>
      </c>
      <c r="K206" s="113">
        <v>1.1884891727120697</v>
      </c>
    </row>
    <row r="207" spans="2:11" ht="14.5" thickBot="1" x14ac:dyDescent="0.35">
      <c r="B207" s="1233"/>
      <c r="C207" s="116" t="s">
        <v>1519</v>
      </c>
      <c r="D207" s="117">
        <v>2.7812813199261996</v>
      </c>
      <c r="E207" s="117">
        <v>2.6658943535529076</v>
      </c>
      <c r="F207" s="117">
        <v>2.0111877370691453</v>
      </c>
      <c r="G207" s="117">
        <v>1.9983583716787476</v>
      </c>
      <c r="H207" s="117">
        <v>1.7439135144189426</v>
      </c>
      <c r="I207" s="117">
        <v>2.5277221949942166</v>
      </c>
      <c r="J207" s="117">
        <v>2.4032754730084793</v>
      </c>
      <c r="K207" s="118">
        <v>1.7112426449588949</v>
      </c>
    </row>
    <row r="208" spans="2:11" x14ac:dyDescent="0.3">
      <c r="B208" s="120" t="s">
        <v>1519</v>
      </c>
      <c r="C208" s="108" t="s">
        <v>1416</v>
      </c>
      <c r="D208" s="129">
        <v>1.5599144367921631</v>
      </c>
      <c r="E208" s="109">
        <v>1.4243054809746418</v>
      </c>
      <c r="F208" s="109">
        <v>0.7863554973506498</v>
      </c>
      <c r="G208" s="109">
        <v>0.76540663054820635</v>
      </c>
      <c r="H208" s="109">
        <v>0.51336323573347065</v>
      </c>
      <c r="I208" s="109">
        <v>1.2872118779426434</v>
      </c>
      <c r="J208" s="109">
        <v>1.1651597856992779</v>
      </c>
      <c r="K208" s="110">
        <v>0.47936840541264913</v>
      </c>
    </row>
    <row r="209" spans="2:11" x14ac:dyDescent="0.3">
      <c r="B209" s="111"/>
      <c r="C209" s="112" t="s">
        <v>1483</v>
      </c>
      <c r="D209" s="130">
        <v>2.3920855950693825</v>
      </c>
      <c r="E209" s="1499">
        <v>2.2690905359725613</v>
      </c>
      <c r="F209" s="1499">
        <v>1.6192574499513954</v>
      </c>
      <c r="G209" s="1499">
        <v>1.6035563908252757</v>
      </c>
      <c r="H209" s="1499">
        <v>1.352172780581665</v>
      </c>
      <c r="I209" s="1499">
        <v>2.1313663245738357</v>
      </c>
      <c r="J209" s="1499">
        <v>2.0076515158170287</v>
      </c>
      <c r="K209" s="113">
        <v>1.3189937907447502</v>
      </c>
    </row>
    <row r="210" spans="2:11" x14ac:dyDescent="0.3">
      <c r="B210" s="111"/>
      <c r="C210" s="112" t="s">
        <v>1489</v>
      </c>
      <c r="D210" s="130">
        <v>2.2973698351103145</v>
      </c>
      <c r="E210" s="1499">
        <v>2.1743747760134933</v>
      </c>
      <c r="F210" s="1499">
        <v>1.5245416899923276</v>
      </c>
      <c r="G210" s="1499">
        <v>1.5088406308662079</v>
      </c>
      <c r="H210" s="1499">
        <v>1.257457020622597</v>
      </c>
      <c r="I210" s="1499">
        <v>2.0366505646147681</v>
      </c>
      <c r="J210" s="1499">
        <v>1.9129357558579605</v>
      </c>
      <c r="K210" s="113">
        <v>1.2242780307856822</v>
      </c>
    </row>
    <row r="211" spans="2:11" x14ac:dyDescent="0.3">
      <c r="B211" s="114">
        <v>0</v>
      </c>
      <c r="C211" s="112" t="s">
        <v>1496</v>
      </c>
      <c r="D211" s="130">
        <v>2.1552961951717124</v>
      </c>
      <c r="E211" s="1499">
        <v>2.0323011360748913</v>
      </c>
      <c r="F211" s="1499">
        <v>1.3824680500537256</v>
      </c>
      <c r="G211" s="1499">
        <v>1.3667669909276059</v>
      </c>
      <c r="H211" s="1499">
        <v>1.115383380683995</v>
      </c>
      <c r="I211" s="1499">
        <v>1.8945769246761659</v>
      </c>
      <c r="J211" s="1499">
        <v>1.7708621159193587</v>
      </c>
      <c r="K211" s="113">
        <v>1.0822043908470804</v>
      </c>
    </row>
    <row r="212" spans="2:11" x14ac:dyDescent="0.3">
      <c r="B212" s="115"/>
      <c r="C212" s="112" t="s">
        <v>1500</v>
      </c>
      <c r="D212" s="130">
        <v>2.0132225552331104</v>
      </c>
      <c r="E212" s="1499">
        <v>1.8902274961362893</v>
      </c>
      <c r="F212" s="1499">
        <v>1.2403944101151236</v>
      </c>
      <c r="G212" s="1499">
        <v>1.2246933509890039</v>
      </c>
      <c r="H212" s="1499">
        <v>0.97330974074539311</v>
      </c>
      <c r="I212" s="1499">
        <v>1.7525032847375641</v>
      </c>
      <c r="J212" s="1499">
        <v>1.6287884759807567</v>
      </c>
      <c r="K212" s="113">
        <v>0.94013075090847842</v>
      </c>
    </row>
    <row r="213" spans="2:11" x14ac:dyDescent="0.3">
      <c r="B213" s="115"/>
      <c r="C213" s="112" t="s">
        <v>1504</v>
      </c>
      <c r="D213" s="130">
        <v>2.2294255816612991</v>
      </c>
      <c r="E213" s="1499">
        <v>2.1044130404785708</v>
      </c>
      <c r="F213" s="1499">
        <v>1.4569633427503903</v>
      </c>
      <c r="G213" s="1499">
        <v>1.4403150658831978</v>
      </c>
      <c r="H213" s="1499">
        <v>1.1891477659094403</v>
      </c>
      <c r="I213" s="1499">
        <v>1.9668382269023881</v>
      </c>
      <c r="J213" s="1499">
        <v>1.8433923761302473</v>
      </c>
      <c r="K213" s="113">
        <v>1.1558454147307038</v>
      </c>
    </row>
    <row r="214" spans="2:11" x14ac:dyDescent="0.3">
      <c r="B214" s="115"/>
      <c r="C214" s="112" t="s">
        <v>1508</v>
      </c>
      <c r="D214" s="130">
        <v>2.1489974410772481</v>
      </c>
      <c r="E214" s="1499">
        <v>2.0239848998945198</v>
      </c>
      <c r="F214" s="1499">
        <v>1.3765352021663393</v>
      </c>
      <c r="G214" s="1499">
        <v>1.3598869252991468</v>
      </c>
      <c r="H214" s="1499">
        <v>1.1087196253253893</v>
      </c>
      <c r="I214" s="1499">
        <v>1.8864100863183371</v>
      </c>
      <c r="J214" s="1499">
        <v>1.7629642355461963</v>
      </c>
      <c r="K214" s="113">
        <v>1.0754172741466528</v>
      </c>
    </row>
    <row r="215" spans="2:11" x14ac:dyDescent="0.3">
      <c r="B215" s="115"/>
      <c r="C215" s="112" t="s">
        <v>1513</v>
      </c>
      <c r="D215" s="130">
        <v>2.0283552302011718</v>
      </c>
      <c r="E215" s="1499">
        <v>1.9033426890184435</v>
      </c>
      <c r="F215" s="1499">
        <v>1.255892991290263</v>
      </c>
      <c r="G215" s="1499">
        <v>1.2392447144230705</v>
      </c>
      <c r="H215" s="1499">
        <v>0.98807741444931296</v>
      </c>
      <c r="I215" s="1499">
        <v>1.7657678754422608</v>
      </c>
      <c r="J215" s="1499">
        <v>1.64232202467012</v>
      </c>
      <c r="K215" s="113">
        <v>0.95477506327057649</v>
      </c>
    </row>
    <row r="216" spans="2:11" x14ac:dyDescent="0.3">
      <c r="B216" s="115"/>
      <c r="C216" s="112" t="s">
        <v>1517</v>
      </c>
      <c r="D216" s="130">
        <v>1.9077130193250955</v>
      </c>
      <c r="E216" s="1499">
        <v>1.7827004781423672</v>
      </c>
      <c r="F216" s="1499">
        <v>1.1352507804141867</v>
      </c>
      <c r="G216" s="1499">
        <v>1.1186025035469942</v>
      </c>
      <c r="H216" s="1499">
        <v>0.86743520357323667</v>
      </c>
      <c r="I216" s="1499">
        <v>1.6451256645661845</v>
      </c>
      <c r="J216" s="1499">
        <v>1.5216798137940437</v>
      </c>
      <c r="K216" s="113">
        <v>0.83413285239450019</v>
      </c>
    </row>
    <row r="217" spans="2:11" ht="14.5" thickBot="1" x14ac:dyDescent="0.35">
      <c r="B217" s="1233"/>
      <c r="C217" s="116" t="s">
        <v>1519</v>
      </c>
      <c r="D217" s="131">
        <v>2.3920855950693825</v>
      </c>
      <c r="E217" s="117">
        <v>2.2690905359725613</v>
      </c>
      <c r="F217" s="117">
        <v>1.6192574499513954</v>
      </c>
      <c r="G217" s="117">
        <v>1.6035563908252757</v>
      </c>
      <c r="H217" s="117">
        <v>1.352172780581665</v>
      </c>
      <c r="I217" s="117">
        <v>2.1313663245738357</v>
      </c>
      <c r="J217" s="117">
        <v>2.0076515158170287</v>
      </c>
      <c r="K217" s="118">
        <v>1.3189937907447502</v>
      </c>
    </row>
    <row r="221" spans="2:11" ht="14.5" thickBot="1" x14ac:dyDescent="0.35"/>
    <row r="222" spans="2:11" x14ac:dyDescent="0.3">
      <c r="C222" s="132" t="s">
        <v>1995</v>
      </c>
      <c r="D222" s="132"/>
      <c r="E222" s="132"/>
      <c r="F222" s="132"/>
    </row>
    <row r="223" spans="2:11" x14ac:dyDescent="0.3">
      <c r="C223" s="1504" t="s">
        <v>1996</v>
      </c>
      <c r="D223" s="1504" t="s">
        <v>1997</v>
      </c>
      <c r="E223" s="1504" t="s">
        <v>1998</v>
      </c>
      <c r="F223" s="1504" t="s">
        <v>1999</v>
      </c>
    </row>
    <row r="224" spans="2:11" x14ac:dyDescent="0.3">
      <c r="C224" s="1498">
        <v>1</v>
      </c>
      <c r="D224" s="1505">
        <v>160.70716376424758</v>
      </c>
      <c r="E224" s="1506">
        <v>2.6799266890831223E-2</v>
      </c>
      <c r="F224" s="1507">
        <v>1.0719706756332488</v>
      </c>
      <c r="H224" s="134" t="s">
        <v>2000</v>
      </c>
    </row>
    <row r="225" spans="2:11" x14ac:dyDescent="0.3">
      <c r="C225" s="1498">
        <v>1.5</v>
      </c>
      <c r="D225" s="1505">
        <v>135.74490649014783</v>
      </c>
      <c r="E225" s="1506">
        <v>2.2636601212358103E-2</v>
      </c>
      <c r="F225" s="1507">
        <v>0.90546404849432405</v>
      </c>
      <c r="H225" s="134" t="s">
        <v>2001</v>
      </c>
    </row>
    <row r="226" spans="2:11" x14ac:dyDescent="0.3">
      <c r="C226" s="1498">
        <v>2</v>
      </c>
      <c r="D226" s="1505">
        <v>118.03390309655404</v>
      </c>
      <c r="E226" s="1506">
        <v>1.9683142911360255E-2</v>
      </c>
      <c r="F226" s="1507">
        <v>0.7873257164544103</v>
      </c>
    </row>
    <row r="227" spans="2:11" x14ac:dyDescent="0.3">
      <c r="C227" s="1498">
        <v>2.5</v>
      </c>
      <c r="D227" s="1505">
        <v>104.29618158717167</v>
      </c>
      <c r="E227" s="1506">
        <v>1.73922626756669E-2</v>
      </c>
      <c r="F227" s="1507">
        <v>0.69569050702667579</v>
      </c>
    </row>
    <row r="228" spans="2:11" x14ac:dyDescent="0.3">
      <c r="B228" s="2"/>
      <c r="C228" s="1498">
        <v>3</v>
      </c>
      <c r="D228" s="1505">
        <v>93.071645822454286</v>
      </c>
      <c r="E228" s="1506">
        <v>1.5520477232887136E-2</v>
      </c>
      <c r="F228" s="1507">
        <v>0.62081908931548546</v>
      </c>
      <c r="I228" s="135"/>
      <c r="J228" s="135"/>
      <c r="K228" s="135"/>
    </row>
    <row r="229" spans="2:11" x14ac:dyDescent="0.3">
      <c r="B229" s="136"/>
      <c r="C229" s="1498">
        <v>3.5</v>
      </c>
      <c r="D229" s="1505">
        <v>83.581436056244527</v>
      </c>
      <c r="E229" s="1506">
        <v>1.393790519056223E-2</v>
      </c>
      <c r="F229" s="1507">
        <v>0.55751620762248921</v>
      </c>
      <c r="I229" s="135"/>
      <c r="J229" s="135"/>
      <c r="K229" s="135"/>
    </row>
    <row r="230" spans="2:11" x14ac:dyDescent="0.3">
      <c r="B230" s="136"/>
      <c r="C230" s="1498">
        <v>4</v>
      </c>
      <c r="D230" s="1505">
        <v>75.36064242886053</v>
      </c>
      <c r="E230" s="1506">
        <v>1.2567018931889294E-2</v>
      </c>
      <c r="F230" s="1507">
        <v>0.50268075727557171</v>
      </c>
      <c r="I230" s="135"/>
      <c r="J230" s="135"/>
      <c r="K230" s="135"/>
    </row>
    <row r="231" spans="2:11" x14ac:dyDescent="0.3">
      <c r="B231" s="137"/>
      <c r="C231" s="1498">
        <v>4.5</v>
      </c>
      <c r="D231" s="1505">
        <v>68.109388548354531</v>
      </c>
      <c r="E231" s="1506">
        <v>1.1357811554414014E-2</v>
      </c>
      <c r="F231" s="1507">
        <v>0.45431246217656063</v>
      </c>
      <c r="I231" s="135"/>
      <c r="J231" s="135"/>
      <c r="K231" s="135"/>
    </row>
    <row r="232" spans="2:11" x14ac:dyDescent="0.3">
      <c r="C232" s="1498">
        <v>5</v>
      </c>
      <c r="D232" s="1505">
        <v>61.622920919478148</v>
      </c>
      <c r="E232" s="1506">
        <v>1.0276138696195931E-2</v>
      </c>
      <c r="F232" s="1507">
        <v>0.41104554784783731</v>
      </c>
      <c r="I232" s="135"/>
      <c r="J232" s="135"/>
      <c r="K232" s="135"/>
    </row>
    <row r="233" spans="2:11" x14ac:dyDescent="0.3">
      <c r="C233" s="1498">
        <v>5.5</v>
      </c>
      <c r="D233" s="1505">
        <v>55.755197207770777</v>
      </c>
      <c r="E233" s="1506">
        <v>9.2976465735772618E-3</v>
      </c>
      <c r="F233" s="1507">
        <v>0.37190586294309058</v>
      </c>
      <c r="I233" s="135"/>
      <c r="J233" s="135"/>
      <c r="K233" s="135"/>
    </row>
    <row r="234" spans="2:11" x14ac:dyDescent="0.3">
      <c r="C234" s="1498">
        <v>6</v>
      </c>
      <c r="D234" s="1505">
        <v>50.39838515476076</v>
      </c>
      <c r="E234" s="1506">
        <v>8.4043532534161733E-3</v>
      </c>
      <c r="F234" s="1507">
        <v>0.33617413013664688</v>
      </c>
      <c r="I234" s="135"/>
      <c r="J234" s="135"/>
      <c r="K234" s="135"/>
    </row>
    <row r="235" spans="2:11" x14ac:dyDescent="0.3">
      <c r="C235" s="1498">
        <v>6.5</v>
      </c>
      <c r="D235" s="1505">
        <v>45.470595754619929</v>
      </c>
      <c r="E235" s="1506">
        <v>7.5826030574515854E-3</v>
      </c>
      <c r="F235" s="1507">
        <v>0.30330412229806347</v>
      </c>
      <c r="I235" s="135"/>
      <c r="J235" s="135"/>
      <c r="K235" s="135"/>
    </row>
    <row r="236" spans="2:11" x14ac:dyDescent="0.3">
      <c r="C236" s="1498">
        <v>7</v>
      </c>
      <c r="D236" s="1505">
        <v>40.908175388550987</v>
      </c>
      <c r="E236" s="1506">
        <v>6.821781211091265E-3</v>
      </c>
      <c r="F236" s="1507">
        <v>0.27287124844365063</v>
      </c>
      <c r="I236" s="135"/>
      <c r="J236" s="135"/>
      <c r="K236" s="135"/>
    </row>
    <row r="237" spans="2:11" x14ac:dyDescent="0.3">
      <c r="C237" s="1498">
        <v>7.5</v>
      </c>
      <c r="D237" s="1505">
        <v>36.660663645378378</v>
      </c>
      <c r="E237" s="1506">
        <v>6.1134730177228097E-3</v>
      </c>
      <c r="F237" s="1507">
        <v>0.24453892070891239</v>
      </c>
      <c r="I237" s="135"/>
      <c r="J237" s="135"/>
      <c r="K237" s="135"/>
    </row>
    <row r="238" spans="2:11" x14ac:dyDescent="0.3">
      <c r="B238" s="2"/>
      <c r="C238" s="1498">
        <v>8</v>
      </c>
      <c r="D238" s="1505">
        <v>32.687381761167003</v>
      </c>
      <c r="E238" s="1506">
        <v>5.4508949524183312E-3</v>
      </c>
      <c r="F238" s="1507">
        <v>0.21803579809673329</v>
      </c>
      <c r="I238" s="135"/>
      <c r="J238" s="135"/>
      <c r="K238" s="135"/>
    </row>
    <row r="239" spans="2:11" x14ac:dyDescent="0.3">
      <c r="B239" s="136"/>
      <c r="C239" s="1498">
        <v>8.5</v>
      </c>
      <c r="D239" s="1505">
        <v>28.955057137754157</v>
      </c>
      <c r="E239" s="1506">
        <v>4.828498530484125E-3</v>
      </c>
      <c r="F239" s="1507">
        <v>0.19313994121936504</v>
      </c>
      <c r="I239" s="135"/>
      <c r="J239" s="135"/>
      <c r="K239" s="135"/>
    </row>
    <row r="240" spans="2:11" x14ac:dyDescent="0.3">
      <c r="B240" s="136"/>
      <c r="C240" s="1498">
        <v>9</v>
      </c>
      <c r="D240" s="1505">
        <v>25.43612788066099</v>
      </c>
      <c r="E240" s="1506">
        <v>4.2416875749430507E-3</v>
      </c>
      <c r="F240" s="1507">
        <v>0.16966750299772201</v>
      </c>
      <c r="I240" s="135"/>
      <c r="J240" s="135"/>
      <c r="K240" s="135"/>
    </row>
    <row r="241" spans="2:11" x14ac:dyDescent="0.3">
      <c r="B241" s="137"/>
      <c r="C241" s="1498">
        <v>9.5</v>
      </c>
      <c r="D241" s="1505">
        <v>22.107506353295761</v>
      </c>
      <c r="E241" s="1506">
        <v>3.6866120288318177E-3</v>
      </c>
      <c r="F241" s="1507">
        <v>0.14746448115327271</v>
      </c>
      <c r="I241" s="135"/>
      <c r="J241" s="135"/>
      <c r="K241" s="135"/>
    </row>
    <row r="242" spans="2:11" x14ac:dyDescent="0.3">
      <c r="C242" s="1498">
        <v>10</v>
      </c>
      <c r="D242" s="1505">
        <v>18.949660251784586</v>
      </c>
      <c r="E242" s="1506">
        <v>3.1600147167249624E-3</v>
      </c>
      <c r="F242" s="1507">
        <v>0.1264005886689985</v>
      </c>
      <c r="I242" s="135"/>
      <c r="J242" s="135"/>
      <c r="K242" s="135"/>
    </row>
    <row r="243" spans="2:11" x14ac:dyDescent="0.3">
      <c r="I243" s="135"/>
      <c r="J243" s="135"/>
      <c r="K243" s="135"/>
    </row>
    <row r="244" spans="2:11" ht="14.5" thickBot="1" x14ac:dyDescent="0.35">
      <c r="I244" s="135"/>
      <c r="J244" s="135"/>
      <c r="K244" s="135"/>
    </row>
    <row r="245" spans="2:11" x14ac:dyDescent="0.3">
      <c r="C245" s="132" t="s">
        <v>2002</v>
      </c>
      <c r="D245" s="132"/>
      <c r="E245" s="132"/>
      <c r="F245" s="132"/>
      <c r="H245" s="134" t="s">
        <v>2003</v>
      </c>
      <c r="I245" s="135"/>
      <c r="J245" s="135"/>
      <c r="K245" s="135"/>
    </row>
    <row r="246" spans="2:11" x14ac:dyDescent="0.3">
      <c r="C246" s="1508" t="s">
        <v>1996</v>
      </c>
      <c r="D246" s="1508" t="s">
        <v>2004</v>
      </c>
      <c r="E246" s="1508" t="s">
        <v>2005</v>
      </c>
      <c r="F246" s="1508" t="s">
        <v>2006</v>
      </c>
      <c r="H246" s="134" t="s">
        <v>2007</v>
      </c>
      <c r="I246" s="135"/>
      <c r="J246" s="135"/>
      <c r="K246" s="135"/>
    </row>
    <row r="247" spans="2:11" x14ac:dyDescent="0.3">
      <c r="C247" s="1498" t="s">
        <v>376</v>
      </c>
      <c r="D247" s="1509">
        <v>190.26159045652827</v>
      </c>
      <c r="E247" s="1510">
        <v>3.172771531951378E-2</v>
      </c>
      <c r="F247" s="1511">
        <v>1.2691086127805511</v>
      </c>
      <c r="I247" s="135"/>
      <c r="J247" s="135"/>
      <c r="K247" s="135"/>
    </row>
    <row r="248" spans="2:11" x14ac:dyDescent="0.3">
      <c r="B248" s="2"/>
      <c r="D248" s="135"/>
      <c r="E248" s="135"/>
      <c r="F248" s="135"/>
      <c r="G248" s="135"/>
      <c r="H248" s="135"/>
      <c r="I248" s="135"/>
      <c r="J248" s="135"/>
      <c r="K248" s="135"/>
    </row>
    <row r="249" spans="2:11" x14ac:dyDescent="0.3">
      <c r="B249" s="136"/>
      <c r="D249" s="135"/>
      <c r="E249" s="135"/>
      <c r="F249" s="135"/>
      <c r="G249" s="135"/>
      <c r="H249" s="135"/>
      <c r="I249" s="135"/>
      <c r="J249" s="135"/>
      <c r="K249" s="135"/>
    </row>
    <row r="250" spans="2:11" x14ac:dyDescent="0.3">
      <c r="B250" s="136"/>
      <c r="D250" s="135"/>
      <c r="E250" s="135"/>
      <c r="F250" s="135"/>
      <c r="G250" s="135"/>
      <c r="H250" s="135"/>
      <c r="I250" s="135"/>
      <c r="J250" s="135"/>
      <c r="K250" s="135"/>
    </row>
    <row r="251" spans="2:11" x14ac:dyDescent="0.3">
      <c r="B251" s="137"/>
      <c r="D251" s="135"/>
      <c r="E251" s="135"/>
      <c r="F251" s="135"/>
      <c r="G251" s="135"/>
      <c r="H251" s="135"/>
      <c r="I251" s="135"/>
      <c r="J251" s="135"/>
      <c r="K251" s="135"/>
    </row>
    <row r="252" spans="2:11" x14ac:dyDescent="0.3">
      <c r="D252" s="135"/>
      <c r="E252" s="135"/>
      <c r="F252" s="135"/>
      <c r="G252" s="135"/>
      <c r="H252" s="135"/>
      <c r="I252" s="135"/>
      <c r="J252" s="135"/>
      <c r="K252" s="135"/>
    </row>
    <row r="253" spans="2:11" x14ac:dyDescent="0.3">
      <c r="D253" s="135"/>
      <c r="E253" s="135"/>
      <c r="F253" s="135"/>
      <c r="G253" s="135"/>
      <c r="H253" s="135"/>
      <c r="I253" s="135"/>
      <c r="J253" s="135"/>
      <c r="K253" s="135"/>
    </row>
    <row r="254" spans="2:11" x14ac:dyDescent="0.3">
      <c r="D254" s="135"/>
      <c r="E254" s="135"/>
      <c r="F254" s="135"/>
      <c r="G254" s="135"/>
      <c r="H254" s="135"/>
      <c r="I254" s="135"/>
      <c r="J254" s="135"/>
      <c r="K254" s="135"/>
    </row>
    <row r="255" spans="2:11" x14ac:dyDescent="0.3">
      <c r="D255" s="135"/>
      <c r="E255" s="135"/>
      <c r="F255" s="135"/>
      <c r="G255" s="135"/>
      <c r="H255" s="135"/>
      <c r="I255" s="135"/>
      <c r="J255" s="135"/>
      <c r="K255" s="135"/>
    </row>
    <row r="256" spans="2:11" x14ac:dyDescent="0.3">
      <c r="D256" s="135"/>
      <c r="E256" s="135"/>
      <c r="F256" s="135"/>
      <c r="G256" s="135"/>
      <c r="H256" s="135"/>
      <c r="I256" s="135"/>
      <c r="J256" s="135"/>
      <c r="K256" s="135"/>
    </row>
    <row r="257" spans="4:11" x14ac:dyDescent="0.3">
      <c r="D257" s="135"/>
      <c r="E257" s="135"/>
      <c r="F257" s="135"/>
      <c r="G257" s="135"/>
      <c r="H257" s="135"/>
      <c r="I257" s="135"/>
      <c r="J257" s="135"/>
      <c r="K257" s="135"/>
    </row>
  </sheetData>
  <sheetProtection algorithmName="SHA-512" hashValue="/LjFRDr8UqlRK6slYAnlAq5sSUzjHa3qZ6+QPK8UY9Ss9XothnL5Ld4jVWT1faq4q0H2++L/aSEl6M0Yu/mSZg==" saltValue="GqyCRNw4pZ2M/a3FmRaZVg==" spinCount="100000" sheet="1" objects="1" scenarios="1" autoFilter="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dimension ref="B1:K257"/>
  <sheetViews>
    <sheetView topLeftCell="A221" workbookViewId="0">
      <selection activeCell="G9" sqref="G9"/>
    </sheetView>
  </sheetViews>
  <sheetFormatPr defaultColWidth="7.58203125" defaultRowHeight="14" x14ac:dyDescent="0.3"/>
  <cols>
    <col min="3" max="3" width="26.58203125" customWidth="1"/>
  </cols>
  <sheetData>
    <row r="1" spans="2:11" ht="14.5" thickBot="1" x14ac:dyDescent="0.35"/>
    <row r="2" spans="2:11" ht="25.5" thickBot="1" x14ac:dyDescent="0.55000000000000004">
      <c r="B2" s="88" t="s">
        <v>1960</v>
      </c>
      <c r="C2" s="89"/>
      <c r="D2" s="90">
        <v>4</v>
      </c>
      <c r="E2" s="91" t="s">
        <v>1961</v>
      </c>
      <c r="F2" s="92"/>
      <c r="G2" s="92"/>
      <c r="H2" s="92"/>
      <c r="I2" s="93"/>
      <c r="J2" s="89" t="s">
        <v>176</v>
      </c>
      <c r="K2" s="94" t="s">
        <v>214</v>
      </c>
    </row>
    <row r="3" spans="2:11" ht="14.5" thickBot="1" x14ac:dyDescent="0.35">
      <c r="B3" s="95" t="s">
        <v>1962</v>
      </c>
      <c r="C3" s="96" t="s">
        <v>1963</v>
      </c>
      <c r="D3" s="95" t="s">
        <v>1964</v>
      </c>
      <c r="E3" s="97" t="s">
        <v>1965</v>
      </c>
      <c r="F3" s="97" t="s">
        <v>1966</v>
      </c>
      <c r="G3" s="97" t="s">
        <v>1967</v>
      </c>
      <c r="H3" s="97" t="s">
        <v>1968</v>
      </c>
      <c r="I3" s="97" t="s">
        <v>1969</v>
      </c>
      <c r="J3" s="97" t="s">
        <v>1970</v>
      </c>
      <c r="K3" s="98" t="s">
        <v>1971</v>
      </c>
    </row>
    <row r="4" spans="2:11" ht="18.5" thickBot="1" x14ac:dyDescent="0.45">
      <c r="B4" s="99" t="s">
        <v>34</v>
      </c>
      <c r="C4" s="100" t="s">
        <v>34</v>
      </c>
      <c r="D4" s="101" t="s">
        <v>34</v>
      </c>
      <c r="E4" s="944"/>
      <c r="F4" s="944"/>
      <c r="G4" s="944"/>
      <c r="H4" s="944"/>
      <c r="I4" s="944" t="s">
        <v>34</v>
      </c>
      <c r="J4" s="944" t="s">
        <v>34</v>
      </c>
      <c r="K4" s="102"/>
    </row>
    <row r="5" spans="2:11" ht="90.5" thickBot="1" x14ac:dyDescent="0.45">
      <c r="B5" s="103" t="s">
        <v>1972</v>
      </c>
      <c r="C5" s="104" t="s">
        <v>1973</v>
      </c>
      <c r="D5" s="105" t="s">
        <v>1974</v>
      </c>
      <c r="E5" s="105" t="s">
        <v>1525</v>
      </c>
      <c r="F5" s="105" t="s">
        <v>1527</v>
      </c>
      <c r="G5" s="105" t="s">
        <v>1975</v>
      </c>
      <c r="H5" s="105" t="s">
        <v>1976</v>
      </c>
      <c r="I5" s="105" t="s">
        <v>1445</v>
      </c>
      <c r="J5" s="105" t="s">
        <v>1538</v>
      </c>
      <c r="K5" s="106" t="s">
        <v>1541</v>
      </c>
    </row>
    <row r="6" spans="2:11" x14ac:dyDescent="0.3">
      <c r="B6" s="107" t="s">
        <v>1977</v>
      </c>
      <c r="C6" s="108" t="s">
        <v>1416</v>
      </c>
      <c r="D6" s="109">
        <v>3.9254656179046834</v>
      </c>
      <c r="E6" s="109">
        <v>2.9405936408708326</v>
      </c>
      <c r="F6" s="109">
        <v>2.2357767882605395</v>
      </c>
      <c r="G6" s="109">
        <v>1.9550245118685547</v>
      </c>
      <c r="H6" s="109">
        <v>2.0942230977813954</v>
      </c>
      <c r="I6" s="109">
        <v>3.7565793851550189</v>
      </c>
      <c r="J6" s="109">
        <v>3.3217115942903011</v>
      </c>
      <c r="K6" s="110">
        <v>1.7502295079036072</v>
      </c>
    </row>
    <row r="7" spans="2:11" x14ac:dyDescent="0.3">
      <c r="B7" s="111" t="s">
        <v>1978</v>
      </c>
      <c r="C7" s="112" t="s">
        <v>1483</v>
      </c>
      <c r="D7" s="1499">
        <v>4.4950240984296865</v>
      </c>
      <c r="E7" s="1499">
        <v>3.5417154898402958</v>
      </c>
      <c r="F7" s="1499">
        <v>2.8294782167122805</v>
      </c>
      <c r="G7" s="1499">
        <v>2.5598957674844964</v>
      </c>
      <c r="H7" s="1499">
        <v>2.6845097707617471</v>
      </c>
      <c r="I7" s="1499">
        <v>4.3301113645111702</v>
      </c>
      <c r="J7" s="1499">
        <v>3.9110831146480267</v>
      </c>
      <c r="K7" s="113">
        <v>2.34740757630609</v>
      </c>
    </row>
    <row r="8" spans="2:11" x14ac:dyDescent="0.3">
      <c r="B8" s="111" t="s">
        <v>1979</v>
      </c>
      <c r="C8" s="112" t="s">
        <v>1489</v>
      </c>
      <c r="D8" s="1499">
        <v>4.4295497546711893</v>
      </c>
      <c r="E8" s="1499">
        <v>3.4762411460817986</v>
      </c>
      <c r="F8" s="1499">
        <v>2.7640038729537832</v>
      </c>
      <c r="G8" s="1499">
        <v>2.4944214237259992</v>
      </c>
      <c r="H8" s="1499">
        <v>2.6190354270032499</v>
      </c>
      <c r="I8" s="1499">
        <v>4.2646370207526729</v>
      </c>
      <c r="J8" s="1499">
        <v>3.8456087708895295</v>
      </c>
      <c r="K8" s="113">
        <v>2.2819332325475932</v>
      </c>
    </row>
    <row r="9" spans="2:11" x14ac:dyDescent="0.3">
      <c r="B9" s="114">
        <v>0</v>
      </c>
      <c r="C9" s="112" t="s">
        <v>1496</v>
      </c>
      <c r="D9" s="1499">
        <v>4.3313382390334434</v>
      </c>
      <c r="E9" s="1499">
        <v>3.3780296304440531</v>
      </c>
      <c r="F9" s="1499">
        <v>2.6657923573160374</v>
      </c>
      <c r="G9" s="1499">
        <v>2.3962099080882528</v>
      </c>
      <c r="H9" s="1499">
        <v>2.5208239113655044</v>
      </c>
      <c r="I9" s="1499">
        <v>4.166425505114927</v>
      </c>
      <c r="J9" s="1499">
        <v>3.7473972552517836</v>
      </c>
      <c r="K9" s="113">
        <v>2.1837217169098473</v>
      </c>
    </row>
    <row r="10" spans="2:11" x14ac:dyDescent="0.3">
      <c r="B10" s="115"/>
      <c r="C10" s="112" t="s">
        <v>1500</v>
      </c>
      <c r="D10" s="1499">
        <v>4.2331267233956975</v>
      </c>
      <c r="E10" s="1499">
        <v>3.2798181148063068</v>
      </c>
      <c r="F10" s="1499">
        <v>2.5675808416782915</v>
      </c>
      <c r="G10" s="1499">
        <v>2.2979983924505074</v>
      </c>
      <c r="H10" s="1499">
        <v>2.4226123957277581</v>
      </c>
      <c r="I10" s="1499">
        <v>4.0682139894771812</v>
      </c>
      <c r="J10" s="1499">
        <v>3.6491857396140381</v>
      </c>
      <c r="K10" s="113">
        <v>2.0855102012721014</v>
      </c>
    </row>
    <row r="11" spans="2:11" x14ac:dyDescent="0.3">
      <c r="B11" s="115"/>
      <c r="C11" s="112" t="s">
        <v>1504</v>
      </c>
      <c r="D11" s="1499">
        <v>4.3770572099832794</v>
      </c>
      <c r="E11" s="1499">
        <v>3.4201124312767943</v>
      </c>
      <c r="F11" s="1499">
        <v>2.7119072969900491</v>
      </c>
      <c r="G11" s="1499">
        <v>2.4356312011764878</v>
      </c>
      <c r="H11" s="1499">
        <v>2.5650253032927024</v>
      </c>
      <c r="I11" s="1499">
        <v>4.209615536742688</v>
      </c>
      <c r="J11" s="1499">
        <v>3.7889808253706203</v>
      </c>
      <c r="K11" s="113">
        <v>2.2248240620124546</v>
      </c>
    </row>
    <row r="12" spans="2:11" x14ac:dyDescent="0.3">
      <c r="B12" s="115"/>
      <c r="C12" s="112" t="s">
        <v>1508</v>
      </c>
      <c r="D12" s="1499">
        <v>4.3225842188526045</v>
      </c>
      <c r="E12" s="1499">
        <v>3.3656394401461189</v>
      </c>
      <c r="F12" s="1499">
        <v>2.6574343058593741</v>
      </c>
      <c r="G12" s="1499">
        <v>2.381158210045812</v>
      </c>
      <c r="H12" s="1499">
        <v>2.510552312162027</v>
      </c>
      <c r="I12" s="1499">
        <v>4.1551425456120121</v>
      </c>
      <c r="J12" s="1499">
        <v>3.7345078342399454</v>
      </c>
      <c r="K12" s="113">
        <v>2.1703510708817793</v>
      </c>
    </row>
    <row r="13" spans="2:11" x14ac:dyDescent="0.3">
      <c r="B13" s="115"/>
      <c r="C13" s="112" t="s">
        <v>1513</v>
      </c>
      <c r="D13" s="1499">
        <v>4.2408747321565912</v>
      </c>
      <c r="E13" s="1499">
        <v>3.2839299534501065</v>
      </c>
      <c r="F13" s="1499">
        <v>2.5757248191633613</v>
      </c>
      <c r="G13" s="1499">
        <v>2.2994487233497991</v>
      </c>
      <c r="H13" s="1499">
        <v>2.4288428254660142</v>
      </c>
      <c r="I13" s="1499">
        <v>4.0734330589159997</v>
      </c>
      <c r="J13" s="1499">
        <v>3.6527983475439325</v>
      </c>
      <c r="K13" s="113">
        <v>2.0886415841857664</v>
      </c>
    </row>
    <row r="14" spans="2:11" x14ac:dyDescent="0.3">
      <c r="B14" s="115"/>
      <c r="C14" s="112" t="s">
        <v>1517</v>
      </c>
      <c r="D14" s="1499">
        <v>4.1591652454605788</v>
      </c>
      <c r="E14" s="1499">
        <v>3.2022204667540937</v>
      </c>
      <c r="F14" s="1499">
        <v>2.4940153324673484</v>
      </c>
      <c r="G14" s="1499">
        <v>2.2177392366537867</v>
      </c>
      <c r="H14" s="1499">
        <v>2.3471333387700013</v>
      </c>
      <c r="I14" s="1499">
        <v>3.9917235722199869</v>
      </c>
      <c r="J14" s="1499">
        <v>3.5710888608479197</v>
      </c>
      <c r="K14" s="113">
        <v>2.0069320974897535</v>
      </c>
    </row>
    <row r="15" spans="2:11" ht="14.5" thickBot="1" x14ac:dyDescent="0.35">
      <c r="B15" s="1233"/>
      <c r="C15" s="116" t="s">
        <v>1519</v>
      </c>
      <c r="D15" s="117">
        <v>4.4950240984296865</v>
      </c>
      <c r="E15" s="117">
        <v>3.5417154898402958</v>
      </c>
      <c r="F15" s="117">
        <v>2.8294782167122805</v>
      </c>
      <c r="G15" s="117">
        <v>2.5598957674844964</v>
      </c>
      <c r="H15" s="117">
        <v>2.6845097707617471</v>
      </c>
      <c r="I15" s="117">
        <v>4.3301113645111702</v>
      </c>
      <c r="J15" s="117">
        <v>3.9110831146480267</v>
      </c>
      <c r="K15" s="118">
        <v>2.34740757630609</v>
      </c>
    </row>
    <row r="16" spans="2:11" x14ac:dyDescent="0.3">
      <c r="B16" s="107" t="s">
        <v>1977</v>
      </c>
      <c r="C16" s="108" t="s">
        <v>1416</v>
      </c>
      <c r="D16" s="109">
        <v>3.7769660697781839</v>
      </c>
      <c r="E16" s="109">
        <v>2.7920940927443332</v>
      </c>
      <c r="F16" s="109">
        <v>2.08727724013404</v>
      </c>
      <c r="G16" s="109">
        <v>1.8065249637420557</v>
      </c>
      <c r="H16" s="109">
        <v>1.9457235496548961</v>
      </c>
      <c r="I16" s="109">
        <v>3.6080798370285194</v>
      </c>
      <c r="J16" s="109">
        <v>3.1732120461638016</v>
      </c>
      <c r="K16" s="110">
        <v>1.601729959777108</v>
      </c>
    </row>
    <row r="17" spans="2:11" x14ac:dyDescent="0.3">
      <c r="B17" s="111" t="s">
        <v>1978</v>
      </c>
      <c r="C17" s="112" t="s">
        <v>1483</v>
      </c>
      <c r="D17" s="1499">
        <v>4.3465245503031875</v>
      </c>
      <c r="E17" s="1499">
        <v>3.3932159417137964</v>
      </c>
      <c r="F17" s="1499">
        <v>2.680978668585781</v>
      </c>
      <c r="G17" s="1499">
        <v>2.411396219357997</v>
      </c>
      <c r="H17" s="1499">
        <v>2.5360102226352477</v>
      </c>
      <c r="I17" s="1499">
        <v>4.1816118163846712</v>
      </c>
      <c r="J17" s="1499">
        <v>3.7625835665215277</v>
      </c>
      <c r="K17" s="113">
        <v>2.198908028179591</v>
      </c>
    </row>
    <row r="18" spans="2:11" x14ac:dyDescent="0.3">
      <c r="B18" s="111" t="s">
        <v>1980</v>
      </c>
      <c r="C18" s="112" t="s">
        <v>1489</v>
      </c>
      <c r="D18" s="1499">
        <v>4.2810502065446903</v>
      </c>
      <c r="E18" s="1499">
        <v>3.3277415979552991</v>
      </c>
      <c r="F18" s="1499">
        <v>2.6155043248272838</v>
      </c>
      <c r="G18" s="1499">
        <v>2.3459218755994997</v>
      </c>
      <c r="H18" s="1499">
        <v>2.4705358788767504</v>
      </c>
      <c r="I18" s="1499">
        <v>4.1161374726261739</v>
      </c>
      <c r="J18" s="1499">
        <v>3.6971092227630304</v>
      </c>
      <c r="K18" s="113">
        <v>2.1334336844210937</v>
      </c>
    </row>
    <row r="19" spans="2:11" x14ac:dyDescent="0.3">
      <c r="B19" s="114">
        <v>0</v>
      </c>
      <c r="C19" s="112" t="s">
        <v>1496</v>
      </c>
      <c r="D19" s="1499">
        <v>4.1828386909069444</v>
      </c>
      <c r="E19" s="1499">
        <v>3.2295300823175537</v>
      </c>
      <c r="F19" s="1499">
        <v>2.5172928091895379</v>
      </c>
      <c r="G19" s="1499">
        <v>2.2477103599617538</v>
      </c>
      <c r="H19" s="1499">
        <v>2.372324363239005</v>
      </c>
      <c r="I19" s="1499">
        <v>4.017925956988428</v>
      </c>
      <c r="J19" s="1499">
        <v>3.5988977071252846</v>
      </c>
      <c r="K19" s="113">
        <v>2.0352221687833483</v>
      </c>
    </row>
    <row r="20" spans="2:11" x14ac:dyDescent="0.3">
      <c r="B20" s="115"/>
      <c r="C20" s="112" t="s">
        <v>1500</v>
      </c>
      <c r="D20" s="1499">
        <v>4.0846271752691985</v>
      </c>
      <c r="E20" s="1499">
        <v>3.1313185666798078</v>
      </c>
      <c r="F20" s="1499">
        <v>2.419081293551792</v>
      </c>
      <c r="G20" s="1499">
        <v>2.149498844324008</v>
      </c>
      <c r="H20" s="1499">
        <v>2.2741128476012591</v>
      </c>
      <c r="I20" s="1499">
        <v>3.9197144413506826</v>
      </c>
      <c r="J20" s="1499">
        <v>3.5006861914875391</v>
      </c>
      <c r="K20" s="113">
        <v>1.9370106531456024</v>
      </c>
    </row>
    <row r="21" spans="2:11" x14ac:dyDescent="0.3">
      <c r="B21" s="115"/>
      <c r="C21" s="112" t="s">
        <v>1504</v>
      </c>
      <c r="D21" s="1499">
        <v>4.2285576618567795</v>
      </c>
      <c r="E21" s="1499">
        <v>3.2716128831502949</v>
      </c>
      <c r="F21" s="1499">
        <v>2.5634077488635496</v>
      </c>
      <c r="G21" s="1499">
        <v>2.2871316530499883</v>
      </c>
      <c r="H21" s="1499">
        <v>2.4165257551662029</v>
      </c>
      <c r="I21" s="1499">
        <v>4.0611159886161881</v>
      </c>
      <c r="J21" s="1499">
        <v>3.6404812772441209</v>
      </c>
      <c r="K21" s="113">
        <v>2.0763245138859556</v>
      </c>
    </row>
    <row r="22" spans="2:11" x14ac:dyDescent="0.3">
      <c r="B22" s="115"/>
      <c r="C22" s="112" t="s">
        <v>1508</v>
      </c>
      <c r="D22" s="1499">
        <v>4.1740846707261046</v>
      </c>
      <c r="E22" s="1499">
        <v>3.2171398920196199</v>
      </c>
      <c r="F22" s="1499">
        <v>2.5089347577328747</v>
      </c>
      <c r="G22" s="1499">
        <v>2.2326586619193129</v>
      </c>
      <c r="H22" s="1499">
        <v>2.3620527640355276</v>
      </c>
      <c r="I22" s="1499">
        <v>4.0066429974855131</v>
      </c>
      <c r="J22" s="1499">
        <v>3.5860082861134459</v>
      </c>
      <c r="K22" s="113">
        <v>2.0218515227552802</v>
      </c>
    </row>
    <row r="23" spans="2:11" x14ac:dyDescent="0.3">
      <c r="B23" s="115"/>
      <c r="C23" s="112" t="s">
        <v>1513</v>
      </c>
      <c r="D23" s="1499">
        <v>4.0923751840300922</v>
      </c>
      <c r="E23" s="1499">
        <v>3.1354304053236071</v>
      </c>
      <c r="F23" s="1499">
        <v>2.4272252710368618</v>
      </c>
      <c r="G23" s="1499">
        <v>2.1509491752233001</v>
      </c>
      <c r="H23" s="1499">
        <v>2.2803432773395151</v>
      </c>
      <c r="I23" s="1499">
        <v>3.9249335107895003</v>
      </c>
      <c r="J23" s="1499">
        <v>3.5042987994174331</v>
      </c>
      <c r="K23" s="113">
        <v>1.9401420360592674</v>
      </c>
    </row>
    <row r="24" spans="2:11" x14ac:dyDescent="0.3">
      <c r="B24" s="115"/>
      <c r="C24" s="112" t="s">
        <v>1517</v>
      </c>
      <c r="D24" s="1499">
        <v>4.0106656973340788</v>
      </c>
      <c r="E24" s="1499">
        <v>3.0537209186275942</v>
      </c>
      <c r="F24" s="1499">
        <v>2.345515784340849</v>
      </c>
      <c r="G24" s="1499">
        <v>2.0692396885272872</v>
      </c>
      <c r="H24" s="1499">
        <v>2.1986337906435023</v>
      </c>
      <c r="I24" s="1499">
        <v>3.8432240240934874</v>
      </c>
      <c r="J24" s="1499">
        <v>3.4225893127214202</v>
      </c>
      <c r="K24" s="113">
        <v>1.8584325493632545</v>
      </c>
    </row>
    <row r="25" spans="2:11" ht="14.5" thickBot="1" x14ac:dyDescent="0.35">
      <c r="B25" s="1233"/>
      <c r="C25" s="116" t="s">
        <v>1519</v>
      </c>
      <c r="D25" s="117">
        <v>4.3465245503031875</v>
      </c>
      <c r="E25" s="117">
        <v>3.3932159417137964</v>
      </c>
      <c r="F25" s="117">
        <v>2.680978668585781</v>
      </c>
      <c r="G25" s="117">
        <v>2.411396219357997</v>
      </c>
      <c r="H25" s="117">
        <v>2.5360102226352477</v>
      </c>
      <c r="I25" s="117">
        <v>4.1816118163846712</v>
      </c>
      <c r="J25" s="117">
        <v>3.7625835665215277</v>
      </c>
      <c r="K25" s="118">
        <v>2.198908028179591</v>
      </c>
    </row>
    <row r="26" spans="2:11" x14ac:dyDescent="0.3">
      <c r="B26" s="107" t="s">
        <v>1977</v>
      </c>
      <c r="C26" s="108" t="s">
        <v>1416</v>
      </c>
      <c r="D26" s="109">
        <v>3.554216747588435</v>
      </c>
      <c r="E26" s="109">
        <v>2.5693447705545842</v>
      </c>
      <c r="F26" s="109">
        <v>1.8645279179442911</v>
      </c>
      <c r="G26" s="109">
        <v>1.5837756415523068</v>
      </c>
      <c r="H26" s="109">
        <v>1.7229742274651474</v>
      </c>
      <c r="I26" s="109">
        <v>3.3853305148387709</v>
      </c>
      <c r="J26" s="109">
        <v>2.9504627239740526</v>
      </c>
      <c r="K26" s="110">
        <v>1.3789806375873592</v>
      </c>
    </row>
    <row r="27" spans="2:11" x14ac:dyDescent="0.3">
      <c r="B27" s="111" t="s">
        <v>1978</v>
      </c>
      <c r="C27" s="112" t="s">
        <v>1483</v>
      </c>
      <c r="D27" s="1499">
        <v>4.1237752281134386</v>
      </c>
      <c r="E27" s="1499">
        <v>3.1704666195240478</v>
      </c>
      <c r="F27" s="1499">
        <v>2.4582293463960321</v>
      </c>
      <c r="G27" s="1499">
        <v>2.1886468971682476</v>
      </c>
      <c r="H27" s="1499">
        <v>2.3132609004454987</v>
      </c>
      <c r="I27" s="1499">
        <v>3.9588624941949222</v>
      </c>
      <c r="J27" s="1499">
        <v>3.5398342443317787</v>
      </c>
      <c r="K27" s="113">
        <v>1.976158705989842</v>
      </c>
    </row>
    <row r="28" spans="2:11" x14ac:dyDescent="0.3">
      <c r="B28" s="111" t="s">
        <v>1981</v>
      </c>
      <c r="C28" s="112" t="s">
        <v>1489</v>
      </c>
      <c r="D28" s="1499">
        <v>4.0583008843549413</v>
      </c>
      <c r="E28" s="1499">
        <v>3.1049922757655506</v>
      </c>
      <c r="F28" s="1499">
        <v>2.3927550026375348</v>
      </c>
      <c r="G28" s="1499">
        <v>2.1231725534097508</v>
      </c>
      <c r="H28" s="1499">
        <v>2.2477865566870019</v>
      </c>
      <c r="I28" s="1499">
        <v>3.8933881504364249</v>
      </c>
      <c r="J28" s="1499">
        <v>3.4743599005732815</v>
      </c>
      <c r="K28" s="113">
        <v>1.910684362231345</v>
      </c>
    </row>
    <row r="29" spans="2:11" x14ac:dyDescent="0.3">
      <c r="B29" s="114">
        <v>0</v>
      </c>
      <c r="C29" s="112" t="s">
        <v>1496</v>
      </c>
      <c r="D29" s="1499">
        <v>3.9600893687171954</v>
      </c>
      <c r="E29" s="1499">
        <v>3.0067807601278047</v>
      </c>
      <c r="F29" s="1499">
        <v>2.2945434869997889</v>
      </c>
      <c r="G29" s="1499">
        <v>2.0249610377720049</v>
      </c>
      <c r="H29" s="1499">
        <v>2.149575041049256</v>
      </c>
      <c r="I29" s="1499">
        <v>3.7951766347986795</v>
      </c>
      <c r="J29" s="1499">
        <v>3.376148384935536</v>
      </c>
      <c r="K29" s="113">
        <v>1.8124728465935991</v>
      </c>
    </row>
    <row r="30" spans="2:11" x14ac:dyDescent="0.3">
      <c r="B30" s="115"/>
      <c r="C30" s="112" t="s">
        <v>1500</v>
      </c>
      <c r="D30" s="1499">
        <v>3.8618778530794495</v>
      </c>
      <c r="E30" s="1499">
        <v>2.9085692444900588</v>
      </c>
      <c r="F30" s="1499">
        <v>2.1963319713620435</v>
      </c>
      <c r="G30" s="1499">
        <v>1.9267495221342594</v>
      </c>
      <c r="H30" s="1499">
        <v>2.0513635254115106</v>
      </c>
      <c r="I30" s="1499">
        <v>3.6969651191609332</v>
      </c>
      <c r="J30" s="1499">
        <v>3.2779368692977897</v>
      </c>
      <c r="K30" s="113">
        <v>1.7142613309558536</v>
      </c>
    </row>
    <row r="31" spans="2:11" x14ac:dyDescent="0.3">
      <c r="B31" s="115"/>
      <c r="C31" s="112" t="s">
        <v>1504</v>
      </c>
      <c r="D31" s="1499">
        <v>4.0058083396670314</v>
      </c>
      <c r="E31" s="1499">
        <v>3.0488635609605459</v>
      </c>
      <c r="F31" s="1499">
        <v>2.3406584266738006</v>
      </c>
      <c r="G31" s="1499">
        <v>2.0643823308602394</v>
      </c>
      <c r="H31" s="1499">
        <v>2.193776432976454</v>
      </c>
      <c r="I31" s="1499">
        <v>3.8383666664264391</v>
      </c>
      <c r="J31" s="1499">
        <v>3.4177319550543719</v>
      </c>
      <c r="K31" s="113">
        <v>1.8535751916962067</v>
      </c>
    </row>
    <row r="32" spans="2:11" x14ac:dyDescent="0.3">
      <c r="B32" s="115"/>
      <c r="C32" s="112" t="s">
        <v>1508</v>
      </c>
      <c r="D32" s="1499">
        <v>3.951335348536356</v>
      </c>
      <c r="E32" s="1499">
        <v>2.994390569829871</v>
      </c>
      <c r="F32" s="1499">
        <v>2.2861854355431257</v>
      </c>
      <c r="G32" s="1499">
        <v>2.009909339729564</v>
      </c>
      <c r="H32" s="1499">
        <v>2.139303441845779</v>
      </c>
      <c r="I32" s="1499">
        <v>3.7838936752957641</v>
      </c>
      <c r="J32" s="1499">
        <v>3.3632589639236969</v>
      </c>
      <c r="K32" s="113">
        <v>1.7991022005655313</v>
      </c>
    </row>
    <row r="33" spans="2:11" x14ac:dyDescent="0.3">
      <c r="B33" s="115"/>
      <c r="C33" s="112" t="s">
        <v>1513</v>
      </c>
      <c r="D33" s="1499">
        <v>3.8696258618403432</v>
      </c>
      <c r="E33" s="1499">
        <v>2.9126810831338581</v>
      </c>
      <c r="F33" s="1499">
        <v>2.2044759488471128</v>
      </c>
      <c r="G33" s="1499">
        <v>1.9281998530335513</v>
      </c>
      <c r="H33" s="1499">
        <v>2.0575939551497662</v>
      </c>
      <c r="I33" s="1499">
        <v>3.7021841885997513</v>
      </c>
      <c r="J33" s="1499">
        <v>3.2815494772276841</v>
      </c>
      <c r="K33" s="113">
        <v>1.7173927138695186</v>
      </c>
    </row>
    <row r="34" spans="2:11" x14ac:dyDescent="0.3">
      <c r="B34" s="115"/>
      <c r="C34" s="112" t="s">
        <v>1517</v>
      </c>
      <c r="D34" s="1499">
        <v>3.7879163751443303</v>
      </c>
      <c r="E34" s="1499">
        <v>2.8309715964378452</v>
      </c>
      <c r="F34" s="1499">
        <v>2.1227664621511</v>
      </c>
      <c r="G34" s="1499">
        <v>1.8464903663375385</v>
      </c>
      <c r="H34" s="1499">
        <v>1.9758844684537533</v>
      </c>
      <c r="I34" s="1499">
        <v>3.6204747019037384</v>
      </c>
      <c r="J34" s="1499">
        <v>3.1998399905316712</v>
      </c>
      <c r="K34" s="113">
        <v>1.6356832271735058</v>
      </c>
    </row>
    <row r="35" spans="2:11" ht="14.5" thickBot="1" x14ac:dyDescent="0.35">
      <c r="B35" s="1233"/>
      <c r="C35" s="116" t="s">
        <v>1519</v>
      </c>
      <c r="D35" s="117">
        <v>4.1237752281134386</v>
      </c>
      <c r="E35" s="117">
        <v>3.1704666195240478</v>
      </c>
      <c r="F35" s="117">
        <v>2.4582293463960321</v>
      </c>
      <c r="G35" s="117">
        <v>2.1886468971682476</v>
      </c>
      <c r="H35" s="117">
        <v>2.3132609004454987</v>
      </c>
      <c r="I35" s="117">
        <v>3.9588624941949222</v>
      </c>
      <c r="J35" s="117">
        <v>3.5398342443317787</v>
      </c>
      <c r="K35" s="118">
        <v>1.976158705989842</v>
      </c>
    </row>
    <row r="36" spans="2:11" x14ac:dyDescent="0.3">
      <c r="B36" s="107" t="s">
        <v>1977</v>
      </c>
      <c r="C36" s="108" t="s">
        <v>1416</v>
      </c>
      <c r="D36" s="109">
        <v>3.331467425398686</v>
      </c>
      <c r="E36" s="109">
        <v>2.3465954483648357</v>
      </c>
      <c r="F36" s="109">
        <v>1.6417785957545423</v>
      </c>
      <c r="G36" s="109">
        <v>1.3610263193625578</v>
      </c>
      <c r="H36" s="109">
        <v>1.5002249052753984</v>
      </c>
      <c r="I36" s="109">
        <v>3.1625811926490219</v>
      </c>
      <c r="J36" s="109">
        <v>2.7277134017843041</v>
      </c>
      <c r="K36" s="110">
        <v>1.1562313153976103</v>
      </c>
    </row>
    <row r="37" spans="2:11" x14ac:dyDescent="0.3">
      <c r="B37" s="111" t="s">
        <v>1978</v>
      </c>
      <c r="C37" s="112" t="s">
        <v>1483</v>
      </c>
      <c r="D37" s="1499">
        <v>3.9010259059236896</v>
      </c>
      <c r="E37" s="1499">
        <v>2.9477172973342989</v>
      </c>
      <c r="F37" s="1499">
        <v>2.2354800242062831</v>
      </c>
      <c r="G37" s="1499">
        <v>1.9658975749784988</v>
      </c>
      <c r="H37" s="1499">
        <v>2.0905115782557497</v>
      </c>
      <c r="I37" s="1499">
        <v>3.7361131720051737</v>
      </c>
      <c r="J37" s="1499">
        <v>3.3170849221420298</v>
      </c>
      <c r="K37" s="113">
        <v>1.753409383800093</v>
      </c>
    </row>
    <row r="38" spans="2:11" x14ac:dyDescent="0.3">
      <c r="B38" s="111" t="s">
        <v>1982</v>
      </c>
      <c r="C38" s="112" t="s">
        <v>1489</v>
      </c>
      <c r="D38" s="1499">
        <v>3.8355515621651923</v>
      </c>
      <c r="E38" s="1499">
        <v>2.8822429535758016</v>
      </c>
      <c r="F38" s="1499">
        <v>2.1700056804477859</v>
      </c>
      <c r="G38" s="1499">
        <v>1.900423231220002</v>
      </c>
      <c r="H38" s="1499">
        <v>2.0250372344972529</v>
      </c>
      <c r="I38" s="1499">
        <v>3.6706388282466764</v>
      </c>
      <c r="J38" s="1499">
        <v>3.2516105783835325</v>
      </c>
      <c r="K38" s="113">
        <v>1.6879350400415962</v>
      </c>
    </row>
    <row r="39" spans="2:11" x14ac:dyDescent="0.3">
      <c r="B39" s="114">
        <v>0</v>
      </c>
      <c r="C39" s="112" t="s">
        <v>1496</v>
      </c>
      <c r="D39" s="1499">
        <v>3.7373400465274469</v>
      </c>
      <c r="E39" s="1499">
        <v>2.7840314379380553</v>
      </c>
      <c r="F39" s="1499">
        <v>2.0717941648100404</v>
      </c>
      <c r="G39" s="1499">
        <v>1.8022117155822561</v>
      </c>
      <c r="H39" s="1499">
        <v>1.926825718859507</v>
      </c>
      <c r="I39" s="1499">
        <v>3.5724273126089305</v>
      </c>
      <c r="J39" s="1499">
        <v>3.1533990627457871</v>
      </c>
      <c r="K39" s="113">
        <v>1.5897235244038503</v>
      </c>
    </row>
    <row r="40" spans="2:11" x14ac:dyDescent="0.3">
      <c r="B40" s="115"/>
      <c r="C40" s="112" t="s">
        <v>1500</v>
      </c>
      <c r="D40" s="1499">
        <v>3.6391285308897006</v>
      </c>
      <c r="E40" s="1499">
        <v>2.6858199223003099</v>
      </c>
      <c r="F40" s="1499">
        <v>1.9735826491722943</v>
      </c>
      <c r="G40" s="1499">
        <v>1.7040001999445102</v>
      </c>
      <c r="H40" s="1499">
        <v>1.8286142032217614</v>
      </c>
      <c r="I40" s="1499">
        <v>3.4742157969711847</v>
      </c>
      <c r="J40" s="1499">
        <v>3.0551875471080407</v>
      </c>
      <c r="K40" s="113">
        <v>1.4915120087661045</v>
      </c>
    </row>
    <row r="41" spans="2:11" x14ac:dyDescent="0.3">
      <c r="B41" s="115"/>
      <c r="C41" s="112" t="s">
        <v>1504</v>
      </c>
      <c r="D41" s="1499">
        <v>3.7830590174772825</v>
      </c>
      <c r="E41" s="1499">
        <v>2.8261142387707969</v>
      </c>
      <c r="F41" s="1499">
        <v>2.1179091044840521</v>
      </c>
      <c r="G41" s="1499">
        <v>1.8416330086704904</v>
      </c>
      <c r="H41" s="1499">
        <v>1.9710271107867052</v>
      </c>
      <c r="I41" s="1499">
        <v>3.6156173442366906</v>
      </c>
      <c r="J41" s="1499">
        <v>3.1949826328646234</v>
      </c>
      <c r="K41" s="113">
        <v>1.6308258695064577</v>
      </c>
    </row>
    <row r="42" spans="2:11" x14ac:dyDescent="0.3">
      <c r="B42" s="115"/>
      <c r="C42" s="112" t="s">
        <v>1508</v>
      </c>
      <c r="D42" s="1499">
        <v>3.7285860263466071</v>
      </c>
      <c r="E42" s="1499">
        <v>2.771641247640122</v>
      </c>
      <c r="F42" s="1499">
        <v>2.0634361133533767</v>
      </c>
      <c r="G42" s="1499">
        <v>1.787160017539815</v>
      </c>
      <c r="H42" s="1499">
        <v>1.9165541196560301</v>
      </c>
      <c r="I42" s="1499">
        <v>3.5611443531060156</v>
      </c>
      <c r="J42" s="1499">
        <v>3.140509641733948</v>
      </c>
      <c r="K42" s="113">
        <v>1.5763528783757823</v>
      </c>
    </row>
    <row r="43" spans="2:11" x14ac:dyDescent="0.3">
      <c r="B43" s="115"/>
      <c r="C43" s="112" t="s">
        <v>1513</v>
      </c>
      <c r="D43" s="1499">
        <v>3.6468765396505942</v>
      </c>
      <c r="E43" s="1499">
        <v>2.6899317609441091</v>
      </c>
      <c r="F43" s="1499">
        <v>1.9817266266573641</v>
      </c>
      <c r="G43" s="1499">
        <v>1.7054505308438024</v>
      </c>
      <c r="H43" s="1499">
        <v>1.8348446329600172</v>
      </c>
      <c r="I43" s="1499">
        <v>3.4794348664100028</v>
      </c>
      <c r="J43" s="1499">
        <v>3.0588001550379356</v>
      </c>
      <c r="K43" s="113">
        <v>1.4946433916797695</v>
      </c>
    </row>
    <row r="44" spans="2:11" x14ac:dyDescent="0.3">
      <c r="B44" s="115"/>
      <c r="C44" s="112" t="s">
        <v>1517</v>
      </c>
      <c r="D44" s="1499">
        <v>3.5651670529545814</v>
      </c>
      <c r="E44" s="1499">
        <v>2.6082222742480963</v>
      </c>
      <c r="F44" s="1499">
        <v>1.9000171399613512</v>
      </c>
      <c r="G44" s="1499">
        <v>1.6237410441477895</v>
      </c>
      <c r="H44" s="1499">
        <v>1.7531351462640046</v>
      </c>
      <c r="I44" s="1499">
        <v>3.3977253797139899</v>
      </c>
      <c r="J44" s="1499">
        <v>2.9770906683419227</v>
      </c>
      <c r="K44" s="113">
        <v>1.4129339049837566</v>
      </c>
    </row>
    <row r="45" spans="2:11" ht="14.5" thickBot="1" x14ac:dyDescent="0.35">
      <c r="B45" s="1233"/>
      <c r="C45" s="116" t="s">
        <v>1519</v>
      </c>
      <c r="D45" s="117">
        <v>3.9010259059236896</v>
      </c>
      <c r="E45" s="117">
        <v>2.9477172973342989</v>
      </c>
      <c r="F45" s="117">
        <v>2.2354800242062831</v>
      </c>
      <c r="G45" s="117">
        <v>1.9658975749784988</v>
      </c>
      <c r="H45" s="117">
        <v>2.0905115782557497</v>
      </c>
      <c r="I45" s="117">
        <v>3.7361131720051737</v>
      </c>
      <c r="J45" s="117">
        <v>3.3170849221420298</v>
      </c>
      <c r="K45" s="118">
        <v>1.753409383800093</v>
      </c>
    </row>
    <row r="46" spans="2:11" x14ac:dyDescent="0.3">
      <c r="B46" s="119" t="s">
        <v>1983</v>
      </c>
      <c r="C46" s="108" t="s">
        <v>1416</v>
      </c>
      <c r="D46" s="109">
        <v>3.5418246033462424</v>
      </c>
      <c r="E46" s="109">
        <v>2.5420369873355839</v>
      </c>
      <c r="F46" s="109">
        <v>1.8801251610326739</v>
      </c>
      <c r="G46" s="109">
        <v>1.5789550438186979</v>
      </c>
      <c r="H46" s="109">
        <v>1.7322443849354847</v>
      </c>
      <c r="I46" s="109">
        <v>3.3419519531809487</v>
      </c>
      <c r="J46" s="109">
        <v>2.9126660736986389</v>
      </c>
      <c r="K46" s="110">
        <v>1.3847537180862575</v>
      </c>
    </row>
    <row r="47" spans="2:11" x14ac:dyDescent="0.3">
      <c r="B47" s="111"/>
      <c r="C47" s="112" t="s">
        <v>1483</v>
      </c>
      <c r="D47" s="1499">
        <v>4.1161969094679609</v>
      </c>
      <c r="E47" s="1499">
        <v>3.1470255449815179</v>
      </c>
      <c r="F47" s="1499">
        <v>2.4608863987631255</v>
      </c>
      <c r="G47" s="1499">
        <v>2.1800520981783111</v>
      </c>
      <c r="H47" s="1499">
        <v>2.3111387130227912</v>
      </c>
      <c r="I47" s="1499">
        <v>3.929291258134568</v>
      </c>
      <c r="J47" s="1499">
        <v>3.5121109102499588</v>
      </c>
      <c r="K47" s="113">
        <v>1.9847302205588981</v>
      </c>
    </row>
    <row r="48" spans="2:11" x14ac:dyDescent="0.3">
      <c r="B48" s="111" t="s">
        <v>1979</v>
      </c>
      <c r="C48" s="112" t="s">
        <v>1489</v>
      </c>
      <c r="D48" s="1499">
        <v>4.0507225657094637</v>
      </c>
      <c r="E48" s="1499">
        <v>3.0815512012230206</v>
      </c>
      <c r="F48" s="1499">
        <v>2.3954120550046283</v>
      </c>
      <c r="G48" s="1499">
        <v>2.1145777544198143</v>
      </c>
      <c r="H48" s="1499">
        <v>2.2456643692642944</v>
      </c>
      <c r="I48" s="1499">
        <v>3.8638169143760708</v>
      </c>
      <c r="J48" s="1499">
        <v>3.4466365664914616</v>
      </c>
      <c r="K48" s="113">
        <v>1.9192558768004013</v>
      </c>
    </row>
    <row r="49" spans="2:11" x14ac:dyDescent="0.3">
      <c r="B49" s="114">
        <v>0</v>
      </c>
      <c r="C49" s="112" t="s">
        <v>1496</v>
      </c>
      <c r="D49" s="1499">
        <v>3.9525110500717182</v>
      </c>
      <c r="E49" s="1499">
        <v>2.9833396855852747</v>
      </c>
      <c r="F49" s="1499">
        <v>2.2972005393668824</v>
      </c>
      <c r="G49" s="1499">
        <v>2.0163662387820684</v>
      </c>
      <c r="H49" s="1499">
        <v>2.1474528536265485</v>
      </c>
      <c r="I49" s="1499">
        <v>3.7656053987383249</v>
      </c>
      <c r="J49" s="1499">
        <v>3.3484250508537157</v>
      </c>
      <c r="K49" s="113">
        <v>1.8210443611626554</v>
      </c>
    </row>
    <row r="50" spans="2:11" x14ac:dyDescent="0.3">
      <c r="B50" s="115"/>
      <c r="C50" s="112" t="s">
        <v>1500</v>
      </c>
      <c r="D50" s="1499">
        <v>3.8542995344339723</v>
      </c>
      <c r="E50" s="1499">
        <v>2.8851281699475289</v>
      </c>
      <c r="F50" s="1499">
        <v>2.198989023729137</v>
      </c>
      <c r="G50" s="1499">
        <v>1.9181547231443228</v>
      </c>
      <c r="H50" s="1499">
        <v>2.0492413379888026</v>
      </c>
      <c r="I50" s="1499">
        <v>3.667393883100579</v>
      </c>
      <c r="J50" s="1499">
        <v>3.2502135352159698</v>
      </c>
      <c r="K50" s="113">
        <v>1.7228328455249098</v>
      </c>
    </row>
    <row r="51" spans="2:11" x14ac:dyDescent="0.3">
      <c r="B51" s="115"/>
      <c r="C51" s="112" t="s">
        <v>1504</v>
      </c>
      <c r="D51" s="1499">
        <v>4.0012033611045279</v>
      </c>
      <c r="E51" s="1499">
        <v>3.0240438387308335</v>
      </c>
      <c r="F51" s="1499">
        <v>2.3400381983459639</v>
      </c>
      <c r="G51" s="1499">
        <v>2.0604350932989619</v>
      </c>
      <c r="H51" s="1499">
        <v>2.1904011498413349</v>
      </c>
      <c r="I51" s="1499">
        <v>3.8074007995159227</v>
      </c>
      <c r="J51" s="1499">
        <v>3.3907011300892664</v>
      </c>
      <c r="K51" s="113">
        <v>1.8634438850293218</v>
      </c>
    </row>
    <row r="52" spans="2:11" x14ac:dyDescent="0.3">
      <c r="B52" s="115"/>
      <c r="C52" s="112" t="s">
        <v>1508</v>
      </c>
      <c r="D52" s="1499">
        <v>3.9467303699738525</v>
      </c>
      <c r="E52" s="1499">
        <v>2.9695708476001585</v>
      </c>
      <c r="F52" s="1499">
        <v>2.2855652072152886</v>
      </c>
      <c r="G52" s="1499">
        <v>2.005962102168287</v>
      </c>
      <c r="H52" s="1499">
        <v>2.13592815871066</v>
      </c>
      <c r="I52" s="1499">
        <v>3.7529278083852478</v>
      </c>
      <c r="J52" s="1499">
        <v>3.3362281389585915</v>
      </c>
      <c r="K52" s="113">
        <v>1.8089708938986468</v>
      </c>
    </row>
    <row r="53" spans="2:11" x14ac:dyDescent="0.3">
      <c r="B53" s="115"/>
      <c r="C53" s="112" t="s">
        <v>1513</v>
      </c>
      <c r="D53" s="1499">
        <v>3.8650208832778397</v>
      </c>
      <c r="E53" s="1499">
        <v>2.8878613609041457</v>
      </c>
      <c r="F53" s="1499">
        <v>2.2038557205192757</v>
      </c>
      <c r="G53" s="1499">
        <v>1.9242526154722743</v>
      </c>
      <c r="H53" s="1499">
        <v>2.0542186720146471</v>
      </c>
      <c r="I53" s="1499">
        <v>3.6712183216892349</v>
      </c>
      <c r="J53" s="1499">
        <v>3.2545186522625786</v>
      </c>
      <c r="K53" s="113">
        <v>1.727261407202634</v>
      </c>
    </row>
    <row r="54" spans="2:11" x14ac:dyDescent="0.3">
      <c r="B54" s="115"/>
      <c r="C54" s="112" t="s">
        <v>1517</v>
      </c>
      <c r="D54" s="1499">
        <v>3.7833113965818268</v>
      </c>
      <c r="E54" s="1499">
        <v>2.8061518742081328</v>
      </c>
      <c r="F54" s="1499">
        <v>2.1221462338232633</v>
      </c>
      <c r="G54" s="1499">
        <v>1.8425431287762615</v>
      </c>
      <c r="H54" s="1499">
        <v>1.9725091853186343</v>
      </c>
      <c r="I54" s="1499">
        <v>3.589508834993222</v>
      </c>
      <c r="J54" s="1499">
        <v>3.1728091655665658</v>
      </c>
      <c r="K54" s="113">
        <v>1.6455519205066211</v>
      </c>
    </row>
    <row r="55" spans="2:11" ht="14.5" thickBot="1" x14ac:dyDescent="0.35">
      <c r="B55" s="1233"/>
      <c r="C55" s="116" t="s">
        <v>1519</v>
      </c>
      <c r="D55" s="117">
        <v>4.1161969094679609</v>
      </c>
      <c r="E55" s="117">
        <v>3.1470255449815179</v>
      </c>
      <c r="F55" s="117">
        <v>2.4608863987631255</v>
      </c>
      <c r="G55" s="117">
        <v>2.1800520981783111</v>
      </c>
      <c r="H55" s="117">
        <v>2.3111387130227912</v>
      </c>
      <c r="I55" s="117">
        <v>3.929291258134568</v>
      </c>
      <c r="J55" s="117">
        <v>3.5121109102499588</v>
      </c>
      <c r="K55" s="118">
        <v>1.9847302205588981</v>
      </c>
    </row>
    <row r="56" spans="2:11" x14ac:dyDescent="0.3">
      <c r="B56" s="119" t="s">
        <v>1983</v>
      </c>
      <c r="C56" s="108" t="s">
        <v>1416</v>
      </c>
      <c r="D56" s="109">
        <v>3.4665358479712998</v>
      </c>
      <c r="E56" s="109">
        <v>2.4667482319606413</v>
      </c>
      <c r="F56" s="109">
        <v>1.8048364056577315</v>
      </c>
      <c r="G56" s="109">
        <v>1.5036662884437555</v>
      </c>
      <c r="H56" s="109">
        <v>1.6569556295605423</v>
      </c>
      <c r="I56" s="109">
        <v>3.2666631978060061</v>
      </c>
      <c r="J56" s="109">
        <v>2.8373773183236963</v>
      </c>
      <c r="K56" s="110">
        <v>1.3094649627113151</v>
      </c>
    </row>
    <row r="57" spans="2:11" x14ac:dyDescent="0.3">
      <c r="B57" s="111"/>
      <c r="C57" s="112" t="s">
        <v>1483</v>
      </c>
      <c r="D57" s="1499">
        <v>4.0409081540930192</v>
      </c>
      <c r="E57" s="1499">
        <v>3.0717367896065753</v>
      </c>
      <c r="F57" s="1499">
        <v>2.3855976433881834</v>
      </c>
      <c r="G57" s="1499">
        <v>2.104763342803369</v>
      </c>
      <c r="H57" s="1499">
        <v>2.235849957647849</v>
      </c>
      <c r="I57" s="1499">
        <v>3.8540025027596254</v>
      </c>
      <c r="J57" s="1499">
        <v>3.4368221548750162</v>
      </c>
      <c r="K57" s="113">
        <v>1.909441465183956</v>
      </c>
    </row>
    <row r="58" spans="2:11" x14ac:dyDescent="0.3">
      <c r="B58" s="111" t="s">
        <v>1980</v>
      </c>
      <c r="C58" s="112" t="s">
        <v>1489</v>
      </c>
      <c r="D58" s="1499">
        <v>3.9754338103345215</v>
      </c>
      <c r="E58" s="1499">
        <v>3.006262445848078</v>
      </c>
      <c r="F58" s="1499">
        <v>2.3201232996296861</v>
      </c>
      <c r="G58" s="1499">
        <v>2.0392889990448717</v>
      </c>
      <c r="H58" s="1499">
        <v>2.1703756138893517</v>
      </c>
      <c r="I58" s="1499">
        <v>3.7885281590011282</v>
      </c>
      <c r="J58" s="1499">
        <v>3.3713478111165189</v>
      </c>
      <c r="K58" s="113">
        <v>1.8439671214254587</v>
      </c>
    </row>
    <row r="59" spans="2:11" x14ac:dyDescent="0.3">
      <c r="B59" s="114">
        <v>0</v>
      </c>
      <c r="C59" s="112" t="s">
        <v>1496</v>
      </c>
      <c r="D59" s="1499">
        <v>3.877222294696776</v>
      </c>
      <c r="E59" s="1499">
        <v>2.9080509302103326</v>
      </c>
      <c r="F59" s="1499">
        <v>2.2219117839919402</v>
      </c>
      <c r="G59" s="1499">
        <v>1.9410774834071263</v>
      </c>
      <c r="H59" s="1499">
        <v>2.0721640982516059</v>
      </c>
      <c r="I59" s="1499">
        <v>3.6903166433633827</v>
      </c>
      <c r="J59" s="1499">
        <v>3.2731362954787735</v>
      </c>
      <c r="K59" s="113">
        <v>1.745755605787713</v>
      </c>
    </row>
    <row r="60" spans="2:11" x14ac:dyDescent="0.3">
      <c r="B60" s="115"/>
      <c r="C60" s="112" t="s">
        <v>1500</v>
      </c>
      <c r="D60" s="1499">
        <v>3.7790107790590302</v>
      </c>
      <c r="E60" s="1499">
        <v>2.8098394145725862</v>
      </c>
      <c r="F60" s="1499">
        <v>2.1237002683541943</v>
      </c>
      <c r="G60" s="1499">
        <v>1.8428659677693804</v>
      </c>
      <c r="H60" s="1499">
        <v>1.9739525826138602</v>
      </c>
      <c r="I60" s="1499">
        <v>3.5921051277256368</v>
      </c>
      <c r="J60" s="1499">
        <v>3.1749247798410276</v>
      </c>
      <c r="K60" s="113">
        <v>1.6475440901499674</v>
      </c>
    </row>
    <row r="61" spans="2:11" x14ac:dyDescent="0.3">
      <c r="B61" s="115"/>
      <c r="C61" s="112" t="s">
        <v>1504</v>
      </c>
      <c r="D61" s="1499">
        <v>3.9259146057295853</v>
      </c>
      <c r="E61" s="1499">
        <v>2.9487550833558913</v>
      </c>
      <c r="F61" s="1499">
        <v>2.2647494429710218</v>
      </c>
      <c r="G61" s="1499">
        <v>1.98514633792402</v>
      </c>
      <c r="H61" s="1499">
        <v>2.1151123944663928</v>
      </c>
      <c r="I61" s="1499">
        <v>3.7321120441409805</v>
      </c>
      <c r="J61" s="1499">
        <v>3.3154123747143243</v>
      </c>
      <c r="K61" s="113">
        <v>1.7881551296543796</v>
      </c>
    </row>
    <row r="62" spans="2:11" x14ac:dyDescent="0.3">
      <c r="B62" s="115"/>
      <c r="C62" s="112" t="s">
        <v>1508</v>
      </c>
      <c r="D62" s="1499">
        <v>3.8714416145989103</v>
      </c>
      <c r="E62" s="1499">
        <v>2.8942820922252159</v>
      </c>
      <c r="F62" s="1499">
        <v>2.2102764518403464</v>
      </c>
      <c r="G62" s="1499">
        <v>1.9306733467933446</v>
      </c>
      <c r="H62" s="1499">
        <v>2.0606394033357174</v>
      </c>
      <c r="I62" s="1499">
        <v>3.6776390530103056</v>
      </c>
      <c r="J62" s="1499">
        <v>3.2609393835836489</v>
      </c>
      <c r="K62" s="113">
        <v>1.7336821385237045</v>
      </c>
    </row>
    <row r="63" spans="2:11" x14ac:dyDescent="0.3">
      <c r="B63" s="115"/>
      <c r="C63" s="112" t="s">
        <v>1513</v>
      </c>
      <c r="D63" s="1499">
        <v>3.7897321279028975</v>
      </c>
      <c r="E63" s="1499">
        <v>2.8125726055292031</v>
      </c>
      <c r="F63" s="1499">
        <v>2.1285669651443335</v>
      </c>
      <c r="G63" s="1499">
        <v>1.8489638600973317</v>
      </c>
      <c r="H63" s="1499">
        <v>1.9789299166397047</v>
      </c>
      <c r="I63" s="1499">
        <v>3.5959295663142927</v>
      </c>
      <c r="J63" s="1499">
        <v>3.179229896887636</v>
      </c>
      <c r="K63" s="113">
        <v>1.6519726518276916</v>
      </c>
    </row>
    <row r="64" spans="2:11" x14ac:dyDescent="0.3">
      <c r="B64" s="115"/>
      <c r="C64" s="112" t="s">
        <v>1517</v>
      </c>
      <c r="D64" s="1499">
        <v>3.7080226412068846</v>
      </c>
      <c r="E64" s="1499">
        <v>2.7308631188331902</v>
      </c>
      <c r="F64" s="1499">
        <v>2.0468574784483207</v>
      </c>
      <c r="G64" s="1499">
        <v>1.7672543734013191</v>
      </c>
      <c r="H64" s="1499">
        <v>1.8972204299436919</v>
      </c>
      <c r="I64" s="1499">
        <v>3.5142200796182799</v>
      </c>
      <c r="J64" s="1499">
        <v>3.0975204101916236</v>
      </c>
      <c r="K64" s="113">
        <v>1.5702631651316787</v>
      </c>
    </row>
    <row r="65" spans="2:11" ht="14.5" thickBot="1" x14ac:dyDescent="0.35">
      <c r="B65" s="1233"/>
      <c r="C65" s="116" t="s">
        <v>1519</v>
      </c>
      <c r="D65" s="117">
        <v>4.0409081540930192</v>
      </c>
      <c r="E65" s="117">
        <v>3.0717367896065753</v>
      </c>
      <c r="F65" s="117">
        <v>2.3855976433881834</v>
      </c>
      <c r="G65" s="117">
        <v>2.104763342803369</v>
      </c>
      <c r="H65" s="117">
        <v>2.235849957647849</v>
      </c>
      <c r="I65" s="117">
        <v>3.8540025027596254</v>
      </c>
      <c r="J65" s="117">
        <v>3.4368221548750162</v>
      </c>
      <c r="K65" s="118">
        <v>1.909441465183956</v>
      </c>
    </row>
    <row r="66" spans="2:11" x14ac:dyDescent="0.3">
      <c r="B66" s="119" t="s">
        <v>1983</v>
      </c>
      <c r="C66" s="108" t="s">
        <v>1416</v>
      </c>
      <c r="D66" s="109">
        <v>3.3536027149088863</v>
      </c>
      <c r="E66" s="109">
        <v>2.3538150988982278</v>
      </c>
      <c r="F66" s="109">
        <v>1.691903272595318</v>
      </c>
      <c r="G66" s="109">
        <v>1.390733155381342</v>
      </c>
      <c r="H66" s="109">
        <v>1.5440224964981288</v>
      </c>
      <c r="I66" s="109">
        <v>3.1537300647435926</v>
      </c>
      <c r="J66" s="109">
        <v>2.7244441852612828</v>
      </c>
      <c r="K66" s="110">
        <v>1.1965318296489016</v>
      </c>
    </row>
    <row r="67" spans="2:11" x14ac:dyDescent="0.3">
      <c r="B67" s="111"/>
      <c r="C67" s="112" t="s">
        <v>1483</v>
      </c>
      <c r="D67" s="1499">
        <v>3.9279750210306053</v>
      </c>
      <c r="E67" s="1499">
        <v>2.9588036565441618</v>
      </c>
      <c r="F67" s="1499">
        <v>2.2726645103257694</v>
      </c>
      <c r="G67" s="1499">
        <v>1.9918302097409555</v>
      </c>
      <c r="H67" s="1499">
        <v>2.1229168245854351</v>
      </c>
      <c r="I67" s="1499">
        <v>3.7410693696972119</v>
      </c>
      <c r="J67" s="1499">
        <v>3.3238890218126027</v>
      </c>
      <c r="K67" s="113">
        <v>1.7965083321215425</v>
      </c>
    </row>
    <row r="68" spans="2:11" x14ac:dyDescent="0.3">
      <c r="B68" s="111" t="s">
        <v>1981</v>
      </c>
      <c r="C68" s="112" t="s">
        <v>1489</v>
      </c>
      <c r="D68" s="1499">
        <v>3.862500677272108</v>
      </c>
      <c r="E68" s="1499">
        <v>2.8933293127856645</v>
      </c>
      <c r="F68" s="1499">
        <v>2.2071901665672726</v>
      </c>
      <c r="G68" s="1499">
        <v>1.9263558659824584</v>
      </c>
      <c r="H68" s="1499">
        <v>2.0574424808269383</v>
      </c>
      <c r="I68" s="1499">
        <v>3.6755950259387147</v>
      </c>
      <c r="J68" s="1499">
        <v>3.2584146780541055</v>
      </c>
      <c r="K68" s="113">
        <v>1.7310339883630455</v>
      </c>
    </row>
    <row r="69" spans="2:11" x14ac:dyDescent="0.3">
      <c r="B69" s="114">
        <v>0</v>
      </c>
      <c r="C69" s="112" t="s">
        <v>1496</v>
      </c>
      <c r="D69" s="1499">
        <v>3.7642891616343621</v>
      </c>
      <c r="E69" s="1499">
        <v>2.7951177971479186</v>
      </c>
      <c r="F69" s="1499">
        <v>2.1089786509295267</v>
      </c>
      <c r="G69" s="1499">
        <v>1.8281443503447126</v>
      </c>
      <c r="H69" s="1499">
        <v>1.9592309651891924</v>
      </c>
      <c r="I69" s="1499">
        <v>3.5773835103009688</v>
      </c>
      <c r="J69" s="1499">
        <v>3.1602031624163596</v>
      </c>
      <c r="K69" s="113">
        <v>1.6328224727252996</v>
      </c>
    </row>
    <row r="70" spans="2:11" x14ac:dyDescent="0.3">
      <c r="B70" s="115"/>
      <c r="C70" s="112" t="s">
        <v>1500</v>
      </c>
      <c r="D70" s="1499">
        <v>3.6660776459966167</v>
      </c>
      <c r="E70" s="1499">
        <v>2.6969062815101732</v>
      </c>
      <c r="F70" s="1499">
        <v>2.0107671352917813</v>
      </c>
      <c r="G70" s="1499">
        <v>1.7299328347069669</v>
      </c>
      <c r="H70" s="1499">
        <v>1.8610194495514465</v>
      </c>
      <c r="I70" s="1499">
        <v>3.4791719946632234</v>
      </c>
      <c r="J70" s="1499">
        <v>3.0619916467786141</v>
      </c>
      <c r="K70" s="113">
        <v>1.5346109570875537</v>
      </c>
    </row>
    <row r="71" spans="2:11" x14ac:dyDescent="0.3">
      <c r="B71" s="115"/>
      <c r="C71" s="112" t="s">
        <v>1504</v>
      </c>
      <c r="D71" s="1499">
        <v>3.8129814726671718</v>
      </c>
      <c r="E71" s="1499">
        <v>2.8358219502934778</v>
      </c>
      <c r="F71" s="1499">
        <v>2.1518163099086078</v>
      </c>
      <c r="G71" s="1499">
        <v>1.8722132048616063</v>
      </c>
      <c r="H71" s="1499">
        <v>2.0021792614039793</v>
      </c>
      <c r="I71" s="1499">
        <v>3.6191789110785675</v>
      </c>
      <c r="J71" s="1499">
        <v>3.2024792416519108</v>
      </c>
      <c r="K71" s="113">
        <v>1.6752219965919661</v>
      </c>
    </row>
    <row r="72" spans="2:11" x14ac:dyDescent="0.3">
      <c r="B72" s="115"/>
      <c r="C72" s="112" t="s">
        <v>1508</v>
      </c>
      <c r="D72" s="1499">
        <v>3.7585084815364964</v>
      </c>
      <c r="E72" s="1499">
        <v>2.7813489591628024</v>
      </c>
      <c r="F72" s="1499">
        <v>2.0973433187779329</v>
      </c>
      <c r="G72" s="1499">
        <v>1.8177402137309313</v>
      </c>
      <c r="H72" s="1499">
        <v>1.9477062702733041</v>
      </c>
      <c r="I72" s="1499">
        <v>3.5647059199478917</v>
      </c>
      <c r="J72" s="1499">
        <v>3.1480062505212354</v>
      </c>
      <c r="K72" s="113">
        <v>1.620749005461291</v>
      </c>
    </row>
    <row r="73" spans="2:11" x14ac:dyDescent="0.3">
      <c r="B73" s="115"/>
      <c r="C73" s="112" t="s">
        <v>1513</v>
      </c>
      <c r="D73" s="1499">
        <v>3.6767989948404836</v>
      </c>
      <c r="E73" s="1499">
        <v>2.6996394724667896</v>
      </c>
      <c r="F73" s="1499">
        <v>2.01563383208192</v>
      </c>
      <c r="G73" s="1499">
        <v>1.7360307270349185</v>
      </c>
      <c r="H73" s="1499">
        <v>1.8659967835772913</v>
      </c>
      <c r="I73" s="1499">
        <v>3.4829964332518788</v>
      </c>
      <c r="J73" s="1499">
        <v>3.0662967638252225</v>
      </c>
      <c r="K73" s="113">
        <v>1.5390395187652781</v>
      </c>
    </row>
    <row r="74" spans="2:11" x14ac:dyDescent="0.3">
      <c r="B74" s="115"/>
      <c r="C74" s="112" t="s">
        <v>1517</v>
      </c>
      <c r="D74" s="1499">
        <v>3.5950895081444707</v>
      </c>
      <c r="E74" s="1499">
        <v>2.6179299857707767</v>
      </c>
      <c r="F74" s="1499">
        <v>1.9339243453859072</v>
      </c>
      <c r="G74" s="1499">
        <v>1.6543212403389056</v>
      </c>
      <c r="H74" s="1499">
        <v>1.7842872968812784</v>
      </c>
      <c r="I74" s="1499">
        <v>3.4012869465558659</v>
      </c>
      <c r="J74" s="1499">
        <v>2.9845872771292097</v>
      </c>
      <c r="K74" s="113">
        <v>1.4573300320692653</v>
      </c>
    </row>
    <row r="75" spans="2:11" ht="14.5" thickBot="1" x14ac:dyDescent="0.35">
      <c r="B75" s="1233"/>
      <c r="C75" s="116" t="s">
        <v>1519</v>
      </c>
      <c r="D75" s="117">
        <v>3.9279750210306053</v>
      </c>
      <c r="E75" s="117">
        <v>2.9588036565441618</v>
      </c>
      <c r="F75" s="117">
        <v>2.2726645103257694</v>
      </c>
      <c r="G75" s="117">
        <v>1.9918302097409555</v>
      </c>
      <c r="H75" s="117">
        <v>2.1229168245854351</v>
      </c>
      <c r="I75" s="117">
        <v>3.7410693696972119</v>
      </c>
      <c r="J75" s="117">
        <v>3.3238890218126027</v>
      </c>
      <c r="K75" s="118">
        <v>1.7965083321215425</v>
      </c>
    </row>
    <row r="76" spans="2:11" x14ac:dyDescent="0.3">
      <c r="B76" s="119" t="s">
        <v>1983</v>
      </c>
      <c r="C76" s="108" t="s">
        <v>1416</v>
      </c>
      <c r="D76" s="109">
        <v>3.2406695818464728</v>
      </c>
      <c r="E76" s="109">
        <v>2.2408819658358143</v>
      </c>
      <c r="F76" s="109">
        <v>1.5789701395329045</v>
      </c>
      <c r="G76" s="109">
        <v>1.2778000223189283</v>
      </c>
      <c r="H76" s="109">
        <v>1.4310893634357151</v>
      </c>
      <c r="I76" s="109">
        <v>3.0407969316811791</v>
      </c>
      <c r="J76" s="109">
        <v>2.6115110521988698</v>
      </c>
      <c r="K76" s="110">
        <v>1.0835986965864879</v>
      </c>
    </row>
    <row r="77" spans="2:11" x14ac:dyDescent="0.3">
      <c r="B77" s="111"/>
      <c r="C77" s="112" t="s">
        <v>1483</v>
      </c>
      <c r="D77" s="1499">
        <v>3.8150418879681913</v>
      </c>
      <c r="E77" s="1499">
        <v>2.8458705234817478</v>
      </c>
      <c r="F77" s="1499">
        <v>2.159731377263356</v>
      </c>
      <c r="G77" s="1499">
        <v>1.878897076678542</v>
      </c>
      <c r="H77" s="1499">
        <v>2.009983691523022</v>
      </c>
      <c r="I77" s="1499">
        <v>3.628136236634798</v>
      </c>
      <c r="J77" s="1499">
        <v>3.2109558887501888</v>
      </c>
      <c r="K77" s="113">
        <v>1.683575199059129</v>
      </c>
    </row>
    <row r="78" spans="2:11" x14ac:dyDescent="0.3">
      <c r="B78" s="111" t="s">
        <v>1982</v>
      </c>
      <c r="C78" s="112" t="s">
        <v>1489</v>
      </c>
      <c r="D78" s="1499">
        <v>3.7495675442096945</v>
      </c>
      <c r="E78" s="1499">
        <v>2.780396179723251</v>
      </c>
      <c r="F78" s="1499">
        <v>2.0942570335048587</v>
      </c>
      <c r="G78" s="1499">
        <v>1.8134227329200447</v>
      </c>
      <c r="H78" s="1499">
        <v>1.9445093477645246</v>
      </c>
      <c r="I78" s="1499">
        <v>3.5626618928763012</v>
      </c>
      <c r="J78" s="1499">
        <v>3.145481544991692</v>
      </c>
      <c r="K78" s="113">
        <v>1.6181008553006317</v>
      </c>
    </row>
    <row r="79" spans="2:11" x14ac:dyDescent="0.3">
      <c r="B79" s="114">
        <v>0</v>
      </c>
      <c r="C79" s="112" t="s">
        <v>1496</v>
      </c>
      <c r="D79" s="1499">
        <v>3.6513560285719486</v>
      </c>
      <c r="E79" s="1499">
        <v>2.6821846640855052</v>
      </c>
      <c r="F79" s="1499">
        <v>1.996045517867113</v>
      </c>
      <c r="G79" s="1499">
        <v>1.7152112172822989</v>
      </c>
      <c r="H79" s="1499">
        <v>1.8462978321267791</v>
      </c>
      <c r="I79" s="1499">
        <v>3.4644503772385553</v>
      </c>
      <c r="J79" s="1499">
        <v>3.0472700293539461</v>
      </c>
      <c r="K79" s="113">
        <v>1.5198893396628861</v>
      </c>
    </row>
    <row r="80" spans="2:11" x14ac:dyDescent="0.3">
      <c r="B80" s="115"/>
      <c r="C80" s="112" t="s">
        <v>1500</v>
      </c>
      <c r="D80" s="1499">
        <v>3.5531445129342032</v>
      </c>
      <c r="E80" s="1499">
        <v>2.5839731484477597</v>
      </c>
      <c r="F80" s="1499">
        <v>1.8978340022293674</v>
      </c>
      <c r="G80" s="1499">
        <v>1.6169997016445534</v>
      </c>
      <c r="H80" s="1499">
        <v>1.7480863164890332</v>
      </c>
      <c r="I80" s="1499">
        <v>3.3662388616008099</v>
      </c>
      <c r="J80" s="1499">
        <v>2.9490585137162006</v>
      </c>
      <c r="K80" s="113">
        <v>1.4216778240251402</v>
      </c>
    </row>
    <row r="81" spans="2:11" x14ac:dyDescent="0.3">
      <c r="B81" s="115"/>
      <c r="C81" s="112" t="s">
        <v>1504</v>
      </c>
      <c r="D81" s="1499">
        <v>3.7000483396047583</v>
      </c>
      <c r="E81" s="1499">
        <v>2.7228888172310644</v>
      </c>
      <c r="F81" s="1499">
        <v>2.0388831768461944</v>
      </c>
      <c r="G81" s="1499">
        <v>1.7592800717991928</v>
      </c>
      <c r="H81" s="1499">
        <v>1.8892461283415658</v>
      </c>
      <c r="I81" s="1499">
        <v>3.5062457780161536</v>
      </c>
      <c r="J81" s="1499">
        <v>3.0895461085894973</v>
      </c>
      <c r="K81" s="113">
        <v>1.5622888635295527</v>
      </c>
    </row>
    <row r="82" spans="2:11" x14ac:dyDescent="0.3">
      <c r="B82" s="115"/>
      <c r="C82" s="112" t="s">
        <v>1508</v>
      </c>
      <c r="D82" s="1499">
        <v>3.6455753484740834</v>
      </c>
      <c r="E82" s="1499">
        <v>2.6684158261003894</v>
      </c>
      <c r="F82" s="1499">
        <v>1.9844101857155192</v>
      </c>
      <c r="G82" s="1499">
        <v>1.7048070806685176</v>
      </c>
      <c r="H82" s="1499">
        <v>1.8347731372108904</v>
      </c>
      <c r="I82" s="1499">
        <v>3.4517727868854786</v>
      </c>
      <c r="J82" s="1499">
        <v>3.0350731174588224</v>
      </c>
      <c r="K82" s="113">
        <v>1.5078158723988773</v>
      </c>
    </row>
    <row r="83" spans="2:11" x14ac:dyDescent="0.3">
      <c r="B83" s="115"/>
      <c r="C83" s="112" t="s">
        <v>1513</v>
      </c>
      <c r="D83" s="1499">
        <v>3.5638658617780705</v>
      </c>
      <c r="E83" s="1499">
        <v>2.5867063394043761</v>
      </c>
      <c r="F83" s="1499">
        <v>1.9027006990195063</v>
      </c>
      <c r="G83" s="1499">
        <v>1.6230975939725047</v>
      </c>
      <c r="H83" s="1499">
        <v>1.7530636505148776</v>
      </c>
      <c r="I83" s="1499">
        <v>3.3700633001894653</v>
      </c>
      <c r="J83" s="1499">
        <v>2.9533636307628091</v>
      </c>
      <c r="K83" s="113">
        <v>1.4261063857028644</v>
      </c>
    </row>
    <row r="84" spans="2:11" x14ac:dyDescent="0.3">
      <c r="B84" s="115"/>
      <c r="C84" s="112" t="s">
        <v>1517</v>
      </c>
      <c r="D84" s="1499">
        <v>3.4821563750820577</v>
      </c>
      <c r="E84" s="1499">
        <v>2.5049968527083633</v>
      </c>
      <c r="F84" s="1499">
        <v>1.8209912123234935</v>
      </c>
      <c r="G84" s="1499">
        <v>1.5413881072764919</v>
      </c>
      <c r="H84" s="1499">
        <v>1.6713541638188647</v>
      </c>
      <c r="I84" s="1499">
        <v>3.2883538134934525</v>
      </c>
      <c r="J84" s="1499">
        <v>2.8716541440667962</v>
      </c>
      <c r="K84" s="113">
        <v>1.3443968990068518</v>
      </c>
    </row>
    <row r="85" spans="2:11" ht="14.5" thickBot="1" x14ac:dyDescent="0.35">
      <c r="B85" s="1233"/>
      <c r="C85" s="116" t="s">
        <v>1519</v>
      </c>
      <c r="D85" s="117">
        <v>3.8150418879681913</v>
      </c>
      <c r="E85" s="117">
        <v>2.8458705234817478</v>
      </c>
      <c r="F85" s="117">
        <v>2.159731377263356</v>
      </c>
      <c r="G85" s="117">
        <v>1.878897076678542</v>
      </c>
      <c r="H85" s="117">
        <v>2.009983691523022</v>
      </c>
      <c r="I85" s="117">
        <v>3.628136236634798</v>
      </c>
      <c r="J85" s="117">
        <v>3.2109558887501888</v>
      </c>
      <c r="K85" s="118">
        <v>1.683575199059129</v>
      </c>
    </row>
    <row r="87" spans="2:11" ht="14.5" thickBot="1" x14ac:dyDescent="0.35"/>
    <row r="88" spans="2:11" ht="25.5" thickBot="1" x14ac:dyDescent="0.55000000000000004">
      <c r="B88" s="88" t="s">
        <v>1960</v>
      </c>
      <c r="C88" s="89"/>
      <c r="D88" s="90">
        <v>4</v>
      </c>
      <c r="E88" s="91" t="s">
        <v>1984</v>
      </c>
      <c r="F88" s="92"/>
      <c r="G88" s="92"/>
      <c r="H88" s="92"/>
      <c r="I88" s="93"/>
      <c r="J88" s="89" t="s">
        <v>176</v>
      </c>
      <c r="K88" s="94" t="s">
        <v>214</v>
      </c>
    </row>
    <row r="89" spans="2:11" ht="14.5" thickBot="1" x14ac:dyDescent="0.35">
      <c r="B89" s="95" t="s">
        <v>1962</v>
      </c>
      <c r="C89" s="96" t="s">
        <v>1963</v>
      </c>
      <c r="D89" s="95" t="s">
        <v>1964</v>
      </c>
      <c r="E89" s="97" t="s">
        <v>1965</v>
      </c>
      <c r="F89" s="97" t="s">
        <v>1966</v>
      </c>
      <c r="G89" s="97" t="s">
        <v>1967</v>
      </c>
      <c r="H89" s="97" t="s">
        <v>1968</v>
      </c>
      <c r="I89" s="97" t="s">
        <v>1969</v>
      </c>
      <c r="J89" s="97" t="s">
        <v>1970</v>
      </c>
      <c r="K89" s="98" t="s">
        <v>1971</v>
      </c>
    </row>
    <row r="90" spans="2:11" ht="14.5" thickBot="1" x14ac:dyDescent="0.35">
      <c r="B90" s="99"/>
      <c r="C90" s="99"/>
      <c r="D90" s="100"/>
      <c r="E90" s="944"/>
      <c r="F90" s="944"/>
      <c r="G90" s="944"/>
      <c r="H90" s="944"/>
      <c r="I90" s="944"/>
      <c r="J90" s="944"/>
      <c r="K90" s="102"/>
    </row>
    <row r="91" spans="2:11" ht="90.5" thickBot="1" x14ac:dyDescent="0.45">
      <c r="B91" s="103" t="s">
        <v>1972</v>
      </c>
      <c r="C91" s="103" t="s">
        <v>1973</v>
      </c>
      <c r="D91" s="105" t="s">
        <v>1974</v>
      </c>
      <c r="E91" s="105" t="s">
        <v>1525</v>
      </c>
      <c r="F91" s="105" t="s">
        <v>1527</v>
      </c>
      <c r="G91" s="105" t="s">
        <v>1975</v>
      </c>
      <c r="H91" s="105" t="s">
        <v>1976</v>
      </c>
      <c r="I91" s="105" t="s">
        <v>1445</v>
      </c>
      <c r="J91" s="105" t="s">
        <v>1538</v>
      </c>
      <c r="K91" s="106" t="s">
        <v>1541</v>
      </c>
    </row>
    <row r="92" spans="2:11" x14ac:dyDescent="0.3">
      <c r="B92" s="107" t="s">
        <v>1985</v>
      </c>
      <c r="C92" s="108" t="s">
        <v>1416</v>
      </c>
      <c r="D92" s="109">
        <v>2.9497205109970688</v>
      </c>
      <c r="E92" s="109">
        <v>1.8944577885215044</v>
      </c>
      <c r="F92" s="109">
        <v>1.3329703159443846</v>
      </c>
      <c r="G92" s="109">
        <v>1.0286533850658983</v>
      </c>
      <c r="H92" s="109">
        <v>1.1915789352228814</v>
      </c>
      <c r="I92" s="109">
        <v>2.6502380766134581</v>
      </c>
      <c r="J92" s="109">
        <v>2.2453061348356864</v>
      </c>
      <c r="K92" s="110">
        <v>0.85684360547904925</v>
      </c>
    </row>
    <row r="93" spans="2:11" x14ac:dyDescent="0.3">
      <c r="B93" s="111"/>
      <c r="C93" s="112" t="s">
        <v>1483</v>
      </c>
      <c r="D93" s="1499">
        <v>3.5095424563157893</v>
      </c>
      <c r="E93" s="1499">
        <v>2.4966528163357888</v>
      </c>
      <c r="F93" s="1499">
        <v>1.8965057231659261</v>
      </c>
      <c r="G93" s="1499">
        <v>1.5971366563443232</v>
      </c>
      <c r="H93" s="1499">
        <v>1.748455937273075</v>
      </c>
      <c r="I93" s="1499">
        <v>3.2517650339205364</v>
      </c>
      <c r="J93" s="1499">
        <v>2.848303769917131</v>
      </c>
      <c r="K93" s="113">
        <v>1.4215981715611525</v>
      </c>
    </row>
    <row r="94" spans="2:11" x14ac:dyDescent="0.3">
      <c r="B94" s="111" t="s">
        <v>1986</v>
      </c>
      <c r="C94" s="112" t="s">
        <v>1489</v>
      </c>
      <c r="D94" s="1499">
        <v>3.4440681125572921</v>
      </c>
      <c r="E94" s="1499">
        <v>2.4311784725772916</v>
      </c>
      <c r="F94" s="1499">
        <v>1.8310313794074291</v>
      </c>
      <c r="G94" s="1499">
        <v>1.5316623125858262</v>
      </c>
      <c r="H94" s="1499">
        <v>1.6829815935145782</v>
      </c>
      <c r="I94" s="1499">
        <v>3.1862906901620391</v>
      </c>
      <c r="J94" s="1499">
        <v>2.7828294261586337</v>
      </c>
      <c r="K94" s="113">
        <v>1.3561238278026557</v>
      </c>
    </row>
    <row r="95" spans="2:11" x14ac:dyDescent="0.3">
      <c r="B95" s="114">
        <v>0</v>
      </c>
      <c r="C95" s="112" t="s">
        <v>1496</v>
      </c>
      <c r="D95" s="1499">
        <v>3.3458565969195466</v>
      </c>
      <c r="E95" s="1499">
        <v>2.3329669569395457</v>
      </c>
      <c r="F95" s="1499">
        <v>1.7328198637696834</v>
      </c>
      <c r="G95" s="1499">
        <v>1.4334507969480803</v>
      </c>
      <c r="H95" s="1499">
        <v>1.5847700778768323</v>
      </c>
      <c r="I95" s="1499">
        <v>3.0880791745242937</v>
      </c>
      <c r="J95" s="1499">
        <v>2.6846179105208883</v>
      </c>
      <c r="K95" s="113">
        <v>1.2579123121649098</v>
      </c>
    </row>
    <row r="96" spans="2:11" x14ac:dyDescent="0.3">
      <c r="B96" s="115"/>
      <c r="C96" s="112" t="s">
        <v>1500</v>
      </c>
      <c r="D96" s="1499">
        <v>3.2476450812818003</v>
      </c>
      <c r="E96" s="1499">
        <v>2.2347554413018003</v>
      </c>
      <c r="F96" s="1499">
        <v>1.6346083481319378</v>
      </c>
      <c r="G96" s="1499">
        <v>1.3352392813103346</v>
      </c>
      <c r="H96" s="1499">
        <v>1.4865585622390867</v>
      </c>
      <c r="I96" s="1499">
        <v>2.9898676588865474</v>
      </c>
      <c r="J96" s="1499">
        <v>2.5864063948831419</v>
      </c>
      <c r="K96" s="113">
        <v>1.159700796527164</v>
      </c>
    </row>
    <row r="97" spans="2:11" x14ac:dyDescent="0.3">
      <c r="B97" s="115"/>
      <c r="C97" s="112" t="s">
        <v>1504</v>
      </c>
      <c r="D97" s="1499">
        <v>3.3976245004742851</v>
      </c>
      <c r="E97" s="1499">
        <v>2.373156777363052</v>
      </c>
      <c r="F97" s="1499">
        <v>1.7815593976561821</v>
      </c>
      <c r="G97" s="1499">
        <v>1.4761728059795014</v>
      </c>
      <c r="H97" s="1499">
        <v>1.6293944873944253</v>
      </c>
      <c r="I97" s="1499">
        <v>3.129799164222109</v>
      </c>
      <c r="J97" s="1499">
        <v>2.7274025285856962</v>
      </c>
      <c r="K97" s="113">
        <v>1.312775976038429</v>
      </c>
    </row>
    <row r="98" spans="2:11" x14ac:dyDescent="0.3">
      <c r="B98" s="115"/>
      <c r="C98" s="112" t="s">
        <v>1508</v>
      </c>
      <c r="D98" s="1499">
        <v>3.3431515093436097</v>
      </c>
      <c r="E98" s="1499">
        <v>2.318683786232377</v>
      </c>
      <c r="F98" s="1499">
        <v>1.7270864065255069</v>
      </c>
      <c r="G98" s="1499">
        <v>1.4216998148488262</v>
      </c>
      <c r="H98" s="1499">
        <v>1.5749214962637503</v>
      </c>
      <c r="I98" s="1499">
        <v>3.0753261730914341</v>
      </c>
      <c r="J98" s="1499">
        <v>2.6729295374550213</v>
      </c>
      <c r="K98" s="113">
        <v>1.2583029849077538</v>
      </c>
    </row>
    <row r="99" spans="2:11" x14ac:dyDescent="0.3">
      <c r="B99" s="115"/>
      <c r="C99" s="112" t="s">
        <v>1513</v>
      </c>
      <c r="D99" s="1499">
        <v>3.2614420226475973</v>
      </c>
      <c r="E99" s="1499">
        <v>2.2369742995363642</v>
      </c>
      <c r="F99" s="1499">
        <v>1.6453769198294941</v>
      </c>
      <c r="G99" s="1499">
        <v>1.3399903281528136</v>
      </c>
      <c r="H99" s="1499">
        <v>1.4932120095677375</v>
      </c>
      <c r="I99" s="1499">
        <v>2.9936166863954212</v>
      </c>
      <c r="J99" s="1499">
        <v>2.5912200507590084</v>
      </c>
      <c r="K99" s="113">
        <v>1.176593498211741</v>
      </c>
    </row>
    <row r="100" spans="2:11" x14ac:dyDescent="0.3">
      <c r="B100" s="115"/>
      <c r="C100" s="112" t="s">
        <v>1517</v>
      </c>
      <c r="D100" s="1499">
        <v>3.1797325359515844</v>
      </c>
      <c r="E100" s="1499">
        <v>2.1552648128403513</v>
      </c>
      <c r="F100" s="1499">
        <v>1.5636674331334812</v>
      </c>
      <c r="G100" s="1499">
        <v>1.2582808414568007</v>
      </c>
      <c r="H100" s="1499">
        <v>1.4115025228717246</v>
      </c>
      <c r="I100" s="1499">
        <v>2.9119071996994084</v>
      </c>
      <c r="J100" s="1499">
        <v>2.5095105640629956</v>
      </c>
      <c r="K100" s="113">
        <v>1.0948840115157281</v>
      </c>
    </row>
    <row r="101" spans="2:11" ht="14.5" thickBot="1" x14ac:dyDescent="0.35">
      <c r="B101" s="115"/>
      <c r="C101" s="116" t="s">
        <v>1519</v>
      </c>
      <c r="D101" s="117">
        <v>3.5095424563157893</v>
      </c>
      <c r="E101" s="117">
        <v>2.4966528163357888</v>
      </c>
      <c r="F101" s="117">
        <v>1.8965057231659261</v>
      </c>
      <c r="G101" s="117">
        <v>1.5971366563443232</v>
      </c>
      <c r="H101" s="117">
        <v>1.748455937273075</v>
      </c>
      <c r="I101" s="117">
        <v>3.2517650339205364</v>
      </c>
      <c r="J101" s="117">
        <v>2.848303769917131</v>
      </c>
      <c r="K101" s="118">
        <v>1.4215981715611525</v>
      </c>
    </row>
    <row r="102" spans="2:11" x14ac:dyDescent="0.3">
      <c r="B102" s="120" t="s">
        <v>1985</v>
      </c>
      <c r="C102" s="1234" t="s">
        <v>1416</v>
      </c>
      <c r="D102" s="109">
        <v>2.902739641223353</v>
      </c>
      <c r="E102" s="109">
        <v>1.8474769187477886</v>
      </c>
      <c r="F102" s="109">
        <v>1.2859894461706689</v>
      </c>
      <c r="G102" s="109">
        <v>0.98167251529218269</v>
      </c>
      <c r="H102" s="109">
        <v>1.1445980654491656</v>
      </c>
      <c r="I102" s="109">
        <v>2.6032572068397424</v>
      </c>
      <c r="J102" s="109">
        <v>2.1983252650619707</v>
      </c>
      <c r="K102" s="110">
        <v>0.80986273570533363</v>
      </c>
    </row>
    <row r="103" spans="2:11" x14ac:dyDescent="0.3">
      <c r="B103" s="121"/>
      <c r="C103" s="1500" t="s">
        <v>1483</v>
      </c>
      <c r="D103" s="1499">
        <v>3.4625615865420736</v>
      </c>
      <c r="E103" s="1499">
        <v>2.4496719465620731</v>
      </c>
      <c r="F103" s="1499">
        <v>1.8495248533922106</v>
      </c>
      <c r="G103" s="1499">
        <v>1.5501557865706077</v>
      </c>
      <c r="H103" s="1499">
        <v>1.7014750674993595</v>
      </c>
      <c r="I103" s="1499">
        <v>3.2047841641468207</v>
      </c>
      <c r="J103" s="1499">
        <v>2.8013229001434152</v>
      </c>
      <c r="K103" s="113">
        <v>1.374617301787437</v>
      </c>
    </row>
    <row r="104" spans="2:11" x14ac:dyDescent="0.3">
      <c r="B104" s="111" t="s">
        <v>1987</v>
      </c>
      <c r="C104" s="1500" t="s">
        <v>1489</v>
      </c>
      <c r="D104" s="1499">
        <v>3.3970872427835763</v>
      </c>
      <c r="E104" s="1499">
        <v>2.3841976028035758</v>
      </c>
      <c r="F104" s="1499">
        <v>1.7840505096337134</v>
      </c>
      <c r="G104" s="1499">
        <v>1.4846814428121105</v>
      </c>
      <c r="H104" s="1499">
        <v>1.6360007237408625</v>
      </c>
      <c r="I104" s="1499">
        <v>3.1393098203883234</v>
      </c>
      <c r="J104" s="1499">
        <v>2.735848556384918</v>
      </c>
      <c r="K104" s="113">
        <v>1.3091429580289398</v>
      </c>
    </row>
    <row r="105" spans="2:11" x14ac:dyDescent="0.3">
      <c r="B105" s="122">
        <v>0</v>
      </c>
      <c r="C105" s="1500" t="s">
        <v>1496</v>
      </c>
      <c r="D105" s="1499">
        <v>3.2988757271458304</v>
      </c>
      <c r="E105" s="1499">
        <v>2.28598608716583</v>
      </c>
      <c r="F105" s="1499">
        <v>1.6858389939959679</v>
      </c>
      <c r="G105" s="1499">
        <v>1.3864699271743648</v>
      </c>
      <c r="H105" s="1499">
        <v>1.5377892081031168</v>
      </c>
      <c r="I105" s="1499">
        <v>3.041098304750578</v>
      </c>
      <c r="J105" s="1499">
        <v>2.6376370407471725</v>
      </c>
      <c r="K105" s="113">
        <v>1.2109314423911943</v>
      </c>
    </row>
    <row r="106" spans="2:11" x14ac:dyDescent="0.3">
      <c r="B106" s="123"/>
      <c r="C106" s="1500" t="s">
        <v>1500</v>
      </c>
      <c r="D106" s="1499">
        <v>3.2006642115080846</v>
      </c>
      <c r="E106" s="1499">
        <v>2.1877745715280845</v>
      </c>
      <c r="F106" s="1499">
        <v>1.587627478358222</v>
      </c>
      <c r="G106" s="1499">
        <v>1.2882584115366189</v>
      </c>
      <c r="H106" s="1499">
        <v>1.4395776924653709</v>
      </c>
      <c r="I106" s="1499">
        <v>2.9428867891128316</v>
      </c>
      <c r="J106" s="1499">
        <v>2.5394255251094267</v>
      </c>
      <c r="K106" s="113">
        <v>1.1127199267534484</v>
      </c>
    </row>
    <row r="107" spans="2:11" x14ac:dyDescent="0.3">
      <c r="B107" s="123"/>
      <c r="C107" s="1500" t="s">
        <v>1504</v>
      </c>
      <c r="D107" s="1499">
        <v>3.3506436307005694</v>
      </c>
      <c r="E107" s="1499">
        <v>2.3261759075893362</v>
      </c>
      <c r="F107" s="1499">
        <v>1.7345785278824666</v>
      </c>
      <c r="G107" s="1499">
        <v>1.4291919362057859</v>
      </c>
      <c r="H107" s="1499">
        <v>1.5824136176207098</v>
      </c>
      <c r="I107" s="1499">
        <v>3.0828182944483933</v>
      </c>
      <c r="J107" s="1499">
        <v>2.6804216588119805</v>
      </c>
      <c r="K107" s="113">
        <v>1.2657951062647135</v>
      </c>
    </row>
    <row r="108" spans="2:11" x14ac:dyDescent="0.3">
      <c r="B108" s="123"/>
      <c r="C108" s="1500" t="s">
        <v>1508</v>
      </c>
      <c r="D108" s="1499">
        <v>3.296170639569894</v>
      </c>
      <c r="E108" s="1499">
        <v>2.2717029164586613</v>
      </c>
      <c r="F108" s="1499">
        <v>1.6801055367517912</v>
      </c>
      <c r="G108" s="1499">
        <v>1.3747189450751105</v>
      </c>
      <c r="H108" s="1499">
        <v>1.5279406264900346</v>
      </c>
      <c r="I108" s="1499">
        <v>3.0283453033177183</v>
      </c>
      <c r="J108" s="1499">
        <v>2.6259486676813055</v>
      </c>
      <c r="K108" s="113">
        <v>1.2113221151340381</v>
      </c>
    </row>
    <row r="109" spans="2:11" x14ac:dyDescent="0.3">
      <c r="B109" s="123"/>
      <c r="C109" s="1500" t="s">
        <v>1513</v>
      </c>
      <c r="D109" s="1499">
        <v>3.2144611528738811</v>
      </c>
      <c r="E109" s="1499">
        <v>2.1899934297626484</v>
      </c>
      <c r="F109" s="1499">
        <v>1.5983960500557783</v>
      </c>
      <c r="G109" s="1499">
        <v>1.2930094583790976</v>
      </c>
      <c r="H109" s="1499">
        <v>1.4462311397940217</v>
      </c>
      <c r="I109" s="1499">
        <v>2.9466358166217055</v>
      </c>
      <c r="J109" s="1499">
        <v>2.5442391809852927</v>
      </c>
      <c r="K109" s="113">
        <v>1.1296126284380252</v>
      </c>
    </row>
    <row r="110" spans="2:11" x14ac:dyDescent="0.3">
      <c r="B110" s="123"/>
      <c r="C110" s="1500" t="s">
        <v>1517</v>
      </c>
      <c r="D110" s="1499">
        <v>3.1327516661778687</v>
      </c>
      <c r="E110" s="1499">
        <v>2.1082839430666356</v>
      </c>
      <c r="F110" s="1499">
        <v>1.5166865633597655</v>
      </c>
      <c r="G110" s="1499">
        <v>1.211299971683085</v>
      </c>
      <c r="H110" s="1499">
        <v>1.3645216530980089</v>
      </c>
      <c r="I110" s="1499">
        <v>2.8649263299256926</v>
      </c>
      <c r="J110" s="1499">
        <v>2.4625296942892798</v>
      </c>
      <c r="K110" s="113">
        <v>1.0479031417420124</v>
      </c>
    </row>
    <row r="111" spans="2:11" ht="14.5" thickBot="1" x14ac:dyDescent="0.35">
      <c r="B111" s="124"/>
      <c r="C111" s="125" t="s">
        <v>1519</v>
      </c>
      <c r="D111" s="117">
        <v>3.4625615865420736</v>
      </c>
      <c r="E111" s="117">
        <v>2.4496719465620731</v>
      </c>
      <c r="F111" s="117">
        <v>1.8495248533922106</v>
      </c>
      <c r="G111" s="117">
        <v>1.5501557865706077</v>
      </c>
      <c r="H111" s="117">
        <v>1.7014750674993595</v>
      </c>
      <c r="I111" s="117">
        <v>3.2047841641468207</v>
      </c>
      <c r="J111" s="117">
        <v>2.8013229001434152</v>
      </c>
      <c r="K111" s="118">
        <v>1.374617301787437</v>
      </c>
    </row>
    <row r="112" spans="2:11" x14ac:dyDescent="0.3">
      <c r="B112" s="119" t="s">
        <v>1985</v>
      </c>
      <c r="C112" s="108" t="s">
        <v>1416</v>
      </c>
      <c r="D112" s="109">
        <v>2.8322683365627799</v>
      </c>
      <c r="E112" s="109">
        <v>1.7770056140872152</v>
      </c>
      <c r="F112" s="109">
        <v>1.2155181415100955</v>
      </c>
      <c r="G112" s="109">
        <v>0.91120121063160919</v>
      </c>
      <c r="H112" s="109">
        <v>1.0741267607885923</v>
      </c>
      <c r="I112" s="109">
        <v>2.5327859021791692</v>
      </c>
      <c r="J112" s="109">
        <v>2.1278539604013971</v>
      </c>
      <c r="K112" s="110">
        <v>0.73939143104476013</v>
      </c>
    </row>
    <row r="113" spans="2:11" x14ac:dyDescent="0.3">
      <c r="B113" s="111"/>
      <c r="C113" s="112" t="s">
        <v>1483</v>
      </c>
      <c r="D113" s="1499">
        <v>3.3920902818815</v>
      </c>
      <c r="E113" s="1499">
        <v>2.3792006419014995</v>
      </c>
      <c r="F113" s="1499">
        <v>1.779053548731637</v>
      </c>
      <c r="G113" s="1499">
        <v>1.4796844819100339</v>
      </c>
      <c r="H113" s="1499">
        <v>1.6310037628387859</v>
      </c>
      <c r="I113" s="1499">
        <v>3.1343128594862475</v>
      </c>
      <c r="J113" s="1499">
        <v>2.7308515954828421</v>
      </c>
      <c r="K113" s="113">
        <v>1.3041459971268634</v>
      </c>
    </row>
    <row r="114" spans="2:11" ht="14.5" thickBot="1" x14ac:dyDescent="0.35">
      <c r="B114" s="111" t="s">
        <v>1988</v>
      </c>
      <c r="C114" s="112" t="s">
        <v>1489</v>
      </c>
      <c r="D114" s="1499">
        <v>3.3266159381230027</v>
      </c>
      <c r="E114" s="1499">
        <v>2.3137262981430022</v>
      </c>
      <c r="F114" s="1501">
        <v>1.71357920497314</v>
      </c>
      <c r="G114" s="1499">
        <v>1.4142101381515371</v>
      </c>
      <c r="H114" s="1499">
        <v>1.5655294190802891</v>
      </c>
      <c r="I114" s="1499">
        <v>3.0688385157277502</v>
      </c>
      <c r="J114" s="1499">
        <v>2.6653772517243448</v>
      </c>
      <c r="K114" s="113">
        <v>1.2386716533683664</v>
      </c>
    </row>
    <row r="115" spans="2:11" ht="14.5" thickBot="1" x14ac:dyDescent="0.35">
      <c r="B115" s="114">
        <v>0</v>
      </c>
      <c r="C115" s="112" t="s">
        <v>1496</v>
      </c>
      <c r="D115" s="1499">
        <v>3.2284044224852573</v>
      </c>
      <c r="E115" s="1502">
        <v>2.2155147825052564</v>
      </c>
      <c r="F115" s="126">
        <v>1.6153676893353941</v>
      </c>
      <c r="G115" s="1503">
        <v>1.3159986225137912</v>
      </c>
      <c r="H115" s="1499">
        <v>1.4673179034425432</v>
      </c>
      <c r="I115" s="1499">
        <v>2.9706270000900044</v>
      </c>
      <c r="J115" s="1499">
        <v>2.5671657360865985</v>
      </c>
      <c r="K115" s="113">
        <v>1.1404601377306207</v>
      </c>
    </row>
    <row r="116" spans="2:11" x14ac:dyDescent="0.3">
      <c r="B116" s="115"/>
      <c r="C116" s="112" t="s">
        <v>1500</v>
      </c>
      <c r="D116" s="1499">
        <v>3.1301929068475109</v>
      </c>
      <c r="E116" s="1499">
        <v>2.1173032668675105</v>
      </c>
      <c r="F116" s="127">
        <v>1.5171561736976484</v>
      </c>
      <c r="G116" s="1499">
        <v>1.2177871068760453</v>
      </c>
      <c r="H116" s="1499">
        <v>1.3691063878047973</v>
      </c>
      <c r="I116" s="1499">
        <v>2.8724154844522585</v>
      </c>
      <c r="J116" s="1499">
        <v>2.468954220448853</v>
      </c>
      <c r="K116" s="113">
        <v>1.0422486220928748</v>
      </c>
    </row>
    <row r="117" spans="2:11" x14ac:dyDescent="0.3">
      <c r="B117" s="115"/>
      <c r="C117" s="112" t="s">
        <v>1504</v>
      </c>
      <c r="D117" s="1499">
        <v>3.2801723260399958</v>
      </c>
      <c r="E117" s="1499">
        <v>2.2557046029287626</v>
      </c>
      <c r="F117" s="1499">
        <v>1.6641072232218928</v>
      </c>
      <c r="G117" s="1499">
        <v>1.3587206315452123</v>
      </c>
      <c r="H117" s="1499">
        <v>1.5119423129601361</v>
      </c>
      <c r="I117" s="1499">
        <v>3.0123469897878201</v>
      </c>
      <c r="J117" s="1499">
        <v>2.6099503541514073</v>
      </c>
      <c r="K117" s="113">
        <v>1.1953238016041396</v>
      </c>
    </row>
    <row r="118" spans="2:11" x14ac:dyDescent="0.3">
      <c r="B118" s="115"/>
      <c r="C118" s="112" t="s">
        <v>1508</v>
      </c>
      <c r="D118" s="1499">
        <v>3.2256993349093208</v>
      </c>
      <c r="E118" s="1499">
        <v>2.2012316117980877</v>
      </c>
      <c r="F118" s="1499">
        <v>1.6096342320912178</v>
      </c>
      <c r="G118" s="1499">
        <v>1.3042476404145371</v>
      </c>
      <c r="H118" s="1499">
        <v>1.4574693218294612</v>
      </c>
      <c r="I118" s="1499">
        <v>2.9578739986571447</v>
      </c>
      <c r="J118" s="1499">
        <v>2.5554773630207324</v>
      </c>
      <c r="K118" s="113">
        <v>1.1408508104734645</v>
      </c>
    </row>
    <row r="119" spans="2:11" x14ac:dyDescent="0.3">
      <c r="B119" s="115"/>
      <c r="C119" s="112" t="s">
        <v>1513</v>
      </c>
      <c r="D119" s="1499">
        <v>3.143989848213308</v>
      </c>
      <c r="E119" s="1499">
        <v>2.1195221251020748</v>
      </c>
      <c r="F119" s="1499">
        <v>1.5279247453952047</v>
      </c>
      <c r="G119" s="1499">
        <v>1.2225381537185243</v>
      </c>
      <c r="H119" s="1499">
        <v>1.3757598351334483</v>
      </c>
      <c r="I119" s="1499">
        <v>2.8761645119611323</v>
      </c>
      <c r="J119" s="1499">
        <v>2.4737678763247195</v>
      </c>
      <c r="K119" s="113">
        <v>1.0591413237774518</v>
      </c>
    </row>
    <row r="120" spans="2:11" x14ac:dyDescent="0.3">
      <c r="B120" s="115"/>
      <c r="C120" s="112" t="s">
        <v>1517</v>
      </c>
      <c r="D120" s="1499">
        <v>3.0622803615172951</v>
      </c>
      <c r="E120" s="1499">
        <v>2.037812638406062</v>
      </c>
      <c r="F120" s="1499">
        <v>1.4462152586991919</v>
      </c>
      <c r="G120" s="1499">
        <v>1.1408286670225114</v>
      </c>
      <c r="H120" s="1499">
        <v>1.2940503484374355</v>
      </c>
      <c r="I120" s="1499">
        <v>2.7944550252651195</v>
      </c>
      <c r="J120" s="1499">
        <v>2.3920583896287066</v>
      </c>
      <c r="K120" s="113">
        <v>0.97743183708143888</v>
      </c>
    </row>
    <row r="121" spans="2:11" ht="14.5" thickBot="1" x14ac:dyDescent="0.35">
      <c r="B121" s="1233"/>
      <c r="C121" s="116" t="s">
        <v>1519</v>
      </c>
      <c r="D121" s="117">
        <v>3.3920902818815</v>
      </c>
      <c r="E121" s="117">
        <v>2.3792006419014995</v>
      </c>
      <c r="F121" s="117">
        <v>1.779053548731637</v>
      </c>
      <c r="G121" s="117">
        <v>1.4796844819100339</v>
      </c>
      <c r="H121" s="117">
        <v>1.6310037628387859</v>
      </c>
      <c r="I121" s="117">
        <v>3.1343128594862475</v>
      </c>
      <c r="J121" s="117">
        <v>2.7308515954828421</v>
      </c>
      <c r="K121" s="118">
        <v>1.3041459971268634</v>
      </c>
    </row>
    <row r="122" spans="2:11" x14ac:dyDescent="0.3">
      <c r="B122" s="107" t="s">
        <v>1985</v>
      </c>
      <c r="C122" s="108" t="s">
        <v>1416</v>
      </c>
      <c r="D122" s="109">
        <v>2.7617970319022063</v>
      </c>
      <c r="E122" s="109">
        <v>1.7065343094266416</v>
      </c>
      <c r="F122" s="109">
        <v>1.1450468368495219</v>
      </c>
      <c r="G122" s="109">
        <v>0.84072990597103558</v>
      </c>
      <c r="H122" s="109">
        <v>1.0036554561280187</v>
      </c>
      <c r="I122" s="109">
        <v>2.4623145975185956</v>
      </c>
      <c r="J122" s="109">
        <v>2.0573826557408235</v>
      </c>
      <c r="K122" s="110">
        <v>0.66892012638418663</v>
      </c>
    </row>
    <row r="123" spans="2:11" x14ac:dyDescent="0.3">
      <c r="B123" s="111"/>
      <c r="C123" s="112" t="s">
        <v>1483</v>
      </c>
      <c r="D123" s="1499">
        <v>3.3216189772209264</v>
      </c>
      <c r="E123" s="1499">
        <v>2.3087293372409259</v>
      </c>
      <c r="F123" s="1499">
        <v>1.7085822440710636</v>
      </c>
      <c r="G123" s="1499">
        <v>1.4092131772494605</v>
      </c>
      <c r="H123" s="1499">
        <v>1.5605324581782125</v>
      </c>
      <c r="I123" s="1499">
        <v>3.0638415548256734</v>
      </c>
      <c r="J123" s="1499">
        <v>2.660380290822268</v>
      </c>
      <c r="K123" s="113">
        <v>1.23367469246629</v>
      </c>
    </row>
    <row r="124" spans="2:11" x14ac:dyDescent="0.3">
      <c r="B124" s="111" t="s">
        <v>1989</v>
      </c>
      <c r="C124" s="112" t="s">
        <v>1489</v>
      </c>
      <c r="D124" s="1499">
        <v>3.2561446334624295</v>
      </c>
      <c r="E124" s="1499">
        <v>2.2432549934824286</v>
      </c>
      <c r="F124" s="1499">
        <v>1.6431079003125664</v>
      </c>
      <c r="G124" s="1499">
        <v>1.3437388334909635</v>
      </c>
      <c r="H124" s="1499">
        <v>1.4950581144197153</v>
      </c>
      <c r="I124" s="1499">
        <v>2.9983672110671766</v>
      </c>
      <c r="J124" s="1499">
        <v>2.5949059470637712</v>
      </c>
      <c r="K124" s="113">
        <v>1.1682003487077928</v>
      </c>
    </row>
    <row r="125" spans="2:11" x14ac:dyDescent="0.3">
      <c r="B125" s="114">
        <v>0</v>
      </c>
      <c r="C125" s="112" t="s">
        <v>1496</v>
      </c>
      <c r="D125" s="1499">
        <v>3.1579331178246832</v>
      </c>
      <c r="E125" s="1499">
        <v>2.1450434778446832</v>
      </c>
      <c r="F125" s="1499">
        <v>1.5448963846748207</v>
      </c>
      <c r="G125" s="1499">
        <v>1.2455273178532178</v>
      </c>
      <c r="H125" s="1499">
        <v>1.3968465987819698</v>
      </c>
      <c r="I125" s="1499">
        <v>2.9001556954294307</v>
      </c>
      <c r="J125" s="1499">
        <v>2.4966944314260253</v>
      </c>
      <c r="K125" s="113">
        <v>1.0699888330700471</v>
      </c>
    </row>
    <row r="126" spans="2:11" x14ac:dyDescent="0.3">
      <c r="B126" s="115"/>
      <c r="C126" s="112" t="s">
        <v>1500</v>
      </c>
      <c r="D126" s="1499">
        <v>3.0597216021869378</v>
      </c>
      <c r="E126" s="1499">
        <v>2.0468319622069373</v>
      </c>
      <c r="F126" s="1499">
        <v>1.4466848690370748</v>
      </c>
      <c r="G126" s="1499">
        <v>1.1473158022154719</v>
      </c>
      <c r="H126" s="1499">
        <v>1.2986350831442239</v>
      </c>
      <c r="I126" s="1499">
        <v>2.8019441797916849</v>
      </c>
      <c r="J126" s="1499">
        <v>2.3984829157882794</v>
      </c>
      <c r="K126" s="113">
        <v>0.97177731743230134</v>
      </c>
    </row>
    <row r="127" spans="2:11" x14ac:dyDescent="0.3">
      <c r="B127" s="115"/>
      <c r="C127" s="112" t="s">
        <v>1504</v>
      </c>
      <c r="D127" s="1499">
        <v>3.2097010213794226</v>
      </c>
      <c r="E127" s="1499">
        <v>2.1852332982681895</v>
      </c>
      <c r="F127" s="1499">
        <v>1.5936359185613194</v>
      </c>
      <c r="G127" s="1499">
        <v>1.2882493268846389</v>
      </c>
      <c r="H127" s="1499">
        <v>1.4414710082995628</v>
      </c>
      <c r="I127" s="1499">
        <v>2.9418756851272465</v>
      </c>
      <c r="J127" s="1499">
        <v>2.5394790494908337</v>
      </c>
      <c r="K127" s="113">
        <v>1.1248524969435663</v>
      </c>
    </row>
    <row r="128" spans="2:11" x14ac:dyDescent="0.3">
      <c r="B128" s="115"/>
      <c r="C128" s="112" t="s">
        <v>1508</v>
      </c>
      <c r="D128" s="1499">
        <v>3.1552280302487472</v>
      </c>
      <c r="E128" s="1499">
        <v>2.1307603071375141</v>
      </c>
      <c r="F128" s="1499">
        <v>1.5391629274306442</v>
      </c>
      <c r="G128" s="1499">
        <v>1.2337763357539635</v>
      </c>
      <c r="H128" s="1499">
        <v>1.3869980171688874</v>
      </c>
      <c r="I128" s="1499">
        <v>2.8874026939965716</v>
      </c>
      <c r="J128" s="1499">
        <v>2.4850060583601588</v>
      </c>
      <c r="K128" s="113">
        <v>1.0703795058128911</v>
      </c>
    </row>
    <row r="129" spans="2:11" x14ac:dyDescent="0.3">
      <c r="B129" s="115"/>
      <c r="C129" s="112" t="s">
        <v>1513</v>
      </c>
      <c r="D129" s="1499">
        <v>3.0735185435527344</v>
      </c>
      <c r="E129" s="1499">
        <v>2.0490508204415012</v>
      </c>
      <c r="F129" s="1499">
        <v>1.4574534407346313</v>
      </c>
      <c r="G129" s="1499">
        <v>1.1520668490579506</v>
      </c>
      <c r="H129" s="1499">
        <v>1.3052885304728747</v>
      </c>
      <c r="I129" s="1499">
        <v>2.8056932073005587</v>
      </c>
      <c r="J129" s="1499">
        <v>2.4032965716641459</v>
      </c>
      <c r="K129" s="113">
        <v>0.98867001911687824</v>
      </c>
    </row>
    <row r="130" spans="2:11" x14ac:dyDescent="0.3">
      <c r="B130" s="115"/>
      <c r="C130" s="112" t="s">
        <v>1517</v>
      </c>
      <c r="D130" s="1499">
        <v>2.991809056856721</v>
      </c>
      <c r="E130" s="1499">
        <v>1.9673413337454884</v>
      </c>
      <c r="F130" s="1499">
        <v>1.3757439540386185</v>
      </c>
      <c r="G130" s="1499">
        <v>1.0703573623619378</v>
      </c>
      <c r="H130" s="1499">
        <v>1.2235790437768619</v>
      </c>
      <c r="I130" s="1499">
        <v>2.7239837206045459</v>
      </c>
      <c r="J130" s="1499">
        <v>2.321587084968133</v>
      </c>
      <c r="K130" s="113">
        <v>0.90696053242086538</v>
      </c>
    </row>
    <row r="131" spans="2:11" ht="14.5" thickBot="1" x14ac:dyDescent="0.35">
      <c r="B131" s="1233"/>
      <c r="C131" s="116" t="s">
        <v>1519</v>
      </c>
      <c r="D131" s="117">
        <v>3.3216189772209264</v>
      </c>
      <c r="E131" s="117">
        <v>2.3087293372409259</v>
      </c>
      <c r="F131" s="117">
        <v>1.7085822440710636</v>
      </c>
      <c r="G131" s="117">
        <v>1.4092131772494605</v>
      </c>
      <c r="H131" s="117">
        <v>1.5605324581782125</v>
      </c>
      <c r="I131" s="117">
        <v>3.0638415548256734</v>
      </c>
      <c r="J131" s="117">
        <v>2.660380290822268</v>
      </c>
      <c r="K131" s="118">
        <v>1.23367469246629</v>
      </c>
    </row>
    <row r="132" spans="2:11" x14ac:dyDescent="0.3">
      <c r="B132" s="120" t="s">
        <v>1990</v>
      </c>
      <c r="C132" s="108" t="s">
        <v>1416</v>
      </c>
      <c r="D132" s="109">
        <v>2.8621792541806799</v>
      </c>
      <c r="E132" s="109">
        <v>1.804413308246591</v>
      </c>
      <c r="F132" s="109">
        <v>1.2602040859269392</v>
      </c>
      <c r="G132" s="109">
        <v>0.94824515968846623</v>
      </c>
      <c r="H132" s="109">
        <v>1.1153749648803259</v>
      </c>
      <c r="I132" s="109">
        <v>2.5554794258245708</v>
      </c>
      <c r="J132" s="109">
        <v>2.1500381182009316</v>
      </c>
      <c r="K132" s="110">
        <v>0.77656530194799955</v>
      </c>
    </row>
    <row r="133" spans="2:11" x14ac:dyDescent="0.3">
      <c r="B133" s="111"/>
      <c r="C133" s="112" t="s">
        <v>1483</v>
      </c>
      <c r="D133" s="1499">
        <v>3.4233798411333973</v>
      </c>
      <c r="E133" s="1499">
        <v>2.4049691569884444</v>
      </c>
      <c r="F133" s="1499">
        <v>1.816323656690815</v>
      </c>
      <c r="G133" s="1499">
        <v>1.5118013317519676</v>
      </c>
      <c r="H133" s="1499">
        <v>1.6656440336221667</v>
      </c>
      <c r="I133" s="1499">
        <v>3.157743403839059</v>
      </c>
      <c r="J133" s="1499">
        <v>2.756713839676173</v>
      </c>
      <c r="K133" s="113">
        <v>1.348414095107678</v>
      </c>
    </row>
    <row r="134" spans="2:11" x14ac:dyDescent="0.3">
      <c r="B134" s="111" t="s">
        <v>1986</v>
      </c>
      <c r="C134" s="112" t="s">
        <v>1489</v>
      </c>
      <c r="D134" s="1499">
        <v>3.3579054973749001</v>
      </c>
      <c r="E134" s="1499">
        <v>2.3394948132299471</v>
      </c>
      <c r="F134" s="1499">
        <v>1.7508493129323177</v>
      </c>
      <c r="G134" s="1499">
        <v>1.4463269879934704</v>
      </c>
      <c r="H134" s="1499">
        <v>1.6001696898636695</v>
      </c>
      <c r="I134" s="1499">
        <v>3.0922690600805622</v>
      </c>
      <c r="J134" s="1499">
        <v>2.6912394959176758</v>
      </c>
      <c r="K134" s="113">
        <v>1.2829397513491807</v>
      </c>
    </row>
    <row r="135" spans="2:11" x14ac:dyDescent="0.3">
      <c r="B135" s="114">
        <v>0</v>
      </c>
      <c r="C135" s="112" t="s">
        <v>1496</v>
      </c>
      <c r="D135" s="1499">
        <v>3.2596939817371542</v>
      </c>
      <c r="E135" s="1499">
        <v>2.2412832975922012</v>
      </c>
      <c r="F135" s="1499">
        <v>1.6526377972945723</v>
      </c>
      <c r="G135" s="1499">
        <v>1.3481154723557247</v>
      </c>
      <c r="H135" s="1499">
        <v>1.5019581742259238</v>
      </c>
      <c r="I135" s="1499">
        <v>2.9940575444428159</v>
      </c>
      <c r="J135" s="1499">
        <v>2.5930279802799294</v>
      </c>
      <c r="K135" s="113">
        <v>1.1847282357114353</v>
      </c>
    </row>
    <row r="136" spans="2:11" x14ac:dyDescent="0.3">
      <c r="B136" s="115"/>
      <c r="C136" s="112" t="s">
        <v>1500</v>
      </c>
      <c r="D136" s="1499">
        <v>3.1614824660994088</v>
      </c>
      <c r="E136" s="1499">
        <v>2.1430717819544554</v>
      </c>
      <c r="F136" s="1499">
        <v>1.5544262816568264</v>
      </c>
      <c r="G136" s="1499">
        <v>1.2499039567179788</v>
      </c>
      <c r="H136" s="1499">
        <v>1.4037466585881782</v>
      </c>
      <c r="I136" s="1499">
        <v>2.8958460288050705</v>
      </c>
      <c r="J136" s="1499">
        <v>2.494816464642184</v>
      </c>
      <c r="K136" s="113">
        <v>1.0865167200736894</v>
      </c>
    </row>
    <row r="137" spans="2:11" x14ac:dyDescent="0.3">
      <c r="B137" s="115"/>
      <c r="C137" s="112" t="s">
        <v>1504</v>
      </c>
      <c r="D137" s="1499">
        <v>3.312055542644071</v>
      </c>
      <c r="E137" s="1499">
        <v>2.2804605301971077</v>
      </c>
      <c r="F137" s="1499">
        <v>1.7003058981552188</v>
      </c>
      <c r="G137" s="1499">
        <v>1.3998170099773519</v>
      </c>
      <c r="H137" s="1499">
        <v>1.5453948040930821</v>
      </c>
      <c r="I137" s="1499">
        <v>3.0353293258503351</v>
      </c>
      <c r="J137" s="1499">
        <v>2.6355896412719209</v>
      </c>
      <c r="K137" s="113">
        <v>1.2386615925229998</v>
      </c>
    </row>
    <row r="138" spans="2:11" x14ac:dyDescent="0.3">
      <c r="B138" s="115"/>
      <c r="C138" s="112" t="s">
        <v>1508</v>
      </c>
      <c r="D138" s="1499">
        <v>3.257582551513396</v>
      </c>
      <c r="E138" s="1499">
        <v>2.2259875390664328</v>
      </c>
      <c r="F138" s="1499">
        <v>1.6458329070245434</v>
      </c>
      <c r="G138" s="1499">
        <v>1.3453440188466765</v>
      </c>
      <c r="H138" s="1499">
        <v>1.4909218129624067</v>
      </c>
      <c r="I138" s="1499">
        <v>2.9808563347196602</v>
      </c>
      <c r="J138" s="1499">
        <v>2.5811166501412459</v>
      </c>
      <c r="K138" s="113">
        <v>1.1841886013923246</v>
      </c>
    </row>
    <row r="139" spans="2:11" x14ac:dyDescent="0.3">
      <c r="B139" s="115"/>
      <c r="C139" s="112" t="s">
        <v>1513</v>
      </c>
      <c r="D139" s="1499">
        <v>3.1758730648173832</v>
      </c>
      <c r="E139" s="1499">
        <v>2.1442780523704199</v>
      </c>
      <c r="F139" s="1499">
        <v>1.5641234203285306</v>
      </c>
      <c r="G139" s="1499">
        <v>1.2636345321506637</v>
      </c>
      <c r="H139" s="1499">
        <v>1.409212326266394</v>
      </c>
      <c r="I139" s="1499">
        <v>2.8991468480236473</v>
      </c>
      <c r="J139" s="1499">
        <v>2.4994071634452331</v>
      </c>
      <c r="K139" s="113">
        <v>1.1024791146963118</v>
      </c>
    </row>
    <row r="140" spans="2:11" x14ac:dyDescent="0.3">
      <c r="B140" s="115"/>
      <c r="C140" s="112" t="s">
        <v>1517</v>
      </c>
      <c r="D140" s="1499">
        <v>3.0941635781213703</v>
      </c>
      <c r="E140" s="1499">
        <v>2.0625685656744071</v>
      </c>
      <c r="F140" s="1499">
        <v>1.4824139336325177</v>
      </c>
      <c r="G140" s="1499">
        <v>1.1819250454546508</v>
      </c>
      <c r="H140" s="1499">
        <v>1.3275028395703812</v>
      </c>
      <c r="I140" s="1499">
        <v>2.8174373613276344</v>
      </c>
      <c r="J140" s="1499">
        <v>2.4176976767492202</v>
      </c>
      <c r="K140" s="113">
        <v>1.0207696280002991</v>
      </c>
    </row>
    <row r="141" spans="2:11" ht="14.5" thickBot="1" x14ac:dyDescent="0.35">
      <c r="B141" s="1233"/>
      <c r="C141" s="116" t="s">
        <v>1519</v>
      </c>
      <c r="D141" s="117">
        <v>3.4233798411333973</v>
      </c>
      <c r="E141" s="117">
        <v>2.4049691569884444</v>
      </c>
      <c r="F141" s="117">
        <v>1.816323656690815</v>
      </c>
      <c r="G141" s="117">
        <v>1.5118013317519676</v>
      </c>
      <c r="H141" s="117">
        <v>1.6656440336221667</v>
      </c>
      <c r="I141" s="117">
        <v>3.157743403839059</v>
      </c>
      <c r="J141" s="117">
        <v>2.756713839676173</v>
      </c>
      <c r="K141" s="118">
        <v>1.348414095107678</v>
      </c>
    </row>
    <row r="142" spans="2:11" x14ac:dyDescent="0.3">
      <c r="B142" s="120" t="s">
        <v>1990</v>
      </c>
      <c r="C142" s="108" t="s">
        <v>1416</v>
      </c>
      <c r="D142" s="109">
        <v>2.8230659886374152</v>
      </c>
      <c r="E142" s="109">
        <v>1.7653000427033265</v>
      </c>
      <c r="F142" s="109">
        <v>1.221090820383675</v>
      </c>
      <c r="G142" s="109">
        <v>0.90913189414520168</v>
      </c>
      <c r="H142" s="109">
        <v>1.0762616993370615</v>
      </c>
      <c r="I142" s="109">
        <v>2.5163661602813061</v>
      </c>
      <c r="J142" s="109">
        <v>2.1109248526576674</v>
      </c>
      <c r="K142" s="110">
        <v>0.73745203640473511</v>
      </c>
    </row>
    <row r="143" spans="2:11" x14ac:dyDescent="0.3">
      <c r="B143" s="111"/>
      <c r="C143" s="112" t="s">
        <v>1483</v>
      </c>
      <c r="D143" s="1499">
        <v>3.3842665755901327</v>
      </c>
      <c r="E143" s="1499">
        <v>2.3658558914451797</v>
      </c>
      <c r="F143" s="1499">
        <v>1.7772103911475507</v>
      </c>
      <c r="G143" s="1499">
        <v>1.4726880662087032</v>
      </c>
      <c r="H143" s="1499">
        <v>1.6265307680789023</v>
      </c>
      <c r="I143" s="1499">
        <v>3.1186301382957948</v>
      </c>
      <c r="J143" s="1499">
        <v>2.7176005741329083</v>
      </c>
      <c r="K143" s="113">
        <v>1.3093008295644137</v>
      </c>
    </row>
    <row r="144" spans="2:11" x14ac:dyDescent="0.3">
      <c r="B144" s="111" t="s">
        <v>1987</v>
      </c>
      <c r="C144" s="112" t="s">
        <v>1489</v>
      </c>
      <c r="D144" s="1499">
        <v>3.3187922318316354</v>
      </c>
      <c r="E144" s="1499">
        <v>2.3003815476866825</v>
      </c>
      <c r="F144" s="1499">
        <v>1.7117360473890535</v>
      </c>
      <c r="G144" s="1499">
        <v>1.4072137224502059</v>
      </c>
      <c r="H144" s="1499">
        <v>1.561056424320405</v>
      </c>
      <c r="I144" s="1499">
        <v>3.0531557945372976</v>
      </c>
      <c r="J144" s="1499">
        <v>2.6521262303744111</v>
      </c>
      <c r="K144" s="113">
        <v>1.2438264858059165</v>
      </c>
    </row>
    <row r="145" spans="2:11" x14ac:dyDescent="0.3">
      <c r="B145" s="114">
        <v>0</v>
      </c>
      <c r="C145" s="112" t="s">
        <v>1496</v>
      </c>
      <c r="D145" s="1499">
        <v>3.22058071619389</v>
      </c>
      <c r="E145" s="1499">
        <v>2.2021700320489366</v>
      </c>
      <c r="F145" s="1499">
        <v>1.6135245317513076</v>
      </c>
      <c r="G145" s="1499">
        <v>1.3090022068124603</v>
      </c>
      <c r="H145" s="1499">
        <v>1.4628449086826596</v>
      </c>
      <c r="I145" s="1499">
        <v>2.9549442788995517</v>
      </c>
      <c r="J145" s="1499">
        <v>2.5539147147366656</v>
      </c>
      <c r="K145" s="113">
        <v>1.1456149701681706</v>
      </c>
    </row>
    <row r="146" spans="2:11" x14ac:dyDescent="0.3">
      <c r="B146" s="115"/>
      <c r="C146" s="112" t="s">
        <v>1500</v>
      </c>
      <c r="D146" s="1499">
        <v>3.1223692005561441</v>
      </c>
      <c r="E146" s="1499">
        <v>2.1039585164111911</v>
      </c>
      <c r="F146" s="1499">
        <v>1.515313016113562</v>
      </c>
      <c r="G146" s="1499">
        <v>1.2107906911747146</v>
      </c>
      <c r="H146" s="1499">
        <v>1.3646333930449137</v>
      </c>
      <c r="I146" s="1499">
        <v>2.8567327632618058</v>
      </c>
      <c r="J146" s="1499">
        <v>2.4557031990989193</v>
      </c>
      <c r="K146" s="113">
        <v>1.0474034545304249</v>
      </c>
    </row>
    <row r="147" spans="2:11" x14ac:dyDescent="0.3">
      <c r="B147" s="115"/>
      <c r="C147" s="112" t="s">
        <v>1504</v>
      </c>
      <c r="D147" s="1499">
        <v>3.2729422771008063</v>
      </c>
      <c r="E147" s="1499">
        <v>2.2413472646538435</v>
      </c>
      <c r="F147" s="1499">
        <v>1.6611926326119544</v>
      </c>
      <c r="G147" s="1499">
        <v>1.3607037444340875</v>
      </c>
      <c r="H147" s="1499">
        <v>1.5062815385498176</v>
      </c>
      <c r="I147" s="1499">
        <v>2.9962160603070704</v>
      </c>
      <c r="J147" s="1499">
        <v>2.5964763757286562</v>
      </c>
      <c r="K147" s="113">
        <v>1.1995483269797353</v>
      </c>
    </row>
    <row r="148" spans="2:11" x14ac:dyDescent="0.3">
      <c r="B148" s="115"/>
      <c r="C148" s="112" t="s">
        <v>1508</v>
      </c>
      <c r="D148" s="1499">
        <v>3.2184692859701314</v>
      </c>
      <c r="E148" s="1499">
        <v>2.1868742735231681</v>
      </c>
      <c r="F148" s="1499">
        <v>1.606719641481279</v>
      </c>
      <c r="G148" s="1499">
        <v>1.3062307533034121</v>
      </c>
      <c r="H148" s="1499">
        <v>1.4518085474191424</v>
      </c>
      <c r="I148" s="1499">
        <v>2.9417430691763955</v>
      </c>
      <c r="J148" s="1499">
        <v>2.5420033845979813</v>
      </c>
      <c r="K148" s="113">
        <v>1.1450753358490602</v>
      </c>
    </row>
    <row r="149" spans="2:11" x14ac:dyDescent="0.3">
      <c r="B149" s="115"/>
      <c r="C149" s="112" t="s">
        <v>1513</v>
      </c>
      <c r="D149" s="1499">
        <v>3.1367597992741185</v>
      </c>
      <c r="E149" s="1499">
        <v>2.1051647868271552</v>
      </c>
      <c r="F149" s="1499">
        <v>1.5250101547852664</v>
      </c>
      <c r="G149" s="1499">
        <v>1.2245212666073992</v>
      </c>
      <c r="H149" s="1499">
        <v>1.3700990607231296</v>
      </c>
      <c r="I149" s="1499">
        <v>2.8600335824803826</v>
      </c>
      <c r="J149" s="1499">
        <v>2.4602938979019684</v>
      </c>
      <c r="K149" s="113">
        <v>1.0633658491530473</v>
      </c>
    </row>
    <row r="150" spans="2:11" x14ac:dyDescent="0.3">
      <c r="B150" s="115"/>
      <c r="C150" s="112" t="s">
        <v>1517</v>
      </c>
      <c r="D150" s="1499">
        <v>3.0550503125781057</v>
      </c>
      <c r="E150" s="1499">
        <v>2.0234553001311424</v>
      </c>
      <c r="F150" s="1499">
        <v>1.4433006680892535</v>
      </c>
      <c r="G150" s="1499">
        <v>1.1428117799113866</v>
      </c>
      <c r="H150" s="1499">
        <v>1.2883895740271167</v>
      </c>
      <c r="I150" s="1499">
        <v>2.7783240957843698</v>
      </c>
      <c r="J150" s="1499">
        <v>2.3785844112059555</v>
      </c>
      <c r="K150" s="113">
        <v>0.98165636245703447</v>
      </c>
    </row>
    <row r="151" spans="2:11" ht="14.5" thickBot="1" x14ac:dyDescent="0.35">
      <c r="B151" s="1233"/>
      <c r="C151" s="116" t="s">
        <v>1519</v>
      </c>
      <c r="D151" s="117">
        <v>3.3842665755901327</v>
      </c>
      <c r="E151" s="117">
        <v>2.3658558914451797</v>
      </c>
      <c r="F151" s="117">
        <v>1.7772103911475507</v>
      </c>
      <c r="G151" s="117">
        <v>1.4726880662087032</v>
      </c>
      <c r="H151" s="117">
        <v>1.6265307680789023</v>
      </c>
      <c r="I151" s="117">
        <v>3.1186301382957948</v>
      </c>
      <c r="J151" s="117">
        <v>2.7176005741329083</v>
      </c>
      <c r="K151" s="118">
        <v>1.3093008295644137</v>
      </c>
    </row>
    <row r="152" spans="2:11" x14ac:dyDescent="0.3">
      <c r="B152" s="120" t="s">
        <v>1990</v>
      </c>
      <c r="C152" s="108" t="s">
        <v>1416</v>
      </c>
      <c r="D152" s="109">
        <v>2.764396090322518</v>
      </c>
      <c r="E152" s="109">
        <v>1.70663014438843</v>
      </c>
      <c r="F152" s="109">
        <v>1.1624209220687782</v>
      </c>
      <c r="G152" s="109">
        <v>0.85046199583030502</v>
      </c>
      <c r="H152" s="109">
        <v>1.0175918010221647</v>
      </c>
      <c r="I152" s="109">
        <v>2.4576962619664093</v>
      </c>
      <c r="J152" s="109">
        <v>2.0522549543427706</v>
      </c>
      <c r="K152" s="110">
        <v>0.67878213808983834</v>
      </c>
    </row>
    <row r="153" spans="2:11" x14ac:dyDescent="0.3">
      <c r="B153" s="111"/>
      <c r="C153" s="112" t="s">
        <v>1483</v>
      </c>
      <c r="D153" s="1499">
        <v>3.3255966772752359</v>
      </c>
      <c r="E153" s="1499">
        <v>2.3071859931302829</v>
      </c>
      <c r="F153" s="1499">
        <v>1.718540492832654</v>
      </c>
      <c r="G153" s="1499">
        <v>1.4140181678938064</v>
      </c>
      <c r="H153" s="1499">
        <v>1.5678608697640057</v>
      </c>
      <c r="I153" s="1499">
        <v>3.0599602399808976</v>
      </c>
      <c r="J153" s="1499">
        <v>2.6589306758180116</v>
      </c>
      <c r="K153" s="113">
        <v>1.250630931249517</v>
      </c>
    </row>
    <row r="154" spans="2:11" x14ac:dyDescent="0.3">
      <c r="B154" s="111" t="s">
        <v>1988</v>
      </c>
      <c r="C154" s="112" t="s">
        <v>1489</v>
      </c>
      <c r="D154" s="1499">
        <v>3.2601223335167386</v>
      </c>
      <c r="E154" s="1499">
        <v>2.2417116493717861</v>
      </c>
      <c r="F154" s="1499">
        <v>1.6530661490741567</v>
      </c>
      <c r="G154" s="1499">
        <v>1.3485438241353092</v>
      </c>
      <c r="H154" s="1499">
        <v>1.5023865260055085</v>
      </c>
      <c r="I154" s="1499">
        <v>2.9944858962224004</v>
      </c>
      <c r="J154" s="1499">
        <v>2.5934563320595143</v>
      </c>
      <c r="K154" s="113">
        <v>1.1851565874910197</v>
      </c>
    </row>
    <row r="155" spans="2:11" x14ac:dyDescent="0.3">
      <c r="B155" s="114">
        <v>0</v>
      </c>
      <c r="C155" s="112" t="s">
        <v>1496</v>
      </c>
      <c r="D155" s="1499">
        <v>3.1619108178789932</v>
      </c>
      <c r="E155" s="1499">
        <v>2.1435001337340402</v>
      </c>
      <c r="F155" s="1499">
        <v>1.5548546334364111</v>
      </c>
      <c r="G155" s="1499">
        <v>1.2503323084975635</v>
      </c>
      <c r="H155" s="1499">
        <v>1.4041750103677626</v>
      </c>
      <c r="I155" s="1499">
        <v>2.8962743805846549</v>
      </c>
      <c r="J155" s="1499">
        <v>2.4952448164217684</v>
      </c>
      <c r="K155" s="113">
        <v>1.086945071853274</v>
      </c>
    </row>
    <row r="156" spans="2:11" x14ac:dyDescent="0.3">
      <c r="B156" s="115"/>
      <c r="C156" s="112" t="s">
        <v>1500</v>
      </c>
      <c r="D156" s="1499">
        <v>3.0636993022412473</v>
      </c>
      <c r="E156" s="1499">
        <v>2.0452886180962944</v>
      </c>
      <c r="F156" s="1499">
        <v>1.4566431177986652</v>
      </c>
      <c r="G156" s="1499">
        <v>1.1521207928598178</v>
      </c>
      <c r="H156" s="1499">
        <v>1.3059634947300169</v>
      </c>
      <c r="I156" s="1499">
        <v>2.798062864946909</v>
      </c>
      <c r="J156" s="1499">
        <v>2.397033300784023</v>
      </c>
      <c r="K156" s="113">
        <v>0.98873355621552828</v>
      </c>
    </row>
    <row r="157" spans="2:11" x14ac:dyDescent="0.3">
      <c r="B157" s="115"/>
      <c r="C157" s="112" t="s">
        <v>1504</v>
      </c>
      <c r="D157" s="1499">
        <v>3.21427237878591</v>
      </c>
      <c r="E157" s="1499">
        <v>2.1826773663389467</v>
      </c>
      <c r="F157" s="1499">
        <v>1.6025227342970576</v>
      </c>
      <c r="G157" s="1499">
        <v>1.3020338461191907</v>
      </c>
      <c r="H157" s="1499">
        <v>1.4476116402349211</v>
      </c>
      <c r="I157" s="1499">
        <v>2.9375461619921741</v>
      </c>
      <c r="J157" s="1499">
        <v>2.5378064774137599</v>
      </c>
      <c r="K157" s="113">
        <v>1.1408784286648386</v>
      </c>
    </row>
    <row r="158" spans="2:11" x14ac:dyDescent="0.3">
      <c r="B158" s="115"/>
      <c r="C158" s="112" t="s">
        <v>1508</v>
      </c>
      <c r="D158" s="1499">
        <v>3.1597993876552342</v>
      </c>
      <c r="E158" s="1499">
        <v>2.1282043752082713</v>
      </c>
      <c r="F158" s="1499">
        <v>1.5480497431663824</v>
      </c>
      <c r="G158" s="1499">
        <v>1.2475608549885155</v>
      </c>
      <c r="H158" s="1499">
        <v>1.3931386491042457</v>
      </c>
      <c r="I158" s="1499">
        <v>2.8830731708614983</v>
      </c>
      <c r="J158" s="1499">
        <v>2.483333486283084</v>
      </c>
      <c r="K158" s="113">
        <v>1.0864054375341634</v>
      </c>
    </row>
    <row r="159" spans="2:11" x14ac:dyDescent="0.3">
      <c r="B159" s="115"/>
      <c r="C159" s="112" t="s">
        <v>1513</v>
      </c>
      <c r="D159" s="1499">
        <v>3.0780899009592213</v>
      </c>
      <c r="E159" s="1499">
        <v>2.0464948885122589</v>
      </c>
      <c r="F159" s="1499">
        <v>1.4663402564703696</v>
      </c>
      <c r="G159" s="1499">
        <v>1.1658513682925027</v>
      </c>
      <c r="H159" s="1499">
        <v>1.3114291624082328</v>
      </c>
      <c r="I159" s="1499">
        <v>2.8013636841654854</v>
      </c>
      <c r="J159" s="1499">
        <v>2.4016239995870712</v>
      </c>
      <c r="K159" s="113">
        <v>1.0046959508381506</v>
      </c>
    </row>
    <row r="160" spans="2:11" x14ac:dyDescent="0.3">
      <c r="B160" s="115"/>
      <c r="C160" s="112" t="s">
        <v>1517</v>
      </c>
      <c r="D160" s="1499">
        <v>2.9963804142632093</v>
      </c>
      <c r="E160" s="1499">
        <v>1.9647854018162458</v>
      </c>
      <c r="F160" s="1499">
        <v>1.3846307697743567</v>
      </c>
      <c r="G160" s="1499">
        <v>1.0841418815964898</v>
      </c>
      <c r="H160" s="1499">
        <v>1.22971967571222</v>
      </c>
      <c r="I160" s="1499">
        <v>2.719654197469473</v>
      </c>
      <c r="J160" s="1499">
        <v>2.3199145128910588</v>
      </c>
      <c r="K160" s="113">
        <v>0.92298646414213781</v>
      </c>
    </row>
    <row r="161" spans="2:11" ht="14.5" thickBot="1" x14ac:dyDescent="0.35">
      <c r="B161" s="1233"/>
      <c r="C161" s="116" t="s">
        <v>1519</v>
      </c>
      <c r="D161" s="117">
        <v>3.3255966772752359</v>
      </c>
      <c r="E161" s="117">
        <v>2.3071859931302829</v>
      </c>
      <c r="F161" s="117">
        <v>1.718540492832654</v>
      </c>
      <c r="G161" s="117">
        <v>1.4140181678938064</v>
      </c>
      <c r="H161" s="117">
        <v>1.5678608697640057</v>
      </c>
      <c r="I161" s="117">
        <v>3.0599602399808976</v>
      </c>
      <c r="J161" s="117">
        <v>2.6589306758180116</v>
      </c>
      <c r="K161" s="118">
        <v>1.250630931249517</v>
      </c>
    </row>
    <row r="162" spans="2:11" x14ac:dyDescent="0.3">
      <c r="B162" s="120" t="s">
        <v>1990</v>
      </c>
      <c r="C162" s="108" t="s">
        <v>1416</v>
      </c>
      <c r="D162" s="109">
        <v>2.7057261920076217</v>
      </c>
      <c r="E162" s="109">
        <v>1.6479602460735332</v>
      </c>
      <c r="F162" s="109">
        <v>1.1037510237538815</v>
      </c>
      <c r="G162" s="109">
        <v>0.79179209751540836</v>
      </c>
      <c r="H162" s="109">
        <v>0.95892190270726807</v>
      </c>
      <c r="I162" s="109">
        <v>2.3990263636515126</v>
      </c>
      <c r="J162" s="109">
        <v>1.9935850560278738</v>
      </c>
      <c r="K162" s="110">
        <v>0.62011223977494168</v>
      </c>
    </row>
    <row r="163" spans="2:11" x14ac:dyDescent="0.3">
      <c r="B163" s="111"/>
      <c r="C163" s="112" t="s">
        <v>1483</v>
      </c>
      <c r="D163" s="1499">
        <v>3.2669267789603396</v>
      </c>
      <c r="E163" s="1499">
        <v>2.2485160948153866</v>
      </c>
      <c r="F163" s="1499">
        <v>1.6598705945177572</v>
      </c>
      <c r="G163" s="1499">
        <v>1.3553482695789099</v>
      </c>
      <c r="H163" s="1499">
        <v>1.509190971449109</v>
      </c>
      <c r="I163" s="1499">
        <v>3.0012903416660013</v>
      </c>
      <c r="J163" s="1499">
        <v>2.6002607775031148</v>
      </c>
      <c r="K163" s="113">
        <v>1.1919610329346202</v>
      </c>
    </row>
    <row r="164" spans="2:11" x14ac:dyDescent="0.3">
      <c r="B164" s="111" t="s">
        <v>1989</v>
      </c>
      <c r="C164" s="112" t="s">
        <v>1489</v>
      </c>
      <c r="D164" s="1499">
        <v>3.2014524352018423</v>
      </c>
      <c r="E164" s="1499">
        <v>2.1830417510568894</v>
      </c>
      <c r="F164" s="1499">
        <v>1.5943962507592599</v>
      </c>
      <c r="G164" s="1499">
        <v>1.2898739258204126</v>
      </c>
      <c r="H164" s="1499">
        <v>1.4437166276906117</v>
      </c>
      <c r="I164" s="1499">
        <v>2.935815997907504</v>
      </c>
      <c r="J164" s="1499">
        <v>2.5347864337446175</v>
      </c>
      <c r="K164" s="113">
        <v>1.1264866891761229</v>
      </c>
    </row>
    <row r="165" spans="2:11" x14ac:dyDescent="0.3">
      <c r="B165" s="114">
        <v>0</v>
      </c>
      <c r="C165" s="112" t="s">
        <v>1496</v>
      </c>
      <c r="D165" s="1499">
        <v>3.1032409195640964</v>
      </c>
      <c r="E165" s="1499">
        <v>2.0848302354191435</v>
      </c>
      <c r="F165" s="1499">
        <v>1.4961847351215141</v>
      </c>
      <c r="G165" s="1499">
        <v>1.1916624101826667</v>
      </c>
      <c r="H165" s="1499">
        <v>1.3455051120528658</v>
      </c>
      <c r="I165" s="1499">
        <v>2.8376044822697586</v>
      </c>
      <c r="J165" s="1499">
        <v>2.4365749181068721</v>
      </c>
      <c r="K165" s="113">
        <v>1.0282751735383773</v>
      </c>
    </row>
    <row r="166" spans="2:11" x14ac:dyDescent="0.3">
      <c r="B166" s="115"/>
      <c r="C166" s="112" t="s">
        <v>1500</v>
      </c>
      <c r="D166" s="1499">
        <v>3.005029403926351</v>
      </c>
      <c r="E166" s="1499">
        <v>1.9866187197813978</v>
      </c>
      <c r="F166" s="1499">
        <v>1.3979732194837686</v>
      </c>
      <c r="G166" s="1499">
        <v>1.0934508945449211</v>
      </c>
      <c r="H166" s="1499">
        <v>1.2472935964151202</v>
      </c>
      <c r="I166" s="1499">
        <v>2.7393929666320127</v>
      </c>
      <c r="J166" s="1499">
        <v>2.3383634024691262</v>
      </c>
      <c r="K166" s="113">
        <v>0.93006365790063161</v>
      </c>
    </row>
    <row r="167" spans="2:11" x14ac:dyDescent="0.3">
      <c r="B167" s="115"/>
      <c r="C167" s="112" t="s">
        <v>1504</v>
      </c>
      <c r="D167" s="1499">
        <v>3.1556024804710128</v>
      </c>
      <c r="E167" s="1499">
        <v>2.1240074680240499</v>
      </c>
      <c r="F167" s="1499">
        <v>1.5438528359821611</v>
      </c>
      <c r="G167" s="1499">
        <v>1.2433639478042942</v>
      </c>
      <c r="H167" s="1499">
        <v>1.3889417419200243</v>
      </c>
      <c r="I167" s="1499">
        <v>2.8788762636772769</v>
      </c>
      <c r="J167" s="1499">
        <v>2.4791365790988626</v>
      </c>
      <c r="K167" s="113">
        <v>1.082208530349942</v>
      </c>
    </row>
    <row r="168" spans="2:11" x14ac:dyDescent="0.3">
      <c r="B168" s="115"/>
      <c r="C168" s="112" t="s">
        <v>1508</v>
      </c>
      <c r="D168" s="1499">
        <v>3.1011294893403378</v>
      </c>
      <c r="E168" s="1499">
        <v>2.069534476893375</v>
      </c>
      <c r="F168" s="1499">
        <v>1.4893798448514857</v>
      </c>
      <c r="G168" s="1499">
        <v>1.1888909566736188</v>
      </c>
      <c r="H168" s="1499">
        <v>1.3344687507893489</v>
      </c>
      <c r="I168" s="1499">
        <v>2.824403272546602</v>
      </c>
      <c r="J168" s="1499">
        <v>2.4246635879681877</v>
      </c>
      <c r="K168" s="113">
        <v>1.0277355392192669</v>
      </c>
    </row>
    <row r="169" spans="2:11" x14ac:dyDescent="0.3">
      <c r="B169" s="115"/>
      <c r="C169" s="112" t="s">
        <v>1513</v>
      </c>
      <c r="D169" s="1499">
        <v>3.019420002644325</v>
      </c>
      <c r="E169" s="1499">
        <v>1.9878249901973619</v>
      </c>
      <c r="F169" s="1499">
        <v>1.4076703581554728</v>
      </c>
      <c r="G169" s="1499">
        <v>1.1071814699776059</v>
      </c>
      <c r="H169" s="1499">
        <v>1.2527592640933363</v>
      </c>
      <c r="I169" s="1499">
        <v>2.7426937858505891</v>
      </c>
      <c r="J169" s="1499">
        <v>2.3429541012721748</v>
      </c>
      <c r="K169" s="113">
        <v>0.94602605252325389</v>
      </c>
    </row>
    <row r="170" spans="2:11" x14ac:dyDescent="0.3">
      <c r="B170" s="115"/>
      <c r="C170" s="112" t="s">
        <v>1517</v>
      </c>
      <c r="D170" s="1499">
        <v>2.9377105159483121</v>
      </c>
      <c r="E170" s="1499">
        <v>1.9061155035013493</v>
      </c>
      <c r="F170" s="1499">
        <v>1.32596087145946</v>
      </c>
      <c r="G170" s="1499">
        <v>1.0254719832815931</v>
      </c>
      <c r="H170" s="1499">
        <v>1.1710497773973234</v>
      </c>
      <c r="I170" s="1499">
        <v>2.6609842991545762</v>
      </c>
      <c r="J170" s="1499">
        <v>2.261244614576162</v>
      </c>
      <c r="K170" s="113">
        <v>0.86431656582724115</v>
      </c>
    </row>
    <row r="171" spans="2:11" ht="14.5" thickBot="1" x14ac:dyDescent="0.35">
      <c r="B171" s="1233"/>
      <c r="C171" s="116" t="s">
        <v>1519</v>
      </c>
      <c r="D171" s="117">
        <v>3.2669267789603396</v>
      </c>
      <c r="E171" s="117">
        <v>2.2485160948153866</v>
      </c>
      <c r="F171" s="117">
        <v>1.6598705945177572</v>
      </c>
      <c r="G171" s="117">
        <v>1.3553482695789099</v>
      </c>
      <c r="H171" s="117">
        <v>1.509190971449109</v>
      </c>
      <c r="I171" s="117">
        <v>3.0012903416660013</v>
      </c>
      <c r="J171" s="117">
        <v>2.6002607775031148</v>
      </c>
      <c r="K171" s="118">
        <v>1.1919610329346202</v>
      </c>
    </row>
    <row r="173" spans="2:11" ht="14.5" thickBot="1" x14ac:dyDescent="0.35"/>
    <row r="174" spans="2:11" ht="25.5" thickBot="1" x14ac:dyDescent="0.55000000000000004">
      <c r="B174" s="88" t="s">
        <v>1960</v>
      </c>
      <c r="C174" s="89"/>
      <c r="D174" s="90">
        <v>4</v>
      </c>
      <c r="E174" s="91" t="s">
        <v>1991</v>
      </c>
      <c r="F174" s="92"/>
      <c r="G174" s="92"/>
      <c r="H174" s="92"/>
      <c r="I174" s="93"/>
      <c r="J174" s="89" t="s">
        <v>176</v>
      </c>
      <c r="K174" s="94" t="s">
        <v>214</v>
      </c>
    </row>
    <row r="175" spans="2:11" ht="14.5" thickBot="1" x14ac:dyDescent="0.35">
      <c r="B175" s="95" t="s">
        <v>1962</v>
      </c>
      <c r="C175" s="96" t="s">
        <v>1963</v>
      </c>
      <c r="D175" s="95" t="s">
        <v>1964</v>
      </c>
      <c r="E175" s="97" t="s">
        <v>1965</v>
      </c>
      <c r="F175" s="97" t="s">
        <v>1966</v>
      </c>
      <c r="G175" s="97" t="s">
        <v>1967</v>
      </c>
      <c r="H175" s="97" t="s">
        <v>1968</v>
      </c>
      <c r="I175" s="97" t="s">
        <v>1969</v>
      </c>
      <c r="J175" s="97" t="s">
        <v>1970</v>
      </c>
      <c r="K175" s="98" t="s">
        <v>1971</v>
      </c>
    </row>
    <row r="176" spans="2:11" ht="14.5" thickBot="1" x14ac:dyDescent="0.35">
      <c r="B176" s="99"/>
      <c r="C176" s="99"/>
      <c r="D176" s="100"/>
      <c r="E176" s="944"/>
      <c r="F176" s="944"/>
      <c r="G176" s="944"/>
      <c r="H176" s="944"/>
      <c r="I176" s="944"/>
      <c r="J176" s="944"/>
      <c r="K176" s="102"/>
    </row>
    <row r="177" spans="2:11" ht="90.5" thickBot="1" x14ac:dyDescent="0.45">
      <c r="B177" s="103" t="s">
        <v>1972</v>
      </c>
      <c r="C177" s="103" t="s">
        <v>1973</v>
      </c>
      <c r="D177" s="105" t="s">
        <v>1974</v>
      </c>
      <c r="E177" s="105" t="s">
        <v>1525</v>
      </c>
      <c r="F177" s="105" t="s">
        <v>1527</v>
      </c>
      <c r="G177" s="105" t="s">
        <v>1975</v>
      </c>
      <c r="H177" s="105" t="s">
        <v>1976</v>
      </c>
      <c r="I177" s="105" t="s">
        <v>1445</v>
      </c>
      <c r="J177" s="105" t="s">
        <v>1538</v>
      </c>
      <c r="K177" s="106" t="s">
        <v>1541</v>
      </c>
    </row>
    <row r="178" spans="2:11" x14ac:dyDescent="0.3">
      <c r="B178" s="120" t="s">
        <v>1992</v>
      </c>
      <c r="C178" s="108" t="s">
        <v>1416</v>
      </c>
      <c r="D178" s="109">
        <v>4.102371865230948</v>
      </c>
      <c r="E178" s="109">
        <v>3.1211895434046504</v>
      </c>
      <c r="F178" s="109">
        <v>2.4158594512416314</v>
      </c>
      <c r="G178" s="109">
        <v>2.1281268473967017</v>
      </c>
      <c r="H178" s="109">
        <v>2.2742265573898979</v>
      </c>
      <c r="I178" s="109">
        <v>3.9312838196798161</v>
      </c>
      <c r="J178" s="109">
        <v>3.4969450417179897</v>
      </c>
      <c r="K178" s="110">
        <v>1.9231904738029091</v>
      </c>
    </row>
    <row r="179" spans="2:11" x14ac:dyDescent="0.3">
      <c r="B179" s="128"/>
      <c r="C179" s="112" t="s">
        <v>1483</v>
      </c>
      <c r="D179" s="1499">
        <v>4.8390895863048762</v>
      </c>
      <c r="E179" s="1499">
        <v>3.8867371634567505</v>
      </c>
      <c r="F179" s="1499">
        <v>3.1788364337988919</v>
      </c>
      <c r="G179" s="1499">
        <v>2.9071772440121477</v>
      </c>
      <c r="H179" s="1499">
        <v>3.0351930502716709</v>
      </c>
      <c r="I179" s="1499">
        <v>4.6679914905540087</v>
      </c>
      <c r="J179" s="1499">
        <v>4.2518639913925371</v>
      </c>
      <c r="K179" s="113">
        <v>2.6989034167908907</v>
      </c>
    </row>
    <row r="180" spans="2:11" x14ac:dyDescent="0.3">
      <c r="B180" s="128"/>
      <c r="C180" s="112" t="s">
        <v>1489</v>
      </c>
      <c r="D180" s="1499">
        <v>4.7736152425463798</v>
      </c>
      <c r="E180" s="1499">
        <v>3.8212628196982532</v>
      </c>
      <c r="F180" s="1499">
        <v>3.1133620900403947</v>
      </c>
      <c r="G180" s="1499">
        <v>2.8417029002536505</v>
      </c>
      <c r="H180" s="1499">
        <v>2.9697187065131736</v>
      </c>
      <c r="I180" s="1499">
        <v>4.6025171467955115</v>
      </c>
      <c r="J180" s="1499">
        <v>4.1863896476340399</v>
      </c>
      <c r="K180" s="113">
        <v>2.6334290730323935</v>
      </c>
    </row>
    <row r="181" spans="2:11" x14ac:dyDescent="0.3">
      <c r="B181" s="122">
        <v>0</v>
      </c>
      <c r="C181" s="112" t="s">
        <v>1496</v>
      </c>
      <c r="D181" s="1499">
        <v>4.6754037269086339</v>
      </c>
      <c r="E181" s="1499">
        <v>3.7230513040605078</v>
      </c>
      <c r="F181" s="1499">
        <v>3.0151505744026492</v>
      </c>
      <c r="G181" s="1499">
        <v>2.743491384615905</v>
      </c>
      <c r="H181" s="1499">
        <v>2.8715071908754282</v>
      </c>
      <c r="I181" s="1499">
        <v>4.5043056311577665</v>
      </c>
      <c r="J181" s="1499">
        <v>4.088178131996294</v>
      </c>
      <c r="K181" s="113">
        <v>2.535217557394648</v>
      </c>
    </row>
    <row r="182" spans="2:11" x14ac:dyDescent="0.3">
      <c r="B182" s="123"/>
      <c r="C182" s="112" t="s">
        <v>1500</v>
      </c>
      <c r="D182" s="1499">
        <v>4.5771922112708889</v>
      </c>
      <c r="E182" s="1499">
        <v>3.6248397884227614</v>
      </c>
      <c r="F182" s="1499">
        <v>2.9169390587649033</v>
      </c>
      <c r="G182" s="1499">
        <v>2.6452798689781596</v>
      </c>
      <c r="H182" s="1499">
        <v>2.7732956752376823</v>
      </c>
      <c r="I182" s="1499">
        <v>4.4060941155200206</v>
      </c>
      <c r="J182" s="1499">
        <v>3.9899666163585477</v>
      </c>
      <c r="K182" s="113">
        <v>2.4370060417569022</v>
      </c>
    </row>
    <row r="183" spans="2:11" x14ac:dyDescent="0.3">
      <c r="B183" s="123"/>
      <c r="C183" s="112" t="s">
        <v>1504</v>
      </c>
      <c r="D183" s="1499">
        <v>4.6968259260727736</v>
      </c>
      <c r="E183" s="1499">
        <v>3.7375174861197418</v>
      </c>
      <c r="F183" s="1499">
        <v>3.0313264525577899</v>
      </c>
      <c r="G183" s="1499">
        <v>2.7576699774725086</v>
      </c>
      <c r="H183" s="1499">
        <v>2.8867053800812092</v>
      </c>
      <c r="I183" s="1499">
        <v>4.5198123535328616</v>
      </c>
      <c r="J183" s="1499">
        <v>4.1033174180117902</v>
      </c>
      <c r="K183" s="113">
        <v>2.5514727829506541</v>
      </c>
    </row>
    <row r="184" spans="2:11" x14ac:dyDescent="0.3">
      <c r="B184" s="123"/>
      <c r="C184" s="112" t="s">
        <v>1508</v>
      </c>
      <c r="D184" s="1499">
        <v>4.6423529349420978</v>
      </c>
      <c r="E184" s="1499">
        <v>3.6830444949890668</v>
      </c>
      <c r="F184" s="1499">
        <v>2.9768534614271149</v>
      </c>
      <c r="G184" s="1499">
        <v>2.7031969863418337</v>
      </c>
      <c r="H184" s="1499">
        <v>2.8322323889505343</v>
      </c>
      <c r="I184" s="1499">
        <v>4.4653393624021867</v>
      </c>
      <c r="J184" s="1499">
        <v>4.0488444268811152</v>
      </c>
      <c r="K184" s="113">
        <v>2.4969997918199791</v>
      </c>
    </row>
    <row r="185" spans="2:11" x14ac:dyDescent="0.3">
      <c r="B185" s="123"/>
      <c r="C185" s="112" t="s">
        <v>1513</v>
      </c>
      <c r="D185" s="1499">
        <v>4.5606434482460854</v>
      </c>
      <c r="E185" s="1499">
        <v>3.601335008293054</v>
      </c>
      <c r="F185" s="1499">
        <v>2.8951439747311021</v>
      </c>
      <c r="G185" s="1499">
        <v>2.6214874996458208</v>
      </c>
      <c r="H185" s="1499">
        <v>2.7505229022545215</v>
      </c>
      <c r="I185" s="1499">
        <v>4.3836298757061734</v>
      </c>
      <c r="J185" s="1499">
        <v>3.9671349401851019</v>
      </c>
      <c r="K185" s="113">
        <v>2.4152903051239663</v>
      </c>
    </row>
    <row r="186" spans="2:11" x14ac:dyDescent="0.3">
      <c r="B186" s="123"/>
      <c r="C186" s="112" t="s">
        <v>1517</v>
      </c>
      <c r="D186" s="1499">
        <v>4.4789339615500721</v>
      </c>
      <c r="E186" s="1499">
        <v>3.5196255215970411</v>
      </c>
      <c r="F186" s="1499">
        <v>2.8134344880350892</v>
      </c>
      <c r="G186" s="1499">
        <v>2.539778012949808</v>
      </c>
      <c r="H186" s="1499">
        <v>2.6688134155585086</v>
      </c>
      <c r="I186" s="1499">
        <v>4.3019203890101609</v>
      </c>
      <c r="J186" s="1499">
        <v>3.8854254534890891</v>
      </c>
      <c r="K186" s="113">
        <v>2.3335808184279534</v>
      </c>
    </row>
    <row r="187" spans="2:11" ht="14.5" thickBot="1" x14ac:dyDescent="0.35">
      <c r="B187" s="124"/>
      <c r="C187" s="116" t="s">
        <v>1519</v>
      </c>
      <c r="D187" s="117">
        <v>4.8390895863048762</v>
      </c>
      <c r="E187" s="117">
        <v>3.8867371634567505</v>
      </c>
      <c r="F187" s="117">
        <v>3.1788364337988919</v>
      </c>
      <c r="G187" s="117">
        <v>2.9071772440121477</v>
      </c>
      <c r="H187" s="117">
        <v>3.0351930502716709</v>
      </c>
      <c r="I187" s="117">
        <v>4.6679914905540087</v>
      </c>
      <c r="J187" s="117">
        <v>4.2518639913925371</v>
      </c>
      <c r="K187" s="118">
        <v>2.6989034167908907</v>
      </c>
    </row>
    <row r="188" spans="2:11" x14ac:dyDescent="0.3">
      <c r="B188" s="120" t="s">
        <v>1993</v>
      </c>
      <c r="C188" s="1234" t="s">
        <v>1416</v>
      </c>
      <c r="D188" s="109">
        <v>3.0996274457365249</v>
      </c>
      <c r="E188" s="109">
        <v>2.0599455283024333</v>
      </c>
      <c r="F188" s="109">
        <v>1.4542495355965215</v>
      </c>
      <c r="G188" s="109">
        <v>1.1561998369970086</v>
      </c>
      <c r="H188" s="109">
        <v>1.3063593167735394</v>
      </c>
      <c r="I188" s="109">
        <v>2.8417730493121449</v>
      </c>
      <c r="J188" s="109">
        <v>2.4274888193668374</v>
      </c>
      <c r="K188" s="110">
        <v>0.98117176010728679</v>
      </c>
    </row>
    <row r="189" spans="2:11" x14ac:dyDescent="0.3">
      <c r="B189" s="121"/>
      <c r="C189" s="1500" t="s">
        <v>1483</v>
      </c>
      <c r="D189" s="1499">
        <v>3.8405953061932623</v>
      </c>
      <c r="E189" s="1499">
        <v>2.8581686106344182</v>
      </c>
      <c r="F189" s="1499">
        <v>2.2035041332024949</v>
      </c>
      <c r="G189" s="1499">
        <v>1.9326290886261133</v>
      </c>
      <c r="H189" s="1499">
        <v>2.0602916009357095</v>
      </c>
      <c r="I189" s="1499">
        <v>3.6287737349666154</v>
      </c>
      <c r="J189" s="1499">
        <v>3.2201575372132063</v>
      </c>
      <c r="K189" s="113">
        <v>1.7437185912422821</v>
      </c>
    </row>
    <row r="190" spans="2:11" x14ac:dyDescent="0.3">
      <c r="B190" s="128"/>
      <c r="C190" s="1500" t="s">
        <v>1489</v>
      </c>
      <c r="D190" s="1499">
        <v>3.775120962434765</v>
      </c>
      <c r="E190" s="1499">
        <v>2.7926942668759209</v>
      </c>
      <c r="F190" s="1499">
        <v>2.1380297894439977</v>
      </c>
      <c r="G190" s="1499">
        <v>1.867154744867616</v>
      </c>
      <c r="H190" s="1499">
        <v>1.9948172571772125</v>
      </c>
      <c r="I190" s="1499">
        <v>3.5632993912081181</v>
      </c>
      <c r="J190" s="1499">
        <v>3.154683193454709</v>
      </c>
      <c r="K190" s="113">
        <v>1.6782442474837849</v>
      </c>
    </row>
    <row r="191" spans="2:11" x14ac:dyDescent="0.3">
      <c r="B191" s="122">
        <v>0</v>
      </c>
      <c r="C191" s="1500" t="s">
        <v>1496</v>
      </c>
      <c r="D191" s="1499">
        <v>3.6769094467970196</v>
      </c>
      <c r="E191" s="1499">
        <v>2.694482751238175</v>
      </c>
      <c r="F191" s="1499">
        <v>2.0398182738062522</v>
      </c>
      <c r="G191" s="1499">
        <v>1.7689432292298706</v>
      </c>
      <c r="H191" s="1499">
        <v>1.8966057415394666</v>
      </c>
      <c r="I191" s="1499">
        <v>3.4650878755703727</v>
      </c>
      <c r="J191" s="1499">
        <v>3.0564716778169636</v>
      </c>
      <c r="K191" s="113">
        <v>1.5800327318460394</v>
      </c>
    </row>
    <row r="192" spans="2:11" x14ac:dyDescent="0.3">
      <c r="B192" s="123"/>
      <c r="C192" s="1500" t="s">
        <v>1500</v>
      </c>
      <c r="D192" s="1499">
        <v>3.5786979311592737</v>
      </c>
      <c r="E192" s="1499">
        <v>2.5962712356004296</v>
      </c>
      <c r="F192" s="1499">
        <v>1.9416067581685064</v>
      </c>
      <c r="G192" s="1499">
        <v>1.6707317135921247</v>
      </c>
      <c r="H192" s="1499">
        <v>1.7983942259017209</v>
      </c>
      <c r="I192" s="1499">
        <v>3.3668763599326272</v>
      </c>
      <c r="J192" s="1499">
        <v>2.9582601621792177</v>
      </c>
      <c r="K192" s="113">
        <v>1.4818212162082935</v>
      </c>
    </row>
    <row r="193" spans="2:11" x14ac:dyDescent="0.3">
      <c r="B193" s="123"/>
      <c r="C193" s="1500" t="s">
        <v>1504</v>
      </c>
      <c r="D193" s="1499">
        <v>3.6973403209680549</v>
      </c>
      <c r="E193" s="1499">
        <v>2.7072529180640532</v>
      </c>
      <c r="F193" s="1499">
        <v>2.059322571408996</v>
      </c>
      <c r="G193" s="1499">
        <v>1.7815319035491139</v>
      </c>
      <c r="H193" s="1499">
        <v>1.9176834796439894</v>
      </c>
      <c r="I193" s="1499">
        <v>3.4770833638458485</v>
      </c>
      <c r="J193" s="1499">
        <v>3.0677186175234503</v>
      </c>
      <c r="K193" s="113">
        <v>1.5894242808130552</v>
      </c>
    </row>
    <row r="194" spans="2:11" x14ac:dyDescent="0.3">
      <c r="B194" s="123"/>
      <c r="C194" s="1500" t="s">
        <v>1508</v>
      </c>
      <c r="D194" s="1499">
        <v>3.6428673298373799</v>
      </c>
      <c r="E194" s="1499">
        <v>2.6527799269333783</v>
      </c>
      <c r="F194" s="1499">
        <v>2.0048495802783206</v>
      </c>
      <c r="G194" s="1499">
        <v>1.7270589124184386</v>
      </c>
      <c r="H194" s="1499">
        <v>1.8632104885133141</v>
      </c>
      <c r="I194" s="1499">
        <v>3.4226103727151735</v>
      </c>
      <c r="J194" s="1499">
        <v>3.0132456263927754</v>
      </c>
      <c r="K194" s="113">
        <v>1.5349512896823798</v>
      </c>
    </row>
    <row r="195" spans="2:11" x14ac:dyDescent="0.3">
      <c r="B195" s="123"/>
      <c r="C195" s="1500" t="s">
        <v>1513</v>
      </c>
      <c r="D195" s="1499">
        <v>3.5611578431413671</v>
      </c>
      <c r="E195" s="1499">
        <v>2.5710704402373654</v>
      </c>
      <c r="F195" s="1499">
        <v>1.9231400935823078</v>
      </c>
      <c r="G195" s="1499">
        <v>1.6453494257224257</v>
      </c>
      <c r="H195" s="1499">
        <v>1.7815010018173012</v>
      </c>
      <c r="I195" s="1499">
        <v>3.3409008860191607</v>
      </c>
      <c r="J195" s="1499">
        <v>2.9315361396967625</v>
      </c>
      <c r="K195" s="113">
        <v>1.453241802986367</v>
      </c>
    </row>
    <row r="196" spans="2:11" x14ac:dyDescent="0.3">
      <c r="B196" s="123"/>
      <c r="C196" s="1500" t="s">
        <v>1517</v>
      </c>
      <c r="D196" s="1499">
        <v>3.4794483564453542</v>
      </c>
      <c r="E196" s="1499">
        <v>2.4893609535413526</v>
      </c>
      <c r="F196" s="1499">
        <v>1.8414306068862949</v>
      </c>
      <c r="G196" s="1499">
        <v>1.5636399390264131</v>
      </c>
      <c r="H196" s="1499">
        <v>1.6997915151212886</v>
      </c>
      <c r="I196" s="1499">
        <v>3.2591913993231478</v>
      </c>
      <c r="J196" s="1499">
        <v>2.8498266530007497</v>
      </c>
      <c r="K196" s="113">
        <v>1.3715323162903543</v>
      </c>
    </row>
    <row r="197" spans="2:11" ht="14.5" thickBot="1" x14ac:dyDescent="0.35">
      <c r="B197" s="124"/>
      <c r="C197" s="125" t="s">
        <v>1519</v>
      </c>
      <c r="D197" s="117">
        <v>3.8405953061932623</v>
      </c>
      <c r="E197" s="117">
        <v>2.8581686106344182</v>
      </c>
      <c r="F197" s="117">
        <v>2.2035041332024949</v>
      </c>
      <c r="G197" s="117">
        <v>1.9326290886261133</v>
      </c>
      <c r="H197" s="117">
        <v>2.0602916009357095</v>
      </c>
      <c r="I197" s="117">
        <v>3.6287737349666154</v>
      </c>
      <c r="J197" s="117">
        <v>3.2201575372132063</v>
      </c>
      <c r="K197" s="118">
        <v>1.7437185912422821</v>
      </c>
    </row>
    <row r="198" spans="2:11" x14ac:dyDescent="0.3">
      <c r="B198" s="119" t="s">
        <v>1994</v>
      </c>
      <c r="C198" s="108" t="s">
        <v>1416</v>
      </c>
      <c r="D198" s="109">
        <v>3.6018231340087126</v>
      </c>
      <c r="E198" s="109">
        <v>2.6087944190017072</v>
      </c>
      <c r="F198" s="109">
        <v>1.9264523791771915</v>
      </c>
      <c r="G198" s="109">
        <v>1.6359101237686715</v>
      </c>
      <c r="H198" s="109">
        <v>1.7824518627986945</v>
      </c>
      <c r="I198" s="109">
        <v>3.4151969404715814</v>
      </c>
      <c r="J198" s="109">
        <v>2.9851020882832926</v>
      </c>
      <c r="K198" s="110">
        <v>1.4313879616587655</v>
      </c>
    </row>
    <row r="199" spans="2:11" x14ac:dyDescent="0.3">
      <c r="B199" s="111"/>
      <c r="C199" s="112" t="s">
        <v>1483</v>
      </c>
      <c r="D199" s="1499">
        <v>4.3514090849417943</v>
      </c>
      <c r="E199" s="1499">
        <v>3.3999779232344931</v>
      </c>
      <c r="F199" s="1499">
        <v>2.6957402366590291</v>
      </c>
      <c r="G199" s="1499">
        <v>2.4288785078769553</v>
      </c>
      <c r="H199" s="1499">
        <v>2.5503851441822873</v>
      </c>
      <c r="I199" s="1499">
        <v>4.1843183112633575</v>
      </c>
      <c r="J199" s="1499">
        <v>3.7672311153973879</v>
      </c>
      <c r="K199" s="113">
        <v>2.2196230835006916</v>
      </c>
    </row>
    <row r="200" spans="2:11" x14ac:dyDescent="0.3">
      <c r="B200" s="111"/>
      <c r="C200" s="112" t="s">
        <v>1489</v>
      </c>
      <c r="D200" s="1499">
        <v>4.2859347411832971</v>
      </c>
      <c r="E200" s="1499">
        <v>3.3345035794759958</v>
      </c>
      <c r="F200" s="1499">
        <v>2.6302658929005318</v>
      </c>
      <c r="G200" s="1499">
        <v>2.363404164118458</v>
      </c>
      <c r="H200" s="1499">
        <v>2.4849108004237901</v>
      </c>
      <c r="I200" s="1499">
        <v>4.1188439675048603</v>
      </c>
      <c r="J200" s="1499">
        <v>3.7017567716388906</v>
      </c>
      <c r="K200" s="113">
        <v>2.1541487397421943</v>
      </c>
    </row>
    <row r="201" spans="2:11" x14ac:dyDescent="0.3">
      <c r="B201" s="114">
        <v>0</v>
      </c>
      <c r="C201" s="112" t="s">
        <v>1496</v>
      </c>
      <c r="D201" s="1499">
        <v>4.1877232255455512</v>
      </c>
      <c r="E201" s="1499">
        <v>3.2362920638382504</v>
      </c>
      <c r="F201" s="1499">
        <v>2.5320543772627864</v>
      </c>
      <c r="G201" s="1499">
        <v>2.2651926484807126</v>
      </c>
      <c r="H201" s="1499">
        <v>2.3866992847860447</v>
      </c>
      <c r="I201" s="1499">
        <v>4.0206324518671144</v>
      </c>
      <c r="J201" s="1499">
        <v>3.6035452560011447</v>
      </c>
      <c r="K201" s="113">
        <v>2.0559372241044485</v>
      </c>
    </row>
    <row r="202" spans="2:11" x14ac:dyDescent="0.3">
      <c r="B202" s="115"/>
      <c r="C202" s="112" t="s">
        <v>1500</v>
      </c>
      <c r="D202" s="1499">
        <v>4.0895117099078053</v>
      </c>
      <c r="E202" s="1499">
        <v>3.1380805482005045</v>
      </c>
      <c r="F202" s="1499">
        <v>2.43384286162504</v>
      </c>
      <c r="G202" s="1499">
        <v>2.1669811328429667</v>
      </c>
      <c r="H202" s="1499">
        <v>2.2884877691482988</v>
      </c>
      <c r="I202" s="1499">
        <v>3.9224209362293689</v>
      </c>
      <c r="J202" s="1499">
        <v>3.5053337403633993</v>
      </c>
      <c r="K202" s="113">
        <v>1.9577257084667028</v>
      </c>
    </row>
    <row r="203" spans="2:11" x14ac:dyDescent="0.3">
      <c r="B203" s="115"/>
      <c r="C203" s="112" t="s">
        <v>1504</v>
      </c>
      <c r="D203" s="1499">
        <v>4.2052845140236839</v>
      </c>
      <c r="E203" s="1499">
        <v>3.2487025906692706</v>
      </c>
      <c r="F203" s="1499">
        <v>2.5487304408798086</v>
      </c>
      <c r="G203" s="1499">
        <v>2.2742026545976999</v>
      </c>
      <c r="H203" s="1499">
        <v>2.4016265633916944</v>
      </c>
      <c r="I203" s="1499">
        <v>4.0337757768080769</v>
      </c>
      <c r="J203" s="1499">
        <v>3.61524698824419</v>
      </c>
      <c r="K203" s="113">
        <v>2.0676069138075701</v>
      </c>
    </row>
    <row r="204" spans="2:11" x14ac:dyDescent="0.3">
      <c r="B204" s="115"/>
      <c r="C204" s="112" t="s">
        <v>1508</v>
      </c>
      <c r="D204" s="1499">
        <v>4.1508115228930089</v>
      </c>
      <c r="E204" s="1499">
        <v>3.1942295995385956</v>
      </c>
      <c r="F204" s="1499">
        <v>2.4942574497491337</v>
      </c>
      <c r="G204" s="1499">
        <v>2.2197296634670245</v>
      </c>
      <c r="H204" s="1499">
        <v>2.3471535722610195</v>
      </c>
      <c r="I204" s="1499">
        <v>3.9793027856774015</v>
      </c>
      <c r="J204" s="1499">
        <v>3.5607739971135151</v>
      </c>
      <c r="K204" s="113">
        <v>2.0131339226768947</v>
      </c>
    </row>
    <row r="205" spans="2:11" x14ac:dyDescent="0.3">
      <c r="B205" s="115"/>
      <c r="C205" s="112" t="s">
        <v>1513</v>
      </c>
      <c r="D205" s="1499">
        <v>4.0691020361969965</v>
      </c>
      <c r="E205" s="1499">
        <v>3.1125201128425828</v>
      </c>
      <c r="F205" s="1499">
        <v>2.4125479630531208</v>
      </c>
      <c r="G205" s="1499">
        <v>2.1380201767710116</v>
      </c>
      <c r="H205" s="1499">
        <v>2.2654440855650066</v>
      </c>
      <c r="I205" s="1499">
        <v>3.8975932989813886</v>
      </c>
      <c r="J205" s="1499">
        <v>3.4790645104175022</v>
      </c>
      <c r="K205" s="113">
        <v>1.9314244359808821</v>
      </c>
    </row>
    <row r="206" spans="2:11" x14ac:dyDescent="0.3">
      <c r="B206" s="115"/>
      <c r="C206" s="112" t="s">
        <v>1517</v>
      </c>
      <c r="D206" s="1499">
        <v>3.9873925495009837</v>
      </c>
      <c r="E206" s="1499">
        <v>3.0308106261465699</v>
      </c>
      <c r="F206" s="1499">
        <v>2.3308384763571079</v>
      </c>
      <c r="G206" s="1499">
        <v>2.0563106900749988</v>
      </c>
      <c r="H206" s="1499">
        <v>2.1837345988689938</v>
      </c>
      <c r="I206" s="1499">
        <v>3.8158838122853758</v>
      </c>
      <c r="J206" s="1499">
        <v>3.3973550237214893</v>
      </c>
      <c r="K206" s="113">
        <v>1.8497149492848692</v>
      </c>
    </row>
    <row r="207" spans="2:11" ht="14.5" thickBot="1" x14ac:dyDescent="0.35">
      <c r="B207" s="1233"/>
      <c r="C207" s="116" t="s">
        <v>1519</v>
      </c>
      <c r="D207" s="117">
        <v>4.3514090849417943</v>
      </c>
      <c r="E207" s="117">
        <v>3.3999779232344931</v>
      </c>
      <c r="F207" s="117">
        <v>2.6957402366590291</v>
      </c>
      <c r="G207" s="117">
        <v>2.4288785078769553</v>
      </c>
      <c r="H207" s="117">
        <v>2.5503851441822873</v>
      </c>
      <c r="I207" s="117">
        <v>4.1843183112633575</v>
      </c>
      <c r="J207" s="117">
        <v>3.7672311153973879</v>
      </c>
      <c r="K207" s="118">
        <v>2.2196230835006916</v>
      </c>
    </row>
    <row r="208" spans="2:11" x14ac:dyDescent="0.3">
      <c r="B208" s="120" t="s">
        <v>1519</v>
      </c>
      <c r="C208" s="108" t="s">
        <v>1416</v>
      </c>
      <c r="D208" s="129">
        <v>2.9497205109970688</v>
      </c>
      <c r="E208" s="109">
        <v>1.8944577885215044</v>
      </c>
      <c r="F208" s="109">
        <v>1.3329703159443846</v>
      </c>
      <c r="G208" s="109">
        <v>1.0286533850658983</v>
      </c>
      <c r="H208" s="109">
        <v>1.1915789352228814</v>
      </c>
      <c r="I208" s="109">
        <v>2.6502380766134581</v>
      </c>
      <c r="J208" s="109">
        <v>2.2453061348356864</v>
      </c>
      <c r="K208" s="110">
        <v>0.85684360547904925</v>
      </c>
    </row>
    <row r="209" spans="2:11" x14ac:dyDescent="0.3">
      <c r="B209" s="111"/>
      <c r="C209" s="112" t="s">
        <v>1483</v>
      </c>
      <c r="D209" s="130">
        <v>3.5095424563157893</v>
      </c>
      <c r="E209" s="1499">
        <v>2.4966528163357888</v>
      </c>
      <c r="F209" s="1499">
        <v>1.8965057231659299</v>
      </c>
      <c r="G209" s="1499">
        <v>1.5971366563443232</v>
      </c>
      <c r="H209" s="1499">
        <v>1.748455937273075</v>
      </c>
      <c r="I209" s="1499">
        <v>3.2517650339205364</v>
      </c>
      <c r="J209" s="1499">
        <v>2.848303769917131</v>
      </c>
      <c r="K209" s="113">
        <v>1.4215981715611525</v>
      </c>
    </row>
    <row r="210" spans="2:11" x14ac:dyDescent="0.3">
      <c r="B210" s="111"/>
      <c r="C210" s="112" t="s">
        <v>1489</v>
      </c>
      <c r="D210" s="130">
        <v>3.4440681125572921</v>
      </c>
      <c r="E210" s="1499">
        <v>2.4311784725772916</v>
      </c>
      <c r="F210" s="1499">
        <v>1.8310313794074291</v>
      </c>
      <c r="G210" s="1499">
        <v>1.5316623125858262</v>
      </c>
      <c r="H210" s="1499">
        <v>1.6829815935145782</v>
      </c>
      <c r="I210" s="1499">
        <v>3.1862906901620391</v>
      </c>
      <c r="J210" s="1499">
        <v>2.7828294261586337</v>
      </c>
      <c r="K210" s="113">
        <v>1.3561238278026557</v>
      </c>
    </row>
    <row r="211" spans="2:11" x14ac:dyDescent="0.3">
      <c r="B211" s="114">
        <v>0</v>
      </c>
      <c r="C211" s="112" t="s">
        <v>1496</v>
      </c>
      <c r="D211" s="130">
        <v>3.3458565969195466</v>
      </c>
      <c r="E211" s="1499">
        <v>2.3329669569395457</v>
      </c>
      <c r="F211" s="1499">
        <v>1.7328198637696834</v>
      </c>
      <c r="G211" s="1499">
        <v>1.4334507969480803</v>
      </c>
      <c r="H211" s="1499">
        <v>1.5847700778768323</v>
      </c>
      <c r="I211" s="1499">
        <v>3.0880791745242937</v>
      </c>
      <c r="J211" s="1499">
        <v>2.6846179105208883</v>
      </c>
      <c r="K211" s="113">
        <v>1.2579123121649098</v>
      </c>
    </row>
    <row r="212" spans="2:11" x14ac:dyDescent="0.3">
      <c r="B212" s="115"/>
      <c r="C212" s="112" t="s">
        <v>1500</v>
      </c>
      <c r="D212" s="130">
        <v>3.2476450812818003</v>
      </c>
      <c r="E212" s="1499">
        <v>2.2347554413018003</v>
      </c>
      <c r="F212" s="1499">
        <v>1.6346083481319378</v>
      </c>
      <c r="G212" s="1499">
        <v>1.3352392813103346</v>
      </c>
      <c r="H212" s="1499">
        <v>1.4865585622390867</v>
      </c>
      <c r="I212" s="1499">
        <v>2.9898676588865474</v>
      </c>
      <c r="J212" s="1499">
        <v>2.5864063948831419</v>
      </c>
      <c r="K212" s="113">
        <v>1.159700796527164</v>
      </c>
    </row>
    <row r="213" spans="2:11" x14ac:dyDescent="0.3">
      <c r="B213" s="115"/>
      <c r="C213" s="112" t="s">
        <v>1504</v>
      </c>
      <c r="D213" s="130">
        <v>3.3976245004742851</v>
      </c>
      <c r="E213" s="1499">
        <v>2.373156777363052</v>
      </c>
      <c r="F213" s="1499">
        <v>1.7815593976561821</v>
      </c>
      <c r="G213" s="1499">
        <v>1.4761728059795014</v>
      </c>
      <c r="H213" s="1499">
        <v>1.6293944873944253</v>
      </c>
      <c r="I213" s="1499">
        <v>3.129799164222109</v>
      </c>
      <c r="J213" s="1499">
        <v>2.7274025285856962</v>
      </c>
      <c r="K213" s="113">
        <v>1.312775976038429</v>
      </c>
    </row>
    <row r="214" spans="2:11" x14ac:dyDescent="0.3">
      <c r="B214" s="115"/>
      <c r="C214" s="112" t="s">
        <v>1508</v>
      </c>
      <c r="D214" s="130">
        <v>3.3431515093436097</v>
      </c>
      <c r="E214" s="1499">
        <v>2.318683786232377</v>
      </c>
      <c r="F214" s="1499">
        <v>1.7270864065255069</v>
      </c>
      <c r="G214" s="1499">
        <v>1.4216998148488262</v>
      </c>
      <c r="H214" s="1499">
        <v>1.5749214962637503</v>
      </c>
      <c r="I214" s="1499">
        <v>3.0753261730914341</v>
      </c>
      <c r="J214" s="1499">
        <v>2.6729295374550213</v>
      </c>
      <c r="K214" s="113">
        <v>1.2583029849077538</v>
      </c>
    </row>
    <row r="215" spans="2:11" x14ac:dyDescent="0.3">
      <c r="B215" s="115"/>
      <c r="C215" s="112" t="s">
        <v>1513</v>
      </c>
      <c r="D215" s="130">
        <v>3.2614420226475973</v>
      </c>
      <c r="E215" s="1499">
        <v>2.2369742995363642</v>
      </c>
      <c r="F215" s="1499">
        <v>1.6453769198294941</v>
      </c>
      <c r="G215" s="1499">
        <v>1.3399903281528136</v>
      </c>
      <c r="H215" s="1499">
        <v>1.4932120095677375</v>
      </c>
      <c r="I215" s="1499">
        <v>2.9936166863954212</v>
      </c>
      <c r="J215" s="1499">
        <v>2.5912200507590084</v>
      </c>
      <c r="K215" s="113">
        <v>1.176593498211741</v>
      </c>
    </row>
    <row r="216" spans="2:11" x14ac:dyDescent="0.3">
      <c r="B216" s="115"/>
      <c r="C216" s="112" t="s">
        <v>1517</v>
      </c>
      <c r="D216" s="130">
        <v>3.1797325359515844</v>
      </c>
      <c r="E216" s="1499">
        <v>2.1552648128403513</v>
      </c>
      <c r="F216" s="1499">
        <v>1.5636674331334812</v>
      </c>
      <c r="G216" s="1499">
        <v>1.2582808414568007</v>
      </c>
      <c r="H216" s="1499">
        <v>1.4115025228717246</v>
      </c>
      <c r="I216" s="1499">
        <v>2.9119071996994084</v>
      </c>
      <c r="J216" s="1499">
        <v>2.5095105640629956</v>
      </c>
      <c r="K216" s="113">
        <v>1.0948840115157281</v>
      </c>
    </row>
    <row r="217" spans="2:11" ht="14.5" thickBot="1" x14ac:dyDescent="0.35">
      <c r="B217" s="1233"/>
      <c r="C217" s="116" t="s">
        <v>1519</v>
      </c>
      <c r="D217" s="131">
        <v>3.5095424563157893</v>
      </c>
      <c r="E217" s="117">
        <v>2.4966528163357888</v>
      </c>
      <c r="F217" s="117">
        <v>1.8965057231659261</v>
      </c>
      <c r="G217" s="117">
        <v>1.5971366563443232</v>
      </c>
      <c r="H217" s="117">
        <v>1.748455937273075</v>
      </c>
      <c r="I217" s="117">
        <v>3.2517650339205364</v>
      </c>
      <c r="J217" s="117">
        <v>2.848303769917131</v>
      </c>
      <c r="K217" s="118">
        <v>1.4215981715611525</v>
      </c>
    </row>
    <row r="221" spans="2:11" ht="14.5" thickBot="1" x14ac:dyDescent="0.35"/>
    <row r="222" spans="2:11" x14ac:dyDescent="0.3">
      <c r="C222" s="132" t="s">
        <v>1995</v>
      </c>
      <c r="D222" s="132"/>
      <c r="E222" s="132"/>
      <c r="F222" s="132"/>
    </row>
    <row r="223" spans="2:11" x14ac:dyDescent="0.3">
      <c r="C223" s="1504" t="s">
        <v>1996</v>
      </c>
      <c r="D223" s="1504" t="s">
        <v>1997</v>
      </c>
      <c r="E223" s="1504" t="s">
        <v>1998</v>
      </c>
      <c r="F223" s="1504" t="s">
        <v>1999</v>
      </c>
    </row>
    <row r="224" spans="2:11" x14ac:dyDescent="0.3">
      <c r="C224" s="1498">
        <v>1</v>
      </c>
      <c r="D224" s="1505">
        <v>287.36227868261096</v>
      </c>
      <c r="E224" s="1506">
        <v>5.270052830001265E-2</v>
      </c>
      <c r="F224" s="1507">
        <v>2.1080211320005064</v>
      </c>
      <c r="H224" s="134" t="s">
        <v>2000</v>
      </c>
    </row>
    <row r="225" spans="2:11" x14ac:dyDescent="0.3">
      <c r="C225" s="1498">
        <v>1.5</v>
      </c>
      <c r="D225" s="1505">
        <v>242.5954426626642</v>
      </c>
      <c r="E225" s="1506">
        <v>4.4490557529363997E-2</v>
      </c>
      <c r="F225" s="1507">
        <v>1.7796223011745598</v>
      </c>
      <c r="H225" s="134" t="s">
        <v>2001</v>
      </c>
    </row>
    <row r="226" spans="2:11" x14ac:dyDescent="0.3">
      <c r="C226" s="1498">
        <v>2</v>
      </c>
      <c r="D226" s="1505">
        <v>210.83286702843293</v>
      </c>
      <c r="E226" s="1506">
        <v>3.8665490565923361E-2</v>
      </c>
      <c r="F226" s="1507">
        <v>1.5466196226369342</v>
      </c>
    </row>
    <row r="227" spans="2:11" x14ac:dyDescent="0.3">
      <c r="C227" s="1498">
        <v>2.5</v>
      </c>
      <c r="D227" s="1505">
        <v>186.19589933175268</v>
      </c>
      <c r="E227" s="1506">
        <v>3.4147217606515755E-2</v>
      </c>
      <c r="F227" s="1507">
        <v>1.3658887042606302</v>
      </c>
    </row>
    <row r="228" spans="2:11" x14ac:dyDescent="0.3">
      <c r="B228" s="2"/>
      <c r="C228" s="1498">
        <v>3</v>
      </c>
      <c r="D228" s="1505">
        <v>166.06603100848616</v>
      </c>
      <c r="E228" s="1506">
        <v>3.0455519795274697E-2</v>
      </c>
      <c r="F228" s="1507">
        <v>1.218220791810988</v>
      </c>
      <c r="I228" s="135"/>
      <c r="J228" s="135"/>
      <c r="K228" s="135"/>
    </row>
    <row r="229" spans="2:11" x14ac:dyDescent="0.3">
      <c r="B229" s="136"/>
      <c r="C229" s="1498">
        <v>3.5</v>
      </c>
      <c r="D229" s="1505">
        <v>149.04646984725969</v>
      </c>
      <c r="E229" s="1506">
        <v>2.7334233770042165E-2</v>
      </c>
      <c r="F229" s="1507">
        <v>1.0933693508016866</v>
      </c>
      <c r="I229" s="135"/>
      <c r="J229" s="135"/>
      <c r="K229" s="135"/>
    </row>
    <row r="230" spans="2:11" x14ac:dyDescent="0.3">
      <c r="B230" s="136"/>
      <c r="C230" s="1498">
        <v>4</v>
      </c>
      <c r="D230" s="1505">
        <v>134.3034553742549</v>
      </c>
      <c r="E230" s="1506">
        <v>2.4630452831834071E-2</v>
      </c>
      <c r="F230" s="1507">
        <v>0.98521811327336284</v>
      </c>
      <c r="I230" s="135"/>
      <c r="J230" s="135"/>
      <c r="K230" s="135"/>
    </row>
    <row r="231" spans="2:11" x14ac:dyDescent="0.3">
      <c r="B231" s="137"/>
      <c r="C231" s="1498">
        <v>4.5</v>
      </c>
      <c r="D231" s="1505">
        <v>121.29919498853936</v>
      </c>
      <c r="E231" s="1506">
        <v>2.2245549024626034E-2</v>
      </c>
      <c r="F231" s="1507">
        <v>0.88982196098504152</v>
      </c>
      <c r="I231" s="135"/>
      <c r="J231" s="135"/>
      <c r="K231" s="135"/>
    </row>
    <row r="232" spans="2:11" x14ac:dyDescent="0.3">
      <c r="C232" s="1498">
        <v>5</v>
      </c>
      <c r="D232" s="1505">
        <v>109.66648767757466</v>
      </c>
      <c r="E232" s="1506">
        <v>2.0112179872426465E-2</v>
      </c>
      <c r="F232" s="1507">
        <v>0.80448719489705844</v>
      </c>
      <c r="I232" s="135"/>
      <c r="J232" s="135"/>
      <c r="K232" s="135"/>
    </row>
    <row r="233" spans="2:11" x14ac:dyDescent="0.3">
      <c r="C233" s="1498">
        <v>5.5</v>
      </c>
      <c r="D233" s="1505">
        <v>99.143423904615815</v>
      </c>
      <c r="E233" s="1506">
        <v>1.8182312728025878E-2</v>
      </c>
      <c r="F233" s="1507">
        <v>0.72729250912103505</v>
      </c>
      <c r="I233" s="135"/>
      <c r="J233" s="135"/>
      <c r="K233" s="135"/>
    </row>
    <row r="234" spans="2:11" x14ac:dyDescent="0.3">
      <c r="C234" s="1498">
        <v>6</v>
      </c>
      <c r="D234" s="1505">
        <v>89.536619354308101</v>
      </c>
      <c r="E234" s="1506">
        <v>1.6420482061185404E-2</v>
      </c>
      <c r="F234" s="1507">
        <v>0.65681928244741616</v>
      </c>
      <c r="I234" s="135"/>
      <c r="J234" s="135"/>
      <c r="K234" s="135"/>
    </row>
    <row r="235" spans="2:11" x14ac:dyDescent="0.3">
      <c r="C235" s="1498">
        <v>6.5</v>
      </c>
      <c r="D235" s="1505">
        <v>80.699215845698831</v>
      </c>
      <c r="E235" s="1506">
        <v>1.4799754957268974E-2</v>
      </c>
      <c r="F235" s="1507">
        <v>0.59199019829075894</v>
      </c>
      <c r="I235" s="135"/>
      <c r="J235" s="135"/>
      <c r="K235" s="135"/>
    </row>
    <row r="236" spans="2:11" x14ac:dyDescent="0.3">
      <c r="C236" s="1498">
        <v>7</v>
      </c>
      <c r="D236" s="1505">
        <v>72.517058193081667</v>
      </c>
      <c r="E236" s="1506">
        <v>1.3299196035952874E-2</v>
      </c>
      <c r="F236" s="1507">
        <v>0.53196784143811504</v>
      </c>
      <c r="I236" s="135"/>
      <c r="J236" s="135"/>
      <c r="K236" s="135"/>
    </row>
    <row r="237" spans="2:11" x14ac:dyDescent="0.3">
      <c r="C237" s="1498">
        <v>7.5</v>
      </c>
      <c r="D237" s="1505">
        <v>64.899651657627857</v>
      </c>
      <c r="E237" s="1506">
        <v>1.1902209101777795E-2</v>
      </c>
      <c r="F237" s="1507">
        <v>0.47608836407111188</v>
      </c>
      <c r="I237" s="135"/>
      <c r="J237" s="135"/>
      <c r="K237" s="135"/>
    </row>
    <row r="238" spans="2:11" x14ac:dyDescent="0.3">
      <c r="B238" s="2"/>
      <c r="C238" s="1498">
        <v>8</v>
      </c>
      <c r="D238" s="1505">
        <v>57.774043720076882</v>
      </c>
      <c r="E238" s="1506">
        <v>1.0595415097744783E-2</v>
      </c>
      <c r="F238" s="1507">
        <v>0.42381660390979126</v>
      </c>
      <c r="I238" s="135"/>
      <c r="J238" s="135"/>
      <c r="K238" s="135"/>
    </row>
    <row r="239" spans="2:11" x14ac:dyDescent="0.3">
      <c r="B239" s="136"/>
      <c r="C239" s="1498">
        <v>8.5</v>
      </c>
      <c r="D239" s="1505">
        <v>51.080563937585602</v>
      </c>
      <c r="E239" s="1506">
        <v>9.3678708204656021E-3</v>
      </c>
      <c r="F239" s="1507">
        <v>0.37471483281862406</v>
      </c>
      <c r="I239" s="135"/>
      <c r="J239" s="135"/>
      <c r="K239" s="135"/>
    </row>
    <row r="240" spans="2:11" x14ac:dyDescent="0.3">
      <c r="B240" s="136"/>
      <c r="C240" s="1498">
        <v>9</v>
      </c>
      <c r="D240" s="1505">
        <v>44.769783334361307</v>
      </c>
      <c r="E240" s="1506">
        <v>8.2105112905367424E-3</v>
      </c>
      <c r="F240" s="1507">
        <v>0.32842045162146971</v>
      </c>
      <c r="I240" s="135"/>
      <c r="J240" s="135"/>
      <c r="K240" s="135"/>
    </row>
    <row r="241" spans="2:11" x14ac:dyDescent="0.3">
      <c r="B241" s="137"/>
      <c r="C241" s="1498">
        <v>9.5</v>
      </c>
      <c r="D241" s="1505">
        <v>38.800296983355899</v>
      </c>
      <c r="E241" s="1506">
        <v>7.1157430912451181E-3</v>
      </c>
      <c r="F241" s="1507">
        <v>0.28462972364980471</v>
      </c>
      <c r="I241" s="135"/>
      <c r="J241" s="135"/>
      <c r="K241" s="135"/>
    </row>
    <row r="242" spans="2:11" x14ac:dyDescent="0.3">
      <c r="C242" s="1498">
        <v>10</v>
      </c>
      <c r="D242" s="1505">
        <v>33.137076023396567</v>
      </c>
      <c r="E242" s="1506">
        <v>6.077142138337161E-3</v>
      </c>
      <c r="F242" s="1507">
        <v>0.24308568553348642</v>
      </c>
      <c r="I242" s="135"/>
      <c r="J242" s="135"/>
      <c r="K242" s="135"/>
    </row>
    <row r="243" spans="2:11" x14ac:dyDescent="0.3">
      <c r="I243" s="135"/>
      <c r="J243" s="135"/>
      <c r="K243" s="135"/>
    </row>
    <row r="244" spans="2:11" ht="14.5" thickBot="1" x14ac:dyDescent="0.35">
      <c r="I244" s="135"/>
      <c r="J244" s="135"/>
      <c r="K244" s="135"/>
    </row>
    <row r="245" spans="2:11" x14ac:dyDescent="0.3">
      <c r="C245" s="132" t="s">
        <v>2002</v>
      </c>
      <c r="D245" s="132"/>
      <c r="E245" s="132"/>
      <c r="F245" s="132"/>
      <c r="H245" s="134" t="s">
        <v>2003</v>
      </c>
      <c r="I245" s="135"/>
      <c r="J245" s="135"/>
      <c r="K245" s="135"/>
    </row>
    <row r="246" spans="2:11" x14ac:dyDescent="0.3">
      <c r="C246" s="1508" t="s">
        <v>1996</v>
      </c>
      <c r="D246" s="1508" t="s">
        <v>2004</v>
      </c>
      <c r="E246" s="1508" t="s">
        <v>2005</v>
      </c>
      <c r="F246" s="1508" t="s">
        <v>2006</v>
      </c>
      <c r="H246" s="134" t="s">
        <v>2007</v>
      </c>
      <c r="I246" s="135"/>
      <c r="J246" s="135"/>
      <c r="K246" s="135"/>
    </row>
    <row r="247" spans="2:11" x14ac:dyDescent="0.3">
      <c r="C247" s="1498" t="s">
        <v>376</v>
      </c>
      <c r="D247" s="1509">
        <v>341.40024935661643</v>
      </c>
      <c r="E247" s="1510">
        <v>6.261076988021004E-2</v>
      </c>
      <c r="F247" s="1511">
        <v>2.5044307952084015</v>
      </c>
      <c r="I247" s="135"/>
      <c r="J247" s="135"/>
      <c r="K247" s="135"/>
    </row>
    <row r="248" spans="2:11" x14ac:dyDescent="0.3">
      <c r="B248" s="2"/>
      <c r="D248" s="135"/>
      <c r="E248" s="135"/>
      <c r="F248" s="135"/>
      <c r="G248" s="135"/>
      <c r="H248" s="135"/>
      <c r="I248" s="135"/>
      <c r="J248" s="135"/>
      <c r="K248" s="135"/>
    </row>
    <row r="249" spans="2:11" x14ac:dyDescent="0.3">
      <c r="B249" s="136"/>
      <c r="D249" s="135"/>
      <c r="E249" s="135"/>
      <c r="F249" s="135"/>
      <c r="G249" s="135"/>
      <c r="H249" s="135"/>
      <c r="I249" s="135"/>
      <c r="J249" s="135"/>
      <c r="K249" s="135"/>
    </row>
    <row r="250" spans="2:11" x14ac:dyDescent="0.3">
      <c r="B250" s="136"/>
      <c r="D250" s="135"/>
      <c r="E250" s="135"/>
      <c r="F250" s="135"/>
      <c r="G250" s="135"/>
      <c r="H250" s="135"/>
      <c r="I250" s="135"/>
      <c r="J250" s="135"/>
      <c r="K250" s="135"/>
    </row>
    <row r="251" spans="2:11" x14ac:dyDescent="0.3">
      <c r="B251" s="137"/>
      <c r="D251" s="135"/>
      <c r="E251" s="135"/>
      <c r="F251" s="135"/>
      <c r="G251" s="135"/>
      <c r="H251" s="135"/>
      <c r="I251" s="135"/>
      <c r="J251" s="135"/>
      <c r="K251" s="135"/>
    </row>
    <row r="252" spans="2:11" x14ac:dyDescent="0.3">
      <c r="D252" s="135"/>
      <c r="E252" s="135"/>
      <c r="F252" s="135"/>
      <c r="G252" s="135"/>
      <c r="H252" s="135"/>
      <c r="I252" s="135"/>
      <c r="J252" s="135"/>
      <c r="K252" s="135"/>
    </row>
    <row r="253" spans="2:11" x14ac:dyDescent="0.3">
      <c r="D253" s="135"/>
      <c r="E253" s="135"/>
      <c r="F253" s="135"/>
      <c r="G253" s="135"/>
      <c r="H253" s="135"/>
      <c r="I253" s="135"/>
      <c r="J253" s="135"/>
      <c r="K253" s="135"/>
    </row>
    <row r="254" spans="2:11" x14ac:dyDescent="0.3">
      <c r="D254" s="135"/>
      <c r="E254" s="135"/>
      <c r="F254" s="135"/>
      <c r="G254" s="135"/>
      <c r="H254" s="135"/>
      <c r="I254" s="135"/>
      <c r="J254" s="135"/>
      <c r="K254" s="135"/>
    </row>
    <row r="255" spans="2:11" x14ac:dyDescent="0.3">
      <c r="D255" s="135"/>
      <c r="E255" s="135"/>
      <c r="F255" s="135"/>
      <c r="G255" s="135"/>
      <c r="H255" s="135"/>
      <c r="I255" s="135"/>
      <c r="J255" s="135"/>
      <c r="K255" s="135"/>
    </row>
    <row r="256" spans="2:11" x14ac:dyDescent="0.3">
      <c r="D256" s="135"/>
      <c r="E256" s="135"/>
      <c r="F256" s="135"/>
      <c r="G256" s="135"/>
      <c r="H256" s="135"/>
      <c r="I256" s="135"/>
      <c r="J256" s="135"/>
      <c r="K256" s="135"/>
    </row>
    <row r="257" spans="4:11" x14ac:dyDescent="0.3">
      <c r="D257" s="135"/>
      <c r="E257" s="135"/>
      <c r="F257" s="135"/>
      <c r="G257" s="135"/>
      <c r="H257" s="135"/>
      <c r="I257" s="135"/>
      <c r="J257" s="135"/>
      <c r="K257" s="135"/>
    </row>
  </sheetData>
  <sheetProtection algorithmName="SHA-512" hashValue="RP6HsXtPS8YZlgOx7DgtSu5MWfY5/jaVT31/AbkAuRp1hG1eGQGum2O+QCNcAN4mbHvFTMF5r9tYCsOqYK0SvA==" saltValue="pVMcW9hdUHj+OedrR8j1mg==" spinCount="100000" sheet="1" objects="1" scenarios="1" autoFilter="0"/>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dimension ref="B1:K257"/>
  <sheetViews>
    <sheetView workbookViewId="0">
      <selection activeCell="G9" sqref="G9"/>
    </sheetView>
  </sheetViews>
  <sheetFormatPr defaultColWidth="7.58203125" defaultRowHeight="14" x14ac:dyDescent="0.3"/>
  <cols>
    <col min="3" max="3" width="23.08203125" customWidth="1"/>
  </cols>
  <sheetData>
    <row r="1" spans="2:11" ht="14.5" thickBot="1" x14ac:dyDescent="0.35"/>
    <row r="2" spans="2:11" ht="25.5" thickBot="1" x14ac:dyDescent="0.55000000000000004">
      <c r="B2" s="88" t="s">
        <v>1960</v>
      </c>
      <c r="C2" s="89"/>
      <c r="D2" s="90">
        <v>4</v>
      </c>
      <c r="E2" s="91" t="s">
        <v>1961</v>
      </c>
      <c r="F2" s="92"/>
      <c r="G2" s="92"/>
      <c r="H2" s="92"/>
      <c r="I2" s="93"/>
      <c r="J2" s="89" t="s">
        <v>176</v>
      </c>
      <c r="K2" s="94" t="s">
        <v>241</v>
      </c>
    </row>
    <row r="3" spans="2:11" ht="14.5" thickBot="1" x14ac:dyDescent="0.35">
      <c r="B3" s="95" t="s">
        <v>1962</v>
      </c>
      <c r="C3" s="96" t="s">
        <v>1963</v>
      </c>
      <c r="D3" s="95" t="s">
        <v>1964</v>
      </c>
      <c r="E3" s="97" t="s">
        <v>1965</v>
      </c>
      <c r="F3" s="97" t="s">
        <v>1966</v>
      </c>
      <c r="G3" s="97" t="s">
        <v>1967</v>
      </c>
      <c r="H3" s="97" t="s">
        <v>1968</v>
      </c>
      <c r="I3" s="97" t="s">
        <v>1969</v>
      </c>
      <c r="J3" s="97" t="s">
        <v>1970</v>
      </c>
      <c r="K3" s="98" t="s">
        <v>1971</v>
      </c>
    </row>
    <row r="4" spans="2:11" ht="18.5" thickBot="1" x14ac:dyDescent="0.45">
      <c r="B4" s="99" t="s">
        <v>34</v>
      </c>
      <c r="C4" s="100" t="s">
        <v>34</v>
      </c>
      <c r="D4" s="101" t="s">
        <v>34</v>
      </c>
      <c r="E4" s="944"/>
      <c r="F4" s="944"/>
      <c r="G4" s="944"/>
      <c r="H4" s="944"/>
      <c r="I4" s="944" t="s">
        <v>34</v>
      </c>
      <c r="J4" s="944" t="s">
        <v>34</v>
      </c>
      <c r="K4" s="102"/>
    </row>
    <row r="5" spans="2:11" ht="90.5" thickBot="1" x14ac:dyDescent="0.45">
      <c r="B5" s="103" t="s">
        <v>1972</v>
      </c>
      <c r="C5" s="104" t="s">
        <v>1973</v>
      </c>
      <c r="D5" s="105" t="s">
        <v>1974</v>
      </c>
      <c r="E5" s="105" t="s">
        <v>1525</v>
      </c>
      <c r="F5" s="105" t="s">
        <v>1527</v>
      </c>
      <c r="G5" s="105" t="s">
        <v>1975</v>
      </c>
      <c r="H5" s="105" t="s">
        <v>1976</v>
      </c>
      <c r="I5" s="105" t="s">
        <v>1445</v>
      </c>
      <c r="J5" s="105" t="s">
        <v>1538</v>
      </c>
      <c r="K5" s="106" t="s">
        <v>1541</v>
      </c>
    </row>
    <row r="6" spans="2:11" x14ac:dyDescent="0.3">
      <c r="B6" s="107" t="s">
        <v>1977</v>
      </c>
      <c r="C6" s="108" t="s">
        <v>1416</v>
      </c>
      <c r="D6" s="109">
        <v>2.9852612886903374</v>
      </c>
      <c r="E6" s="109">
        <v>2.6310605051647311</v>
      </c>
      <c r="F6" s="109">
        <v>1.603397873198992</v>
      </c>
      <c r="G6" s="109">
        <v>1.5014030242569119</v>
      </c>
      <c r="H6" s="109">
        <v>1.4653914403547521</v>
      </c>
      <c r="I6" s="109">
        <v>2.1773338273610983</v>
      </c>
      <c r="J6" s="109">
        <v>1.9704228680624951</v>
      </c>
      <c r="K6" s="110">
        <v>1.1464654037863771</v>
      </c>
    </row>
    <row r="7" spans="2:11" x14ac:dyDescent="0.3">
      <c r="B7" s="111" t="s">
        <v>1978</v>
      </c>
      <c r="C7" s="112" t="s">
        <v>1483</v>
      </c>
      <c r="D7" s="1499">
        <v>3.456613748701947</v>
      </c>
      <c r="E7" s="1499">
        <v>3.1240678265472188</v>
      </c>
      <c r="F7" s="1499">
        <v>2.0831605656516436</v>
      </c>
      <c r="G7" s="1499">
        <v>2.001178874390507</v>
      </c>
      <c r="H7" s="1499">
        <v>1.9541586444486259</v>
      </c>
      <c r="I7" s="1499">
        <v>2.6766239581540527</v>
      </c>
      <c r="J7" s="1499">
        <v>2.4672067397411812</v>
      </c>
      <c r="K7" s="113">
        <v>1.6289780848543716</v>
      </c>
    </row>
    <row r="8" spans="2:11" x14ac:dyDescent="0.3">
      <c r="B8" s="111" t="s">
        <v>1979</v>
      </c>
      <c r="C8" s="112" t="s">
        <v>1489</v>
      </c>
      <c r="D8" s="1499">
        <v>3.4023510202867482</v>
      </c>
      <c r="E8" s="1499">
        <v>3.06980509813202</v>
      </c>
      <c r="F8" s="1499">
        <v>2.0288978372364452</v>
      </c>
      <c r="G8" s="1499">
        <v>1.9469161459753084</v>
      </c>
      <c r="H8" s="1499">
        <v>1.8998959160334272</v>
      </c>
      <c r="I8" s="1499">
        <v>2.6223612297388539</v>
      </c>
      <c r="J8" s="1499">
        <v>2.4129440113259819</v>
      </c>
      <c r="K8" s="113">
        <v>1.5747153564391729</v>
      </c>
    </row>
    <row r="9" spans="2:11" x14ac:dyDescent="0.3">
      <c r="B9" s="114">
        <v>0</v>
      </c>
      <c r="C9" s="112" t="s">
        <v>1496</v>
      </c>
      <c r="D9" s="1499">
        <v>3.3209569276639503</v>
      </c>
      <c r="E9" s="1499">
        <v>2.9884110055092217</v>
      </c>
      <c r="F9" s="1499">
        <v>1.9475037446136469</v>
      </c>
      <c r="G9" s="1499">
        <v>1.8655220533525101</v>
      </c>
      <c r="H9" s="1499">
        <v>1.8185018234106292</v>
      </c>
      <c r="I9" s="1499">
        <v>2.5409671371160556</v>
      </c>
      <c r="J9" s="1499">
        <v>2.3315499187031841</v>
      </c>
      <c r="K9" s="113">
        <v>1.4933212638163746</v>
      </c>
    </row>
    <row r="10" spans="2:11" x14ac:dyDescent="0.3">
      <c r="B10" s="115"/>
      <c r="C10" s="112" t="s">
        <v>1500</v>
      </c>
      <c r="D10" s="1499">
        <v>3.2395628350411521</v>
      </c>
      <c r="E10" s="1499">
        <v>2.9070169128864234</v>
      </c>
      <c r="F10" s="1499">
        <v>1.8661096519908489</v>
      </c>
      <c r="G10" s="1499">
        <v>1.784127960729712</v>
      </c>
      <c r="H10" s="1499">
        <v>1.7371077307878309</v>
      </c>
      <c r="I10" s="1499">
        <v>2.4595730444932578</v>
      </c>
      <c r="J10" s="1499">
        <v>2.2501558260803858</v>
      </c>
      <c r="K10" s="113">
        <v>1.4119271711935766</v>
      </c>
    </row>
    <row r="11" spans="2:11" x14ac:dyDescent="0.3">
      <c r="B11" s="115"/>
      <c r="C11" s="112" t="s">
        <v>1504</v>
      </c>
      <c r="D11" s="1499">
        <v>3.3630604554121475</v>
      </c>
      <c r="E11" s="1499">
        <v>3.0244324529902973</v>
      </c>
      <c r="F11" s="1499">
        <v>1.9880296181363428</v>
      </c>
      <c r="G11" s="1499">
        <v>1.9015357097107917</v>
      </c>
      <c r="H11" s="1499">
        <v>1.8566773298609813</v>
      </c>
      <c r="I11" s="1499">
        <v>2.5769526975011869</v>
      </c>
      <c r="J11" s="1499">
        <v>2.3663249286238708</v>
      </c>
      <c r="K11" s="113">
        <v>1.5260941171518825</v>
      </c>
    </row>
    <row r="12" spans="2:11" x14ac:dyDescent="0.3">
      <c r="B12" s="115"/>
      <c r="C12" s="112" t="s">
        <v>1508</v>
      </c>
      <c r="D12" s="1499">
        <v>3.3180197159693927</v>
      </c>
      <c r="E12" s="1499">
        <v>2.9793917135475425</v>
      </c>
      <c r="F12" s="1499">
        <v>1.9429888786935885</v>
      </c>
      <c r="G12" s="1499">
        <v>1.8564949702680373</v>
      </c>
      <c r="H12" s="1499">
        <v>1.811636590418227</v>
      </c>
      <c r="I12" s="1499">
        <v>2.5319119580584322</v>
      </c>
      <c r="J12" s="1499">
        <v>2.321284189181116</v>
      </c>
      <c r="K12" s="113">
        <v>1.4810533777091279</v>
      </c>
    </row>
    <row r="13" spans="2:11" x14ac:dyDescent="0.3">
      <c r="B13" s="115"/>
      <c r="C13" s="112" t="s">
        <v>1513</v>
      </c>
      <c r="D13" s="1499">
        <v>3.2504586068052617</v>
      </c>
      <c r="E13" s="1499">
        <v>2.911830604383411</v>
      </c>
      <c r="F13" s="1499">
        <v>1.8754277695294568</v>
      </c>
      <c r="G13" s="1499">
        <v>1.7889338611039056</v>
      </c>
      <c r="H13" s="1499">
        <v>1.7440754812540953</v>
      </c>
      <c r="I13" s="1499">
        <v>2.4643508488943007</v>
      </c>
      <c r="J13" s="1499">
        <v>2.2537230800169845</v>
      </c>
      <c r="K13" s="113">
        <v>1.4134922685449964</v>
      </c>
    </row>
    <row r="14" spans="2:11" x14ac:dyDescent="0.3">
      <c r="B14" s="115"/>
      <c r="C14" s="112" t="s">
        <v>1517</v>
      </c>
      <c r="D14" s="1499">
        <v>3.1828974976411297</v>
      </c>
      <c r="E14" s="1499">
        <v>2.8442694952192791</v>
      </c>
      <c r="F14" s="1499">
        <v>1.8078666603653253</v>
      </c>
      <c r="G14" s="1499">
        <v>1.7213727519397739</v>
      </c>
      <c r="H14" s="1499">
        <v>1.6765143720899636</v>
      </c>
      <c r="I14" s="1499">
        <v>2.3967897397301687</v>
      </c>
      <c r="J14" s="1499">
        <v>2.186161970852853</v>
      </c>
      <c r="K14" s="113">
        <v>1.3459311593808647</v>
      </c>
    </row>
    <row r="15" spans="2:11" ht="14.5" thickBot="1" x14ac:dyDescent="0.35">
      <c r="B15" s="1233"/>
      <c r="C15" s="116" t="s">
        <v>1519</v>
      </c>
      <c r="D15" s="117">
        <v>3.456613748701947</v>
      </c>
      <c r="E15" s="117">
        <v>3.1240678265472188</v>
      </c>
      <c r="F15" s="117">
        <v>2.0831605656516436</v>
      </c>
      <c r="G15" s="117">
        <v>2.001178874390507</v>
      </c>
      <c r="H15" s="117">
        <v>1.9541586444486259</v>
      </c>
      <c r="I15" s="117">
        <v>2.6766239581540527</v>
      </c>
      <c r="J15" s="117">
        <v>2.4672067397411812</v>
      </c>
      <c r="K15" s="118">
        <v>1.6289780848543716</v>
      </c>
    </row>
    <row r="16" spans="2:11" x14ac:dyDescent="0.3">
      <c r="B16" s="107" t="s">
        <v>1977</v>
      </c>
      <c r="C16" s="108" t="s">
        <v>1416</v>
      </c>
      <c r="D16" s="109">
        <v>2.9042841348698918</v>
      </c>
      <c r="E16" s="109">
        <v>2.5500833513442851</v>
      </c>
      <c r="F16" s="109">
        <v>1.5224207193785462</v>
      </c>
      <c r="G16" s="109">
        <v>1.4204258704364663</v>
      </c>
      <c r="H16" s="109">
        <v>1.3844142865343063</v>
      </c>
      <c r="I16" s="109">
        <v>2.0963566735406522</v>
      </c>
      <c r="J16" s="109">
        <v>1.8894457142420493</v>
      </c>
      <c r="K16" s="110">
        <v>1.0654882499659313</v>
      </c>
    </row>
    <row r="17" spans="2:11" x14ac:dyDescent="0.3">
      <c r="B17" s="111" t="s">
        <v>1978</v>
      </c>
      <c r="C17" s="112" t="s">
        <v>1483</v>
      </c>
      <c r="D17" s="1499">
        <v>3.3756365948815015</v>
      </c>
      <c r="E17" s="1499">
        <v>3.0430906727267732</v>
      </c>
      <c r="F17" s="1499">
        <v>2.0021834118311981</v>
      </c>
      <c r="G17" s="1499">
        <v>1.9202017205700612</v>
      </c>
      <c r="H17" s="1499">
        <v>1.8731814906281803</v>
      </c>
      <c r="I17" s="1499">
        <v>2.5956468043336072</v>
      </c>
      <c r="J17" s="1499">
        <v>2.3862295859207352</v>
      </c>
      <c r="K17" s="113">
        <v>1.5480009310339258</v>
      </c>
    </row>
    <row r="18" spans="2:11" x14ac:dyDescent="0.3">
      <c r="B18" s="111" t="s">
        <v>1980</v>
      </c>
      <c r="C18" s="112" t="s">
        <v>1489</v>
      </c>
      <c r="D18" s="1499">
        <v>3.3213738664663026</v>
      </c>
      <c r="E18" s="1499">
        <v>2.9888279443115739</v>
      </c>
      <c r="F18" s="1499">
        <v>1.9479206834159994</v>
      </c>
      <c r="G18" s="1499">
        <v>1.8659389921548626</v>
      </c>
      <c r="H18" s="1499">
        <v>1.8189187622129814</v>
      </c>
      <c r="I18" s="1499">
        <v>2.5413840759184083</v>
      </c>
      <c r="J18" s="1499">
        <v>2.3319668575055363</v>
      </c>
      <c r="K18" s="113">
        <v>1.4937382026187271</v>
      </c>
    </row>
    <row r="19" spans="2:11" x14ac:dyDescent="0.3">
      <c r="B19" s="114">
        <v>0</v>
      </c>
      <c r="C19" s="112" t="s">
        <v>1496</v>
      </c>
      <c r="D19" s="1499">
        <v>3.2399797738435043</v>
      </c>
      <c r="E19" s="1499">
        <v>2.9074338516887761</v>
      </c>
      <c r="F19" s="1499">
        <v>1.8665265907932012</v>
      </c>
      <c r="G19" s="1499">
        <v>1.7845448995320643</v>
      </c>
      <c r="H19" s="1499">
        <v>1.7375246695901834</v>
      </c>
      <c r="I19" s="1499">
        <v>2.45998998329561</v>
      </c>
      <c r="J19" s="1499">
        <v>2.2505727648827381</v>
      </c>
      <c r="K19" s="113">
        <v>1.4123441099959291</v>
      </c>
    </row>
    <row r="20" spans="2:11" x14ac:dyDescent="0.3">
      <c r="B20" s="115"/>
      <c r="C20" s="112" t="s">
        <v>1500</v>
      </c>
      <c r="D20" s="1499">
        <v>3.158585681220706</v>
      </c>
      <c r="E20" s="1499">
        <v>2.8260397590659778</v>
      </c>
      <c r="F20" s="1499">
        <v>1.7851324981704031</v>
      </c>
      <c r="G20" s="1499">
        <v>1.7031508069092662</v>
      </c>
      <c r="H20" s="1499">
        <v>1.6561305769673851</v>
      </c>
      <c r="I20" s="1499">
        <v>2.3785958906728117</v>
      </c>
      <c r="J20" s="1499">
        <v>2.1691786722599402</v>
      </c>
      <c r="K20" s="113">
        <v>1.3309500173731308</v>
      </c>
    </row>
    <row r="21" spans="2:11" x14ac:dyDescent="0.3">
      <c r="B21" s="115"/>
      <c r="C21" s="112" t="s">
        <v>1504</v>
      </c>
      <c r="D21" s="1499">
        <v>3.2820833015917019</v>
      </c>
      <c r="E21" s="1499">
        <v>2.9434552991698513</v>
      </c>
      <c r="F21" s="1499">
        <v>1.907052464315897</v>
      </c>
      <c r="G21" s="1499">
        <v>1.8205585558903459</v>
      </c>
      <c r="H21" s="1499">
        <v>1.7757001760405355</v>
      </c>
      <c r="I21" s="1499">
        <v>2.4959755436807409</v>
      </c>
      <c r="J21" s="1499">
        <v>2.2853477748034248</v>
      </c>
      <c r="K21" s="113">
        <v>1.4451169633314367</v>
      </c>
    </row>
    <row r="22" spans="2:11" x14ac:dyDescent="0.3">
      <c r="B22" s="115"/>
      <c r="C22" s="112" t="s">
        <v>1508</v>
      </c>
      <c r="D22" s="1499">
        <v>3.2370425621489471</v>
      </c>
      <c r="E22" s="1499">
        <v>2.8984145597270969</v>
      </c>
      <c r="F22" s="1499">
        <v>1.8620117248731427</v>
      </c>
      <c r="G22" s="1499">
        <v>1.7755178164475915</v>
      </c>
      <c r="H22" s="1499">
        <v>1.7306594365977812</v>
      </c>
      <c r="I22" s="1499">
        <v>2.4509348042379866</v>
      </c>
      <c r="J22" s="1499">
        <v>2.2403070353606704</v>
      </c>
      <c r="K22" s="113">
        <v>1.4000762238886824</v>
      </c>
    </row>
    <row r="23" spans="2:11" x14ac:dyDescent="0.3">
      <c r="B23" s="115"/>
      <c r="C23" s="112" t="s">
        <v>1513</v>
      </c>
      <c r="D23" s="1499">
        <v>3.1694814529848157</v>
      </c>
      <c r="E23" s="1499">
        <v>2.8308534505629654</v>
      </c>
      <c r="F23" s="1499">
        <v>1.7944506157090112</v>
      </c>
      <c r="G23" s="1499">
        <v>1.7079567072834598</v>
      </c>
      <c r="H23" s="1499">
        <v>1.6630983274336495</v>
      </c>
      <c r="I23" s="1499">
        <v>2.3833736950738551</v>
      </c>
      <c r="J23" s="1499">
        <v>2.1727459261965389</v>
      </c>
      <c r="K23" s="113">
        <v>1.3325151147245506</v>
      </c>
    </row>
    <row r="24" spans="2:11" x14ac:dyDescent="0.3">
      <c r="B24" s="115"/>
      <c r="C24" s="112" t="s">
        <v>1517</v>
      </c>
      <c r="D24" s="1499">
        <v>3.1019203438206837</v>
      </c>
      <c r="E24" s="1499">
        <v>2.7632923413988335</v>
      </c>
      <c r="F24" s="1499">
        <v>1.7268895065448795</v>
      </c>
      <c r="G24" s="1499">
        <v>1.6403955981193283</v>
      </c>
      <c r="H24" s="1499">
        <v>1.595537218269518</v>
      </c>
      <c r="I24" s="1499">
        <v>2.3158125859097232</v>
      </c>
      <c r="J24" s="1499">
        <v>2.105184817032407</v>
      </c>
      <c r="K24" s="113">
        <v>1.2649540055604189</v>
      </c>
    </row>
    <row r="25" spans="2:11" ht="14.5" thickBot="1" x14ac:dyDescent="0.35">
      <c r="B25" s="1233"/>
      <c r="C25" s="116" t="s">
        <v>1519</v>
      </c>
      <c r="D25" s="117">
        <v>3.3756365948815015</v>
      </c>
      <c r="E25" s="117">
        <v>3.0430906727267732</v>
      </c>
      <c r="F25" s="117">
        <v>2.0021834118311981</v>
      </c>
      <c r="G25" s="117">
        <v>1.9202017205700612</v>
      </c>
      <c r="H25" s="117">
        <v>1.8731814906281803</v>
      </c>
      <c r="I25" s="117">
        <v>2.5956468043336072</v>
      </c>
      <c r="J25" s="117">
        <v>2.3862295859207352</v>
      </c>
      <c r="K25" s="118">
        <v>1.5480009310339258</v>
      </c>
    </row>
    <row r="26" spans="2:11" x14ac:dyDescent="0.3">
      <c r="B26" s="107" t="s">
        <v>1977</v>
      </c>
      <c r="C26" s="108" t="s">
        <v>1416</v>
      </c>
      <c r="D26" s="109">
        <v>2.7828184041392232</v>
      </c>
      <c r="E26" s="109">
        <v>2.4286176206136165</v>
      </c>
      <c r="F26" s="109">
        <v>1.4009549886478776</v>
      </c>
      <c r="G26" s="109">
        <v>1.2989601397057975</v>
      </c>
      <c r="H26" s="109">
        <v>1.2629485558036377</v>
      </c>
      <c r="I26" s="109">
        <v>1.9748909428099837</v>
      </c>
      <c r="J26" s="109">
        <v>1.7679799835113807</v>
      </c>
      <c r="K26" s="110">
        <v>0.9440225192352627</v>
      </c>
    </row>
    <row r="27" spans="2:11" x14ac:dyDescent="0.3">
      <c r="B27" s="111" t="s">
        <v>1978</v>
      </c>
      <c r="C27" s="112" t="s">
        <v>1483</v>
      </c>
      <c r="D27" s="1499">
        <v>3.2541708641508329</v>
      </c>
      <c r="E27" s="1499">
        <v>2.9216249419961047</v>
      </c>
      <c r="F27" s="1499">
        <v>1.8807176811005295</v>
      </c>
      <c r="G27" s="1499">
        <v>1.7987359898393926</v>
      </c>
      <c r="H27" s="1499">
        <v>1.7517157598975117</v>
      </c>
      <c r="I27" s="1499">
        <v>2.4741810736029386</v>
      </c>
      <c r="J27" s="1499">
        <v>2.2647638551900666</v>
      </c>
      <c r="K27" s="113">
        <v>1.4265352003032572</v>
      </c>
    </row>
    <row r="28" spans="2:11" x14ac:dyDescent="0.3">
      <c r="B28" s="111" t="s">
        <v>1981</v>
      </c>
      <c r="C28" s="112" t="s">
        <v>1489</v>
      </c>
      <c r="D28" s="1499">
        <v>3.199908135735634</v>
      </c>
      <c r="E28" s="1499">
        <v>2.8673622135809054</v>
      </c>
      <c r="F28" s="1499">
        <v>1.8264549526853309</v>
      </c>
      <c r="G28" s="1499">
        <v>1.744473261424194</v>
      </c>
      <c r="H28" s="1499">
        <v>1.6974530314823129</v>
      </c>
      <c r="I28" s="1499">
        <v>2.4199183451877397</v>
      </c>
      <c r="J28" s="1499">
        <v>2.2105011267748678</v>
      </c>
      <c r="K28" s="113">
        <v>1.3722724718880586</v>
      </c>
    </row>
    <row r="29" spans="2:11" x14ac:dyDescent="0.3">
      <c r="B29" s="114">
        <v>0</v>
      </c>
      <c r="C29" s="112" t="s">
        <v>1496</v>
      </c>
      <c r="D29" s="1499">
        <v>3.1185140431128358</v>
      </c>
      <c r="E29" s="1499">
        <v>2.7859681209581075</v>
      </c>
      <c r="F29" s="1499">
        <v>1.7450608600625326</v>
      </c>
      <c r="G29" s="1499">
        <v>1.6630791688013957</v>
      </c>
      <c r="H29" s="1499">
        <v>1.6160589388595148</v>
      </c>
      <c r="I29" s="1499">
        <v>2.3385242525649415</v>
      </c>
      <c r="J29" s="1499">
        <v>2.1291070341520695</v>
      </c>
      <c r="K29" s="113">
        <v>1.2908783792652605</v>
      </c>
    </row>
    <row r="30" spans="2:11" x14ac:dyDescent="0.3">
      <c r="B30" s="115"/>
      <c r="C30" s="112" t="s">
        <v>1500</v>
      </c>
      <c r="D30" s="1499">
        <v>3.0371199504900375</v>
      </c>
      <c r="E30" s="1499">
        <v>2.7045740283353092</v>
      </c>
      <c r="F30" s="1499">
        <v>1.6636667674397345</v>
      </c>
      <c r="G30" s="1499">
        <v>1.5816850761785977</v>
      </c>
      <c r="H30" s="1499">
        <v>1.5346648462367165</v>
      </c>
      <c r="I30" s="1499">
        <v>2.2571301599421432</v>
      </c>
      <c r="J30" s="1499">
        <v>2.0477129415292716</v>
      </c>
      <c r="K30" s="113">
        <v>1.2094842866424622</v>
      </c>
    </row>
    <row r="31" spans="2:11" x14ac:dyDescent="0.3">
      <c r="B31" s="115"/>
      <c r="C31" s="112" t="s">
        <v>1504</v>
      </c>
      <c r="D31" s="1499">
        <v>3.1606175708610333</v>
      </c>
      <c r="E31" s="1499">
        <v>2.8219895684391827</v>
      </c>
      <c r="F31" s="1499">
        <v>1.7855867335852285</v>
      </c>
      <c r="G31" s="1499">
        <v>1.6990928251596773</v>
      </c>
      <c r="H31" s="1499">
        <v>1.654234445309867</v>
      </c>
      <c r="I31" s="1499">
        <v>2.3745098129500724</v>
      </c>
      <c r="J31" s="1499">
        <v>2.1638820440727562</v>
      </c>
      <c r="K31" s="113">
        <v>1.3236512326007681</v>
      </c>
    </row>
    <row r="32" spans="2:11" x14ac:dyDescent="0.3">
      <c r="B32" s="115"/>
      <c r="C32" s="112" t="s">
        <v>1508</v>
      </c>
      <c r="D32" s="1499">
        <v>3.1155768314182786</v>
      </c>
      <c r="E32" s="1499">
        <v>2.7769488289964284</v>
      </c>
      <c r="F32" s="1499">
        <v>1.7405459941424741</v>
      </c>
      <c r="G32" s="1499">
        <v>1.654052085716923</v>
      </c>
      <c r="H32" s="1499">
        <v>1.6091937058671126</v>
      </c>
      <c r="I32" s="1499">
        <v>2.329469073507318</v>
      </c>
      <c r="J32" s="1499">
        <v>2.1188413046300019</v>
      </c>
      <c r="K32" s="113">
        <v>1.2786104931580138</v>
      </c>
    </row>
    <row r="33" spans="2:11" x14ac:dyDescent="0.3">
      <c r="B33" s="115"/>
      <c r="C33" s="112" t="s">
        <v>1513</v>
      </c>
      <c r="D33" s="1499">
        <v>3.0480157222541471</v>
      </c>
      <c r="E33" s="1499">
        <v>2.7093877198322964</v>
      </c>
      <c r="F33" s="1499">
        <v>1.6729848849783424</v>
      </c>
      <c r="G33" s="1499">
        <v>1.5864909765527913</v>
      </c>
      <c r="H33" s="1499">
        <v>1.5416325967029809</v>
      </c>
      <c r="I33" s="1499">
        <v>2.2619079643431861</v>
      </c>
      <c r="J33" s="1499">
        <v>2.0512801954658704</v>
      </c>
      <c r="K33" s="113">
        <v>1.2110493839938821</v>
      </c>
    </row>
    <row r="34" spans="2:11" x14ac:dyDescent="0.3">
      <c r="B34" s="115"/>
      <c r="C34" s="112" t="s">
        <v>1517</v>
      </c>
      <c r="D34" s="1499">
        <v>2.9804546130900151</v>
      </c>
      <c r="E34" s="1499">
        <v>2.6418266106681649</v>
      </c>
      <c r="F34" s="1499">
        <v>1.6054237758142109</v>
      </c>
      <c r="G34" s="1499">
        <v>1.5189298673886595</v>
      </c>
      <c r="H34" s="1499">
        <v>1.4740714875388494</v>
      </c>
      <c r="I34" s="1499">
        <v>2.1943468551790546</v>
      </c>
      <c r="J34" s="1499">
        <v>1.9837190863017384</v>
      </c>
      <c r="K34" s="113">
        <v>1.1434882748297504</v>
      </c>
    </row>
    <row r="35" spans="2:11" ht="14.5" thickBot="1" x14ac:dyDescent="0.35">
      <c r="B35" s="1233"/>
      <c r="C35" s="116" t="s">
        <v>1519</v>
      </c>
      <c r="D35" s="117">
        <v>3.2541708641508329</v>
      </c>
      <c r="E35" s="117">
        <v>2.9216249419961047</v>
      </c>
      <c r="F35" s="117">
        <v>1.8807176811005295</v>
      </c>
      <c r="G35" s="117">
        <v>1.7987359898393926</v>
      </c>
      <c r="H35" s="117">
        <v>1.7517157598975117</v>
      </c>
      <c r="I35" s="117">
        <v>2.4741810736029386</v>
      </c>
      <c r="J35" s="117">
        <v>2.2647638551900666</v>
      </c>
      <c r="K35" s="118">
        <v>1.4265352003032572</v>
      </c>
    </row>
    <row r="36" spans="2:11" x14ac:dyDescent="0.3">
      <c r="B36" s="107" t="s">
        <v>1977</v>
      </c>
      <c r="C36" s="108" t="s">
        <v>1416</v>
      </c>
      <c r="D36" s="109">
        <v>2.6613526734085546</v>
      </c>
      <c r="E36" s="109">
        <v>2.3071518898829479</v>
      </c>
      <c r="F36" s="109">
        <v>1.279489257917209</v>
      </c>
      <c r="G36" s="109">
        <v>1.1774944089751289</v>
      </c>
      <c r="H36" s="109">
        <v>1.1414828250729689</v>
      </c>
      <c r="I36" s="109">
        <v>1.8534252120793151</v>
      </c>
      <c r="J36" s="109">
        <v>1.6465142527807122</v>
      </c>
      <c r="K36" s="110">
        <v>0.82255678850459402</v>
      </c>
    </row>
    <row r="37" spans="2:11" x14ac:dyDescent="0.3">
      <c r="B37" s="111" t="s">
        <v>1978</v>
      </c>
      <c r="C37" s="112" t="s">
        <v>1483</v>
      </c>
      <c r="D37" s="1499">
        <v>3.1327051334201639</v>
      </c>
      <c r="E37" s="1499">
        <v>2.8001592112654352</v>
      </c>
      <c r="F37" s="1499">
        <v>1.7592519503698609</v>
      </c>
      <c r="G37" s="1499">
        <v>1.6772702591087241</v>
      </c>
      <c r="H37" s="1499">
        <v>1.6302500291668429</v>
      </c>
      <c r="I37" s="1499">
        <v>2.35271534287227</v>
      </c>
      <c r="J37" s="1499">
        <v>2.143298124459398</v>
      </c>
      <c r="K37" s="113">
        <v>1.3050694695725886</v>
      </c>
    </row>
    <row r="38" spans="2:11" x14ac:dyDescent="0.3">
      <c r="B38" s="111" t="s">
        <v>1982</v>
      </c>
      <c r="C38" s="112" t="s">
        <v>1489</v>
      </c>
      <c r="D38" s="1499">
        <v>3.0784424050049655</v>
      </c>
      <c r="E38" s="1499">
        <v>2.7458964828502368</v>
      </c>
      <c r="F38" s="1499">
        <v>1.7049892219546623</v>
      </c>
      <c r="G38" s="1499">
        <v>1.6230075306935254</v>
      </c>
      <c r="H38" s="1499">
        <v>1.5759873007516443</v>
      </c>
      <c r="I38" s="1499">
        <v>2.2984526144570712</v>
      </c>
      <c r="J38" s="1499">
        <v>2.0890353960441992</v>
      </c>
      <c r="K38" s="113">
        <v>1.25080674115739</v>
      </c>
    </row>
    <row r="39" spans="2:11" x14ac:dyDescent="0.3">
      <c r="B39" s="114">
        <v>0</v>
      </c>
      <c r="C39" s="112" t="s">
        <v>1496</v>
      </c>
      <c r="D39" s="1499">
        <v>2.9970483123821672</v>
      </c>
      <c r="E39" s="1499">
        <v>2.664502390227439</v>
      </c>
      <c r="F39" s="1499">
        <v>1.6235951293318638</v>
      </c>
      <c r="G39" s="1499">
        <v>1.5416134380707269</v>
      </c>
      <c r="H39" s="1499">
        <v>1.494593208128846</v>
      </c>
      <c r="I39" s="1499">
        <v>2.2170585218342729</v>
      </c>
      <c r="J39" s="1499">
        <v>2.0076413034214009</v>
      </c>
      <c r="K39" s="113">
        <v>1.1694126485345917</v>
      </c>
    </row>
    <row r="40" spans="2:11" x14ac:dyDescent="0.3">
      <c r="B40" s="115"/>
      <c r="C40" s="112" t="s">
        <v>1500</v>
      </c>
      <c r="D40" s="1499">
        <v>2.9156542197593689</v>
      </c>
      <c r="E40" s="1499">
        <v>2.5831082976046407</v>
      </c>
      <c r="F40" s="1499">
        <v>1.5422010367090657</v>
      </c>
      <c r="G40" s="1499">
        <v>1.4602193454479289</v>
      </c>
      <c r="H40" s="1499">
        <v>1.4131991155060477</v>
      </c>
      <c r="I40" s="1499">
        <v>2.1356644292114746</v>
      </c>
      <c r="J40" s="1499">
        <v>1.9262472107986028</v>
      </c>
      <c r="K40" s="113">
        <v>1.0880185559117934</v>
      </c>
    </row>
    <row r="41" spans="2:11" x14ac:dyDescent="0.3">
      <c r="B41" s="115"/>
      <c r="C41" s="112" t="s">
        <v>1504</v>
      </c>
      <c r="D41" s="1499">
        <v>3.0391518401303639</v>
      </c>
      <c r="E41" s="1499">
        <v>2.7005238377085137</v>
      </c>
      <c r="F41" s="1499">
        <v>1.6641210028545599</v>
      </c>
      <c r="G41" s="1499">
        <v>1.5776270944290087</v>
      </c>
      <c r="H41" s="1499">
        <v>1.5327687145791984</v>
      </c>
      <c r="I41" s="1499">
        <v>2.2530440822194038</v>
      </c>
      <c r="J41" s="1499">
        <v>2.0424163133420876</v>
      </c>
      <c r="K41" s="113">
        <v>1.2021855018700995</v>
      </c>
    </row>
    <row r="42" spans="2:11" x14ac:dyDescent="0.3">
      <c r="B42" s="115"/>
      <c r="C42" s="112" t="s">
        <v>1508</v>
      </c>
      <c r="D42" s="1499">
        <v>2.99411110068761</v>
      </c>
      <c r="E42" s="1499">
        <v>2.6554830982657593</v>
      </c>
      <c r="F42" s="1499">
        <v>1.6190802634118056</v>
      </c>
      <c r="G42" s="1499">
        <v>1.5325863549862544</v>
      </c>
      <c r="H42" s="1499">
        <v>1.4877279751364441</v>
      </c>
      <c r="I42" s="1499">
        <v>2.2080033427766494</v>
      </c>
      <c r="J42" s="1499">
        <v>1.9973755738993333</v>
      </c>
      <c r="K42" s="113">
        <v>1.157144762427345</v>
      </c>
    </row>
    <row r="43" spans="2:11" x14ac:dyDescent="0.3">
      <c r="B43" s="115"/>
      <c r="C43" s="112" t="s">
        <v>1513</v>
      </c>
      <c r="D43" s="1499">
        <v>2.9265499915234781</v>
      </c>
      <c r="E43" s="1499">
        <v>2.5879219891016274</v>
      </c>
      <c r="F43" s="1499">
        <v>1.5515191542476738</v>
      </c>
      <c r="G43" s="1499">
        <v>1.4650252458221227</v>
      </c>
      <c r="H43" s="1499">
        <v>1.4201668659723123</v>
      </c>
      <c r="I43" s="1499">
        <v>2.1404422336125175</v>
      </c>
      <c r="J43" s="1499">
        <v>1.9298144647352016</v>
      </c>
      <c r="K43" s="113">
        <v>1.0895836532632135</v>
      </c>
    </row>
    <row r="44" spans="2:11" x14ac:dyDescent="0.3">
      <c r="B44" s="115"/>
      <c r="C44" s="112" t="s">
        <v>1517</v>
      </c>
      <c r="D44" s="1499">
        <v>2.8589888823593466</v>
      </c>
      <c r="E44" s="1499">
        <v>2.5203608799374964</v>
      </c>
      <c r="F44" s="1499">
        <v>1.4839580450835423</v>
      </c>
      <c r="G44" s="1499">
        <v>1.397464136657991</v>
      </c>
      <c r="H44" s="1499">
        <v>1.3526057568081806</v>
      </c>
      <c r="I44" s="1499">
        <v>2.072881124448386</v>
      </c>
      <c r="J44" s="1499">
        <v>1.8622533555710699</v>
      </c>
      <c r="K44" s="113">
        <v>1.0220225440990818</v>
      </c>
    </row>
    <row r="45" spans="2:11" ht="14.5" thickBot="1" x14ac:dyDescent="0.35">
      <c r="B45" s="1233"/>
      <c r="C45" s="116" t="s">
        <v>1519</v>
      </c>
      <c r="D45" s="117">
        <v>3.1327051334201639</v>
      </c>
      <c r="E45" s="117">
        <v>2.8001592112654352</v>
      </c>
      <c r="F45" s="117">
        <v>1.7592519503698609</v>
      </c>
      <c r="G45" s="117">
        <v>1.6772702591087241</v>
      </c>
      <c r="H45" s="117">
        <v>1.6302500291668429</v>
      </c>
      <c r="I45" s="117">
        <v>2.35271534287227</v>
      </c>
      <c r="J45" s="117">
        <v>2.143298124459398</v>
      </c>
      <c r="K45" s="118">
        <v>1.3050694695725886</v>
      </c>
    </row>
    <row r="46" spans="2:11" x14ac:dyDescent="0.3">
      <c r="B46" s="119" t="s">
        <v>1983</v>
      </c>
      <c r="C46" s="108" t="s">
        <v>1416</v>
      </c>
      <c r="D46" s="109">
        <v>2.76649704904565</v>
      </c>
      <c r="E46" s="109">
        <v>2.3986291199034926</v>
      </c>
      <c r="F46" s="109">
        <v>1.3908718391543706</v>
      </c>
      <c r="G46" s="109">
        <v>1.2890110198846967</v>
      </c>
      <c r="H46" s="109">
        <v>1.2626467410954152</v>
      </c>
      <c r="I46" s="109">
        <v>1.9512981126588482</v>
      </c>
      <c r="J46" s="109">
        <v>1.7467190124276137</v>
      </c>
      <c r="K46" s="110">
        <v>0.93899373890391835</v>
      </c>
    </row>
    <row r="47" spans="2:11" x14ac:dyDescent="0.3">
      <c r="B47" s="111"/>
      <c r="C47" s="112" t="s">
        <v>1483</v>
      </c>
      <c r="D47" s="1499">
        <v>3.2405829296314002</v>
      </c>
      <c r="E47" s="1499">
        <v>2.8924220568123871</v>
      </c>
      <c r="F47" s="1499">
        <v>1.8752093896275284</v>
      </c>
      <c r="G47" s="1499">
        <v>1.784020621524776</v>
      </c>
      <c r="H47" s="1499">
        <v>1.741941277895368</v>
      </c>
      <c r="I47" s="1499">
        <v>2.4494838088043247</v>
      </c>
      <c r="J47" s="1499">
        <v>2.2403438053919316</v>
      </c>
      <c r="K47" s="113">
        <v>1.4177506135612248</v>
      </c>
    </row>
    <row r="48" spans="2:11" x14ac:dyDescent="0.3">
      <c r="B48" s="111" t="s">
        <v>1979</v>
      </c>
      <c r="C48" s="112" t="s">
        <v>1489</v>
      </c>
      <c r="D48" s="1499">
        <v>3.1863202012162017</v>
      </c>
      <c r="E48" s="1499">
        <v>2.8381593283971887</v>
      </c>
      <c r="F48" s="1499">
        <v>1.8209466612123297</v>
      </c>
      <c r="G48" s="1499">
        <v>1.7297578931095772</v>
      </c>
      <c r="H48" s="1499">
        <v>1.6876785494801692</v>
      </c>
      <c r="I48" s="1499">
        <v>2.3952210803891263</v>
      </c>
      <c r="J48" s="1499">
        <v>2.1860810769767327</v>
      </c>
      <c r="K48" s="113">
        <v>1.3634878851460261</v>
      </c>
    </row>
    <row r="49" spans="2:11" x14ac:dyDescent="0.3">
      <c r="B49" s="114">
        <v>0</v>
      </c>
      <c r="C49" s="112" t="s">
        <v>1496</v>
      </c>
      <c r="D49" s="1499">
        <v>3.1049261085934035</v>
      </c>
      <c r="E49" s="1499">
        <v>2.7567652357743904</v>
      </c>
      <c r="F49" s="1499">
        <v>1.7395525685895314</v>
      </c>
      <c r="G49" s="1499">
        <v>1.6483638004867791</v>
      </c>
      <c r="H49" s="1499">
        <v>1.6062844568573711</v>
      </c>
      <c r="I49" s="1499">
        <v>2.313826987766328</v>
      </c>
      <c r="J49" s="1499">
        <v>2.1046869843539349</v>
      </c>
      <c r="K49" s="113">
        <v>1.2820937925232279</v>
      </c>
    </row>
    <row r="50" spans="2:11" x14ac:dyDescent="0.3">
      <c r="B50" s="115"/>
      <c r="C50" s="112" t="s">
        <v>1500</v>
      </c>
      <c r="D50" s="1499">
        <v>3.0235320159706056</v>
      </c>
      <c r="E50" s="1499">
        <v>2.6753711431515925</v>
      </c>
      <c r="F50" s="1499">
        <v>1.6581584759667334</v>
      </c>
      <c r="G50" s="1499">
        <v>1.5669697078639808</v>
      </c>
      <c r="H50" s="1499">
        <v>1.5248903642345728</v>
      </c>
      <c r="I50" s="1499">
        <v>2.2324328951435297</v>
      </c>
      <c r="J50" s="1499">
        <v>2.0232928917311366</v>
      </c>
      <c r="K50" s="113">
        <v>1.2006996999004298</v>
      </c>
    </row>
    <row r="51" spans="2:11" x14ac:dyDescent="0.3">
      <c r="B51" s="115"/>
      <c r="C51" s="112" t="s">
        <v>1504</v>
      </c>
      <c r="D51" s="1499">
        <v>3.1462210742264074</v>
      </c>
      <c r="E51" s="1499">
        <v>2.7930344794300686</v>
      </c>
      <c r="F51" s="1499">
        <v>1.7784945357705089</v>
      </c>
      <c r="G51" s="1499">
        <v>1.6825862163549352</v>
      </c>
      <c r="H51" s="1499">
        <v>1.6427754087455195</v>
      </c>
      <c r="I51" s="1499">
        <v>2.3485447240206825</v>
      </c>
      <c r="J51" s="1499">
        <v>2.1387101887370945</v>
      </c>
      <c r="K51" s="113">
        <v>1.3241964253569036</v>
      </c>
    </row>
    <row r="52" spans="2:11" x14ac:dyDescent="0.3">
      <c r="B52" s="115"/>
      <c r="C52" s="112" t="s">
        <v>1508</v>
      </c>
      <c r="D52" s="1499">
        <v>3.1011803347836531</v>
      </c>
      <c r="E52" s="1499">
        <v>2.7479937399873147</v>
      </c>
      <c r="F52" s="1499">
        <v>1.7334537963277545</v>
      </c>
      <c r="G52" s="1499">
        <v>1.6375454769121809</v>
      </c>
      <c r="H52" s="1499">
        <v>1.5977346693027652</v>
      </c>
      <c r="I52" s="1499">
        <v>2.3035039845779282</v>
      </c>
      <c r="J52" s="1499">
        <v>2.0936694492943402</v>
      </c>
      <c r="K52" s="113">
        <v>1.2791556859141493</v>
      </c>
    </row>
    <row r="53" spans="2:11" x14ac:dyDescent="0.3">
      <c r="B53" s="115"/>
      <c r="C53" s="112" t="s">
        <v>1513</v>
      </c>
      <c r="D53" s="1499">
        <v>3.0336192256195211</v>
      </c>
      <c r="E53" s="1499">
        <v>2.6804326308231827</v>
      </c>
      <c r="F53" s="1499">
        <v>1.6658926871636228</v>
      </c>
      <c r="G53" s="1499">
        <v>1.5699843677480492</v>
      </c>
      <c r="H53" s="1499">
        <v>1.5301735601386335</v>
      </c>
      <c r="I53" s="1499">
        <v>2.2359428754137967</v>
      </c>
      <c r="J53" s="1499">
        <v>2.0261083401302087</v>
      </c>
      <c r="K53" s="113">
        <v>1.2115945767500176</v>
      </c>
    </row>
    <row r="54" spans="2:11" x14ac:dyDescent="0.3">
      <c r="B54" s="115"/>
      <c r="C54" s="112" t="s">
        <v>1517</v>
      </c>
      <c r="D54" s="1499">
        <v>2.9660581164553896</v>
      </c>
      <c r="E54" s="1499">
        <v>2.6128715216590512</v>
      </c>
      <c r="F54" s="1499">
        <v>1.5983315779994911</v>
      </c>
      <c r="G54" s="1499">
        <v>1.5024232585839175</v>
      </c>
      <c r="H54" s="1499">
        <v>1.4626124509745018</v>
      </c>
      <c r="I54" s="1499">
        <v>2.1683817662496647</v>
      </c>
      <c r="J54" s="1499">
        <v>1.9585472309660767</v>
      </c>
      <c r="K54" s="113">
        <v>1.1440334675858861</v>
      </c>
    </row>
    <row r="55" spans="2:11" ht="14.5" thickBot="1" x14ac:dyDescent="0.35">
      <c r="B55" s="1233"/>
      <c r="C55" s="116" t="s">
        <v>1519</v>
      </c>
      <c r="D55" s="117">
        <v>3.2405829296314002</v>
      </c>
      <c r="E55" s="117">
        <v>2.8924220568123871</v>
      </c>
      <c r="F55" s="117">
        <v>1.8752093896275284</v>
      </c>
      <c r="G55" s="117">
        <v>1.784020621524776</v>
      </c>
      <c r="H55" s="117">
        <v>1.741941277895368</v>
      </c>
      <c r="I55" s="117">
        <v>2.4494838088043247</v>
      </c>
      <c r="J55" s="117">
        <v>2.2403438053919316</v>
      </c>
      <c r="K55" s="118">
        <v>1.4177506135612248</v>
      </c>
    </row>
    <row r="56" spans="2:11" x14ac:dyDescent="0.3">
      <c r="B56" s="119" t="s">
        <v>1983</v>
      </c>
      <c r="C56" s="108" t="s">
        <v>1416</v>
      </c>
      <c r="D56" s="109">
        <v>2.725422427307008</v>
      </c>
      <c r="E56" s="109">
        <v>2.3575544981648506</v>
      </c>
      <c r="F56" s="109">
        <v>1.3497972174157289</v>
      </c>
      <c r="G56" s="109">
        <v>1.2479363981460549</v>
      </c>
      <c r="H56" s="109">
        <v>1.2215721193567732</v>
      </c>
      <c r="I56" s="109">
        <v>1.9102234909202065</v>
      </c>
      <c r="J56" s="109">
        <v>1.705644390688972</v>
      </c>
      <c r="K56" s="110">
        <v>0.89791911716527661</v>
      </c>
    </row>
    <row r="57" spans="2:11" x14ac:dyDescent="0.3">
      <c r="B57" s="111"/>
      <c r="C57" s="112" t="s">
        <v>1483</v>
      </c>
      <c r="D57" s="1499">
        <v>3.1995083078927586</v>
      </c>
      <c r="E57" s="1499">
        <v>2.8513474350737456</v>
      </c>
      <c r="F57" s="1499">
        <v>1.8341347678888866</v>
      </c>
      <c r="G57" s="1499">
        <v>1.7429459997861341</v>
      </c>
      <c r="H57" s="1499">
        <v>1.7008666561567261</v>
      </c>
      <c r="I57" s="1499">
        <v>2.4084091870656832</v>
      </c>
      <c r="J57" s="1499">
        <v>2.19926918365329</v>
      </c>
      <c r="K57" s="113">
        <v>1.376675991822583</v>
      </c>
    </row>
    <row r="58" spans="2:11" x14ac:dyDescent="0.3">
      <c r="B58" s="111" t="s">
        <v>1980</v>
      </c>
      <c r="C58" s="112" t="s">
        <v>1489</v>
      </c>
      <c r="D58" s="1499">
        <v>3.1452455794775598</v>
      </c>
      <c r="E58" s="1499">
        <v>2.7970847066585467</v>
      </c>
      <c r="F58" s="1499">
        <v>1.7798720394736878</v>
      </c>
      <c r="G58" s="1499">
        <v>1.6886832713709354</v>
      </c>
      <c r="H58" s="1499">
        <v>1.6466039277415274</v>
      </c>
      <c r="I58" s="1499">
        <v>2.3541464586504843</v>
      </c>
      <c r="J58" s="1499">
        <v>2.1450064552380912</v>
      </c>
      <c r="K58" s="113">
        <v>1.3224132634073842</v>
      </c>
    </row>
    <row r="59" spans="2:11" x14ac:dyDescent="0.3">
      <c r="B59" s="114">
        <v>0</v>
      </c>
      <c r="C59" s="112" t="s">
        <v>1496</v>
      </c>
      <c r="D59" s="1499">
        <v>3.0638514868547615</v>
      </c>
      <c r="E59" s="1499">
        <v>2.7156906140357484</v>
      </c>
      <c r="F59" s="1499">
        <v>1.6984779468508897</v>
      </c>
      <c r="G59" s="1499">
        <v>1.6072891787481374</v>
      </c>
      <c r="H59" s="1499">
        <v>1.5652098351187294</v>
      </c>
      <c r="I59" s="1499">
        <v>2.272752366027686</v>
      </c>
      <c r="J59" s="1499">
        <v>2.0636123626152929</v>
      </c>
      <c r="K59" s="113">
        <v>1.2410191707845861</v>
      </c>
    </row>
    <row r="60" spans="2:11" x14ac:dyDescent="0.3">
      <c r="B60" s="115"/>
      <c r="C60" s="112" t="s">
        <v>1500</v>
      </c>
      <c r="D60" s="1499">
        <v>2.9824573942319632</v>
      </c>
      <c r="E60" s="1499">
        <v>2.6342965214129501</v>
      </c>
      <c r="F60" s="1499">
        <v>1.6170838542280916</v>
      </c>
      <c r="G60" s="1499">
        <v>1.5258950861253391</v>
      </c>
      <c r="H60" s="1499">
        <v>1.4838157424959311</v>
      </c>
      <c r="I60" s="1499">
        <v>2.1913582734048882</v>
      </c>
      <c r="J60" s="1499">
        <v>1.9822182699924948</v>
      </c>
      <c r="K60" s="113">
        <v>1.1596250781617878</v>
      </c>
    </row>
    <row r="61" spans="2:11" x14ac:dyDescent="0.3">
      <c r="B61" s="115"/>
      <c r="C61" s="112" t="s">
        <v>1504</v>
      </c>
      <c r="D61" s="1499">
        <v>3.1051464524877654</v>
      </c>
      <c r="E61" s="1499">
        <v>2.751959857691427</v>
      </c>
      <c r="F61" s="1499">
        <v>1.7374199140318671</v>
      </c>
      <c r="G61" s="1499">
        <v>1.6415115946162935</v>
      </c>
      <c r="H61" s="1499">
        <v>1.6017007870068778</v>
      </c>
      <c r="I61" s="1499">
        <v>2.3074701022820405</v>
      </c>
      <c r="J61" s="1499">
        <v>2.0976355669984525</v>
      </c>
      <c r="K61" s="113">
        <v>1.2831218036182619</v>
      </c>
    </row>
    <row r="62" spans="2:11" x14ac:dyDescent="0.3">
      <c r="B62" s="115"/>
      <c r="C62" s="112" t="s">
        <v>1508</v>
      </c>
      <c r="D62" s="1499">
        <v>3.0601057130450111</v>
      </c>
      <c r="E62" s="1499">
        <v>2.7069191182486727</v>
      </c>
      <c r="F62" s="1499">
        <v>1.6923791745891128</v>
      </c>
      <c r="G62" s="1499">
        <v>1.5964708551735391</v>
      </c>
      <c r="H62" s="1499">
        <v>1.5566600475641235</v>
      </c>
      <c r="I62" s="1499">
        <v>2.2624293628392862</v>
      </c>
      <c r="J62" s="1499">
        <v>2.0525948275556982</v>
      </c>
      <c r="K62" s="113">
        <v>1.2380810641755076</v>
      </c>
    </row>
    <row r="63" spans="2:11" x14ac:dyDescent="0.3">
      <c r="B63" s="115"/>
      <c r="C63" s="112" t="s">
        <v>1513</v>
      </c>
      <c r="D63" s="1499">
        <v>2.9925446038808796</v>
      </c>
      <c r="E63" s="1499">
        <v>2.6393580090845412</v>
      </c>
      <c r="F63" s="1499">
        <v>1.6248180654249811</v>
      </c>
      <c r="G63" s="1499">
        <v>1.5289097460094074</v>
      </c>
      <c r="H63" s="1499">
        <v>1.4890989383999917</v>
      </c>
      <c r="I63" s="1499">
        <v>2.1948682536751547</v>
      </c>
      <c r="J63" s="1499">
        <v>1.9850337183915667</v>
      </c>
      <c r="K63" s="113">
        <v>1.1705199550113758</v>
      </c>
    </row>
    <row r="64" spans="2:11" x14ac:dyDescent="0.3">
      <c r="B64" s="115"/>
      <c r="C64" s="112" t="s">
        <v>1517</v>
      </c>
      <c r="D64" s="1499">
        <v>2.9249834947167477</v>
      </c>
      <c r="E64" s="1499">
        <v>2.5717968999204093</v>
      </c>
      <c r="F64" s="1499">
        <v>1.5572569562608494</v>
      </c>
      <c r="G64" s="1499">
        <v>1.4613486368452757</v>
      </c>
      <c r="H64" s="1499">
        <v>1.42153782923586</v>
      </c>
      <c r="I64" s="1499">
        <v>2.1273071445110232</v>
      </c>
      <c r="J64" s="1499">
        <v>1.917472609227435</v>
      </c>
      <c r="K64" s="113">
        <v>1.1029588458472441</v>
      </c>
    </row>
    <row r="65" spans="2:11" ht="14.5" thickBot="1" x14ac:dyDescent="0.35">
      <c r="B65" s="1233"/>
      <c r="C65" s="116" t="s">
        <v>1519</v>
      </c>
      <c r="D65" s="117">
        <v>3.1995083078927586</v>
      </c>
      <c r="E65" s="117">
        <v>2.8513474350737456</v>
      </c>
      <c r="F65" s="117">
        <v>1.8341347678888866</v>
      </c>
      <c r="G65" s="117">
        <v>1.7429459997861341</v>
      </c>
      <c r="H65" s="117">
        <v>1.7008666561567261</v>
      </c>
      <c r="I65" s="117">
        <v>2.4084091870656832</v>
      </c>
      <c r="J65" s="117">
        <v>2.19926918365329</v>
      </c>
      <c r="K65" s="118">
        <v>1.376675991822583</v>
      </c>
    </row>
    <row r="66" spans="2:11" x14ac:dyDescent="0.3">
      <c r="B66" s="119" t="s">
        <v>1983</v>
      </c>
      <c r="C66" s="108" t="s">
        <v>1416</v>
      </c>
      <c r="D66" s="109">
        <v>2.6638104946990455</v>
      </c>
      <c r="E66" s="109">
        <v>2.2959425655568877</v>
      </c>
      <c r="F66" s="109">
        <v>1.288185284807766</v>
      </c>
      <c r="G66" s="109">
        <v>1.186324465538092</v>
      </c>
      <c r="H66" s="109">
        <v>1.1599601867488105</v>
      </c>
      <c r="I66" s="109">
        <v>1.8486115583122436</v>
      </c>
      <c r="J66" s="109">
        <v>1.6440324580810093</v>
      </c>
      <c r="K66" s="110">
        <v>0.8363071845573139</v>
      </c>
    </row>
    <row r="67" spans="2:11" x14ac:dyDescent="0.3">
      <c r="B67" s="111"/>
      <c r="C67" s="112" t="s">
        <v>1483</v>
      </c>
      <c r="D67" s="1499">
        <v>3.1378963752847957</v>
      </c>
      <c r="E67" s="1499">
        <v>2.7897355024657826</v>
      </c>
      <c r="F67" s="1499">
        <v>1.7725228352809239</v>
      </c>
      <c r="G67" s="1499">
        <v>1.6813340671781716</v>
      </c>
      <c r="H67" s="1499">
        <v>1.6392547235487636</v>
      </c>
      <c r="I67" s="1499">
        <v>2.3467972544577207</v>
      </c>
      <c r="J67" s="1499">
        <v>2.1376572510453271</v>
      </c>
      <c r="K67" s="113">
        <v>1.3150640592146203</v>
      </c>
    </row>
    <row r="68" spans="2:11" x14ac:dyDescent="0.3">
      <c r="B68" s="111" t="s">
        <v>1981</v>
      </c>
      <c r="C68" s="112" t="s">
        <v>1489</v>
      </c>
      <c r="D68" s="1499">
        <v>3.0836336468695973</v>
      </c>
      <c r="E68" s="1499">
        <v>2.7354727740505842</v>
      </c>
      <c r="F68" s="1499">
        <v>1.7182601068657251</v>
      </c>
      <c r="G68" s="1499">
        <v>1.6270713387629727</v>
      </c>
      <c r="H68" s="1499">
        <v>1.5849919951335647</v>
      </c>
      <c r="I68" s="1499">
        <v>2.2925345260425218</v>
      </c>
      <c r="J68" s="1499">
        <v>2.0833945226301283</v>
      </c>
      <c r="K68" s="113">
        <v>1.2608013307994215</v>
      </c>
    </row>
    <row r="69" spans="2:11" x14ac:dyDescent="0.3">
      <c r="B69" s="114">
        <v>0</v>
      </c>
      <c r="C69" s="112" t="s">
        <v>1496</v>
      </c>
      <c r="D69" s="1499">
        <v>3.002239554246799</v>
      </c>
      <c r="E69" s="1499">
        <v>2.6540786814277859</v>
      </c>
      <c r="F69" s="1499">
        <v>1.636866014242927</v>
      </c>
      <c r="G69" s="1499">
        <v>1.5456772461401744</v>
      </c>
      <c r="H69" s="1499">
        <v>1.5035979025107664</v>
      </c>
      <c r="I69" s="1499">
        <v>2.2111404334197235</v>
      </c>
      <c r="J69" s="1499">
        <v>2.00200043000733</v>
      </c>
      <c r="K69" s="113">
        <v>1.1794072381766232</v>
      </c>
    </row>
    <row r="70" spans="2:11" x14ac:dyDescent="0.3">
      <c r="B70" s="115"/>
      <c r="C70" s="112" t="s">
        <v>1500</v>
      </c>
      <c r="D70" s="1499">
        <v>2.9208454616240007</v>
      </c>
      <c r="E70" s="1499">
        <v>2.5726845888049876</v>
      </c>
      <c r="F70" s="1499">
        <v>1.5554719216201287</v>
      </c>
      <c r="G70" s="1499">
        <v>1.4642831535173764</v>
      </c>
      <c r="H70" s="1499">
        <v>1.4222038098879684</v>
      </c>
      <c r="I70" s="1499">
        <v>2.1297463407969253</v>
      </c>
      <c r="J70" s="1499">
        <v>1.9206063373845319</v>
      </c>
      <c r="K70" s="113">
        <v>1.0980131455538253</v>
      </c>
    </row>
    <row r="71" spans="2:11" x14ac:dyDescent="0.3">
      <c r="B71" s="115"/>
      <c r="C71" s="112" t="s">
        <v>1504</v>
      </c>
      <c r="D71" s="1499">
        <v>3.0435345198798025</v>
      </c>
      <c r="E71" s="1499">
        <v>2.6903479250834641</v>
      </c>
      <c r="F71" s="1499">
        <v>1.6758079814239044</v>
      </c>
      <c r="G71" s="1499">
        <v>1.579899662008331</v>
      </c>
      <c r="H71" s="1499">
        <v>1.5400888543989153</v>
      </c>
      <c r="I71" s="1499">
        <v>2.245858169674078</v>
      </c>
      <c r="J71" s="1499">
        <v>2.0360236343904901</v>
      </c>
      <c r="K71" s="113">
        <v>1.2215098710102994</v>
      </c>
    </row>
    <row r="72" spans="2:11" x14ac:dyDescent="0.3">
      <c r="B72" s="115"/>
      <c r="C72" s="112" t="s">
        <v>1508</v>
      </c>
      <c r="D72" s="1499">
        <v>2.9984937804370486</v>
      </c>
      <c r="E72" s="1499">
        <v>2.6453071856407102</v>
      </c>
      <c r="F72" s="1499">
        <v>1.6307672419811499</v>
      </c>
      <c r="G72" s="1499">
        <v>1.5348589225655762</v>
      </c>
      <c r="H72" s="1499">
        <v>1.4950481149561605</v>
      </c>
      <c r="I72" s="1499">
        <v>2.2008174302313237</v>
      </c>
      <c r="J72" s="1499">
        <v>1.9909828949477355</v>
      </c>
      <c r="K72" s="113">
        <v>1.1764691315675448</v>
      </c>
    </row>
    <row r="73" spans="2:11" x14ac:dyDescent="0.3">
      <c r="B73" s="115"/>
      <c r="C73" s="112" t="s">
        <v>1513</v>
      </c>
      <c r="D73" s="1499">
        <v>2.9309326712729167</v>
      </c>
      <c r="E73" s="1499">
        <v>2.5777460764765783</v>
      </c>
      <c r="F73" s="1499">
        <v>1.5632061328170186</v>
      </c>
      <c r="G73" s="1499">
        <v>1.4672978134014447</v>
      </c>
      <c r="H73" s="1499">
        <v>1.4274870057920293</v>
      </c>
      <c r="I73" s="1499">
        <v>2.1332563210671918</v>
      </c>
      <c r="J73" s="1499">
        <v>1.9234217857836042</v>
      </c>
      <c r="K73" s="113">
        <v>1.1089080224034131</v>
      </c>
    </row>
    <row r="74" spans="2:11" x14ac:dyDescent="0.3">
      <c r="B74" s="115"/>
      <c r="C74" s="112" t="s">
        <v>1517</v>
      </c>
      <c r="D74" s="1499">
        <v>2.8633715621087852</v>
      </c>
      <c r="E74" s="1499">
        <v>2.5101849673124468</v>
      </c>
      <c r="F74" s="1499">
        <v>1.4956450236528869</v>
      </c>
      <c r="G74" s="1499">
        <v>1.3997367042373132</v>
      </c>
      <c r="H74" s="1499">
        <v>1.3599258966278975</v>
      </c>
      <c r="I74" s="1499">
        <v>2.0656952119030603</v>
      </c>
      <c r="J74" s="1499">
        <v>1.8558606766194725</v>
      </c>
      <c r="K74" s="113">
        <v>1.0413469132392816</v>
      </c>
    </row>
    <row r="75" spans="2:11" ht="14.5" thickBot="1" x14ac:dyDescent="0.35">
      <c r="B75" s="1233"/>
      <c r="C75" s="116" t="s">
        <v>1519</v>
      </c>
      <c r="D75" s="117">
        <v>3.1378963752847957</v>
      </c>
      <c r="E75" s="117">
        <v>2.7897355024657826</v>
      </c>
      <c r="F75" s="117">
        <v>1.7725228352809239</v>
      </c>
      <c r="G75" s="117">
        <v>1.6813340671781716</v>
      </c>
      <c r="H75" s="117">
        <v>1.6392547235487636</v>
      </c>
      <c r="I75" s="117">
        <v>2.3467972544577207</v>
      </c>
      <c r="J75" s="117">
        <v>2.1376572510453271</v>
      </c>
      <c r="K75" s="118">
        <v>1.3150640592146203</v>
      </c>
    </row>
    <row r="76" spans="2:11" x14ac:dyDescent="0.3">
      <c r="B76" s="119" t="s">
        <v>1983</v>
      </c>
      <c r="C76" s="108" t="s">
        <v>1416</v>
      </c>
      <c r="D76" s="109">
        <v>2.6021985620910821</v>
      </c>
      <c r="E76" s="109">
        <v>2.2343306329489252</v>
      </c>
      <c r="F76" s="109">
        <v>1.2265733521998035</v>
      </c>
      <c r="G76" s="109">
        <v>1.1247125329301295</v>
      </c>
      <c r="H76" s="109">
        <v>1.098348254140848</v>
      </c>
      <c r="I76" s="109">
        <v>1.7869996257042811</v>
      </c>
      <c r="J76" s="109">
        <v>1.5824205254730468</v>
      </c>
      <c r="K76" s="110">
        <v>0.77469525194935129</v>
      </c>
    </row>
    <row r="77" spans="2:11" x14ac:dyDescent="0.3">
      <c r="B77" s="111"/>
      <c r="C77" s="112" t="s">
        <v>1483</v>
      </c>
      <c r="D77" s="1499">
        <v>3.0762844426768332</v>
      </c>
      <c r="E77" s="1499">
        <v>2.7281235698578201</v>
      </c>
      <c r="F77" s="1499">
        <v>1.7109109026729612</v>
      </c>
      <c r="G77" s="1499">
        <v>1.6197221345702089</v>
      </c>
      <c r="H77" s="1499">
        <v>1.5776427909408008</v>
      </c>
      <c r="I77" s="1499">
        <v>2.2851853218497578</v>
      </c>
      <c r="J77" s="1499">
        <v>2.0760453184373646</v>
      </c>
      <c r="K77" s="113">
        <v>1.2534521266066576</v>
      </c>
    </row>
    <row r="78" spans="2:11" x14ac:dyDescent="0.3">
      <c r="B78" s="111" t="s">
        <v>1982</v>
      </c>
      <c r="C78" s="112" t="s">
        <v>1489</v>
      </c>
      <c r="D78" s="1499">
        <v>3.0220217142616344</v>
      </c>
      <c r="E78" s="1499">
        <v>2.6738608414426208</v>
      </c>
      <c r="F78" s="1499">
        <v>1.6566481742577626</v>
      </c>
      <c r="G78" s="1499">
        <v>1.56545940615501</v>
      </c>
      <c r="H78" s="1499">
        <v>1.523380062525602</v>
      </c>
      <c r="I78" s="1499">
        <v>2.2309225934345589</v>
      </c>
      <c r="J78" s="1499">
        <v>2.0217825900221658</v>
      </c>
      <c r="K78" s="113">
        <v>1.199189398191459</v>
      </c>
    </row>
    <row r="79" spans="2:11" x14ac:dyDescent="0.3">
      <c r="B79" s="114">
        <v>0</v>
      </c>
      <c r="C79" s="112" t="s">
        <v>1496</v>
      </c>
      <c r="D79" s="1499">
        <v>2.9406276216388361</v>
      </c>
      <c r="E79" s="1499">
        <v>2.592466748819823</v>
      </c>
      <c r="F79" s="1499">
        <v>1.5752540816349643</v>
      </c>
      <c r="G79" s="1499">
        <v>1.4840653135322119</v>
      </c>
      <c r="H79" s="1499">
        <v>1.4419859699028039</v>
      </c>
      <c r="I79" s="1499">
        <v>2.1495285008117611</v>
      </c>
      <c r="J79" s="1499">
        <v>1.9403884973993677</v>
      </c>
      <c r="K79" s="113">
        <v>1.1177953055686607</v>
      </c>
    </row>
    <row r="80" spans="2:11" x14ac:dyDescent="0.3">
      <c r="B80" s="115"/>
      <c r="C80" s="112" t="s">
        <v>1500</v>
      </c>
      <c r="D80" s="1499">
        <v>2.8592335290160378</v>
      </c>
      <c r="E80" s="1499">
        <v>2.5110726561970247</v>
      </c>
      <c r="F80" s="1499">
        <v>1.4938599890121662</v>
      </c>
      <c r="G80" s="1499">
        <v>1.4026712209094137</v>
      </c>
      <c r="H80" s="1499">
        <v>1.3605918772800056</v>
      </c>
      <c r="I80" s="1499">
        <v>2.0681344081889628</v>
      </c>
      <c r="J80" s="1499">
        <v>1.8589944047765694</v>
      </c>
      <c r="K80" s="113">
        <v>1.0364012129458626</v>
      </c>
    </row>
    <row r="81" spans="2:11" x14ac:dyDescent="0.3">
      <c r="B81" s="115"/>
      <c r="C81" s="112" t="s">
        <v>1504</v>
      </c>
      <c r="D81" s="1499">
        <v>2.98192258727184</v>
      </c>
      <c r="E81" s="1499">
        <v>2.6287359924755016</v>
      </c>
      <c r="F81" s="1499">
        <v>1.6141960488159417</v>
      </c>
      <c r="G81" s="1499">
        <v>1.518287729400368</v>
      </c>
      <c r="H81" s="1499">
        <v>1.4784769217909524</v>
      </c>
      <c r="I81" s="1499">
        <v>2.1842462370661151</v>
      </c>
      <c r="J81" s="1499">
        <v>1.9744117017825273</v>
      </c>
      <c r="K81" s="113">
        <v>1.1598979384023365</v>
      </c>
    </row>
    <row r="82" spans="2:11" x14ac:dyDescent="0.3">
      <c r="B82" s="115"/>
      <c r="C82" s="112" t="s">
        <v>1508</v>
      </c>
      <c r="D82" s="1499">
        <v>2.9368818478290852</v>
      </c>
      <c r="E82" s="1499">
        <v>2.5836952530327468</v>
      </c>
      <c r="F82" s="1499">
        <v>1.5691553093731874</v>
      </c>
      <c r="G82" s="1499">
        <v>1.4732469899576137</v>
      </c>
      <c r="H82" s="1499">
        <v>1.433436182348198</v>
      </c>
      <c r="I82" s="1499">
        <v>2.1392054976233608</v>
      </c>
      <c r="J82" s="1499">
        <v>1.929370962339773</v>
      </c>
      <c r="K82" s="113">
        <v>1.1148571989595821</v>
      </c>
    </row>
    <row r="83" spans="2:11" x14ac:dyDescent="0.3">
      <c r="B83" s="115"/>
      <c r="C83" s="112" t="s">
        <v>1513</v>
      </c>
      <c r="D83" s="1499">
        <v>2.8693207386649542</v>
      </c>
      <c r="E83" s="1499">
        <v>2.5161341438686153</v>
      </c>
      <c r="F83" s="1499">
        <v>1.5015942002090557</v>
      </c>
      <c r="G83" s="1499">
        <v>1.405685880793482</v>
      </c>
      <c r="H83" s="1499">
        <v>1.3658750731840663</v>
      </c>
      <c r="I83" s="1499">
        <v>2.0716443884592293</v>
      </c>
      <c r="J83" s="1499">
        <v>1.8618098531756413</v>
      </c>
      <c r="K83" s="113">
        <v>1.0472960897954506</v>
      </c>
    </row>
    <row r="84" spans="2:11" x14ac:dyDescent="0.3">
      <c r="B84" s="115"/>
      <c r="C84" s="112" t="s">
        <v>1517</v>
      </c>
      <c r="D84" s="1499">
        <v>2.8017596295008227</v>
      </c>
      <c r="E84" s="1499">
        <v>2.4485730347044843</v>
      </c>
      <c r="F84" s="1499">
        <v>1.4340330910449239</v>
      </c>
      <c r="G84" s="1499">
        <v>1.3381247716293505</v>
      </c>
      <c r="H84" s="1499">
        <v>1.2983139640199348</v>
      </c>
      <c r="I84" s="1499">
        <v>2.0040832792950978</v>
      </c>
      <c r="J84" s="1499">
        <v>1.7942487440115098</v>
      </c>
      <c r="K84" s="113">
        <v>0.97973498063131892</v>
      </c>
    </row>
    <row r="85" spans="2:11" ht="14.5" thickBot="1" x14ac:dyDescent="0.35">
      <c r="B85" s="1233"/>
      <c r="C85" s="116" t="s">
        <v>1519</v>
      </c>
      <c r="D85" s="117">
        <v>3.0762844426768332</v>
      </c>
      <c r="E85" s="117">
        <v>2.7281235698578201</v>
      </c>
      <c r="F85" s="117">
        <v>1.7109109026729612</v>
      </c>
      <c r="G85" s="117">
        <v>1.6197221345702089</v>
      </c>
      <c r="H85" s="117">
        <v>1.5776427909408008</v>
      </c>
      <c r="I85" s="117">
        <v>2.2851853218497578</v>
      </c>
      <c r="J85" s="117">
        <v>2.0760453184373646</v>
      </c>
      <c r="K85" s="118">
        <v>1.2534521266066576</v>
      </c>
    </row>
    <row r="87" spans="2:11" ht="14.5" thickBot="1" x14ac:dyDescent="0.35"/>
    <row r="88" spans="2:11" ht="25.5" thickBot="1" x14ac:dyDescent="0.55000000000000004">
      <c r="B88" s="88" t="s">
        <v>1960</v>
      </c>
      <c r="C88" s="89"/>
      <c r="D88" s="90">
        <v>4</v>
      </c>
      <c r="E88" s="91" t="s">
        <v>1984</v>
      </c>
      <c r="F88" s="92"/>
      <c r="G88" s="92"/>
      <c r="H88" s="92"/>
      <c r="I88" s="93"/>
      <c r="J88" s="89" t="s">
        <v>176</v>
      </c>
      <c r="K88" s="94" t="s">
        <v>241</v>
      </c>
    </row>
    <row r="89" spans="2:11" ht="14.5" thickBot="1" x14ac:dyDescent="0.35">
      <c r="B89" s="95" t="s">
        <v>1962</v>
      </c>
      <c r="C89" s="96" t="s">
        <v>1963</v>
      </c>
      <c r="D89" s="95" t="s">
        <v>1964</v>
      </c>
      <c r="E89" s="97" t="s">
        <v>1965</v>
      </c>
      <c r="F89" s="97" t="s">
        <v>1966</v>
      </c>
      <c r="G89" s="97" t="s">
        <v>1967</v>
      </c>
      <c r="H89" s="97" t="s">
        <v>1968</v>
      </c>
      <c r="I89" s="97" t="s">
        <v>1969</v>
      </c>
      <c r="J89" s="97" t="s">
        <v>1970</v>
      </c>
      <c r="K89" s="98" t="s">
        <v>1971</v>
      </c>
    </row>
    <row r="90" spans="2:11" ht="14.5" thickBot="1" x14ac:dyDescent="0.35">
      <c r="B90" s="99"/>
      <c r="C90" s="99"/>
      <c r="D90" s="100"/>
      <c r="E90" s="944"/>
      <c r="F90" s="944"/>
      <c r="G90" s="944"/>
      <c r="H90" s="944"/>
      <c r="I90" s="944"/>
      <c r="J90" s="944"/>
      <c r="K90" s="102"/>
    </row>
    <row r="91" spans="2:11" ht="90.5" thickBot="1" x14ac:dyDescent="0.45">
      <c r="B91" s="103" t="s">
        <v>1972</v>
      </c>
      <c r="C91" s="103" t="s">
        <v>1973</v>
      </c>
      <c r="D91" s="105" t="s">
        <v>1974</v>
      </c>
      <c r="E91" s="105" t="s">
        <v>1525</v>
      </c>
      <c r="F91" s="105" t="s">
        <v>1527</v>
      </c>
      <c r="G91" s="105" t="s">
        <v>1975</v>
      </c>
      <c r="H91" s="105" t="s">
        <v>1976</v>
      </c>
      <c r="I91" s="105" t="s">
        <v>1445</v>
      </c>
      <c r="J91" s="105" t="s">
        <v>1538</v>
      </c>
      <c r="K91" s="106" t="s">
        <v>1541</v>
      </c>
    </row>
    <row r="92" spans="2:11" x14ac:dyDescent="0.3">
      <c r="B92" s="107" t="s">
        <v>1985</v>
      </c>
      <c r="C92" s="108" t="s">
        <v>1416</v>
      </c>
      <c r="D92" s="109">
        <v>2.5590756982975917</v>
      </c>
      <c r="E92" s="109">
        <v>2.156281087277105</v>
      </c>
      <c r="F92" s="109">
        <v>1.2036376119688363</v>
      </c>
      <c r="G92" s="109">
        <v>1.0855399153131218</v>
      </c>
      <c r="H92" s="109">
        <v>1.0698607703919985</v>
      </c>
      <c r="I92" s="109">
        <v>1.7227493181902871</v>
      </c>
      <c r="J92" s="109">
        <v>1.5208929877164754</v>
      </c>
      <c r="K92" s="110">
        <v>0.73885243991958705</v>
      </c>
    </row>
    <row r="93" spans="2:11" x14ac:dyDescent="0.3">
      <c r="B93" s="111"/>
      <c r="C93" s="112" t="s">
        <v>1483</v>
      </c>
      <c r="D93" s="1499">
        <v>3.0250671855418876</v>
      </c>
      <c r="E93" s="1499">
        <v>2.6530765676962904</v>
      </c>
      <c r="F93" s="1499">
        <v>1.670623412058013</v>
      </c>
      <c r="G93" s="1499">
        <v>1.5656778825229309</v>
      </c>
      <c r="H93" s="1499">
        <v>1.5333113518717476</v>
      </c>
      <c r="I93" s="1499">
        <v>2.2137253280960674</v>
      </c>
      <c r="J93" s="1499">
        <v>2.0150858384361459</v>
      </c>
      <c r="K93" s="113">
        <v>1.2267171992840262</v>
      </c>
    </row>
    <row r="94" spans="2:11" x14ac:dyDescent="0.3">
      <c r="B94" s="111" t="s">
        <v>1986</v>
      </c>
      <c r="C94" s="112" t="s">
        <v>1489</v>
      </c>
      <c r="D94" s="1499">
        <v>2.9708044571266887</v>
      </c>
      <c r="E94" s="1499">
        <v>2.5988138392810916</v>
      </c>
      <c r="F94" s="1499">
        <v>1.6163606836428144</v>
      </c>
      <c r="G94" s="1499">
        <v>1.5114151541077323</v>
      </c>
      <c r="H94" s="1499">
        <v>1.479048623456549</v>
      </c>
      <c r="I94" s="1499">
        <v>2.159462599680869</v>
      </c>
      <c r="J94" s="1499">
        <v>1.9608231100209472</v>
      </c>
      <c r="K94" s="113">
        <v>1.1724544708688274</v>
      </c>
    </row>
    <row r="95" spans="2:11" x14ac:dyDescent="0.3">
      <c r="B95" s="114">
        <v>0</v>
      </c>
      <c r="C95" s="112" t="s">
        <v>1496</v>
      </c>
      <c r="D95" s="1499">
        <v>2.8894103645038904</v>
      </c>
      <c r="E95" s="1499">
        <v>2.5174197466582937</v>
      </c>
      <c r="F95" s="1499">
        <v>1.5349665910200161</v>
      </c>
      <c r="G95" s="1499">
        <v>1.4300210614849342</v>
      </c>
      <c r="H95" s="1499">
        <v>1.3976545308337509</v>
      </c>
      <c r="I95" s="1499">
        <v>2.0780685070580707</v>
      </c>
      <c r="J95" s="1499">
        <v>1.8794290173981492</v>
      </c>
      <c r="K95" s="113">
        <v>1.0910603782460291</v>
      </c>
    </row>
    <row r="96" spans="2:11" x14ac:dyDescent="0.3">
      <c r="B96" s="115"/>
      <c r="C96" s="112" t="s">
        <v>1500</v>
      </c>
      <c r="D96" s="1499">
        <v>2.8080162718810926</v>
      </c>
      <c r="E96" s="1499">
        <v>2.4360256540354954</v>
      </c>
      <c r="F96" s="1499">
        <v>1.453572498397218</v>
      </c>
      <c r="G96" s="1499">
        <v>1.348626968862136</v>
      </c>
      <c r="H96" s="1499">
        <v>1.3162604382109526</v>
      </c>
      <c r="I96" s="1499">
        <v>1.9966744144352726</v>
      </c>
      <c r="J96" s="1499">
        <v>1.7980349247753509</v>
      </c>
      <c r="K96" s="113">
        <v>1.009666285623231</v>
      </c>
    </row>
    <row r="97" spans="2:11" x14ac:dyDescent="0.3">
      <c r="B97" s="115"/>
      <c r="C97" s="112" t="s">
        <v>1504</v>
      </c>
      <c r="D97" s="1499">
        <v>2.9300246521227731</v>
      </c>
      <c r="E97" s="1499">
        <v>2.5538866312108093</v>
      </c>
      <c r="F97" s="1499">
        <v>1.5725333652433744</v>
      </c>
      <c r="G97" s="1499">
        <v>1.4629009089036293</v>
      </c>
      <c r="H97" s="1499">
        <v>1.4352661884179096</v>
      </c>
      <c r="I97" s="1499">
        <v>2.1136499262027795</v>
      </c>
      <c r="J97" s="1499">
        <v>1.9166291556349559</v>
      </c>
      <c r="K97" s="113">
        <v>1.1321383795013982</v>
      </c>
    </row>
    <row r="98" spans="2:11" x14ac:dyDescent="0.3">
      <c r="B98" s="115"/>
      <c r="C98" s="112" t="s">
        <v>1508</v>
      </c>
      <c r="D98" s="1499">
        <v>2.8849839126800187</v>
      </c>
      <c r="E98" s="1499">
        <v>2.5088458917680545</v>
      </c>
      <c r="F98" s="1499">
        <v>1.5274926258006201</v>
      </c>
      <c r="G98" s="1499">
        <v>1.417860169460875</v>
      </c>
      <c r="H98" s="1499">
        <v>1.3902254489751553</v>
      </c>
      <c r="I98" s="1499">
        <v>2.0686091867600251</v>
      </c>
      <c r="J98" s="1499">
        <v>1.8715884161922016</v>
      </c>
      <c r="K98" s="113">
        <v>1.0870976400586438</v>
      </c>
    </row>
    <row r="99" spans="2:11" x14ac:dyDescent="0.3">
      <c r="B99" s="115"/>
      <c r="C99" s="112" t="s">
        <v>1513</v>
      </c>
      <c r="D99" s="1499">
        <v>2.8174228035158873</v>
      </c>
      <c r="E99" s="1499">
        <v>2.441284782603923</v>
      </c>
      <c r="F99" s="1499">
        <v>1.4599315166364883</v>
      </c>
      <c r="G99" s="1499">
        <v>1.3502990602967433</v>
      </c>
      <c r="H99" s="1499">
        <v>1.3226643398110236</v>
      </c>
      <c r="I99" s="1499">
        <v>2.0010480775958932</v>
      </c>
      <c r="J99" s="1499">
        <v>1.8040273070280699</v>
      </c>
      <c r="K99" s="113">
        <v>1.0195365308945121</v>
      </c>
    </row>
    <row r="100" spans="2:11" x14ac:dyDescent="0.3">
      <c r="B100" s="115"/>
      <c r="C100" s="112" t="s">
        <v>1517</v>
      </c>
      <c r="D100" s="1499">
        <v>2.7498616943517558</v>
      </c>
      <c r="E100" s="1499">
        <v>2.373723673439792</v>
      </c>
      <c r="F100" s="1499">
        <v>1.3923704074723566</v>
      </c>
      <c r="G100" s="1499">
        <v>1.2827379511326116</v>
      </c>
      <c r="H100" s="1499">
        <v>1.2551032306468919</v>
      </c>
      <c r="I100" s="1499">
        <v>1.9334869684317617</v>
      </c>
      <c r="J100" s="1499">
        <v>1.7364661978639382</v>
      </c>
      <c r="K100" s="113">
        <v>0.95197542173038052</v>
      </c>
    </row>
    <row r="101" spans="2:11" ht="14.5" thickBot="1" x14ac:dyDescent="0.35">
      <c r="B101" s="115"/>
      <c r="C101" s="116" t="s">
        <v>1519</v>
      </c>
      <c r="D101" s="117">
        <v>3.0250671855418876</v>
      </c>
      <c r="E101" s="117">
        <v>2.6530765676962904</v>
      </c>
      <c r="F101" s="117">
        <v>1.670623412058013</v>
      </c>
      <c r="G101" s="117">
        <v>1.5656778825229309</v>
      </c>
      <c r="H101" s="117">
        <v>1.5333113518717476</v>
      </c>
      <c r="I101" s="117">
        <v>2.2137253280960674</v>
      </c>
      <c r="J101" s="117">
        <v>2.0150858384361459</v>
      </c>
      <c r="K101" s="118">
        <v>1.2267171992840262</v>
      </c>
    </row>
    <row r="102" spans="2:11" x14ac:dyDescent="0.3">
      <c r="B102" s="120" t="s">
        <v>1985</v>
      </c>
      <c r="C102" s="1234" t="s">
        <v>1416</v>
      </c>
      <c r="D102" s="109">
        <v>2.5213130083621507</v>
      </c>
      <c r="E102" s="109">
        <v>2.118518397341663</v>
      </c>
      <c r="F102" s="109">
        <v>1.1658749220333946</v>
      </c>
      <c r="G102" s="109">
        <v>1.04777722537768</v>
      </c>
      <c r="H102" s="109">
        <v>1.0320980804565567</v>
      </c>
      <c r="I102" s="109">
        <v>1.6849866282548454</v>
      </c>
      <c r="J102" s="109">
        <v>1.4831302977810339</v>
      </c>
      <c r="K102" s="110">
        <v>0.70108974998414553</v>
      </c>
    </row>
    <row r="103" spans="2:11" x14ac:dyDescent="0.3">
      <c r="B103" s="121"/>
      <c r="C103" s="1500" t="s">
        <v>1483</v>
      </c>
      <c r="D103" s="1499">
        <v>2.9873044956064465</v>
      </c>
      <c r="E103" s="1499">
        <v>2.6153138777608493</v>
      </c>
      <c r="F103" s="1499">
        <v>1.6328607221225715</v>
      </c>
      <c r="G103" s="1499">
        <v>1.5279151925874894</v>
      </c>
      <c r="H103" s="1499">
        <v>1.4955486619363061</v>
      </c>
      <c r="I103" s="1499">
        <v>2.1759626381606259</v>
      </c>
      <c r="J103" s="1499">
        <v>1.9773231485007043</v>
      </c>
      <c r="K103" s="113">
        <v>1.1889545093485847</v>
      </c>
    </row>
    <row r="104" spans="2:11" x14ac:dyDescent="0.3">
      <c r="B104" s="111" t="s">
        <v>1987</v>
      </c>
      <c r="C104" s="1500" t="s">
        <v>1489</v>
      </c>
      <c r="D104" s="1499">
        <v>2.9330417671912472</v>
      </c>
      <c r="E104" s="1499">
        <v>2.5610511493456505</v>
      </c>
      <c r="F104" s="1499">
        <v>1.5785979937073726</v>
      </c>
      <c r="G104" s="1499">
        <v>1.4736524641722908</v>
      </c>
      <c r="H104" s="1499">
        <v>1.4412859335211075</v>
      </c>
      <c r="I104" s="1499">
        <v>2.1216999097454274</v>
      </c>
      <c r="J104" s="1499">
        <v>1.9230604200855057</v>
      </c>
      <c r="K104" s="113">
        <v>1.1346917809333859</v>
      </c>
    </row>
    <row r="105" spans="2:11" x14ac:dyDescent="0.3">
      <c r="B105" s="122">
        <v>0</v>
      </c>
      <c r="C105" s="1500" t="s">
        <v>1496</v>
      </c>
      <c r="D105" s="1499">
        <v>2.8516476745684494</v>
      </c>
      <c r="E105" s="1499">
        <v>2.4796570567228522</v>
      </c>
      <c r="F105" s="1499">
        <v>1.4972039010845746</v>
      </c>
      <c r="G105" s="1499">
        <v>1.3922583715494925</v>
      </c>
      <c r="H105" s="1499">
        <v>1.3598918408983092</v>
      </c>
      <c r="I105" s="1499">
        <v>2.0403058171226292</v>
      </c>
      <c r="J105" s="1499">
        <v>1.8416663274627076</v>
      </c>
      <c r="K105" s="113">
        <v>1.0532976883105876</v>
      </c>
    </row>
    <row r="106" spans="2:11" x14ac:dyDescent="0.3">
      <c r="B106" s="123"/>
      <c r="C106" s="1500" t="s">
        <v>1500</v>
      </c>
      <c r="D106" s="1499">
        <v>2.7702535819456511</v>
      </c>
      <c r="E106" s="1499">
        <v>2.3982629641000539</v>
      </c>
      <c r="F106" s="1499">
        <v>1.4158098084617765</v>
      </c>
      <c r="G106" s="1499">
        <v>1.3108642789266944</v>
      </c>
      <c r="H106" s="1499">
        <v>1.2784977482755111</v>
      </c>
      <c r="I106" s="1499">
        <v>1.9589117244998309</v>
      </c>
      <c r="J106" s="1499">
        <v>1.7602722348399094</v>
      </c>
      <c r="K106" s="113">
        <v>0.9719035956877895</v>
      </c>
    </row>
    <row r="107" spans="2:11" x14ac:dyDescent="0.3">
      <c r="B107" s="123"/>
      <c r="C107" s="1500" t="s">
        <v>1504</v>
      </c>
      <c r="D107" s="1499">
        <v>2.892261962187332</v>
      </c>
      <c r="E107" s="1499">
        <v>2.5161239412753678</v>
      </c>
      <c r="F107" s="1499">
        <v>1.5347706753079327</v>
      </c>
      <c r="G107" s="1499">
        <v>1.4251382189681878</v>
      </c>
      <c r="H107" s="1499">
        <v>1.3975034984824681</v>
      </c>
      <c r="I107" s="1499">
        <v>2.075887236267338</v>
      </c>
      <c r="J107" s="1499">
        <v>1.8788664656995142</v>
      </c>
      <c r="K107" s="113">
        <v>1.0943756895659567</v>
      </c>
    </row>
    <row r="108" spans="2:11" x14ac:dyDescent="0.3">
      <c r="B108" s="123"/>
      <c r="C108" s="1500" t="s">
        <v>1508</v>
      </c>
      <c r="D108" s="1499">
        <v>2.8472212227445772</v>
      </c>
      <c r="E108" s="1499">
        <v>2.4710832018326134</v>
      </c>
      <c r="F108" s="1499">
        <v>1.4897299358651783</v>
      </c>
      <c r="G108" s="1499">
        <v>1.3800974795254335</v>
      </c>
      <c r="H108" s="1499">
        <v>1.3524627590397138</v>
      </c>
      <c r="I108" s="1499">
        <v>2.0308464968245836</v>
      </c>
      <c r="J108" s="1499">
        <v>1.8338257262567599</v>
      </c>
      <c r="K108" s="113">
        <v>1.0493349501232023</v>
      </c>
    </row>
    <row r="109" spans="2:11" x14ac:dyDescent="0.3">
      <c r="B109" s="123"/>
      <c r="C109" s="1500" t="s">
        <v>1513</v>
      </c>
      <c r="D109" s="1499">
        <v>2.7796601135804457</v>
      </c>
      <c r="E109" s="1499">
        <v>2.4035220926684819</v>
      </c>
      <c r="F109" s="1499">
        <v>1.4221688267010466</v>
      </c>
      <c r="G109" s="1499">
        <v>1.3125363703613018</v>
      </c>
      <c r="H109" s="1499">
        <v>1.2849016498755821</v>
      </c>
      <c r="I109" s="1499">
        <v>1.9632853876604517</v>
      </c>
      <c r="J109" s="1499">
        <v>1.7662646170926282</v>
      </c>
      <c r="K109" s="113">
        <v>0.98177384095907061</v>
      </c>
    </row>
    <row r="110" spans="2:11" x14ac:dyDescent="0.3">
      <c r="B110" s="123"/>
      <c r="C110" s="1500" t="s">
        <v>1517</v>
      </c>
      <c r="D110" s="1499">
        <v>2.7120990044163138</v>
      </c>
      <c r="E110" s="1499">
        <v>2.33596098350435</v>
      </c>
      <c r="F110" s="1499">
        <v>1.3546077175369151</v>
      </c>
      <c r="G110" s="1499">
        <v>1.2449752611971701</v>
      </c>
      <c r="H110" s="1499">
        <v>1.2173405407114504</v>
      </c>
      <c r="I110" s="1499">
        <v>1.8957242784963202</v>
      </c>
      <c r="J110" s="1499">
        <v>1.6987035079284967</v>
      </c>
      <c r="K110" s="113">
        <v>0.914212731794939</v>
      </c>
    </row>
    <row r="111" spans="2:11" ht="14.5" thickBot="1" x14ac:dyDescent="0.35">
      <c r="B111" s="124"/>
      <c r="C111" s="125" t="s">
        <v>1519</v>
      </c>
      <c r="D111" s="117">
        <v>2.9873044956064465</v>
      </c>
      <c r="E111" s="117">
        <v>2.6153138777608493</v>
      </c>
      <c r="F111" s="117">
        <v>1.6328607221225715</v>
      </c>
      <c r="G111" s="117">
        <v>1.5279151925874894</v>
      </c>
      <c r="H111" s="117">
        <v>1.4955486619363061</v>
      </c>
      <c r="I111" s="117">
        <v>2.1759626381606259</v>
      </c>
      <c r="J111" s="117">
        <v>1.9773231485007043</v>
      </c>
      <c r="K111" s="118">
        <v>1.1889545093485847</v>
      </c>
    </row>
    <row r="112" spans="2:11" x14ac:dyDescent="0.3">
      <c r="B112" s="119" t="s">
        <v>1985</v>
      </c>
      <c r="C112" s="108" t="s">
        <v>1416</v>
      </c>
      <c r="D112" s="109">
        <v>2.4646689734589882</v>
      </c>
      <c r="E112" s="109">
        <v>2.061874362438501</v>
      </c>
      <c r="F112" s="109">
        <v>1.1092308871302323</v>
      </c>
      <c r="G112" s="109">
        <v>0.99113319047451787</v>
      </c>
      <c r="H112" s="109">
        <v>0.97545404555339454</v>
      </c>
      <c r="I112" s="109">
        <v>1.6283425933516831</v>
      </c>
      <c r="J112" s="109">
        <v>1.4264862628778716</v>
      </c>
      <c r="K112" s="110">
        <v>0.64444571508098325</v>
      </c>
    </row>
    <row r="113" spans="2:11" x14ac:dyDescent="0.3">
      <c r="B113" s="111"/>
      <c r="C113" s="112" t="s">
        <v>1483</v>
      </c>
      <c r="D113" s="1499">
        <v>2.930660460703284</v>
      </c>
      <c r="E113" s="1499">
        <v>2.5586698428576868</v>
      </c>
      <c r="F113" s="1499">
        <v>1.5762166872194092</v>
      </c>
      <c r="G113" s="1499">
        <v>1.4712711576843271</v>
      </c>
      <c r="H113" s="1499">
        <v>1.4389046270331438</v>
      </c>
      <c r="I113" s="1499">
        <v>2.1193186032574638</v>
      </c>
      <c r="J113" s="1499">
        <v>1.9206791135975421</v>
      </c>
      <c r="K113" s="113">
        <v>1.1323104744454222</v>
      </c>
    </row>
    <row r="114" spans="2:11" ht="14.5" thickBot="1" x14ac:dyDescent="0.35">
      <c r="B114" s="111" t="s">
        <v>1988</v>
      </c>
      <c r="C114" s="112" t="s">
        <v>1489</v>
      </c>
      <c r="D114" s="1499">
        <v>2.8763977322880847</v>
      </c>
      <c r="E114" s="1499">
        <v>2.504407114442488</v>
      </c>
      <c r="F114" s="1501">
        <v>1.5219539588042104</v>
      </c>
      <c r="G114" s="1499">
        <v>1.4170084292691285</v>
      </c>
      <c r="H114" s="1499">
        <v>1.3846418986179452</v>
      </c>
      <c r="I114" s="1499">
        <v>2.0650558748422649</v>
      </c>
      <c r="J114" s="1499">
        <v>1.8664163851823434</v>
      </c>
      <c r="K114" s="113">
        <v>1.0780477460302236</v>
      </c>
    </row>
    <row r="115" spans="2:11" ht="14.5" thickBot="1" x14ac:dyDescent="0.35">
      <c r="B115" s="114">
        <v>0</v>
      </c>
      <c r="C115" s="112" t="s">
        <v>1496</v>
      </c>
      <c r="D115" s="1499">
        <v>2.7950036396652869</v>
      </c>
      <c r="E115" s="1502">
        <v>2.4230130218196897</v>
      </c>
      <c r="F115" s="126">
        <v>1.4405598661814123</v>
      </c>
      <c r="G115" s="1503">
        <v>1.3356143366463302</v>
      </c>
      <c r="H115" s="1499">
        <v>1.3032478059951469</v>
      </c>
      <c r="I115" s="1499">
        <v>1.9836617822194669</v>
      </c>
      <c r="J115" s="1499">
        <v>1.7850222925595454</v>
      </c>
      <c r="K115" s="113">
        <v>0.9966536534074254</v>
      </c>
    </row>
    <row r="116" spans="2:11" x14ac:dyDescent="0.3">
      <c r="B116" s="115"/>
      <c r="C116" s="112" t="s">
        <v>1500</v>
      </c>
      <c r="D116" s="1499">
        <v>2.7136095470424886</v>
      </c>
      <c r="E116" s="1499">
        <v>2.3416189291968919</v>
      </c>
      <c r="F116" s="127">
        <v>1.3591657735586142</v>
      </c>
      <c r="G116" s="1499">
        <v>1.2542202440235322</v>
      </c>
      <c r="H116" s="1499">
        <v>1.2218537133723488</v>
      </c>
      <c r="I116" s="1499">
        <v>1.9022676895966686</v>
      </c>
      <c r="J116" s="1499">
        <v>1.7036281999367471</v>
      </c>
      <c r="K116" s="113">
        <v>0.91525956078462722</v>
      </c>
    </row>
    <row r="117" spans="2:11" x14ac:dyDescent="0.3">
      <c r="B117" s="115"/>
      <c r="C117" s="112" t="s">
        <v>1504</v>
      </c>
      <c r="D117" s="1499">
        <v>2.8356179272841695</v>
      </c>
      <c r="E117" s="1499">
        <v>2.4594799063722053</v>
      </c>
      <c r="F117" s="1499">
        <v>1.4781266404047704</v>
      </c>
      <c r="G117" s="1499">
        <v>1.3684941840650255</v>
      </c>
      <c r="H117" s="1499">
        <v>1.3408594635793059</v>
      </c>
      <c r="I117" s="1499">
        <v>2.0192432013641755</v>
      </c>
      <c r="J117" s="1499">
        <v>1.8222224307963519</v>
      </c>
      <c r="K117" s="113">
        <v>1.0377316546627944</v>
      </c>
    </row>
    <row r="118" spans="2:11" x14ac:dyDescent="0.3">
      <c r="B118" s="115"/>
      <c r="C118" s="112" t="s">
        <v>1508</v>
      </c>
      <c r="D118" s="1499">
        <v>2.7905771878414147</v>
      </c>
      <c r="E118" s="1499">
        <v>2.4144391669294509</v>
      </c>
      <c r="F118" s="1499">
        <v>1.433085900962016</v>
      </c>
      <c r="G118" s="1499">
        <v>1.3234534446222712</v>
      </c>
      <c r="H118" s="1499">
        <v>1.2958187241365515</v>
      </c>
      <c r="I118" s="1499">
        <v>1.9742024619214211</v>
      </c>
      <c r="J118" s="1499">
        <v>1.7771816913535976</v>
      </c>
      <c r="K118" s="113">
        <v>0.99269091522004005</v>
      </c>
    </row>
    <row r="119" spans="2:11" x14ac:dyDescent="0.3">
      <c r="B119" s="115"/>
      <c r="C119" s="112" t="s">
        <v>1513</v>
      </c>
      <c r="D119" s="1499">
        <v>2.7230160786772832</v>
      </c>
      <c r="E119" s="1499">
        <v>2.3468780577653194</v>
      </c>
      <c r="F119" s="1499">
        <v>1.3655247917978846</v>
      </c>
      <c r="G119" s="1499">
        <v>1.2558923354581395</v>
      </c>
      <c r="H119" s="1499">
        <v>1.2282576149724198</v>
      </c>
      <c r="I119" s="1499">
        <v>1.9066413527572894</v>
      </c>
      <c r="J119" s="1499">
        <v>1.7096205821894661</v>
      </c>
      <c r="K119" s="113">
        <v>0.92512980605590833</v>
      </c>
    </row>
    <row r="120" spans="2:11" x14ac:dyDescent="0.3">
      <c r="B120" s="115"/>
      <c r="C120" s="112" t="s">
        <v>1517</v>
      </c>
      <c r="D120" s="1499">
        <v>2.6554549695131522</v>
      </c>
      <c r="E120" s="1499">
        <v>2.2793169486011875</v>
      </c>
      <c r="F120" s="1499">
        <v>1.2979636826337528</v>
      </c>
      <c r="G120" s="1499">
        <v>1.1883312262940078</v>
      </c>
      <c r="H120" s="1499">
        <v>1.1606965058082881</v>
      </c>
      <c r="I120" s="1499">
        <v>1.8390802435931579</v>
      </c>
      <c r="J120" s="1499">
        <v>1.6420594730253344</v>
      </c>
      <c r="K120" s="113">
        <v>0.85756869689177673</v>
      </c>
    </row>
    <row r="121" spans="2:11" ht="14.5" thickBot="1" x14ac:dyDescent="0.35">
      <c r="B121" s="1233"/>
      <c r="C121" s="116" t="s">
        <v>1519</v>
      </c>
      <c r="D121" s="117">
        <v>2.930660460703284</v>
      </c>
      <c r="E121" s="117">
        <v>2.5586698428576868</v>
      </c>
      <c r="F121" s="117">
        <v>1.5762166872194092</v>
      </c>
      <c r="G121" s="117">
        <v>1.4712711576843271</v>
      </c>
      <c r="H121" s="117">
        <v>1.4389046270331438</v>
      </c>
      <c r="I121" s="117">
        <v>2.1193186032574638</v>
      </c>
      <c r="J121" s="117">
        <v>1.9206791135975421</v>
      </c>
      <c r="K121" s="118">
        <v>1.1323104744454222</v>
      </c>
    </row>
    <row r="122" spans="2:11" x14ac:dyDescent="0.3">
      <c r="B122" s="107" t="s">
        <v>1985</v>
      </c>
      <c r="C122" s="108" t="s">
        <v>1416</v>
      </c>
      <c r="D122" s="109">
        <v>2.4080249385558261</v>
      </c>
      <c r="E122" s="109">
        <v>2.0052303275353389</v>
      </c>
      <c r="F122" s="109">
        <v>1.05258685222707</v>
      </c>
      <c r="G122" s="109">
        <v>0.93448915557135559</v>
      </c>
      <c r="H122" s="109">
        <v>0.91881001065023227</v>
      </c>
      <c r="I122" s="109">
        <v>1.5716985584485208</v>
      </c>
      <c r="J122" s="109">
        <v>1.3698422279747093</v>
      </c>
      <c r="K122" s="110">
        <v>0.58780168017782086</v>
      </c>
    </row>
    <row r="123" spans="2:11" x14ac:dyDescent="0.3">
      <c r="B123" s="111"/>
      <c r="C123" s="112" t="s">
        <v>1483</v>
      </c>
      <c r="D123" s="1499">
        <v>2.874016425800122</v>
      </c>
      <c r="E123" s="1499">
        <v>2.5020258079545248</v>
      </c>
      <c r="F123" s="1499">
        <v>1.5195726523162469</v>
      </c>
      <c r="G123" s="1499">
        <v>1.4146271227811649</v>
      </c>
      <c r="H123" s="1499">
        <v>1.3822605921299815</v>
      </c>
      <c r="I123" s="1499">
        <v>2.0626745683543013</v>
      </c>
      <c r="J123" s="1499">
        <v>1.8640350786943798</v>
      </c>
      <c r="K123" s="113">
        <v>1.0756664395422599</v>
      </c>
    </row>
    <row r="124" spans="2:11" x14ac:dyDescent="0.3">
      <c r="B124" s="111" t="s">
        <v>1989</v>
      </c>
      <c r="C124" s="112" t="s">
        <v>1489</v>
      </c>
      <c r="D124" s="1499">
        <v>2.8197536973849231</v>
      </c>
      <c r="E124" s="1499">
        <v>2.4477630795393259</v>
      </c>
      <c r="F124" s="1499">
        <v>1.4653099239010483</v>
      </c>
      <c r="G124" s="1499">
        <v>1.3603643943659662</v>
      </c>
      <c r="H124" s="1499">
        <v>1.3279978637147829</v>
      </c>
      <c r="I124" s="1499">
        <v>2.0084118399391029</v>
      </c>
      <c r="J124" s="1499">
        <v>1.8097723502791812</v>
      </c>
      <c r="K124" s="113">
        <v>1.0214037111270611</v>
      </c>
    </row>
    <row r="125" spans="2:11" x14ac:dyDescent="0.3">
      <c r="B125" s="114">
        <v>0</v>
      </c>
      <c r="C125" s="112" t="s">
        <v>1496</v>
      </c>
      <c r="D125" s="1499">
        <v>2.7383596047621248</v>
      </c>
      <c r="E125" s="1499">
        <v>2.3663689869165276</v>
      </c>
      <c r="F125" s="1499">
        <v>1.38391583127825</v>
      </c>
      <c r="G125" s="1499">
        <v>1.2789703017431679</v>
      </c>
      <c r="H125" s="1499">
        <v>1.2466037710919846</v>
      </c>
      <c r="I125" s="1499">
        <v>1.9270177473163046</v>
      </c>
      <c r="J125" s="1499">
        <v>1.7283782576563831</v>
      </c>
      <c r="K125" s="113">
        <v>0.94000961850426301</v>
      </c>
    </row>
    <row r="126" spans="2:11" x14ac:dyDescent="0.3">
      <c r="B126" s="115"/>
      <c r="C126" s="112" t="s">
        <v>1500</v>
      </c>
      <c r="D126" s="1499">
        <v>2.6569655121393265</v>
      </c>
      <c r="E126" s="1499">
        <v>2.2849748942937294</v>
      </c>
      <c r="F126" s="1499">
        <v>1.302521738655452</v>
      </c>
      <c r="G126" s="1499">
        <v>1.1975762091203699</v>
      </c>
      <c r="H126" s="1499">
        <v>1.1652096784691865</v>
      </c>
      <c r="I126" s="1499">
        <v>1.8456236546935063</v>
      </c>
      <c r="J126" s="1499">
        <v>1.6469841650335848</v>
      </c>
      <c r="K126" s="113">
        <v>0.85861552588146484</v>
      </c>
    </row>
    <row r="127" spans="2:11" x14ac:dyDescent="0.3">
      <c r="B127" s="115"/>
      <c r="C127" s="112" t="s">
        <v>1504</v>
      </c>
      <c r="D127" s="1499">
        <v>2.778973892381007</v>
      </c>
      <c r="E127" s="1499">
        <v>2.4028358714690428</v>
      </c>
      <c r="F127" s="1499">
        <v>1.4214826055016081</v>
      </c>
      <c r="G127" s="1499">
        <v>1.3118501491618633</v>
      </c>
      <c r="H127" s="1499">
        <v>1.2842154286761436</v>
      </c>
      <c r="I127" s="1499">
        <v>1.9625991664610132</v>
      </c>
      <c r="J127" s="1499">
        <v>1.7655783958931897</v>
      </c>
      <c r="K127" s="113">
        <v>0.9810876197596321</v>
      </c>
    </row>
    <row r="128" spans="2:11" x14ac:dyDescent="0.3">
      <c r="B128" s="115"/>
      <c r="C128" s="112" t="s">
        <v>1508</v>
      </c>
      <c r="D128" s="1499">
        <v>2.7339331529382527</v>
      </c>
      <c r="E128" s="1499">
        <v>2.3577951320262889</v>
      </c>
      <c r="F128" s="1499">
        <v>1.3764418660588538</v>
      </c>
      <c r="G128" s="1499">
        <v>1.2668094097191089</v>
      </c>
      <c r="H128" s="1499">
        <v>1.2391746892333892</v>
      </c>
      <c r="I128" s="1499">
        <v>1.9175584270182588</v>
      </c>
      <c r="J128" s="1499">
        <v>1.7205376564504353</v>
      </c>
      <c r="K128" s="113">
        <v>0.93604688031687777</v>
      </c>
    </row>
    <row r="129" spans="2:11" x14ac:dyDescent="0.3">
      <c r="B129" s="115"/>
      <c r="C129" s="112" t="s">
        <v>1513</v>
      </c>
      <c r="D129" s="1499">
        <v>2.6663720437741207</v>
      </c>
      <c r="E129" s="1499">
        <v>2.2902340228621569</v>
      </c>
      <c r="F129" s="1499">
        <v>1.3088807568947223</v>
      </c>
      <c r="G129" s="1499">
        <v>1.1992483005549772</v>
      </c>
      <c r="H129" s="1499">
        <v>1.1716135800692575</v>
      </c>
      <c r="I129" s="1499">
        <v>1.8499973178541271</v>
      </c>
      <c r="J129" s="1499">
        <v>1.6529765472863038</v>
      </c>
      <c r="K129" s="113">
        <v>0.86848577115274606</v>
      </c>
    </row>
    <row r="130" spans="2:11" x14ac:dyDescent="0.3">
      <c r="B130" s="115"/>
      <c r="C130" s="112" t="s">
        <v>1517</v>
      </c>
      <c r="D130" s="1499">
        <v>2.5988109346099897</v>
      </c>
      <c r="E130" s="1499">
        <v>2.2226729136980254</v>
      </c>
      <c r="F130" s="1499">
        <v>1.2413196477305906</v>
      </c>
      <c r="G130" s="1499">
        <v>1.1316871913908455</v>
      </c>
      <c r="H130" s="1499">
        <v>1.1040524709051258</v>
      </c>
      <c r="I130" s="1499">
        <v>1.7824362086899956</v>
      </c>
      <c r="J130" s="1499">
        <v>1.5854154381221721</v>
      </c>
      <c r="K130" s="113">
        <v>0.80092466198861445</v>
      </c>
    </row>
    <row r="131" spans="2:11" ht="14.5" thickBot="1" x14ac:dyDescent="0.35">
      <c r="B131" s="1233"/>
      <c r="C131" s="116" t="s">
        <v>1519</v>
      </c>
      <c r="D131" s="117">
        <v>2.874016425800122</v>
      </c>
      <c r="E131" s="117">
        <v>2.5020258079545248</v>
      </c>
      <c r="F131" s="117">
        <v>1.5195726523162469</v>
      </c>
      <c r="G131" s="117">
        <v>1.4146271227811649</v>
      </c>
      <c r="H131" s="117">
        <v>1.3822605921299815</v>
      </c>
      <c r="I131" s="117">
        <v>2.0626745683543013</v>
      </c>
      <c r="J131" s="117">
        <v>1.8640350786943798</v>
      </c>
      <c r="K131" s="118">
        <v>1.0756664395422599</v>
      </c>
    </row>
    <row r="132" spans="2:11" x14ac:dyDescent="0.3">
      <c r="B132" s="120" t="s">
        <v>1990</v>
      </c>
      <c r="C132" s="108" t="s">
        <v>1416</v>
      </c>
      <c r="D132" s="109">
        <v>2.4927553191821139</v>
      </c>
      <c r="E132" s="109">
        <v>2.0832450646333731</v>
      </c>
      <c r="F132" s="109">
        <v>1.1424810358671205</v>
      </c>
      <c r="G132" s="109">
        <v>1.0200874230611752</v>
      </c>
      <c r="H132" s="109">
        <v>1.00655512358739</v>
      </c>
      <c r="I132" s="109">
        <v>1.6519076697280686</v>
      </c>
      <c r="J132" s="109">
        <v>1.4500702262336247</v>
      </c>
      <c r="K132" s="110">
        <v>0.68604103879917255</v>
      </c>
    </row>
    <row r="133" spans="2:11" x14ac:dyDescent="0.3">
      <c r="B133" s="111"/>
      <c r="C133" s="112" t="s">
        <v>1483</v>
      </c>
      <c r="D133" s="1499">
        <v>2.9568497753456717</v>
      </c>
      <c r="E133" s="1499">
        <v>2.58183082667676</v>
      </c>
      <c r="F133" s="1499">
        <v>1.6051585421062862</v>
      </c>
      <c r="G133" s="1499">
        <v>1.4971892520585199</v>
      </c>
      <c r="H133" s="1499">
        <v>1.4662645368674683</v>
      </c>
      <c r="I133" s="1499">
        <v>2.1429710963951276</v>
      </c>
      <c r="J133" s="1499">
        <v>1.9471442238274059</v>
      </c>
      <c r="K133" s="113">
        <v>1.165250257976046</v>
      </c>
    </row>
    <row r="134" spans="2:11" x14ac:dyDescent="0.3">
      <c r="B134" s="111" t="s">
        <v>1986</v>
      </c>
      <c r="C134" s="112" t="s">
        <v>1489</v>
      </c>
      <c r="D134" s="1499">
        <v>2.9025870469304733</v>
      </c>
      <c r="E134" s="1499">
        <v>2.5275680982615616</v>
      </c>
      <c r="F134" s="1499">
        <v>1.5508958136910871</v>
      </c>
      <c r="G134" s="1499">
        <v>1.4429265236433211</v>
      </c>
      <c r="H134" s="1499">
        <v>1.4120018084522694</v>
      </c>
      <c r="I134" s="1499">
        <v>2.0887083679799283</v>
      </c>
      <c r="J134" s="1499">
        <v>1.8928814954122071</v>
      </c>
      <c r="K134" s="113">
        <v>1.1109875295608473</v>
      </c>
    </row>
    <row r="135" spans="2:11" x14ac:dyDescent="0.3">
      <c r="B135" s="114">
        <v>0</v>
      </c>
      <c r="C135" s="112" t="s">
        <v>1496</v>
      </c>
      <c r="D135" s="1499">
        <v>2.821192954307675</v>
      </c>
      <c r="E135" s="1499">
        <v>2.4461740056387633</v>
      </c>
      <c r="F135" s="1499">
        <v>1.469501721068289</v>
      </c>
      <c r="G135" s="1499">
        <v>1.3615324310205228</v>
      </c>
      <c r="H135" s="1499">
        <v>1.3306077158294711</v>
      </c>
      <c r="I135" s="1499">
        <v>2.0073142753571305</v>
      </c>
      <c r="J135" s="1499">
        <v>1.8114874027894088</v>
      </c>
      <c r="K135" s="113">
        <v>1.0295934369380491</v>
      </c>
    </row>
    <row r="136" spans="2:11" x14ac:dyDescent="0.3">
      <c r="B136" s="115"/>
      <c r="C136" s="112" t="s">
        <v>1500</v>
      </c>
      <c r="D136" s="1499">
        <v>2.7397988616848767</v>
      </c>
      <c r="E136" s="1499">
        <v>2.364779913015965</v>
      </c>
      <c r="F136" s="1499">
        <v>1.388107628445491</v>
      </c>
      <c r="G136" s="1499">
        <v>1.2801383383977247</v>
      </c>
      <c r="H136" s="1499">
        <v>1.2492136232066731</v>
      </c>
      <c r="I136" s="1499">
        <v>1.9259201827343322</v>
      </c>
      <c r="J136" s="1499">
        <v>1.7300933101666107</v>
      </c>
      <c r="K136" s="113">
        <v>0.94819934431525088</v>
      </c>
    </row>
    <row r="137" spans="2:11" x14ac:dyDescent="0.3">
      <c r="B137" s="115"/>
      <c r="C137" s="112" t="s">
        <v>1504</v>
      </c>
      <c r="D137" s="1499">
        <v>2.8614896297523047</v>
      </c>
      <c r="E137" s="1499">
        <v>2.4821169623045947</v>
      </c>
      <c r="F137" s="1499">
        <v>1.5064698157873677</v>
      </c>
      <c r="G137" s="1499">
        <v>1.4002129510993899</v>
      </c>
      <c r="H137" s="1499">
        <v>1.3751997436879702</v>
      </c>
      <c r="I137" s="1499">
        <v>2.0449783885338348</v>
      </c>
      <c r="J137" s="1499">
        <v>1.848014877115461</v>
      </c>
      <c r="K137" s="113">
        <v>1.0701173962776254</v>
      </c>
    </row>
    <row r="138" spans="2:11" x14ac:dyDescent="0.3">
      <c r="B138" s="115"/>
      <c r="C138" s="112" t="s">
        <v>1508</v>
      </c>
      <c r="D138" s="1499">
        <v>2.8164488903095504</v>
      </c>
      <c r="E138" s="1499">
        <v>2.4370762228618408</v>
      </c>
      <c r="F138" s="1499">
        <v>1.4614290763446132</v>
      </c>
      <c r="G138" s="1499">
        <v>1.3551722116566352</v>
      </c>
      <c r="H138" s="1499">
        <v>1.3301590042452154</v>
      </c>
      <c r="I138" s="1499">
        <v>1.9999376490910807</v>
      </c>
      <c r="J138" s="1499">
        <v>1.8029741376727066</v>
      </c>
      <c r="K138" s="113">
        <v>1.025076656834871</v>
      </c>
    </row>
    <row r="139" spans="2:11" x14ac:dyDescent="0.3">
      <c r="B139" s="115"/>
      <c r="C139" s="112" t="s">
        <v>1513</v>
      </c>
      <c r="D139" s="1499">
        <v>2.7488877811454184</v>
      </c>
      <c r="E139" s="1499">
        <v>2.3695151136977088</v>
      </c>
      <c r="F139" s="1499">
        <v>1.3938679671804814</v>
      </c>
      <c r="G139" s="1499">
        <v>1.2876111024925037</v>
      </c>
      <c r="H139" s="1499">
        <v>1.2625978950810839</v>
      </c>
      <c r="I139" s="1499">
        <v>1.932376539926949</v>
      </c>
      <c r="J139" s="1499">
        <v>1.7354130285085749</v>
      </c>
      <c r="K139" s="113">
        <v>0.95751554767073943</v>
      </c>
    </row>
    <row r="140" spans="2:11" x14ac:dyDescent="0.3">
      <c r="B140" s="115"/>
      <c r="C140" s="112" t="s">
        <v>1517</v>
      </c>
      <c r="D140" s="1499">
        <v>2.6813266719812869</v>
      </c>
      <c r="E140" s="1499">
        <v>2.3019540045335773</v>
      </c>
      <c r="F140" s="1499">
        <v>1.3263068580163497</v>
      </c>
      <c r="G140" s="1499">
        <v>1.2200499933283719</v>
      </c>
      <c r="H140" s="1499">
        <v>1.1950367859169522</v>
      </c>
      <c r="I140" s="1499">
        <v>1.8648154307628175</v>
      </c>
      <c r="J140" s="1499">
        <v>1.6678519193444434</v>
      </c>
      <c r="K140" s="113">
        <v>0.88995443850660771</v>
      </c>
    </row>
    <row r="141" spans="2:11" ht="14.5" thickBot="1" x14ac:dyDescent="0.35">
      <c r="B141" s="1233"/>
      <c r="C141" s="116" t="s">
        <v>1519</v>
      </c>
      <c r="D141" s="117">
        <v>2.9568497753456717</v>
      </c>
      <c r="E141" s="117">
        <v>2.58183082667676</v>
      </c>
      <c r="F141" s="117">
        <v>1.6051585421062862</v>
      </c>
      <c r="G141" s="117">
        <v>1.4971892520585199</v>
      </c>
      <c r="H141" s="117">
        <v>1.4662645368674683</v>
      </c>
      <c r="I141" s="117">
        <v>2.1429710963951276</v>
      </c>
      <c r="J141" s="117">
        <v>1.9471442238274059</v>
      </c>
      <c r="K141" s="118">
        <v>1.165250257976046</v>
      </c>
    </row>
    <row r="142" spans="2:11" x14ac:dyDescent="0.3">
      <c r="B142" s="120" t="s">
        <v>1990</v>
      </c>
      <c r="C142" s="108" t="s">
        <v>1416</v>
      </c>
      <c r="D142" s="109">
        <v>2.4606570877123652</v>
      </c>
      <c r="E142" s="109">
        <v>2.0511468331636244</v>
      </c>
      <c r="F142" s="109">
        <v>1.1103828043973718</v>
      </c>
      <c r="G142" s="109">
        <v>0.98798919159142673</v>
      </c>
      <c r="H142" s="109">
        <v>0.97445689211764142</v>
      </c>
      <c r="I142" s="109">
        <v>1.6198094382583201</v>
      </c>
      <c r="J142" s="109">
        <v>1.4179719947638763</v>
      </c>
      <c r="K142" s="110">
        <v>0.65394280732942411</v>
      </c>
    </row>
    <row r="143" spans="2:11" x14ac:dyDescent="0.3">
      <c r="B143" s="111"/>
      <c r="C143" s="112" t="s">
        <v>1483</v>
      </c>
      <c r="D143" s="1499">
        <v>2.9247515438759235</v>
      </c>
      <c r="E143" s="1499">
        <v>2.5497325952070118</v>
      </c>
      <c r="F143" s="1499">
        <v>1.5730603106365375</v>
      </c>
      <c r="G143" s="1499">
        <v>1.4650910205887713</v>
      </c>
      <c r="H143" s="1499">
        <v>1.4341663053977196</v>
      </c>
      <c r="I143" s="1499">
        <v>2.1108728649253785</v>
      </c>
      <c r="J143" s="1499">
        <v>1.9150459923576573</v>
      </c>
      <c r="K143" s="113">
        <v>1.1331520265062975</v>
      </c>
    </row>
    <row r="144" spans="2:11" x14ac:dyDescent="0.3">
      <c r="B144" s="111" t="s">
        <v>1987</v>
      </c>
      <c r="C144" s="112" t="s">
        <v>1489</v>
      </c>
      <c r="D144" s="1499">
        <v>2.8704888154607242</v>
      </c>
      <c r="E144" s="1499">
        <v>2.4954698667918125</v>
      </c>
      <c r="F144" s="1499">
        <v>1.5187975822213386</v>
      </c>
      <c r="G144" s="1499">
        <v>1.4108282921735726</v>
      </c>
      <c r="H144" s="1499">
        <v>1.3799035769825208</v>
      </c>
      <c r="I144" s="1499">
        <v>2.0566101365101801</v>
      </c>
      <c r="J144" s="1499">
        <v>1.8607832639424586</v>
      </c>
      <c r="K144" s="113">
        <v>1.0788892980910987</v>
      </c>
    </row>
    <row r="145" spans="2:11" x14ac:dyDescent="0.3">
      <c r="B145" s="114">
        <v>0</v>
      </c>
      <c r="C145" s="112" t="s">
        <v>1496</v>
      </c>
      <c r="D145" s="1499">
        <v>2.7890947228379264</v>
      </c>
      <c r="E145" s="1499">
        <v>2.4140757741690146</v>
      </c>
      <c r="F145" s="1499">
        <v>1.4374034895985406</v>
      </c>
      <c r="G145" s="1499">
        <v>1.3294341995507744</v>
      </c>
      <c r="H145" s="1499">
        <v>1.2985094843597227</v>
      </c>
      <c r="I145" s="1499">
        <v>1.9752160438873818</v>
      </c>
      <c r="J145" s="1499">
        <v>1.7793891713196603</v>
      </c>
      <c r="K145" s="113">
        <v>0.99749520546830062</v>
      </c>
    </row>
    <row r="146" spans="2:11" x14ac:dyDescent="0.3">
      <c r="B146" s="115"/>
      <c r="C146" s="112" t="s">
        <v>1500</v>
      </c>
      <c r="D146" s="1499">
        <v>2.7077006302151281</v>
      </c>
      <c r="E146" s="1499">
        <v>2.3326816815462164</v>
      </c>
      <c r="F146" s="1499">
        <v>1.3560093969757423</v>
      </c>
      <c r="G146" s="1499">
        <v>1.2480401069279763</v>
      </c>
      <c r="H146" s="1499">
        <v>1.2171153917369246</v>
      </c>
      <c r="I146" s="1499">
        <v>1.8938219512645837</v>
      </c>
      <c r="J146" s="1499">
        <v>1.6979950786968623</v>
      </c>
      <c r="K146" s="113">
        <v>0.91610111284550244</v>
      </c>
    </row>
    <row r="147" spans="2:11" x14ac:dyDescent="0.3">
      <c r="B147" s="115"/>
      <c r="C147" s="112" t="s">
        <v>1504</v>
      </c>
      <c r="D147" s="1499">
        <v>2.8293913982825565</v>
      </c>
      <c r="E147" s="1499">
        <v>2.4500187308348464</v>
      </c>
      <c r="F147" s="1499">
        <v>1.4743715843176191</v>
      </c>
      <c r="G147" s="1499">
        <v>1.368114719629641</v>
      </c>
      <c r="H147" s="1499">
        <v>1.3431015122182213</v>
      </c>
      <c r="I147" s="1499">
        <v>2.0128801570640866</v>
      </c>
      <c r="J147" s="1499">
        <v>1.8159166456457125</v>
      </c>
      <c r="K147" s="113">
        <v>1.0380191648078769</v>
      </c>
    </row>
    <row r="148" spans="2:11" x14ac:dyDescent="0.3">
      <c r="B148" s="115"/>
      <c r="C148" s="112" t="s">
        <v>1508</v>
      </c>
      <c r="D148" s="1499">
        <v>2.7843506588398017</v>
      </c>
      <c r="E148" s="1499">
        <v>2.4049779913920921</v>
      </c>
      <c r="F148" s="1499">
        <v>1.4293308448748647</v>
      </c>
      <c r="G148" s="1499">
        <v>1.3230739801868867</v>
      </c>
      <c r="H148" s="1499">
        <v>1.2980607727754669</v>
      </c>
      <c r="I148" s="1499">
        <v>1.9678394176213321</v>
      </c>
      <c r="J148" s="1499">
        <v>1.7708759062029582</v>
      </c>
      <c r="K148" s="113">
        <v>0.99297842536512249</v>
      </c>
    </row>
    <row r="149" spans="2:11" x14ac:dyDescent="0.3">
      <c r="B149" s="115"/>
      <c r="C149" s="112" t="s">
        <v>1513</v>
      </c>
      <c r="D149" s="1499">
        <v>2.7167895496756702</v>
      </c>
      <c r="E149" s="1499">
        <v>2.3374168822279602</v>
      </c>
      <c r="F149" s="1499">
        <v>1.361769735710733</v>
      </c>
      <c r="G149" s="1499">
        <v>1.255512871022755</v>
      </c>
      <c r="H149" s="1499">
        <v>1.2304996636113354</v>
      </c>
      <c r="I149" s="1499">
        <v>1.9002783084572006</v>
      </c>
      <c r="J149" s="1499">
        <v>1.7033147970388265</v>
      </c>
      <c r="K149" s="113">
        <v>0.92541731620099077</v>
      </c>
    </row>
    <row r="150" spans="2:11" x14ac:dyDescent="0.3">
      <c r="B150" s="115"/>
      <c r="C150" s="112" t="s">
        <v>1517</v>
      </c>
      <c r="D150" s="1499">
        <v>2.6492284405115383</v>
      </c>
      <c r="E150" s="1499">
        <v>2.2698557730638287</v>
      </c>
      <c r="F150" s="1499">
        <v>1.2942086265466013</v>
      </c>
      <c r="G150" s="1499">
        <v>1.1879517618586235</v>
      </c>
      <c r="H150" s="1499">
        <v>1.1629385544472037</v>
      </c>
      <c r="I150" s="1499">
        <v>1.8327171992930689</v>
      </c>
      <c r="J150" s="1499">
        <v>1.6357536878746948</v>
      </c>
      <c r="K150" s="113">
        <v>0.85785620703685928</v>
      </c>
    </row>
    <row r="151" spans="2:11" ht="14.5" thickBot="1" x14ac:dyDescent="0.35">
      <c r="B151" s="1233"/>
      <c r="C151" s="116" t="s">
        <v>1519</v>
      </c>
      <c r="D151" s="117">
        <v>2.9247515438759235</v>
      </c>
      <c r="E151" s="117">
        <v>2.5497325952070118</v>
      </c>
      <c r="F151" s="117">
        <v>1.5730603106365375</v>
      </c>
      <c r="G151" s="117">
        <v>1.4650910205887713</v>
      </c>
      <c r="H151" s="117">
        <v>1.4341663053977196</v>
      </c>
      <c r="I151" s="117">
        <v>2.1108728649253785</v>
      </c>
      <c r="J151" s="117">
        <v>1.9150459923576573</v>
      </c>
      <c r="K151" s="118">
        <v>1.1331520265062975</v>
      </c>
    </row>
    <row r="152" spans="2:11" x14ac:dyDescent="0.3">
      <c r="B152" s="120" t="s">
        <v>1990</v>
      </c>
      <c r="C152" s="108" t="s">
        <v>1416</v>
      </c>
      <c r="D152" s="109">
        <v>2.4125097405077427</v>
      </c>
      <c r="E152" s="109">
        <v>2.0029994859590015</v>
      </c>
      <c r="F152" s="109">
        <v>1.062235457192749</v>
      </c>
      <c r="G152" s="109">
        <v>0.93984184438680385</v>
      </c>
      <c r="H152" s="109">
        <v>0.92630954491301853</v>
      </c>
      <c r="I152" s="109">
        <v>1.5716620910536971</v>
      </c>
      <c r="J152" s="109">
        <v>1.3698246475592533</v>
      </c>
      <c r="K152" s="110">
        <v>0.60579546012480123</v>
      </c>
    </row>
    <row r="153" spans="2:11" x14ac:dyDescent="0.3">
      <c r="B153" s="111"/>
      <c r="C153" s="112" t="s">
        <v>1483</v>
      </c>
      <c r="D153" s="1499">
        <v>2.8766041966713001</v>
      </c>
      <c r="E153" s="1499">
        <v>2.5015852480023884</v>
      </c>
      <c r="F153" s="1499">
        <v>1.5249129634319145</v>
      </c>
      <c r="G153" s="1499">
        <v>1.4169436733841485</v>
      </c>
      <c r="H153" s="1499">
        <v>1.3860189581930966</v>
      </c>
      <c r="I153" s="1499">
        <v>2.062725517720756</v>
      </c>
      <c r="J153" s="1499">
        <v>1.8668986451530343</v>
      </c>
      <c r="K153" s="113">
        <v>1.0850046793016748</v>
      </c>
    </row>
    <row r="154" spans="2:11" x14ac:dyDescent="0.3">
      <c r="B154" s="111" t="s">
        <v>1988</v>
      </c>
      <c r="C154" s="112" t="s">
        <v>1489</v>
      </c>
      <c r="D154" s="1499">
        <v>2.8223414682561017</v>
      </c>
      <c r="E154" s="1499">
        <v>2.4473225195871899</v>
      </c>
      <c r="F154" s="1499">
        <v>1.4706502350167159</v>
      </c>
      <c r="G154" s="1499">
        <v>1.3626809449689496</v>
      </c>
      <c r="H154" s="1499">
        <v>1.331756229777898</v>
      </c>
      <c r="I154" s="1499">
        <v>2.0084627893055571</v>
      </c>
      <c r="J154" s="1499">
        <v>1.8126359167378356</v>
      </c>
      <c r="K154" s="113">
        <v>1.0307419508864759</v>
      </c>
    </row>
    <row r="155" spans="2:11" x14ac:dyDescent="0.3">
      <c r="B155" s="114">
        <v>0</v>
      </c>
      <c r="C155" s="112" t="s">
        <v>1496</v>
      </c>
      <c r="D155" s="1499">
        <v>2.7409473756333038</v>
      </c>
      <c r="E155" s="1499">
        <v>2.3659284269643921</v>
      </c>
      <c r="F155" s="1499">
        <v>1.3892561423939176</v>
      </c>
      <c r="G155" s="1499">
        <v>1.2812868523461516</v>
      </c>
      <c r="H155" s="1499">
        <v>1.2503621371550999</v>
      </c>
      <c r="I155" s="1499">
        <v>1.927068696682759</v>
      </c>
      <c r="J155" s="1499">
        <v>1.7312418241150376</v>
      </c>
      <c r="K155" s="113">
        <v>0.94934785826367774</v>
      </c>
    </row>
    <row r="156" spans="2:11" x14ac:dyDescent="0.3">
      <c r="B156" s="115"/>
      <c r="C156" s="112" t="s">
        <v>1500</v>
      </c>
      <c r="D156" s="1499">
        <v>2.6595532830105055</v>
      </c>
      <c r="E156" s="1499">
        <v>2.2845343343415934</v>
      </c>
      <c r="F156" s="1499">
        <v>1.3078620497711195</v>
      </c>
      <c r="G156" s="1499">
        <v>1.1998927597233533</v>
      </c>
      <c r="H156" s="1499">
        <v>1.1689680445323016</v>
      </c>
      <c r="I156" s="1499">
        <v>1.8456746040599608</v>
      </c>
      <c r="J156" s="1499">
        <v>1.6498477314922393</v>
      </c>
      <c r="K156" s="113">
        <v>0.86795376564087956</v>
      </c>
    </row>
    <row r="157" spans="2:11" x14ac:dyDescent="0.3">
      <c r="B157" s="115"/>
      <c r="C157" s="112" t="s">
        <v>1504</v>
      </c>
      <c r="D157" s="1499">
        <v>2.781244051077933</v>
      </c>
      <c r="E157" s="1499">
        <v>2.4018713836302235</v>
      </c>
      <c r="F157" s="1499">
        <v>1.4262242371129961</v>
      </c>
      <c r="G157" s="1499">
        <v>1.3199673724250183</v>
      </c>
      <c r="H157" s="1499">
        <v>1.2949541650135985</v>
      </c>
      <c r="I157" s="1499">
        <v>1.9647328098594636</v>
      </c>
      <c r="J157" s="1499">
        <v>1.7677692984410895</v>
      </c>
      <c r="K157" s="113">
        <v>0.98987181760325416</v>
      </c>
    </row>
    <row r="158" spans="2:11" x14ac:dyDescent="0.3">
      <c r="B158" s="115"/>
      <c r="C158" s="112" t="s">
        <v>1508</v>
      </c>
      <c r="D158" s="1499">
        <v>2.7362033116351792</v>
      </c>
      <c r="E158" s="1499">
        <v>2.3568306441874696</v>
      </c>
      <c r="F158" s="1499">
        <v>1.3811834976702417</v>
      </c>
      <c r="G158" s="1499">
        <v>1.2749266329822639</v>
      </c>
      <c r="H158" s="1499">
        <v>1.2499134255708442</v>
      </c>
      <c r="I158" s="1499">
        <v>1.9196920704167093</v>
      </c>
      <c r="J158" s="1499">
        <v>1.7227285589983352</v>
      </c>
      <c r="K158" s="113">
        <v>0.9448310781604996</v>
      </c>
    </row>
    <row r="159" spans="2:11" x14ac:dyDescent="0.3">
      <c r="B159" s="115"/>
      <c r="C159" s="112" t="s">
        <v>1513</v>
      </c>
      <c r="D159" s="1499">
        <v>2.6686422024710472</v>
      </c>
      <c r="E159" s="1499">
        <v>2.2892695350233376</v>
      </c>
      <c r="F159" s="1499">
        <v>1.3136223885061102</v>
      </c>
      <c r="G159" s="1499">
        <v>1.2073655238181322</v>
      </c>
      <c r="H159" s="1499">
        <v>1.1823523164067125</v>
      </c>
      <c r="I159" s="1499">
        <v>1.8521309612525776</v>
      </c>
      <c r="J159" s="1499">
        <v>1.6551674498342037</v>
      </c>
      <c r="K159" s="113">
        <v>0.87726996899636811</v>
      </c>
    </row>
    <row r="160" spans="2:11" x14ac:dyDescent="0.3">
      <c r="B160" s="115"/>
      <c r="C160" s="112" t="s">
        <v>1517</v>
      </c>
      <c r="D160" s="1499">
        <v>2.6010810933069157</v>
      </c>
      <c r="E160" s="1499">
        <v>2.2217084258592057</v>
      </c>
      <c r="F160" s="1499">
        <v>1.2460612793419785</v>
      </c>
      <c r="G160" s="1499">
        <v>1.1398044146540007</v>
      </c>
      <c r="H160" s="1499">
        <v>1.114791207242581</v>
      </c>
      <c r="I160" s="1499">
        <v>1.7845698520884461</v>
      </c>
      <c r="J160" s="1499">
        <v>1.587606340670072</v>
      </c>
      <c r="K160" s="113">
        <v>0.80970885983223639</v>
      </c>
    </row>
    <row r="161" spans="2:11" ht="14.5" thickBot="1" x14ac:dyDescent="0.35">
      <c r="B161" s="1233"/>
      <c r="C161" s="116" t="s">
        <v>1519</v>
      </c>
      <c r="D161" s="117">
        <v>2.8766041966713001</v>
      </c>
      <c r="E161" s="117">
        <v>2.5015852480023884</v>
      </c>
      <c r="F161" s="117">
        <v>1.5249129634319145</v>
      </c>
      <c r="G161" s="117">
        <v>1.4169436733841485</v>
      </c>
      <c r="H161" s="117">
        <v>1.3860189581930966</v>
      </c>
      <c r="I161" s="117">
        <v>2.062725517720756</v>
      </c>
      <c r="J161" s="117">
        <v>1.8668986451530343</v>
      </c>
      <c r="K161" s="118">
        <v>1.0850046793016748</v>
      </c>
    </row>
    <row r="162" spans="2:11" x14ac:dyDescent="0.3">
      <c r="B162" s="120" t="s">
        <v>1990</v>
      </c>
      <c r="C162" s="108" t="s">
        <v>1416</v>
      </c>
      <c r="D162" s="109">
        <v>2.3643623933031197</v>
      </c>
      <c r="E162" s="109">
        <v>1.9548521387543787</v>
      </c>
      <c r="F162" s="109">
        <v>1.0140881099881263</v>
      </c>
      <c r="G162" s="109">
        <v>0.89169449718218097</v>
      </c>
      <c r="H162" s="109">
        <v>0.87816219770839565</v>
      </c>
      <c r="I162" s="109">
        <v>1.5235147438490744</v>
      </c>
      <c r="J162" s="109">
        <v>1.3216773003546305</v>
      </c>
      <c r="K162" s="110">
        <v>0.55764811292017846</v>
      </c>
    </row>
    <row r="163" spans="2:11" x14ac:dyDescent="0.3">
      <c r="B163" s="111"/>
      <c r="C163" s="112" t="s">
        <v>1483</v>
      </c>
      <c r="D163" s="1499">
        <v>2.8284568494666775</v>
      </c>
      <c r="E163" s="1499">
        <v>2.4534379007977658</v>
      </c>
      <c r="F163" s="1499">
        <v>1.476765616227292</v>
      </c>
      <c r="G163" s="1499">
        <v>1.3687963261795257</v>
      </c>
      <c r="H163" s="1499">
        <v>1.3378716109884741</v>
      </c>
      <c r="I163" s="1499">
        <v>2.0145781705161334</v>
      </c>
      <c r="J163" s="1499">
        <v>1.8187512979484117</v>
      </c>
      <c r="K163" s="113">
        <v>1.036857332097052</v>
      </c>
    </row>
    <row r="164" spans="2:11" x14ac:dyDescent="0.3">
      <c r="B164" s="111" t="s">
        <v>1989</v>
      </c>
      <c r="C164" s="112" t="s">
        <v>1489</v>
      </c>
      <c r="D164" s="1499">
        <v>2.7741941210514787</v>
      </c>
      <c r="E164" s="1499">
        <v>2.3991751723825669</v>
      </c>
      <c r="F164" s="1499">
        <v>1.4225028878120931</v>
      </c>
      <c r="G164" s="1499">
        <v>1.3145335977643269</v>
      </c>
      <c r="H164" s="1499">
        <v>1.2836088825732752</v>
      </c>
      <c r="I164" s="1499">
        <v>1.9603154421009343</v>
      </c>
      <c r="J164" s="1499">
        <v>1.7644885695332129</v>
      </c>
      <c r="K164" s="113">
        <v>0.98259460368185314</v>
      </c>
    </row>
    <row r="165" spans="2:11" x14ac:dyDescent="0.3">
      <c r="B165" s="114">
        <v>0</v>
      </c>
      <c r="C165" s="112" t="s">
        <v>1496</v>
      </c>
      <c r="D165" s="1499">
        <v>2.6928000284286804</v>
      </c>
      <c r="E165" s="1499">
        <v>2.3177810797597687</v>
      </c>
      <c r="F165" s="1499">
        <v>1.3411087951892948</v>
      </c>
      <c r="G165" s="1499">
        <v>1.2331395051415288</v>
      </c>
      <c r="H165" s="1499">
        <v>1.2022147899504769</v>
      </c>
      <c r="I165" s="1499">
        <v>1.8789213494781363</v>
      </c>
      <c r="J165" s="1499">
        <v>1.6830944769104146</v>
      </c>
      <c r="K165" s="113">
        <v>0.90120051105905497</v>
      </c>
    </row>
    <row r="166" spans="2:11" x14ac:dyDescent="0.3">
      <c r="B166" s="115"/>
      <c r="C166" s="112" t="s">
        <v>1500</v>
      </c>
      <c r="D166" s="1499">
        <v>2.6114059358058825</v>
      </c>
      <c r="E166" s="1499">
        <v>2.2363869871369708</v>
      </c>
      <c r="F166" s="1499">
        <v>1.2597147025664968</v>
      </c>
      <c r="G166" s="1499">
        <v>1.1517454125187305</v>
      </c>
      <c r="H166" s="1499">
        <v>1.1208206973276789</v>
      </c>
      <c r="I166" s="1499">
        <v>1.797527256855338</v>
      </c>
      <c r="J166" s="1499">
        <v>1.6017003842876165</v>
      </c>
      <c r="K166" s="113">
        <v>0.81980641843625679</v>
      </c>
    </row>
    <row r="167" spans="2:11" x14ac:dyDescent="0.3">
      <c r="B167" s="115"/>
      <c r="C167" s="112" t="s">
        <v>1504</v>
      </c>
      <c r="D167" s="1499">
        <v>2.7330967038733105</v>
      </c>
      <c r="E167" s="1499">
        <v>2.3537240364256009</v>
      </c>
      <c r="F167" s="1499">
        <v>1.3780768899083733</v>
      </c>
      <c r="G167" s="1499">
        <v>1.2718200252203955</v>
      </c>
      <c r="H167" s="1499">
        <v>1.2468068178089757</v>
      </c>
      <c r="I167" s="1499">
        <v>1.9165854626548411</v>
      </c>
      <c r="J167" s="1499">
        <v>1.719621951236467</v>
      </c>
      <c r="K167" s="113">
        <v>0.94172447039863127</v>
      </c>
    </row>
    <row r="168" spans="2:11" x14ac:dyDescent="0.3">
      <c r="B168" s="115"/>
      <c r="C168" s="112" t="s">
        <v>1508</v>
      </c>
      <c r="D168" s="1499">
        <v>2.6880559644305562</v>
      </c>
      <c r="E168" s="1499">
        <v>2.3086832969828461</v>
      </c>
      <c r="F168" s="1499">
        <v>1.333036150465619</v>
      </c>
      <c r="G168" s="1499">
        <v>1.2267792857776409</v>
      </c>
      <c r="H168" s="1499">
        <v>1.2017660783662214</v>
      </c>
      <c r="I168" s="1499">
        <v>1.8715447232120865</v>
      </c>
      <c r="J168" s="1499">
        <v>1.6745812117937124</v>
      </c>
      <c r="K168" s="113">
        <v>0.89668373095587695</v>
      </c>
    </row>
    <row r="169" spans="2:11" x14ac:dyDescent="0.3">
      <c r="B169" s="115"/>
      <c r="C169" s="112" t="s">
        <v>1513</v>
      </c>
      <c r="D169" s="1499">
        <v>2.6204948552664247</v>
      </c>
      <c r="E169" s="1499">
        <v>2.2411221878187146</v>
      </c>
      <c r="F169" s="1499">
        <v>1.2654750413014872</v>
      </c>
      <c r="G169" s="1499">
        <v>1.1592181766135095</v>
      </c>
      <c r="H169" s="1499">
        <v>1.1342049692020897</v>
      </c>
      <c r="I169" s="1499">
        <v>1.8039836140479548</v>
      </c>
      <c r="J169" s="1499">
        <v>1.6070201026295807</v>
      </c>
      <c r="K169" s="113">
        <v>0.82912262179174523</v>
      </c>
    </row>
    <row r="170" spans="2:11" x14ac:dyDescent="0.3">
      <c r="B170" s="115"/>
      <c r="C170" s="112" t="s">
        <v>1517</v>
      </c>
      <c r="D170" s="1499">
        <v>2.5529337461022927</v>
      </c>
      <c r="E170" s="1499">
        <v>2.1735610786545831</v>
      </c>
      <c r="F170" s="1499">
        <v>1.197913932137356</v>
      </c>
      <c r="G170" s="1499">
        <v>1.091657067449378</v>
      </c>
      <c r="H170" s="1499">
        <v>1.0666438600379582</v>
      </c>
      <c r="I170" s="1499">
        <v>1.7364225048838231</v>
      </c>
      <c r="J170" s="1499">
        <v>1.539458993465449</v>
      </c>
      <c r="K170" s="113">
        <v>0.76156151262761351</v>
      </c>
    </row>
    <row r="171" spans="2:11" ht="14.5" thickBot="1" x14ac:dyDescent="0.35">
      <c r="B171" s="1233"/>
      <c r="C171" s="116" t="s">
        <v>1519</v>
      </c>
      <c r="D171" s="117">
        <v>2.8284568494666775</v>
      </c>
      <c r="E171" s="117">
        <v>2.4534379007977658</v>
      </c>
      <c r="F171" s="117">
        <v>1.476765616227292</v>
      </c>
      <c r="G171" s="117">
        <v>1.3687963261795257</v>
      </c>
      <c r="H171" s="117">
        <v>1.3378716109884741</v>
      </c>
      <c r="I171" s="117">
        <v>2.0145781705161334</v>
      </c>
      <c r="J171" s="117">
        <v>1.8187512979484117</v>
      </c>
      <c r="K171" s="118">
        <v>1.036857332097052</v>
      </c>
    </row>
    <row r="173" spans="2:11" ht="14.5" thickBot="1" x14ac:dyDescent="0.35"/>
    <row r="174" spans="2:11" ht="25.5" thickBot="1" x14ac:dyDescent="0.55000000000000004">
      <c r="B174" s="88" t="s">
        <v>1960</v>
      </c>
      <c r="C174" s="89"/>
      <c r="D174" s="90">
        <v>4</v>
      </c>
      <c r="E174" s="91" t="s">
        <v>1991</v>
      </c>
      <c r="F174" s="92"/>
      <c r="G174" s="92"/>
      <c r="H174" s="92"/>
      <c r="I174" s="93"/>
      <c r="J174" s="89" t="s">
        <v>176</v>
      </c>
      <c r="K174" s="94" t="s">
        <v>241</v>
      </c>
    </row>
    <row r="175" spans="2:11" ht="14.5" thickBot="1" x14ac:dyDescent="0.35">
      <c r="B175" s="95" t="s">
        <v>1962</v>
      </c>
      <c r="C175" s="96" t="s">
        <v>1963</v>
      </c>
      <c r="D175" s="95" t="s">
        <v>1964</v>
      </c>
      <c r="E175" s="97" t="s">
        <v>1965</v>
      </c>
      <c r="F175" s="97" t="s">
        <v>1966</v>
      </c>
      <c r="G175" s="97" t="s">
        <v>1967</v>
      </c>
      <c r="H175" s="97" t="s">
        <v>1968</v>
      </c>
      <c r="I175" s="97" t="s">
        <v>1969</v>
      </c>
      <c r="J175" s="97" t="s">
        <v>1970</v>
      </c>
      <c r="K175" s="98" t="s">
        <v>1971</v>
      </c>
    </row>
    <row r="176" spans="2:11" ht="14.5" thickBot="1" x14ac:dyDescent="0.35">
      <c r="B176" s="99"/>
      <c r="C176" s="99"/>
      <c r="D176" s="100"/>
      <c r="E176" s="944"/>
      <c r="F176" s="944"/>
      <c r="G176" s="944"/>
      <c r="H176" s="944"/>
      <c r="I176" s="944"/>
      <c r="J176" s="944"/>
      <c r="K176" s="102"/>
    </row>
    <row r="177" spans="2:11" ht="90.5" thickBot="1" x14ac:dyDescent="0.45">
      <c r="B177" s="103" t="s">
        <v>1972</v>
      </c>
      <c r="C177" s="103" t="s">
        <v>1973</v>
      </c>
      <c r="D177" s="105" t="s">
        <v>1974</v>
      </c>
      <c r="E177" s="105" t="s">
        <v>1525</v>
      </c>
      <c r="F177" s="105" t="s">
        <v>1527</v>
      </c>
      <c r="G177" s="105" t="s">
        <v>1975</v>
      </c>
      <c r="H177" s="105" t="s">
        <v>1976</v>
      </c>
      <c r="I177" s="105" t="s">
        <v>1445</v>
      </c>
      <c r="J177" s="105" t="s">
        <v>1538</v>
      </c>
      <c r="K177" s="106" t="s">
        <v>1541</v>
      </c>
    </row>
    <row r="178" spans="2:11" x14ac:dyDescent="0.3">
      <c r="B178" s="120" t="s">
        <v>1992</v>
      </c>
      <c r="C178" s="108" t="s">
        <v>1416</v>
      </c>
      <c r="D178" s="109">
        <v>3.4409730918947798</v>
      </c>
      <c r="E178" s="109">
        <v>3.1154468178027539</v>
      </c>
      <c r="F178" s="109">
        <v>2.0481593317206208</v>
      </c>
      <c r="G178" s="109">
        <v>1.9671042060286927</v>
      </c>
      <c r="H178" s="109">
        <v>1.9219775722070886</v>
      </c>
      <c r="I178" s="109">
        <v>2.6577222762019383</v>
      </c>
      <c r="J178" s="109">
        <v>2.4457909168409531</v>
      </c>
      <c r="K178" s="110">
        <v>1.5873828527437805</v>
      </c>
    </row>
    <row r="179" spans="2:11" x14ac:dyDescent="0.3">
      <c r="B179" s="128"/>
      <c r="C179" s="112" t="s">
        <v>1483</v>
      </c>
      <c r="D179" s="1499">
        <v>4.0577122075703072</v>
      </c>
      <c r="E179" s="1499">
        <v>3.7429523358486345</v>
      </c>
      <c r="F179" s="1499">
        <v>2.6791597637441704</v>
      </c>
      <c r="G179" s="1499">
        <v>2.6084862733696075</v>
      </c>
      <c r="H179" s="1499">
        <v>2.5518107567125248</v>
      </c>
      <c r="I179" s="1499">
        <v>3.2943059631414862</v>
      </c>
      <c r="J179" s="1499">
        <v>3.0828843544006475</v>
      </c>
      <c r="K179" s="113">
        <v>2.2242946400465016</v>
      </c>
    </row>
    <row r="180" spans="2:11" x14ac:dyDescent="0.3">
      <c r="B180" s="128"/>
      <c r="C180" s="112" t="s">
        <v>1489</v>
      </c>
      <c r="D180" s="1499">
        <v>4.0034494791551083</v>
      </c>
      <c r="E180" s="1499">
        <v>3.6886896074334357</v>
      </c>
      <c r="F180" s="1499">
        <v>2.6248970353289716</v>
      </c>
      <c r="G180" s="1499">
        <v>2.5542235449544086</v>
      </c>
      <c r="H180" s="1499">
        <v>2.4975480282973259</v>
      </c>
      <c r="I180" s="1499">
        <v>3.2400432347262873</v>
      </c>
      <c r="J180" s="1499">
        <v>3.0286216259854486</v>
      </c>
      <c r="K180" s="113">
        <v>2.1700319116313027</v>
      </c>
    </row>
    <row r="181" spans="2:11" x14ac:dyDescent="0.3">
      <c r="B181" s="122">
        <v>0</v>
      </c>
      <c r="C181" s="112" t="s">
        <v>1496</v>
      </c>
      <c r="D181" s="1499">
        <v>3.9220553865323105</v>
      </c>
      <c r="E181" s="1499">
        <v>3.6072955148106374</v>
      </c>
      <c r="F181" s="1499">
        <v>2.5435029427061733</v>
      </c>
      <c r="G181" s="1499">
        <v>2.4728294523316103</v>
      </c>
      <c r="H181" s="1499">
        <v>2.4161539356745276</v>
      </c>
      <c r="I181" s="1499">
        <v>3.158649142103489</v>
      </c>
      <c r="J181" s="1499">
        <v>2.9472275333626503</v>
      </c>
      <c r="K181" s="113">
        <v>2.0886378190085044</v>
      </c>
    </row>
    <row r="182" spans="2:11" x14ac:dyDescent="0.3">
      <c r="B182" s="123"/>
      <c r="C182" s="112" t="s">
        <v>1500</v>
      </c>
      <c r="D182" s="1499">
        <v>3.8406612939095122</v>
      </c>
      <c r="E182" s="1499">
        <v>3.5259014221878395</v>
      </c>
      <c r="F182" s="1499">
        <v>2.4621088500833754</v>
      </c>
      <c r="G182" s="1499">
        <v>2.391435359708812</v>
      </c>
      <c r="H182" s="1499">
        <v>2.3347598430517293</v>
      </c>
      <c r="I182" s="1499">
        <v>3.0772550494806907</v>
      </c>
      <c r="J182" s="1499">
        <v>2.8658334407398525</v>
      </c>
      <c r="K182" s="113">
        <v>2.0072437263857066</v>
      </c>
    </row>
    <row r="183" spans="2:11" x14ac:dyDescent="0.3">
      <c r="B183" s="123"/>
      <c r="C183" s="112" t="s">
        <v>1504</v>
      </c>
      <c r="D183" s="1499">
        <v>3.9409573148385335</v>
      </c>
      <c r="E183" s="1499">
        <v>3.6214517488314057</v>
      </c>
      <c r="F183" s="1499">
        <v>2.5599472083829111</v>
      </c>
      <c r="G183" s="1499">
        <v>2.4869276978406454</v>
      </c>
      <c r="H183" s="1499">
        <v>2.4317896432687225</v>
      </c>
      <c r="I183" s="1499">
        <v>3.172926442799116</v>
      </c>
      <c r="J183" s="1499">
        <v>2.9606780488917437</v>
      </c>
      <c r="K183" s="113">
        <v>2.1004676831179845</v>
      </c>
    </row>
    <row r="184" spans="2:11" x14ac:dyDescent="0.3">
      <c r="B184" s="123"/>
      <c r="C184" s="112" t="s">
        <v>1508</v>
      </c>
      <c r="D184" s="1499">
        <v>3.8959165753957792</v>
      </c>
      <c r="E184" s="1499">
        <v>3.576411009388651</v>
      </c>
      <c r="F184" s="1499">
        <v>2.5149064689401563</v>
      </c>
      <c r="G184" s="1499">
        <v>2.441886958397891</v>
      </c>
      <c r="H184" s="1499">
        <v>2.3867489038259677</v>
      </c>
      <c r="I184" s="1499">
        <v>3.1278857033563612</v>
      </c>
      <c r="J184" s="1499">
        <v>2.9156373094489889</v>
      </c>
      <c r="K184" s="113">
        <v>2.0554269436752302</v>
      </c>
    </row>
    <row r="185" spans="2:11" x14ac:dyDescent="0.3">
      <c r="B185" s="123"/>
      <c r="C185" s="112" t="s">
        <v>1513</v>
      </c>
      <c r="D185" s="1499">
        <v>3.8283554662316477</v>
      </c>
      <c r="E185" s="1499">
        <v>3.5088499002245199</v>
      </c>
      <c r="F185" s="1499">
        <v>2.4473453597760253</v>
      </c>
      <c r="G185" s="1499">
        <v>2.3743258492337596</v>
      </c>
      <c r="H185" s="1499">
        <v>2.3191877946618362</v>
      </c>
      <c r="I185" s="1499">
        <v>3.0603245941922297</v>
      </c>
      <c r="J185" s="1499">
        <v>2.8480762002848574</v>
      </c>
      <c r="K185" s="113">
        <v>1.9878658345110987</v>
      </c>
    </row>
    <row r="186" spans="2:11" x14ac:dyDescent="0.3">
      <c r="B186" s="123"/>
      <c r="C186" s="112" t="s">
        <v>1517</v>
      </c>
      <c r="D186" s="1499">
        <v>3.7607943570675157</v>
      </c>
      <c r="E186" s="1499">
        <v>3.441288791060388</v>
      </c>
      <c r="F186" s="1499">
        <v>2.3797842506118934</v>
      </c>
      <c r="G186" s="1499">
        <v>2.3067647400696276</v>
      </c>
      <c r="H186" s="1499">
        <v>2.2516266854977047</v>
      </c>
      <c r="I186" s="1499">
        <v>2.9927634850280977</v>
      </c>
      <c r="J186" s="1499">
        <v>2.7805150911207255</v>
      </c>
      <c r="K186" s="113">
        <v>1.9203047253469669</v>
      </c>
    </row>
    <row r="187" spans="2:11" ht="14.5" thickBot="1" x14ac:dyDescent="0.35">
      <c r="B187" s="124"/>
      <c r="C187" s="116" t="s">
        <v>1519</v>
      </c>
      <c r="D187" s="117">
        <v>4.0577122075703072</v>
      </c>
      <c r="E187" s="117">
        <v>3.7429523358486345</v>
      </c>
      <c r="F187" s="117">
        <v>2.6791597637441704</v>
      </c>
      <c r="G187" s="117">
        <v>2.6084862733696075</v>
      </c>
      <c r="H187" s="117">
        <v>2.5518107567125248</v>
      </c>
      <c r="I187" s="117">
        <v>3.2943059631414862</v>
      </c>
      <c r="J187" s="117">
        <v>3.0828843544006475</v>
      </c>
      <c r="K187" s="118">
        <v>2.2242946400465016</v>
      </c>
    </row>
    <row r="188" spans="2:11" x14ac:dyDescent="0.3">
      <c r="B188" s="120" t="s">
        <v>1993</v>
      </c>
      <c r="C188" s="1234" t="s">
        <v>1416</v>
      </c>
      <c r="D188" s="109">
        <v>2.6838426798830644</v>
      </c>
      <c r="E188" s="109">
        <v>2.3102522187425976</v>
      </c>
      <c r="F188" s="109">
        <v>1.3119068202146804</v>
      </c>
      <c r="G188" s="109">
        <v>1.2069400038879257</v>
      </c>
      <c r="H188" s="109">
        <v>1.1823244795132317</v>
      </c>
      <c r="I188" s="109">
        <v>1.8650334102741781</v>
      </c>
      <c r="J188" s="109">
        <v>1.6606321240694368</v>
      </c>
      <c r="K188" s="110">
        <v>0.85710649062645961</v>
      </c>
    </row>
    <row r="189" spans="2:11" x14ac:dyDescent="0.3">
      <c r="B189" s="121"/>
      <c r="C189" s="1500" t="s">
        <v>1483</v>
      </c>
      <c r="D189" s="1499">
        <v>3.2990653864771988</v>
      </c>
      <c r="E189" s="1499">
        <v>2.9572570744759101</v>
      </c>
      <c r="F189" s="1499">
        <v>1.9390627759324113</v>
      </c>
      <c r="G189" s="1499">
        <v>1.8535862828864145</v>
      </c>
      <c r="H189" s="1499">
        <v>1.8091438049257689</v>
      </c>
      <c r="I189" s="1499">
        <v>2.5159837273573902</v>
      </c>
      <c r="J189" s="1499">
        <v>2.3091215678604633</v>
      </c>
      <c r="K189" s="113">
        <v>1.487598028239786</v>
      </c>
    </row>
    <row r="190" spans="2:11" x14ac:dyDescent="0.3">
      <c r="B190" s="128"/>
      <c r="C190" s="1500" t="s">
        <v>1489</v>
      </c>
      <c r="D190" s="1499">
        <v>3.244802658062</v>
      </c>
      <c r="E190" s="1499">
        <v>2.9029943460607113</v>
      </c>
      <c r="F190" s="1499">
        <v>1.8848000475172124</v>
      </c>
      <c r="G190" s="1499">
        <v>1.7993235544712158</v>
      </c>
      <c r="H190" s="1499">
        <v>1.75488107651057</v>
      </c>
      <c r="I190" s="1499">
        <v>2.4617209989421913</v>
      </c>
      <c r="J190" s="1499">
        <v>2.2548588394452649</v>
      </c>
      <c r="K190" s="113">
        <v>1.4333352998245872</v>
      </c>
    </row>
    <row r="191" spans="2:11" x14ac:dyDescent="0.3">
      <c r="B191" s="122">
        <v>0</v>
      </c>
      <c r="C191" s="1500" t="s">
        <v>1496</v>
      </c>
      <c r="D191" s="1499">
        <v>3.1634085654392017</v>
      </c>
      <c r="E191" s="1499">
        <v>2.821600253437913</v>
      </c>
      <c r="F191" s="1499">
        <v>1.8034059548944144</v>
      </c>
      <c r="G191" s="1499">
        <v>1.7179294618484175</v>
      </c>
      <c r="H191" s="1499">
        <v>1.673486983887772</v>
      </c>
      <c r="I191" s="1499">
        <v>2.380326906319393</v>
      </c>
      <c r="J191" s="1499">
        <v>2.1734647468224666</v>
      </c>
      <c r="K191" s="113">
        <v>1.3519412072017891</v>
      </c>
    </row>
    <row r="192" spans="2:11" x14ac:dyDescent="0.3">
      <c r="B192" s="123"/>
      <c r="C192" s="1500" t="s">
        <v>1500</v>
      </c>
      <c r="D192" s="1499">
        <v>3.0820144728164034</v>
      </c>
      <c r="E192" s="1499">
        <v>2.7402061608151147</v>
      </c>
      <c r="F192" s="1499">
        <v>1.7220118622716161</v>
      </c>
      <c r="G192" s="1499">
        <v>1.6365353692256195</v>
      </c>
      <c r="H192" s="1499">
        <v>1.5920928912649737</v>
      </c>
      <c r="I192" s="1499">
        <v>2.2989328136965947</v>
      </c>
      <c r="J192" s="1499">
        <v>2.0920706541996683</v>
      </c>
      <c r="K192" s="113">
        <v>1.2705471145789908</v>
      </c>
    </row>
    <row r="193" spans="2:11" x14ac:dyDescent="0.3">
      <c r="B193" s="123"/>
      <c r="C193" s="1500" t="s">
        <v>1504</v>
      </c>
      <c r="D193" s="1499">
        <v>3.1828731837073612</v>
      </c>
      <c r="E193" s="1499">
        <v>2.8329483702091762</v>
      </c>
      <c r="F193" s="1499">
        <v>1.8204673747451943</v>
      </c>
      <c r="G193" s="1499">
        <v>1.7289324898082241</v>
      </c>
      <c r="H193" s="1499">
        <v>1.6872719424924731</v>
      </c>
      <c r="I193" s="1499">
        <v>2.3915402716866243</v>
      </c>
      <c r="J193" s="1499">
        <v>2.1830659229149987</v>
      </c>
      <c r="K193" s="113">
        <v>1.364512064202595</v>
      </c>
    </row>
    <row r="194" spans="2:11" x14ac:dyDescent="0.3">
      <c r="B194" s="123"/>
      <c r="C194" s="1500" t="s">
        <v>1508</v>
      </c>
      <c r="D194" s="1499">
        <v>3.1378324442646064</v>
      </c>
      <c r="E194" s="1499">
        <v>2.7879076307664215</v>
      </c>
      <c r="F194" s="1499">
        <v>1.7754266353024399</v>
      </c>
      <c r="G194" s="1499">
        <v>1.6838917503654698</v>
      </c>
      <c r="H194" s="1499">
        <v>1.6422312030497188</v>
      </c>
      <c r="I194" s="1499">
        <v>2.3464995322438695</v>
      </c>
      <c r="J194" s="1499">
        <v>2.1380251834722444</v>
      </c>
      <c r="K194" s="113">
        <v>1.3194713247598404</v>
      </c>
    </row>
    <row r="195" spans="2:11" x14ac:dyDescent="0.3">
      <c r="B195" s="123"/>
      <c r="C195" s="1500" t="s">
        <v>1513</v>
      </c>
      <c r="D195" s="1499">
        <v>3.0702713351004753</v>
      </c>
      <c r="E195" s="1499">
        <v>2.72034652160229</v>
      </c>
      <c r="F195" s="1499">
        <v>1.7078655261383082</v>
      </c>
      <c r="G195" s="1499">
        <v>1.6163306412013381</v>
      </c>
      <c r="H195" s="1499">
        <v>1.5746700938855871</v>
      </c>
      <c r="I195" s="1499">
        <v>2.278938423079738</v>
      </c>
      <c r="J195" s="1499">
        <v>2.0704640743081129</v>
      </c>
      <c r="K195" s="113">
        <v>1.2519102155957089</v>
      </c>
    </row>
    <row r="196" spans="2:11" x14ac:dyDescent="0.3">
      <c r="B196" s="123"/>
      <c r="C196" s="1500" t="s">
        <v>1517</v>
      </c>
      <c r="D196" s="1499">
        <v>3.0027102259363434</v>
      </c>
      <c r="E196" s="1499">
        <v>2.652785412438158</v>
      </c>
      <c r="F196" s="1499">
        <v>1.6403044169741765</v>
      </c>
      <c r="G196" s="1499">
        <v>1.5487695320372066</v>
      </c>
      <c r="H196" s="1499">
        <v>1.5071089847214554</v>
      </c>
      <c r="I196" s="1499">
        <v>2.2113773139156061</v>
      </c>
      <c r="J196" s="1499">
        <v>2.0029029651439809</v>
      </c>
      <c r="K196" s="113">
        <v>1.1843491064315772</v>
      </c>
    </row>
    <row r="197" spans="2:11" ht="14.5" thickBot="1" x14ac:dyDescent="0.35">
      <c r="B197" s="124"/>
      <c r="C197" s="125" t="s">
        <v>1519</v>
      </c>
      <c r="D197" s="117">
        <v>3.2990653864771988</v>
      </c>
      <c r="E197" s="117">
        <v>2.9572570744759101</v>
      </c>
      <c r="F197" s="117">
        <v>1.9390627759324113</v>
      </c>
      <c r="G197" s="117">
        <v>1.8535862828864145</v>
      </c>
      <c r="H197" s="117">
        <v>1.8091438049257689</v>
      </c>
      <c r="I197" s="117">
        <v>2.5159837273573902</v>
      </c>
      <c r="J197" s="117">
        <v>2.3091215678604633</v>
      </c>
      <c r="K197" s="118">
        <v>1.487598028239786</v>
      </c>
    </row>
    <row r="198" spans="2:11" x14ac:dyDescent="0.3">
      <c r="B198" s="119" t="s">
        <v>1994</v>
      </c>
      <c r="C198" s="108" t="s">
        <v>1416</v>
      </c>
      <c r="D198" s="109">
        <v>3.5557460364102611</v>
      </c>
      <c r="E198" s="109">
        <v>3.2606837183917974</v>
      </c>
      <c r="F198" s="109">
        <v>2.1581771030887418</v>
      </c>
      <c r="G198" s="109">
        <v>2.087561164154323</v>
      </c>
      <c r="H198" s="109">
        <v>2.0279564245027402</v>
      </c>
      <c r="I198" s="109">
        <v>2.7946056690098633</v>
      </c>
      <c r="J198" s="109">
        <v>2.5763829282750419</v>
      </c>
      <c r="K198" s="110">
        <v>1.6977268981812428</v>
      </c>
    </row>
    <row r="199" spans="2:11" x14ac:dyDescent="0.3">
      <c r="B199" s="111"/>
      <c r="C199" s="112" t="s">
        <v>1483</v>
      </c>
      <c r="D199" s="1499">
        <v>4.1761001619103917</v>
      </c>
      <c r="E199" s="1499">
        <v>3.8917330735442124</v>
      </c>
      <c r="F199" s="1499">
        <v>2.7958647556920759</v>
      </c>
      <c r="G199" s="1499">
        <v>2.7366478691424052</v>
      </c>
      <c r="H199" s="1499">
        <v>2.6669373750389647</v>
      </c>
      <c r="I199" s="1499">
        <v>3.4359231863976434</v>
      </c>
      <c r="J199" s="1499">
        <v>3.2207461891158591</v>
      </c>
      <c r="K199" s="113">
        <v>2.3456149991928785</v>
      </c>
    </row>
    <row r="200" spans="2:11" x14ac:dyDescent="0.3">
      <c r="B200" s="111"/>
      <c r="C200" s="112" t="s">
        <v>1489</v>
      </c>
      <c r="D200" s="1499">
        <v>4.1218374334951928</v>
      </c>
      <c r="E200" s="1499">
        <v>3.8374703451290131</v>
      </c>
      <c r="F200" s="1499">
        <v>2.7416020272768771</v>
      </c>
      <c r="G200" s="1499">
        <v>2.6823851407272059</v>
      </c>
      <c r="H200" s="1499">
        <v>2.6126746466237658</v>
      </c>
      <c r="I200" s="1499">
        <v>3.3816604579824445</v>
      </c>
      <c r="J200" s="1499">
        <v>3.1664834607006602</v>
      </c>
      <c r="K200" s="113">
        <v>2.2913522707776797</v>
      </c>
    </row>
    <row r="201" spans="2:11" x14ac:dyDescent="0.3">
      <c r="B201" s="114">
        <v>0</v>
      </c>
      <c r="C201" s="112" t="s">
        <v>1496</v>
      </c>
      <c r="D201" s="1499">
        <v>4.0404433408723941</v>
      </c>
      <c r="E201" s="1499">
        <v>3.7560762525062152</v>
      </c>
      <c r="F201" s="1499">
        <v>2.6602079346540788</v>
      </c>
      <c r="G201" s="1499">
        <v>2.6009910481044081</v>
      </c>
      <c r="H201" s="1499">
        <v>2.5312805540009675</v>
      </c>
      <c r="I201" s="1499">
        <v>3.3002663653596462</v>
      </c>
      <c r="J201" s="1499">
        <v>3.0850893680778619</v>
      </c>
      <c r="K201" s="113">
        <v>2.2099581781548818</v>
      </c>
    </row>
    <row r="202" spans="2:11" x14ac:dyDescent="0.3">
      <c r="B202" s="115"/>
      <c r="C202" s="112" t="s">
        <v>1500</v>
      </c>
      <c r="D202" s="1499">
        <v>3.9590492482495963</v>
      </c>
      <c r="E202" s="1499">
        <v>3.674682159883417</v>
      </c>
      <c r="F202" s="1499">
        <v>2.5788138420312805</v>
      </c>
      <c r="G202" s="1499">
        <v>2.5195969554816098</v>
      </c>
      <c r="H202" s="1499">
        <v>2.4498864613781692</v>
      </c>
      <c r="I202" s="1499">
        <v>3.2188722727368484</v>
      </c>
      <c r="J202" s="1499">
        <v>3.0036952754550637</v>
      </c>
      <c r="K202" s="113">
        <v>2.1285640855320835</v>
      </c>
    </row>
    <row r="203" spans="2:11" x14ac:dyDescent="0.3">
      <c r="B203" s="115"/>
      <c r="C203" s="112" t="s">
        <v>1504</v>
      </c>
      <c r="D203" s="1499">
        <v>4.0581341285900869</v>
      </c>
      <c r="E203" s="1499">
        <v>3.7694841291841388</v>
      </c>
      <c r="F203" s="1499">
        <v>2.6751334156586686</v>
      </c>
      <c r="G203" s="1499">
        <v>2.6144207971809701</v>
      </c>
      <c r="H203" s="1499">
        <v>2.5463241742299716</v>
      </c>
      <c r="I203" s="1499">
        <v>3.3137335035235131</v>
      </c>
      <c r="J203" s="1499">
        <v>3.0976923394299751</v>
      </c>
      <c r="K203" s="113">
        <v>2.2202137324961151</v>
      </c>
    </row>
    <row r="204" spans="2:11" x14ac:dyDescent="0.3">
      <c r="B204" s="115"/>
      <c r="C204" s="112" t="s">
        <v>1508</v>
      </c>
      <c r="D204" s="1499">
        <v>4.0130933891473326</v>
      </c>
      <c r="E204" s="1499">
        <v>3.724443389741384</v>
      </c>
      <c r="F204" s="1499">
        <v>2.6300926762159138</v>
      </c>
      <c r="G204" s="1499">
        <v>2.5693800577382158</v>
      </c>
      <c r="H204" s="1499">
        <v>2.5012834347872168</v>
      </c>
      <c r="I204" s="1499">
        <v>3.2686927640807588</v>
      </c>
      <c r="J204" s="1499">
        <v>3.0526515999872208</v>
      </c>
      <c r="K204" s="113">
        <v>2.1751729930533608</v>
      </c>
    </row>
    <row r="205" spans="2:11" x14ac:dyDescent="0.3">
      <c r="B205" s="115"/>
      <c r="C205" s="112" t="s">
        <v>1513</v>
      </c>
      <c r="D205" s="1499">
        <v>3.9455322799832011</v>
      </c>
      <c r="E205" s="1499">
        <v>3.6568822805772525</v>
      </c>
      <c r="F205" s="1499">
        <v>2.5625315670517823</v>
      </c>
      <c r="G205" s="1499">
        <v>2.5018189485740843</v>
      </c>
      <c r="H205" s="1499">
        <v>2.4337223256230853</v>
      </c>
      <c r="I205" s="1499">
        <v>3.2011316549166273</v>
      </c>
      <c r="J205" s="1499">
        <v>2.9850904908230893</v>
      </c>
      <c r="K205" s="113">
        <v>2.1076118838892288</v>
      </c>
    </row>
    <row r="206" spans="2:11" x14ac:dyDescent="0.3">
      <c r="B206" s="115"/>
      <c r="C206" s="112" t="s">
        <v>1517</v>
      </c>
      <c r="D206" s="1499">
        <v>3.8779711708190692</v>
      </c>
      <c r="E206" s="1499">
        <v>3.5893211714131206</v>
      </c>
      <c r="F206" s="1499">
        <v>2.4949704578876504</v>
      </c>
      <c r="G206" s="1499">
        <v>2.4342578394099523</v>
      </c>
      <c r="H206" s="1499">
        <v>2.3661612164589534</v>
      </c>
      <c r="I206" s="1499">
        <v>3.1335705457524954</v>
      </c>
      <c r="J206" s="1499">
        <v>2.9175293816589574</v>
      </c>
      <c r="K206" s="113">
        <v>2.0400507747250973</v>
      </c>
    </row>
    <row r="207" spans="2:11" ht="14.5" thickBot="1" x14ac:dyDescent="0.35">
      <c r="B207" s="1233"/>
      <c r="C207" s="116" t="s">
        <v>1519</v>
      </c>
      <c r="D207" s="117">
        <v>4.1761001619103917</v>
      </c>
      <c r="E207" s="117">
        <v>3.8917330735442124</v>
      </c>
      <c r="F207" s="117">
        <v>2.7958647556920759</v>
      </c>
      <c r="G207" s="117">
        <v>2.7366478691424052</v>
      </c>
      <c r="H207" s="117">
        <v>2.6669373750389647</v>
      </c>
      <c r="I207" s="117">
        <v>3.4359231863976434</v>
      </c>
      <c r="J207" s="117">
        <v>3.2207461891158591</v>
      </c>
      <c r="K207" s="118">
        <v>2.3456149991928785</v>
      </c>
    </row>
    <row r="208" spans="2:11" x14ac:dyDescent="0.3">
      <c r="B208" s="120" t="s">
        <v>1519</v>
      </c>
      <c r="C208" s="108" t="s">
        <v>1416</v>
      </c>
      <c r="D208" s="129">
        <v>2.5590756982975917</v>
      </c>
      <c r="E208" s="109">
        <v>2.156281087277105</v>
      </c>
      <c r="F208" s="109">
        <v>1.2036376119688363</v>
      </c>
      <c r="G208" s="109">
        <v>1.0855399153131218</v>
      </c>
      <c r="H208" s="109">
        <v>1.0698607703919985</v>
      </c>
      <c r="I208" s="109">
        <v>1.7227493181902871</v>
      </c>
      <c r="J208" s="109">
        <v>1.5208929877164754</v>
      </c>
      <c r="K208" s="110">
        <v>0.73885243991958705</v>
      </c>
    </row>
    <row r="209" spans="2:11" x14ac:dyDescent="0.3">
      <c r="B209" s="111"/>
      <c r="C209" s="112" t="s">
        <v>1483</v>
      </c>
      <c r="D209" s="130">
        <v>3.0250671855418876</v>
      </c>
      <c r="E209" s="1499">
        <v>2.6530765676962904</v>
      </c>
      <c r="F209" s="1499">
        <v>1.670623412058013</v>
      </c>
      <c r="G209" s="1499">
        <v>1.5656778825229309</v>
      </c>
      <c r="H209" s="1499">
        <v>1.5333113518717476</v>
      </c>
      <c r="I209" s="1499">
        <v>2.2137253280960674</v>
      </c>
      <c r="J209" s="1499">
        <v>2.0150858384361459</v>
      </c>
      <c r="K209" s="113">
        <v>1.2267171992840262</v>
      </c>
    </row>
    <row r="210" spans="2:11" x14ac:dyDescent="0.3">
      <c r="B210" s="111"/>
      <c r="C210" s="112" t="s">
        <v>1489</v>
      </c>
      <c r="D210" s="130">
        <v>2.9708044571266887</v>
      </c>
      <c r="E210" s="1499">
        <v>2.5988138392810916</v>
      </c>
      <c r="F210" s="1499">
        <v>1.6163606836428144</v>
      </c>
      <c r="G210" s="1499">
        <v>1.5114151541077323</v>
      </c>
      <c r="H210" s="1499">
        <v>1.479048623456549</v>
      </c>
      <c r="I210" s="1499">
        <v>2.159462599680869</v>
      </c>
      <c r="J210" s="1499">
        <v>1.9608231100209472</v>
      </c>
      <c r="K210" s="113">
        <v>1.1724544708688274</v>
      </c>
    </row>
    <row r="211" spans="2:11" x14ac:dyDescent="0.3">
      <c r="B211" s="114">
        <v>0</v>
      </c>
      <c r="C211" s="112" t="s">
        <v>1496</v>
      </c>
      <c r="D211" s="130">
        <v>2.8894103645038904</v>
      </c>
      <c r="E211" s="1499">
        <v>2.5174197466582937</v>
      </c>
      <c r="F211" s="1499">
        <v>1.5349665910200161</v>
      </c>
      <c r="G211" s="1499">
        <v>1.4300210614849342</v>
      </c>
      <c r="H211" s="1499">
        <v>1.3976545308337509</v>
      </c>
      <c r="I211" s="1499">
        <v>2.0780685070580707</v>
      </c>
      <c r="J211" s="1499">
        <v>1.8794290173981492</v>
      </c>
      <c r="K211" s="113">
        <v>1.0910603782460291</v>
      </c>
    </row>
    <row r="212" spans="2:11" x14ac:dyDescent="0.3">
      <c r="B212" s="115"/>
      <c r="C212" s="112" t="s">
        <v>1500</v>
      </c>
      <c r="D212" s="130">
        <v>2.8080162718810926</v>
      </c>
      <c r="E212" s="1499">
        <v>2.4360256540354954</v>
      </c>
      <c r="F212" s="1499">
        <v>1.453572498397218</v>
      </c>
      <c r="G212" s="1499">
        <v>1.348626968862136</v>
      </c>
      <c r="H212" s="1499">
        <v>1.3162604382109526</v>
      </c>
      <c r="I212" s="1499">
        <v>1.9966744144352726</v>
      </c>
      <c r="J212" s="1499">
        <v>1.7980349247753509</v>
      </c>
      <c r="K212" s="113">
        <v>1.009666285623231</v>
      </c>
    </row>
    <row r="213" spans="2:11" x14ac:dyDescent="0.3">
      <c r="B213" s="115"/>
      <c r="C213" s="112" t="s">
        <v>1504</v>
      </c>
      <c r="D213" s="130">
        <v>2.9300246521227731</v>
      </c>
      <c r="E213" s="1499">
        <v>2.5538866312108093</v>
      </c>
      <c r="F213" s="1499">
        <v>1.5725333652433744</v>
      </c>
      <c r="G213" s="1499">
        <v>1.4629009089036293</v>
      </c>
      <c r="H213" s="1499">
        <v>1.4352661884179096</v>
      </c>
      <c r="I213" s="1499">
        <v>2.1136499262027795</v>
      </c>
      <c r="J213" s="1499">
        <v>1.9166291556349559</v>
      </c>
      <c r="K213" s="113">
        <v>1.1321383795013982</v>
      </c>
    </row>
    <row r="214" spans="2:11" x14ac:dyDescent="0.3">
      <c r="B214" s="115"/>
      <c r="C214" s="112" t="s">
        <v>1508</v>
      </c>
      <c r="D214" s="130">
        <v>2.8849839126800187</v>
      </c>
      <c r="E214" s="1499">
        <v>2.5088458917680545</v>
      </c>
      <c r="F214" s="1499">
        <v>1.5274926258006201</v>
      </c>
      <c r="G214" s="1499">
        <v>1.417860169460875</v>
      </c>
      <c r="H214" s="1499">
        <v>1.3902254489751553</v>
      </c>
      <c r="I214" s="1499">
        <v>2.0686091867600251</v>
      </c>
      <c r="J214" s="1499">
        <v>1.8715884161922016</v>
      </c>
      <c r="K214" s="113">
        <v>1.0870976400586438</v>
      </c>
    </row>
    <row r="215" spans="2:11" x14ac:dyDescent="0.3">
      <c r="B215" s="115"/>
      <c r="C215" s="112" t="s">
        <v>1513</v>
      </c>
      <c r="D215" s="130">
        <v>2.8174228035158873</v>
      </c>
      <c r="E215" s="1499">
        <v>2.441284782603923</v>
      </c>
      <c r="F215" s="1499">
        <v>1.4599315166364883</v>
      </c>
      <c r="G215" s="1499">
        <v>1.3502990602967433</v>
      </c>
      <c r="H215" s="1499">
        <v>1.3226643398110236</v>
      </c>
      <c r="I215" s="1499">
        <v>2.0010480775958932</v>
      </c>
      <c r="J215" s="1499">
        <v>1.8040273070280699</v>
      </c>
      <c r="K215" s="113">
        <v>1.0195365308945121</v>
      </c>
    </row>
    <row r="216" spans="2:11" x14ac:dyDescent="0.3">
      <c r="B216" s="115"/>
      <c r="C216" s="112" t="s">
        <v>1517</v>
      </c>
      <c r="D216" s="130">
        <v>2.7498616943517558</v>
      </c>
      <c r="E216" s="1499">
        <v>2.373723673439792</v>
      </c>
      <c r="F216" s="1499">
        <v>1.3923704074723566</v>
      </c>
      <c r="G216" s="1499">
        <v>1.2827379511326116</v>
      </c>
      <c r="H216" s="1499">
        <v>1.2551032306468919</v>
      </c>
      <c r="I216" s="1499">
        <v>1.9334869684317617</v>
      </c>
      <c r="J216" s="1499">
        <v>1.7364661978639382</v>
      </c>
      <c r="K216" s="113">
        <v>0.95197542173038052</v>
      </c>
    </row>
    <row r="217" spans="2:11" ht="14.5" thickBot="1" x14ac:dyDescent="0.35">
      <c r="B217" s="1233"/>
      <c r="C217" s="116" t="s">
        <v>1519</v>
      </c>
      <c r="D217" s="131">
        <v>3.0250671855418876</v>
      </c>
      <c r="E217" s="117">
        <v>2.6530765676962904</v>
      </c>
      <c r="F217" s="117">
        <v>1.670623412058013</v>
      </c>
      <c r="G217" s="117">
        <v>1.5656778825229309</v>
      </c>
      <c r="H217" s="117">
        <v>1.5333113518717476</v>
      </c>
      <c r="I217" s="117">
        <v>2.2137253280960674</v>
      </c>
      <c r="J217" s="117">
        <v>2.0150858384361459</v>
      </c>
      <c r="K217" s="118">
        <v>1.2267171992840262</v>
      </c>
    </row>
    <row r="221" spans="2:11" ht="14.5" thickBot="1" x14ac:dyDescent="0.35"/>
    <row r="222" spans="2:11" x14ac:dyDescent="0.3">
      <c r="C222" s="132" t="s">
        <v>1995</v>
      </c>
      <c r="D222" s="132"/>
      <c r="E222" s="132"/>
      <c r="F222" s="132"/>
    </row>
    <row r="223" spans="2:11" x14ac:dyDescent="0.3">
      <c r="C223" s="1504" t="s">
        <v>1996</v>
      </c>
      <c r="D223" s="1504" t="s">
        <v>1997</v>
      </c>
      <c r="E223" s="1504" t="s">
        <v>1998</v>
      </c>
      <c r="F223" s="1504" t="s">
        <v>1999</v>
      </c>
    </row>
    <row r="224" spans="2:11" x14ac:dyDescent="0.3">
      <c r="C224" s="1498">
        <v>1</v>
      </c>
      <c r="D224" s="1505">
        <v>237.81231864619281</v>
      </c>
      <c r="E224" s="1506">
        <v>4.3613361107661987E-2</v>
      </c>
      <c r="F224" s="1507">
        <v>1.7445344443064794</v>
      </c>
      <c r="H224" s="134" t="s">
        <v>2000</v>
      </c>
    </row>
    <row r="225" spans="2:11" x14ac:dyDescent="0.3">
      <c r="C225" s="1498">
        <v>1.5</v>
      </c>
      <c r="D225" s="1505">
        <v>200.78387999516599</v>
      </c>
      <c r="E225" s="1506">
        <v>3.6822566268548657E-2</v>
      </c>
      <c r="F225" s="1507">
        <v>1.4729026507419463</v>
      </c>
      <c r="H225" s="134" t="s">
        <v>2001</v>
      </c>
    </row>
    <row r="226" spans="2:11" x14ac:dyDescent="0.3">
      <c r="C226" s="1498">
        <v>2</v>
      </c>
      <c r="D226" s="1505">
        <v>174.51178467114781</v>
      </c>
      <c r="E226" s="1506">
        <v>3.2004420652946557E-2</v>
      </c>
      <c r="F226" s="1507">
        <v>1.2801768261178625</v>
      </c>
    </row>
    <row r="227" spans="2:11" x14ac:dyDescent="0.3">
      <c r="C227" s="1498">
        <v>2.5</v>
      </c>
      <c r="D227" s="1505">
        <v>154.13356436320882</v>
      </c>
      <c r="E227" s="1506">
        <v>2.8267176568699193E-2</v>
      </c>
      <c r="F227" s="1507">
        <v>1.1306870627479677</v>
      </c>
    </row>
    <row r="228" spans="2:11" x14ac:dyDescent="0.3">
      <c r="B228" s="2"/>
      <c r="C228" s="1498">
        <v>3</v>
      </c>
      <c r="D228" s="1505">
        <v>137.48334602012093</v>
      </c>
      <c r="E228" s="1506">
        <v>2.5213625813833219E-2</v>
      </c>
      <c r="F228" s="1507">
        <v>1.0085450325533287</v>
      </c>
      <c r="I228" s="135"/>
      <c r="J228" s="135"/>
      <c r="K228" s="135"/>
    </row>
    <row r="229" spans="2:11" x14ac:dyDescent="0.3">
      <c r="B229" s="136"/>
      <c r="C229" s="1498">
        <v>3.5</v>
      </c>
      <c r="D229" s="1505">
        <v>123.40578699752064</v>
      </c>
      <c r="E229" s="1506">
        <v>2.2631885436958418E-2</v>
      </c>
      <c r="F229" s="1507">
        <v>0.90527541747833673</v>
      </c>
      <c r="I229" s="135"/>
      <c r="J229" s="135"/>
      <c r="K229" s="135"/>
    </row>
    <row r="230" spans="2:11" x14ac:dyDescent="0.3">
      <c r="B230" s="136"/>
      <c r="C230" s="1498">
        <v>4</v>
      </c>
      <c r="D230" s="1505">
        <v>111.21125069610282</v>
      </c>
      <c r="E230" s="1506">
        <v>2.0395480198231133E-2</v>
      </c>
      <c r="F230" s="1507">
        <v>0.81581920792924523</v>
      </c>
      <c r="I230" s="135"/>
      <c r="J230" s="135"/>
      <c r="K230" s="135"/>
    </row>
    <row r="231" spans="2:11" x14ac:dyDescent="0.3">
      <c r="B231" s="137"/>
      <c r="C231" s="1498">
        <v>4.5</v>
      </c>
      <c r="D231" s="1505">
        <v>100.45490736909414</v>
      </c>
      <c r="E231" s="1506">
        <v>1.8422830974719889E-2</v>
      </c>
      <c r="F231" s="1507">
        <v>0.73691323898879546</v>
      </c>
      <c r="I231" s="135"/>
      <c r="J231" s="135"/>
      <c r="K231" s="135"/>
    </row>
    <row r="232" spans="2:11" x14ac:dyDescent="0.3">
      <c r="C232" s="1498">
        <v>5</v>
      </c>
      <c r="D232" s="1505">
        <v>90.83303038816382</v>
      </c>
      <c r="E232" s="1506">
        <v>1.6658236113983767E-2</v>
      </c>
      <c r="F232" s="1507">
        <v>0.66632944455935061</v>
      </c>
      <c r="I232" s="135"/>
      <c r="J232" s="135"/>
      <c r="K232" s="135"/>
    </row>
    <row r="233" spans="2:11" x14ac:dyDescent="0.3">
      <c r="C233" s="1498">
        <v>5.5</v>
      </c>
      <c r="D233" s="1505">
        <v>82.128983911342658</v>
      </c>
      <c r="E233" s="1506">
        <v>1.506196589445722E-2</v>
      </c>
      <c r="F233" s="1507">
        <v>0.60247863577828875</v>
      </c>
      <c r="I233" s="135"/>
      <c r="J233" s="135"/>
      <c r="K233" s="135"/>
    </row>
    <row r="234" spans="2:11" x14ac:dyDescent="0.3">
      <c r="C234" s="1498">
        <v>6</v>
      </c>
      <c r="D234" s="1505">
        <v>74.182812045075991</v>
      </c>
      <c r="E234" s="1506">
        <v>1.36046853591178E-2</v>
      </c>
      <c r="F234" s="1507">
        <v>0.54418741436471196</v>
      </c>
      <c r="I234" s="135"/>
      <c r="J234" s="135"/>
      <c r="K234" s="135"/>
    </row>
    <row r="235" spans="2:11" x14ac:dyDescent="0.3">
      <c r="C235" s="1498">
        <v>6.5</v>
      </c>
      <c r="D235" s="1505">
        <v>66.873042520441658</v>
      </c>
      <c r="E235" s="1506">
        <v>1.2264117218213536E-2</v>
      </c>
      <c r="F235" s="1507">
        <v>0.49056468872854136</v>
      </c>
      <c r="I235" s="135"/>
      <c r="J235" s="135"/>
      <c r="K235" s="135"/>
    </row>
    <row r="236" spans="2:11" x14ac:dyDescent="0.3">
      <c r="C236" s="1498">
        <v>7</v>
      </c>
      <c r="D236" s="1505">
        <v>60.105253022475651</v>
      </c>
      <c r="E236" s="1506">
        <v>1.1022944982242992E-2</v>
      </c>
      <c r="F236" s="1507">
        <v>0.44091779928971964</v>
      </c>
      <c r="I236" s="135"/>
      <c r="J236" s="135"/>
      <c r="K236" s="135"/>
    </row>
    <row r="237" spans="2:11" x14ac:dyDescent="0.3">
      <c r="C237" s="1498">
        <v>7.5</v>
      </c>
      <c r="D237" s="1505">
        <v>53.804591737136988</v>
      </c>
      <c r="E237" s="1506">
        <v>9.8674412748704296E-3</v>
      </c>
      <c r="F237" s="1507">
        <v>0.39469765099481724</v>
      </c>
      <c r="I237" s="135"/>
      <c r="J237" s="135"/>
      <c r="K237" s="135"/>
    </row>
    <row r="238" spans="2:11" x14ac:dyDescent="0.3">
      <c r="B238" s="2"/>
      <c r="C238" s="1498">
        <v>8</v>
      </c>
      <c r="D238" s="1505">
        <v>47.910716721057824</v>
      </c>
      <c r="E238" s="1506">
        <v>8.7865397435157051E-3</v>
      </c>
      <c r="F238" s="1507">
        <v>0.35146158974062819</v>
      </c>
      <c r="I238" s="135"/>
      <c r="J238" s="135"/>
      <c r="K238" s="135"/>
    </row>
    <row r="239" spans="2:11" x14ac:dyDescent="0.3">
      <c r="B239" s="136"/>
      <c r="C239" s="1498">
        <v>8.5</v>
      </c>
      <c r="D239" s="1505">
        <v>42.374272166936734</v>
      </c>
      <c r="E239" s="1506">
        <v>7.7711888274402847E-3</v>
      </c>
      <c r="F239" s="1507">
        <v>0.31084755309761136</v>
      </c>
      <c r="I239" s="135"/>
      <c r="J239" s="135"/>
      <c r="K239" s="135"/>
    </row>
    <row r="240" spans="2:11" x14ac:dyDescent="0.3">
      <c r="B240" s="136"/>
      <c r="C240" s="1498">
        <v>9</v>
      </c>
      <c r="D240" s="1505">
        <v>37.154373394049117</v>
      </c>
      <c r="E240" s="1506">
        <v>6.8138905200044592E-3</v>
      </c>
      <c r="F240" s="1507">
        <v>0.27255562080017837</v>
      </c>
      <c r="I240" s="135"/>
      <c r="J240" s="135"/>
      <c r="K240" s="135"/>
    </row>
    <row r="241" spans="2:11" x14ac:dyDescent="0.3">
      <c r="B241" s="137"/>
      <c r="C241" s="1498">
        <v>9.5</v>
      </c>
      <c r="D241" s="1505">
        <v>32.216772732973659</v>
      </c>
      <c r="E241" s="1506">
        <v>5.9083640028634527E-3</v>
      </c>
      <c r="F241" s="1507">
        <v>0.23633456011453813</v>
      </c>
      <c r="I241" s="135"/>
      <c r="J241" s="135"/>
      <c r="K241" s="135"/>
    </row>
    <row r="242" spans="2:11" x14ac:dyDescent="0.3">
      <c r="C242" s="1498">
        <v>10</v>
      </c>
      <c r="D242" s="1505">
        <v>27.5324964131188</v>
      </c>
      <c r="E242" s="1506">
        <v>5.0492956592683314E-3</v>
      </c>
      <c r="F242" s="1507">
        <v>0.20197182637073324</v>
      </c>
      <c r="I242" s="135"/>
      <c r="J242" s="135"/>
      <c r="K242" s="135"/>
    </row>
    <row r="243" spans="2:11" x14ac:dyDescent="0.3">
      <c r="I243" s="135"/>
      <c r="J243" s="135"/>
      <c r="K243" s="135"/>
    </row>
    <row r="244" spans="2:11" ht="14.5" thickBot="1" x14ac:dyDescent="0.35">
      <c r="I244" s="135"/>
      <c r="J244" s="135"/>
      <c r="K244" s="135"/>
    </row>
    <row r="245" spans="2:11" x14ac:dyDescent="0.3">
      <c r="C245" s="132" t="s">
        <v>2002</v>
      </c>
      <c r="D245" s="132"/>
      <c r="E245" s="132"/>
      <c r="F245" s="132"/>
      <c r="H245" s="134" t="s">
        <v>2003</v>
      </c>
      <c r="I245" s="135"/>
      <c r="J245" s="135"/>
      <c r="K245" s="135"/>
    </row>
    <row r="246" spans="2:11" x14ac:dyDescent="0.3">
      <c r="C246" s="1508" t="s">
        <v>1996</v>
      </c>
      <c r="D246" s="1508" t="s">
        <v>2004</v>
      </c>
      <c r="E246" s="1508" t="s">
        <v>2005</v>
      </c>
      <c r="F246" s="1508" t="s">
        <v>2006</v>
      </c>
      <c r="H246" s="134" t="s">
        <v>2007</v>
      </c>
      <c r="I246" s="135"/>
      <c r="J246" s="135"/>
      <c r="K246" s="135"/>
    </row>
    <row r="247" spans="2:11" x14ac:dyDescent="0.3">
      <c r="C247" s="1498" t="s">
        <v>376</v>
      </c>
      <c r="D247" s="1509">
        <v>282.40089072777289</v>
      </c>
      <c r="E247" s="1510">
        <v>5.1790639335044929E-2</v>
      </c>
      <c r="F247" s="1511">
        <v>2.0716255734017972</v>
      </c>
      <c r="I247" s="135"/>
      <c r="J247" s="135"/>
      <c r="K247" s="135"/>
    </row>
    <row r="248" spans="2:11" x14ac:dyDescent="0.3">
      <c r="B248" s="2"/>
      <c r="D248" s="135"/>
      <c r="E248" s="135"/>
      <c r="F248" s="135"/>
      <c r="G248" s="135"/>
      <c r="H248" s="135"/>
      <c r="I248" s="135"/>
      <c r="J248" s="135"/>
      <c r="K248" s="135"/>
    </row>
    <row r="249" spans="2:11" x14ac:dyDescent="0.3">
      <c r="B249" s="136"/>
      <c r="D249" s="135"/>
      <c r="E249" s="135"/>
      <c r="F249" s="135"/>
      <c r="G249" s="135"/>
      <c r="H249" s="135"/>
      <c r="I249" s="135"/>
      <c r="J249" s="135"/>
      <c r="K249" s="135"/>
    </row>
    <row r="250" spans="2:11" x14ac:dyDescent="0.3">
      <c r="B250" s="136"/>
      <c r="D250" s="135"/>
      <c r="E250" s="135"/>
      <c r="F250" s="135"/>
      <c r="G250" s="135"/>
      <c r="H250" s="135"/>
      <c r="I250" s="135"/>
      <c r="J250" s="135"/>
      <c r="K250" s="135"/>
    </row>
    <row r="251" spans="2:11" x14ac:dyDescent="0.3">
      <c r="B251" s="137"/>
      <c r="D251" s="135"/>
      <c r="E251" s="135"/>
      <c r="F251" s="135"/>
      <c r="G251" s="135"/>
      <c r="H251" s="135"/>
      <c r="I251" s="135"/>
      <c r="J251" s="135"/>
      <c r="K251" s="135"/>
    </row>
    <row r="252" spans="2:11" x14ac:dyDescent="0.3">
      <c r="D252" s="135"/>
      <c r="E252" s="135"/>
      <c r="F252" s="135"/>
      <c r="G252" s="135"/>
      <c r="H252" s="135"/>
      <c r="I252" s="135"/>
      <c r="J252" s="135"/>
      <c r="K252" s="135"/>
    </row>
    <row r="253" spans="2:11" x14ac:dyDescent="0.3">
      <c r="D253" s="135"/>
      <c r="E253" s="135"/>
      <c r="F253" s="135"/>
      <c r="G253" s="135"/>
      <c r="H253" s="135"/>
      <c r="I253" s="135"/>
      <c r="J253" s="135"/>
      <c r="K253" s="135"/>
    </row>
    <row r="254" spans="2:11" x14ac:dyDescent="0.3">
      <c r="D254" s="135"/>
      <c r="E254" s="135"/>
      <c r="F254" s="135"/>
      <c r="G254" s="135"/>
      <c r="H254" s="135"/>
      <c r="I254" s="135"/>
      <c r="J254" s="135"/>
      <c r="K254" s="135"/>
    </row>
    <row r="255" spans="2:11" x14ac:dyDescent="0.3">
      <c r="D255" s="135"/>
      <c r="E255" s="135"/>
      <c r="F255" s="135"/>
      <c r="G255" s="135"/>
      <c r="H255" s="135"/>
      <c r="I255" s="135"/>
      <c r="J255" s="135"/>
      <c r="K255" s="135"/>
    </row>
    <row r="256" spans="2:11" x14ac:dyDescent="0.3">
      <c r="D256" s="135"/>
      <c r="E256" s="135"/>
      <c r="F256" s="135"/>
      <c r="G256" s="135"/>
      <c r="H256" s="135"/>
      <c r="I256" s="135"/>
      <c r="J256" s="135"/>
      <c r="K256" s="135"/>
    </row>
    <row r="257" spans="4:11" x14ac:dyDescent="0.3">
      <c r="D257" s="135"/>
      <c r="E257" s="135"/>
      <c r="F257" s="135"/>
      <c r="G257" s="135"/>
      <c r="H257" s="135"/>
      <c r="I257" s="135"/>
      <c r="J257" s="135"/>
      <c r="K257" s="135"/>
    </row>
  </sheetData>
  <sheetProtection algorithmName="SHA-512" hashValue="xlctn70VW3RfiwQFpVccUWxpZ2dq/nUTOt6dr/JA0dKcb6/XF/jjjkM49GyZ4R+jhXNUxKCj22BOIAfvdVbK5w==" saltValue="H/JjTVpQkEwANN2KulmlpA==" spinCount="100000" sheet="1" objects="1" scenarios="1" autoFilter="0"/>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dimension ref="B1:K257"/>
  <sheetViews>
    <sheetView workbookViewId="0">
      <selection activeCell="G9" sqref="G9"/>
    </sheetView>
  </sheetViews>
  <sheetFormatPr defaultColWidth="7.58203125" defaultRowHeight="14" x14ac:dyDescent="0.3"/>
  <cols>
    <col min="3" max="3" width="24.58203125" customWidth="1"/>
  </cols>
  <sheetData>
    <row r="1" spans="2:11" ht="14.5" thickBot="1" x14ac:dyDescent="0.35"/>
    <row r="2" spans="2:11" ht="25.5" thickBot="1" x14ac:dyDescent="0.55000000000000004">
      <c r="B2" s="88" t="s">
        <v>1960</v>
      </c>
      <c r="C2" s="89"/>
      <c r="D2" s="90">
        <v>4</v>
      </c>
      <c r="E2" s="91" t="s">
        <v>1961</v>
      </c>
      <c r="F2" s="92"/>
      <c r="G2" s="92"/>
      <c r="H2" s="92"/>
      <c r="I2" s="93"/>
      <c r="J2" s="89" t="s">
        <v>176</v>
      </c>
      <c r="K2" s="94" t="s">
        <v>234</v>
      </c>
    </row>
    <row r="3" spans="2:11" ht="14.5" thickBot="1" x14ac:dyDescent="0.35">
      <c r="B3" s="95" t="s">
        <v>1962</v>
      </c>
      <c r="C3" s="96" t="s">
        <v>1963</v>
      </c>
      <c r="D3" s="95" t="s">
        <v>1964</v>
      </c>
      <c r="E3" s="97" t="s">
        <v>1965</v>
      </c>
      <c r="F3" s="97" t="s">
        <v>1966</v>
      </c>
      <c r="G3" s="97" t="s">
        <v>1967</v>
      </c>
      <c r="H3" s="97" t="s">
        <v>1968</v>
      </c>
      <c r="I3" s="97" t="s">
        <v>1969</v>
      </c>
      <c r="J3" s="97" t="s">
        <v>1970</v>
      </c>
      <c r="K3" s="98" t="s">
        <v>1971</v>
      </c>
    </row>
    <row r="4" spans="2:11" ht="18.5" thickBot="1" x14ac:dyDescent="0.45">
      <c r="B4" s="99" t="s">
        <v>34</v>
      </c>
      <c r="C4" s="100" t="s">
        <v>34</v>
      </c>
      <c r="D4" s="101" t="s">
        <v>34</v>
      </c>
      <c r="E4" s="944"/>
      <c r="F4" s="944"/>
      <c r="G4" s="944"/>
      <c r="H4" s="944"/>
      <c r="I4" s="944" t="s">
        <v>34</v>
      </c>
      <c r="J4" s="944" t="s">
        <v>34</v>
      </c>
      <c r="K4" s="102"/>
    </row>
    <row r="5" spans="2:11" ht="90.5" thickBot="1" x14ac:dyDescent="0.45">
      <c r="B5" s="103" t="s">
        <v>1972</v>
      </c>
      <c r="C5" s="104" t="s">
        <v>1973</v>
      </c>
      <c r="D5" s="105" t="s">
        <v>1974</v>
      </c>
      <c r="E5" s="105" t="s">
        <v>1525</v>
      </c>
      <c r="F5" s="105" t="s">
        <v>1527</v>
      </c>
      <c r="G5" s="105" t="s">
        <v>1975</v>
      </c>
      <c r="H5" s="105" t="s">
        <v>1976</v>
      </c>
      <c r="I5" s="105" t="s">
        <v>1445</v>
      </c>
      <c r="J5" s="105" t="s">
        <v>1538</v>
      </c>
      <c r="K5" s="106" t="s">
        <v>1541</v>
      </c>
    </row>
    <row r="6" spans="2:11" x14ac:dyDescent="0.3">
      <c r="B6" s="107" t="s">
        <v>1977</v>
      </c>
      <c r="C6" s="108" t="s">
        <v>1416</v>
      </c>
      <c r="D6" s="109">
        <v>4.0958008113450664</v>
      </c>
      <c r="E6" s="109">
        <v>3.3136153943420701</v>
      </c>
      <c r="F6" s="109">
        <v>2.2970380723940504</v>
      </c>
      <c r="G6" s="109">
        <v>2.0720327438491846</v>
      </c>
      <c r="H6" s="109">
        <v>2.1470739107389494</v>
      </c>
      <c r="I6" s="109">
        <v>3.8801021751140858</v>
      </c>
      <c r="J6" s="109">
        <v>3.4199406219612936</v>
      </c>
      <c r="K6" s="110">
        <v>1.7756556285071905</v>
      </c>
    </row>
    <row r="7" spans="2:11" x14ac:dyDescent="0.3">
      <c r="B7" s="111" t="s">
        <v>1978</v>
      </c>
      <c r="C7" s="112" t="s">
        <v>1483</v>
      </c>
      <c r="D7" s="1499">
        <v>4.7037297459481628</v>
      </c>
      <c r="E7" s="1499">
        <v>3.9454087378684815</v>
      </c>
      <c r="F7" s="1499">
        <v>2.9279791317213775</v>
      </c>
      <c r="G7" s="1499">
        <v>2.7223952427469897</v>
      </c>
      <c r="H7" s="1499">
        <v>2.7785207814339166</v>
      </c>
      <c r="I7" s="1499">
        <v>4.4890175958636389</v>
      </c>
      <c r="J7" s="1499">
        <v>4.0492508356835675</v>
      </c>
      <c r="K7" s="113">
        <v>2.4146900751422202</v>
      </c>
    </row>
    <row r="8" spans="2:11" x14ac:dyDescent="0.3">
      <c r="B8" s="111" t="s">
        <v>1979</v>
      </c>
      <c r="C8" s="112" t="s">
        <v>1489</v>
      </c>
      <c r="D8" s="1499">
        <v>4.6342532774194449</v>
      </c>
      <c r="E8" s="1499">
        <v>3.8759322693397631</v>
      </c>
      <c r="F8" s="1499">
        <v>2.8585026631926591</v>
      </c>
      <c r="G8" s="1499">
        <v>2.6529187742182714</v>
      </c>
      <c r="H8" s="1499">
        <v>2.7090443129051986</v>
      </c>
      <c r="I8" s="1499">
        <v>4.4195411273349201</v>
      </c>
      <c r="J8" s="1499">
        <v>3.9797743671548496</v>
      </c>
      <c r="K8" s="113">
        <v>2.3452136066135023</v>
      </c>
    </row>
    <row r="9" spans="2:11" x14ac:dyDescent="0.3">
      <c r="B9" s="114">
        <v>0</v>
      </c>
      <c r="C9" s="112" t="s">
        <v>1496</v>
      </c>
      <c r="D9" s="1499">
        <v>4.5300385746263681</v>
      </c>
      <c r="E9" s="1499">
        <v>3.7717175665466862</v>
      </c>
      <c r="F9" s="1499">
        <v>2.7542879603995822</v>
      </c>
      <c r="G9" s="1499">
        <v>2.5487040714251945</v>
      </c>
      <c r="H9" s="1499">
        <v>2.6048296101121218</v>
      </c>
      <c r="I9" s="1499">
        <v>4.3153264245418441</v>
      </c>
      <c r="J9" s="1499">
        <v>3.8755596643617727</v>
      </c>
      <c r="K9" s="113">
        <v>2.2409989038204254</v>
      </c>
    </row>
    <row r="10" spans="2:11" x14ac:dyDescent="0.3">
      <c r="B10" s="115"/>
      <c r="C10" s="112" t="s">
        <v>1500</v>
      </c>
      <c r="D10" s="1499">
        <v>4.4258238718332912</v>
      </c>
      <c r="E10" s="1499">
        <v>3.6675028637536093</v>
      </c>
      <c r="F10" s="1499">
        <v>2.6500732576065054</v>
      </c>
      <c r="G10" s="1499">
        <v>2.4444893686321176</v>
      </c>
      <c r="H10" s="1499">
        <v>2.5006149073190449</v>
      </c>
      <c r="I10" s="1499">
        <v>4.2111117217487672</v>
      </c>
      <c r="J10" s="1499">
        <v>3.7713449615686958</v>
      </c>
      <c r="K10" s="113">
        <v>2.1367842010273486</v>
      </c>
    </row>
    <row r="11" spans="2:11" x14ac:dyDescent="0.3">
      <c r="B11" s="115"/>
      <c r="C11" s="112" t="s">
        <v>1504</v>
      </c>
      <c r="D11" s="1499">
        <v>4.5780766200463523</v>
      </c>
      <c r="E11" s="1499">
        <v>3.8138692216744969</v>
      </c>
      <c r="F11" s="1499">
        <v>2.802801707081688</v>
      </c>
      <c r="G11" s="1499">
        <v>2.5902745755340653</v>
      </c>
      <c r="H11" s="1499">
        <v>2.6513310380076294</v>
      </c>
      <c r="I11" s="1499">
        <v>4.3582122801270247</v>
      </c>
      <c r="J11" s="1499">
        <v>3.9182123512191547</v>
      </c>
      <c r="K11" s="113">
        <v>2.2810878054485713</v>
      </c>
    </row>
    <row r="12" spans="2:11" x14ac:dyDescent="0.3">
      <c r="B12" s="115"/>
      <c r="C12" s="112" t="s">
        <v>1508</v>
      </c>
      <c r="D12" s="1499">
        <v>4.5205180464467807</v>
      </c>
      <c r="E12" s="1499">
        <v>3.7563106480749253</v>
      </c>
      <c r="F12" s="1499">
        <v>2.7452431334821163</v>
      </c>
      <c r="G12" s="1499">
        <v>2.5327160019344936</v>
      </c>
      <c r="H12" s="1499">
        <v>2.5937724644080578</v>
      </c>
      <c r="I12" s="1499">
        <v>4.300653706527453</v>
      </c>
      <c r="J12" s="1499">
        <v>3.8606537776195826</v>
      </c>
      <c r="K12" s="113">
        <v>2.2235292318489996</v>
      </c>
    </row>
    <row r="13" spans="2:11" x14ac:dyDescent="0.3">
      <c r="B13" s="115"/>
      <c r="C13" s="112" t="s">
        <v>1513</v>
      </c>
      <c r="D13" s="1499">
        <v>4.4341801860474233</v>
      </c>
      <c r="E13" s="1499">
        <v>3.6699727876755679</v>
      </c>
      <c r="F13" s="1499">
        <v>2.6589052730827589</v>
      </c>
      <c r="G13" s="1499">
        <v>2.4463781415351362</v>
      </c>
      <c r="H13" s="1499">
        <v>2.5074346040087003</v>
      </c>
      <c r="I13" s="1499">
        <v>4.2143158461280956</v>
      </c>
      <c r="J13" s="1499">
        <v>3.7743159172202252</v>
      </c>
      <c r="K13" s="113">
        <v>2.1371913714496422</v>
      </c>
    </row>
    <row r="14" spans="2:11" x14ac:dyDescent="0.3">
      <c r="B14" s="115"/>
      <c r="C14" s="112" t="s">
        <v>1517</v>
      </c>
      <c r="D14" s="1499">
        <v>4.3478423256480658</v>
      </c>
      <c r="E14" s="1499">
        <v>3.58363492727621</v>
      </c>
      <c r="F14" s="1499">
        <v>2.5725674126834011</v>
      </c>
      <c r="G14" s="1499">
        <v>2.3600402811357788</v>
      </c>
      <c r="H14" s="1499">
        <v>2.4210967436093425</v>
      </c>
      <c r="I14" s="1499">
        <v>4.1279779857287382</v>
      </c>
      <c r="J14" s="1499">
        <v>3.6879780568208673</v>
      </c>
      <c r="K14" s="113">
        <v>2.0508535110502844</v>
      </c>
    </row>
    <row r="15" spans="2:11" ht="14.5" thickBot="1" x14ac:dyDescent="0.35">
      <c r="B15" s="1233"/>
      <c r="C15" s="116" t="s">
        <v>1519</v>
      </c>
      <c r="D15" s="117">
        <v>4.7037297459481628</v>
      </c>
      <c r="E15" s="117">
        <v>3.9454087378684815</v>
      </c>
      <c r="F15" s="117">
        <v>2.9279791317213775</v>
      </c>
      <c r="G15" s="117">
        <v>2.7223952427469897</v>
      </c>
      <c r="H15" s="117">
        <v>2.7785207814339166</v>
      </c>
      <c r="I15" s="117">
        <v>4.4890175958636389</v>
      </c>
      <c r="J15" s="117">
        <v>4.0492508356835675</v>
      </c>
      <c r="K15" s="118">
        <v>2.4146900751422202</v>
      </c>
    </row>
    <row r="16" spans="2:11" x14ac:dyDescent="0.3">
      <c r="B16" s="107" t="s">
        <v>1977</v>
      </c>
      <c r="C16" s="108" t="s">
        <v>1416</v>
      </c>
      <c r="D16" s="109">
        <v>3.9394395580274169</v>
      </c>
      <c r="E16" s="109">
        <v>3.157254141024421</v>
      </c>
      <c r="F16" s="109">
        <v>2.1406768190764014</v>
      </c>
      <c r="G16" s="109">
        <v>1.9156714905315355</v>
      </c>
      <c r="H16" s="109">
        <v>1.9907126574213005</v>
      </c>
      <c r="I16" s="109">
        <v>3.7237409217964368</v>
      </c>
      <c r="J16" s="109">
        <v>3.2635793686436445</v>
      </c>
      <c r="K16" s="110">
        <v>1.6192943751895417</v>
      </c>
    </row>
    <row r="17" spans="2:11" x14ac:dyDescent="0.3">
      <c r="B17" s="111" t="s">
        <v>1978</v>
      </c>
      <c r="C17" s="112" t="s">
        <v>1483</v>
      </c>
      <c r="D17" s="1499">
        <v>4.5473684926305138</v>
      </c>
      <c r="E17" s="1499">
        <v>3.789047484550832</v>
      </c>
      <c r="F17" s="1499">
        <v>2.771617878403728</v>
      </c>
      <c r="G17" s="1499">
        <v>2.5660339894293402</v>
      </c>
      <c r="H17" s="1499">
        <v>2.6221595281162671</v>
      </c>
      <c r="I17" s="1499">
        <v>4.332656342545989</v>
      </c>
      <c r="J17" s="1499">
        <v>3.8928895823659184</v>
      </c>
      <c r="K17" s="113">
        <v>2.2583288218245712</v>
      </c>
    </row>
    <row r="18" spans="2:11" x14ac:dyDescent="0.3">
      <c r="B18" s="111" t="s">
        <v>1980</v>
      </c>
      <c r="C18" s="112" t="s">
        <v>1489</v>
      </c>
      <c r="D18" s="1499">
        <v>4.4778920241017959</v>
      </c>
      <c r="E18" s="1499">
        <v>3.719571016022114</v>
      </c>
      <c r="F18" s="1499">
        <v>2.7021414098750101</v>
      </c>
      <c r="G18" s="1499">
        <v>2.4965575209006223</v>
      </c>
      <c r="H18" s="1499">
        <v>2.5526830595875496</v>
      </c>
      <c r="I18" s="1499">
        <v>4.2631798740172719</v>
      </c>
      <c r="J18" s="1499">
        <v>3.8234131138372005</v>
      </c>
      <c r="K18" s="113">
        <v>2.1888523532958533</v>
      </c>
    </row>
    <row r="19" spans="2:11" x14ac:dyDescent="0.3">
      <c r="B19" s="114">
        <v>0</v>
      </c>
      <c r="C19" s="112" t="s">
        <v>1496</v>
      </c>
      <c r="D19" s="1499">
        <v>4.373677321308719</v>
      </c>
      <c r="E19" s="1499">
        <v>3.6153563132290372</v>
      </c>
      <c r="F19" s="1499">
        <v>2.5979267070819332</v>
      </c>
      <c r="G19" s="1499">
        <v>2.3923428181075455</v>
      </c>
      <c r="H19" s="1499">
        <v>2.4484683567944727</v>
      </c>
      <c r="I19" s="1499">
        <v>4.1589651712241951</v>
      </c>
      <c r="J19" s="1499">
        <v>3.7191984110441236</v>
      </c>
      <c r="K19" s="113">
        <v>2.0846376505027764</v>
      </c>
    </row>
    <row r="20" spans="2:11" x14ac:dyDescent="0.3">
      <c r="B20" s="115"/>
      <c r="C20" s="112" t="s">
        <v>1500</v>
      </c>
      <c r="D20" s="1499">
        <v>4.2694626185156421</v>
      </c>
      <c r="E20" s="1499">
        <v>3.5111416104359607</v>
      </c>
      <c r="F20" s="1499">
        <v>2.4937120042888568</v>
      </c>
      <c r="G20" s="1499">
        <v>2.2881281153144686</v>
      </c>
      <c r="H20" s="1499">
        <v>2.3442536540013958</v>
      </c>
      <c r="I20" s="1499">
        <v>4.0547504684311182</v>
      </c>
      <c r="J20" s="1499">
        <v>3.6149837082510472</v>
      </c>
      <c r="K20" s="113">
        <v>1.9804229477096995</v>
      </c>
    </row>
    <row r="21" spans="2:11" x14ac:dyDescent="0.3">
      <c r="B21" s="115"/>
      <c r="C21" s="112" t="s">
        <v>1504</v>
      </c>
      <c r="D21" s="1499">
        <v>4.4217153667287032</v>
      </c>
      <c r="E21" s="1499">
        <v>3.6575079683568479</v>
      </c>
      <c r="F21" s="1499">
        <v>2.6464404537640389</v>
      </c>
      <c r="G21" s="1499">
        <v>2.4339133222164162</v>
      </c>
      <c r="H21" s="1499">
        <v>2.4949697846899803</v>
      </c>
      <c r="I21" s="1499">
        <v>4.2018510268093756</v>
      </c>
      <c r="J21" s="1499">
        <v>3.7618510979015052</v>
      </c>
      <c r="K21" s="113">
        <v>2.1247265521309227</v>
      </c>
    </row>
    <row r="22" spans="2:11" x14ac:dyDescent="0.3">
      <c r="B22" s="115"/>
      <c r="C22" s="112" t="s">
        <v>1508</v>
      </c>
      <c r="D22" s="1499">
        <v>4.3641567931291316</v>
      </c>
      <c r="E22" s="1499">
        <v>3.5999493947572763</v>
      </c>
      <c r="F22" s="1499">
        <v>2.5888818801644673</v>
      </c>
      <c r="G22" s="1499">
        <v>2.376354748616845</v>
      </c>
      <c r="H22" s="1499">
        <v>2.4374112110904087</v>
      </c>
      <c r="I22" s="1499">
        <v>4.144292453209804</v>
      </c>
      <c r="J22" s="1499">
        <v>3.7042925243019336</v>
      </c>
      <c r="K22" s="113">
        <v>2.0671679785313506</v>
      </c>
    </row>
    <row r="23" spans="2:11" x14ac:dyDescent="0.3">
      <c r="B23" s="115"/>
      <c r="C23" s="112" t="s">
        <v>1513</v>
      </c>
      <c r="D23" s="1499">
        <v>4.2778189327297742</v>
      </c>
      <c r="E23" s="1499">
        <v>3.5136115343579188</v>
      </c>
      <c r="F23" s="1499">
        <v>2.5025440197651099</v>
      </c>
      <c r="G23" s="1499">
        <v>2.2900168882174872</v>
      </c>
      <c r="H23" s="1499">
        <v>2.3510733506910513</v>
      </c>
      <c r="I23" s="1499">
        <v>4.0579545928104466</v>
      </c>
      <c r="J23" s="1499">
        <v>3.6179546639025761</v>
      </c>
      <c r="K23" s="113">
        <v>1.9808301181319932</v>
      </c>
    </row>
    <row r="24" spans="2:11" x14ac:dyDescent="0.3">
      <c r="B24" s="115"/>
      <c r="C24" s="112" t="s">
        <v>1517</v>
      </c>
      <c r="D24" s="1499">
        <v>4.1914810723304168</v>
      </c>
      <c r="E24" s="1499">
        <v>3.427273673958561</v>
      </c>
      <c r="F24" s="1499">
        <v>2.4162061593657524</v>
      </c>
      <c r="G24" s="1499">
        <v>2.2036790278181297</v>
      </c>
      <c r="H24" s="1499">
        <v>2.2647354902916939</v>
      </c>
      <c r="I24" s="1499">
        <v>3.9716167324110891</v>
      </c>
      <c r="J24" s="1499">
        <v>3.5316168035032187</v>
      </c>
      <c r="K24" s="113">
        <v>1.8944922577326355</v>
      </c>
    </row>
    <row r="25" spans="2:11" ht="14.5" thickBot="1" x14ac:dyDescent="0.35">
      <c r="B25" s="1233"/>
      <c r="C25" s="116" t="s">
        <v>1519</v>
      </c>
      <c r="D25" s="117">
        <v>4.5473684926305138</v>
      </c>
      <c r="E25" s="117">
        <v>3.789047484550832</v>
      </c>
      <c r="F25" s="117">
        <v>2.771617878403728</v>
      </c>
      <c r="G25" s="117">
        <v>2.5660339894293402</v>
      </c>
      <c r="H25" s="117">
        <v>2.6221595281162671</v>
      </c>
      <c r="I25" s="117">
        <v>4.332656342545989</v>
      </c>
      <c r="J25" s="117">
        <v>3.8928895823659184</v>
      </c>
      <c r="K25" s="118">
        <v>2.2583288218245712</v>
      </c>
    </row>
    <row r="26" spans="2:11" x14ac:dyDescent="0.3">
      <c r="B26" s="107" t="s">
        <v>1977</v>
      </c>
      <c r="C26" s="108" t="s">
        <v>1416</v>
      </c>
      <c r="D26" s="109">
        <v>3.7048976780509433</v>
      </c>
      <c r="E26" s="109">
        <v>2.9227122610479475</v>
      </c>
      <c r="F26" s="109">
        <v>1.9061349390999278</v>
      </c>
      <c r="G26" s="109">
        <v>1.6811296105550619</v>
      </c>
      <c r="H26" s="109">
        <v>1.756170777444827</v>
      </c>
      <c r="I26" s="109">
        <v>3.4891990418199632</v>
      </c>
      <c r="J26" s="109">
        <v>3.0290374886671709</v>
      </c>
      <c r="K26" s="110">
        <v>1.3847524952130681</v>
      </c>
    </row>
    <row r="27" spans="2:11" x14ac:dyDescent="0.3">
      <c r="B27" s="111" t="s">
        <v>1978</v>
      </c>
      <c r="C27" s="112" t="s">
        <v>1483</v>
      </c>
      <c r="D27" s="1499">
        <v>4.3128266126540398</v>
      </c>
      <c r="E27" s="1499">
        <v>3.5545056045743588</v>
      </c>
      <c r="F27" s="1499">
        <v>2.5370759984272548</v>
      </c>
      <c r="G27" s="1499">
        <v>2.3314921094528671</v>
      </c>
      <c r="H27" s="1499">
        <v>2.3876176481397939</v>
      </c>
      <c r="I27" s="1499">
        <v>4.0981144625695158</v>
      </c>
      <c r="J27" s="1499">
        <v>3.6583477023894453</v>
      </c>
      <c r="K27" s="113">
        <v>2.0237869418480976</v>
      </c>
    </row>
    <row r="28" spans="2:11" x14ac:dyDescent="0.3">
      <c r="B28" s="111" t="s">
        <v>1981</v>
      </c>
      <c r="C28" s="112" t="s">
        <v>1489</v>
      </c>
      <c r="D28" s="1499">
        <v>4.2433501441253219</v>
      </c>
      <c r="E28" s="1499">
        <v>3.4850291360456405</v>
      </c>
      <c r="F28" s="1499">
        <v>2.4675995298985365</v>
      </c>
      <c r="G28" s="1499">
        <v>2.2620156409241492</v>
      </c>
      <c r="H28" s="1499">
        <v>2.318141179611076</v>
      </c>
      <c r="I28" s="1499">
        <v>4.0286379940407979</v>
      </c>
      <c r="J28" s="1499">
        <v>3.5888712338607269</v>
      </c>
      <c r="K28" s="113">
        <v>1.9543104733193799</v>
      </c>
    </row>
    <row r="29" spans="2:11" x14ac:dyDescent="0.3">
      <c r="B29" s="114">
        <v>0</v>
      </c>
      <c r="C29" s="112" t="s">
        <v>1496</v>
      </c>
      <c r="D29" s="1499">
        <v>4.139135441332245</v>
      </c>
      <c r="E29" s="1499">
        <v>3.3808144332525636</v>
      </c>
      <c r="F29" s="1499">
        <v>2.3633848271054596</v>
      </c>
      <c r="G29" s="1499">
        <v>2.1578009381310719</v>
      </c>
      <c r="H29" s="1499">
        <v>2.2139264768179991</v>
      </c>
      <c r="I29" s="1499">
        <v>3.924423291247721</v>
      </c>
      <c r="J29" s="1499">
        <v>3.4846565310676501</v>
      </c>
      <c r="K29" s="113">
        <v>1.8500957705263028</v>
      </c>
    </row>
    <row r="30" spans="2:11" x14ac:dyDescent="0.3">
      <c r="B30" s="115"/>
      <c r="C30" s="112" t="s">
        <v>1500</v>
      </c>
      <c r="D30" s="1499">
        <v>4.0349207385391681</v>
      </c>
      <c r="E30" s="1499">
        <v>3.2765997304594867</v>
      </c>
      <c r="F30" s="1499">
        <v>2.2591701243123827</v>
      </c>
      <c r="G30" s="1499">
        <v>2.053586235337995</v>
      </c>
      <c r="H30" s="1499">
        <v>2.1097117740249223</v>
      </c>
      <c r="I30" s="1499">
        <v>3.8202085884546442</v>
      </c>
      <c r="J30" s="1499">
        <v>3.3804418282745732</v>
      </c>
      <c r="K30" s="113">
        <v>1.7458810677332259</v>
      </c>
    </row>
    <row r="31" spans="2:11" x14ac:dyDescent="0.3">
      <c r="B31" s="115"/>
      <c r="C31" s="112" t="s">
        <v>1504</v>
      </c>
      <c r="D31" s="1499">
        <v>4.1871734867522301</v>
      </c>
      <c r="E31" s="1499">
        <v>3.4229660883803747</v>
      </c>
      <c r="F31" s="1499">
        <v>2.4118985737875658</v>
      </c>
      <c r="G31" s="1499">
        <v>2.1993714422399431</v>
      </c>
      <c r="H31" s="1499">
        <v>2.2604279047135072</v>
      </c>
      <c r="I31" s="1499">
        <v>3.9673091468329025</v>
      </c>
      <c r="J31" s="1499">
        <v>3.527309217925032</v>
      </c>
      <c r="K31" s="113">
        <v>1.8901846721544491</v>
      </c>
    </row>
    <row r="32" spans="2:11" x14ac:dyDescent="0.3">
      <c r="B32" s="115"/>
      <c r="C32" s="112" t="s">
        <v>1508</v>
      </c>
      <c r="D32" s="1499">
        <v>4.1296149131526585</v>
      </c>
      <c r="E32" s="1499">
        <v>3.3654075147808027</v>
      </c>
      <c r="F32" s="1499">
        <v>2.3543400001879937</v>
      </c>
      <c r="G32" s="1499">
        <v>2.1418128686403715</v>
      </c>
      <c r="H32" s="1499">
        <v>2.2028693311139356</v>
      </c>
      <c r="I32" s="1499">
        <v>3.9097505732333304</v>
      </c>
      <c r="J32" s="1499">
        <v>3.46975064432546</v>
      </c>
      <c r="K32" s="113">
        <v>1.8326260985548772</v>
      </c>
    </row>
    <row r="33" spans="2:11" x14ac:dyDescent="0.3">
      <c r="B33" s="115"/>
      <c r="C33" s="112" t="s">
        <v>1513</v>
      </c>
      <c r="D33" s="1499">
        <v>4.0432770527533002</v>
      </c>
      <c r="E33" s="1499">
        <v>3.2790696543814453</v>
      </c>
      <c r="F33" s="1499">
        <v>2.2680021397886363</v>
      </c>
      <c r="G33" s="1499">
        <v>2.0554750082410136</v>
      </c>
      <c r="H33" s="1499">
        <v>2.1165314707145777</v>
      </c>
      <c r="I33" s="1499">
        <v>3.823412712833973</v>
      </c>
      <c r="J33" s="1499">
        <v>3.3834127839261026</v>
      </c>
      <c r="K33" s="113">
        <v>1.7462882381555196</v>
      </c>
    </row>
    <row r="34" spans="2:11" x14ac:dyDescent="0.3">
      <c r="B34" s="115"/>
      <c r="C34" s="112" t="s">
        <v>1517</v>
      </c>
      <c r="D34" s="1499">
        <v>3.9569391923539428</v>
      </c>
      <c r="E34" s="1499">
        <v>3.1927317939820874</v>
      </c>
      <c r="F34" s="1499">
        <v>2.1816642793892784</v>
      </c>
      <c r="G34" s="1499">
        <v>1.9691371478416559</v>
      </c>
      <c r="H34" s="1499">
        <v>2.0301936103152198</v>
      </c>
      <c r="I34" s="1499">
        <v>3.7370748524346151</v>
      </c>
      <c r="J34" s="1499">
        <v>3.2970749235267447</v>
      </c>
      <c r="K34" s="113">
        <v>1.6599503777561619</v>
      </c>
    </row>
    <row r="35" spans="2:11" ht="14.5" thickBot="1" x14ac:dyDescent="0.35">
      <c r="B35" s="1233"/>
      <c r="C35" s="116" t="s">
        <v>1519</v>
      </c>
      <c r="D35" s="117">
        <v>4.3128266126540398</v>
      </c>
      <c r="E35" s="117">
        <v>3.5545056045743588</v>
      </c>
      <c r="F35" s="117">
        <v>2.5370759984272548</v>
      </c>
      <c r="G35" s="117">
        <v>2.3314921094528671</v>
      </c>
      <c r="H35" s="117">
        <v>2.3876176481397939</v>
      </c>
      <c r="I35" s="117">
        <v>4.0981144625695158</v>
      </c>
      <c r="J35" s="117">
        <v>3.6583477023894453</v>
      </c>
      <c r="K35" s="118">
        <v>2.0237869418480976</v>
      </c>
    </row>
    <row r="36" spans="2:11" x14ac:dyDescent="0.3">
      <c r="B36" s="107" t="s">
        <v>1977</v>
      </c>
      <c r="C36" s="108" t="s">
        <v>1416</v>
      </c>
      <c r="D36" s="109">
        <v>3.4703557980744701</v>
      </c>
      <c r="E36" s="109">
        <v>2.6881703810714743</v>
      </c>
      <c r="F36" s="109">
        <v>1.6715930591234542</v>
      </c>
      <c r="G36" s="109">
        <v>1.4465877305785884</v>
      </c>
      <c r="H36" s="109">
        <v>1.5216288974683534</v>
      </c>
      <c r="I36" s="109">
        <v>3.2546571618434901</v>
      </c>
      <c r="J36" s="109">
        <v>2.7944956086906978</v>
      </c>
      <c r="K36" s="110">
        <v>1.1502106152365945</v>
      </c>
    </row>
    <row r="37" spans="2:11" x14ac:dyDescent="0.3">
      <c r="B37" s="111" t="s">
        <v>1978</v>
      </c>
      <c r="C37" s="112" t="s">
        <v>1483</v>
      </c>
      <c r="D37" s="1499">
        <v>4.0782847326775666</v>
      </c>
      <c r="E37" s="1499">
        <v>3.3199637245978848</v>
      </c>
      <c r="F37" s="1499">
        <v>2.3025341184507808</v>
      </c>
      <c r="G37" s="1499">
        <v>2.0969502294763931</v>
      </c>
      <c r="H37" s="1499">
        <v>2.1530757681633204</v>
      </c>
      <c r="I37" s="1499">
        <v>3.8635725825930423</v>
      </c>
      <c r="J37" s="1499">
        <v>3.4238058224129713</v>
      </c>
      <c r="K37" s="113">
        <v>1.789245061871624</v>
      </c>
    </row>
    <row r="38" spans="2:11" x14ac:dyDescent="0.3">
      <c r="B38" s="111" t="s">
        <v>1982</v>
      </c>
      <c r="C38" s="112" t="s">
        <v>1489</v>
      </c>
      <c r="D38" s="1499">
        <v>4.0088082641488487</v>
      </c>
      <c r="E38" s="1499">
        <v>3.2504872560691673</v>
      </c>
      <c r="F38" s="1499">
        <v>2.2330576499220629</v>
      </c>
      <c r="G38" s="1499">
        <v>2.0274737609476752</v>
      </c>
      <c r="H38" s="1499">
        <v>2.0835992996346024</v>
      </c>
      <c r="I38" s="1499">
        <v>3.7940961140643248</v>
      </c>
      <c r="J38" s="1499">
        <v>3.3543293538842538</v>
      </c>
      <c r="K38" s="113">
        <v>1.7197685933429061</v>
      </c>
    </row>
    <row r="39" spans="2:11" x14ac:dyDescent="0.3">
      <c r="B39" s="114">
        <v>0</v>
      </c>
      <c r="C39" s="112" t="s">
        <v>1496</v>
      </c>
      <c r="D39" s="1499">
        <v>3.9045935613557714</v>
      </c>
      <c r="E39" s="1499">
        <v>3.14627255327609</v>
      </c>
      <c r="F39" s="1499">
        <v>2.1288429471289865</v>
      </c>
      <c r="G39" s="1499">
        <v>1.9232590581545985</v>
      </c>
      <c r="H39" s="1499">
        <v>1.9793845968415258</v>
      </c>
      <c r="I39" s="1499">
        <v>3.6898814112712475</v>
      </c>
      <c r="J39" s="1499">
        <v>3.2501146510911765</v>
      </c>
      <c r="K39" s="113">
        <v>1.6155538905498295</v>
      </c>
    </row>
    <row r="40" spans="2:11" x14ac:dyDescent="0.3">
      <c r="B40" s="115"/>
      <c r="C40" s="112" t="s">
        <v>1500</v>
      </c>
      <c r="D40" s="1499">
        <v>3.800378858562695</v>
      </c>
      <c r="E40" s="1499">
        <v>3.0420578504830131</v>
      </c>
      <c r="F40" s="1499">
        <v>2.0246282443359092</v>
      </c>
      <c r="G40" s="1499">
        <v>1.8190443553615216</v>
      </c>
      <c r="H40" s="1499">
        <v>1.8751698940484487</v>
      </c>
      <c r="I40" s="1499">
        <v>3.5856667084781706</v>
      </c>
      <c r="J40" s="1499">
        <v>3.1458999482980996</v>
      </c>
      <c r="K40" s="113">
        <v>1.5113391877567526</v>
      </c>
    </row>
    <row r="41" spans="2:11" x14ac:dyDescent="0.3">
      <c r="B41" s="115"/>
      <c r="C41" s="112" t="s">
        <v>1504</v>
      </c>
      <c r="D41" s="1499">
        <v>3.9526316067757565</v>
      </c>
      <c r="E41" s="1499">
        <v>3.1884242084039012</v>
      </c>
      <c r="F41" s="1499">
        <v>2.1773566938110922</v>
      </c>
      <c r="G41" s="1499">
        <v>1.9648295622634695</v>
      </c>
      <c r="H41" s="1499">
        <v>2.0258860247370336</v>
      </c>
      <c r="I41" s="1499">
        <v>3.7327672668564289</v>
      </c>
      <c r="J41" s="1499">
        <v>3.2927673379485585</v>
      </c>
      <c r="K41" s="113">
        <v>1.6556427921779755</v>
      </c>
    </row>
    <row r="42" spans="2:11" x14ac:dyDescent="0.3">
      <c r="B42" s="115"/>
      <c r="C42" s="112" t="s">
        <v>1508</v>
      </c>
      <c r="D42" s="1499">
        <v>3.8950730331761849</v>
      </c>
      <c r="E42" s="1499">
        <v>3.1308656348043296</v>
      </c>
      <c r="F42" s="1499">
        <v>2.1197981202115201</v>
      </c>
      <c r="G42" s="1499">
        <v>1.9072709886638977</v>
      </c>
      <c r="H42" s="1499">
        <v>1.9683274511374618</v>
      </c>
      <c r="I42" s="1499">
        <v>3.6752086932568573</v>
      </c>
      <c r="J42" s="1499">
        <v>3.2352087643489869</v>
      </c>
      <c r="K42" s="113">
        <v>1.5980842185784037</v>
      </c>
    </row>
    <row r="43" spans="2:11" x14ac:dyDescent="0.3">
      <c r="B43" s="115"/>
      <c r="C43" s="112" t="s">
        <v>1513</v>
      </c>
      <c r="D43" s="1499">
        <v>3.8087351727768275</v>
      </c>
      <c r="E43" s="1499">
        <v>3.0445277744049721</v>
      </c>
      <c r="F43" s="1499">
        <v>2.0334602598121627</v>
      </c>
      <c r="G43" s="1499">
        <v>1.8209331282645402</v>
      </c>
      <c r="H43" s="1499">
        <v>1.8819895907381041</v>
      </c>
      <c r="I43" s="1499">
        <v>3.5888708328574999</v>
      </c>
      <c r="J43" s="1499">
        <v>3.148870903949629</v>
      </c>
      <c r="K43" s="113">
        <v>1.511746358179046</v>
      </c>
    </row>
    <row r="44" spans="2:11" x14ac:dyDescent="0.3">
      <c r="B44" s="115"/>
      <c r="C44" s="112" t="s">
        <v>1517</v>
      </c>
      <c r="D44" s="1499">
        <v>3.7223973123774692</v>
      </c>
      <c r="E44" s="1499">
        <v>2.9581899140056138</v>
      </c>
      <c r="F44" s="1499">
        <v>1.9471223994128053</v>
      </c>
      <c r="G44" s="1499">
        <v>1.7345952678651826</v>
      </c>
      <c r="H44" s="1499">
        <v>1.7956517303387467</v>
      </c>
      <c r="I44" s="1499">
        <v>3.5025329724581415</v>
      </c>
      <c r="J44" s="1499">
        <v>3.0625330435502716</v>
      </c>
      <c r="K44" s="113">
        <v>1.4254084977796886</v>
      </c>
    </row>
    <row r="45" spans="2:11" ht="14.5" thickBot="1" x14ac:dyDescent="0.35">
      <c r="B45" s="1233"/>
      <c r="C45" s="116" t="s">
        <v>1519</v>
      </c>
      <c r="D45" s="117">
        <v>4.0782847326775666</v>
      </c>
      <c r="E45" s="117">
        <v>3.3199637245978848</v>
      </c>
      <c r="F45" s="117">
        <v>2.3025341184507808</v>
      </c>
      <c r="G45" s="117">
        <v>2.0969502294763931</v>
      </c>
      <c r="H45" s="117">
        <v>2.1530757681633204</v>
      </c>
      <c r="I45" s="117">
        <v>3.8635725825930423</v>
      </c>
      <c r="J45" s="117">
        <v>3.4238058224129713</v>
      </c>
      <c r="K45" s="118">
        <v>1.789245061871624</v>
      </c>
    </row>
    <row r="46" spans="2:11" x14ac:dyDescent="0.3">
      <c r="B46" s="119" t="s">
        <v>1983</v>
      </c>
      <c r="C46" s="108" t="s">
        <v>1416</v>
      </c>
      <c r="D46" s="109">
        <v>3.6939475290480015</v>
      </c>
      <c r="E46" s="109">
        <v>2.8803522017000733</v>
      </c>
      <c r="F46" s="109">
        <v>1.9225749500963139</v>
      </c>
      <c r="G46" s="109">
        <v>1.6791545009893654</v>
      </c>
      <c r="H46" s="109">
        <v>1.7705194050898101</v>
      </c>
      <c r="I46" s="109">
        <v>3.4375916744032256</v>
      </c>
      <c r="J46" s="109">
        <v>2.9876312546525301</v>
      </c>
      <c r="K46" s="110">
        <v>1.3939376702988735</v>
      </c>
    </row>
    <row r="47" spans="2:11" x14ac:dyDescent="0.3">
      <c r="B47" s="111"/>
      <c r="C47" s="112" t="s">
        <v>1483</v>
      </c>
      <c r="D47" s="1499">
        <v>4.3014148005949888</v>
      </c>
      <c r="E47" s="1499">
        <v>3.524941580190462</v>
      </c>
      <c r="F47" s="1499">
        <v>2.5433269059827754</v>
      </c>
      <c r="G47" s="1499">
        <v>2.3210785441701915</v>
      </c>
      <c r="H47" s="1499">
        <v>2.3886707759059735</v>
      </c>
      <c r="I47" s="1499">
        <v>4.06448663131268</v>
      </c>
      <c r="J47" s="1499">
        <v>3.6273639721966746</v>
      </c>
      <c r="K47" s="113">
        <v>2.033028583504306</v>
      </c>
    </row>
    <row r="48" spans="2:11" x14ac:dyDescent="0.3">
      <c r="B48" s="111" t="s">
        <v>1979</v>
      </c>
      <c r="C48" s="112" t="s">
        <v>1489</v>
      </c>
      <c r="D48" s="1499">
        <v>4.2319383320662709</v>
      </c>
      <c r="E48" s="1499">
        <v>3.4554651116617441</v>
      </c>
      <c r="F48" s="1499">
        <v>2.4738504374540571</v>
      </c>
      <c r="G48" s="1499">
        <v>2.2516020756414736</v>
      </c>
      <c r="H48" s="1499">
        <v>2.3191943073772556</v>
      </c>
      <c r="I48" s="1499">
        <v>3.9950101627839616</v>
      </c>
      <c r="J48" s="1499">
        <v>3.5578875036679563</v>
      </c>
      <c r="K48" s="113">
        <v>1.9635521149755879</v>
      </c>
    </row>
    <row r="49" spans="2:11" x14ac:dyDescent="0.3">
      <c r="B49" s="114">
        <v>0</v>
      </c>
      <c r="C49" s="112" t="s">
        <v>1496</v>
      </c>
      <c r="D49" s="1499">
        <v>4.127723629273194</v>
      </c>
      <c r="E49" s="1499">
        <v>3.3512504088686672</v>
      </c>
      <c r="F49" s="1499">
        <v>2.3696357346609807</v>
      </c>
      <c r="G49" s="1499">
        <v>2.1473873728483968</v>
      </c>
      <c r="H49" s="1499">
        <v>2.2149796045841788</v>
      </c>
      <c r="I49" s="1499">
        <v>3.8907954599908847</v>
      </c>
      <c r="J49" s="1499">
        <v>3.4536728008748798</v>
      </c>
      <c r="K49" s="113">
        <v>1.8593374121825113</v>
      </c>
    </row>
    <row r="50" spans="2:11" x14ac:dyDescent="0.3">
      <c r="B50" s="115"/>
      <c r="C50" s="112" t="s">
        <v>1500</v>
      </c>
      <c r="D50" s="1499">
        <v>4.0235089264801172</v>
      </c>
      <c r="E50" s="1499">
        <v>3.2470357060755903</v>
      </c>
      <c r="F50" s="1499">
        <v>2.2654210318679038</v>
      </c>
      <c r="G50" s="1499">
        <v>2.0431726700553203</v>
      </c>
      <c r="H50" s="1499">
        <v>2.1107649017911019</v>
      </c>
      <c r="I50" s="1499">
        <v>3.7865807571978078</v>
      </c>
      <c r="J50" s="1499">
        <v>3.3494580980818029</v>
      </c>
      <c r="K50" s="113">
        <v>1.7551227093894344</v>
      </c>
    </row>
    <row r="51" spans="2:11" x14ac:dyDescent="0.3">
      <c r="B51" s="115"/>
      <c r="C51" s="112" t="s">
        <v>1504</v>
      </c>
      <c r="D51" s="1499">
        <v>4.1773909349607008</v>
      </c>
      <c r="E51" s="1499">
        <v>3.3939367545991224</v>
      </c>
      <c r="F51" s="1499">
        <v>2.414689299339821</v>
      </c>
      <c r="G51" s="1499">
        <v>2.188733313074203</v>
      </c>
      <c r="H51" s="1499">
        <v>2.2579203237404113</v>
      </c>
      <c r="I51" s="1499">
        <v>3.9336846304711028</v>
      </c>
      <c r="J51" s="1499">
        <v>3.4964093996791692</v>
      </c>
      <c r="K51" s="113">
        <v>1.9038522955059058</v>
      </c>
    </row>
    <row r="52" spans="2:11" x14ac:dyDescent="0.3">
      <c r="B52" s="115"/>
      <c r="C52" s="112" t="s">
        <v>1508</v>
      </c>
      <c r="D52" s="1499">
        <v>4.1198323613611283</v>
      </c>
      <c r="E52" s="1499">
        <v>3.3363781809995503</v>
      </c>
      <c r="F52" s="1499">
        <v>2.3571307257402494</v>
      </c>
      <c r="G52" s="1499">
        <v>2.131174739474631</v>
      </c>
      <c r="H52" s="1499">
        <v>2.2003617501408392</v>
      </c>
      <c r="I52" s="1499">
        <v>3.8761260568715308</v>
      </c>
      <c r="J52" s="1499">
        <v>3.4388508260795971</v>
      </c>
      <c r="K52" s="113">
        <v>1.846293721906334</v>
      </c>
    </row>
    <row r="53" spans="2:11" x14ac:dyDescent="0.3">
      <c r="B53" s="115"/>
      <c r="C53" s="112" t="s">
        <v>1513</v>
      </c>
      <c r="D53" s="1499">
        <v>4.0334945009617709</v>
      </c>
      <c r="E53" s="1499">
        <v>3.2500403206001924</v>
      </c>
      <c r="F53" s="1499">
        <v>2.2707928653408915</v>
      </c>
      <c r="G53" s="1499">
        <v>2.0448368790752736</v>
      </c>
      <c r="H53" s="1499">
        <v>2.1140238897414818</v>
      </c>
      <c r="I53" s="1499">
        <v>3.7897881964721734</v>
      </c>
      <c r="J53" s="1499">
        <v>3.3525129656802397</v>
      </c>
      <c r="K53" s="113">
        <v>1.7599558615069764</v>
      </c>
    </row>
    <row r="54" spans="2:11" x14ac:dyDescent="0.3">
      <c r="B54" s="115"/>
      <c r="C54" s="112" t="s">
        <v>1517</v>
      </c>
      <c r="D54" s="1499">
        <v>3.9471566405624134</v>
      </c>
      <c r="E54" s="1499">
        <v>3.163702460200835</v>
      </c>
      <c r="F54" s="1499">
        <v>2.1844550049415341</v>
      </c>
      <c r="G54" s="1499">
        <v>1.9584990186759159</v>
      </c>
      <c r="H54" s="1499">
        <v>2.0276860293421244</v>
      </c>
      <c r="I54" s="1499">
        <v>3.7034503360728155</v>
      </c>
      <c r="J54" s="1499">
        <v>3.2661751052808818</v>
      </c>
      <c r="K54" s="113">
        <v>1.6736180011076189</v>
      </c>
    </row>
    <row r="55" spans="2:11" ht="14.5" thickBot="1" x14ac:dyDescent="0.35">
      <c r="B55" s="1233"/>
      <c r="C55" s="116" t="s">
        <v>1519</v>
      </c>
      <c r="D55" s="117">
        <v>4.3014148005949888</v>
      </c>
      <c r="E55" s="117">
        <v>3.524941580190462</v>
      </c>
      <c r="F55" s="117">
        <v>2.5433269059827754</v>
      </c>
      <c r="G55" s="117">
        <v>2.3210785441701915</v>
      </c>
      <c r="H55" s="117">
        <v>2.3886707759059735</v>
      </c>
      <c r="I55" s="117">
        <v>4.06448663131268</v>
      </c>
      <c r="J55" s="117">
        <v>3.6273639721966746</v>
      </c>
      <c r="K55" s="118">
        <v>2.033028583504306</v>
      </c>
    </row>
    <row r="56" spans="2:11" x14ac:dyDescent="0.3">
      <c r="B56" s="119" t="s">
        <v>1983</v>
      </c>
      <c r="C56" s="108" t="s">
        <v>1416</v>
      </c>
      <c r="D56" s="109">
        <v>3.6151998727348111</v>
      </c>
      <c r="E56" s="109">
        <v>2.801604545386883</v>
      </c>
      <c r="F56" s="109">
        <v>1.8438272937831235</v>
      </c>
      <c r="G56" s="109">
        <v>1.600406844676175</v>
      </c>
      <c r="H56" s="109">
        <v>1.69177174877662</v>
      </c>
      <c r="I56" s="109">
        <v>3.3588440180900352</v>
      </c>
      <c r="J56" s="109">
        <v>2.9088835983393397</v>
      </c>
      <c r="K56" s="110">
        <v>1.3151900139856831</v>
      </c>
    </row>
    <row r="57" spans="2:11" x14ac:dyDescent="0.3">
      <c r="B57" s="111"/>
      <c r="C57" s="112" t="s">
        <v>1483</v>
      </c>
      <c r="D57" s="1499">
        <v>4.2226671442817985</v>
      </c>
      <c r="E57" s="1499">
        <v>3.4461939238772712</v>
      </c>
      <c r="F57" s="1499">
        <v>2.4645792496695846</v>
      </c>
      <c r="G57" s="1499">
        <v>2.2423308878570012</v>
      </c>
      <c r="H57" s="1499">
        <v>2.3099231195927832</v>
      </c>
      <c r="I57" s="1499">
        <v>3.9857389749994887</v>
      </c>
      <c r="J57" s="1499">
        <v>3.5486163158834838</v>
      </c>
      <c r="K57" s="113">
        <v>1.9542809271911157</v>
      </c>
    </row>
    <row r="58" spans="2:11" x14ac:dyDescent="0.3">
      <c r="B58" s="111" t="s">
        <v>1980</v>
      </c>
      <c r="C58" s="112" t="s">
        <v>1489</v>
      </c>
      <c r="D58" s="1499">
        <v>4.1531906757530805</v>
      </c>
      <c r="E58" s="1499">
        <v>3.3767174553485537</v>
      </c>
      <c r="F58" s="1499">
        <v>2.3951027811408667</v>
      </c>
      <c r="G58" s="1499">
        <v>2.1728544193282833</v>
      </c>
      <c r="H58" s="1499">
        <v>2.2404466510640653</v>
      </c>
      <c r="I58" s="1499">
        <v>3.9162625064707712</v>
      </c>
      <c r="J58" s="1499">
        <v>3.4791398473547663</v>
      </c>
      <c r="K58" s="113">
        <v>1.8848044586623978</v>
      </c>
    </row>
    <row r="59" spans="2:11" x14ac:dyDescent="0.3">
      <c r="B59" s="114">
        <v>0</v>
      </c>
      <c r="C59" s="112" t="s">
        <v>1496</v>
      </c>
      <c r="D59" s="1499">
        <v>4.0489759729600037</v>
      </c>
      <c r="E59" s="1499">
        <v>3.2725027525554768</v>
      </c>
      <c r="F59" s="1499">
        <v>2.2908880783477903</v>
      </c>
      <c r="G59" s="1499">
        <v>2.0686397165352068</v>
      </c>
      <c r="H59" s="1499">
        <v>2.1362319482709884</v>
      </c>
      <c r="I59" s="1499">
        <v>3.8120478036776944</v>
      </c>
      <c r="J59" s="1499">
        <v>3.3749251445616895</v>
      </c>
      <c r="K59" s="113">
        <v>1.7805897558693209</v>
      </c>
    </row>
    <row r="60" spans="2:11" x14ac:dyDescent="0.3">
      <c r="B60" s="115"/>
      <c r="C60" s="112" t="s">
        <v>1500</v>
      </c>
      <c r="D60" s="1499">
        <v>3.9447612701669268</v>
      </c>
      <c r="E60" s="1499">
        <v>3.1682880497624</v>
      </c>
      <c r="F60" s="1499">
        <v>2.186673375554713</v>
      </c>
      <c r="G60" s="1499">
        <v>1.9644250137421295</v>
      </c>
      <c r="H60" s="1499">
        <v>2.0320172454779115</v>
      </c>
      <c r="I60" s="1499">
        <v>3.7078331008846175</v>
      </c>
      <c r="J60" s="1499">
        <v>3.2707104417686126</v>
      </c>
      <c r="K60" s="113">
        <v>1.6763750530762438</v>
      </c>
    </row>
    <row r="61" spans="2:11" x14ac:dyDescent="0.3">
      <c r="B61" s="115"/>
      <c r="C61" s="112" t="s">
        <v>1504</v>
      </c>
      <c r="D61" s="1499">
        <v>4.0986432786475095</v>
      </c>
      <c r="E61" s="1499">
        <v>3.3151890982859311</v>
      </c>
      <c r="F61" s="1499">
        <v>2.3359416430266307</v>
      </c>
      <c r="G61" s="1499">
        <v>2.1099856567610127</v>
      </c>
      <c r="H61" s="1499">
        <v>2.1791726674272209</v>
      </c>
      <c r="I61" s="1499">
        <v>3.854936974157912</v>
      </c>
      <c r="J61" s="1499">
        <v>3.4176617433659784</v>
      </c>
      <c r="K61" s="113">
        <v>1.8251046391927155</v>
      </c>
    </row>
    <row r="62" spans="2:11" x14ac:dyDescent="0.3">
      <c r="B62" s="115"/>
      <c r="C62" s="112" t="s">
        <v>1508</v>
      </c>
      <c r="D62" s="1499">
        <v>4.0410847050479388</v>
      </c>
      <c r="E62" s="1499">
        <v>3.2576305246863599</v>
      </c>
      <c r="F62" s="1499">
        <v>2.2783830694270586</v>
      </c>
      <c r="G62" s="1499">
        <v>2.0524270831614406</v>
      </c>
      <c r="H62" s="1499">
        <v>2.1216140938276489</v>
      </c>
      <c r="I62" s="1499">
        <v>3.7973784005583404</v>
      </c>
      <c r="J62" s="1499">
        <v>3.3601031697664068</v>
      </c>
      <c r="K62" s="113">
        <v>1.7675460655931436</v>
      </c>
    </row>
    <row r="63" spans="2:11" x14ac:dyDescent="0.3">
      <c r="B63" s="115"/>
      <c r="C63" s="112" t="s">
        <v>1513</v>
      </c>
      <c r="D63" s="1499">
        <v>3.954746844648581</v>
      </c>
      <c r="E63" s="1499">
        <v>3.1712926642870021</v>
      </c>
      <c r="F63" s="1499">
        <v>2.1920452090277012</v>
      </c>
      <c r="G63" s="1499">
        <v>1.9660892227620832</v>
      </c>
      <c r="H63" s="1499">
        <v>2.0352762334282914</v>
      </c>
      <c r="I63" s="1499">
        <v>3.711040540158983</v>
      </c>
      <c r="J63" s="1499">
        <v>3.2737653093670493</v>
      </c>
      <c r="K63" s="113">
        <v>1.681208205193786</v>
      </c>
    </row>
    <row r="64" spans="2:11" x14ac:dyDescent="0.3">
      <c r="B64" s="115"/>
      <c r="C64" s="112" t="s">
        <v>1517</v>
      </c>
      <c r="D64" s="1499">
        <v>3.8684089842492231</v>
      </c>
      <c r="E64" s="1499">
        <v>3.0849548038876446</v>
      </c>
      <c r="F64" s="1499">
        <v>2.1057073486283433</v>
      </c>
      <c r="G64" s="1499">
        <v>1.8797513623627256</v>
      </c>
      <c r="H64" s="1499">
        <v>1.9489383730289338</v>
      </c>
      <c r="I64" s="1499">
        <v>3.6247026797596251</v>
      </c>
      <c r="J64" s="1499">
        <v>3.1874274489676919</v>
      </c>
      <c r="K64" s="113">
        <v>1.5948703447944281</v>
      </c>
    </row>
    <row r="65" spans="2:11" ht="14.5" thickBot="1" x14ac:dyDescent="0.35">
      <c r="B65" s="1233"/>
      <c r="C65" s="116" t="s">
        <v>1519</v>
      </c>
      <c r="D65" s="117">
        <v>4.2226671442817985</v>
      </c>
      <c r="E65" s="117">
        <v>3.4461939238772712</v>
      </c>
      <c r="F65" s="117">
        <v>2.4645792496695846</v>
      </c>
      <c r="G65" s="117">
        <v>2.2423308878570012</v>
      </c>
      <c r="H65" s="117">
        <v>2.3099231195927832</v>
      </c>
      <c r="I65" s="117">
        <v>3.9857389749994887</v>
      </c>
      <c r="J65" s="117">
        <v>3.5486163158834838</v>
      </c>
      <c r="K65" s="118">
        <v>1.9542809271911157</v>
      </c>
    </row>
    <row r="66" spans="2:11" x14ac:dyDescent="0.3">
      <c r="B66" s="119" t="s">
        <v>1983</v>
      </c>
      <c r="C66" s="108" t="s">
        <v>1416</v>
      </c>
      <c r="D66" s="109">
        <v>3.4970783882650252</v>
      </c>
      <c r="E66" s="109">
        <v>2.6834830609170974</v>
      </c>
      <c r="F66" s="109">
        <v>1.7257058093133377</v>
      </c>
      <c r="G66" s="109">
        <v>1.4822853602063892</v>
      </c>
      <c r="H66" s="109">
        <v>1.5736502643068342</v>
      </c>
      <c r="I66" s="109">
        <v>3.2407225336202492</v>
      </c>
      <c r="J66" s="109">
        <v>2.7907621138695542</v>
      </c>
      <c r="K66" s="110">
        <v>1.1970685295158974</v>
      </c>
    </row>
    <row r="67" spans="2:11" x14ac:dyDescent="0.3">
      <c r="B67" s="111"/>
      <c r="C67" s="112" t="s">
        <v>1483</v>
      </c>
      <c r="D67" s="1499">
        <v>4.1045456598120129</v>
      </c>
      <c r="E67" s="1499">
        <v>3.3280724394074861</v>
      </c>
      <c r="F67" s="1499">
        <v>2.3464577651997991</v>
      </c>
      <c r="G67" s="1499">
        <v>2.1242094033872156</v>
      </c>
      <c r="H67" s="1499">
        <v>2.1918016351229976</v>
      </c>
      <c r="I67" s="1499">
        <v>3.8676174905297036</v>
      </c>
      <c r="J67" s="1499">
        <v>3.4304948314136987</v>
      </c>
      <c r="K67" s="113">
        <v>1.8361594427213299</v>
      </c>
    </row>
    <row r="68" spans="2:11" x14ac:dyDescent="0.3">
      <c r="B68" s="111" t="s">
        <v>1981</v>
      </c>
      <c r="C68" s="112" t="s">
        <v>1489</v>
      </c>
      <c r="D68" s="1499">
        <v>4.035069191283295</v>
      </c>
      <c r="E68" s="1499">
        <v>3.2585959708787677</v>
      </c>
      <c r="F68" s="1499">
        <v>2.2769812966710812</v>
      </c>
      <c r="G68" s="1499">
        <v>2.0547329348584977</v>
      </c>
      <c r="H68" s="1499">
        <v>2.1223251665942797</v>
      </c>
      <c r="I68" s="1499">
        <v>3.7981410220009852</v>
      </c>
      <c r="J68" s="1499">
        <v>3.3610183628849803</v>
      </c>
      <c r="K68" s="113">
        <v>1.766682974192612</v>
      </c>
    </row>
    <row r="69" spans="2:11" x14ac:dyDescent="0.3">
      <c r="B69" s="114">
        <v>0</v>
      </c>
      <c r="C69" s="112" t="s">
        <v>1496</v>
      </c>
      <c r="D69" s="1499">
        <v>3.9308544884902181</v>
      </c>
      <c r="E69" s="1499">
        <v>3.1543812680856909</v>
      </c>
      <c r="F69" s="1499">
        <v>2.1727665938780043</v>
      </c>
      <c r="G69" s="1499">
        <v>1.9505182320654209</v>
      </c>
      <c r="H69" s="1499">
        <v>2.0181104638012028</v>
      </c>
      <c r="I69" s="1499">
        <v>3.6939263192079084</v>
      </c>
      <c r="J69" s="1499">
        <v>3.2568036600919035</v>
      </c>
      <c r="K69" s="113">
        <v>1.6624682713995351</v>
      </c>
    </row>
    <row r="70" spans="2:11" x14ac:dyDescent="0.3">
      <c r="B70" s="115"/>
      <c r="C70" s="112" t="s">
        <v>1500</v>
      </c>
      <c r="D70" s="1499">
        <v>3.8266397856971412</v>
      </c>
      <c r="E70" s="1499">
        <v>3.0501665652926144</v>
      </c>
      <c r="F70" s="1499">
        <v>2.0685518910849274</v>
      </c>
      <c r="G70" s="1499">
        <v>1.8463035292723442</v>
      </c>
      <c r="H70" s="1499">
        <v>1.9138957610081258</v>
      </c>
      <c r="I70" s="1499">
        <v>3.5897116164148319</v>
      </c>
      <c r="J70" s="1499">
        <v>3.1525889572988266</v>
      </c>
      <c r="K70" s="113">
        <v>1.5582535686064585</v>
      </c>
    </row>
    <row r="71" spans="2:11" x14ac:dyDescent="0.3">
      <c r="B71" s="115"/>
      <c r="C71" s="112" t="s">
        <v>1504</v>
      </c>
      <c r="D71" s="1499">
        <v>3.9805217941777249</v>
      </c>
      <c r="E71" s="1499">
        <v>3.197067613816146</v>
      </c>
      <c r="F71" s="1499">
        <v>2.2178201585568447</v>
      </c>
      <c r="G71" s="1499">
        <v>1.9918641722912267</v>
      </c>
      <c r="H71" s="1499">
        <v>2.0610511829574349</v>
      </c>
      <c r="I71" s="1499">
        <v>3.7368154896881269</v>
      </c>
      <c r="J71" s="1499">
        <v>3.2995402588961933</v>
      </c>
      <c r="K71" s="113">
        <v>1.7069831547229297</v>
      </c>
    </row>
    <row r="72" spans="2:11" x14ac:dyDescent="0.3">
      <c r="B72" s="115"/>
      <c r="C72" s="112" t="s">
        <v>1508</v>
      </c>
      <c r="D72" s="1499">
        <v>3.9229632205781528</v>
      </c>
      <c r="E72" s="1499">
        <v>3.139509040216574</v>
      </c>
      <c r="F72" s="1499">
        <v>2.1602615849572731</v>
      </c>
      <c r="G72" s="1499">
        <v>1.9343055986916549</v>
      </c>
      <c r="H72" s="1499">
        <v>2.0034926093578633</v>
      </c>
      <c r="I72" s="1499">
        <v>3.6792569160885549</v>
      </c>
      <c r="J72" s="1499">
        <v>3.2419816852966212</v>
      </c>
      <c r="K72" s="113">
        <v>1.6494245811233579</v>
      </c>
    </row>
    <row r="73" spans="2:11" x14ac:dyDescent="0.3">
      <c r="B73" s="115"/>
      <c r="C73" s="112" t="s">
        <v>1513</v>
      </c>
      <c r="D73" s="1499">
        <v>3.836625360178795</v>
      </c>
      <c r="E73" s="1499">
        <v>3.0531711798172165</v>
      </c>
      <c r="F73" s="1499">
        <v>2.0739237245579156</v>
      </c>
      <c r="G73" s="1499">
        <v>1.8479677382922974</v>
      </c>
      <c r="H73" s="1499">
        <v>1.9171547489585057</v>
      </c>
      <c r="I73" s="1499">
        <v>3.592919055689197</v>
      </c>
      <c r="J73" s="1499">
        <v>3.1556438248972634</v>
      </c>
      <c r="K73" s="113">
        <v>1.5630867207240002</v>
      </c>
    </row>
    <row r="74" spans="2:11" x14ac:dyDescent="0.3">
      <c r="B74" s="115"/>
      <c r="C74" s="112" t="s">
        <v>1517</v>
      </c>
      <c r="D74" s="1499">
        <v>3.7502874997794375</v>
      </c>
      <c r="E74" s="1499">
        <v>2.9668333194178587</v>
      </c>
      <c r="F74" s="1499">
        <v>1.987585864158558</v>
      </c>
      <c r="G74" s="1499">
        <v>1.7616298778929398</v>
      </c>
      <c r="H74" s="1499">
        <v>1.830816888559148</v>
      </c>
      <c r="I74" s="1499">
        <v>3.5065811952898396</v>
      </c>
      <c r="J74" s="1499">
        <v>3.0693059644979059</v>
      </c>
      <c r="K74" s="113">
        <v>1.4767488603246428</v>
      </c>
    </row>
    <row r="75" spans="2:11" ht="14.5" thickBot="1" x14ac:dyDescent="0.35">
      <c r="B75" s="1233"/>
      <c r="C75" s="116" t="s">
        <v>1519</v>
      </c>
      <c r="D75" s="117">
        <v>4.1045456598120129</v>
      </c>
      <c r="E75" s="117">
        <v>3.3280724394074861</v>
      </c>
      <c r="F75" s="117">
        <v>2.3464577651997991</v>
      </c>
      <c r="G75" s="117">
        <v>2.1242094033872156</v>
      </c>
      <c r="H75" s="117">
        <v>2.1918016351229976</v>
      </c>
      <c r="I75" s="117">
        <v>3.8676174905297036</v>
      </c>
      <c r="J75" s="117">
        <v>3.4304948314136987</v>
      </c>
      <c r="K75" s="118">
        <v>1.8361594427213299</v>
      </c>
    </row>
    <row r="76" spans="2:11" x14ac:dyDescent="0.3">
      <c r="B76" s="119" t="s">
        <v>1983</v>
      </c>
      <c r="C76" s="108" t="s">
        <v>1416</v>
      </c>
      <c r="D76" s="109">
        <v>3.3789569037952396</v>
      </c>
      <c r="E76" s="109">
        <v>2.5653615764473114</v>
      </c>
      <c r="F76" s="109">
        <v>1.6075843248435524</v>
      </c>
      <c r="G76" s="109">
        <v>1.3641638757366037</v>
      </c>
      <c r="H76" s="109">
        <v>1.4555287798370486</v>
      </c>
      <c r="I76" s="109">
        <v>3.1226010491504637</v>
      </c>
      <c r="J76" s="109">
        <v>2.6726406293997682</v>
      </c>
      <c r="K76" s="110">
        <v>1.0789470450461121</v>
      </c>
    </row>
    <row r="77" spans="2:11" x14ac:dyDescent="0.3">
      <c r="B77" s="111"/>
      <c r="C77" s="112" t="s">
        <v>1483</v>
      </c>
      <c r="D77" s="1499">
        <v>3.9864241753422269</v>
      </c>
      <c r="E77" s="1499">
        <v>3.2099509549377001</v>
      </c>
      <c r="F77" s="1499">
        <v>2.2283362807300136</v>
      </c>
      <c r="G77" s="1499">
        <v>2.0060879189174301</v>
      </c>
      <c r="H77" s="1499">
        <v>2.0736801506532121</v>
      </c>
      <c r="I77" s="1499">
        <v>3.7494960060599176</v>
      </c>
      <c r="J77" s="1499">
        <v>3.3123733469439127</v>
      </c>
      <c r="K77" s="113">
        <v>1.7180379582515444</v>
      </c>
    </row>
    <row r="78" spans="2:11" x14ac:dyDescent="0.3">
      <c r="B78" s="111" t="s">
        <v>1982</v>
      </c>
      <c r="C78" s="112" t="s">
        <v>1489</v>
      </c>
      <c r="D78" s="1499">
        <v>3.916947706813509</v>
      </c>
      <c r="E78" s="1499">
        <v>3.1404744864089822</v>
      </c>
      <c r="F78" s="1499">
        <v>2.1588598122012956</v>
      </c>
      <c r="G78" s="1499">
        <v>1.9366114503887122</v>
      </c>
      <c r="H78" s="1499">
        <v>2.0042036821244942</v>
      </c>
      <c r="I78" s="1499">
        <v>3.6800195375311997</v>
      </c>
      <c r="J78" s="1499">
        <v>3.2428968784151948</v>
      </c>
      <c r="K78" s="113">
        <v>1.6485614897228265</v>
      </c>
    </row>
    <row r="79" spans="2:11" x14ac:dyDescent="0.3">
      <c r="B79" s="114">
        <v>0</v>
      </c>
      <c r="C79" s="112" t="s">
        <v>1496</v>
      </c>
      <c r="D79" s="1499">
        <v>3.8127330040204321</v>
      </c>
      <c r="E79" s="1499">
        <v>3.0362597836159053</v>
      </c>
      <c r="F79" s="1499">
        <v>2.0546451094082188</v>
      </c>
      <c r="G79" s="1499">
        <v>1.8323967475956351</v>
      </c>
      <c r="H79" s="1499">
        <v>1.8999889793314171</v>
      </c>
      <c r="I79" s="1499">
        <v>3.5758048347381228</v>
      </c>
      <c r="J79" s="1499">
        <v>3.1386821756221179</v>
      </c>
      <c r="K79" s="113">
        <v>1.5443467869297494</v>
      </c>
    </row>
    <row r="80" spans="2:11" x14ac:dyDescent="0.3">
      <c r="B80" s="115"/>
      <c r="C80" s="112" t="s">
        <v>1500</v>
      </c>
      <c r="D80" s="1499">
        <v>3.7085183012273553</v>
      </c>
      <c r="E80" s="1499">
        <v>2.9320450808228284</v>
      </c>
      <c r="F80" s="1499">
        <v>1.9504304066151419</v>
      </c>
      <c r="G80" s="1499">
        <v>1.7281820448025584</v>
      </c>
      <c r="H80" s="1499">
        <v>1.7957742765383402</v>
      </c>
      <c r="I80" s="1499">
        <v>3.471590131945046</v>
      </c>
      <c r="J80" s="1499">
        <v>3.0344674728290411</v>
      </c>
      <c r="K80" s="113">
        <v>1.4401320841366727</v>
      </c>
    </row>
    <row r="81" spans="2:11" x14ac:dyDescent="0.3">
      <c r="B81" s="115"/>
      <c r="C81" s="112" t="s">
        <v>1504</v>
      </c>
      <c r="D81" s="1499">
        <v>3.8624003097079389</v>
      </c>
      <c r="E81" s="1499">
        <v>3.0789461293463605</v>
      </c>
      <c r="F81" s="1499">
        <v>2.0996986740870591</v>
      </c>
      <c r="G81" s="1499">
        <v>1.8737426878214414</v>
      </c>
      <c r="H81" s="1499">
        <v>1.9429296984876496</v>
      </c>
      <c r="I81" s="1499">
        <v>3.6186940052183409</v>
      </c>
      <c r="J81" s="1499">
        <v>3.1814187744264073</v>
      </c>
      <c r="K81" s="113">
        <v>1.588861670253144</v>
      </c>
    </row>
    <row r="82" spans="2:11" x14ac:dyDescent="0.3">
      <c r="B82" s="115"/>
      <c r="C82" s="112" t="s">
        <v>1508</v>
      </c>
      <c r="D82" s="1499">
        <v>3.8048417361083668</v>
      </c>
      <c r="E82" s="1499">
        <v>3.0213875557467884</v>
      </c>
      <c r="F82" s="1499">
        <v>2.0421401004874875</v>
      </c>
      <c r="G82" s="1499">
        <v>1.8161841142218695</v>
      </c>
      <c r="H82" s="1499">
        <v>1.8853711248880778</v>
      </c>
      <c r="I82" s="1499">
        <v>3.5611354316187689</v>
      </c>
      <c r="J82" s="1499">
        <v>3.1238602008268352</v>
      </c>
      <c r="K82" s="113">
        <v>1.5313030966535723</v>
      </c>
    </row>
    <row r="83" spans="2:11" x14ac:dyDescent="0.3">
      <c r="B83" s="115"/>
      <c r="C83" s="112" t="s">
        <v>1513</v>
      </c>
      <c r="D83" s="1499">
        <v>3.7185038757090094</v>
      </c>
      <c r="E83" s="1499">
        <v>2.9350496953474305</v>
      </c>
      <c r="F83" s="1499">
        <v>1.9558022400881301</v>
      </c>
      <c r="G83" s="1499">
        <v>1.7298462538225117</v>
      </c>
      <c r="H83" s="1499">
        <v>1.7990332644887199</v>
      </c>
      <c r="I83" s="1499">
        <v>3.4747975712194115</v>
      </c>
      <c r="J83" s="1499">
        <v>3.0375223404274778</v>
      </c>
      <c r="K83" s="113">
        <v>1.4449652362542149</v>
      </c>
    </row>
    <row r="84" spans="2:11" x14ac:dyDescent="0.3">
      <c r="B84" s="115"/>
      <c r="C84" s="112" t="s">
        <v>1517</v>
      </c>
      <c r="D84" s="1499">
        <v>3.6321660153096516</v>
      </c>
      <c r="E84" s="1499">
        <v>2.8487118349480731</v>
      </c>
      <c r="F84" s="1499">
        <v>1.8694643796887722</v>
      </c>
      <c r="G84" s="1499">
        <v>1.643508393423154</v>
      </c>
      <c r="H84" s="1499">
        <v>1.7126954040893623</v>
      </c>
      <c r="I84" s="1499">
        <v>3.3884597108200536</v>
      </c>
      <c r="J84" s="1499">
        <v>2.9511844800281204</v>
      </c>
      <c r="K84" s="113">
        <v>1.358627375854857</v>
      </c>
    </row>
    <row r="85" spans="2:11" ht="14.5" thickBot="1" x14ac:dyDescent="0.35">
      <c r="B85" s="1233"/>
      <c r="C85" s="116" t="s">
        <v>1519</v>
      </c>
      <c r="D85" s="117">
        <v>3.9864241753422269</v>
      </c>
      <c r="E85" s="117">
        <v>3.2099509549377001</v>
      </c>
      <c r="F85" s="117">
        <v>2.2283362807300136</v>
      </c>
      <c r="G85" s="117">
        <v>2.0060879189174301</v>
      </c>
      <c r="H85" s="117">
        <v>2.0736801506532121</v>
      </c>
      <c r="I85" s="117">
        <v>3.7494960060599176</v>
      </c>
      <c r="J85" s="117">
        <v>3.3123733469439127</v>
      </c>
      <c r="K85" s="118">
        <v>1.7180379582515444</v>
      </c>
    </row>
    <row r="87" spans="2:11" ht="14.5" thickBot="1" x14ac:dyDescent="0.35"/>
    <row r="88" spans="2:11" ht="25.5" thickBot="1" x14ac:dyDescent="0.55000000000000004">
      <c r="B88" s="88" t="s">
        <v>1960</v>
      </c>
      <c r="C88" s="89"/>
      <c r="D88" s="90">
        <v>4</v>
      </c>
      <c r="E88" s="91" t="s">
        <v>1984</v>
      </c>
      <c r="F88" s="92"/>
      <c r="G88" s="92"/>
      <c r="H88" s="92"/>
      <c r="I88" s="93"/>
      <c r="J88" s="89" t="s">
        <v>176</v>
      </c>
      <c r="K88" s="94" t="s">
        <v>234</v>
      </c>
    </row>
    <row r="89" spans="2:11" ht="14.5" thickBot="1" x14ac:dyDescent="0.35">
      <c r="B89" s="95" t="s">
        <v>1962</v>
      </c>
      <c r="C89" s="96" t="s">
        <v>1963</v>
      </c>
      <c r="D89" s="95" t="s">
        <v>1964</v>
      </c>
      <c r="E89" s="97" t="s">
        <v>1965</v>
      </c>
      <c r="F89" s="97" t="s">
        <v>1966</v>
      </c>
      <c r="G89" s="97" t="s">
        <v>1967</v>
      </c>
      <c r="H89" s="97" t="s">
        <v>1968</v>
      </c>
      <c r="I89" s="97" t="s">
        <v>1969</v>
      </c>
      <c r="J89" s="97" t="s">
        <v>1970</v>
      </c>
      <c r="K89" s="98" t="s">
        <v>1971</v>
      </c>
    </row>
    <row r="90" spans="2:11" ht="14.5" thickBot="1" x14ac:dyDescent="0.35">
      <c r="B90" s="99"/>
      <c r="C90" s="99"/>
      <c r="D90" s="100"/>
      <c r="E90" s="944"/>
      <c r="F90" s="944"/>
      <c r="G90" s="944"/>
      <c r="H90" s="944"/>
      <c r="I90" s="944"/>
      <c r="J90" s="944"/>
      <c r="K90" s="102"/>
    </row>
    <row r="91" spans="2:11" ht="90.5" thickBot="1" x14ac:dyDescent="0.45">
      <c r="B91" s="103" t="s">
        <v>1972</v>
      </c>
      <c r="C91" s="103" t="s">
        <v>1973</v>
      </c>
      <c r="D91" s="105" t="s">
        <v>1974</v>
      </c>
      <c r="E91" s="105" t="s">
        <v>1525</v>
      </c>
      <c r="F91" s="105" t="s">
        <v>1527</v>
      </c>
      <c r="G91" s="105" t="s">
        <v>1975</v>
      </c>
      <c r="H91" s="105" t="s">
        <v>1976</v>
      </c>
      <c r="I91" s="105" t="s">
        <v>1445</v>
      </c>
      <c r="J91" s="105" t="s">
        <v>1538</v>
      </c>
      <c r="K91" s="106" t="s">
        <v>1541</v>
      </c>
    </row>
    <row r="92" spans="2:11" x14ac:dyDescent="0.3">
      <c r="B92" s="107" t="s">
        <v>1985</v>
      </c>
      <c r="C92" s="108" t="s">
        <v>1416</v>
      </c>
      <c r="D92" s="109">
        <v>3.0946589584270425</v>
      </c>
      <c r="E92" s="109">
        <v>2.2063380188059027</v>
      </c>
      <c r="F92" s="109">
        <v>1.3765378399337918</v>
      </c>
      <c r="G92" s="109">
        <v>1.1228718835865905</v>
      </c>
      <c r="H92" s="109">
        <v>1.2334101155232684</v>
      </c>
      <c r="I92" s="109">
        <v>2.7319812767247043</v>
      </c>
      <c r="J92" s="109">
        <v>2.3108314398772527</v>
      </c>
      <c r="K92" s="110">
        <v>0.87686718365128336</v>
      </c>
    </row>
    <row r="93" spans="2:11" x14ac:dyDescent="0.3">
      <c r="B93" s="111"/>
      <c r="C93" s="112" t="s">
        <v>1483</v>
      </c>
      <c r="D93" s="1499">
        <v>3.6903491099151582</v>
      </c>
      <c r="E93" s="1499">
        <v>2.8547896708873859</v>
      </c>
      <c r="F93" s="1499">
        <v>1.9771224716376667</v>
      </c>
      <c r="G93" s="1499">
        <v>1.7344909341038111</v>
      </c>
      <c r="H93" s="1499">
        <v>1.8264727953615398</v>
      </c>
      <c r="I93" s="1499">
        <v>3.3767823368418446</v>
      </c>
      <c r="J93" s="1499">
        <v>2.9543604006889677</v>
      </c>
      <c r="K93" s="113">
        <v>1.4712212869429671</v>
      </c>
    </row>
    <row r="94" spans="2:11" x14ac:dyDescent="0.3">
      <c r="B94" s="111" t="s">
        <v>1986</v>
      </c>
      <c r="C94" s="112" t="s">
        <v>1489</v>
      </c>
      <c r="D94" s="1499">
        <v>3.6208726413864407</v>
      </c>
      <c r="E94" s="1499">
        <v>2.7853132023586684</v>
      </c>
      <c r="F94" s="1499">
        <v>1.9076460031089488</v>
      </c>
      <c r="G94" s="1499">
        <v>1.6650144655750931</v>
      </c>
      <c r="H94" s="1499">
        <v>1.7569963268328219</v>
      </c>
      <c r="I94" s="1499">
        <v>3.3073058683131271</v>
      </c>
      <c r="J94" s="1499">
        <v>2.8848839321602497</v>
      </c>
      <c r="K94" s="113">
        <v>1.4017448184142491</v>
      </c>
    </row>
    <row r="95" spans="2:11" x14ac:dyDescent="0.3">
      <c r="B95" s="114">
        <v>0</v>
      </c>
      <c r="C95" s="112" t="s">
        <v>1496</v>
      </c>
      <c r="D95" s="1499">
        <v>3.5166579385933634</v>
      </c>
      <c r="E95" s="1499">
        <v>2.6810984995655911</v>
      </c>
      <c r="F95" s="1499">
        <v>1.8034313003158722</v>
      </c>
      <c r="G95" s="1499">
        <v>1.5607997627820163</v>
      </c>
      <c r="H95" s="1499">
        <v>1.652781624039745</v>
      </c>
      <c r="I95" s="1499">
        <v>3.2030911655200498</v>
      </c>
      <c r="J95" s="1499">
        <v>2.7806692293671724</v>
      </c>
      <c r="K95" s="113">
        <v>1.2975301156211723</v>
      </c>
    </row>
    <row r="96" spans="2:11" x14ac:dyDescent="0.3">
      <c r="B96" s="115"/>
      <c r="C96" s="112" t="s">
        <v>1500</v>
      </c>
      <c r="D96" s="1499">
        <v>3.4124432358002865</v>
      </c>
      <c r="E96" s="1499">
        <v>2.5768837967725142</v>
      </c>
      <c r="F96" s="1499">
        <v>1.6992165975227951</v>
      </c>
      <c r="G96" s="1499">
        <v>1.4565850599889394</v>
      </c>
      <c r="H96" s="1499">
        <v>1.5485669212466679</v>
      </c>
      <c r="I96" s="1499">
        <v>3.0988764627269729</v>
      </c>
      <c r="J96" s="1499">
        <v>2.6764545265740955</v>
      </c>
      <c r="K96" s="113">
        <v>1.1933154128280952</v>
      </c>
    </row>
    <row r="97" spans="2:11" x14ac:dyDescent="0.3">
      <c r="B97" s="115"/>
      <c r="C97" s="112" t="s">
        <v>1504</v>
      </c>
      <c r="D97" s="1499">
        <v>3.5684863313680464</v>
      </c>
      <c r="E97" s="1499">
        <v>2.7242944042001094</v>
      </c>
      <c r="F97" s="1499">
        <v>1.8560621848798013</v>
      </c>
      <c r="G97" s="1499">
        <v>1.6016967816116661</v>
      </c>
      <c r="H97" s="1499">
        <v>1.7006225906989028</v>
      </c>
      <c r="I97" s="1499">
        <v>3.2459822060673815</v>
      </c>
      <c r="J97" s="1499">
        <v>2.8251928131257604</v>
      </c>
      <c r="K97" s="113">
        <v>1.3554694063434953</v>
      </c>
    </row>
    <row r="98" spans="2:11" x14ac:dyDescent="0.3">
      <c r="B98" s="115"/>
      <c r="C98" s="112" t="s">
        <v>1508</v>
      </c>
      <c r="D98" s="1499">
        <v>3.5109277577684748</v>
      </c>
      <c r="E98" s="1499">
        <v>2.6667358306005378</v>
      </c>
      <c r="F98" s="1499">
        <v>1.7985036112802295</v>
      </c>
      <c r="G98" s="1499">
        <v>1.5441382080120944</v>
      </c>
      <c r="H98" s="1499">
        <v>1.6430640170993309</v>
      </c>
      <c r="I98" s="1499">
        <v>3.1884236324678104</v>
      </c>
      <c r="J98" s="1499">
        <v>2.7676342395261888</v>
      </c>
      <c r="K98" s="113">
        <v>1.2979108327439237</v>
      </c>
    </row>
    <row r="99" spans="2:11" x14ac:dyDescent="0.3">
      <c r="B99" s="115"/>
      <c r="C99" s="112" t="s">
        <v>1513</v>
      </c>
      <c r="D99" s="1499">
        <v>3.4245898973691169</v>
      </c>
      <c r="E99" s="1499">
        <v>2.5803979702011799</v>
      </c>
      <c r="F99" s="1499">
        <v>1.7121657508808719</v>
      </c>
      <c r="G99" s="1499">
        <v>1.4578003476127368</v>
      </c>
      <c r="H99" s="1499">
        <v>1.5567261566999735</v>
      </c>
      <c r="I99" s="1499">
        <v>3.102085772068452</v>
      </c>
      <c r="J99" s="1499">
        <v>2.6812963791268305</v>
      </c>
      <c r="K99" s="113">
        <v>1.2115729723445661</v>
      </c>
    </row>
    <row r="100" spans="2:11" x14ac:dyDescent="0.3">
      <c r="B100" s="115"/>
      <c r="C100" s="112" t="s">
        <v>1517</v>
      </c>
      <c r="D100" s="1499">
        <v>3.338252036969759</v>
      </c>
      <c r="E100" s="1499">
        <v>2.494060109801822</v>
      </c>
      <c r="F100" s="1499">
        <v>1.6258278904815144</v>
      </c>
      <c r="G100" s="1499">
        <v>1.3714624872133792</v>
      </c>
      <c r="H100" s="1499">
        <v>1.4703882963006156</v>
      </c>
      <c r="I100" s="1499">
        <v>3.0157479116690946</v>
      </c>
      <c r="J100" s="1499">
        <v>2.5949585187274731</v>
      </c>
      <c r="K100" s="113">
        <v>1.1252351119452084</v>
      </c>
    </row>
    <row r="101" spans="2:11" ht="14.5" thickBot="1" x14ac:dyDescent="0.35">
      <c r="B101" s="115"/>
      <c r="C101" s="116" t="s">
        <v>1519</v>
      </c>
      <c r="D101" s="117">
        <v>3.6903491099151582</v>
      </c>
      <c r="E101" s="117">
        <v>2.8547896708873859</v>
      </c>
      <c r="F101" s="117">
        <v>1.9771224716376667</v>
      </c>
      <c r="G101" s="117">
        <v>1.7344909341038111</v>
      </c>
      <c r="H101" s="117">
        <v>1.8264727953615398</v>
      </c>
      <c r="I101" s="117">
        <v>3.3767823368418446</v>
      </c>
      <c r="J101" s="117">
        <v>2.9543604006889677</v>
      </c>
      <c r="K101" s="118">
        <v>1.4712212869429671</v>
      </c>
    </row>
    <row r="102" spans="2:11" x14ac:dyDescent="0.3">
      <c r="B102" s="120" t="s">
        <v>1985</v>
      </c>
      <c r="C102" s="1234" t="s">
        <v>1416</v>
      </c>
      <c r="D102" s="109">
        <v>3.0438466690172827</v>
      </c>
      <c r="E102" s="109">
        <v>2.155525729396143</v>
      </c>
      <c r="F102" s="109">
        <v>1.3257255505240322</v>
      </c>
      <c r="G102" s="109">
        <v>1.0720595941768307</v>
      </c>
      <c r="H102" s="109">
        <v>1.1825978261135086</v>
      </c>
      <c r="I102" s="109">
        <v>2.6811689873149445</v>
      </c>
      <c r="J102" s="109">
        <v>2.2600191504674929</v>
      </c>
      <c r="K102" s="110">
        <v>0.82605489424152356</v>
      </c>
    </row>
    <row r="103" spans="2:11" x14ac:dyDescent="0.3">
      <c r="B103" s="121"/>
      <c r="C103" s="1500" t="s">
        <v>1483</v>
      </c>
      <c r="D103" s="1499">
        <v>3.6395368205053984</v>
      </c>
      <c r="E103" s="1499">
        <v>2.8039773814776261</v>
      </c>
      <c r="F103" s="1499">
        <v>1.9263101822279072</v>
      </c>
      <c r="G103" s="1499">
        <v>1.6836786446940513</v>
      </c>
      <c r="H103" s="1499">
        <v>1.77566050595178</v>
      </c>
      <c r="I103" s="1499">
        <v>3.3259700474320848</v>
      </c>
      <c r="J103" s="1499">
        <v>2.9035481112792074</v>
      </c>
      <c r="K103" s="113">
        <v>1.4204089975332073</v>
      </c>
    </row>
    <row r="104" spans="2:11" x14ac:dyDescent="0.3">
      <c r="B104" s="111" t="s">
        <v>1987</v>
      </c>
      <c r="C104" s="1500" t="s">
        <v>1489</v>
      </c>
      <c r="D104" s="1499">
        <v>3.5700603519766805</v>
      </c>
      <c r="E104" s="1499">
        <v>2.7345009129489082</v>
      </c>
      <c r="F104" s="1499">
        <v>1.8568337136991893</v>
      </c>
      <c r="G104" s="1499">
        <v>1.6142021761653333</v>
      </c>
      <c r="H104" s="1499">
        <v>1.7061840374230621</v>
      </c>
      <c r="I104" s="1499">
        <v>3.2564935789033669</v>
      </c>
      <c r="J104" s="1499">
        <v>2.8340716427504899</v>
      </c>
      <c r="K104" s="113">
        <v>1.3509325290044893</v>
      </c>
    </row>
    <row r="105" spans="2:11" x14ac:dyDescent="0.3">
      <c r="B105" s="122">
        <v>0</v>
      </c>
      <c r="C105" s="1500" t="s">
        <v>1496</v>
      </c>
      <c r="D105" s="1499">
        <v>3.465845649183604</v>
      </c>
      <c r="E105" s="1499">
        <v>2.6302862101558317</v>
      </c>
      <c r="F105" s="1499">
        <v>1.7526190109061124</v>
      </c>
      <c r="G105" s="1499">
        <v>1.5099874733722567</v>
      </c>
      <c r="H105" s="1499">
        <v>1.6019693346299853</v>
      </c>
      <c r="I105" s="1499">
        <v>3.15227887611029</v>
      </c>
      <c r="J105" s="1499">
        <v>2.7298569399574131</v>
      </c>
      <c r="K105" s="113">
        <v>1.2467178262114125</v>
      </c>
    </row>
    <row r="106" spans="2:11" x14ac:dyDescent="0.3">
      <c r="B106" s="123"/>
      <c r="C106" s="1500" t="s">
        <v>1500</v>
      </c>
      <c r="D106" s="1499">
        <v>3.3616309463905272</v>
      </c>
      <c r="E106" s="1499">
        <v>2.5260715073627549</v>
      </c>
      <c r="F106" s="1499">
        <v>1.6484043081130353</v>
      </c>
      <c r="G106" s="1499">
        <v>1.4057727705791796</v>
      </c>
      <c r="H106" s="1499">
        <v>1.4977546318369084</v>
      </c>
      <c r="I106" s="1499">
        <v>3.0480641733172136</v>
      </c>
      <c r="J106" s="1499">
        <v>2.6256422371643362</v>
      </c>
      <c r="K106" s="113">
        <v>1.1425031234183354</v>
      </c>
    </row>
    <row r="107" spans="2:11" x14ac:dyDescent="0.3">
      <c r="B107" s="123"/>
      <c r="C107" s="1500" t="s">
        <v>1504</v>
      </c>
      <c r="D107" s="1499">
        <v>3.5176740419582861</v>
      </c>
      <c r="E107" s="1499">
        <v>2.6734821147903491</v>
      </c>
      <c r="F107" s="1499">
        <v>1.8052498954700416</v>
      </c>
      <c r="G107" s="1499">
        <v>1.5508844922019065</v>
      </c>
      <c r="H107" s="1499">
        <v>1.649810301289143</v>
      </c>
      <c r="I107" s="1499">
        <v>3.1951699166576217</v>
      </c>
      <c r="J107" s="1499">
        <v>2.7743805237160002</v>
      </c>
      <c r="K107" s="113">
        <v>1.3046571169337358</v>
      </c>
    </row>
    <row r="108" spans="2:11" x14ac:dyDescent="0.3">
      <c r="B108" s="123"/>
      <c r="C108" s="1500" t="s">
        <v>1508</v>
      </c>
      <c r="D108" s="1499">
        <v>3.460115468358715</v>
      </c>
      <c r="E108" s="1499">
        <v>2.615923541190778</v>
      </c>
      <c r="F108" s="1499">
        <v>1.7476913218704697</v>
      </c>
      <c r="G108" s="1499">
        <v>1.4933259186023347</v>
      </c>
      <c r="H108" s="1499">
        <v>1.5922517276895714</v>
      </c>
      <c r="I108" s="1499">
        <v>3.1376113430580501</v>
      </c>
      <c r="J108" s="1499">
        <v>2.7168219501164286</v>
      </c>
      <c r="K108" s="113">
        <v>1.2470985433341639</v>
      </c>
    </row>
    <row r="109" spans="2:11" x14ac:dyDescent="0.3">
      <c r="B109" s="123"/>
      <c r="C109" s="1500" t="s">
        <v>1513</v>
      </c>
      <c r="D109" s="1499">
        <v>3.3737776079593571</v>
      </c>
      <c r="E109" s="1499">
        <v>2.5295856807914201</v>
      </c>
      <c r="F109" s="1499">
        <v>1.6613534614711123</v>
      </c>
      <c r="G109" s="1499">
        <v>1.406988058202977</v>
      </c>
      <c r="H109" s="1499">
        <v>1.5059138672902137</v>
      </c>
      <c r="I109" s="1499">
        <v>3.0512734826586927</v>
      </c>
      <c r="J109" s="1499">
        <v>2.6304840897170712</v>
      </c>
      <c r="K109" s="113">
        <v>1.1607606829348063</v>
      </c>
    </row>
    <row r="110" spans="2:11" x14ac:dyDescent="0.3">
      <c r="B110" s="123"/>
      <c r="C110" s="1500" t="s">
        <v>1517</v>
      </c>
      <c r="D110" s="1499">
        <v>3.2874397475599997</v>
      </c>
      <c r="E110" s="1499">
        <v>2.4432478203920627</v>
      </c>
      <c r="F110" s="1499">
        <v>1.5750156010717544</v>
      </c>
      <c r="G110" s="1499">
        <v>1.3206501978036191</v>
      </c>
      <c r="H110" s="1499">
        <v>1.4195760068908561</v>
      </c>
      <c r="I110" s="1499">
        <v>2.9649356222593348</v>
      </c>
      <c r="J110" s="1499">
        <v>2.5441462293177137</v>
      </c>
      <c r="K110" s="113">
        <v>1.0744228225354486</v>
      </c>
    </row>
    <row r="111" spans="2:11" ht="14.5" thickBot="1" x14ac:dyDescent="0.35">
      <c r="B111" s="124"/>
      <c r="C111" s="125" t="s">
        <v>1519</v>
      </c>
      <c r="D111" s="117">
        <v>3.6395368205053984</v>
      </c>
      <c r="E111" s="117">
        <v>2.8039773814776261</v>
      </c>
      <c r="F111" s="117">
        <v>1.9263101822279072</v>
      </c>
      <c r="G111" s="117">
        <v>1.6836786446940513</v>
      </c>
      <c r="H111" s="117">
        <v>1.77566050595178</v>
      </c>
      <c r="I111" s="117">
        <v>3.3259700474320848</v>
      </c>
      <c r="J111" s="117">
        <v>2.9035481112792074</v>
      </c>
      <c r="K111" s="118">
        <v>1.4204089975332073</v>
      </c>
    </row>
    <row r="112" spans="2:11" x14ac:dyDescent="0.3">
      <c r="B112" s="119" t="s">
        <v>1985</v>
      </c>
      <c r="C112" s="108" t="s">
        <v>1416</v>
      </c>
      <c r="D112" s="109">
        <v>2.967628234902643</v>
      </c>
      <c r="E112" s="109">
        <v>2.0793072952815033</v>
      </c>
      <c r="F112" s="109">
        <v>1.2495071164093923</v>
      </c>
      <c r="G112" s="109">
        <v>0.99584116006219103</v>
      </c>
      <c r="H112" s="109">
        <v>1.1063793919988691</v>
      </c>
      <c r="I112" s="109">
        <v>2.6049505532003043</v>
      </c>
      <c r="J112" s="109">
        <v>2.1838007163528532</v>
      </c>
      <c r="K112" s="110">
        <v>0.74983646012688399</v>
      </c>
    </row>
    <row r="113" spans="2:11" x14ac:dyDescent="0.3">
      <c r="B113" s="111"/>
      <c r="C113" s="112" t="s">
        <v>1483</v>
      </c>
      <c r="D113" s="1499">
        <v>3.5633183863907592</v>
      </c>
      <c r="E113" s="1499">
        <v>2.7277589473629869</v>
      </c>
      <c r="F113" s="1499">
        <v>1.8500917481132673</v>
      </c>
      <c r="G113" s="1499">
        <v>1.6074602105794116</v>
      </c>
      <c r="H113" s="1499">
        <v>1.6994420718371404</v>
      </c>
      <c r="I113" s="1499">
        <v>3.2497516133174456</v>
      </c>
      <c r="J113" s="1499">
        <v>2.8273296771645682</v>
      </c>
      <c r="K113" s="113">
        <v>1.3441905634185674</v>
      </c>
    </row>
    <row r="114" spans="2:11" ht="14.5" thickBot="1" x14ac:dyDescent="0.35">
      <c r="B114" s="111" t="s">
        <v>1988</v>
      </c>
      <c r="C114" s="112" t="s">
        <v>1489</v>
      </c>
      <c r="D114" s="1499">
        <v>3.4938419178620408</v>
      </c>
      <c r="E114" s="1499">
        <v>2.6582824788342685</v>
      </c>
      <c r="F114" s="1501">
        <v>1.7806152795845493</v>
      </c>
      <c r="G114" s="1499">
        <v>1.5379837420506937</v>
      </c>
      <c r="H114" s="1499">
        <v>1.6299656033084222</v>
      </c>
      <c r="I114" s="1499">
        <v>3.1802751447887272</v>
      </c>
      <c r="J114" s="1499">
        <v>2.7578532086358498</v>
      </c>
      <c r="K114" s="113">
        <v>1.2747140948898494</v>
      </c>
    </row>
    <row r="115" spans="2:11" ht="14.5" thickBot="1" x14ac:dyDescent="0.35">
      <c r="B115" s="114">
        <v>0</v>
      </c>
      <c r="C115" s="112" t="s">
        <v>1496</v>
      </c>
      <c r="D115" s="1499">
        <v>3.3896272150689639</v>
      </c>
      <c r="E115" s="1502">
        <v>2.5540677760411916</v>
      </c>
      <c r="F115" s="126">
        <v>1.6764005767914727</v>
      </c>
      <c r="G115" s="1503">
        <v>1.4337690392576168</v>
      </c>
      <c r="H115" s="1499">
        <v>1.5257509005153456</v>
      </c>
      <c r="I115" s="1499">
        <v>3.0760604419956503</v>
      </c>
      <c r="J115" s="1499">
        <v>2.6536385058427734</v>
      </c>
      <c r="K115" s="113">
        <v>1.1704993920967728</v>
      </c>
    </row>
    <row r="116" spans="2:11" x14ac:dyDescent="0.3">
      <c r="B116" s="115"/>
      <c r="C116" s="112" t="s">
        <v>1500</v>
      </c>
      <c r="D116" s="1499">
        <v>3.2854125122758875</v>
      </c>
      <c r="E116" s="1499">
        <v>2.4498530732481152</v>
      </c>
      <c r="F116" s="127">
        <v>1.5721858739983956</v>
      </c>
      <c r="G116" s="1499">
        <v>1.3295543364645397</v>
      </c>
      <c r="H116" s="1499">
        <v>1.4215361977222687</v>
      </c>
      <c r="I116" s="1499">
        <v>2.9718457392025734</v>
      </c>
      <c r="J116" s="1499">
        <v>2.5494238030496965</v>
      </c>
      <c r="K116" s="113">
        <v>1.0662846893036959</v>
      </c>
    </row>
    <row r="117" spans="2:11" x14ac:dyDescent="0.3">
      <c r="B117" s="115"/>
      <c r="C117" s="112" t="s">
        <v>1504</v>
      </c>
      <c r="D117" s="1499">
        <v>3.4414556078436469</v>
      </c>
      <c r="E117" s="1499">
        <v>2.5972636806757099</v>
      </c>
      <c r="F117" s="1499">
        <v>1.7290314613554019</v>
      </c>
      <c r="G117" s="1499">
        <v>1.4746660580872666</v>
      </c>
      <c r="H117" s="1499">
        <v>1.5735918671745033</v>
      </c>
      <c r="I117" s="1499">
        <v>3.1189514825429825</v>
      </c>
      <c r="J117" s="1499">
        <v>2.6981620896013609</v>
      </c>
      <c r="K117" s="113">
        <v>1.2284386828190959</v>
      </c>
    </row>
    <row r="118" spans="2:11" x14ac:dyDescent="0.3">
      <c r="B118" s="115"/>
      <c r="C118" s="112" t="s">
        <v>1508</v>
      </c>
      <c r="D118" s="1499">
        <v>3.3838970342440748</v>
      </c>
      <c r="E118" s="1499">
        <v>2.5397051070761378</v>
      </c>
      <c r="F118" s="1499">
        <v>1.67147288775583</v>
      </c>
      <c r="G118" s="1499">
        <v>1.4171074844876947</v>
      </c>
      <c r="H118" s="1499">
        <v>1.5160332935749314</v>
      </c>
      <c r="I118" s="1499">
        <v>3.0613929089434104</v>
      </c>
      <c r="J118" s="1499">
        <v>2.6406035160017889</v>
      </c>
      <c r="K118" s="113">
        <v>1.1708801092195242</v>
      </c>
    </row>
    <row r="119" spans="2:11" x14ac:dyDescent="0.3">
      <c r="B119" s="115"/>
      <c r="C119" s="112" t="s">
        <v>1513</v>
      </c>
      <c r="D119" s="1499">
        <v>3.2975591738447174</v>
      </c>
      <c r="E119" s="1499">
        <v>2.4533672466767804</v>
      </c>
      <c r="F119" s="1499">
        <v>1.5851350273564724</v>
      </c>
      <c r="G119" s="1499">
        <v>1.3307696240883373</v>
      </c>
      <c r="H119" s="1499">
        <v>1.4296954331755738</v>
      </c>
      <c r="I119" s="1499">
        <v>2.975055048544053</v>
      </c>
      <c r="J119" s="1499">
        <v>2.5542656556024315</v>
      </c>
      <c r="K119" s="113">
        <v>1.0845422488201666</v>
      </c>
    </row>
    <row r="120" spans="2:11" x14ac:dyDescent="0.3">
      <c r="B120" s="115"/>
      <c r="C120" s="112" t="s">
        <v>1517</v>
      </c>
      <c r="D120" s="1499">
        <v>3.21122131344536</v>
      </c>
      <c r="E120" s="1499">
        <v>2.367029386277423</v>
      </c>
      <c r="F120" s="1499">
        <v>1.498797166957115</v>
      </c>
      <c r="G120" s="1499">
        <v>1.2444317636889797</v>
      </c>
      <c r="H120" s="1499">
        <v>1.3433575727762164</v>
      </c>
      <c r="I120" s="1499">
        <v>2.8887171881446951</v>
      </c>
      <c r="J120" s="1499">
        <v>2.4679277952030736</v>
      </c>
      <c r="K120" s="113">
        <v>0.99820438842080894</v>
      </c>
    </row>
    <row r="121" spans="2:11" ht="14.5" thickBot="1" x14ac:dyDescent="0.35">
      <c r="B121" s="1233"/>
      <c r="C121" s="116" t="s">
        <v>1519</v>
      </c>
      <c r="D121" s="117">
        <v>3.5633183863907592</v>
      </c>
      <c r="E121" s="117">
        <v>2.7277589473629869</v>
      </c>
      <c r="F121" s="117">
        <v>1.8500917481132673</v>
      </c>
      <c r="G121" s="117">
        <v>1.6074602105794116</v>
      </c>
      <c r="H121" s="117">
        <v>1.6994420718371404</v>
      </c>
      <c r="I121" s="117">
        <v>3.2497516133174456</v>
      </c>
      <c r="J121" s="117">
        <v>2.8273296771645682</v>
      </c>
      <c r="K121" s="118">
        <v>1.3441905634185674</v>
      </c>
    </row>
    <row r="122" spans="2:11" x14ac:dyDescent="0.3">
      <c r="B122" s="107" t="s">
        <v>1985</v>
      </c>
      <c r="C122" s="108" t="s">
        <v>1416</v>
      </c>
      <c r="D122" s="109">
        <v>2.8914098007880029</v>
      </c>
      <c r="E122" s="109">
        <v>2.003088861166864</v>
      </c>
      <c r="F122" s="109">
        <v>1.1732886822947528</v>
      </c>
      <c r="G122" s="109">
        <v>0.91962272594755146</v>
      </c>
      <c r="H122" s="109">
        <v>1.0301609578842295</v>
      </c>
      <c r="I122" s="109">
        <v>2.5287321190856646</v>
      </c>
      <c r="J122" s="109">
        <v>2.1075822822382135</v>
      </c>
      <c r="K122" s="110">
        <v>0.6736180260122443</v>
      </c>
    </row>
    <row r="123" spans="2:11" x14ac:dyDescent="0.3">
      <c r="B123" s="111"/>
      <c r="C123" s="112" t="s">
        <v>1483</v>
      </c>
      <c r="D123" s="1499">
        <v>3.4870999522761195</v>
      </c>
      <c r="E123" s="1499">
        <v>2.6515405132483472</v>
      </c>
      <c r="F123" s="1499">
        <v>1.7738733139986278</v>
      </c>
      <c r="G123" s="1499">
        <v>1.5312417764647721</v>
      </c>
      <c r="H123" s="1499">
        <v>1.6232236377225007</v>
      </c>
      <c r="I123" s="1499">
        <v>3.1735331792028054</v>
      </c>
      <c r="J123" s="1499">
        <v>2.7511112430499285</v>
      </c>
      <c r="K123" s="113">
        <v>1.2679721293039279</v>
      </c>
    </row>
    <row r="124" spans="2:11" x14ac:dyDescent="0.3">
      <c r="B124" s="111" t="s">
        <v>1989</v>
      </c>
      <c r="C124" s="112" t="s">
        <v>1489</v>
      </c>
      <c r="D124" s="1499">
        <v>3.4176234837474011</v>
      </c>
      <c r="E124" s="1499">
        <v>2.5820640447196288</v>
      </c>
      <c r="F124" s="1499">
        <v>1.7043968454699099</v>
      </c>
      <c r="G124" s="1499">
        <v>1.461765307936054</v>
      </c>
      <c r="H124" s="1499">
        <v>1.5537471691937828</v>
      </c>
      <c r="I124" s="1499">
        <v>3.1040567106740875</v>
      </c>
      <c r="J124" s="1499">
        <v>2.6816347745212101</v>
      </c>
      <c r="K124" s="113">
        <v>1.19849566077521</v>
      </c>
    </row>
    <row r="125" spans="2:11" x14ac:dyDescent="0.3">
      <c r="B125" s="114">
        <v>0</v>
      </c>
      <c r="C125" s="112" t="s">
        <v>1496</v>
      </c>
      <c r="D125" s="1499">
        <v>3.3134087809543242</v>
      </c>
      <c r="E125" s="1499">
        <v>2.4778493419265519</v>
      </c>
      <c r="F125" s="1499">
        <v>1.600182142676833</v>
      </c>
      <c r="G125" s="1499">
        <v>1.3575506051429773</v>
      </c>
      <c r="H125" s="1499">
        <v>1.4495324664007059</v>
      </c>
      <c r="I125" s="1499">
        <v>2.9998420078810106</v>
      </c>
      <c r="J125" s="1499">
        <v>2.5774200717281337</v>
      </c>
      <c r="K125" s="113">
        <v>1.0942809579821331</v>
      </c>
    </row>
    <row r="126" spans="2:11" x14ac:dyDescent="0.3">
      <c r="B126" s="115"/>
      <c r="C126" s="112" t="s">
        <v>1500</v>
      </c>
      <c r="D126" s="1499">
        <v>3.2091940781612474</v>
      </c>
      <c r="E126" s="1499">
        <v>2.3736346391334751</v>
      </c>
      <c r="F126" s="1499">
        <v>1.4959674398837561</v>
      </c>
      <c r="G126" s="1499">
        <v>1.2533359023499002</v>
      </c>
      <c r="H126" s="1499">
        <v>1.345317763607629</v>
      </c>
      <c r="I126" s="1499">
        <v>2.8956273050879338</v>
      </c>
      <c r="J126" s="1499">
        <v>2.4732053689350568</v>
      </c>
      <c r="K126" s="113">
        <v>0.99006625518905622</v>
      </c>
    </row>
    <row r="127" spans="2:11" x14ac:dyDescent="0.3">
      <c r="B127" s="115"/>
      <c r="C127" s="112" t="s">
        <v>1504</v>
      </c>
      <c r="D127" s="1499">
        <v>3.3652371737290072</v>
      </c>
      <c r="E127" s="1499">
        <v>2.5210452465610702</v>
      </c>
      <c r="F127" s="1499">
        <v>1.6528130272407624</v>
      </c>
      <c r="G127" s="1499">
        <v>1.3984476239726271</v>
      </c>
      <c r="H127" s="1499">
        <v>1.4973734330598638</v>
      </c>
      <c r="I127" s="1499">
        <v>3.0427330484283428</v>
      </c>
      <c r="J127" s="1499">
        <v>2.6219436554867213</v>
      </c>
      <c r="K127" s="113">
        <v>1.1522202487044562</v>
      </c>
    </row>
    <row r="128" spans="2:11" x14ac:dyDescent="0.3">
      <c r="B128" s="115"/>
      <c r="C128" s="112" t="s">
        <v>1508</v>
      </c>
      <c r="D128" s="1499">
        <v>3.3076786001294352</v>
      </c>
      <c r="E128" s="1499">
        <v>2.4634866729614981</v>
      </c>
      <c r="F128" s="1499">
        <v>1.5952544536411906</v>
      </c>
      <c r="G128" s="1499">
        <v>1.3408890503730553</v>
      </c>
      <c r="H128" s="1499">
        <v>1.439814859460292</v>
      </c>
      <c r="I128" s="1499">
        <v>2.9851744748287707</v>
      </c>
      <c r="J128" s="1499">
        <v>2.5643850818871492</v>
      </c>
      <c r="K128" s="113">
        <v>1.0946616751048845</v>
      </c>
    </row>
    <row r="129" spans="2:11" x14ac:dyDescent="0.3">
      <c r="B129" s="115"/>
      <c r="C129" s="112" t="s">
        <v>1513</v>
      </c>
      <c r="D129" s="1499">
        <v>3.2213407397300777</v>
      </c>
      <c r="E129" s="1499">
        <v>2.3771488125621407</v>
      </c>
      <c r="F129" s="1499">
        <v>1.5089165932418329</v>
      </c>
      <c r="G129" s="1499">
        <v>1.2545511899736979</v>
      </c>
      <c r="H129" s="1499">
        <v>1.3534769990609343</v>
      </c>
      <c r="I129" s="1499">
        <v>2.8988366144294129</v>
      </c>
      <c r="J129" s="1499">
        <v>2.4780472214877918</v>
      </c>
      <c r="K129" s="113">
        <v>1.0083238147055269</v>
      </c>
    </row>
    <row r="130" spans="2:11" x14ac:dyDescent="0.3">
      <c r="B130" s="115"/>
      <c r="C130" s="112" t="s">
        <v>1517</v>
      </c>
      <c r="D130" s="1499">
        <v>3.1350028793307203</v>
      </c>
      <c r="E130" s="1499">
        <v>2.2908109521627833</v>
      </c>
      <c r="F130" s="1499">
        <v>1.4225787328424753</v>
      </c>
      <c r="G130" s="1499">
        <v>1.16821332957434</v>
      </c>
      <c r="H130" s="1499">
        <v>1.2671391386615765</v>
      </c>
      <c r="I130" s="1499">
        <v>2.8124987540300554</v>
      </c>
      <c r="J130" s="1499">
        <v>2.3917093610884339</v>
      </c>
      <c r="K130" s="113">
        <v>0.92198595430616936</v>
      </c>
    </row>
    <row r="131" spans="2:11" ht="14.5" thickBot="1" x14ac:dyDescent="0.35">
      <c r="B131" s="1233"/>
      <c r="C131" s="116" t="s">
        <v>1519</v>
      </c>
      <c r="D131" s="117">
        <v>3.4870999522761195</v>
      </c>
      <c r="E131" s="117">
        <v>2.6515405132483472</v>
      </c>
      <c r="F131" s="117">
        <v>1.7738733139986278</v>
      </c>
      <c r="G131" s="117">
        <v>1.5312417764647721</v>
      </c>
      <c r="H131" s="117">
        <v>1.6232236377225007</v>
      </c>
      <c r="I131" s="117">
        <v>3.1735331792028054</v>
      </c>
      <c r="J131" s="117">
        <v>2.7511112430499285</v>
      </c>
      <c r="K131" s="118">
        <v>1.2679721293039279</v>
      </c>
    </row>
    <row r="132" spans="2:11" x14ac:dyDescent="0.3">
      <c r="B132" s="120" t="s">
        <v>1990</v>
      </c>
      <c r="C132" s="108" t="s">
        <v>1416</v>
      </c>
      <c r="D132" s="109">
        <v>3.001465558644695</v>
      </c>
      <c r="E132" s="109">
        <v>2.1053588531152863</v>
      </c>
      <c r="F132" s="109">
        <v>1.3006506758101046</v>
      </c>
      <c r="G132" s="109">
        <v>1.0382242194553355</v>
      </c>
      <c r="H132" s="109">
        <v>1.1535903821743081</v>
      </c>
      <c r="I132" s="109">
        <v>2.6299292296644237</v>
      </c>
      <c r="J132" s="109">
        <v>2.2081838211260445</v>
      </c>
      <c r="K132" s="110">
        <v>0.79225344050163937</v>
      </c>
    </row>
    <row r="133" spans="2:11" x14ac:dyDescent="0.3">
      <c r="B133" s="111"/>
      <c r="C133" s="112" t="s">
        <v>1483</v>
      </c>
      <c r="D133" s="1499">
        <v>3.595766747392084</v>
      </c>
      <c r="E133" s="1499">
        <v>2.756182113720683</v>
      </c>
      <c r="F133" s="1499">
        <v>1.8925946822584176</v>
      </c>
      <c r="G133" s="1499">
        <v>1.6434211291704859</v>
      </c>
      <c r="H133" s="1499">
        <v>1.7388956306179784</v>
      </c>
      <c r="I133" s="1499">
        <v>3.2755330211673277</v>
      </c>
      <c r="J133" s="1499">
        <v>2.8561683882459792</v>
      </c>
      <c r="K133" s="113">
        <v>1.3932589231436614</v>
      </c>
    </row>
    <row r="134" spans="2:11" x14ac:dyDescent="0.3">
      <c r="B134" s="111" t="s">
        <v>1986</v>
      </c>
      <c r="C134" s="112" t="s">
        <v>1489</v>
      </c>
      <c r="D134" s="1499">
        <v>3.5262902788633665</v>
      </c>
      <c r="E134" s="1499">
        <v>2.6867056451919655</v>
      </c>
      <c r="F134" s="1499">
        <v>1.8231182137296997</v>
      </c>
      <c r="G134" s="1499">
        <v>1.573944660641768</v>
      </c>
      <c r="H134" s="1499">
        <v>1.6694191620892604</v>
      </c>
      <c r="I134" s="1499">
        <v>3.2060565526386102</v>
      </c>
      <c r="J134" s="1499">
        <v>2.7866919197172617</v>
      </c>
      <c r="K134" s="113">
        <v>1.3237824546149435</v>
      </c>
    </row>
    <row r="135" spans="2:11" x14ac:dyDescent="0.3">
      <c r="B135" s="114">
        <v>0</v>
      </c>
      <c r="C135" s="112" t="s">
        <v>1496</v>
      </c>
      <c r="D135" s="1499">
        <v>3.4220755760702892</v>
      </c>
      <c r="E135" s="1499">
        <v>2.5824909423988882</v>
      </c>
      <c r="F135" s="1499">
        <v>1.7189035109366231</v>
      </c>
      <c r="G135" s="1499">
        <v>1.4697299578486913</v>
      </c>
      <c r="H135" s="1499">
        <v>1.5652044592961838</v>
      </c>
      <c r="I135" s="1499">
        <v>3.1018418498455329</v>
      </c>
      <c r="J135" s="1499">
        <v>2.6824772169241844</v>
      </c>
      <c r="K135" s="113">
        <v>1.2195677518218666</v>
      </c>
    </row>
    <row r="136" spans="2:11" x14ac:dyDescent="0.3">
      <c r="B136" s="115"/>
      <c r="C136" s="112" t="s">
        <v>1500</v>
      </c>
      <c r="D136" s="1499">
        <v>3.3178608732772124</v>
      </c>
      <c r="E136" s="1499">
        <v>2.4782762396058113</v>
      </c>
      <c r="F136" s="1499">
        <v>1.614688808143546</v>
      </c>
      <c r="G136" s="1499">
        <v>1.3655152550556142</v>
      </c>
      <c r="H136" s="1499">
        <v>1.4609897565031067</v>
      </c>
      <c r="I136" s="1499">
        <v>2.997627147052456</v>
      </c>
      <c r="J136" s="1499">
        <v>2.5782625141311075</v>
      </c>
      <c r="K136" s="113">
        <v>1.1153530490287897</v>
      </c>
    </row>
    <row r="137" spans="2:11" x14ac:dyDescent="0.3">
      <c r="B137" s="115"/>
      <c r="C137" s="112" t="s">
        <v>1504</v>
      </c>
      <c r="D137" s="1499">
        <v>3.4759134331532491</v>
      </c>
      <c r="E137" s="1499">
        <v>2.6253725886196171</v>
      </c>
      <c r="F137" s="1499">
        <v>1.7702802834506235</v>
      </c>
      <c r="G137" s="1499">
        <v>1.5115909774519947</v>
      </c>
      <c r="H137" s="1499">
        <v>1.6116459546030575</v>
      </c>
      <c r="I137" s="1499">
        <v>3.1441849513964253</v>
      </c>
      <c r="J137" s="1499">
        <v>2.7257996045153114</v>
      </c>
      <c r="K137" s="113">
        <v>1.2779804357080162</v>
      </c>
    </row>
    <row r="138" spans="2:11" x14ac:dyDescent="0.3">
      <c r="B138" s="115"/>
      <c r="C138" s="112" t="s">
        <v>1508</v>
      </c>
      <c r="D138" s="1499">
        <v>3.4183548595536779</v>
      </c>
      <c r="E138" s="1499">
        <v>2.5678140150200455</v>
      </c>
      <c r="F138" s="1499">
        <v>1.7127217098510519</v>
      </c>
      <c r="G138" s="1499">
        <v>1.4540324038524228</v>
      </c>
      <c r="H138" s="1499">
        <v>1.5540873810034856</v>
      </c>
      <c r="I138" s="1499">
        <v>3.0866263777968537</v>
      </c>
      <c r="J138" s="1499">
        <v>2.6682410309157398</v>
      </c>
      <c r="K138" s="113">
        <v>1.2204218621084444</v>
      </c>
    </row>
    <row r="139" spans="2:11" x14ac:dyDescent="0.3">
      <c r="B139" s="115"/>
      <c r="C139" s="112" t="s">
        <v>1513</v>
      </c>
      <c r="D139" s="1499">
        <v>3.3320169991543196</v>
      </c>
      <c r="E139" s="1499">
        <v>2.4814761546206876</v>
      </c>
      <c r="F139" s="1499">
        <v>1.6263838494516942</v>
      </c>
      <c r="G139" s="1499">
        <v>1.3676945434530652</v>
      </c>
      <c r="H139" s="1499">
        <v>1.467749520604128</v>
      </c>
      <c r="I139" s="1499">
        <v>3.0002885173974958</v>
      </c>
      <c r="J139" s="1499">
        <v>2.5819031705163815</v>
      </c>
      <c r="K139" s="113">
        <v>1.134084001709087</v>
      </c>
    </row>
    <row r="140" spans="2:11" x14ac:dyDescent="0.3">
      <c r="B140" s="115"/>
      <c r="C140" s="112" t="s">
        <v>1517</v>
      </c>
      <c r="D140" s="1499">
        <v>3.2456791387549622</v>
      </c>
      <c r="E140" s="1499">
        <v>2.3951382942213297</v>
      </c>
      <c r="F140" s="1499">
        <v>1.5400459890523366</v>
      </c>
      <c r="G140" s="1499">
        <v>1.2813566830537078</v>
      </c>
      <c r="H140" s="1499">
        <v>1.3814116602047704</v>
      </c>
      <c r="I140" s="1499">
        <v>2.9139506569981379</v>
      </c>
      <c r="J140" s="1499">
        <v>2.4955653101170241</v>
      </c>
      <c r="K140" s="113">
        <v>1.0477461413097291</v>
      </c>
    </row>
    <row r="141" spans="2:11" ht="14.5" thickBot="1" x14ac:dyDescent="0.35">
      <c r="B141" s="1233"/>
      <c r="C141" s="116" t="s">
        <v>1519</v>
      </c>
      <c r="D141" s="117">
        <v>3.595766747392084</v>
      </c>
      <c r="E141" s="117">
        <v>2.756182113720683</v>
      </c>
      <c r="F141" s="117">
        <v>1.8925946822584176</v>
      </c>
      <c r="G141" s="117">
        <v>1.6434211291704859</v>
      </c>
      <c r="H141" s="117">
        <v>1.7388956306179784</v>
      </c>
      <c r="I141" s="117">
        <v>3.2755330211673277</v>
      </c>
      <c r="J141" s="117">
        <v>2.8561683882459792</v>
      </c>
      <c r="K141" s="118">
        <v>1.3932589231436614</v>
      </c>
    </row>
    <row r="142" spans="2:11" x14ac:dyDescent="0.3">
      <c r="B142" s="120" t="s">
        <v>1990</v>
      </c>
      <c r="C142" s="108" t="s">
        <v>1416</v>
      </c>
      <c r="D142" s="109">
        <v>2.9586891761760463</v>
      </c>
      <c r="E142" s="109">
        <v>2.062582470646638</v>
      </c>
      <c r="F142" s="109">
        <v>1.2578742933414562</v>
      </c>
      <c r="G142" s="109">
        <v>0.99544783698668704</v>
      </c>
      <c r="H142" s="109">
        <v>1.1108139997056596</v>
      </c>
      <c r="I142" s="109">
        <v>2.587152847195775</v>
      </c>
      <c r="J142" s="109">
        <v>2.1654074386573963</v>
      </c>
      <c r="K142" s="110">
        <v>0.74947705803299092</v>
      </c>
    </row>
    <row r="143" spans="2:11" x14ac:dyDescent="0.3">
      <c r="B143" s="111"/>
      <c r="C143" s="112" t="s">
        <v>1483</v>
      </c>
      <c r="D143" s="1499">
        <v>3.5529903649234353</v>
      </c>
      <c r="E143" s="1499">
        <v>2.7134057312520343</v>
      </c>
      <c r="F143" s="1499">
        <v>1.8498182997897692</v>
      </c>
      <c r="G143" s="1499">
        <v>1.6006447467018374</v>
      </c>
      <c r="H143" s="1499">
        <v>1.6961192481493299</v>
      </c>
      <c r="I143" s="1499">
        <v>3.232756638698679</v>
      </c>
      <c r="J143" s="1499">
        <v>2.8133920057773305</v>
      </c>
      <c r="K143" s="113">
        <v>1.3504825406750129</v>
      </c>
    </row>
    <row r="144" spans="2:11" x14ac:dyDescent="0.3">
      <c r="B144" s="111" t="s">
        <v>1987</v>
      </c>
      <c r="C144" s="112" t="s">
        <v>1489</v>
      </c>
      <c r="D144" s="1499">
        <v>3.4835138963947174</v>
      </c>
      <c r="E144" s="1499">
        <v>2.6439292627233164</v>
      </c>
      <c r="F144" s="1499">
        <v>1.7803418312610513</v>
      </c>
      <c r="G144" s="1499">
        <v>1.5311682781731195</v>
      </c>
      <c r="H144" s="1499">
        <v>1.626642779620612</v>
      </c>
      <c r="I144" s="1499">
        <v>3.1632801701699611</v>
      </c>
      <c r="J144" s="1499">
        <v>2.743915537248613</v>
      </c>
      <c r="K144" s="113">
        <v>1.281006072146295</v>
      </c>
    </row>
    <row r="145" spans="2:11" x14ac:dyDescent="0.3">
      <c r="B145" s="114">
        <v>0</v>
      </c>
      <c r="C145" s="112" t="s">
        <v>1496</v>
      </c>
      <c r="D145" s="1499">
        <v>3.379299193601641</v>
      </c>
      <c r="E145" s="1499">
        <v>2.53971455993024</v>
      </c>
      <c r="F145" s="1499">
        <v>1.6761271284679746</v>
      </c>
      <c r="G145" s="1499">
        <v>1.4269535753800429</v>
      </c>
      <c r="H145" s="1499">
        <v>1.5224280768275351</v>
      </c>
      <c r="I145" s="1499">
        <v>3.0590654673768847</v>
      </c>
      <c r="J145" s="1499">
        <v>2.6397008344555362</v>
      </c>
      <c r="K145" s="113">
        <v>1.1767913693532182</v>
      </c>
    </row>
    <row r="146" spans="2:11" x14ac:dyDescent="0.3">
      <c r="B146" s="115"/>
      <c r="C146" s="112" t="s">
        <v>1500</v>
      </c>
      <c r="D146" s="1499">
        <v>3.2750844908085641</v>
      </c>
      <c r="E146" s="1499">
        <v>2.4354998571371631</v>
      </c>
      <c r="F146" s="1499">
        <v>1.5719124256748975</v>
      </c>
      <c r="G146" s="1499">
        <v>1.3227388725869658</v>
      </c>
      <c r="H146" s="1499">
        <v>1.4182133740344582</v>
      </c>
      <c r="I146" s="1499">
        <v>2.9548507645838078</v>
      </c>
      <c r="J146" s="1499">
        <v>2.5354861316624593</v>
      </c>
      <c r="K146" s="113">
        <v>1.0725766665601411</v>
      </c>
    </row>
    <row r="147" spans="2:11" x14ac:dyDescent="0.3">
      <c r="B147" s="115"/>
      <c r="C147" s="112" t="s">
        <v>1504</v>
      </c>
      <c r="D147" s="1499">
        <v>3.4331370506846004</v>
      </c>
      <c r="E147" s="1499">
        <v>2.5825962061509684</v>
      </c>
      <c r="F147" s="1499">
        <v>1.727503900981975</v>
      </c>
      <c r="G147" s="1499">
        <v>1.4688145949833462</v>
      </c>
      <c r="H147" s="1499">
        <v>1.5688695721344088</v>
      </c>
      <c r="I147" s="1499">
        <v>3.1014085689277766</v>
      </c>
      <c r="J147" s="1499">
        <v>2.6830232220466623</v>
      </c>
      <c r="K147" s="113">
        <v>1.2352040532393678</v>
      </c>
    </row>
    <row r="148" spans="2:11" x14ac:dyDescent="0.3">
      <c r="B148" s="115"/>
      <c r="C148" s="112" t="s">
        <v>1508</v>
      </c>
      <c r="D148" s="1499">
        <v>3.3755784770850288</v>
      </c>
      <c r="E148" s="1499">
        <v>2.5250376325513968</v>
      </c>
      <c r="F148" s="1499">
        <v>1.6699453273824032</v>
      </c>
      <c r="G148" s="1499">
        <v>1.4112560213837744</v>
      </c>
      <c r="H148" s="1499">
        <v>1.5113109985348372</v>
      </c>
      <c r="I148" s="1499">
        <v>3.043849995328205</v>
      </c>
      <c r="J148" s="1499">
        <v>2.6254646484470912</v>
      </c>
      <c r="K148" s="113">
        <v>1.1776454796397959</v>
      </c>
    </row>
    <row r="149" spans="2:11" x14ac:dyDescent="0.3">
      <c r="B149" s="115"/>
      <c r="C149" s="112" t="s">
        <v>1513</v>
      </c>
      <c r="D149" s="1499">
        <v>3.2892406166856714</v>
      </c>
      <c r="E149" s="1499">
        <v>2.4386997721520394</v>
      </c>
      <c r="F149" s="1499">
        <v>1.5836074669830458</v>
      </c>
      <c r="G149" s="1499">
        <v>1.3249181609844167</v>
      </c>
      <c r="H149" s="1499">
        <v>1.4249731381354795</v>
      </c>
      <c r="I149" s="1499">
        <v>2.9575121349288476</v>
      </c>
      <c r="J149" s="1499">
        <v>2.5391267880477333</v>
      </c>
      <c r="K149" s="113">
        <v>1.0913076192404383</v>
      </c>
    </row>
    <row r="150" spans="2:11" x14ac:dyDescent="0.3">
      <c r="B150" s="115"/>
      <c r="C150" s="112" t="s">
        <v>1517</v>
      </c>
      <c r="D150" s="1499">
        <v>3.2029027562863139</v>
      </c>
      <c r="E150" s="1499">
        <v>2.3523619117526815</v>
      </c>
      <c r="F150" s="1499">
        <v>1.4972696065836879</v>
      </c>
      <c r="G150" s="1499">
        <v>1.2385803005850591</v>
      </c>
      <c r="H150" s="1499">
        <v>1.3386352777361219</v>
      </c>
      <c r="I150" s="1499">
        <v>2.8711742745294897</v>
      </c>
      <c r="J150" s="1499">
        <v>2.4527889276483759</v>
      </c>
      <c r="K150" s="113">
        <v>1.0049697588410806</v>
      </c>
    </row>
    <row r="151" spans="2:11" ht="14.5" thickBot="1" x14ac:dyDescent="0.35">
      <c r="B151" s="1233"/>
      <c r="C151" s="116" t="s">
        <v>1519</v>
      </c>
      <c r="D151" s="117">
        <v>3.5529903649234353</v>
      </c>
      <c r="E151" s="117">
        <v>2.7134057312520343</v>
      </c>
      <c r="F151" s="117">
        <v>1.8498182997897692</v>
      </c>
      <c r="G151" s="117">
        <v>1.6006447467018374</v>
      </c>
      <c r="H151" s="117">
        <v>1.6961192481493299</v>
      </c>
      <c r="I151" s="117">
        <v>3.232756638698679</v>
      </c>
      <c r="J151" s="117">
        <v>2.8133920057773305</v>
      </c>
      <c r="K151" s="118">
        <v>1.3504825406750129</v>
      </c>
    </row>
    <row r="152" spans="2:11" x14ac:dyDescent="0.3">
      <c r="B152" s="120" t="s">
        <v>1990</v>
      </c>
      <c r="C152" s="108" t="s">
        <v>1416</v>
      </c>
      <c r="D152" s="109">
        <v>2.8945246024730733</v>
      </c>
      <c r="E152" s="109">
        <v>1.998417896943665</v>
      </c>
      <c r="F152" s="109">
        <v>1.1937097196384834</v>
      </c>
      <c r="G152" s="109">
        <v>0.93128326328371436</v>
      </c>
      <c r="H152" s="109">
        <v>1.0466494260026868</v>
      </c>
      <c r="I152" s="109">
        <v>2.522988273492802</v>
      </c>
      <c r="J152" s="109">
        <v>2.1012428649544233</v>
      </c>
      <c r="K152" s="110">
        <v>0.68531248433001812</v>
      </c>
    </row>
    <row r="153" spans="2:11" x14ac:dyDescent="0.3">
      <c r="B153" s="111"/>
      <c r="C153" s="112" t="s">
        <v>1483</v>
      </c>
      <c r="D153" s="1499">
        <v>3.4888257912204628</v>
      </c>
      <c r="E153" s="1499">
        <v>2.6492411575490618</v>
      </c>
      <c r="F153" s="1499">
        <v>1.7856537260867964</v>
      </c>
      <c r="G153" s="1499">
        <v>1.5364801729988646</v>
      </c>
      <c r="H153" s="1499">
        <v>1.6319546744463569</v>
      </c>
      <c r="I153" s="1499">
        <v>3.1685920649957064</v>
      </c>
      <c r="J153" s="1499">
        <v>2.7492274320743584</v>
      </c>
      <c r="K153" s="113">
        <v>1.2863179669720399</v>
      </c>
    </row>
    <row r="154" spans="2:11" x14ac:dyDescent="0.3">
      <c r="B154" s="111" t="s">
        <v>1988</v>
      </c>
      <c r="C154" s="112" t="s">
        <v>1489</v>
      </c>
      <c r="D154" s="1499">
        <v>3.4193493226917449</v>
      </c>
      <c r="E154" s="1499">
        <v>2.5797646890203438</v>
      </c>
      <c r="F154" s="1499">
        <v>1.7161772575580785</v>
      </c>
      <c r="G154" s="1499">
        <v>1.4670037044701467</v>
      </c>
      <c r="H154" s="1499">
        <v>1.562478205917639</v>
      </c>
      <c r="I154" s="1499">
        <v>3.0991155964669885</v>
      </c>
      <c r="J154" s="1499">
        <v>2.67975096354564</v>
      </c>
      <c r="K154" s="113">
        <v>1.216841498443322</v>
      </c>
    </row>
    <row r="155" spans="2:11" x14ac:dyDescent="0.3">
      <c r="B155" s="114">
        <v>0</v>
      </c>
      <c r="C155" s="112" t="s">
        <v>1496</v>
      </c>
      <c r="D155" s="1499">
        <v>3.315134619898668</v>
      </c>
      <c r="E155" s="1499">
        <v>2.475549986227267</v>
      </c>
      <c r="F155" s="1499">
        <v>1.6119625547650016</v>
      </c>
      <c r="G155" s="1499">
        <v>1.3627890016770698</v>
      </c>
      <c r="H155" s="1499">
        <v>1.4582635031245623</v>
      </c>
      <c r="I155" s="1499">
        <v>2.9949008936739117</v>
      </c>
      <c r="J155" s="1499">
        <v>2.5755362607525631</v>
      </c>
      <c r="K155" s="113">
        <v>1.1126267956502454</v>
      </c>
    </row>
    <row r="156" spans="2:11" x14ac:dyDescent="0.3">
      <c r="B156" s="115"/>
      <c r="C156" s="112" t="s">
        <v>1500</v>
      </c>
      <c r="D156" s="1499">
        <v>3.2109199171055911</v>
      </c>
      <c r="E156" s="1499">
        <v>2.3713352834341901</v>
      </c>
      <c r="F156" s="1499">
        <v>1.5077478519719245</v>
      </c>
      <c r="G156" s="1499">
        <v>1.2585742988839927</v>
      </c>
      <c r="H156" s="1499">
        <v>1.3540488003314852</v>
      </c>
      <c r="I156" s="1499">
        <v>2.8906861908808348</v>
      </c>
      <c r="J156" s="1499">
        <v>2.4713215579594863</v>
      </c>
      <c r="K156" s="113">
        <v>1.0084120928571685</v>
      </c>
    </row>
    <row r="157" spans="2:11" x14ac:dyDescent="0.3">
      <c r="B157" s="115"/>
      <c r="C157" s="112" t="s">
        <v>1504</v>
      </c>
      <c r="D157" s="1499">
        <v>3.3689724769816283</v>
      </c>
      <c r="E157" s="1499">
        <v>2.5184316324479958</v>
      </c>
      <c r="F157" s="1499">
        <v>1.6633393272790022</v>
      </c>
      <c r="G157" s="1499">
        <v>1.4046500212803732</v>
      </c>
      <c r="H157" s="1499">
        <v>1.504704998431436</v>
      </c>
      <c r="I157" s="1499">
        <v>3.037243995224804</v>
      </c>
      <c r="J157" s="1499">
        <v>2.6188586483436902</v>
      </c>
      <c r="K157" s="113">
        <v>1.1710394795363948</v>
      </c>
    </row>
    <row r="158" spans="2:11" x14ac:dyDescent="0.3">
      <c r="B158" s="115"/>
      <c r="C158" s="112" t="s">
        <v>1508</v>
      </c>
      <c r="D158" s="1499">
        <v>3.3114139033820562</v>
      </c>
      <c r="E158" s="1499">
        <v>2.4608730588484238</v>
      </c>
      <c r="F158" s="1499">
        <v>1.6057807536794304</v>
      </c>
      <c r="G158" s="1499">
        <v>1.3470914476808014</v>
      </c>
      <c r="H158" s="1499">
        <v>1.4471464248318642</v>
      </c>
      <c r="I158" s="1499">
        <v>2.979685421625232</v>
      </c>
      <c r="J158" s="1499">
        <v>2.5613000747441181</v>
      </c>
      <c r="K158" s="113">
        <v>1.1134809059368231</v>
      </c>
    </row>
    <row r="159" spans="2:11" x14ac:dyDescent="0.3">
      <c r="B159" s="115"/>
      <c r="C159" s="112" t="s">
        <v>1513</v>
      </c>
      <c r="D159" s="1499">
        <v>3.2250760429826983</v>
      </c>
      <c r="E159" s="1499">
        <v>2.3745351984490664</v>
      </c>
      <c r="F159" s="1499">
        <v>1.5194428932800728</v>
      </c>
      <c r="G159" s="1499">
        <v>1.2607535872814439</v>
      </c>
      <c r="H159" s="1499">
        <v>1.3608085644325065</v>
      </c>
      <c r="I159" s="1499">
        <v>2.8933475612258746</v>
      </c>
      <c r="J159" s="1499">
        <v>2.4749622143447607</v>
      </c>
      <c r="K159" s="113">
        <v>1.0271430455374655</v>
      </c>
    </row>
    <row r="160" spans="2:11" x14ac:dyDescent="0.3">
      <c r="B160" s="115"/>
      <c r="C160" s="112" t="s">
        <v>1517</v>
      </c>
      <c r="D160" s="1499">
        <v>3.1387381825833409</v>
      </c>
      <c r="E160" s="1499">
        <v>2.2881973380497085</v>
      </c>
      <c r="F160" s="1499">
        <v>1.4331050328807153</v>
      </c>
      <c r="G160" s="1499">
        <v>1.1744157268820863</v>
      </c>
      <c r="H160" s="1499">
        <v>1.2744707040331491</v>
      </c>
      <c r="I160" s="1499">
        <v>2.8070097008265167</v>
      </c>
      <c r="J160" s="1499">
        <v>2.3886243539454028</v>
      </c>
      <c r="K160" s="113">
        <v>0.94080518513810796</v>
      </c>
    </row>
    <row r="161" spans="2:11" ht="14.5" thickBot="1" x14ac:dyDescent="0.35">
      <c r="B161" s="1233"/>
      <c r="C161" s="116" t="s">
        <v>1519</v>
      </c>
      <c r="D161" s="117">
        <v>3.4888257912204628</v>
      </c>
      <c r="E161" s="117">
        <v>2.6492411575490618</v>
      </c>
      <c r="F161" s="117">
        <v>1.7856537260867964</v>
      </c>
      <c r="G161" s="117">
        <v>1.5364801729988646</v>
      </c>
      <c r="H161" s="117">
        <v>1.6319546744463569</v>
      </c>
      <c r="I161" s="117">
        <v>3.1685920649957064</v>
      </c>
      <c r="J161" s="117">
        <v>2.7492274320743584</v>
      </c>
      <c r="K161" s="118">
        <v>1.2863179669720399</v>
      </c>
    </row>
    <row r="162" spans="2:11" x14ac:dyDescent="0.3">
      <c r="B162" s="120" t="s">
        <v>1990</v>
      </c>
      <c r="C162" s="108" t="s">
        <v>1416</v>
      </c>
      <c r="D162" s="109">
        <v>2.8303600287701003</v>
      </c>
      <c r="E162" s="109">
        <v>1.9342533232406922</v>
      </c>
      <c r="F162" s="109">
        <v>1.1295451459355106</v>
      </c>
      <c r="G162" s="109">
        <v>0.86711868958074145</v>
      </c>
      <c r="H162" s="109">
        <v>0.98248485229971383</v>
      </c>
      <c r="I162" s="109">
        <v>2.458823699789829</v>
      </c>
      <c r="J162" s="109">
        <v>2.0370782912514507</v>
      </c>
      <c r="K162" s="110">
        <v>0.62114791062704522</v>
      </c>
    </row>
    <row r="163" spans="2:11" x14ac:dyDescent="0.3">
      <c r="B163" s="111"/>
      <c r="C163" s="112" t="s">
        <v>1483</v>
      </c>
      <c r="D163" s="1499">
        <v>3.4246612175174902</v>
      </c>
      <c r="E163" s="1499">
        <v>2.5850765838460892</v>
      </c>
      <c r="F163" s="1499">
        <v>1.7214891523838236</v>
      </c>
      <c r="G163" s="1499">
        <v>1.4723155992958918</v>
      </c>
      <c r="H163" s="1499">
        <v>1.5677901007433843</v>
      </c>
      <c r="I163" s="1499">
        <v>3.1044274912927339</v>
      </c>
      <c r="J163" s="1499">
        <v>2.6850628583713854</v>
      </c>
      <c r="K163" s="113">
        <v>1.2221533932690674</v>
      </c>
    </row>
    <row r="164" spans="2:11" x14ac:dyDescent="0.3">
      <c r="B164" s="111" t="s">
        <v>1989</v>
      </c>
      <c r="C164" s="112" t="s">
        <v>1489</v>
      </c>
      <c r="D164" s="1499">
        <v>3.3551847489887718</v>
      </c>
      <c r="E164" s="1499">
        <v>2.5156001153173708</v>
      </c>
      <c r="F164" s="1499">
        <v>1.6520126838551057</v>
      </c>
      <c r="G164" s="1499">
        <v>1.4028391307671739</v>
      </c>
      <c r="H164" s="1499">
        <v>1.4983136322146664</v>
      </c>
      <c r="I164" s="1499">
        <v>3.0349510227640155</v>
      </c>
      <c r="J164" s="1499">
        <v>2.615586389842667</v>
      </c>
      <c r="K164" s="113">
        <v>1.1526769247403492</v>
      </c>
    </row>
    <row r="165" spans="2:11" x14ac:dyDescent="0.3">
      <c r="B165" s="114">
        <v>0</v>
      </c>
      <c r="C165" s="112" t="s">
        <v>1496</v>
      </c>
      <c r="D165" s="1499">
        <v>3.250970046195695</v>
      </c>
      <c r="E165" s="1499">
        <v>2.4113854125242939</v>
      </c>
      <c r="F165" s="1499">
        <v>1.5477979810620288</v>
      </c>
      <c r="G165" s="1499">
        <v>1.2986244279740971</v>
      </c>
      <c r="H165" s="1499">
        <v>1.3940989294215893</v>
      </c>
      <c r="I165" s="1499">
        <v>2.9307363199709386</v>
      </c>
      <c r="J165" s="1499">
        <v>2.5113716870495906</v>
      </c>
      <c r="K165" s="113">
        <v>1.0484622219472723</v>
      </c>
    </row>
    <row r="166" spans="2:11" x14ac:dyDescent="0.3">
      <c r="B166" s="115"/>
      <c r="C166" s="112" t="s">
        <v>1500</v>
      </c>
      <c r="D166" s="1499">
        <v>3.1467553434026181</v>
      </c>
      <c r="E166" s="1499">
        <v>2.3071707097312171</v>
      </c>
      <c r="F166" s="1499">
        <v>1.4435832782689519</v>
      </c>
      <c r="G166" s="1499">
        <v>1.1944097251810202</v>
      </c>
      <c r="H166" s="1499">
        <v>1.2898842266285127</v>
      </c>
      <c r="I166" s="1499">
        <v>2.8265216171778618</v>
      </c>
      <c r="J166" s="1499">
        <v>2.4071569842565137</v>
      </c>
      <c r="K166" s="113">
        <v>0.94424751915419558</v>
      </c>
    </row>
    <row r="167" spans="2:11" x14ac:dyDescent="0.3">
      <c r="B167" s="115"/>
      <c r="C167" s="112" t="s">
        <v>1504</v>
      </c>
      <c r="D167" s="1499">
        <v>3.3048079032786553</v>
      </c>
      <c r="E167" s="1499">
        <v>2.4542670587450228</v>
      </c>
      <c r="F167" s="1499">
        <v>1.5991747535760292</v>
      </c>
      <c r="G167" s="1499">
        <v>1.3404854475774004</v>
      </c>
      <c r="H167" s="1499">
        <v>1.4405404247284632</v>
      </c>
      <c r="I167" s="1499">
        <v>2.973079421521831</v>
      </c>
      <c r="J167" s="1499">
        <v>2.5546940746407172</v>
      </c>
      <c r="K167" s="113">
        <v>1.1068749058334222</v>
      </c>
    </row>
    <row r="168" spans="2:11" x14ac:dyDescent="0.3">
      <c r="B168" s="115"/>
      <c r="C168" s="112" t="s">
        <v>1508</v>
      </c>
      <c r="D168" s="1499">
        <v>3.2472493296790832</v>
      </c>
      <c r="E168" s="1499">
        <v>2.3967084851454508</v>
      </c>
      <c r="F168" s="1499">
        <v>1.5416161799764578</v>
      </c>
      <c r="G168" s="1499">
        <v>1.2829268739778288</v>
      </c>
      <c r="H168" s="1499">
        <v>1.3829818511288916</v>
      </c>
      <c r="I168" s="1499">
        <v>2.915520847922259</v>
      </c>
      <c r="J168" s="1499">
        <v>2.4971355010411451</v>
      </c>
      <c r="K168" s="113">
        <v>1.0493163322338503</v>
      </c>
    </row>
    <row r="169" spans="2:11" x14ac:dyDescent="0.3">
      <c r="B169" s="115"/>
      <c r="C169" s="112" t="s">
        <v>1513</v>
      </c>
      <c r="D169" s="1499">
        <v>3.1609114692797258</v>
      </c>
      <c r="E169" s="1499">
        <v>2.3103706247460933</v>
      </c>
      <c r="F169" s="1499">
        <v>1.4552783195771</v>
      </c>
      <c r="G169" s="1499">
        <v>1.1965890135784709</v>
      </c>
      <c r="H169" s="1499">
        <v>1.2966439907295337</v>
      </c>
      <c r="I169" s="1499">
        <v>2.8291829875229015</v>
      </c>
      <c r="J169" s="1499">
        <v>2.4107976406417877</v>
      </c>
      <c r="K169" s="113">
        <v>0.9629784718344927</v>
      </c>
    </row>
    <row r="170" spans="2:11" x14ac:dyDescent="0.3">
      <c r="B170" s="115"/>
      <c r="C170" s="112" t="s">
        <v>1517</v>
      </c>
      <c r="D170" s="1499">
        <v>3.0745736088803679</v>
      </c>
      <c r="E170" s="1499">
        <v>2.2240327643467359</v>
      </c>
      <c r="F170" s="1499">
        <v>1.3689404591777423</v>
      </c>
      <c r="G170" s="1499">
        <v>1.1102511531791135</v>
      </c>
      <c r="H170" s="1499">
        <v>1.2103061303301761</v>
      </c>
      <c r="I170" s="1499">
        <v>2.7428451271235441</v>
      </c>
      <c r="J170" s="1499">
        <v>2.3244597802424298</v>
      </c>
      <c r="K170" s="113">
        <v>0.87664061143513505</v>
      </c>
    </row>
    <row r="171" spans="2:11" ht="14.5" thickBot="1" x14ac:dyDescent="0.35">
      <c r="B171" s="1233"/>
      <c r="C171" s="116" t="s">
        <v>1519</v>
      </c>
      <c r="D171" s="117">
        <v>3.4246612175174902</v>
      </c>
      <c r="E171" s="117">
        <v>2.5850765838460892</v>
      </c>
      <c r="F171" s="117">
        <v>1.7214891523838236</v>
      </c>
      <c r="G171" s="117">
        <v>1.4723155992958918</v>
      </c>
      <c r="H171" s="117">
        <v>1.5677901007433843</v>
      </c>
      <c r="I171" s="117">
        <v>3.1044274912927339</v>
      </c>
      <c r="J171" s="117">
        <v>2.6850628583713854</v>
      </c>
      <c r="K171" s="118">
        <v>1.2221533932690674</v>
      </c>
    </row>
    <row r="173" spans="2:11" ht="14.5" thickBot="1" x14ac:dyDescent="0.35"/>
    <row r="174" spans="2:11" ht="25.5" thickBot="1" x14ac:dyDescent="0.55000000000000004">
      <c r="B174" s="88" t="s">
        <v>1960</v>
      </c>
      <c r="C174" s="89"/>
      <c r="D174" s="90">
        <v>4</v>
      </c>
      <c r="E174" s="91" t="s">
        <v>1991</v>
      </c>
      <c r="F174" s="92"/>
      <c r="G174" s="92"/>
      <c r="H174" s="92"/>
      <c r="I174" s="93"/>
      <c r="J174" s="89" t="s">
        <v>176</v>
      </c>
      <c r="K174" s="94" t="s">
        <v>234</v>
      </c>
    </row>
    <row r="175" spans="2:11" ht="14.5" thickBot="1" x14ac:dyDescent="0.35">
      <c r="B175" s="95" t="s">
        <v>1962</v>
      </c>
      <c r="C175" s="96" t="s">
        <v>1963</v>
      </c>
      <c r="D175" s="95" t="s">
        <v>1964</v>
      </c>
      <c r="E175" s="97" t="s">
        <v>1965</v>
      </c>
      <c r="F175" s="97" t="s">
        <v>1966</v>
      </c>
      <c r="G175" s="97" t="s">
        <v>1967</v>
      </c>
      <c r="H175" s="97" t="s">
        <v>1968</v>
      </c>
      <c r="I175" s="97" t="s">
        <v>1969</v>
      </c>
      <c r="J175" s="97" t="s">
        <v>1970</v>
      </c>
      <c r="K175" s="98" t="s">
        <v>1971</v>
      </c>
    </row>
    <row r="176" spans="2:11" ht="14.5" thickBot="1" x14ac:dyDescent="0.35">
      <c r="B176" s="99"/>
      <c r="C176" s="99"/>
      <c r="D176" s="100"/>
      <c r="E176" s="944"/>
      <c r="F176" s="944"/>
      <c r="G176" s="944"/>
      <c r="H176" s="944"/>
      <c r="I176" s="944"/>
      <c r="J176" s="944"/>
      <c r="K176" s="102"/>
    </row>
    <row r="177" spans="2:11" ht="90.5" thickBot="1" x14ac:dyDescent="0.45">
      <c r="B177" s="103" t="s">
        <v>1972</v>
      </c>
      <c r="C177" s="103" t="s">
        <v>1973</v>
      </c>
      <c r="D177" s="105" t="s">
        <v>1974</v>
      </c>
      <c r="E177" s="105" t="s">
        <v>1525</v>
      </c>
      <c r="F177" s="105" t="s">
        <v>1527</v>
      </c>
      <c r="G177" s="105" t="s">
        <v>1975</v>
      </c>
      <c r="H177" s="105" t="s">
        <v>1976</v>
      </c>
      <c r="I177" s="105" t="s">
        <v>1445</v>
      </c>
      <c r="J177" s="105" t="s">
        <v>1538</v>
      </c>
      <c r="K177" s="106" t="s">
        <v>1541</v>
      </c>
    </row>
    <row r="178" spans="2:11" x14ac:dyDescent="0.3">
      <c r="B178" s="120" t="s">
        <v>1992</v>
      </c>
      <c r="C178" s="108" t="s">
        <v>1416</v>
      </c>
      <c r="D178" s="109">
        <v>4.3552041040963152</v>
      </c>
      <c r="E178" s="109">
        <v>3.5728934719369843</v>
      </c>
      <c r="F178" s="109">
        <v>2.549244772056015</v>
      </c>
      <c r="G178" s="109">
        <v>2.3274348073662767</v>
      </c>
      <c r="H178" s="109">
        <v>2.4051549608992309</v>
      </c>
      <c r="I178" s="109">
        <v>4.1381823076167139</v>
      </c>
      <c r="J178" s="109">
        <v>3.681242357282152</v>
      </c>
      <c r="K178" s="110">
        <v>2.0185425869327607</v>
      </c>
    </row>
    <row r="179" spans="2:11" x14ac:dyDescent="0.3">
      <c r="B179" s="128"/>
      <c r="C179" s="112" t="s">
        <v>1483</v>
      </c>
      <c r="D179" s="1499">
        <v>5.1353943486655238</v>
      </c>
      <c r="E179" s="1499">
        <v>4.3770330020905224</v>
      </c>
      <c r="F179" s="1499">
        <v>3.364973399894605</v>
      </c>
      <c r="G179" s="1499">
        <v>3.1597692616364585</v>
      </c>
      <c r="H179" s="1499">
        <v>3.2186531218791425</v>
      </c>
      <c r="I179" s="1499">
        <v>4.9161399786000857</v>
      </c>
      <c r="J179" s="1499">
        <v>4.4813446328067403</v>
      </c>
      <c r="K179" s="113">
        <v>2.8490405444878433</v>
      </c>
    </row>
    <row r="180" spans="2:11" x14ac:dyDescent="0.3">
      <c r="B180" s="128"/>
      <c r="C180" s="112" t="s">
        <v>1489</v>
      </c>
      <c r="D180" s="1499">
        <v>5.065917880136805</v>
      </c>
      <c r="E180" s="1499">
        <v>4.3075565335618053</v>
      </c>
      <c r="F180" s="1499">
        <v>3.2954969313658875</v>
      </c>
      <c r="G180" s="1499">
        <v>3.0902927931077411</v>
      </c>
      <c r="H180" s="1499">
        <v>3.1491766533504251</v>
      </c>
      <c r="I180" s="1499">
        <v>4.8466635100713678</v>
      </c>
      <c r="J180" s="1499">
        <v>4.4118681642780233</v>
      </c>
      <c r="K180" s="113">
        <v>2.7795640759591258</v>
      </c>
    </row>
    <row r="181" spans="2:11" x14ac:dyDescent="0.3">
      <c r="B181" s="122">
        <v>0</v>
      </c>
      <c r="C181" s="112" t="s">
        <v>1496</v>
      </c>
      <c r="D181" s="1499">
        <v>4.9617031773437281</v>
      </c>
      <c r="E181" s="1499">
        <v>4.2033418307687285</v>
      </c>
      <c r="F181" s="1499">
        <v>3.1912822285728106</v>
      </c>
      <c r="G181" s="1499">
        <v>2.9860780903146642</v>
      </c>
      <c r="H181" s="1499">
        <v>3.0449619505573482</v>
      </c>
      <c r="I181" s="1499">
        <v>4.7424488072782909</v>
      </c>
      <c r="J181" s="1499">
        <v>4.3076534614849464</v>
      </c>
      <c r="K181" s="113">
        <v>2.6753493731660489</v>
      </c>
    </row>
    <row r="182" spans="2:11" x14ac:dyDescent="0.3">
      <c r="B182" s="123"/>
      <c r="C182" s="112" t="s">
        <v>1500</v>
      </c>
      <c r="D182" s="1499">
        <v>4.8574884745506521</v>
      </c>
      <c r="E182" s="1499">
        <v>4.0991271279756516</v>
      </c>
      <c r="F182" s="1499">
        <v>3.0870675257797338</v>
      </c>
      <c r="G182" s="1499">
        <v>2.8818633875215873</v>
      </c>
      <c r="H182" s="1499">
        <v>2.9407472477642713</v>
      </c>
      <c r="I182" s="1499">
        <v>4.638234104485214</v>
      </c>
      <c r="J182" s="1499">
        <v>4.2034387586918696</v>
      </c>
      <c r="K182" s="113">
        <v>2.5711346703729721</v>
      </c>
    </row>
    <row r="183" spans="2:11" x14ac:dyDescent="0.3">
      <c r="B183" s="123"/>
      <c r="C183" s="112" t="s">
        <v>1504</v>
      </c>
      <c r="D183" s="1499">
        <v>4.9805460342111196</v>
      </c>
      <c r="E183" s="1499">
        <v>4.2161688952339942</v>
      </c>
      <c r="F183" s="1499">
        <v>3.2084578602987999</v>
      </c>
      <c r="G183" s="1499">
        <v>2.998553816034637</v>
      </c>
      <c r="H183" s="1499">
        <v>3.060553245575719</v>
      </c>
      <c r="I183" s="1499">
        <v>4.7572607082520451</v>
      </c>
      <c r="J183" s="1499">
        <v>4.320947591553673</v>
      </c>
      <c r="K183" s="113">
        <v>2.6918971821177538</v>
      </c>
    </row>
    <row r="184" spans="2:11" x14ac:dyDescent="0.3">
      <c r="B184" s="123"/>
      <c r="C184" s="112" t="s">
        <v>1508</v>
      </c>
      <c r="D184" s="1499">
        <v>4.9229874606115471</v>
      </c>
      <c r="E184" s="1499">
        <v>4.1586103216344226</v>
      </c>
      <c r="F184" s="1499">
        <v>3.1508992866992283</v>
      </c>
      <c r="G184" s="1499">
        <v>2.9409952424350658</v>
      </c>
      <c r="H184" s="1499">
        <v>3.0029946719761473</v>
      </c>
      <c r="I184" s="1499">
        <v>4.6997021346524734</v>
      </c>
      <c r="J184" s="1499">
        <v>4.2633890179541014</v>
      </c>
      <c r="K184" s="113">
        <v>2.6343386085181821</v>
      </c>
    </row>
    <row r="185" spans="2:11" x14ac:dyDescent="0.3">
      <c r="B185" s="123"/>
      <c r="C185" s="112" t="s">
        <v>1513</v>
      </c>
      <c r="D185" s="1499">
        <v>4.8366496002121897</v>
      </c>
      <c r="E185" s="1499">
        <v>4.0722724612350643</v>
      </c>
      <c r="F185" s="1499">
        <v>3.0645614262998708</v>
      </c>
      <c r="G185" s="1499">
        <v>2.854657382035708</v>
      </c>
      <c r="H185" s="1499">
        <v>2.9166568115767899</v>
      </c>
      <c r="I185" s="1499">
        <v>4.6133642742531151</v>
      </c>
      <c r="J185" s="1499">
        <v>4.177051157554744</v>
      </c>
      <c r="K185" s="113">
        <v>2.5480007481188247</v>
      </c>
    </row>
    <row r="186" spans="2:11" x14ac:dyDescent="0.3">
      <c r="B186" s="123"/>
      <c r="C186" s="112" t="s">
        <v>1517</v>
      </c>
      <c r="D186" s="1499">
        <v>4.7503117398128323</v>
      </c>
      <c r="E186" s="1499">
        <v>3.9859346008357073</v>
      </c>
      <c r="F186" s="1499">
        <v>2.978223565900513</v>
      </c>
      <c r="G186" s="1499">
        <v>2.7683195216363505</v>
      </c>
      <c r="H186" s="1499">
        <v>2.830318951177432</v>
      </c>
      <c r="I186" s="1499">
        <v>4.5270264138537577</v>
      </c>
      <c r="J186" s="1499">
        <v>4.0907132971553866</v>
      </c>
      <c r="K186" s="113">
        <v>2.4616628877194668</v>
      </c>
    </row>
    <row r="187" spans="2:11" ht="14.5" thickBot="1" x14ac:dyDescent="0.35">
      <c r="B187" s="124"/>
      <c r="C187" s="116" t="s">
        <v>1519</v>
      </c>
      <c r="D187" s="117">
        <v>5.1353943486655238</v>
      </c>
      <c r="E187" s="117">
        <v>4.3770330020905224</v>
      </c>
      <c r="F187" s="117">
        <v>3.364973399894605</v>
      </c>
      <c r="G187" s="117">
        <v>3.1597692616364585</v>
      </c>
      <c r="H187" s="117">
        <v>3.2186531218791425</v>
      </c>
      <c r="I187" s="117">
        <v>4.9161399786000857</v>
      </c>
      <c r="J187" s="117">
        <v>4.4813446328067403</v>
      </c>
      <c r="K187" s="118">
        <v>2.8490405444878433</v>
      </c>
    </row>
    <row r="188" spans="2:11" x14ac:dyDescent="0.3">
      <c r="B188" s="120" t="s">
        <v>1993</v>
      </c>
      <c r="C188" s="1234" t="s">
        <v>1416</v>
      </c>
      <c r="D188" s="109">
        <v>3.0920480940180211</v>
      </c>
      <c r="E188" s="109">
        <v>2.2209177494424637</v>
      </c>
      <c r="F188" s="109">
        <v>1.3612687247678636</v>
      </c>
      <c r="G188" s="109">
        <v>1.1111096731522934</v>
      </c>
      <c r="H188" s="109">
        <v>1.2162674661249819</v>
      </c>
      <c r="I188" s="109">
        <v>2.7531064310236251</v>
      </c>
      <c r="J188" s="109">
        <v>2.3255317173089001</v>
      </c>
      <c r="K188" s="110">
        <v>0.86158850616231064</v>
      </c>
    </row>
    <row r="189" spans="2:11" x14ac:dyDescent="0.3">
      <c r="B189" s="121"/>
      <c r="C189" s="1500" t="s">
        <v>1483</v>
      </c>
      <c r="D189" s="1499">
        <v>3.8801849863747973</v>
      </c>
      <c r="E189" s="1499">
        <v>3.0755048668167619</v>
      </c>
      <c r="F189" s="1499">
        <v>2.1527237424474697</v>
      </c>
      <c r="G189" s="1499">
        <v>1.9338719457842888</v>
      </c>
      <c r="H189" s="1499">
        <v>2.0068618704229144</v>
      </c>
      <c r="I189" s="1499">
        <v>3.6012147452807981</v>
      </c>
      <c r="J189" s="1499">
        <v>3.1774128185499304</v>
      </c>
      <c r="K189" s="113">
        <v>1.663691467305348</v>
      </c>
    </row>
    <row r="190" spans="2:11" x14ac:dyDescent="0.3">
      <c r="B190" s="128"/>
      <c r="C190" s="1500" t="s">
        <v>1489</v>
      </c>
      <c r="D190" s="1499">
        <v>3.8107085178460793</v>
      </c>
      <c r="E190" s="1499">
        <v>3.0060283982880445</v>
      </c>
      <c r="F190" s="1499">
        <v>2.0832472739187518</v>
      </c>
      <c r="G190" s="1499">
        <v>1.8643954772555709</v>
      </c>
      <c r="H190" s="1499">
        <v>1.9373854018941963</v>
      </c>
      <c r="I190" s="1499">
        <v>3.5317382767520806</v>
      </c>
      <c r="J190" s="1499">
        <v>3.1079363500212129</v>
      </c>
      <c r="K190" s="113">
        <v>1.5942149987766301</v>
      </c>
    </row>
    <row r="191" spans="2:11" x14ac:dyDescent="0.3">
      <c r="B191" s="122">
        <v>0</v>
      </c>
      <c r="C191" s="1500" t="s">
        <v>1496</v>
      </c>
      <c r="D191" s="1499">
        <v>3.7064938150530025</v>
      </c>
      <c r="E191" s="1499">
        <v>2.9018136954949676</v>
      </c>
      <c r="F191" s="1499">
        <v>1.9790325711256749</v>
      </c>
      <c r="G191" s="1499">
        <v>1.760180774462494</v>
      </c>
      <c r="H191" s="1499">
        <v>1.8331706991011194</v>
      </c>
      <c r="I191" s="1499">
        <v>3.4275235739590038</v>
      </c>
      <c r="J191" s="1499">
        <v>3.0037216472281361</v>
      </c>
      <c r="K191" s="113">
        <v>1.4900002959835532</v>
      </c>
    </row>
    <row r="192" spans="2:11" x14ac:dyDescent="0.3">
      <c r="B192" s="123"/>
      <c r="C192" s="1500" t="s">
        <v>1500</v>
      </c>
      <c r="D192" s="1499">
        <v>3.602279112259926</v>
      </c>
      <c r="E192" s="1499">
        <v>2.7975989927018907</v>
      </c>
      <c r="F192" s="1499">
        <v>1.8748178683325978</v>
      </c>
      <c r="G192" s="1499">
        <v>1.6559660716694169</v>
      </c>
      <c r="H192" s="1499">
        <v>1.7289559963080425</v>
      </c>
      <c r="I192" s="1499">
        <v>3.3233088711659269</v>
      </c>
      <c r="J192" s="1499">
        <v>2.8995069444350592</v>
      </c>
      <c r="K192" s="113">
        <v>1.3857855931904761</v>
      </c>
    </row>
    <row r="193" spans="2:11" x14ac:dyDescent="0.3">
      <c r="B193" s="123"/>
      <c r="C193" s="1500" t="s">
        <v>1504</v>
      </c>
      <c r="D193" s="1499">
        <v>3.7272446456028243</v>
      </c>
      <c r="E193" s="1499">
        <v>2.9099155850731071</v>
      </c>
      <c r="F193" s="1499">
        <v>2.0021193906081169</v>
      </c>
      <c r="G193" s="1499">
        <v>1.7719477744992431</v>
      </c>
      <c r="H193" s="1499">
        <v>1.8538509359708779</v>
      </c>
      <c r="I193" s="1499">
        <v>3.4385935243008667</v>
      </c>
      <c r="J193" s="1499">
        <v>3.0126924715932821</v>
      </c>
      <c r="K193" s="113">
        <v>1.496389802665405</v>
      </c>
    </row>
    <row r="194" spans="2:11" x14ac:dyDescent="0.3">
      <c r="B194" s="123"/>
      <c r="C194" s="1500" t="s">
        <v>1508</v>
      </c>
      <c r="D194" s="1499">
        <v>3.6696860720032527</v>
      </c>
      <c r="E194" s="1499">
        <v>2.8523570114735359</v>
      </c>
      <c r="F194" s="1499">
        <v>1.9445608170085451</v>
      </c>
      <c r="G194" s="1499">
        <v>1.7143892008996713</v>
      </c>
      <c r="H194" s="1499">
        <v>1.7962923623713061</v>
      </c>
      <c r="I194" s="1499">
        <v>3.3810349507012951</v>
      </c>
      <c r="J194" s="1499">
        <v>2.9551338979937105</v>
      </c>
      <c r="K194" s="113">
        <v>1.4388312290658332</v>
      </c>
    </row>
    <row r="195" spans="2:11" x14ac:dyDescent="0.3">
      <c r="B195" s="123"/>
      <c r="C195" s="1500" t="s">
        <v>1513</v>
      </c>
      <c r="D195" s="1499">
        <v>3.5833482116038953</v>
      </c>
      <c r="E195" s="1499">
        <v>2.7660191510741781</v>
      </c>
      <c r="F195" s="1499">
        <v>1.8582229566091877</v>
      </c>
      <c r="G195" s="1499">
        <v>1.6280513405003136</v>
      </c>
      <c r="H195" s="1499">
        <v>1.7099545019719484</v>
      </c>
      <c r="I195" s="1499">
        <v>3.2946970903019377</v>
      </c>
      <c r="J195" s="1499">
        <v>2.8687960375943531</v>
      </c>
      <c r="K195" s="113">
        <v>1.3524933686664757</v>
      </c>
    </row>
    <row r="196" spans="2:11" x14ac:dyDescent="0.3">
      <c r="B196" s="123"/>
      <c r="C196" s="1500" t="s">
        <v>1517</v>
      </c>
      <c r="D196" s="1499">
        <v>3.4970103512045374</v>
      </c>
      <c r="E196" s="1499">
        <v>2.6796812906748206</v>
      </c>
      <c r="F196" s="1499">
        <v>1.77188509620983</v>
      </c>
      <c r="G196" s="1499">
        <v>1.5417134801009558</v>
      </c>
      <c r="H196" s="1499">
        <v>1.6236166415725906</v>
      </c>
      <c r="I196" s="1499">
        <v>3.2083592299025803</v>
      </c>
      <c r="J196" s="1499">
        <v>2.7824581771949957</v>
      </c>
      <c r="K196" s="113">
        <v>1.2661555082671179</v>
      </c>
    </row>
    <row r="197" spans="2:11" ht="14.5" thickBot="1" x14ac:dyDescent="0.35">
      <c r="B197" s="124"/>
      <c r="C197" s="125" t="s">
        <v>1519</v>
      </c>
      <c r="D197" s="117">
        <v>3.8801849863747973</v>
      </c>
      <c r="E197" s="117">
        <v>3.0755048668167619</v>
      </c>
      <c r="F197" s="117">
        <v>2.1527237424474697</v>
      </c>
      <c r="G197" s="117">
        <v>1.9338719457842888</v>
      </c>
      <c r="H197" s="117">
        <v>2.0068618704229144</v>
      </c>
      <c r="I197" s="117">
        <v>3.6012147452807981</v>
      </c>
      <c r="J197" s="117">
        <v>3.1774128185499304</v>
      </c>
      <c r="K197" s="118">
        <v>1.663691467305348</v>
      </c>
    </row>
    <row r="198" spans="2:11" x14ac:dyDescent="0.3">
      <c r="B198" s="119" t="s">
        <v>1994</v>
      </c>
      <c r="C198" s="108" t="s">
        <v>1416</v>
      </c>
      <c r="D198" s="109">
        <v>4.0003336623074706</v>
      </c>
      <c r="E198" s="109">
        <v>3.2267006436632748</v>
      </c>
      <c r="F198" s="109">
        <v>2.2005774695911162</v>
      </c>
      <c r="G198" s="109">
        <v>1.9754556504329659</v>
      </c>
      <c r="H198" s="109">
        <v>2.046039509335845</v>
      </c>
      <c r="I198" s="109">
        <v>3.7961004847241195</v>
      </c>
      <c r="J198" s="109">
        <v>3.3328607579481524</v>
      </c>
      <c r="K198" s="110">
        <v>1.6780317204262571</v>
      </c>
    </row>
    <row r="199" spans="2:11" x14ac:dyDescent="0.3">
      <c r="B199" s="111"/>
      <c r="C199" s="112" t="s">
        <v>1483</v>
      </c>
      <c r="D199" s="1499">
        <v>4.7996083555578819</v>
      </c>
      <c r="E199" s="1499">
        <v>4.0573729549424833</v>
      </c>
      <c r="F199" s="1499">
        <v>3.0307720526215878</v>
      </c>
      <c r="G199" s="1499">
        <v>2.827614678649506</v>
      </c>
      <c r="H199" s="1499">
        <v>2.8742916803764018</v>
      </c>
      <c r="I199" s="1499">
        <v>4.6022723705661006</v>
      </c>
      <c r="J199" s="1499">
        <v>4.1606937171590141</v>
      </c>
      <c r="K199" s="113">
        <v>2.5236797980756673</v>
      </c>
    </row>
    <row r="200" spans="2:11" x14ac:dyDescent="0.3">
      <c r="B200" s="111"/>
      <c r="C200" s="112" t="s">
        <v>1489</v>
      </c>
      <c r="D200" s="1499">
        <v>4.7301318870291631</v>
      </c>
      <c r="E200" s="1499">
        <v>3.9878964864137654</v>
      </c>
      <c r="F200" s="1499">
        <v>2.9612955840928699</v>
      </c>
      <c r="G200" s="1499">
        <v>2.7581382101207885</v>
      </c>
      <c r="H200" s="1499">
        <v>2.8048152118476839</v>
      </c>
      <c r="I200" s="1499">
        <v>4.5327959020373827</v>
      </c>
      <c r="J200" s="1499">
        <v>4.0912172486302962</v>
      </c>
      <c r="K200" s="113">
        <v>2.4542033295469499</v>
      </c>
    </row>
    <row r="201" spans="2:11" x14ac:dyDescent="0.3">
      <c r="B201" s="114">
        <v>0</v>
      </c>
      <c r="C201" s="112" t="s">
        <v>1496</v>
      </c>
      <c r="D201" s="1499">
        <v>4.6259171842360862</v>
      </c>
      <c r="E201" s="1499">
        <v>3.8836817836206885</v>
      </c>
      <c r="F201" s="1499">
        <v>2.857080881299793</v>
      </c>
      <c r="G201" s="1499">
        <v>2.6539235073277117</v>
      </c>
      <c r="H201" s="1499">
        <v>2.700600509054607</v>
      </c>
      <c r="I201" s="1499">
        <v>4.4285811992443058</v>
      </c>
      <c r="J201" s="1499">
        <v>3.9870025458372198</v>
      </c>
      <c r="K201" s="113">
        <v>2.349988626753873</v>
      </c>
    </row>
    <row r="202" spans="2:11" x14ac:dyDescent="0.3">
      <c r="B202" s="115"/>
      <c r="C202" s="112" t="s">
        <v>1500</v>
      </c>
      <c r="D202" s="1499">
        <v>4.5217024814430093</v>
      </c>
      <c r="E202" s="1499">
        <v>3.7794670808276121</v>
      </c>
      <c r="F202" s="1499">
        <v>2.7528661785067166</v>
      </c>
      <c r="G202" s="1499">
        <v>2.5497088045346348</v>
      </c>
      <c r="H202" s="1499">
        <v>2.5963858062615306</v>
      </c>
      <c r="I202" s="1499">
        <v>4.3243664964512289</v>
      </c>
      <c r="J202" s="1499">
        <v>3.8827878430441429</v>
      </c>
      <c r="K202" s="113">
        <v>2.2457739239607961</v>
      </c>
    </row>
    <row r="203" spans="2:11" x14ac:dyDescent="0.3">
      <c r="B203" s="115"/>
      <c r="C203" s="112" t="s">
        <v>1504</v>
      </c>
      <c r="D203" s="1499">
        <v>4.6445644516768692</v>
      </c>
      <c r="E203" s="1499">
        <v>3.894882690258318</v>
      </c>
      <c r="F203" s="1499">
        <v>2.8675889694954648</v>
      </c>
      <c r="G203" s="1499">
        <v>2.6659601199882865</v>
      </c>
      <c r="H203" s="1499">
        <v>2.7165583064268022</v>
      </c>
      <c r="I203" s="1499">
        <v>4.4400705147151678</v>
      </c>
      <c r="J203" s="1499">
        <v>3.9984916524811265</v>
      </c>
      <c r="K203" s="113">
        <v>2.3590064507286126</v>
      </c>
    </row>
    <row r="204" spans="2:11" x14ac:dyDescent="0.3">
      <c r="B204" s="115"/>
      <c r="C204" s="112" t="s">
        <v>1508</v>
      </c>
      <c r="D204" s="1499">
        <v>4.5870058780772975</v>
      </c>
      <c r="E204" s="1499">
        <v>3.8373241166587464</v>
      </c>
      <c r="F204" s="1499">
        <v>2.8100303958958932</v>
      </c>
      <c r="G204" s="1499">
        <v>2.6084015463887149</v>
      </c>
      <c r="H204" s="1499">
        <v>2.6589997328272306</v>
      </c>
      <c r="I204" s="1499">
        <v>4.3825119411155962</v>
      </c>
      <c r="J204" s="1499">
        <v>3.9409330788815549</v>
      </c>
      <c r="K204" s="113">
        <v>2.301447877129041</v>
      </c>
    </row>
    <row r="205" spans="2:11" x14ac:dyDescent="0.3">
      <c r="B205" s="115"/>
      <c r="C205" s="112" t="s">
        <v>1513</v>
      </c>
      <c r="D205" s="1499">
        <v>4.5006680176779401</v>
      </c>
      <c r="E205" s="1499">
        <v>3.750986256259389</v>
      </c>
      <c r="F205" s="1499">
        <v>2.7236925354965358</v>
      </c>
      <c r="G205" s="1499">
        <v>2.522063685989357</v>
      </c>
      <c r="H205" s="1499">
        <v>2.5726618724278731</v>
      </c>
      <c r="I205" s="1499">
        <v>4.2961740807162387</v>
      </c>
      <c r="J205" s="1499">
        <v>3.854595218482197</v>
      </c>
      <c r="K205" s="113">
        <v>2.2151100167296831</v>
      </c>
    </row>
    <row r="206" spans="2:11" x14ac:dyDescent="0.3">
      <c r="B206" s="115"/>
      <c r="C206" s="112" t="s">
        <v>1517</v>
      </c>
      <c r="D206" s="1499">
        <v>4.4143301572785827</v>
      </c>
      <c r="E206" s="1499">
        <v>3.6646483958600311</v>
      </c>
      <c r="F206" s="1499">
        <v>2.6373546750971784</v>
      </c>
      <c r="G206" s="1499">
        <v>2.4357258255899996</v>
      </c>
      <c r="H206" s="1499">
        <v>2.4863240120285153</v>
      </c>
      <c r="I206" s="1499">
        <v>4.2098362203168813</v>
      </c>
      <c r="J206" s="1499">
        <v>3.7682573580828396</v>
      </c>
      <c r="K206" s="113">
        <v>2.1287721563303252</v>
      </c>
    </row>
    <row r="207" spans="2:11" ht="14.5" thickBot="1" x14ac:dyDescent="0.35">
      <c r="B207" s="1233"/>
      <c r="C207" s="116" t="s">
        <v>1519</v>
      </c>
      <c r="D207" s="117">
        <v>4.7996083555578819</v>
      </c>
      <c r="E207" s="117">
        <v>4.0573729549424833</v>
      </c>
      <c r="F207" s="117">
        <v>3.0307720526215878</v>
      </c>
      <c r="G207" s="117">
        <v>2.827614678649506</v>
      </c>
      <c r="H207" s="117">
        <v>2.8742916803764018</v>
      </c>
      <c r="I207" s="117">
        <v>4.6022723705661006</v>
      </c>
      <c r="J207" s="117">
        <v>4.1606937171590141</v>
      </c>
      <c r="K207" s="118">
        <v>2.5236797980756673</v>
      </c>
    </row>
    <row r="208" spans="2:11" x14ac:dyDescent="0.3">
      <c r="B208" s="120" t="s">
        <v>1519</v>
      </c>
      <c r="C208" s="108" t="s">
        <v>1416</v>
      </c>
      <c r="D208" s="129">
        <v>3.0946589584270425</v>
      </c>
      <c r="E208" s="109">
        <v>2.2063380188059027</v>
      </c>
      <c r="F208" s="109">
        <v>1.3765378399337918</v>
      </c>
      <c r="G208" s="109">
        <v>1.1228718835865905</v>
      </c>
      <c r="H208" s="109">
        <v>1.2334101155232684</v>
      </c>
      <c r="I208" s="109">
        <v>2.7319812767247043</v>
      </c>
      <c r="J208" s="109">
        <v>2.3108314398772527</v>
      </c>
      <c r="K208" s="110">
        <v>0.87686718365128336</v>
      </c>
    </row>
    <row r="209" spans="2:11" x14ac:dyDescent="0.3">
      <c r="B209" s="111"/>
      <c r="C209" s="112" t="s">
        <v>1483</v>
      </c>
      <c r="D209" s="130">
        <v>3.6903491099151582</v>
      </c>
      <c r="E209" s="1499">
        <v>2.8547896708873859</v>
      </c>
      <c r="F209" s="1499">
        <v>1.9771224716376667</v>
      </c>
      <c r="G209" s="1499">
        <v>1.7344909341038111</v>
      </c>
      <c r="H209" s="1499">
        <v>1.8264727953615398</v>
      </c>
      <c r="I209" s="1499">
        <v>3.3767823368418446</v>
      </c>
      <c r="J209" s="1499">
        <v>2.9543604006889677</v>
      </c>
      <c r="K209" s="113">
        <v>1.4712212869429671</v>
      </c>
    </row>
    <row r="210" spans="2:11" x14ac:dyDescent="0.3">
      <c r="B210" s="111"/>
      <c r="C210" s="112" t="s">
        <v>1489</v>
      </c>
      <c r="D210" s="130">
        <v>3.6208726413864407</v>
      </c>
      <c r="E210" s="1499">
        <v>2.7853132023586684</v>
      </c>
      <c r="F210" s="1499">
        <v>1.9076460031089488</v>
      </c>
      <c r="G210" s="1499">
        <v>1.6650144655750931</v>
      </c>
      <c r="H210" s="1499">
        <v>1.7569963268328219</v>
      </c>
      <c r="I210" s="1499">
        <v>3.3073058683131271</v>
      </c>
      <c r="J210" s="1499">
        <v>2.8848839321602497</v>
      </c>
      <c r="K210" s="113">
        <v>1.4017448184142491</v>
      </c>
    </row>
    <row r="211" spans="2:11" x14ac:dyDescent="0.3">
      <c r="B211" s="114">
        <v>0</v>
      </c>
      <c r="C211" s="112" t="s">
        <v>1496</v>
      </c>
      <c r="D211" s="130">
        <v>3.5166579385933634</v>
      </c>
      <c r="E211" s="1499">
        <v>2.6810984995655911</v>
      </c>
      <c r="F211" s="1499">
        <v>1.8034313003158722</v>
      </c>
      <c r="G211" s="1499">
        <v>1.5607997627820163</v>
      </c>
      <c r="H211" s="1499">
        <v>1.652781624039745</v>
      </c>
      <c r="I211" s="1499">
        <v>3.2030911655200498</v>
      </c>
      <c r="J211" s="1499">
        <v>2.7806692293671724</v>
      </c>
      <c r="K211" s="113">
        <v>1.2975301156211723</v>
      </c>
    </row>
    <row r="212" spans="2:11" x14ac:dyDescent="0.3">
      <c r="B212" s="115"/>
      <c r="C212" s="112" t="s">
        <v>1500</v>
      </c>
      <c r="D212" s="130">
        <v>3.4124432358002865</v>
      </c>
      <c r="E212" s="1499">
        <v>2.5768837967725142</v>
      </c>
      <c r="F212" s="1499">
        <v>1.6992165975227951</v>
      </c>
      <c r="G212" s="1499">
        <v>1.4565850599889394</v>
      </c>
      <c r="H212" s="1499">
        <v>1.5485669212466679</v>
      </c>
      <c r="I212" s="1499">
        <v>3.0988764627269729</v>
      </c>
      <c r="J212" s="1499">
        <v>2.6764545265740955</v>
      </c>
      <c r="K212" s="113">
        <v>1.1933154128280952</v>
      </c>
    </row>
    <row r="213" spans="2:11" x14ac:dyDescent="0.3">
      <c r="B213" s="115"/>
      <c r="C213" s="112" t="s">
        <v>1504</v>
      </c>
      <c r="D213" s="130">
        <v>3.5684863313680464</v>
      </c>
      <c r="E213" s="1499">
        <v>2.7242944042001094</v>
      </c>
      <c r="F213" s="1499">
        <v>1.8560621848798013</v>
      </c>
      <c r="G213" s="1499">
        <v>1.6016967816116661</v>
      </c>
      <c r="H213" s="1499">
        <v>1.7006225906989028</v>
      </c>
      <c r="I213" s="1499">
        <v>3.2459822060673815</v>
      </c>
      <c r="J213" s="1499">
        <v>2.8251928131257604</v>
      </c>
      <c r="K213" s="113">
        <v>1.3554694063434953</v>
      </c>
    </row>
    <row r="214" spans="2:11" x14ac:dyDescent="0.3">
      <c r="B214" s="115"/>
      <c r="C214" s="112" t="s">
        <v>1508</v>
      </c>
      <c r="D214" s="130">
        <v>3.5109277577684748</v>
      </c>
      <c r="E214" s="1499">
        <v>2.6667358306005378</v>
      </c>
      <c r="F214" s="1499">
        <v>1.7985036112802295</v>
      </c>
      <c r="G214" s="1499">
        <v>1.5441382080120944</v>
      </c>
      <c r="H214" s="1499">
        <v>1.6430640170993309</v>
      </c>
      <c r="I214" s="1499">
        <v>3.1884236324678104</v>
      </c>
      <c r="J214" s="1499">
        <v>2.7676342395261888</v>
      </c>
      <c r="K214" s="113">
        <v>1.2979108327439237</v>
      </c>
    </row>
    <row r="215" spans="2:11" x14ac:dyDescent="0.3">
      <c r="B215" s="115"/>
      <c r="C215" s="112" t="s">
        <v>1513</v>
      </c>
      <c r="D215" s="130">
        <v>3.4245898973691169</v>
      </c>
      <c r="E215" s="1499">
        <v>2.5803979702011799</v>
      </c>
      <c r="F215" s="1499">
        <v>1.7121657508808719</v>
      </c>
      <c r="G215" s="1499">
        <v>1.4578003476127368</v>
      </c>
      <c r="H215" s="1499">
        <v>1.5567261566999735</v>
      </c>
      <c r="I215" s="1499">
        <v>3.102085772068452</v>
      </c>
      <c r="J215" s="1499">
        <v>2.6812963791268305</v>
      </c>
      <c r="K215" s="113">
        <v>1.2115729723445661</v>
      </c>
    </row>
    <row r="216" spans="2:11" x14ac:dyDescent="0.3">
      <c r="B216" s="115"/>
      <c r="C216" s="112" t="s">
        <v>1517</v>
      </c>
      <c r="D216" s="130">
        <v>3.338252036969759</v>
      </c>
      <c r="E216" s="1499">
        <v>2.494060109801822</v>
      </c>
      <c r="F216" s="1499">
        <v>1.6258278904815144</v>
      </c>
      <c r="G216" s="1499">
        <v>1.3714624872133792</v>
      </c>
      <c r="H216" s="1499">
        <v>1.4703882963006156</v>
      </c>
      <c r="I216" s="1499">
        <v>3.0157479116690946</v>
      </c>
      <c r="J216" s="1499">
        <v>2.5949585187274731</v>
      </c>
      <c r="K216" s="113">
        <v>1.1252351119452084</v>
      </c>
    </row>
    <row r="217" spans="2:11" ht="14.5" thickBot="1" x14ac:dyDescent="0.35">
      <c r="B217" s="1233"/>
      <c r="C217" s="116" t="s">
        <v>1519</v>
      </c>
      <c r="D217" s="131">
        <v>3.6903491099151582</v>
      </c>
      <c r="E217" s="117">
        <v>2.8547896708873859</v>
      </c>
      <c r="F217" s="117">
        <v>1.9771224716376667</v>
      </c>
      <c r="G217" s="117">
        <v>1.7344909341038111</v>
      </c>
      <c r="H217" s="117">
        <v>1.8264727953615398</v>
      </c>
      <c r="I217" s="117">
        <v>3.3767823368418446</v>
      </c>
      <c r="J217" s="117">
        <v>2.9543604006889677</v>
      </c>
      <c r="K217" s="118">
        <v>1.4712212869429671</v>
      </c>
    </row>
    <row r="221" spans="2:11" ht="14.5" thickBot="1" x14ac:dyDescent="0.35"/>
    <row r="222" spans="2:11" x14ac:dyDescent="0.3">
      <c r="C222" s="132" t="s">
        <v>1995</v>
      </c>
      <c r="D222" s="132"/>
      <c r="E222" s="132"/>
      <c r="F222" s="132"/>
    </row>
    <row r="223" spans="2:11" x14ac:dyDescent="0.3">
      <c r="C223" s="1504" t="s">
        <v>1996</v>
      </c>
      <c r="D223" s="1504" t="s">
        <v>1997</v>
      </c>
      <c r="E223" s="1504" t="s">
        <v>1998</v>
      </c>
      <c r="F223" s="1504" t="s">
        <v>1999</v>
      </c>
    </row>
    <row r="224" spans="2:11" x14ac:dyDescent="0.3">
      <c r="C224" s="1498">
        <v>1</v>
      </c>
      <c r="D224" s="1505">
        <v>305.77472145614308</v>
      </c>
      <c r="E224" s="1506">
        <v>5.6077260506854E-2</v>
      </c>
      <c r="F224" s="1507">
        <v>2.2430904202741599</v>
      </c>
      <c r="H224" s="134" t="s">
        <v>2000</v>
      </c>
    </row>
    <row r="225" spans="2:11" x14ac:dyDescent="0.3">
      <c r="C225" s="1498">
        <v>1.5</v>
      </c>
      <c r="D225" s="1505">
        <v>258.12155008122528</v>
      </c>
      <c r="E225" s="1506">
        <v>4.7337953044015543E-2</v>
      </c>
      <c r="F225" s="1507">
        <v>1.8935181217606214</v>
      </c>
      <c r="H225" s="134" t="s">
        <v>2001</v>
      </c>
    </row>
    <row r="226" spans="2:11" x14ac:dyDescent="0.3">
      <c r="C226" s="1498">
        <v>2</v>
      </c>
      <c r="D226" s="1505">
        <v>224.31108692201519</v>
      </c>
      <c r="E226" s="1506">
        <v>4.1137315720539622E-2</v>
      </c>
      <c r="F226" s="1507">
        <v>1.6454926288215845</v>
      </c>
    </row>
    <row r="227" spans="2:11" x14ac:dyDescent="0.3">
      <c r="C227" s="1498">
        <v>2.5</v>
      </c>
      <c r="D227" s="1505">
        <v>198.08565425384302</v>
      </c>
      <c r="E227" s="1506">
        <v>3.632772775775904E-2</v>
      </c>
      <c r="F227" s="1507">
        <v>1.4531091103103615</v>
      </c>
    </row>
    <row r="228" spans="2:11" x14ac:dyDescent="0.3">
      <c r="B228" s="2"/>
      <c r="C228" s="1498">
        <v>3</v>
      </c>
      <c r="D228" s="1505">
        <v>176.65791554709733</v>
      </c>
      <c r="E228" s="1506">
        <v>3.2398008257701144E-2</v>
      </c>
      <c r="F228" s="1507">
        <v>1.295920330308046</v>
      </c>
      <c r="I228" s="135"/>
      <c r="J228" s="135"/>
      <c r="K228" s="135"/>
    </row>
    <row r="229" spans="2:11" x14ac:dyDescent="0.3">
      <c r="B229" s="136"/>
      <c r="C229" s="1498">
        <v>3.5</v>
      </c>
      <c r="D229" s="1505">
        <v>158.54102061218515</v>
      </c>
      <c r="E229" s="1506">
        <v>2.907547776203985E-2</v>
      </c>
      <c r="F229" s="1507">
        <v>1.1630191104815941</v>
      </c>
      <c r="I229" s="135"/>
      <c r="J229" s="135"/>
      <c r="K229" s="135"/>
    </row>
    <row r="230" spans="2:11" x14ac:dyDescent="0.3">
      <c r="B230" s="136"/>
      <c r="C230" s="1498">
        <v>4</v>
      </c>
      <c r="D230" s="1505">
        <v>142.84745238788724</v>
      </c>
      <c r="E230" s="1506">
        <v>2.6197370934225229E-2</v>
      </c>
      <c r="F230" s="1507">
        <v>1.0478948373690091</v>
      </c>
      <c r="I230" s="135"/>
      <c r="J230" s="135"/>
      <c r="K230" s="135"/>
    </row>
    <row r="231" spans="2:11" x14ac:dyDescent="0.3">
      <c r="B231" s="137"/>
      <c r="C231" s="1498">
        <v>4.5</v>
      </c>
      <c r="D231" s="1505">
        <v>129.00474417217956</v>
      </c>
      <c r="E231" s="1506">
        <v>2.3658700794862684E-2</v>
      </c>
      <c r="F231" s="1507">
        <v>0.94634803179450744</v>
      </c>
      <c r="I231" s="135"/>
      <c r="J231" s="135"/>
      <c r="K231" s="135"/>
    </row>
    <row r="232" spans="2:11" x14ac:dyDescent="0.3">
      <c r="C232" s="1498">
        <v>5</v>
      </c>
      <c r="D232" s="1505">
        <v>116.62201971971514</v>
      </c>
      <c r="E232" s="1506">
        <v>2.1387782971444658E-2</v>
      </c>
      <c r="F232" s="1507">
        <v>0.85551131885778631</v>
      </c>
      <c r="I232" s="135"/>
      <c r="J232" s="135"/>
      <c r="K232" s="135"/>
    </row>
    <row r="233" spans="2:11" x14ac:dyDescent="0.3">
      <c r="C233" s="1498">
        <v>5.5</v>
      </c>
      <c r="D233" s="1505">
        <v>105.42048291379564</v>
      </c>
      <c r="E233" s="1506">
        <v>1.9333487918696955E-2</v>
      </c>
      <c r="F233" s="1507">
        <v>0.77333951674787826</v>
      </c>
      <c r="I233" s="135"/>
      <c r="J233" s="135"/>
      <c r="K233" s="135"/>
    </row>
    <row r="234" spans="2:11" x14ac:dyDescent="0.3">
      <c r="C234" s="1498">
        <v>6</v>
      </c>
      <c r="D234" s="1505">
        <v>95.194281012969469</v>
      </c>
      <c r="E234" s="1506">
        <v>1.7458063471386766E-2</v>
      </c>
      <c r="F234" s="1507">
        <v>0.69832253885547058</v>
      </c>
      <c r="I234" s="135"/>
      <c r="J234" s="135"/>
      <c r="K234" s="135"/>
    </row>
    <row r="235" spans="2:11" x14ac:dyDescent="0.3">
      <c r="C235" s="1498">
        <v>6.5</v>
      </c>
      <c r="D235" s="1505">
        <v>85.787087176053774</v>
      </c>
      <c r="E235" s="1506">
        <v>1.5732840219055702E-2</v>
      </c>
      <c r="F235" s="1507">
        <v>0.62931360876222797</v>
      </c>
      <c r="I235" s="135"/>
      <c r="J235" s="135"/>
      <c r="K235" s="135"/>
    </row>
    <row r="236" spans="2:11" x14ac:dyDescent="0.3">
      <c r="C236" s="1498">
        <v>7</v>
      </c>
      <c r="D236" s="1505">
        <v>77.077386078057287</v>
      </c>
      <c r="E236" s="1506">
        <v>1.4135532975725468E-2</v>
      </c>
      <c r="F236" s="1507">
        <v>0.56542131902901871</v>
      </c>
      <c r="I236" s="135"/>
      <c r="J236" s="135"/>
      <c r="K236" s="135"/>
    </row>
    <row r="237" spans="2:11" x14ac:dyDescent="0.3">
      <c r="C237" s="1498">
        <v>7.5</v>
      </c>
      <c r="D237" s="1505">
        <v>68.968848344797323</v>
      </c>
      <c r="E237" s="1506">
        <v>1.2648475508606195E-2</v>
      </c>
      <c r="F237" s="1507">
        <v>0.50593902034424776</v>
      </c>
      <c r="I237" s="135"/>
      <c r="J237" s="135"/>
      <c r="K237" s="135"/>
    </row>
    <row r="238" spans="2:11" x14ac:dyDescent="0.3">
      <c r="B238" s="2"/>
      <c r="C238" s="1498">
        <v>8</v>
      </c>
      <c r="D238" s="1505">
        <v>61.383817853759368</v>
      </c>
      <c r="E238" s="1506">
        <v>1.1257426147910844E-2</v>
      </c>
      <c r="F238" s="1507">
        <v>0.45029704591643371</v>
      </c>
      <c r="I238" s="135"/>
      <c r="J238" s="135"/>
      <c r="K238" s="135"/>
    </row>
    <row r="239" spans="2:11" x14ac:dyDescent="0.3">
      <c r="B239" s="136"/>
      <c r="C239" s="1498">
        <v>8.5</v>
      </c>
      <c r="D239" s="1505">
        <v>54.258776918825227</v>
      </c>
      <c r="E239" s="1506">
        <v>9.9507361287765848E-3</v>
      </c>
      <c r="F239" s="1507">
        <v>0.39802944515106342</v>
      </c>
      <c r="I239" s="135"/>
      <c r="J239" s="135"/>
      <c r="K239" s="135"/>
    </row>
    <row r="240" spans="2:11" x14ac:dyDescent="0.3">
      <c r="B240" s="136"/>
      <c r="C240" s="1498">
        <v>9</v>
      </c>
      <c r="D240" s="1505">
        <v>47.541109638051637</v>
      </c>
      <c r="E240" s="1506">
        <v>8.7187560085482969E-3</v>
      </c>
      <c r="F240" s="1507">
        <v>0.34875024034193192</v>
      </c>
      <c r="I240" s="135"/>
      <c r="J240" s="135"/>
      <c r="K240" s="135"/>
    </row>
    <row r="241" spans="2:11" x14ac:dyDescent="0.3">
      <c r="B241" s="137"/>
      <c r="C241" s="1498">
        <v>9.5</v>
      </c>
      <c r="D241" s="1505">
        <v>41.186741507635986</v>
      </c>
      <c r="E241" s="1506">
        <v>7.5534027860554489E-3</v>
      </c>
      <c r="F241" s="1507">
        <v>0.30213611144221797</v>
      </c>
      <c r="I241" s="135"/>
      <c r="J241" s="135"/>
      <c r="K241" s="135"/>
    </row>
    <row r="242" spans="2:11" x14ac:dyDescent="0.3">
      <c r="C242" s="1498">
        <v>10</v>
      </c>
      <c r="D242" s="1505">
        <v>35.158385185587193</v>
      </c>
      <c r="E242" s="1506">
        <v>6.4478381851302644E-3</v>
      </c>
      <c r="F242" s="1507">
        <v>0.25791352740521056</v>
      </c>
      <c r="I242" s="135"/>
      <c r="J242" s="135"/>
      <c r="K242" s="135"/>
    </row>
    <row r="243" spans="2:11" x14ac:dyDescent="0.3">
      <c r="I243" s="135"/>
      <c r="J243" s="135"/>
      <c r="K243" s="135"/>
    </row>
    <row r="244" spans="2:11" ht="14.5" thickBot="1" x14ac:dyDescent="0.35">
      <c r="I244" s="135"/>
      <c r="J244" s="135"/>
      <c r="K244" s="135"/>
    </row>
    <row r="245" spans="2:11" x14ac:dyDescent="0.3">
      <c r="C245" s="132" t="s">
        <v>2002</v>
      </c>
      <c r="D245" s="132"/>
      <c r="E245" s="132"/>
      <c r="F245" s="132"/>
      <c r="H245" s="134" t="s">
        <v>2003</v>
      </c>
      <c r="I245" s="135"/>
      <c r="J245" s="135"/>
      <c r="K245" s="135"/>
    </row>
    <row r="246" spans="2:11" x14ac:dyDescent="0.3">
      <c r="C246" s="1508" t="s">
        <v>1996</v>
      </c>
      <c r="D246" s="1508" t="s">
        <v>2004</v>
      </c>
      <c r="E246" s="1508" t="s">
        <v>2005</v>
      </c>
      <c r="F246" s="1508" t="s">
        <v>2006</v>
      </c>
      <c r="H246" s="134" t="s">
        <v>2007</v>
      </c>
      <c r="I246" s="135"/>
      <c r="J246" s="135"/>
      <c r="K246" s="135"/>
    </row>
    <row r="247" spans="2:11" x14ac:dyDescent="0.3">
      <c r="C247" s="1498" t="s">
        <v>376</v>
      </c>
      <c r="D247" s="1509">
        <v>363.47850860653438</v>
      </c>
      <c r="E247" s="1510">
        <v>6.6659790968675262E-2</v>
      </c>
      <c r="F247" s="1511">
        <v>2.6663916387470108</v>
      </c>
      <c r="I247" s="135"/>
      <c r="J247" s="135"/>
      <c r="K247" s="135"/>
    </row>
    <row r="248" spans="2:11" x14ac:dyDescent="0.3">
      <c r="B248" s="2"/>
      <c r="D248" s="135"/>
      <c r="E248" s="135"/>
      <c r="F248" s="135"/>
      <c r="G248" s="135"/>
      <c r="H248" s="135"/>
      <c r="I248" s="135"/>
      <c r="J248" s="135"/>
      <c r="K248" s="135"/>
    </row>
    <row r="249" spans="2:11" x14ac:dyDescent="0.3">
      <c r="B249" s="136"/>
      <c r="D249" s="135"/>
      <c r="E249" s="135"/>
      <c r="F249" s="135"/>
      <c r="G249" s="135"/>
      <c r="H249" s="135"/>
      <c r="I249" s="135"/>
      <c r="J249" s="135"/>
      <c r="K249" s="135"/>
    </row>
    <row r="250" spans="2:11" x14ac:dyDescent="0.3">
      <c r="B250" s="136"/>
      <c r="D250" s="135"/>
      <c r="E250" s="135"/>
      <c r="F250" s="135"/>
      <c r="G250" s="135"/>
      <c r="H250" s="135"/>
      <c r="I250" s="135"/>
      <c r="J250" s="135"/>
      <c r="K250" s="135"/>
    </row>
    <row r="251" spans="2:11" x14ac:dyDescent="0.3">
      <c r="B251" s="137"/>
      <c r="D251" s="135"/>
      <c r="E251" s="135"/>
      <c r="F251" s="135"/>
      <c r="G251" s="135"/>
      <c r="H251" s="135"/>
      <c r="I251" s="135"/>
      <c r="J251" s="135"/>
      <c r="K251" s="135"/>
    </row>
    <row r="252" spans="2:11" x14ac:dyDescent="0.3">
      <c r="D252" s="135"/>
      <c r="E252" s="135"/>
      <c r="F252" s="135"/>
      <c r="G252" s="135"/>
      <c r="H252" s="135"/>
      <c r="I252" s="135"/>
      <c r="J252" s="135"/>
      <c r="K252" s="135"/>
    </row>
    <row r="253" spans="2:11" x14ac:dyDescent="0.3">
      <c r="D253" s="135"/>
      <c r="E253" s="135"/>
      <c r="F253" s="135"/>
      <c r="G253" s="135"/>
      <c r="H253" s="135"/>
      <c r="I253" s="135"/>
      <c r="J253" s="135"/>
      <c r="K253" s="135"/>
    </row>
    <row r="254" spans="2:11" x14ac:dyDescent="0.3">
      <c r="D254" s="135"/>
      <c r="E254" s="135"/>
      <c r="F254" s="135"/>
      <c r="G254" s="135"/>
      <c r="H254" s="135"/>
      <c r="I254" s="135"/>
      <c r="J254" s="135"/>
      <c r="K254" s="135"/>
    </row>
    <row r="255" spans="2:11" x14ac:dyDescent="0.3">
      <c r="D255" s="135"/>
      <c r="E255" s="135"/>
      <c r="F255" s="135"/>
      <c r="G255" s="135"/>
      <c r="H255" s="135"/>
      <c r="I255" s="135"/>
      <c r="J255" s="135"/>
      <c r="K255" s="135"/>
    </row>
    <row r="256" spans="2:11" x14ac:dyDescent="0.3">
      <c r="D256" s="135"/>
      <c r="E256" s="135"/>
      <c r="F256" s="135"/>
      <c r="G256" s="135"/>
      <c r="H256" s="135"/>
      <c r="I256" s="135"/>
      <c r="J256" s="135"/>
      <c r="K256" s="135"/>
    </row>
    <row r="257" spans="4:11" x14ac:dyDescent="0.3">
      <c r="D257" s="135"/>
      <c r="E257" s="135"/>
      <c r="F257" s="135"/>
      <c r="G257" s="135"/>
      <c r="H257" s="135"/>
      <c r="I257" s="135"/>
      <c r="J257" s="135"/>
      <c r="K257" s="135"/>
    </row>
  </sheetData>
  <sheetProtection algorithmName="SHA-512" hashValue="ENbjbimwExsulMsHYiGRB3HHi590AqdPYi0X+vOzB9tmrcNNwmwl6JwAAeXPGZULlJJ1lrYrONAIe50ne6JMbw==" saltValue="EL+UWkrfnPOI7MYUNWiPyw==" spinCount="100000" sheet="1" objects="1" scenarios="1" autoFilter="0"/>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7"/>
  <dimension ref="B1:K257"/>
  <sheetViews>
    <sheetView topLeftCell="A199" workbookViewId="0">
      <selection activeCell="G9" sqref="G9"/>
    </sheetView>
  </sheetViews>
  <sheetFormatPr defaultColWidth="7.58203125" defaultRowHeight="14" x14ac:dyDescent="0.3"/>
  <sheetData>
    <row r="1" spans="2:11" ht="14.5" thickBot="1" x14ac:dyDescent="0.35"/>
    <row r="2" spans="2:11" ht="25.5" thickBot="1" x14ac:dyDescent="0.55000000000000004">
      <c r="B2" s="88" t="s">
        <v>1960</v>
      </c>
      <c r="C2" s="89"/>
      <c r="D2" s="90">
        <v>4</v>
      </c>
      <c r="E2" s="91" t="s">
        <v>1961</v>
      </c>
      <c r="F2" s="92"/>
      <c r="G2" s="92"/>
      <c r="H2" s="92"/>
      <c r="I2" s="93"/>
      <c r="J2" s="89" t="s">
        <v>176</v>
      </c>
      <c r="K2" s="94" t="s">
        <v>243</v>
      </c>
    </row>
    <row r="3" spans="2:11" ht="14.5" thickBot="1" x14ac:dyDescent="0.35">
      <c r="B3" s="95" t="s">
        <v>1962</v>
      </c>
      <c r="C3" s="96" t="s">
        <v>1963</v>
      </c>
      <c r="D3" s="95" t="s">
        <v>1964</v>
      </c>
      <c r="E3" s="97" t="s">
        <v>1965</v>
      </c>
      <c r="F3" s="97" t="s">
        <v>1966</v>
      </c>
      <c r="G3" s="97" t="s">
        <v>1967</v>
      </c>
      <c r="H3" s="97" t="s">
        <v>1968</v>
      </c>
      <c r="I3" s="97" t="s">
        <v>1969</v>
      </c>
      <c r="J3" s="97" t="s">
        <v>1970</v>
      </c>
      <c r="K3" s="98" t="s">
        <v>1971</v>
      </c>
    </row>
    <row r="4" spans="2:11" ht="18.5" thickBot="1" x14ac:dyDescent="0.45">
      <c r="B4" s="99" t="s">
        <v>34</v>
      </c>
      <c r="C4" s="100" t="s">
        <v>34</v>
      </c>
      <c r="D4" s="101" t="s">
        <v>34</v>
      </c>
      <c r="E4" s="944"/>
      <c r="F4" s="944"/>
      <c r="G4" s="944"/>
      <c r="H4" s="944"/>
      <c r="I4" s="944" t="s">
        <v>34</v>
      </c>
      <c r="J4" s="944" t="s">
        <v>34</v>
      </c>
      <c r="K4" s="102"/>
    </row>
    <row r="5" spans="2:11" ht="90.5" thickBot="1" x14ac:dyDescent="0.45">
      <c r="B5" s="103" t="s">
        <v>1972</v>
      </c>
      <c r="C5" s="104" t="s">
        <v>1973</v>
      </c>
      <c r="D5" s="105" t="s">
        <v>1974</v>
      </c>
      <c r="E5" s="105" t="s">
        <v>1525</v>
      </c>
      <c r="F5" s="105" t="s">
        <v>1527</v>
      </c>
      <c r="G5" s="105" t="s">
        <v>1975</v>
      </c>
      <c r="H5" s="105" t="s">
        <v>1976</v>
      </c>
      <c r="I5" s="105" t="s">
        <v>1445</v>
      </c>
      <c r="J5" s="105" t="s">
        <v>1538</v>
      </c>
      <c r="K5" s="106" t="s">
        <v>1541</v>
      </c>
    </row>
    <row r="6" spans="2:11" x14ac:dyDescent="0.3">
      <c r="B6" s="107" t="s">
        <v>1977</v>
      </c>
      <c r="C6" s="108" t="s">
        <v>1416</v>
      </c>
      <c r="D6" s="109">
        <v>4.8957451775966927</v>
      </c>
      <c r="E6" s="109">
        <v>3.6244952608096543</v>
      </c>
      <c r="F6" s="109">
        <v>2.8570949661255125</v>
      </c>
      <c r="G6" s="109">
        <v>2.4895239801041344</v>
      </c>
      <c r="H6" s="109">
        <v>2.6998672665395742</v>
      </c>
      <c r="I6" s="109">
        <v>5.397635641127712</v>
      </c>
      <c r="J6" s="109">
        <v>4.71360778531972</v>
      </c>
      <c r="K6" s="110">
        <v>2.3235806039206102</v>
      </c>
    </row>
    <row r="7" spans="2:11" x14ac:dyDescent="0.3">
      <c r="B7" s="111" t="s">
        <v>1978</v>
      </c>
      <c r="C7" s="112" t="s">
        <v>1483</v>
      </c>
      <c r="D7" s="1499">
        <v>5.5502464592839056</v>
      </c>
      <c r="E7" s="1499">
        <v>4.3208450069461923</v>
      </c>
      <c r="F7" s="1499">
        <v>3.5649431311303252</v>
      </c>
      <c r="G7" s="1499">
        <v>3.2131671633652945</v>
      </c>
      <c r="H7" s="1499">
        <v>3.4019868790674885</v>
      </c>
      <c r="I7" s="1499">
        <v>5.9886945178614752</v>
      </c>
      <c r="J7" s="1499">
        <v>5.3480488983233352</v>
      </c>
      <c r="K7" s="113">
        <v>3.0478610866790485</v>
      </c>
    </row>
    <row r="8" spans="2:11" x14ac:dyDescent="0.3">
      <c r="B8" s="111" t="s">
        <v>1979</v>
      </c>
      <c r="C8" s="112" t="s">
        <v>1489</v>
      </c>
      <c r="D8" s="1499">
        <v>5.4736614681651012</v>
      </c>
      <c r="E8" s="1499">
        <v>4.2442600158273862</v>
      </c>
      <c r="F8" s="1499">
        <v>3.4883581400115196</v>
      </c>
      <c r="G8" s="1499">
        <v>3.1365821722464888</v>
      </c>
      <c r="H8" s="1499">
        <v>3.3254018879486824</v>
      </c>
      <c r="I8" s="1499">
        <v>5.9121095267426691</v>
      </c>
      <c r="J8" s="1499">
        <v>5.2714639072045291</v>
      </c>
      <c r="K8" s="113">
        <v>2.9712760955602424</v>
      </c>
    </row>
    <row r="9" spans="2:11" x14ac:dyDescent="0.3">
      <c r="B9" s="114">
        <v>0</v>
      </c>
      <c r="C9" s="112" t="s">
        <v>1496</v>
      </c>
      <c r="D9" s="1499">
        <v>5.3587839814868916</v>
      </c>
      <c r="E9" s="1499">
        <v>4.1293825291491775</v>
      </c>
      <c r="F9" s="1499">
        <v>3.3734806533333108</v>
      </c>
      <c r="G9" s="1499">
        <v>3.0217046855682796</v>
      </c>
      <c r="H9" s="1499">
        <v>3.2105244012704737</v>
      </c>
      <c r="I9" s="1499">
        <v>5.7972320400644604</v>
      </c>
      <c r="J9" s="1499">
        <v>5.1565864205263194</v>
      </c>
      <c r="K9" s="113">
        <v>2.8563986088820337</v>
      </c>
    </row>
    <row r="10" spans="2:11" x14ac:dyDescent="0.3">
      <c r="B10" s="115"/>
      <c r="C10" s="112" t="s">
        <v>1500</v>
      </c>
      <c r="D10" s="1499">
        <v>5.2439064948086829</v>
      </c>
      <c r="E10" s="1499">
        <v>4.0145050424709687</v>
      </c>
      <c r="F10" s="1499">
        <v>3.2586031666551016</v>
      </c>
      <c r="G10" s="1499">
        <v>2.9068271988900709</v>
      </c>
      <c r="H10" s="1499">
        <v>3.0956469145922649</v>
      </c>
      <c r="I10" s="1499">
        <v>5.6823545533862516</v>
      </c>
      <c r="J10" s="1499">
        <v>5.0417089338481116</v>
      </c>
      <c r="K10" s="113">
        <v>2.7415211222038245</v>
      </c>
    </row>
    <row r="11" spans="2:11" x14ac:dyDescent="0.3">
      <c r="B11" s="115"/>
      <c r="C11" s="112" t="s">
        <v>1504</v>
      </c>
      <c r="D11" s="1499">
        <v>5.4122133618420607</v>
      </c>
      <c r="E11" s="1499">
        <v>4.1759172754628198</v>
      </c>
      <c r="F11" s="1499">
        <v>3.4230142460445525</v>
      </c>
      <c r="G11" s="1499">
        <v>3.0656130839729707</v>
      </c>
      <c r="H11" s="1499">
        <v>3.2586158299585</v>
      </c>
      <c r="I11" s="1499">
        <v>5.8523831546590328</v>
      </c>
      <c r="J11" s="1499">
        <v>5.206392727174598</v>
      </c>
      <c r="K11" s="113">
        <v>2.9037667011147339</v>
      </c>
    </row>
    <row r="12" spans="2:11" x14ac:dyDescent="0.3">
      <c r="B12" s="115"/>
      <c r="C12" s="112" t="s">
        <v>1508</v>
      </c>
      <c r="D12" s="1499">
        <v>5.3478297665120547</v>
      </c>
      <c r="E12" s="1499">
        <v>4.1115336801328137</v>
      </c>
      <c r="F12" s="1499">
        <v>3.3586306507145469</v>
      </c>
      <c r="G12" s="1499">
        <v>3.0012294886429647</v>
      </c>
      <c r="H12" s="1499">
        <v>3.1942322346284939</v>
      </c>
      <c r="I12" s="1499">
        <v>5.7879995593290268</v>
      </c>
      <c r="J12" s="1499">
        <v>5.142009131844592</v>
      </c>
      <c r="K12" s="113">
        <v>2.8393831057847279</v>
      </c>
    </row>
    <row r="13" spans="2:11" x14ac:dyDescent="0.3">
      <c r="B13" s="115"/>
      <c r="C13" s="112" t="s">
        <v>1513</v>
      </c>
      <c r="D13" s="1499">
        <v>5.251254373517046</v>
      </c>
      <c r="E13" s="1499">
        <v>4.0149582871378051</v>
      </c>
      <c r="F13" s="1499">
        <v>3.2620552577195379</v>
      </c>
      <c r="G13" s="1499">
        <v>2.9046540956479556</v>
      </c>
      <c r="H13" s="1499">
        <v>3.0976568416334849</v>
      </c>
      <c r="I13" s="1499">
        <v>5.6914241663340173</v>
      </c>
      <c r="J13" s="1499">
        <v>5.0454337388495825</v>
      </c>
      <c r="K13" s="113">
        <v>2.7428077127897188</v>
      </c>
    </row>
    <row r="14" spans="2:11" x14ac:dyDescent="0.3">
      <c r="B14" s="115"/>
      <c r="C14" s="112" t="s">
        <v>1517</v>
      </c>
      <c r="D14" s="1499">
        <v>5.1546789805220357</v>
      </c>
      <c r="E14" s="1499">
        <v>3.9183828941427961</v>
      </c>
      <c r="F14" s="1499">
        <v>3.1654798647245288</v>
      </c>
      <c r="G14" s="1499">
        <v>2.808078702652947</v>
      </c>
      <c r="H14" s="1499">
        <v>3.0010814486384763</v>
      </c>
      <c r="I14" s="1499">
        <v>5.5948487733390078</v>
      </c>
      <c r="J14" s="1499">
        <v>4.948858345854573</v>
      </c>
      <c r="K14" s="113">
        <v>2.6462323197947102</v>
      </c>
    </row>
    <row r="15" spans="2:11" ht="14.5" thickBot="1" x14ac:dyDescent="0.35">
      <c r="B15" s="1233"/>
      <c r="C15" s="116" t="s">
        <v>1519</v>
      </c>
      <c r="D15" s="117">
        <v>5.5502464592839056</v>
      </c>
      <c r="E15" s="117">
        <v>4.3208450069461923</v>
      </c>
      <c r="F15" s="117">
        <v>3.5649431311303252</v>
      </c>
      <c r="G15" s="117">
        <v>3.2131671633652945</v>
      </c>
      <c r="H15" s="117">
        <v>3.4019868790674885</v>
      </c>
      <c r="I15" s="117">
        <v>5.9886945178614752</v>
      </c>
      <c r="J15" s="117">
        <v>5.3480488983233352</v>
      </c>
      <c r="K15" s="118">
        <v>3.0478610866790485</v>
      </c>
    </row>
    <row r="16" spans="2:11" x14ac:dyDescent="0.3">
      <c r="B16" s="107" t="s">
        <v>1977</v>
      </c>
      <c r="C16" s="108" t="s">
        <v>1416</v>
      </c>
      <c r="D16" s="109">
        <v>4.6743155886932319</v>
      </c>
      <c r="E16" s="109">
        <v>3.4030656719061931</v>
      </c>
      <c r="F16" s="109">
        <v>2.6356653772220509</v>
      </c>
      <c r="G16" s="109">
        <v>2.2680943912006728</v>
      </c>
      <c r="H16" s="109">
        <v>2.4784376776361126</v>
      </c>
      <c r="I16" s="109">
        <v>5.1762060522242503</v>
      </c>
      <c r="J16" s="109">
        <v>4.4921781964162584</v>
      </c>
      <c r="K16" s="110">
        <v>2.102151015017149</v>
      </c>
    </row>
    <row r="17" spans="2:11" x14ac:dyDescent="0.3">
      <c r="B17" s="111" t="s">
        <v>1978</v>
      </c>
      <c r="C17" s="112" t="s">
        <v>1483</v>
      </c>
      <c r="D17" s="1499">
        <v>5.3288168703804448</v>
      </c>
      <c r="E17" s="1499">
        <v>4.0994154180427307</v>
      </c>
      <c r="F17" s="1499">
        <v>3.343513542226864</v>
      </c>
      <c r="G17" s="1499">
        <v>2.9917375744618333</v>
      </c>
      <c r="H17" s="1499">
        <v>3.1805572901640269</v>
      </c>
      <c r="I17" s="1499">
        <v>5.7672649289580136</v>
      </c>
      <c r="J17" s="1499">
        <v>5.1266193094198735</v>
      </c>
      <c r="K17" s="113">
        <v>2.8264314977755869</v>
      </c>
    </row>
    <row r="18" spans="2:11" x14ac:dyDescent="0.3">
      <c r="B18" s="111" t="s">
        <v>1980</v>
      </c>
      <c r="C18" s="112" t="s">
        <v>1489</v>
      </c>
      <c r="D18" s="1499">
        <v>5.2522318792616387</v>
      </c>
      <c r="E18" s="1499">
        <v>4.0228304269239255</v>
      </c>
      <c r="F18" s="1499">
        <v>3.2669285511080584</v>
      </c>
      <c r="G18" s="1499">
        <v>2.9151525833430272</v>
      </c>
      <c r="H18" s="1499">
        <v>3.1039722990452212</v>
      </c>
      <c r="I18" s="1499">
        <v>5.6906799378392074</v>
      </c>
      <c r="J18" s="1499">
        <v>5.0500343183010674</v>
      </c>
      <c r="K18" s="113">
        <v>2.7498465066567812</v>
      </c>
    </row>
    <row r="19" spans="2:11" x14ac:dyDescent="0.3">
      <c r="B19" s="114">
        <v>0</v>
      </c>
      <c r="C19" s="112" t="s">
        <v>1496</v>
      </c>
      <c r="D19" s="1499">
        <v>5.1373543925834309</v>
      </c>
      <c r="E19" s="1499">
        <v>3.9079529402457163</v>
      </c>
      <c r="F19" s="1499">
        <v>3.1520510644298492</v>
      </c>
      <c r="G19" s="1499">
        <v>2.8002750966648184</v>
      </c>
      <c r="H19" s="1499">
        <v>2.9890948123670125</v>
      </c>
      <c r="I19" s="1499">
        <v>5.5758024511609996</v>
      </c>
      <c r="J19" s="1499">
        <v>4.9351568316228587</v>
      </c>
      <c r="K19" s="113">
        <v>2.634969019978572</v>
      </c>
    </row>
    <row r="20" spans="2:11" x14ac:dyDescent="0.3">
      <c r="B20" s="115"/>
      <c r="C20" s="112" t="s">
        <v>1500</v>
      </c>
      <c r="D20" s="1499">
        <v>5.0224769059052212</v>
      </c>
      <c r="E20" s="1499">
        <v>3.7930754535675071</v>
      </c>
      <c r="F20" s="1499">
        <v>3.0371735777516404</v>
      </c>
      <c r="G20" s="1499">
        <v>2.6853976099866093</v>
      </c>
      <c r="H20" s="1499">
        <v>2.8742173256888033</v>
      </c>
      <c r="I20" s="1499">
        <v>5.46092496448279</v>
      </c>
      <c r="J20" s="1499">
        <v>4.820279344944649</v>
      </c>
      <c r="K20" s="113">
        <v>2.5200915333003633</v>
      </c>
    </row>
    <row r="21" spans="2:11" x14ac:dyDescent="0.3">
      <c r="B21" s="115"/>
      <c r="C21" s="112" t="s">
        <v>1504</v>
      </c>
      <c r="D21" s="1499">
        <v>5.190783772938599</v>
      </c>
      <c r="E21" s="1499">
        <v>3.9544876865593586</v>
      </c>
      <c r="F21" s="1499">
        <v>3.2015846571410913</v>
      </c>
      <c r="G21" s="1499">
        <v>2.8441834950695095</v>
      </c>
      <c r="H21" s="1499">
        <v>3.0371862410550383</v>
      </c>
      <c r="I21" s="1499">
        <v>5.6309535657555703</v>
      </c>
      <c r="J21" s="1499">
        <v>4.9849631382711355</v>
      </c>
      <c r="K21" s="113">
        <v>2.6823371122112722</v>
      </c>
    </row>
    <row r="22" spans="2:11" x14ac:dyDescent="0.3">
      <c r="B22" s="115"/>
      <c r="C22" s="112" t="s">
        <v>1508</v>
      </c>
      <c r="D22" s="1499">
        <v>5.126400177608593</v>
      </c>
      <c r="E22" s="1499">
        <v>3.8901040912293525</v>
      </c>
      <c r="F22" s="1499">
        <v>3.1372010618110853</v>
      </c>
      <c r="G22" s="1499">
        <v>2.7797998997395035</v>
      </c>
      <c r="H22" s="1499">
        <v>2.9728026457250327</v>
      </c>
      <c r="I22" s="1499">
        <v>5.5665699704255642</v>
      </c>
      <c r="J22" s="1499">
        <v>4.9205795429411303</v>
      </c>
      <c r="K22" s="113">
        <v>2.6179535168812667</v>
      </c>
    </row>
    <row r="23" spans="2:11" x14ac:dyDescent="0.3">
      <c r="B23" s="115"/>
      <c r="C23" s="112" t="s">
        <v>1513</v>
      </c>
      <c r="D23" s="1499">
        <v>5.0298247846135835</v>
      </c>
      <c r="E23" s="1499">
        <v>3.7935286982343439</v>
      </c>
      <c r="F23" s="1499">
        <v>3.0406256688160762</v>
      </c>
      <c r="G23" s="1499">
        <v>2.6832245067444944</v>
      </c>
      <c r="H23" s="1499">
        <v>2.8762272527300237</v>
      </c>
      <c r="I23" s="1499">
        <v>5.4699945774305556</v>
      </c>
      <c r="J23" s="1499">
        <v>4.8240041499461208</v>
      </c>
      <c r="K23" s="113">
        <v>2.5213781238862576</v>
      </c>
    </row>
    <row r="24" spans="2:11" x14ac:dyDescent="0.3">
      <c r="B24" s="115"/>
      <c r="C24" s="112" t="s">
        <v>1517</v>
      </c>
      <c r="D24" s="1499">
        <v>4.9332493916185749</v>
      </c>
      <c r="E24" s="1499">
        <v>3.6969533052393349</v>
      </c>
      <c r="F24" s="1499">
        <v>2.9440502758210676</v>
      </c>
      <c r="G24" s="1499">
        <v>2.5866491137494854</v>
      </c>
      <c r="H24" s="1499">
        <v>2.7796518597350146</v>
      </c>
      <c r="I24" s="1499">
        <v>5.373419184435547</v>
      </c>
      <c r="J24" s="1499">
        <v>4.7274287569511122</v>
      </c>
      <c r="K24" s="113">
        <v>2.4248027308912485</v>
      </c>
    </row>
    <row r="25" spans="2:11" ht="14.5" thickBot="1" x14ac:dyDescent="0.35">
      <c r="B25" s="1233"/>
      <c r="C25" s="116" t="s">
        <v>1519</v>
      </c>
      <c r="D25" s="117">
        <v>5.3288168703804448</v>
      </c>
      <c r="E25" s="117">
        <v>4.0994154180427307</v>
      </c>
      <c r="F25" s="117">
        <v>3.343513542226864</v>
      </c>
      <c r="G25" s="117">
        <v>2.9917375744618333</v>
      </c>
      <c r="H25" s="117">
        <v>3.1805572901640269</v>
      </c>
      <c r="I25" s="117">
        <v>5.7672649289580136</v>
      </c>
      <c r="J25" s="117">
        <v>5.1266193094198735</v>
      </c>
      <c r="K25" s="118">
        <v>2.8264314977755869</v>
      </c>
    </row>
    <row r="26" spans="2:11" x14ac:dyDescent="0.3">
      <c r="B26" s="107" t="s">
        <v>1977</v>
      </c>
      <c r="C26" s="108" t="s">
        <v>1416</v>
      </c>
      <c r="D26" s="109">
        <v>4.3421712053380395</v>
      </c>
      <c r="E26" s="109">
        <v>3.0709212885510007</v>
      </c>
      <c r="F26" s="109">
        <v>2.3035209938668584</v>
      </c>
      <c r="G26" s="109">
        <v>1.9359500078454805</v>
      </c>
      <c r="H26" s="109">
        <v>2.1462932942809205</v>
      </c>
      <c r="I26" s="109">
        <v>4.8440616688690588</v>
      </c>
      <c r="J26" s="109">
        <v>4.1600338130610659</v>
      </c>
      <c r="K26" s="110">
        <v>1.7700066316619565</v>
      </c>
    </row>
    <row r="27" spans="2:11" x14ac:dyDescent="0.3">
      <c r="B27" s="111" t="s">
        <v>1978</v>
      </c>
      <c r="C27" s="112" t="s">
        <v>1483</v>
      </c>
      <c r="D27" s="1499">
        <v>4.9966724870252532</v>
      </c>
      <c r="E27" s="1499">
        <v>3.7672710346875387</v>
      </c>
      <c r="F27" s="1499">
        <v>3.0113691588716716</v>
      </c>
      <c r="G27" s="1499">
        <v>2.6595931911066408</v>
      </c>
      <c r="H27" s="1499">
        <v>2.8484129068088349</v>
      </c>
      <c r="I27" s="1499">
        <v>5.435120545602822</v>
      </c>
      <c r="J27" s="1499">
        <v>4.7944749260646811</v>
      </c>
      <c r="K27" s="113">
        <v>2.4942871144203949</v>
      </c>
    </row>
    <row r="28" spans="2:11" x14ac:dyDescent="0.3">
      <c r="B28" s="111" t="s">
        <v>1981</v>
      </c>
      <c r="C28" s="112" t="s">
        <v>1489</v>
      </c>
      <c r="D28" s="1499">
        <v>4.9200874959064471</v>
      </c>
      <c r="E28" s="1499">
        <v>3.690686043568733</v>
      </c>
      <c r="F28" s="1499">
        <v>2.9347841677528659</v>
      </c>
      <c r="G28" s="1499">
        <v>2.5830081999878352</v>
      </c>
      <c r="H28" s="1499">
        <v>2.7718279156900287</v>
      </c>
      <c r="I28" s="1499">
        <v>5.3585355544840159</v>
      </c>
      <c r="J28" s="1499">
        <v>4.7178899349458758</v>
      </c>
      <c r="K28" s="113">
        <v>2.4177021233015887</v>
      </c>
    </row>
    <row r="29" spans="2:11" x14ac:dyDescent="0.3">
      <c r="B29" s="114">
        <v>0</v>
      </c>
      <c r="C29" s="112" t="s">
        <v>1496</v>
      </c>
      <c r="D29" s="1499">
        <v>4.8052100092282375</v>
      </c>
      <c r="E29" s="1499">
        <v>3.5758085568905238</v>
      </c>
      <c r="F29" s="1499">
        <v>2.8199066810746567</v>
      </c>
      <c r="G29" s="1499">
        <v>2.468130713309626</v>
      </c>
      <c r="H29" s="1499">
        <v>2.65695042901182</v>
      </c>
      <c r="I29" s="1499">
        <v>5.2436580678058062</v>
      </c>
      <c r="J29" s="1499">
        <v>4.6030124482676662</v>
      </c>
      <c r="K29" s="113">
        <v>2.30282463662338</v>
      </c>
    </row>
    <row r="30" spans="2:11" x14ac:dyDescent="0.3">
      <c r="B30" s="115"/>
      <c r="C30" s="112" t="s">
        <v>1500</v>
      </c>
      <c r="D30" s="1499">
        <v>4.6903325225500296</v>
      </c>
      <c r="E30" s="1499">
        <v>3.4609310702123151</v>
      </c>
      <c r="F30" s="1499">
        <v>2.705029194396448</v>
      </c>
      <c r="G30" s="1499">
        <v>2.3532532266314177</v>
      </c>
      <c r="H30" s="1499">
        <v>2.5420729423336117</v>
      </c>
      <c r="I30" s="1499">
        <v>5.1287805811275984</v>
      </c>
      <c r="J30" s="1499">
        <v>4.4881349615894575</v>
      </c>
      <c r="K30" s="113">
        <v>2.1879471499451713</v>
      </c>
    </row>
    <row r="31" spans="2:11" x14ac:dyDescent="0.3">
      <c r="B31" s="115"/>
      <c r="C31" s="112" t="s">
        <v>1504</v>
      </c>
      <c r="D31" s="1499">
        <v>4.8586393895834066</v>
      </c>
      <c r="E31" s="1499">
        <v>3.6223433032041661</v>
      </c>
      <c r="F31" s="1499">
        <v>2.8694402737858988</v>
      </c>
      <c r="G31" s="1499">
        <v>2.512039111714317</v>
      </c>
      <c r="H31" s="1499">
        <v>2.7050418576998463</v>
      </c>
      <c r="I31" s="1499">
        <v>5.2988091824003787</v>
      </c>
      <c r="J31" s="1499">
        <v>4.6528187549159439</v>
      </c>
      <c r="K31" s="113">
        <v>2.3501927288560802</v>
      </c>
    </row>
    <row r="32" spans="2:11" x14ac:dyDescent="0.3">
      <c r="B32" s="115"/>
      <c r="C32" s="112" t="s">
        <v>1508</v>
      </c>
      <c r="D32" s="1499">
        <v>4.7942557942534014</v>
      </c>
      <c r="E32" s="1499">
        <v>3.5579597078741605</v>
      </c>
      <c r="F32" s="1499">
        <v>2.8050566784558928</v>
      </c>
      <c r="G32" s="1499">
        <v>2.447655516384311</v>
      </c>
      <c r="H32" s="1499">
        <v>2.6406582623698402</v>
      </c>
      <c r="I32" s="1499">
        <v>5.2344255870703726</v>
      </c>
      <c r="J32" s="1499">
        <v>4.5884351595859378</v>
      </c>
      <c r="K32" s="113">
        <v>2.2858091335260742</v>
      </c>
    </row>
    <row r="33" spans="2:11" x14ac:dyDescent="0.3">
      <c r="B33" s="115"/>
      <c r="C33" s="112" t="s">
        <v>1513</v>
      </c>
      <c r="D33" s="1499">
        <v>4.6976804012583919</v>
      </c>
      <c r="E33" s="1499">
        <v>3.4613843148791514</v>
      </c>
      <c r="F33" s="1499">
        <v>2.7084812854608842</v>
      </c>
      <c r="G33" s="1499">
        <v>2.3510801233893019</v>
      </c>
      <c r="H33" s="1499">
        <v>2.5440828693748312</v>
      </c>
      <c r="I33" s="1499">
        <v>5.137850194075364</v>
      </c>
      <c r="J33" s="1499">
        <v>4.4918597665909283</v>
      </c>
      <c r="K33" s="113">
        <v>2.1892337405310651</v>
      </c>
    </row>
    <row r="34" spans="2:11" x14ac:dyDescent="0.3">
      <c r="B34" s="115"/>
      <c r="C34" s="112" t="s">
        <v>1517</v>
      </c>
      <c r="D34" s="1499">
        <v>4.6011050082633824</v>
      </c>
      <c r="E34" s="1499">
        <v>3.3648089218841424</v>
      </c>
      <c r="F34" s="1499">
        <v>2.6119058924658751</v>
      </c>
      <c r="G34" s="1499">
        <v>2.2545047303942933</v>
      </c>
      <c r="H34" s="1499">
        <v>2.4475074763798226</v>
      </c>
      <c r="I34" s="1499">
        <v>5.0412748010803536</v>
      </c>
      <c r="J34" s="1499">
        <v>4.3952843735959197</v>
      </c>
      <c r="K34" s="113">
        <v>2.0926583475360561</v>
      </c>
    </row>
    <row r="35" spans="2:11" ht="14.5" thickBot="1" x14ac:dyDescent="0.35">
      <c r="B35" s="1233"/>
      <c r="C35" s="116" t="s">
        <v>1519</v>
      </c>
      <c r="D35" s="117">
        <v>4.9966724870252532</v>
      </c>
      <c r="E35" s="117">
        <v>3.7672710346875387</v>
      </c>
      <c r="F35" s="117">
        <v>3.0113691588716716</v>
      </c>
      <c r="G35" s="117">
        <v>2.6595931911066408</v>
      </c>
      <c r="H35" s="117">
        <v>2.8484129068088349</v>
      </c>
      <c r="I35" s="117">
        <v>5.435120545602822</v>
      </c>
      <c r="J35" s="117">
        <v>4.7944749260646811</v>
      </c>
      <c r="K35" s="118">
        <v>2.4942871144203949</v>
      </c>
    </row>
    <row r="36" spans="2:11" x14ac:dyDescent="0.3">
      <c r="B36" s="107" t="s">
        <v>1977</v>
      </c>
      <c r="C36" s="108" t="s">
        <v>1416</v>
      </c>
      <c r="D36" s="109">
        <v>4.010026821982847</v>
      </c>
      <c r="E36" s="109">
        <v>2.7387769051958082</v>
      </c>
      <c r="F36" s="109">
        <v>1.9713766105116666</v>
      </c>
      <c r="G36" s="109">
        <v>1.6038056244902883</v>
      </c>
      <c r="H36" s="109">
        <v>1.8141489109257283</v>
      </c>
      <c r="I36" s="109">
        <v>4.5119172855138654</v>
      </c>
      <c r="J36" s="109">
        <v>3.8278894297058734</v>
      </c>
      <c r="K36" s="110">
        <v>1.4378622483067645</v>
      </c>
    </row>
    <row r="37" spans="2:11" x14ac:dyDescent="0.3">
      <c r="B37" s="111" t="s">
        <v>1978</v>
      </c>
      <c r="C37" s="112" t="s">
        <v>1483</v>
      </c>
      <c r="D37" s="1499">
        <v>4.6645281036700599</v>
      </c>
      <c r="E37" s="1499">
        <v>3.4351266513323471</v>
      </c>
      <c r="F37" s="1499">
        <v>2.67922477551648</v>
      </c>
      <c r="G37" s="1499">
        <v>2.3274488077514488</v>
      </c>
      <c r="H37" s="1499">
        <v>2.5162685234536424</v>
      </c>
      <c r="I37" s="1499">
        <v>5.1029761622476286</v>
      </c>
      <c r="J37" s="1499">
        <v>4.4623305427094886</v>
      </c>
      <c r="K37" s="113">
        <v>2.1621427310652028</v>
      </c>
    </row>
    <row r="38" spans="2:11" x14ac:dyDescent="0.3">
      <c r="B38" s="111" t="s">
        <v>1982</v>
      </c>
      <c r="C38" s="112" t="s">
        <v>1489</v>
      </c>
      <c r="D38" s="1499">
        <v>4.5879431125512546</v>
      </c>
      <c r="E38" s="1499">
        <v>3.3585416602135409</v>
      </c>
      <c r="F38" s="1499">
        <v>2.6026397843976738</v>
      </c>
      <c r="G38" s="1499">
        <v>2.2508638166326427</v>
      </c>
      <c r="H38" s="1499">
        <v>2.4396835323348367</v>
      </c>
      <c r="I38" s="1499">
        <v>5.0263911711288225</v>
      </c>
      <c r="J38" s="1499">
        <v>4.3857455515906825</v>
      </c>
      <c r="K38" s="113">
        <v>2.0855577399463967</v>
      </c>
    </row>
    <row r="39" spans="2:11" x14ac:dyDescent="0.3">
      <c r="B39" s="114">
        <v>0</v>
      </c>
      <c r="C39" s="112" t="s">
        <v>1496</v>
      </c>
      <c r="D39" s="1499">
        <v>4.4730656258730459</v>
      </c>
      <c r="E39" s="1499">
        <v>3.2436641735353318</v>
      </c>
      <c r="F39" s="1499">
        <v>2.4877622977194647</v>
      </c>
      <c r="G39" s="1499">
        <v>2.1359863299544339</v>
      </c>
      <c r="H39" s="1499">
        <v>2.324806045656628</v>
      </c>
      <c r="I39" s="1499">
        <v>4.9115136844506146</v>
      </c>
      <c r="J39" s="1499">
        <v>4.2708680649124737</v>
      </c>
      <c r="K39" s="113">
        <v>1.9706802532681877</v>
      </c>
    </row>
    <row r="40" spans="2:11" x14ac:dyDescent="0.3">
      <c r="B40" s="115"/>
      <c r="C40" s="112" t="s">
        <v>1500</v>
      </c>
      <c r="D40" s="1499">
        <v>4.3581881391948372</v>
      </c>
      <c r="E40" s="1499">
        <v>3.128786686857123</v>
      </c>
      <c r="F40" s="1499">
        <v>2.3728848110412564</v>
      </c>
      <c r="G40" s="1499">
        <v>2.0211088432762252</v>
      </c>
      <c r="H40" s="1499">
        <v>2.2099285589784192</v>
      </c>
      <c r="I40" s="1499">
        <v>4.796636197772405</v>
      </c>
      <c r="J40" s="1499">
        <v>4.155990578234265</v>
      </c>
      <c r="K40" s="113">
        <v>1.8558027665899792</v>
      </c>
    </row>
    <row r="41" spans="2:11" x14ac:dyDescent="0.3">
      <c r="B41" s="115"/>
      <c r="C41" s="112" t="s">
        <v>1504</v>
      </c>
      <c r="D41" s="1499">
        <v>4.5264950062282141</v>
      </c>
      <c r="E41" s="1499">
        <v>3.2901989198489741</v>
      </c>
      <c r="F41" s="1499">
        <v>2.5372958904307068</v>
      </c>
      <c r="G41" s="1499">
        <v>2.179894728359125</v>
      </c>
      <c r="H41" s="1499">
        <v>2.3728974743446543</v>
      </c>
      <c r="I41" s="1499">
        <v>4.9666647990451862</v>
      </c>
      <c r="J41" s="1499">
        <v>4.3206743715607514</v>
      </c>
      <c r="K41" s="113">
        <v>2.0180483455008882</v>
      </c>
    </row>
    <row r="42" spans="2:11" x14ac:dyDescent="0.3">
      <c r="B42" s="115"/>
      <c r="C42" s="112" t="s">
        <v>1508</v>
      </c>
      <c r="D42" s="1499">
        <v>4.4621114108982081</v>
      </c>
      <c r="E42" s="1499">
        <v>3.225815324518968</v>
      </c>
      <c r="F42" s="1499">
        <v>2.4729122951007008</v>
      </c>
      <c r="G42" s="1499">
        <v>2.115511133029119</v>
      </c>
      <c r="H42" s="1499">
        <v>2.3085138790146482</v>
      </c>
      <c r="I42" s="1499">
        <v>4.9022812037151802</v>
      </c>
      <c r="J42" s="1499">
        <v>4.2562907762307454</v>
      </c>
      <c r="K42" s="113">
        <v>1.9536647501708821</v>
      </c>
    </row>
    <row r="43" spans="2:11" x14ac:dyDescent="0.3">
      <c r="B43" s="115"/>
      <c r="C43" s="112" t="s">
        <v>1513</v>
      </c>
      <c r="D43" s="1499">
        <v>4.3655360179031995</v>
      </c>
      <c r="E43" s="1499">
        <v>3.129239931523959</v>
      </c>
      <c r="F43" s="1499">
        <v>2.3763369021056917</v>
      </c>
      <c r="G43" s="1499">
        <v>2.0189357400341099</v>
      </c>
      <c r="H43" s="1499">
        <v>2.2119384860196392</v>
      </c>
      <c r="I43" s="1499">
        <v>4.8057058107201707</v>
      </c>
      <c r="J43" s="1499">
        <v>4.1597153832357359</v>
      </c>
      <c r="K43" s="113">
        <v>1.8570893571758731</v>
      </c>
    </row>
    <row r="44" spans="2:11" x14ac:dyDescent="0.3">
      <c r="B44" s="115"/>
      <c r="C44" s="112" t="s">
        <v>1517</v>
      </c>
      <c r="D44" s="1499">
        <v>4.2689606249081899</v>
      </c>
      <c r="E44" s="1499">
        <v>3.0326645385289503</v>
      </c>
      <c r="F44" s="1499">
        <v>2.2797615091106826</v>
      </c>
      <c r="G44" s="1499">
        <v>1.9223603470391009</v>
      </c>
      <c r="H44" s="1499">
        <v>2.1153630930246301</v>
      </c>
      <c r="I44" s="1499">
        <v>4.7091304177251621</v>
      </c>
      <c r="J44" s="1499">
        <v>4.0631399902407273</v>
      </c>
      <c r="K44" s="113">
        <v>1.760513964180864</v>
      </c>
    </row>
    <row r="45" spans="2:11" ht="14.5" thickBot="1" x14ac:dyDescent="0.35">
      <c r="B45" s="1233"/>
      <c r="C45" s="116" t="s">
        <v>1519</v>
      </c>
      <c r="D45" s="117">
        <v>4.6645281036700599</v>
      </c>
      <c r="E45" s="117">
        <v>3.4351266513323471</v>
      </c>
      <c r="F45" s="117">
        <v>2.67922477551648</v>
      </c>
      <c r="G45" s="117">
        <v>2.3274488077514488</v>
      </c>
      <c r="H45" s="117">
        <v>2.5162685234536424</v>
      </c>
      <c r="I45" s="117">
        <v>5.1029761622476286</v>
      </c>
      <c r="J45" s="117">
        <v>4.4623305427094886</v>
      </c>
      <c r="K45" s="118">
        <v>2.1621427310652028</v>
      </c>
    </row>
    <row r="46" spans="2:11" x14ac:dyDescent="0.3">
      <c r="B46" s="119" t="s">
        <v>1983</v>
      </c>
      <c r="C46" s="108" t="s">
        <v>1416</v>
      </c>
      <c r="D46" s="109">
        <v>4.3333991231111213</v>
      </c>
      <c r="E46" s="109">
        <v>3.0388418108303488</v>
      </c>
      <c r="F46" s="109">
        <v>2.3280044920984024</v>
      </c>
      <c r="G46" s="109">
        <v>1.9504460275406577</v>
      </c>
      <c r="H46" s="109">
        <v>2.1618250206037635</v>
      </c>
      <c r="I46" s="109">
        <v>4.7762664150658658</v>
      </c>
      <c r="J46" s="109">
        <v>4.1022800031206836</v>
      </c>
      <c r="K46" s="110">
        <v>1.8011569870431234</v>
      </c>
    </row>
    <row r="47" spans="2:11" x14ac:dyDescent="0.3">
      <c r="B47" s="111"/>
      <c r="C47" s="112" t="s">
        <v>1483</v>
      </c>
      <c r="D47" s="1499">
        <v>5.0015412874800145</v>
      </c>
      <c r="E47" s="1499">
        <v>3.7530952046299664</v>
      </c>
      <c r="F47" s="1499">
        <v>3.026185730111878</v>
      </c>
      <c r="G47" s="1499">
        <v>2.6718855225535325</v>
      </c>
      <c r="H47" s="1499">
        <v>2.8639222223201939</v>
      </c>
      <c r="I47" s="1499">
        <v>5.399422255596777</v>
      </c>
      <c r="J47" s="1499">
        <v>4.7676555045908087</v>
      </c>
      <c r="K47" s="113">
        <v>2.5141328424073963</v>
      </c>
    </row>
    <row r="48" spans="2:11" x14ac:dyDescent="0.3">
      <c r="B48" s="111" t="s">
        <v>1979</v>
      </c>
      <c r="C48" s="112" t="s">
        <v>1489</v>
      </c>
      <c r="D48" s="1499">
        <v>4.9249562963612084</v>
      </c>
      <c r="E48" s="1499">
        <v>3.6765102135111607</v>
      </c>
      <c r="F48" s="1499">
        <v>2.9496007389930718</v>
      </c>
      <c r="G48" s="1499">
        <v>2.5953005314347264</v>
      </c>
      <c r="H48" s="1499">
        <v>2.7873372312013882</v>
      </c>
      <c r="I48" s="1499">
        <v>5.3228372644779718</v>
      </c>
      <c r="J48" s="1499">
        <v>4.6910705134720025</v>
      </c>
      <c r="K48" s="113">
        <v>2.4375478512885902</v>
      </c>
    </row>
    <row r="49" spans="2:11" x14ac:dyDescent="0.3">
      <c r="B49" s="114">
        <v>0</v>
      </c>
      <c r="C49" s="112" t="s">
        <v>1496</v>
      </c>
      <c r="D49" s="1499">
        <v>4.8100788096829987</v>
      </c>
      <c r="E49" s="1499">
        <v>3.5616327268329515</v>
      </c>
      <c r="F49" s="1499">
        <v>2.8347232523148631</v>
      </c>
      <c r="G49" s="1499">
        <v>2.4804230447565176</v>
      </c>
      <c r="H49" s="1499">
        <v>2.672459744523179</v>
      </c>
      <c r="I49" s="1499">
        <v>5.2079597777997622</v>
      </c>
      <c r="J49" s="1499">
        <v>4.5761930267937938</v>
      </c>
      <c r="K49" s="113">
        <v>2.322670364610381</v>
      </c>
    </row>
    <row r="50" spans="2:11" x14ac:dyDescent="0.3">
      <c r="B50" s="115"/>
      <c r="C50" s="112" t="s">
        <v>1500</v>
      </c>
      <c r="D50" s="1499">
        <v>4.69520132300479</v>
      </c>
      <c r="E50" s="1499">
        <v>3.4467552401547428</v>
      </c>
      <c r="F50" s="1499">
        <v>2.7198457656366544</v>
      </c>
      <c r="G50" s="1499">
        <v>2.3655455580783085</v>
      </c>
      <c r="H50" s="1499">
        <v>2.5575822578449703</v>
      </c>
      <c r="I50" s="1499">
        <v>5.0930822911215543</v>
      </c>
      <c r="J50" s="1499">
        <v>4.4613155401155851</v>
      </c>
      <c r="K50" s="113">
        <v>2.2077928779321723</v>
      </c>
    </row>
    <row r="51" spans="2:11" x14ac:dyDescent="0.3">
      <c r="B51" s="115"/>
      <c r="C51" s="112" t="s">
        <v>1504</v>
      </c>
      <c r="D51" s="1499">
        <v>4.863239459160793</v>
      </c>
      <c r="E51" s="1499">
        <v>3.6063814743644018</v>
      </c>
      <c r="F51" s="1499">
        <v>2.8863555396758578</v>
      </c>
      <c r="G51" s="1499">
        <v>2.5247539300137292</v>
      </c>
      <c r="H51" s="1499">
        <v>2.7243455984707547</v>
      </c>
      <c r="I51" s="1499">
        <v>5.2593973737244193</v>
      </c>
      <c r="J51" s="1499">
        <v>4.6239915393350666</v>
      </c>
      <c r="K51" s="113">
        <v>2.3654295507961907</v>
      </c>
    </row>
    <row r="52" spans="2:11" x14ac:dyDescent="0.3">
      <c r="B52" s="115"/>
      <c r="C52" s="112" t="s">
        <v>1508</v>
      </c>
      <c r="D52" s="1499">
        <v>4.798855863830787</v>
      </c>
      <c r="E52" s="1499">
        <v>3.5419978790343958</v>
      </c>
      <c r="F52" s="1499">
        <v>2.8219719443458517</v>
      </c>
      <c r="G52" s="1499">
        <v>2.4603703346837231</v>
      </c>
      <c r="H52" s="1499">
        <v>2.6599620031407487</v>
      </c>
      <c r="I52" s="1499">
        <v>5.1950137783944133</v>
      </c>
      <c r="J52" s="1499">
        <v>4.5596079440050605</v>
      </c>
      <c r="K52" s="113">
        <v>2.3010459554661842</v>
      </c>
    </row>
    <row r="53" spans="2:11" x14ac:dyDescent="0.3">
      <c r="B53" s="115"/>
      <c r="C53" s="112" t="s">
        <v>1513</v>
      </c>
      <c r="D53" s="1499">
        <v>4.7022804708357784</v>
      </c>
      <c r="E53" s="1499">
        <v>3.4454224860393867</v>
      </c>
      <c r="F53" s="1499">
        <v>2.7253965513508427</v>
      </c>
      <c r="G53" s="1499">
        <v>2.3637949416887145</v>
      </c>
      <c r="H53" s="1499">
        <v>2.5633866101457397</v>
      </c>
      <c r="I53" s="1499">
        <v>5.0984383853994029</v>
      </c>
      <c r="J53" s="1499">
        <v>4.4630325510100519</v>
      </c>
      <c r="K53" s="113">
        <v>2.2044705624711756</v>
      </c>
    </row>
    <row r="54" spans="2:11" x14ac:dyDescent="0.3">
      <c r="B54" s="115"/>
      <c r="C54" s="112" t="s">
        <v>1517</v>
      </c>
      <c r="D54" s="1499">
        <v>4.6057050778407698</v>
      </c>
      <c r="E54" s="1499">
        <v>3.3488470930443777</v>
      </c>
      <c r="F54" s="1499">
        <v>2.6288211583558336</v>
      </c>
      <c r="G54" s="1499">
        <v>2.2672195486937055</v>
      </c>
      <c r="H54" s="1499">
        <v>2.466811217150731</v>
      </c>
      <c r="I54" s="1499">
        <v>5.0018629924043942</v>
      </c>
      <c r="J54" s="1499">
        <v>4.3664571580150433</v>
      </c>
      <c r="K54" s="113">
        <v>2.1078951694761665</v>
      </c>
    </row>
    <row r="55" spans="2:11" ht="14.5" thickBot="1" x14ac:dyDescent="0.35">
      <c r="B55" s="1233"/>
      <c r="C55" s="116" t="s">
        <v>1519</v>
      </c>
      <c r="D55" s="117">
        <v>5.0015412874800145</v>
      </c>
      <c r="E55" s="117">
        <v>3.7530952046299664</v>
      </c>
      <c r="F55" s="117">
        <v>3.026185730111878</v>
      </c>
      <c r="G55" s="117">
        <v>2.6718855225535325</v>
      </c>
      <c r="H55" s="117">
        <v>2.8639222223201939</v>
      </c>
      <c r="I55" s="117">
        <v>5.399422255596777</v>
      </c>
      <c r="J55" s="117">
        <v>4.7676555045908087</v>
      </c>
      <c r="K55" s="118">
        <v>2.5141328424073963</v>
      </c>
    </row>
    <row r="56" spans="2:11" x14ac:dyDescent="0.3">
      <c r="B56" s="119" t="s">
        <v>1983</v>
      </c>
      <c r="C56" s="108" t="s">
        <v>1416</v>
      </c>
      <c r="D56" s="109">
        <v>4.2219812846873586</v>
      </c>
      <c r="E56" s="109">
        <v>2.927423972406586</v>
      </c>
      <c r="F56" s="109">
        <v>2.2165866536746397</v>
      </c>
      <c r="G56" s="109">
        <v>1.8390281891168947</v>
      </c>
      <c r="H56" s="109">
        <v>2.0504071821800003</v>
      </c>
      <c r="I56" s="109">
        <v>4.6648485766421022</v>
      </c>
      <c r="J56" s="109">
        <v>3.9908621646969209</v>
      </c>
      <c r="K56" s="110">
        <v>1.6897391486193605</v>
      </c>
    </row>
    <row r="57" spans="2:11" x14ac:dyDescent="0.3">
      <c r="B57" s="111"/>
      <c r="C57" s="112" t="s">
        <v>1483</v>
      </c>
      <c r="D57" s="1499">
        <v>4.8901234490562508</v>
      </c>
      <c r="E57" s="1499">
        <v>3.6416773662062036</v>
      </c>
      <c r="F57" s="1499">
        <v>2.9147678916881152</v>
      </c>
      <c r="G57" s="1499">
        <v>2.5604676841297693</v>
      </c>
      <c r="H57" s="1499">
        <v>2.7525043838964312</v>
      </c>
      <c r="I57" s="1499">
        <v>5.2880044171730143</v>
      </c>
      <c r="J57" s="1499">
        <v>4.6562376661670459</v>
      </c>
      <c r="K57" s="113">
        <v>2.4027150039836331</v>
      </c>
    </row>
    <row r="58" spans="2:11" x14ac:dyDescent="0.3">
      <c r="B58" s="111" t="s">
        <v>1980</v>
      </c>
      <c r="C58" s="112" t="s">
        <v>1489</v>
      </c>
      <c r="D58" s="1499">
        <v>4.8135384579374447</v>
      </c>
      <c r="E58" s="1499">
        <v>3.5650923750873975</v>
      </c>
      <c r="F58" s="1499">
        <v>2.8381829005693091</v>
      </c>
      <c r="G58" s="1499">
        <v>2.4838826930109636</v>
      </c>
      <c r="H58" s="1499">
        <v>2.6759193927776255</v>
      </c>
      <c r="I58" s="1499">
        <v>5.2114194260542082</v>
      </c>
      <c r="J58" s="1499">
        <v>4.5796526750482398</v>
      </c>
      <c r="K58" s="113">
        <v>2.3261300128648275</v>
      </c>
    </row>
    <row r="59" spans="2:11" x14ac:dyDescent="0.3">
      <c r="B59" s="114">
        <v>0</v>
      </c>
      <c r="C59" s="112" t="s">
        <v>1496</v>
      </c>
      <c r="D59" s="1499">
        <v>4.698660971259236</v>
      </c>
      <c r="E59" s="1499">
        <v>3.4502148884091888</v>
      </c>
      <c r="F59" s="1499">
        <v>2.7233054138911004</v>
      </c>
      <c r="G59" s="1499">
        <v>2.3690052063327545</v>
      </c>
      <c r="H59" s="1499">
        <v>2.5610419060994163</v>
      </c>
      <c r="I59" s="1499">
        <v>5.0965419393760003</v>
      </c>
      <c r="J59" s="1499">
        <v>4.4647751883700311</v>
      </c>
      <c r="K59" s="113">
        <v>2.2112525261866183</v>
      </c>
    </row>
    <row r="60" spans="2:11" x14ac:dyDescent="0.3">
      <c r="B60" s="115"/>
      <c r="C60" s="112" t="s">
        <v>1500</v>
      </c>
      <c r="D60" s="1499">
        <v>4.5837834845810272</v>
      </c>
      <c r="E60" s="1499">
        <v>3.33533740173098</v>
      </c>
      <c r="F60" s="1499">
        <v>2.6084279272128912</v>
      </c>
      <c r="G60" s="1499">
        <v>2.2541277196545457</v>
      </c>
      <c r="H60" s="1499">
        <v>2.4461644194212075</v>
      </c>
      <c r="I60" s="1499">
        <v>4.9816644526977907</v>
      </c>
      <c r="J60" s="1499">
        <v>4.3498977016918223</v>
      </c>
      <c r="K60" s="113">
        <v>2.0963750395084095</v>
      </c>
    </row>
    <row r="61" spans="2:11" x14ac:dyDescent="0.3">
      <c r="B61" s="115"/>
      <c r="C61" s="112" t="s">
        <v>1504</v>
      </c>
      <c r="D61" s="1499">
        <v>4.7518216207370312</v>
      </c>
      <c r="E61" s="1499">
        <v>3.4949636359406386</v>
      </c>
      <c r="F61" s="1499">
        <v>2.7749377012520946</v>
      </c>
      <c r="G61" s="1499">
        <v>2.4133360915899664</v>
      </c>
      <c r="H61" s="1499">
        <v>2.6129277600469916</v>
      </c>
      <c r="I61" s="1499">
        <v>5.1479795353006557</v>
      </c>
      <c r="J61" s="1499">
        <v>4.5125737009113038</v>
      </c>
      <c r="K61" s="113">
        <v>2.2540117123724275</v>
      </c>
    </row>
    <row r="62" spans="2:11" x14ac:dyDescent="0.3">
      <c r="B62" s="115"/>
      <c r="C62" s="112" t="s">
        <v>1508</v>
      </c>
      <c r="D62" s="1499">
        <v>4.6874380254070243</v>
      </c>
      <c r="E62" s="1499">
        <v>3.4305800406106326</v>
      </c>
      <c r="F62" s="1499">
        <v>2.7105541059220886</v>
      </c>
      <c r="G62" s="1499">
        <v>2.3489524962599604</v>
      </c>
      <c r="H62" s="1499">
        <v>2.548544164716986</v>
      </c>
      <c r="I62" s="1499">
        <v>5.0835959399706496</v>
      </c>
      <c r="J62" s="1499">
        <v>4.4481901055812978</v>
      </c>
      <c r="K62" s="113">
        <v>2.1896281170424214</v>
      </c>
    </row>
    <row r="63" spans="2:11" x14ac:dyDescent="0.3">
      <c r="B63" s="115"/>
      <c r="C63" s="112" t="s">
        <v>1513</v>
      </c>
      <c r="D63" s="1499">
        <v>4.5908626324120156</v>
      </c>
      <c r="E63" s="1499">
        <v>3.334004647615624</v>
      </c>
      <c r="F63" s="1499">
        <v>2.61397871292708</v>
      </c>
      <c r="G63" s="1499">
        <v>2.2523771032649513</v>
      </c>
      <c r="H63" s="1499">
        <v>2.4519687717219769</v>
      </c>
      <c r="I63" s="1499">
        <v>4.987020546975641</v>
      </c>
      <c r="J63" s="1499">
        <v>4.3516147125862892</v>
      </c>
      <c r="K63" s="113">
        <v>2.0930527240474124</v>
      </c>
    </row>
    <row r="64" spans="2:11" x14ac:dyDescent="0.3">
      <c r="B64" s="115"/>
      <c r="C64" s="112" t="s">
        <v>1517</v>
      </c>
      <c r="D64" s="1499">
        <v>4.494287239417007</v>
      </c>
      <c r="E64" s="1499">
        <v>3.2374292546206149</v>
      </c>
      <c r="F64" s="1499">
        <v>2.5174033199320709</v>
      </c>
      <c r="G64" s="1499">
        <v>2.1558017102699427</v>
      </c>
      <c r="H64" s="1499">
        <v>2.3553933787269679</v>
      </c>
      <c r="I64" s="1499">
        <v>4.8904451539806324</v>
      </c>
      <c r="J64" s="1499">
        <v>4.2550393195912797</v>
      </c>
      <c r="K64" s="113">
        <v>1.9964773310524035</v>
      </c>
    </row>
    <row r="65" spans="2:11" ht="14.5" thickBot="1" x14ac:dyDescent="0.35">
      <c r="B65" s="1233"/>
      <c r="C65" s="116" t="s">
        <v>1519</v>
      </c>
      <c r="D65" s="117">
        <v>4.8901234490562508</v>
      </c>
      <c r="E65" s="117">
        <v>3.6416773662062036</v>
      </c>
      <c r="F65" s="117">
        <v>2.9147678916881152</v>
      </c>
      <c r="G65" s="117">
        <v>2.5604676841297693</v>
      </c>
      <c r="H65" s="117">
        <v>2.7525043838964312</v>
      </c>
      <c r="I65" s="117">
        <v>5.2880044171730143</v>
      </c>
      <c r="J65" s="117">
        <v>4.6562376661670459</v>
      </c>
      <c r="K65" s="118">
        <v>2.4027150039836331</v>
      </c>
    </row>
    <row r="66" spans="2:11" x14ac:dyDescent="0.3">
      <c r="B66" s="119" t="s">
        <v>1983</v>
      </c>
      <c r="C66" s="108" t="s">
        <v>1416</v>
      </c>
      <c r="D66" s="109">
        <v>4.054854527051714</v>
      </c>
      <c r="E66" s="109">
        <v>2.7602972147709415</v>
      </c>
      <c r="F66" s="109">
        <v>2.0494598960389951</v>
      </c>
      <c r="G66" s="109">
        <v>1.6719014314812504</v>
      </c>
      <c r="H66" s="109">
        <v>1.8832804245443562</v>
      </c>
      <c r="I66" s="109">
        <v>4.4977218190064576</v>
      </c>
      <c r="J66" s="109">
        <v>3.8237354070612763</v>
      </c>
      <c r="K66" s="110">
        <v>1.5226123909837161</v>
      </c>
    </row>
    <row r="67" spans="2:11" x14ac:dyDescent="0.3">
      <c r="B67" s="111"/>
      <c r="C67" s="112" t="s">
        <v>1483</v>
      </c>
      <c r="D67" s="1499">
        <v>4.7229966914206063</v>
      </c>
      <c r="E67" s="1499">
        <v>3.4745506085705591</v>
      </c>
      <c r="F67" s="1499">
        <v>2.7476411340524707</v>
      </c>
      <c r="G67" s="1499">
        <v>2.3933409264941248</v>
      </c>
      <c r="H67" s="1499">
        <v>2.5853776262607866</v>
      </c>
      <c r="I67" s="1499">
        <v>5.1208776595373706</v>
      </c>
      <c r="J67" s="1499">
        <v>4.4891109085314014</v>
      </c>
      <c r="K67" s="113">
        <v>2.235588246347989</v>
      </c>
    </row>
    <row r="68" spans="2:11" x14ac:dyDescent="0.3">
      <c r="B68" s="111" t="s">
        <v>1981</v>
      </c>
      <c r="C68" s="112" t="s">
        <v>1489</v>
      </c>
      <c r="D68" s="1499">
        <v>4.6464117003018002</v>
      </c>
      <c r="E68" s="1499">
        <v>3.397965617451753</v>
      </c>
      <c r="F68" s="1499">
        <v>2.6710561429336646</v>
      </c>
      <c r="G68" s="1499">
        <v>2.3167559353753191</v>
      </c>
      <c r="H68" s="1499">
        <v>2.5087926351419805</v>
      </c>
      <c r="I68" s="1499">
        <v>5.0442926684185645</v>
      </c>
      <c r="J68" s="1499">
        <v>4.4125259174125953</v>
      </c>
      <c r="K68" s="113">
        <v>2.1590032552291829</v>
      </c>
    </row>
    <row r="69" spans="2:11" x14ac:dyDescent="0.3">
      <c r="B69" s="114">
        <v>0</v>
      </c>
      <c r="C69" s="112" t="s">
        <v>1496</v>
      </c>
      <c r="D69" s="1499">
        <v>4.5315342136235914</v>
      </c>
      <c r="E69" s="1499">
        <v>3.2830881307735442</v>
      </c>
      <c r="F69" s="1499">
        <v>2.5561786562554558</v>
      </c>
      <c r="G69" s="1499">
        <v>2.2018784486971104</v>
      </c>
      <c r="H69" s="1499">
        <v>2.3939151484637717</v>
      </c>
      <c r="I69" s="1499">
        <v>4.9294151817403549</v>
      </c>
      <c r="J69" s="1499">
        <v>4.2976484307343865</v>
      </c>
      <c r="K69" s="113">
        <v>2.0441257685509742</v>
      </c>
    </row>
    <row r="70" spans="2:11" x14ac:dyDescent="0.3">
      <c r="B70" s="115"/>
      <c r="C70" s="112" t="s">
        <v>1500</v>
      </c>
      <c r="D70" s="1499">
        <v>4.4166567269453827</v>
      </c>
      <c r="E70" s="1499">
        <v>3.1682106440953359</v>
      </c>
      <c r="F70" s="1499">
        <v>2.4413011695772471</v>
      </c>
      <c r="G70" s="1499">
        <v>2.0870009620189012</v>
      </c>
      <c r="H70" s="1499">
        <v>2.279037661785563</v>
      </c>
      <c r="I70" s="1499">
        <v>4.8145376950621461</v>
      </c>
      <c r="J70" s="1499">
        <v>4.1827709440561778</v>
      </c>
      <c r="K70" s="113">
        <v>1.929248281872765</v>
      </c>
    </row>
    <row r="71" spans="2:11" x14ac:dyDescent="0.3">
      <c r="B71" s="115"/>
      <c r="C71" s="112" t="s">
        <v>1504</v>
      </c>
      <c r="D71" s="1499">
        <v>4.5846948631013857</v>
      </c>
      <c r="E71" s="1499">
        <v>3.3278368783049941</v>
      </c>
      <c r="F71" s="1499">
        <v>2.6078109436164505</v>
      </c>
      <c r="G71" s="1499">
        <v>2.2462093339543219</v>
      </c>
      <c r="H71" s="1499">
        <v>2.445801002411347</v>
      </c>
      <c r="I71" s="1499">
        <v>4.980852777665012</v>
      </c>
      <c r="J71" s="1499">
        <v>4.3454469432756593</v>
      </c>
      <c r="K71" s="113">
        <v>2.0868849547367829</v>
      </c>
    </row>
    <row r="72" spans="2:11" x14ac:dyDescent="0.3">
      <c r="B72" s="115"/>
      <c r="C72" s="112" t="s">
        <v>1508</v>
      </c>
      <c r="D72" s="1499">
        <v>4.5203112677713797</v>
      </c>
      <c r="E72" s="1499">
        <v>3.263453282974988</v>
      </c>
      <c r="F72" s="1499">
        <v>2.543427348286444</v>
      </c>
      <c r="G72" s="1499">
        <v>2.1818257386243158</v>
      </c>
      <c r="H72" s="1499">
        <v>2.3814174070813414</v>
      </c>
      <c r="I72" s="1499">
        <v>4.916469182335006</v>
      </c>
      <c r="J72" s="1499">
        <v>4.2810633479456532</v>
      </c>
      <c r="K72" s="113">
        <v>2.0225013594067773</v>
      </c>
    </row>
    <row r="73" spans="2:11" x14ac:dyDescent="0.3">
      <c r="B73" s="115"/>
      <c r="C73" s="112" t="s">
        <v>1513</v>
      </c>
      <c r="D73" s="1499">
        <v>4.4237358747763711</v>
      </c>
      <c r="E73" s="1499">
        <v>3.1668778899799794</v>
      </c>
      <c r="F73" s="1499">
        <v>2.4468519552914354</v>
      </c>
      <c r="G73" s="1499">
        <v>2.0852503456293072</v>
      </c>
      <c r="H73" s="1499">
        <v>2.2848420140863324</v>
      </c>
      <c r="I73" s="1499">
        <v>4.8198937893399965</v>
      </c>
      <c r="J73" s="1499">
        <v>4.1844879549506446</v>
      </c>
      <c r="K73" s="113">
        <v>1.9259259664117683</v>
      </c>
    </row>
    <row r="74" spans="2:11" x14ac:dyDescent="0.3">
      <c r="B74" s="115"/>
      <c r="C74" s="112" t="s">
        <v>1517</v>
      </c>
      <c r="D74" s="1499">
        <v>4.3271604817813625</v>
      </c>
      <c r="E74" s="1499">
        <v>3.0703024969849704</v>
      </c>
      <c r="F74" s="1499">
        <v>2.3502765622964263</v>
      </c>
      <c r="G74" s="1499">
        <v>1.9886749526342979</v>
      </c>
      <c r="H74" s="1499">
        <v>2.1882666210913233</v>
      </c>
      <c r="I74" s="1499">
        <v>4.7233183963449878</v>
      </c>
      <c r="J74" s="1499">
        <v>4.0879125619556351</v>
      </c>
      <c r="K74" s="113">
        <v>1.8293505734167592</v>
      </c>
    </row>
    <row r="75" spans="2:11" ht="14.5" thickBot="1" x14ac:dyDescent="0.35">
      <c r="B75" s="1233"/>
      <c r="C75" s="116" t="s">
        <v>1519</v>
      </c>
      <c r="D75" s="117">
        <v>4.7229966914206063</v>
      </c>
      <c r="E75" s="117">
        <v>3.4745506085705591</v>
      </c>
      <c r="F75" s="117">
        <v>2.7476411340524707</v>
      </c>
      <c r="G75" s="117">
        <v>2.3933409264941248</v>
      </c>
      <c r="H75" s="117">
        <v>2.5853776262607866</v>
      </c>
      <c r="I75" s="117">
        <v>5.1208776595373706</v>
      </c>
      <c r="J75" s="117">
        <v>4.4891109085314014</v>
      </c>
      <c r="K75" s="118">
        <v>2.235588246347989</v>
      </c>
    </row>
    <row r="76" spans="2:11" x14ac:dyDescent="0.3">
      <c r="B76" s="119" t="s">
        <v>1983</v>
      </c>
      <c r="C76" s="108" t="s">
        <v>1416</v>
      </c>
      <c r="D76" s="109">
        <v>3.8877277694160699</v>
      </c>
      <c r="E76" s="109">
        <v>2.5931704571352974</v>
      </c>
      <c r="F76" s="109">
        <v>1.882333138403351</v>
      </c>
      <c r="G76" s="109">
        <v>1.504774673845606</v>
      </c>
      <c r="H76" s="109">
        <v>1.7161536669087119</v>
      </c>
      <c r="I76" s="109">
        <v>4.3305950613708131</v>
      </c>
      <c r="J76" s="109">
        <v>3.6566086494256322</v>
      </c>
      <c r="K76" s="110">
        <v>1.3554856333480718</v>
      </c>
    </row>
    <row r="77" spans="2:11" x14ac:dyDescent="0.3">
      <c r="B77" s="111"/>
      <c r="C77" s="112" t="s">
        <v>1483</v>
      </c>
      <c r="D77" s="1499">
        <v>4.5558699337849617</v>
      </c>
      <c r="E77" s="1499">
        <v>3.307423850934915</v>
      </c>
      <c r="F77" s="1499">
        <v>2.5805143764168266</v>
      </c>
      <c r="G77" s="1499">
        <v>2.2262141688584807</v>
      </c>
      <c r="H77" s="1499">
        <v>2.4182508686251425</v>
      </c>
      <c r="I77" s="1499">
        <v>4.9537509019017252</v>
      </c>
      <c r="J77" s="1499">
        <v>4.3219841508957568</v>
      </c>
      <c r="K77" s="113">
        <v>2.0684614887123445</v>
      </c>
    </row>
    <row r="78" spans="2:11" x14ac:dyDescent="0.3">
      <c r="B78" s="111" t="s">
        <v>1982</v>
      </c>
      <c r="C78" s="112" t="s">
        <v>1489</v>
      </c>
      <c r="D78" s="1499">
        <v>4.4792849426661556</v>
      </c>
      <c r="E78" s="1499">
        <v>3.2308388598161089</v>
      </c>
      <c r="F78" s="1499">
        <v>2.5039293852980204</v>
      </c>
      <c r="G78" s="1499">
        <v>2.149629177739675</v>
      </c>
      <c r="H78" s="1499">
        <v>2.3416658775063368</v>
      </c>
      <c r="I78" s="1499">
        <v>4.8771659107829191</v>
      </c>
      <c r="J78" s="1499">
        <v>4.2453991597769516</v>
      </c>
      <c r="K78" s="113">
        <v>1.9918764975935386</v>
      </c>
    </row>
    <row r="79" spans="2:11" x14ac:dyDescent="0.3">
      <c r="B79" s="114">
        <v>0</v>
      </c>
      <c r="C79" s="112" t="s">
        <v>1496</v>
      </c>
      <c r="D79" s="1499">
        <v>4.3644074559879469</v>
      </c>
      <c r="E79" s="1499">
        <v>3.1159613731379001</v>
      </c>
      <c r="F79" s="1499">
        <v>2.3890518986198117</v>
      </c>
      <c r="G79" s="1499">
        <v>2.0347516910614658</v>
      </c>
      <c r="H79" s="1499">
        <v>2.2267883908281276</v>
      </c>
      <c r="I79" s="1499">
        <v>4.7622884241047103</v>
      </c>
      <c r="J79" s="1499">
        <v>4.130521673098742</v>
      </c>
      <c r="K79" s="113">
        <v>1.8769990109153296</v>
      </c>
    </row>
    <row r="80" spans="2:11" x14ac:dyDescent="0.3">
      <c r="B80" s="115"/>
      <c r="C80" s="112" t="s">
        <v>1500</v>
      </c>
      <c r="D80" s="1499">
        <v>4.2495299693097381</v>
      </c>
      <c r="E80" s="1499">
        <v>3.0010838864596909</v>
      </c>
      <c r="F80" s="1499">
        <v>2.2741744119416025</v>
      </c>
      <c r="G80" s="1499">
        <v>1.9198742043832571</v>
      </c>
      <c r="H80" s="1499">
        <v>2.1119109041499189</v>
      </c>
      <c r="I80" s="1499">
        <v>4.6474109374265016</v>
      </c>
      <c r="J80" s="1499">
        <v>4.0156441864205332</v>
      </c>
      <c r="K80" s="113">
        <v>1.7621215242371207</v>
      </c>
    </row>
    <row r="81" spans="2:11" x14ac:dyDescent="0.3">
      <c r="B81" s="115"/>
      <c r="C81" s="112" t="s">
        <v>1504</v>
      </c>
      <c r="D81" s="1499">
        <v>4.4175681054657421</v>
      </c>
      <c r="E81" s="1499">
        <v>3.16071012066935</v>
      </c>
      <c r="F81" s="1499">
        <v>2.4406841859808059</v>
      </c>
      <c r="G81" s="1499">
        <v>2.0790825763186778</v>
      </c>
      <c r="H81" s="1499">
        <v>2.2786742447757029</v>
      </c>
      <c r="I81" s="1499">
        <v>4.8137260200293666</v>
      </c>
      <c r="J81" s="1499">
        <v>4.1783201856400147</v>
      </c>
      <c r="K81" s="113">
        <v>1.9197581971011388</v>
      </c>
    </row>
    <row r="82" spans="2:11" x14ac:dyDescent="0.3">
      <c r="B82" s="115"/>
      <c r="C82" s="112" t="s">
        <v>1508</v>
      </c>
      <c r="D82" s="1499">
        <v>4.353184510135736</v>
      </c>
      <c r="E82" s="1499">
        <v>3.0963265253393439</v>
      </c>
      <c r="F82" s="1499">
        <v>2.3763005906507999</v>
      </c>
      <c r="G82" s="1499">
        <v>2.0146989809886717</v>
      </c>
      <c r="H82" s="1499">
        <v>2.2142906494456973</v>
      </c>
      <c r="I82" s="1499">
        <v>4.7493424246993605</v>
      </c>
      <c r="J82" s="1499">
        <v>4.1139365903100096</v>
      </c>
      <c r="K82" s="113">
        <v>1.8553746017711328</v>
      </c>
    </row>
    <row r="83" spans="2:11" x14ac:dyDescent="0.3">
      <c r="B83" s="115"/>
      <c r="C83" s="112" t="s">
        <v>1513</v>
      </c>
      <c r="D83" s="1499">
        <v>4.2566091171407265</v>
      </c>
      <c r="E83" s="1499">
        <v>2.9997511323443353</v>
      </c>
      <c r="F83" s="1499">
        <v>2.2797251976557913</v>
      </c>
      <c r="G83" s="1499">
        <v>1.9181235879936629</v>
      </c>
      <c r="H83" s="1499">
        <v>2.1177152564506883</v>
      </c>
      <c r="I83" s="1499">
        <v>4.6527670317043519</v>
      </c>
      <c r="J83" s="1499">
        <v>4.0173611973150001</v>
      </c>
      <c r="K83" s="113">
        <v>1.7587992087761237</v>
      </c>
    </row>
    <row r="84" spans="2:11" x14ac:dyDescent="0.3">
      <c r="B84" s="115"/>
      <c r="C84" s="112" t="s">
        <v>1517</v>
      </c>
      <c r="D84" s="1499">
        <v>4.1600337241457179</v>
      </c>
      <c r="E84" s="1499">
        <v>2.9031757393493263</v>
      </c>
      <c r="F84" s="1499">
        <v>2.1831498046607822</v>
      </c>
      <c r="G84" s="1499">
        <v>1.8215481949986538</v>
      </c>
      <c r="H84" s="1499">
        <v>2.0211398634556792</v>
      </c>
      <c r="I84" s="1499">
        <v>4.5561916387093433</v>
      </c>
      <c r="J84" s="1499">
        <v>3.9207858043199915</v>
      </c>
      <c r="K84" s="113">
        <v>1.6622238157811147</v>
      </c>
    </row>
    <row r="85" spans="2:11" ht="14.5" thickBot="1" x14ac:dyDescent="0.35">
      <c r="B85" s="1233"/>
      <c r="C85" s="116" t="s">
        <v>1519</v>
      </c>
      <c r="D85" s="117">
        <v>4.5558699337849617</v>
      </c>
      <c r="E85" s="117">
        <v>3.307423850934915</v>
      </c>
      <c r="F85" s="117">
        <v>2.5805143764168266</v>
      </c>
      <c r="G85" s="117">
        <v>2.2262141688584807</v>
      </c>
      <c r="H85" s="117">
        <v>2.4182508686251425</v>
      </c>
      <c r="I85" s="117">
        <v>4.9537509019017252</v>
      </c>
      <c r="J85" s="117">
        <v>4.3219841508957568</v>
      </c>
      <c r="K85" s="118">
        <v>2.0684614887123445</v>
      </c>
    </row>
    <row r="87" spans="2:11" ht="14.5" thickBot="1" x14ac:dyDescent="0.35"/>
    <row r="88" spans="2:11" ht="25.5" thickBot="1" x14ac:dyDescent="0.55000000000000004">
      <c r="B88" s="88" t="s">
        <v>1960</v>
      </c>
      <c r="C88" s="89"/>
      <c r="D88" s="90">
        <v>4</v>
      </c>
      <c r="E88" s="91" t="s">
        <v>1984</v>
      </c>
      <c r="F88" s="92"/>
      <c r="G88" s="92"/>
      <c r="H88" s="92"/>
      <c r="I88" s="93"/>
      <c r="J88" s="89" t="s">
        <v>176</v>
      </c>
      <c r="K88" s="94" t="s">
        <v>243</v>
      </c>
    </row>
    <row r="89" spans="2:11" ht="14.5" thickBot="1" x14ac:dyDescent="0.35">
      <c r="B89" s="95" t="s">
        <v>1962</v>
      </c>
      <c r="C89" s="96" t="s">
        <v>1963</v>
      </c>
      <c r="D89" s="95" t="s">
        <v>1964</v>
      </c>
      <c r="E89" s="97" t="s">
        <v>1965</v>
      </c>
      <c r="F89" s="97" t="s">
        <v>1966</v>
      </c>
      <c r="G89" s="97" t="s">
        <v>1967</v>
      </c>
      <c r="H89" s="97" t="s">
        <v>1968</v>
      </c>
      <c r="I89" s="97" t="s">
        <v>1969</v>
      </c>
      <c r="J89" s="97" t="s">
        <v>1970</v>
      </c>
      <c r="K89" s="98" t="s">
        <v>1971</v>
      </c>
    </row>
    <row r="90" spans="2:11" ht="14.5" thickBot="1" x14ac:dyDescent="0.35">
      <c r="B90" s="99"/>
      <c r="C90" s="99"/>
      <c r="D90" s="100"/>
      <c r="E90" s="944"/>
      <c r="F90" s="944"/>
      <c r="G90" s="944"/>
      <c r="H90" s="944"/>
      <c r="I90" s="944"/>
      <c r="J90" s="944"/>
      <c r="K90" s="102"/>
    </row>
    <row r="91" spans="2:11" ht="90.5" thickBot="1" x14ac:dyDescent="0.45">
      <c r="B91" s="103" t="s">
        <v>1972</v>
      </c>
      <c r="C91" s="103" t="s">
        <v>1973</v>
      </c>
      <c r="D91" s="105" t="s">
        <v>1974</v>
      </c>
      <c r="E91" s="105" t="s">
        <v>1525</v>
      </c>
      <c r="F91" s="105" t="s">
        <v>1527</v>
      </c>
      <c r="G91" s="105" t="s">
        <v>1975</v>
      </c>
      <c r="H91" s="105" t="s">
        <v>1976</v>
      </c>
      <c r="I91" s="105" t="s">
        <v>1445</v>
      </c>
      <c r="J91" s="105" t="s">
        <v>1538</v>
      </c>
      <c r="K91" s="106" t="s">
        <v>1541</v>
      </c>
    </row>
    <row r="92" spans="2:11" x14ac:dyDescent="0.3">
      <c r="B92" s="107" t="s">
        <v>1985</v>
      </c>
      <c r="C92" s="108" t="s">
        <v>1416</v>
      </c>
      <c r="D92" s="109">
        <v>3.353660891329425</v>
      </c>
      <c r="E92" s="109">
        <v>1.990015703067751</v>
      </c>
      <c r="F92" s="109">
        <v>1.4553111721045415</v>
      </c>
      <c r="G92" s="109">
        <v>1.0767942908214017</v>
      </c>
      <c r="H92" s="109">
        <v>1.3042874460949492</v>
      </c>
      <c r="I92" s="109">
        <v>3.5904531722102662</v>
      </c>
      <c r="J92" s="109">
        <v>2.9608789085632314</v>
      </c>
      <c r="K92" s="110">
        <v>0.96024226031668969</v>
      </c>
    </row>
    <row r="93" spans="2:11" x14ac:dyDescent="0.3">
      <c r="B93" s="111"/>
      <c r="C93" s="112" t="s">
        <v>1483</v>
      </c>
      <c r="D93" s="1499">
        <v>4.0188286818528027</v>
      </c>
      <c r="E93" s="1499">
        <v>2.7086373988880741</v>
      </c>
      <c r="F93" s="1499">
        <v>2.1153198167940479</v>
      </c>
      <c r="G93" s="1499">
        <v>1.7414762615758614</v>
      </c>
      <c r="H93" s="1499">
        <v>1.9587388561435788</v>
      </c>
      <c r="I93" s="1499">
        <v>4.2777176459765913</v>
      </c>
      <c r="J93" s="1499">
        <v>3.6719395370474723</v>
      </c>
      <c r="K93" s="113">
        <v>1.6072787119955823</v>
      </c>
    </row>
    <row r="94" spans="2:11" x14ac:dyDescent="0.3">
      <c r="B94" s="111" t="s">
        <v>1986</v>
      </c>
      <c r="C94" s="112" t="s">
        <v>1489</v>
      </c>
      <c r="D94" s="1499">
        <v>3.9422436907339971</v>
      </c>
      <c r="E94" s="1499">
        <v>2.632052407769268</v>
      </c>
      <c r="F94" s="1499">
        <v>2.0387348256752422</v>
      </c>
      <c r="G94" s="1499">
        <v>1.6648912704570555</v>
      </c>
      <c r="H94" s="1499">
        <v>1.8821538650247729</v>
      </c>
      <c r="I94" s="1499">
        <v>4.2011326548577852</v>
      </c>
      <c r="J94" s="1499">
        <v>3.5953545459286667</v>
      </c>
      <c r="K94" s="113">
        <v>1.5306937208767764</v>
      </c>
    </row>
    <row r="95" spans="2:11" x14ac:dyDescent="0.3">
      <c r="B95" s="114">
        <v>0</v>
      </c>
      <c r="C95" s="112" t="s">
        <v>1496</v>
      </c>
      <c r="D95" s="1499">
        <v>3.8273662040557883</v>
      </c>
      <c r="E95" s="1499">
        <v>2.5171749210910592</v>
      </c>
      <c r="F95" s="1499">
        <v>1.9238573389970333</v>
      </c>
      <c r="G95" s="1499">
        <v>1.5500137837788466</v>
      </c>
      <c r="H95" s="1499">
        <v>1.7672763783465639</v>
      </c>
      <c r="I95" s="1499">
        <v>4.0862551681795765</v>
      </c>
      <c r="J95" s="1499">
        <v>3.4804770592504575</v>
      </c>
      <c r="K95" s="113">
        <v>1.4158162341985674</v>
      </c>
    </row>
    <row r="96" spans="2:11" x14ac:dyDescent="0.3">
      <c r="B96" s="115"/>
      <c r="C96" s="112" t="s">
        <v>1500</v>
      </c>
      <c r="D96" s="1499">
        <v>3.7124887173775791</v>
      </c>
      <c r="E96" s="1499">
        <v>2.4022974344128505</v>
      </c>
      <c r="F96" s="1499">
        <v>1.8089798523188243</v>
      </c>
      <c r="G96" s="1499">
        <v>1.4351362971006378</v>
      </c>
      <c r="H96" s="1499">
        <v>1.6523988916683552</v>
      </c>
      <c r="I96" s="1499">
        <v>3.9713776815013677</v>
      </c>
      <c r="J96" s="1499">
        <v>3.3655995725722487</v>
      </c>
      <c r="K96" s="113">
        <v>1.3009387475203589</v>
      </c>
    </row>
    <row r="97" spans="2:11" x14ac:dyDescent="0.3">
      <c r="B97" s="115"/>
      <c r="C97" s="112" t="s">
        <v>1504</v>
      </c>
      <c r="D97" s="1499">
        <v>3.884742885306788</v>
      </c>
      <c r="E97" s="1499">
        <v>2.5632356188805852</v>
      </c>
      <c r="F97" s="1499">
        <v>1.9843475752896147</v>
      </c>
      <c r="G97" s="1499">
        <v>1.5950164525547046</v>
      </c>
      <c r="H97" s="1499">
        <v>1.8234635518759488</v>
      </c>
      <c r="I97" s="1499">
        <v>4.133017440200824</v>
      </c>
      <c r="J97" s="1499">
        <v>3.5272773195461165</v>
      </c>
      <c r="K97" s="113">
        <v>1.475003168449881</v>
      </c>
    </row>
    <row r="98" spans="2:11" x14ac:dyDescent="0.3">
      <c r="B98" s="115"/>
      <c r="C98" s="112" t="s">
        <v>1508</v>
      </c>
      <c r="D98" s="1499">
        <v>3.820359289976782</v>
      </c>
      <c r="E98" s="1499">
        <v>2.4988520235505791</v>
      </c>
      <c r="F98" s="1499">
        <v>1.9199639799596089</v>
      </c>
      <c r="G98" s="1499">
        <v>1.5306328572246988</v>
      </c>
      <c r="H98" s="1499">
        <v>1.759079956545943</v>
      </c>
      <c r="I98" s="1499">
        <v>4.0686338448708179</v>
      </c>
      <c r="J98" s="1499">
        <v>3.4628937242161104</v>
      </c>
      <c r="K98" s="113">
        <v>1.410619573119875</v>
      </c>
    </row>
    <row r="99" spans="2:11" x14ac:dyDescent="0.3">
      <c r="B99" s="115"/>
      <c r="C99" s="112" t="s">
        <v>1513</v>
      </c>
      <c r="D99" s="1499">
        <v>3.7237838969817734</v>
      </c>
      <c r="E99" s="1499">
        <v>2.4022766305555701</v>
      </c>
      <c r="F99" s="1499">
        <v>1.8233885869645998</v>
      </c>
      <c r="G99" s="1499">
        <v>1.4340574642296897</v>
      </c>
      <c r="H99" s="1499">
        <v>1.6625045635509339</v>
      </c>
      <c r="I99" s="1499">
        <v>3.9720584518758089</v>
      </c>
      <c r="J99" s="1499">
        <v>3.3663183312211018</v>
      </c>
      <c r="K99" s="113">
        <v>1.3140441801248661</v>
      </c>
    </row>
    <row r="100" spans="2:11" x14ac:dyDescent="0.3">
      <c r="B100" s="115"/>
      <c r="C100" s="112" t="s">
        <v>1517</v>
      </c>
      <c r="D100" s="1499">
        <v>3.6272085039867643</v>
      </c>
      <c r="E100" s="1499">
        <v>2.305701237560561</v>
      </c>
      <c r="F100" s="1499">
        <v>1.726813193969591</v>
      </c>
      <c r="G100" s="1499">
        <v>1.3374820712346809</v>
      </c>
      <c r="H100" s="1499">
        <v>1.5659291705559251</v>
      </c>
      <c r="I100" s="1499">
        <v>3.8754830588807998</v>
      </c>
      <c r="J100" s="1499">
        <v>3.2697429382260927</v>
      </c>
      <c r="K100" s="113">
        <v>1.2174687871298573</v>
      </c>
    </row>
    <row r="101" spans="2:11" ht="14.5" thickBot="1" x14ac:dyDescent="0.35">
      <c r="B101" s="115"/>
      <c r="C101" s="116" t="s">
        <v>1519</v>
      </c>
      <c r="D101" s="117">
        <v>4.0188286818528027</v>
      </c>
      <c r="E101" s="117">
        <v>2.7086373988880741</v>
      </c>
      <c r="F101" s="117">
        <v>2.1153198167940479</v>
      </c>
      <c r="G101" s="117">
        <v>1.7414762615758614</v>
      </c>
      <c r="H101" s="117">
        <v>1.9587388561435788</v>
      </c>
      <c r="I101" s="117">
        <v>4.2777176459765913</v>
      </c>
      <c r="J101" s="117">
        <v>3.6719395370474723</v>
      </c>
      <c r="K101" s="118">
        <v>1.6072787119955823</v>
      </c>
    </row>
    <row r="102" spans="2:11" x14ac:dyDescent="0.3">
      <c r="B102" s="120" t="s">
        <v>1985</v>
      </c>
      <c r="C102" s="1234" t="s">
        <v>1416</v>
      </c>
      <c r="D102" s="109">
        <v>3.2958302048816099</v>
      </c>
      <c r="E102" s="109">
        <v>1.9321850166199359</v>
      </c>
      <c r="F102" s="109">
        <v>1.3974804856567264</v>
      </c>
      <c r="G102" s="109">
        <v>1.0189636043735866</v>
      </c>
      <c r="H102" s="109">
        <v>1.2464567596471341</v>
      </c>
      <c r="I102" s="109">
        <v>3.5326224857624511</v>
      </c>
      <c r="J102" s="109">
        <v>2.9030482221154164</v>
      </c>
      <c r="K102" s="110">
        <v>0.90241157386887449</v>
      </c>
    </row>
    <row r="103" spans="2:11" x14ac:dyDescent="0.3">
      <c r="B103" s="121"/>
      <c r="C103" s="1500" t="s">
        <v>1483</v>
      </c>
      <c r="D103" s="1499">
        <v>3.9609979954049876</v>
      </c>
      <c r="E103" s="1499">
        <v>2.650806712440259</v>
      </c>
      <c r="F103" s="1499">
        <v>2.0574891303462328</v>
      </c>
      <c r="G103" s="1499">
        <v>1.6836455751280461</v>
      </c>
      <c r="H103" s="1499">
        <v>1.9009081696957637</v>
      </c>
      <c r="I103" s="1499">
        <v>4.2198869595287762</v>
      </c>
      <c r="J103" s="1499">
        <v>3.6141088505996573</v>
      </c>
      <c r="K103" s="113">
        <v>1.5494480255477672</v>
      </c>
    </row>
    <row r="104" spans="2:11" x14ac:dyDescent="0.3">
      <c r="B104" s="111" t="s">
        <v>1987</v>
      </c>
      <c r="C104" s="1500" t="s">
        <v>1489</v>
      </c>
      <c r="D104" s="1499">
        <v>3.884413004286182</v>
      </c>
      <c r="E104" s="1499">
        <v>2.5742217213214529</v>
      </c>
      <c r="F104" s="1499">
        <v>1.9809041392274269</v>
      </c>
      <c r="G104" s="1499">
        <v>1.6070605840092402</v>
      </c>
      <c r="H104" s="1499">
        <v>1.8243231785769578</v>
      </c>
      <c r="I104" s="1499">
        <v>4.1433019684099701</v>
      </c>
      <c r="J104" s="1499">
        <v>3.5375238594808511</v>
      </c>
      <c r="K104" s="113">
        <v>1.4728630344289613</v>
      </c>
    </row>
    <row r="105" spans="2:11" x14ac:dyDescent="0.3">
      <c r="B105" s="122">
        <v>0</v>
      </c>
      <c r="C105" s="1500" t="s">
        <v>1496</v>
      </c>
      <c r="D105" s="1499">
        <v>3.7695355176079728</v>
      </c>
      <c r="E105" s="1499">
        <v>2.4593442346432441</v>
      </c>
      <c r="F105" s="1499">
        <v>1.866026652549218</v>
      </c>
      <c r="G105" s="1499">
        <v>1.4921830973310315</v>
      </c>
      <c r="H105" s="1499">
        <v>1.7094456918987488</v>
      </c>
      <c r="I105" s="1499">
        <v>4.0284244817317614</v>
      </c>
      <c r="J105" s="1499">
        <v>3.4226463728026424</v>
      </c>
      <c r="K105" s="113">
        <v>1.3579855477507523</v>
      </c>
    </row>
    <row r="106" spans="2:11" x14ac:dyDescent="0.3">
      <c r="B106" s="123"/>
      <c r="C106" s="1500" t="s">
        <v>1500</v>
      </c>
      <c r="D106" s="1499">
        <v>3.654658030929764</v>
      </c>
      <c r="E106" s="1499">
        <v>2.3444667479650354</v>
      </c>
      <c r="F106" s="1499">
        <v>1.7511491658710092</v>
      </c>
      <c r="G106" s="1499">
        <v>1.3773056106528225</v>
      </c>
      <c r="H106" s="1499">
        <v>1.5945682052205399</v>
      </c>
      <c r="I106" s="1499">
        <v>3.9135469950535526</v>
      </c>
      <c r="J106" s="1499">
        <v>3.3077688861244336</v>
      </c>
      <c r="K106" s="113">
        <v>1.2431080610725433</v>
      </c>
    </row>
    <row r="107" spans="2:11" x14ac:dyDescent="0.3">
      <c r="B107" s="123"/>
      <c r="C107" s="1500" t="s">
        <v>1504</v>
      </c>
      <c r="D107" s="1499">
        <v>3.8269121988589729</v>
      </c>
      <c r="E107" s="1499">
        <v>2.5054049324327696</v>
      </c>
      <c r="F107" s="1499">
        <v>1.9265168888417996</v>
      </c>
      <c r="G107" s="1499">
        <v>1.5371857661068895</v>
      </c>
      <c r="H107" s="1499">
        <v>1.7656328654281337</v>
      </c>
      <c r="I107" s="1499">
        <v>4.075186753753008</v>
      </c>
      <c r="J107" s="1499">
        <v>3.4694466330983014</v>
      </c>
      <c r="K107" s="113">
        <v>1.4171724820020659</v>
      </c>
    </row>
    <row r="108" spans="2:11" x14ac:dyDescent="0.3">
      <c r="B108" s="123"/>
      <c r="C108" s="1500" t="s">
        <v>1508</v>
      </c>
      <c r="D108" s="1499">
        <v>3.7625286035289669</v>
      </c>
      <c r="E108" s="1499">
        <v>2.441021337102764</v>
      </c>
      <c r="F108" s="1499">
        <v>1.8621332935117938</v>
      </c>
      <c r="G108" s="1499">
        <v>1.4728021707768835</v>
      </c>
      <c r="H108" s="1499">
        <v>1.7012492700981277</v>
      </c>
      <c r="I108" s="1499">
        <v>4.0108031584230028</v>
      </c>
      <c r="J108" s="1499">
        <v>3.4050630377682953</v>
      </c>
      <c r="K108" s="113">
        <v>1.3527888866720599</v>
      </c>
    </row>
    <row r="109" spans="2:11" x14ac:dyDescent="0.3">
      <c r="B109" s="123"/>
      <c r="C109" s="1500" t="s">
        <v>1513</v>
      </c>
      <c r="D109" s="1499">
        <v>3.6659532105339583</v>
      </c>
      <c r="E109" s="1499">
        <v>2.344445944107755</v>
      </c>
      <c r="F109" s="1499">
        <v>1.7655579005167847</v>
      </c>
      <c r="G109" s="1499">
        <v>1.3762267777818746</v>
      </c>
      <c r="H109" s="1499">
        <v>1.6046738771031188</v>
      </c>
      <c r="I109" s="1499">
        <v>3.9142277654279933</v>
      </c>
      <c r="J109" s="1499">
        <v>3.3084876447732863</v>
      </c>
      <c r="K109" s="113">
        <v>1.256213493677051</v>
      </c>
    </row>
    <row r="110" spans="2:11" x14ac:dyDescent="0.3">
      <c r="B110" s="123"/>
      <c r="C110" s="1500" t="s">
        <v>1517</v>
      </c>
      <c r="D110" s="1499">
        <v>3.5693778175389492</v>
      </c>
      <c r="E110" s="1499">
        <v>2.2478705511127459</v>
      </c>
      <c r="F110" s="1499">
        <v>1.6689825075217759</v>
      </c>
      <c r="G110" s="1499">
        <v>1.2796513847868658</v>
      </c>
      <c r="H110" s="1499">
        <v>1.50809848410811</v>
      </c>
      <c r="I110" s="1499">
        <v>3.8176523724329847</v>
      </c>
      <c r="J110" s="1499">
        <v>3.2119122517782777</v>
      </c>
      <c r="K110" s="113">
        <v>1.159638100682042</v>
      </c>
    </row>
    <row r="111" spans="2:11" ht="14.5" thickBot="1" x14ac:dyDescent="0.35">
      <c r="B111" s="124"/>
      <c r="C111" s="125" t="s">
        <v>1519</v>
      </c>
      <c r="D111" s="117">
        <v>3.9609979954049876</v>
      </c>
      <c r="E111" s="117">
        <v>2.650806712440259</v>
      </c>
      <c r="F111" s="117">
        <v>2.0574891303462328</v>
      </c>
      <c r="G111" s="117">
        <v>1.6836455751280461</v>
      </c>
      <c r="H111" s="117">
        <v>1.9009081696957637</v>
      </c>
      <c r="I111" s="117">
        <v>4.2198869595287762</v>
      </c>
      <c r="J111" s="117">
        <v>3.6141088505996573</v>
      </c>
      <c r="K111" s="118">
        <v>1.5494480255477672</v>
      </c>
    </row>
    <row r="112" spans="2:11" x14ac:dyDescent="0.3">
      <c r="B112" s="119" t="s">
        <v>1985</v>
      </c>
      <c r="C112" s="108" t="s">
        <v>1416</v>
      </c>
      <c r="D112" s="109">
        <v>3.2090841752098869</v>
      </c>
      <c r="E112" s="109">
        <v>1.8454389869482131</v>
      </c>
      <c r="F112" s="109">
        <v>1.3107344559850038</v>
      </c>
      <c r="G112" s="109">
        <v>0.93221757470186373</v>
      </c>
      <c r="H112" s="109">
        <v>1.1597107299754115</v>
      </c>
      <c r="I112" s="109">
        <v>3.445876456090728</v>
      </c>
      <c r="J112" s="109">
        <v>2.8163021924436933</v>
      </c>
      <c r="K112" s="110">
        <v>0.81566554419715176</v>
      </c>
    </row>
    <row r="113" spans="2:11" x14ac:dyDescent="0.3">
      <c r="B113" s="111"/>
      <c r="C113" s="112" t="s">
        <v>1483</v>
      </c>
      <c r="D113" s="1499">
        <v>3.874251965733265</v>
      </c>
      <c r="E113" s="1499">
        <v>2.5640606827685359</v>
      </c>
      <c r="F113" s="1499">
        <v>1.9707431006745102</v>
      </c>
      <c r="G113" s="1499">
        <v>1.5968995454563235</v>
      </c>
      <c r="H113" s="1499">
        <v>1.8141621400240409</v>
      </c>
      <c r="I113" s="1499">
        <v>4.1331409298570536</v>
      </c>
      <c r="J113" s="1499">
        <v>3.5273628209279342</v>
      </c>
      <c r="K113" s="113">
        <v>1.4627019958760443</v>
      </c>
    </row>
    <row r="114" spans="2:11" ht="14.5" thickBot="1" x14ac:dyDescent="0.35">
      <c r="B114" s="111" t="s">
        <v>1988</v>
      </c>
      <c r="C114" s="112" t="s">
        <v>1489</v>
      </c>
      <c r="D114" s="1499">
        <v>3.7976669746144589</v>
      </c>
      <c r="E114" s="1499">
        <v>2.4874756916497298</v>
      </c>
      <c r="F114" s="1501">
        <v>1.8941581095557043</v>
      </c>
      <c r="G114" s="1499">
        <v>1.5203145543375176</v>
      </c>
      <c r="H114" s="1499">
        <v>1.737577148905235</v>
      </c>
      <c r="I114" s="1499">
        <v>4.0565559387382475</v>
      </c>
      <c r="J114" s="1499">
        <v>3.4507778298091285</v>
      </c>
      <c r="K114" s="113">
        <v>1.3861170047572384</v>
      </c>
    </row>
    <row r="115" spans="2:11" ht="14.5" thickBot="1" x14ac:dyDescent="0.35">
      <c r="B115" s="114">
        <v>0</v>
      </c>
      <c r="C115" s="112" t="s">
        <v>1496</v>
      </c>
      <c r="D115" s="1499">
        <v>3.6827894879362502</v>
      </c>
      <c r="E115" s="1502">
        <v>2.3725982049715211</v>
      </c>
      <c r="F115" s="126">
        <v>1.7792806228774953</v>
      </c>
      <c r="G115" s="1503">
        <v>1.4054370676593086</v>
      </c>
      <c r="H115" s="1499">
        <v>1.6226996622270262</v>
      </c>
      <c r="I115" s="1499">
        <v>3.9416784520600392</v>
      </c>
      <c r="J115" s="1499">
        <v>3.3359003431309193</v>
      </c>
      <c r="K115" s="113">
        <v>1.2712395180790295</v>
      </c>
    </row>
    <row r="116" spans="2:11" x14ac:dyDescent="0.3">
      <c r="B116" s="115"/>
      <c r="C116" s="112" t="s">
        <v>1500</v>
      </c>
      <c r="D116" s="1499">
        <v>3.5679120012580414</v>
      </c>
      <c r="E116" s="1499">
        <v>2.2577207182933123</v>
      </c>
      <c r="F116" s="127">
        <v>1.6644031361992864</v>
      </c>
      <c r="G116" s="1499">
        <v>1.2905595809810997</v>
      </c>
      <c r="H116" s="1499">
        <v>1.5078221755488173</v>
      </c>
      <c r="I116" s="1499">
        <v>3.82680096538183</v>
      </c>
      <c r="J116" s="1499">
        <v>3.221022856452711</v>
      </c>
      <c r="K116" s="113">
        <v>1.1563620314008207</v>
      </c>
    </row>
    <row r="117" spans="2:11" x14ac:dyDescent="0.3">
      <c r="B117" s="115"/>
      <c r="C117" s="112" t="s">
        <v>1504</v>
      </c>
      <c r="D117" s="1499">
        <v>3.7401661691872499</v>
      </c>
      <c r="E117" s="1499">
        <v>2.418658902761047</v>
      </c>
      <c r="F117" s="1499">
        <v>1.839770859170077</v>
      </c>
      <c r="G117" s="1499">
        <v>1.4504397364351669</v>
      </c>
      <c r="H117" s="1499">
        <v>1.6788868357564111</v>
      </c>
      <c r="I117" s="1499">
        <v>3.9884407240812854</v>
      </c>
      <c r="J117" s="1499">
        <v>3.3827006034265783</v>
      </c>
      <c r="K117" s="113">
        <v>1.3304264523303431</v>
      </c>
    </row>
    <row r="118" spans="2:11" x14ac:dyDescent="0.3">
      <c r="B118" s="115"/>
      <c r="C118" s="112" t="s">
        <v>1508</v>
      </c>
      <c r="D118" s="1499">
        <v>3.6757825738572438</v>
      </c>
      <c r="E118" s="1499">
        <v>2.354275307431041</v>
      </c>
      <c r="F118" s="1499">
        <v>1.775387263840071</v>
      </c>
      <c r="G118" s="1499">
        <v>1.3860561411051608</v>
      </c>
      <c r="H118" s="1499">
        <v>1.614503240426405</v>
      </c>
      <c r="I118" s="1499">
        <v>3.9240571287512793</v>
      </c>
      <c r="J118" s="1499">
        <v>3.3183170080965723</v>
      </c>
      <c r="K118" s="113">
        <v>1.2660428570003373</v>
      </c>
    </row>
    <row r="119" spans="2:11" x14ac:dyDescent="0.3">
      <c r="B119" s="115"/>
      <c r="C119" s="112" t="s">
        <v>1513</v>
      </c>
      <c r="D119" s="1499">
        <v>3.5792071808622352</v>
      </c>
      <c r="E119" s="1499">
        <v>2.2576999144360324</v>
      </c>
      <c r="F119" s="1499">
        <v>1.6788118708450621</v>
      </c>
      <c r="G119" s="1499">
        <v>1.289480748110152</v>
      </c>
      <c r="H119" s="1499">
        <v>1.5179278474313962</v>
      </c>
      <c r="I119" s="1499">
        <v>3.8274817357562707</v>
      </c>
      <c r="J119" s="1499">
        <v>3.2217416151015636</v>
      </c>
      <c r="K119" s="113">
        <v>1.1694674640053282</v>
      </c>
    </row>
    <row r="120" spans="2:11" x14ac:dyDescent="0.3">
      <c r="B120" s="115"/>
      <c r="C120" s="112" t="s">
        <v>1517</v>
      </c>
      <c r="D120" s="1499">
        <v>3.4826317878672262</v>
      </c>
      <c r="E120" s="1499">
        <v>2.1611245214410228</v>
      </c>
      <c r="F120" s="1499">
        <v>1.5822364778500528</v>
      </c>
      <c r="G120" s="1499">
        <v>1.1929053551151427</v>
      </c>
      <c r="H120" s="1499">
        <v>1.4213524544363869</v>
      </c>
      <c r="I120" s="1499">
        <v>3.7309063427612617</v>
      </c>
      <c r="J120" s="1499">
        <v>3.1251662221065546</v>
      </c>
      <c r="K120" s="113">
        <v>1.0728920710103191</v>
      </c>
    </row>
    <row r="121" spans="2:11" ht="14.5" thickBot="1" x14ac:dyDescent="0.35">
      <c r="B121" s="1233"/>
      <c r="C121" s="116" t="s">
        <v>1519</v>
      </c>
      <c r="D121" s="117">
        <v>3.874251965733265</v>
      </c>
      <c r="E121" s="117">
        <v>2.5640606827685359</v>
      </c>
      <c r="F121" s="117">
        <v>1.9707431006745102</v>
      </c>
      <c r="G121" s="117">
        <v>1.5968995454563235</v>
      </c>
      <c r="H121" s="117">
        <v>1.8141621400240409</v>
      </c>
      <c r="I121" s="117">
        <v>4.1331409298570536</v>
      </c>
      <c r="J121" s="117">
        <v>3.5273628209279342</v>
      </c>
      <c r="K121" s="118">
        <v>1.4627019958760443</v>
      </c>
    </row>
    <row r="122" spans="2:11" x14ac:dyDescent="0.3">
      <c r="B122" s="107" t="s">
        <v>1985</v>
      </c>
      <c r="C122" s="108" t="s">
        <v>1416</v>
      </c>
      <c r="D122" s="109">
        <v>3.1223381455381642</v>
      </c>
      <c r="E122" s="109">
        <v>1.7586929572764904</v>
      </c>
      <c r="F122" s="109">
        <v>1.223988426313281</v>
      </c>
      <c r="G122" s="109">
        <v>0.84547154503014088</v>
      </c>
      <c r="H122" s="109">
        <v>1.0729647003036886</v>
      </c>
      <c r="I122" s="109">
        <v>3.3591304264190058</v>
      </c>
      <c r="J122" s="109">
        <v>2.7295561627719707</v>
      </c>
      <c r="K122" s="110">
        <v>0.72891951452542891</v>
      </c>
    </row>
    <row r="123" spans="2:11" x14ac:dyDescent="0.3">
      <c r="B123" s="111"/>
      <c r="C123" s="112" t="s">
        <v>1483</v>
      </c>
      <c r="D123" s="1499">
        <v>3.7875059360615424</v>
      </c>
      <c r="E123" s="1499">
        <v>2.4773146530968133</v>
      </c>
      <c r="F123" s="1499">
        <v>1.8839970710027876</v>
      </c>
      <c r="G123" s="1499">
        <v>1.5101535157846004</v>
      </c>
      <c r="H123" s="1499">
        <v>1.7274161103523182</v>
      </c>
      <c r="I123" s="1499">
        <v>4.046394900185331</v>
      </c>
      <c r="J123" s="1499">
        <v>3.440616791256212</v>
      </c>
      <c r="K123" s="113">
        <v>1.3759559662043215</v>
      </c>
    </row>
    <row r="124" spans="2:11" x14ac:dyDescent="0.3">
      <c r="B124" s="111" t="s">
        <v>1989</v>
      </c>
      <c r="C124" s="112" t="s">
        <v>1489</v>
      </c>
      <c r="D124" s="1499">
        <v>3.7109209449427363</v>
      </c>
      <c r="E124" s="1499">
        <v>2.4007296619780076</v>
      </c>
      <c r="F124" s="1499">
        <v>1.8074120798839814</v>
      </c>
      <c r="G124" s="1499">
        <v>1.4335685246657948</v>
      </c>
      <c r="H124" s="1499">
        <v>1.6508311192335123</v>
      </c>
      <c r="I124" s="1499">
        <v>3.9698099090665249</v>
      </c>
      <c r="J124" s="1499">
        <v>3.3640318001374059</v>
      </c>
      <c r="K124" s="113">
        <v>1.2993709750855158</v>
      </c>
    </row>
    <row r="125" spans="2:11" x14ac:dyDescent="0.3">
      <c r="B125" s="114">
        <v>0</v>
      </c>
      <c r="C125" s="112" t="s">
        <v>1496</v>
      </c>
      <c r="D125" s="1499">
        <v>3.5960434582645275</v>
      </c>
      <c r="E125" s="1499">
        <v>2.2858521752997984</v>
      </c>
      <c r="F125" s="1499">
        <v>1.6925345932057727</v>
      </c>
      <c r="G125" s="1499">
        <v>1.318691037987586</v>
      </c>
      <c r="H125" s="1499">
        <v>1.5359536325553034</v>
      </c>
      <c r="I125" s="1499">
        <v>3.8549324223883161</v>
      </c>
      <c r="J125" s="1499">
        <v>3.2491543134591971</v>
      </c>
      <c r="K125" s="113">
        <v>1.1844934884073068</v>
      </c>
    </row>
    <row r="126" spans="2:11" x14ac:dyDescent="0.3">
      <c r="B126" s="115"/>
      <c r="C126" s="112" t="s">
        <v>1500</v>
      </c>
      <c r="D126" s="1499">
        <v>3.4811659715863188</v>
      </c>
      <c r="E126" s="1499">
        <v>2.1709746886215897</v>
      </c>
      <c r="F126" s="1499">
        <v>1.5776571065275637</v>
      </c>
      <c r="G126" s="1499">
        <v>1.2038135513093771</v>
      </c>
      <c r="H126" s="1499">
        <v>1.4210761458770944</v>
      </c>
      <c r="I126" s="1499">
        <v>3.7400549357101074</v>
      </c>
      <c r="J126" s="1499">
        <v>3.134276826780988</v>
      </c>
      <c r="K126" s="113">
        <v>1.0696160017290979</v>
      </c>
    </row>
    <row r="127" spans="2:11" x14ac:dyDescent="0.3">
      <c r="B127" s="115"/>
      <c r="C127" s="112" t="s">
        <v>1504</v>
      </c>
      <c r="D127" s="1499">
        <v>3.6534201395155277</v>
      </c>
      <c r="E127" s="1499">
        <v>2.3319128730893244</v>
      </c>
      <c r="F127" s="1499">
        <v>1.7530248294983541</v>
      </c>
      <c r="G127" s="1499">
        <v>1.363693706763444</v>
      </c>
      <c r="H127" s="1499">
        <v>1.5921408060846882</v>
      </c>
      <c r="I127" s="1499">
        <v>3.9016946944095632</v>
      </c>
      <c r="J127" s="1499">
        <v>3.2959545737548557</v>
      </c>
      <c r="K127" s="113">
        <v>1.2436804226586204</v>
      </c>
    </row>
    <row r="128" spans="2:11" x14ac:dyDescent="0.3">
      <c r="B128" s="115"/>
      <c r="C128" s="112" t="s">
        <v>1508</v>
      </c>
      <c r="D128" s="1499">
        <v>3.5890365441855216</v>
      </c>
      <c r="E128" s="1499">
        <v>2.2675292777593183</v>
      </c>
      <c r="F128" s="1499">
        <v>1.6886412341683483</v>
      </c>
      <c r="G128" s="1499">
        <v>1.299310111433438</v>
      </c>
      <c r="H128" s="1499">
        <v>1.5277572107546824</v>
      </c>
      <c r="I128" s="1499">
        <v>3.8373110990795571</v>
      </c>
      <c r="J128" s="1499">
        <v>3.2315709784248501</v>
      </c>
      <c r="K128" s="113">
        <v>1.1792968273286144</v>
      </c>
    </row>
    <row r="129" spans="2:11" x14ac:dyDescent="0.3">
      <c r="B129" s="115"/>
      <c r="C129" s="112" t="s">
        <v>1513</v>
      </c>
      <c r="D129" s="1499">
        <v>3.4924611511905126</v>
      </c>
      <c r="E129" s="1499">
        <v>2.1709538847643093</v>
      </c>
      <c r="F129" s="1499">
        <v>1.5920658411733393</v>
      </c>
      <c r="G129" s="1499">
        <v>1.2027347184384292</v>
      </c>
      <c r="H129" s="1499">
        <v>1.4311818177596733</v>
      </c>
      <c r="I129" s="1499">
        <v>3.7407357060845481</v>
      </c>
      <c r="J129" s="1499">
        <v>3.134995585429841</v>
      </c>
      <c r="K129" s="113">
        <v>1.0827214343336053</v>
      </c>
    </row>
    <row r="130" spans="2:11" x14ac:dyDescent="0.3">
      <c r="B130" s="115"/>
      <c r="C130" s="112" t="s">
        <v>1517</v>
      </c>
      <c r="D130" s="1499">
        <v>3.3958857581955035</v>
      </c>
      <c r="E130" s="1499">
        <v>2.0743784917693002</v>
      </c>
      <c r="F130" s="1499">
        <v>1.4954904481783302</v>
      </c>
      <c r="G130" s="1499">
        <v>1.1061593254434201</v>
      </c>
      <c r="H130" s="1499">
        <v>1.3346064247646643</v>
      </c>
      <c r="I130" s="1499">
        <v>3.644160313089539</v>
      </c>
      <c r="J130" s="1499">
        <v>3.038420192434832</v>
      </c>
      <c r="K130" s="113">
        <v>0.98614604133859629</v>
      </c>
    </row>
    <row r="131" spans="2:11" ht="14.5" thickBot="1" x14ac:dyDescent="0.35">
      <c r="B131" s="1233"/>
      <c r="C131" s="116" t="s">
        <v>1519</v>
      </c>
      <c r="D131" s="117">
        <v>3.7875059360615424</v>
      </c>
      <c r="E131" s="117">
        <v>2.4773146530968133</v>
      </c>
      <c r="F131" s="117">
        <v>1.8839970710027876</v>
      </c>
      <c r="G131" s="117">
        <v>1.5101535157846004</v>
      </c>
      <c r="H131" s="117">
        <v>1.7274161103523182</v>
      </c>
      <c r="I131" s="117">
        <v>4.046394900185331</v>
      </c>
      <c r="J131" s="117">
        <v>3.440616791256212</v>
      </c>
      <c r="K131" s="118">
        <v>1.3759559662043215</v>
      </c>
    </row>
    <row r="132" spans="2:11" x14ac:dyDescent="0.3">
      <c r="B132" s="120" t="s">
        <v>1990</v>
      </c>
      <c r="C132" s="108" t="s">
        <v>1416</v>
      </c>
      <c r="D132" s="109">
        <v>3.2482175864925313</v>
      </c>
      <c r="E132" s="109">
        <v>1.8801664258881561</v>
      </c>
      <c r="F132" s="109">
        <v>1.3666621041344928</v>
      </c>
      <c r="G132" s="109">
        <v>0.98213548697503528</v>
      </c>
      <c r="H132" s="109">
        <v>1.2160861578932471</v>
      </c>
      <c r="I132" s="109">
        <v>3.4636543641421227</v>
      </c>
      <c r="J132" s="109">
        <v>2.8372283304350541</v>
      </c>
      <c r="K132" s="110">
        <v>0.86595187287973641</v>
      </c>
    </row>
    <row r="133" spans="2:11" x14ac:dyDescent="0.3">
      <c r="B133" s="111"/>
      <c r="C133" s="112" t="s">
        <v>1483</v>
      </c>
      <c r="D133" s="1499">
        <v>3.9098920857698398</v>
      </c>
      <c r="E133" s="1499">
        <v>2.5958828582458402</v>
      </c>
      <c r="F133" s="1499">
        <v>2.0193315971142667</v>
      </c>
      <c r="G133" s="1499">
        <v>1.63847537212007</v>
      </c>
      <c r="H133" s="1499">
        <v>1.8606003361094294</v>
      </c>
      <c r="I133" s="1499">
        <v>4.1581025782467798</v>
      </c>
      <c r="J133" s="1499">
        <v>3.5549014810421955</v>
      </c>
      <c r="K133" s="113">
        <v>1.5139763840424847</v>
      </c>
    </row>
    <row r="134" spans="2:11" x14ac:dyDescent="0.3">
      <c r="B134" s="111" t="s">
        <v>1986</v>
      </c>
      <c r="C134" s="112" t="s">
        <v>1489</v>
      </c>
      <c r="D134" s="1499">
        <v>3.8333070946510341</v>
      </c>
      <c r="E134" s="1499">
        <v>2.5192978671270341</v>
      </c>
      <c r="F134" s="1499">
        <v>1.9427466059954608</v>
      </c>
      <c r="G134" s="1499">
        <v>1.5618903810012641</v>
      </c>
      <c r="H134" s="1499">
        <v>1.7840153449906235</v>
      </c>
      <c r="I134" s="1499">
        <v>4.0815175871279736</v>
      </c>
      <c r="J134" s="1499">
        <v>3.4783164899233898</v>
      </c>
      <c r="K134" s="113">
        <v>1.4373913929236788</v>
      </c>
    </row>
    <row r="135" spans="2:11" x14ac:dyDescent="0.3">
      <c r="B135" s="114">
        <v>0</v>
      </c>
      <c r="C135" s="112" t="s">
        <v>1496</v>
      </c>
      <c r="D135" s="1499">
        <v>3.718429607972825</v>
      </c>
      <c r="E135" s="1499">
        <v>2.4044203804488253</v>
      </c>
      <c r="F135" s="1499">
        <v>1.827869119317252</v>
      </c>
      <c r="G135" s="1499">
        <v>1.4470128943230551</v>
      </c>
      <c r="H135" s="1499">
        <v>1.6691378583124146</v>
      </c>
      <c r="I135" s="1499">
        <v>3.9666401004497649</v>
      </c>
      <c r="J135" s="1499">
        <v>3.3634390032451806</v>
      </c>
      <c r="K135" s="113">
        <v>1.3225139062454698</v>
      </c>
    </row>
    <row r="136" spans="2:11" x14ac:dyDescent="0.3">
      <c r="B136" s="115"/>
      <c r="C136" s="112" t="s">
        <v>1500</v>
      </c>
      <c r="D136" s="1499">
        <v>3.6035521212946162</v>
      </c>
      <c r="E136" s="1499">
        <v>2.2895428937706166</v>
      </c>
      <c r="F136" s="1499">
        <v>1.7129916326390433</v>
      </c>
      <c r="G136" s="1499">
        <v>1.3321354076448464</v>
      </c>
      <c r="H136" s="1499">
        <v>1.5542603716342058</v>
      </c>
      <c r="I136" s="1499">
        <v>3.8517626137715562</v>
      </c>
      <c r="J136" s="1499">
        <v>3.2485615165669719</v>
      </c>
      <c r="K136" s="113">
        <v>1.2076364195672613</v>
      </c>
    </row>
    <row r="137" spans="2:11" x14ac:dyDescent="0.3">
      <c r="B137" s="115"/>
      <c r="C137" s="112" t="s">
        <v>1504</v>
      </c>
      <c r="D137" s="1499">
        <v>3.7753170835122853</v>
      </c>
      <c r="E137" s="1499">
        <v>2.4490518445842864</v>
      </c>
      <c r="F137" s="1499">
        <v>1.8884174544480339</v>
      </c>
      <c r="G137" s="1499">
        <v>1.5007764379651436</v>
      </c>
      <c r="H137" s="1499">
        <v>1.7235219788278464</v>
      </c>
      <c r="I137" s="1499">
        <v>4.0127381093834833</v>
      </c>
      <c r="J137" s="1499">
        <v>3.4094537259542763</v>
      </c>
      <c r="K137" s="113">
        <v>1.3861807583993981</v>
      </c>
    </row>
    <row r="138" spans="2:11" x14ac:dyDescent="0.3">
      <c r="B138" s="115"/>
      <c r="C138" s="112" t="s">
        <v>1508</v>
      </c>
      <c r="D138" s="1499">
        <v>3.7109334881822793</v>
      </c>
      <c r="E138" s="1499">
        <v>2.3846682492542803</v>
      </c>
      <c r="F138" s="1499">
        <v>1.8240338591180278</v>
      </c>
      <c r="G138" s="1499">
        <v>1.4363928426351376</v>
      </c>
      <c r="H138" s="1499">
        <v>1.6591383834978404</v>
      </c>
      <c r="I138" s="1499">
        <v>3.9483545140534777</v>
      </c>
      <c r="J138" s="1499">
        <v>3.3450701306242703</v>
      </c>
      <c r="K138" s="113">
        <v>1.3217971630693923</v>
      </c>
    </row>
    <row r="139" spans="2:11" x14ac:dyDescent="0.3">
      <c r="B139" s="115"/>
      <c r="C139" s="112" t="s">
        <v>1513</v>
      </c>
      <c r="D139" s="1499">
        <v>3.6143580951872702</v>
      </c>
      <c r="E139" s="1499">
        <v>2.2880928562592713</v>
      </c>
      <c r="F139" s="1499">
        <v>1.727458466123019</v>
      </c>
      <c r="G139" s="1499">
        <v>1.3398174496401287</v>
      </c>
      <c r="H139" s="1499">
        <v>1.5625629905028315</v>
      </c>
      <c r="I139" s="1499">
        <v>3.8517791210584686</v>
      </c>
      <c r="J139" s="1499">
        <v>3.2484947376292617</v>
      </c>
      <c r="K139" s="113">
        <v>1.2252217700743833</v>
      </c>
    </row>
    <row r="140" spans="2:11" x14ac:dyDescent="0.3">
      <c r="B140" s="115"/>
      <c r="C140" s="112" t="s">
        <v>1517</v>
      </c>
      <c r="D140" s="1499">
        <v>3.5177827021922607</v>
      </c>
      <c r="E140" s="1499">
        <v>2.1915174632642622</v>
      </c>
      <c r="F140" s="1499">
        <v>1.6308830731280102</v>
      </c>
      <c r="G140" s="1499">
        <v>1.2432420566451197</v>
      </c>
      <c r="H140" s="1499">
        <v>1.4659875975078225</v>
      </c>
      <c r="I140" s="1499">
        <v>3.7552037280634591</v>
      </c>
      <c r="J140" s="1499">
        <v>3.1519193446342522</v>
      </c>
      <c r="K140" s="113">
        <v>1.1286463770793744</v>
      </c>
    </row>
    <row r="141" spans="2:11" ht="14.5" thickBot="1" x14ac:dyDescent="0.35">
      <c r="B141" s="1233"/>
      <c r="C141" s="116" t="s">
        <v>1519</v>
      </c>
      <c r="D141" s="117">
        <v>3.9098920857698398</v>
      </c>
      <c r="E141" s="117">
        <v>2.5958828582458402</v>
      </c>
      <c r="F141" s="117">
        <v>2.0193315971142667</v>
      </c>
      <c r="G141" s="117">
        <v>1.63847537212007</v>
      </c>
      <c r="H141" s="117">
        <v>1.8606003361094294</v>
      </c>
      <c r="I141" s="117">
        <v>4.1581025782467798</v>
      </c>
      <c r="J141" s="117">
        <v>3.5549014810421955</v>
      </c>
      <c r="K141" s="118">
        <v>1.5139763840424847</v>
      </c>
    </row>
    <row r="142" spans="2:11" x14ac:dyDescent="0.3">
      <c r="B142" s="120" t="s">
        <v>1990</v>
      </c>
      <c r="C142" s="108" t="s">
        <v>1416</v>
      </c>
      <c r="D142" s="109">
        <v>3.2006632226345433</v>
      </c>
      <c r="E142" s="109">
        <v>1.8326120620301687</v>
      </c>
      <c r="F142" s="109">
        <v>1.3191077402765055</v>
      </c>
      <c r="G142" s="109">
        <v>0.93458112311704766</v>
      </c>
      <c r="H142" s="109">
        <v>1.1685317940352595</v>
      </c>
      <c r="I142" s="109">
        <v>3.4161000002841351</v>
      </c>
      <c r="J142" s="109">
        <v>2.789673966577066</v>
      </c>
      <c r="K142" s="110">
        <v>0.81839750902174879</v>
      </c>
    </row>
    <row r="143" spans="2:11" x14ac:dyDescent="0.3">
      <c r="B143" s="111"/>
      <c r="C143" s="112" t="s">
        <v>1483</v>
      </c>
      <c r="D143" s="1499">
        <v>3.8623377219118522</v>
      </c>
      <c r="E143" s="1499">
        <v>2.5483284943878526</v>
      </c>
      <c r="F143" s="1499">
        <v>1.9717772332562793</v>
      </c>
      <c r="G143" s="1499">
        <v>1.5909210082620824</v>
      </c>
      <c r="H143" s="1499">
        <v>1.8130459722514418</v>
      </c>
      <c r="I143" s="1499">
        <v>4.1105482143887917</v>
      </c>
      <c r="J143" s="1499">
        <v>3.5073471171842079</v>
      </c>
      <c r="K143" s="113">
        <v>1.4664220201844973</v>
      </c>
    </row>
    <row r="144" spans="2:11" x14ac:dyDescent="0.3">
      <c r="B144" s="111" t="s">
        <v>1987</v>
      </c>
      <c r="C144" s="112" t="s">
        <v>1489</v>
      </c>
      <c r="D144" s="1499">
        <v>3.7857527307930461</v>
      </c>
      <c r="E144" s="1499">
        <v>2.4717435032690465</v>
      </c>
      <c r="F144" s="1499">
        <v>1.8951922421374734</v>
      </c>
      <c r="G144" s="1499">
        <v>1.5143360171432765</v>
      </c>
      <c r="H144" s="1499">
        <v>1.7364609811326359</v>
      </c>
      <c r="I144" s="1499">
        <v>4.0339632232699865</v>
      </c>
      <c r="J144" s="1499">
        <v>3.4307621260654018</v>
      </c>
      <c r="K144" s="113">
        <v>1.3898370290656912</v>
      </c>
    </row>
    <row r="145" spans="2:11" x14ac:dyDescent="0.3">
      <c r="B145" s="114">
        <v>0</v>
      </c>
      <c r="C145" s="112" t="s">
        <v>1496</v>
      </c>
      <c r="D145" s="1499">
        <v>3.6708752441148373</v>
      </c>
      <c r="E145" s="1499">
        <v>2.3568660165908377</v>
      </c>
      <c r="F145" s="1499">
        <v>1.7803147554592644</v>
      </c>
      <c r="G145" s="1499">
        <v>1.3994585304650675</v>
      </c>
      <c r="H145" s="1499">
        <v>1.621583494454427</v>
      </c>
      <c r="I145" s="1499">
        <v>3.9190857365917773</v>
      </c>
      <c r="J145" s="1499">
        <v>3.315884639387193</v>
      </c>
      <c r="K145" s="113">
        <v>1.2749595423874824</v>
      </c>
    </row>
    <row r="146" spans="2:11" x14ac:dyDescent="0.3">
      <c r="B146" s="115"/>
      <c r="C146" s="112" t="s">
        <v>1500</v>
      </c>
      <c r="D146" s="1499">
        <v>3.5559977574366282</v>
      </c>
      <c r="E146" s="1499">
        <v>2.2419885299126285</v>
      </c>
      <c r="F146" s="1499">
        <v>1.6654372687810555</v>
      </c>
      <c r="G146" s="1499">
        <v>1.2845810437868586</v>
      </c>
      <c r="H146" s="1499">
        <v>1.5067060077762182</v>
      </c>
      <c r="I146" s="1499">
        <v>3.8042082499135685</v>
      </c>
      <c r="J146" s="1499">
        <v>3.2010071527089838</v>
      </c>
      <c r="K146" s="113">
        <v>1.1600820557092735</v>
      </c>
    </row>
    <row r="147" spans="2:11" x14ac:dyDescent="0.3">
      <c r="B147" s="115"/>
      <c r="C147" s="112" t="s">
        <v>1504</v>
      </c>
      <c r="D147" s="1499">
        <v>3.7277627196542973</v>
      </c>
      <c r="E147" s="1499">
        <v>2.4014974807262983</v>
      </c>
      <c r="F147" s="1499">
        <v>1.8408630905900463</v>
      </c>
      <c r="G147" s="1499">
        <v>1.453222074107156</v>
      </c>
      <c r="H147" s="1499">
        <v>1.6759676149698588</v>
      </c>
      <c r="I147" s="1499">
        <v>3.9651837455254957</v>
      </c>
      <c r="J147" s="1499">
        <v>3.3618993620962887</v>
      </c>
      <c r="K147" s="113">
        <v>1.3386263945414107</v>
      </c>
    </row>
    <row r="148" spans="2:11" x14ac:dyDescent="0.3">
      <c r="B148" s="115"/>
      <c r="C148" s="112" t="s">
        <v>1508</v>
      </c>
      <c r="D148" s="1499">
        <v>3.6633791243242912</v>
      </c>
      <c r="E148" s="1499">
        <v>2.3371138853962927</v>
      </c>
      <c r="F148" s="1499">
        <v>1.7764794952600405</v>
      </c>
      <c r="G148" s="1499">
        <v>1.3888384787771502</v>
      </c>
      <c r="H148" s="1499">
        <v>1.6115840196398528</v>
      </c>
      <c r="I148" s="1499">
        <v>3.9008001501954896</v>
      </c>
      <c r="J148" s="1499">
        <v>3.2975157667662827</v>
      </c>
      <c r="K148" s="113">
        <v>1.2742427992114047</v>
      </c>
    </row>
    <row r="149" spans="2:11" x14ac:dyDescent="0.3">
      <c r="B149" s="115"/>
      <c r="C149" s="112" t="s">
        <v>1513</v>
      </c>
      <c r="D149" s="1499">
        <v>3.5668037313292826</v>
      </c>
      <c r="E149" s="1499">
        <v>2.2405384924012837</v>
      </c>
      <c r="F149" s="1499">
        <v>1.6799041022650314</v>
      </c>
      <c r="G149" s="1499">
        <v>1.2922630857821411</v>
      </c>
      <c r="H149" s="1499">
        <v>1.5150086266448439</v>
      </c>
      <c r="I149" s="1499">
        <v>3.804224757200481</v>
      </c>
      <c r="J149" s="1499">
        <v>3.2009403737712736</v>
      </c>
      <c r="K149" s="113">
        <v>1.1776674062163959</v>
      </c>
    </row>
    <row r="150" spans="2:11" x14ac:dyDescent="0.3">
      <c r="B150" s="115"/>
      <c r="C150" s="112" t="s">
        <v>1517</v>
      </c>
      <c r="D150" s="1499">
        <v>3.4702283383342736</v>
      </c>
      <c r="E150" s="1499">
        <v>2.1439630994062746</v>
      </c>
      <c r="F150" s="1499">
        <v>1.5833287092700226</v>
      </c>
      <c r="G150" s="1499">
        <v>1.1956876927871323</v>
      </c>
      <c r="H150" s="1499">
        <v>1.4184332336498351</v>
      </c>
      <c r="I150" s="1499">
        <v>3.707649364205472</v>
      </c>
      <c r="J150" s="1499">
        <v>3.104364980776265</v>
      </c>
      <c r="K150" s="113">
        <v>1.0810920132213868</v>
      </c>
    </row>
    <row r="151" spans="2:11" ht="14.5" thickBot="1" x14ac:dyDescent="0.35">
      <c r="B151" s="1233"/>
      <c r="C151" s="116" t="s">
        <v>1519</v>
      </c>
      <c r="D151" s="117">
        <v>3.8623377219118522</v>
      </c>
      <c r="E151" s="117">
        <v>2.5483284943878526</v>
      </c>
      <c r="F151" s="117">
        <v>1.9717772332562793</v>
      </c>
      <c r="G151" s="117">
        <v>1.5909210082620824</v>
      </c>
      <c r="H151" s="117">
        <v>1.8130459722514418</v>
      </c>
      <c r="I151" s="117">
        <v>4.1105482143887917</v>
      </c>
      <c r="J151" s="117">
        <v>3.5073471171842079</v>
      </c>
      <c r="K151" s="118">
        <v>1.4664220201844973</v>
      </c>
    </row>
    <row r="152" spans="2:11" x14ac:dyDescent="0.3">
      <c r="B152" s="120" t="s">
        <v>1990</v>
      </c>
      <c r="C152" s="108" t="s">
        <v>1416</v>
      </c>
      <c r="D152" s="109">
        <v>3.1293316768475625</v>
      </c>
      <c r="E152" s="109">
        <v>1.7612805162431873</v>
      </c>
      <c r="F152" s="109">
        <v>1.247776194489524</v>
      </c>
      <c r="G152" s="109">
        <v>0.86324957733006613</v>
      </c>
      <c r="H152" s="109">
        <v>1.0972002482482781</v>
      </c>
      <c r="I152" s="109">
        <v>3.3447684544971539</v>
      </c>
      <c r="J152" s="109">
        <v>2.7183424207900848</v>
      </c>
      <c r="K152" s="110">
        <v>0.74706596323476737</v>
      </c>
    </row>
    <row r="153" spans="2:11" x14ac:dyDescent="0.3">
      <c r="B153" s="111"/>
      <c r="C153" s="112" t="s">
        <v>1483</v>
      </c>
      <c r="D153" s="1499">
        <v>3.7910061761248706</v>
      </c>
      <c r="E153" s="1499">
        <v>2.4769969486008705</v>
      </c>
      <c r="F153" s="1499">
        <v>1.9004456874692979</v>
      </c>
      <c r="G153" s="1499">
        <v>1.519589462475101</v>
      </c>
      <c r="H153" s="1499">
        <v>1.7417144264644604</v>
      </c>
      <c r="I153" s="1499">
        <v>4.0392166686018101</v>
      </c>
      <c r="J153" s="1499">
        <v>3.4360155713972262</v>
      </c>
      <c r="K153" s="113">
        <v>1.3950904743975159</v>
      </c>
    </row>
    <row r="154" spans="2:11" x14ac:dyDescent="0.3">
      <c r="B154" s="111" t="s">
        <v>1988</v>
      </c>
      <c r="C154" s="112" t="s">
        <v>1489</v>
      </c>
      <c r="D154" s="1499">
        <v>3.7144211850060649</v>
      </c>
      <c r="E154" s="1499">
        <v>2.4004119574820653</v>
      </c>
      <c r="F154" s="1499">
        <v>1.823860696350492</v>
      </c>
      <c r="G154" s="1499">
        <v>1.4430044713562951</v>
      </c>
      <c r="H154" s="1499">
        <v>1.6651294353456545</v>
      </c>
      <c r="I154" s="1499">
        <v>3.9626316774830048</v>
      </c>
      <c r="J154" s="1499">
        <v>3.3594305802784206</v>
      </c>
      <c r="K154" s="113">
        <v>1.3185054832787098</v>
      </c>
    </row>
    <row r="155" spans="2:11" x14ac:dyDescent="0.3">
      <c r="B155" s="114">
        <v>0</v>
      </c>
      <c r="C155" s="112" t="s">
        <v>1496</v>
      </c>
      <c r="D155" s="1499">
        <v>3.5995436983278561</v>
      </c>
      <c r="E155" s="1499">
        <v>2.2855344708038561</v>
      </c>
      <c r="F155" s="1499">
        <v>1.708983209672283</v>
      </c>
      <c r="G155" s="1499">
        <v>1.3281269846780861</v>
      </c>
      <c r="H155" s="1499">
        <v>1.5502519486674455</v>
      </c>
      <c r="I155" s="1499">
        <v>3.8477541908047961</v>
      </c>
      <c r="J155" s="1499">
        <v>3.2445530936002118</v>
      </c>
      <c r="K155" s="113">
        <v>1.203627996600501</v>
      </c>
    </row>
    <row r="156" spans="2:11" x14ac:dyDescent="0.3">
      <c r="B156" s="115"/>
      <c r="C156" s="112" t="s">
        <v>1500</v>
      </c>
      <c r="D156" s="1499">
        <v>3.484666211649647</v>
      </c>
      <c r="E156" s="1499">
        <v>2.1706569841256473</v>
      </c>
      <c r="F156" s="1499">
        <v>1.594105722994074</v>
      </c>
      <c r="G156" s="1499">
        <v>1.2132494979998774</v>
      </c>
      <c r="H156" s="1499">
        <v>1.435374461989237</v>
      </c>
      <c r="I156" s="1499">
        <v>3.7328767041265873</v>
      </c>
      <c r="J156" s="1499">
        <v>3.1296756069220031</v>
      </c>
      <c r="K156" s="113">
        <v>1.0887505099222921</v>
      </c>
    </row>
    <row r="157" spans="2:11" x14ac:dyDescent="0.3">
      <c r="B157" s="115"/>
      <c r="C157" s="112" t="s">
        <v>1504</v>
      </c>
      <c r="D157" s="1499">
        <v>3.6564311738673161</v>
      </c>
      <c r="E157" s="1499">
        <v>2.3301659349393171</v>
      </c>
      <c r="F157" s="1499">
        <v>1.7695315448030648</v>
      </c>
      <c r="G157" s="1499">
        <v>1.3818905283201746</v>
      </c>
      <c r="H157" s="1499">
        <v>1.6046360691828774</v>
      </c>
      <c r="I157" s="1499">
        <v>3.8938521997385145</v>
      </c>
      <c r="J157" s="1499">
        <v>3.2905678163093075</v>
      </c>
      <c r="K157" s="113">
        <v>1.2672948487544293</v>
      </c>
    </row>
    <row r="158" spans="2:11" x14ac:dyDescent="0.3">
      <c r="B158" s="115"/>
      <c r="C158" s="112" t="s">
        <v>1508</v>
      </c>
      <c r="D158" s="1499">
        <v>3.5920475785373105</v>
      </c>
      <c r="E158" s="1499">
        <v>2.2657823396093111</v>
      </c>
      <c r="F158" s="1499">
        <v>1.705147949473059</v>
      </c>
      <c r="G158" s="1499">
        <v>1.3175069329901685</v>
      </c>
      <c r="H158" s="1499">
        <v>1.5402524738528713</v>
      </c>
      <c r="I158" s="1499">
        <v>3.8294686044085084</v>
      </c>
      <c r="J158" s="1499">
        <v>3.2261842209793015</v>
      </c>
      <c r="K158" s="113">
        <v>1.2029112534244233</v>
      </c>
    </row>
    <row r="159" spans="2:11" x14ac:dyDescent="0.3">
      <c r="B159" s="115"/>
      <c r="C159" s="112" t="s">
        <v>1513</v>
      </c>
      <c r="D159" s="1499">
        <v>3.495472185542301</v>
      </c>
      <c r="E159" s="1499">
        <v>2.169206946614302</v>
      </c>
      <c r="F159" s="1499">
        <v>1.60857255647805</v>
      </c>
      <c r="G159" s="1499">
        <v>1.2209315399951597</v>
      </c>
      <c r="H159" s="1499">
        <v>1.4436770808578625</v>
      </c>
      <c r="I159" s="1499">
        <v>3.7328932114134994</v>
      </c>
      <c r="J159" s="1499">
        <v>3.129608827984292</v>
      </c>
      <c r="K159" s="113">
        <v>1.1063358604294145</v>
      </c>
    </row>
    <row r="160" spans="2:11" x14ac:dyDescent="0.3">
      <c r="B160" s="115"/>
      <c r="C160" s="112" t="s">
        <v>1517</v>
      </c>
      <c r="D160" s="1499">
        <v>3.3988967925472919</v>
      </c>
      <c r="E160" s="1499">
        <v>2.0726315536192934</v>
      </c>
      <c r="F160" s="1499">
        <v>1.5119971634830411</v>
      </c>
      <c r="G160" s="1499">
        <v>1.1243561470001509</v>
      </c>
      <c r="H160" s="1499">
        <v>1.3471016878628537</v>
      </c>
      <c r="I160" s="1499">
        <v>3.6363178184184903</v>
      </c>
      <c r="J160" s="1499">
        <v>3.0330334349892834</v>
      </c>
      <c r="K160" s="113">
        <v>1.0097604674344054</v>
      </c>
    </row>
    <row r="161" spans="2:11" ht="14.5" thickBot="1" x14ac:dyDescent="0.35">
      <c r="B161" s="1233"/>
      <c r="C161" s="116" t="s">
        <v>1519</v>
      </c>
      <c r="D161" s="117">
        <v>3.7910061761248706</v>
      </c>
      <c r="E161" s="117">
        <v>2.4769969486008705</v>
      </c>
      <c r="F161" s="117">
        <v>1.9004456874692979</v>
      </c>
      <c r="G161" s="117">
        <v>1.519589462475101</v>
      </c>
      <c r="H161" s="117">
        <v>1.7417144264644604</v>
      </c>
      <c r="I161" s="117">
        <v>4.0392166686018101</v>
      </c>
      <c r="J161" s="117">
        <v>3.4360155713972262</v>
      </c>
      <c r="K161" s="118">
        <v>1.3950904743975159</v>
      </c>
    </row>
    <row r="162" spans="2:11" x14ac:dyDescent="0.3">
      <c r="B162" s="120" t="s">
        <v>1990</v>
      </c>
      <c r="C162" s="108" t="s">
        <v>1416</v>
      </c>
      <c r="D162" s="109">
        <v>3.0580001310605804</v>
      </c>
      <c r="E162" s="109">
        <v>1.6899489704562058</v>
      </c>
      <c r="F162" s="109">
        <v>1.1764446487025426</v>
      </c>
      <c r="G162" s="109">
        <v>0.79191803154308471</v>
      </c>
      <c r="H162" s="109">
        <v>1.0258687024612967</v>
      </c>
      <c r="I162" s="109">
        <v>3.2734369087101722</v>
      </c>
      <c r="J162" s="109">
        <v>2.6470108750031032</v>
      </c>
      <c r="K162" s="110">
        <v>0.67573441744778595</v>
      </c>
    </row>
    <row r="163" spans="2:11" x14ac:dyDescent="0.3">
      <c r="B163" s="111"/>
      <c r="C163" s="112" t="s">
        <v>1483</v>
      </c>
      <c r="D163" s="1499">
        <v>3.7196746303378894</v>
      </c>
      <c r="E163" s="1499">
        <v>2.4056654028138893</v>
      </c>
      <c r="F163" s="1499">
        <v>1.8291141416823165</v>
      </c>
      <c r="G163" s="1499">
        <v>1.4482579166881195</v>
      </c>
      <c r="H163" s="1499">
        <v>1.670382880677479</v>
      </c>
      <c r="I163" s="1499">
        <v>3.9678851228148293</v>
      </c>
      <c r="J163" s="1499">
        <v>3.364684025610245</v>
      </c>
      <c r="K163" s="113">
        <v>1.3237589286105342</v>
      </c>
    </row>
    <row r="164" spans="2:11" x14ac:dyDescent="0.3">
      <c r="B164" s="111" t="s">
        <v>1989</v>
      </c>
      <c r="C164" s="112" t="s">
        <v>1489</v>
      </c>
      <c r="D164" s="1499">
        <v>3.6430896392190832</v>
      </c>
      <c r="E164" s="1499">
        <v>2.3290804116950836</v>
      </c>
      <c r="F164" s="1499">
        <v>1.7525291505635106</v>
      </c>
      <c r="G164" s="1499">
        <v>1.3716729255693136</v>
      </c>
      <c r="H164" s="1499">
        <v>1.5937978895586731</v>
      </c>
      <c r="I164" s="1499">
        <v>3.8913001316960232</v>
      </c>
      <c r="J164" s="1499">
        <v>3.2880990344914389</v>
      </c>
      <c r="K164" s="113">
        <v>1.2471739374917283</v>
      </c>
    </row>
    <row r="165" spans="2:11" x14ac:dyDescent="0.3">
      <c r="B165" s="114">
        <v>0</v>
      </c>
      <c r="C165" s="112" t="s">
        <v>1496</v>
      </c>
      <c r="D165" s="1499">
        <v>3.5282121525408745</v>
      </c>
      <c r="E165" s="1499">
        <v>2.2142029250168749</v>
      </c>
      <c r="F165" s="1499">
        <v>1.6376516638853016</v>
      </c>
      <c r="G165" s="1499">
        <v>1.2567954388911047</v>
      </c>
      <c r="H165" s="1499">
        <v>1.4789204028804641</v>
      </c>
      <c r="I165" s="1499">
        <v>3.7764226450178144</v>
      </c>
      <c r="J165" s="1499">
        <v>3.1732215478132302</v>
      </c>
      <c r="K165" s="113">
        <v>1.1322964508135196</v>
      </c>
    </row>
    <row r="166" spans="2:11" x14ac:dyDescent="0.3">
      <c r="B166" s="115"/>
      <c r="C166" s="112" t="s">
        <v>1500</v>
      </c>
      <c r="D166" s="1499">
        <v>3.4133346658626653</v>
      </c>
      <c r="E166" s="1499">
        <v>2.0993254383386657</v>
      </c>
      <c r="F166" s="1499">
        <v>1.5227741772070928</v>
      </c>
      <c r="G166" s="1499">
        <v>1.1419179522128959</v>
      </c>
      <c r="H166" s="1499">
        <v>1.3640429162022554</v>
      </c>
      <c r="I166" s="1499">
        <v>3.6615451583396057</v>
      </c>
      <c r="J166" s="1499">
        <v>3.058344061135021</v>
      </c>
      <c r="K166" s="113">
        <v>1.0174189641353106</v>
      </c>
    </row>
    <row r="167" spans="2:11" x14ac:dyDescent="0.3">
      <c r="B167" s="115"/>
      <c r="C167" s="112" t="s">
        <v>1504</v>
      </c>
      <c r="D167" s="1499">
        <v>3.5850996280803344</v>
      </c>
      <c r="E167" s="1499">
        <v>2.2588343891523355</v>
      </c>
      <c r="F167" s="1499">
        <v>1.6981999990160834</v>
      </c>
      <c r="G167" s="1499">
        <v>1.3105589825331931</v>
      </c>
      <c r="H167" s="1499">
        <v>1.533304523395896</v>
      </c>
      <c r="I167" s="1499">
        <v>3.8225206539515328</v>
      </c>
      <c r="J167" s="1499">
        <v>3.2192362705223259</v>
      </c>
      <c r="K167" s="113">
        <v>1.1959633029674479</v>
      </c>
    </row>
    <row r="168" spans="2:11" x14ac:dyDescent="0.3">
      <c r="B168" s="115"/>
      <c r="C168" s="112" t="s">
        <v>1508</v>
      </c>
      <c r="D168" s="1499">
        <v>3.5207160327503284</v>
      </c>
      <c r="E168" s="1499">
        <v>2.1944507938223294</v>
      </c>
      <c r="F168" s="1499">
        <v>1.6338164036860776</v>
      </c>
      <c r="G168" s="1499">
        <v>1.2461753872031871</v>
      </c>
      <c r="H168" s="1499">
        <v>1.4689209280658899</v>
      </c>
      <c r="I168" s="1499">
        <v>3.7581370586215268</v>
      </c>
      <c r="J168" s="1499">
        <v>3.1548526751923198</v>
      </c>
      <c r="K168" s="113">
        <v>1.1315797076374419</v>
      </c>
    </row>
    <row r="169" spans="2:11" x14ac:dyDescent="0.3">
      <c r="B169" s="115"/>
      <c r="C169" s="112" t="s">
        <v>1513</v>
      </c>
      <c r="D169" s="1499">
        <v>3.4241406397553198</v>
      </c>
      <c r="E169" s="1499">
        <v>2.0978754008273208</v>
      </c>
      <c r="F169" s="1499">
        <v>1.5372410106910686</v>
      </c>
      <c r="G169" s="1499">
        <v>1.1495999942081783</v>
      </c>
      <c r="H169" s="1499">
        <v>1.3723455350708811</v>
      </c>
      <c r="I169" s="1499">
        <v>3.6615616656265182</v>
      </c>
      <c r="J169" s="1499">
        <v>3.0582772821973108</v>
      </c>
      <c r="K169" s="113">
        <v>1.035004314642433</v>
      </c>
    </row>
    <row r="170" spans="2:11" x14ac:dyDescent="0.3">
      <c r="B170" s="115"/>
      <c r="C170" s="112" t="s">
        <v>1517</v>
      </c>
      <c r="D170" s="1499">
        <v>3.3275652467603107</v>
      </c>
      <c r="E170" s="1499">
        <v>2.0013000078323118</v>
      </c>
      <c r="F170" s="1499">
        <v>1.4406656176960597</v>
      </c>
      <c r="G170" s="1499">
        <v>1.0530246012131694</v>
      </c>
      <c r="H170" s="1499">
        <v>1.2757701420758722</v>
      </c>
      <c r="I170" s="1499">
        <v>3.5649862726315091</v>
      </c>
      <c r="J170" s="1499">
        <v>2.9617018892023022</v>
      </c>
      <c r="K170" s="113">
        <v>0.93842892164742409</v>
      </c>
    </row>
    <row r="171" spans="2:11" ht="14.5" thickBot="1" x14ac:dyDescent="0.35">
      <c r="B171" s="1233"/>
      <c r="C171" s="116" t="s">
        <v>1519</v>
      </c>
      <c r="D171" s="117">
        <v>3.7196746303378894</v>
      </c>
      <c r="E171" s="117">
        <v>2.4056654028138893</v>
      </c>
      <c r="F171" s="117">
        <v>1.8291141416823165</v>
      </c>
      <c r="G171" s="117">
        <v>1.4482579166881195</v>
      </c>
      <c r="H171" s="117">
        <v>1.670382880677479</v>
      </c>
      <c r="I171" s="117">
        <v>3.9678851228148293</v>
      </c>
      <c r="J171" s="117">
        <v>3.364684025610245</v>
      </c>
      <c r="K171" s="118">
        <v>1.3237589286105342</v>
      </c>
    </row>
    <row r="173" spans="2:11" ht="14.5" thickBot="1" x14ac:dyDescent="0.35"/>
    <row r="174" spans="2:11" ht="25.5" thickBot="1" x14ac:dyDescent="0.55000000000000004">
      <c r="B174" s="88" t="s">
        <v>1960</v>
      </c>
      <c r="C174" s="89"/>
      <c r="D174" s="90">
        <v>4</v>
      </c>
      <c r="E174" s="91" t="s">
        <v>1991</v>
      </c>
      <c r="F174" s="92"/>
      <c r="G174" s="92"/>
      <c r="H174" s="92"/>
      <c r="I174" s="93"/>
      <c r="J174" s="89" t="s">
        <v>176</v>
      </c>
      <c r="K174" s="94" t="s">
        <v>243</v>
      </c>
    </row>
    <row r="175" spans="2:11" ht="14.5" thickBot="1" x14ac:dyDescent="0.35">
      <c r="B175" s="95" t="s">
        <v>1962</v>
      </c>
      <c r="C175" s="96" t="s">
        <v>1963</v>
      </c>
      <c r="D175" s="95" t="s">
        <v>1964</v>
      </c>
      <c r="E175" s="97" t="s">
        <v>1965</v>
      </c>
      <c r="F175" s="97" t="s">
        <v>1966</v>
      </c>
      <c r="G175" s="97" t="s">
        <v>1967</v>
      </c>
      <c r="H175" s="97" t="s">
        <v>1968</v>
      </c>
      <c r="I175" s="97" t="s">
        <v>1969</v>
      </c>
      <c r="J175" s="97" t="s">
        <v>1970</v>
      </c>
      <c r="K175" s="98" t="s">
        <v>1971</v>
      </c>
    </row>
    <row r="176" spans="2:11" ht="14.5" thickBot="1" x14ac:dyDescent="0.35">
      <c r="B176" s="99"/>
      <c r="C176" s="99"/>
      <c r="D176" s="100"/>
      <c r="E176" s="944"/>
      <c r="F176" s="944"/>
      <c r="G176" s="944"/>
      <c r="H176" s="944"/>
      <c r="I176" s="944"/>
      <c r="J176" s="944"/>
      <c r="K176" s="102"/>
    </row>
    <row r="177" spans="2:11" ht="90.5" thickBot="1" x14ac:dyDescent="0.45">
      <c r="B177" s="103" t="s">
        <v>1972</v>
      </c>
      <c r="C177" s="103" t="s">
        <v>1973</v>
      </c>
      <c r="D177" s="105" t="s">
        <v>1974</v>
      </c>
      <c r="E177" s="105" t="s">
        <v>1525</v>
      </c>
      <c r="F177" s="105" t="s">
        <v>1527</v>
      </c>
      <c r="G177" s="105" t="s">
        <v>1975</v>
      </c>
      <c r="H177" s="105" t="s">
        <v>1976</v>
      </c>
      <c r="I177" s="105" t="s">
        <v>1445</v>
      </c>
      <c r="J177" s="105" t="s">
        <v>1538</v>
      </c>
      <c r="K177" s="106" t="s">
        <v>1541</v>
      </c>
    </row>
    <row r="178" spans="2:11" x14ac:dyDescent="0.3">
      <c r="B178" s="120" t="s">
        <v>1992</v>
      </c>
      <c r="C178" s="108" t="s">
        <v>1416</v>
      </c>
      <c r="D178" s="109">
        <v>4.8303777641368164</v>
      </c>
      <c r="E178" s="109">
        <v>3.5425708335361454</v>
      </c>
      <c r="F178" s="109">
        <v>2.7989728892942431</v>
      </c>
      <c r="G178" s="109">
        <v>2.4296631313159245</v>
      </c>
      <c r="H178" s="109">
        <v>2.6463754621862594</v>
      </c>
      <c r="I178" s="109">
        <v>5.2852951693114791</v>
      </c>
      <c r="J178" s="109">
        <v>4.6128885652483067</v>
      </c>
      <c r="K178" s="110">
        <v>2.2709789295135798</v>
      </c>
    </row>
    <row r="179" spans="2:11" x14ac:dyDescent="0.3">
      <c r="B179" s="128"/>
      <c r="C179" s="112" t="s">
        <v>1483</v>
      </c>
      <c r="D179" s="1499">
        <v>5.6794539255749275</v>
      </c>
      <c r="E179" s="1499">
        <v>4.440591626074383</v>
      </c>
      <c r="F179" s="1499">
        <v>3.7081038865069318</v>
      </c>
      <c r="G179" s="1499">
        <v>3.3546878784121952</v>
      </c>
      <c r="H179" s="1499">
        <v>3.5509636326337333</v>
      </c>
      <c r="I179" s="1499">
        <v>6.0754561808482075</v>
      </c>
      <c r="J179" s="1499">
        <v>5.4493055507099708</v>
      </c>
      <c r="K179" s="113">
        <v>3.1953736445835044</v>
      </c>
    </row>
    <row r="180" spans="2:11" x14ac:dyDescent="0.3">
      <c r="B180" s="128"/>
      <c r="C180" s="112" t="s">
        <v>1489</v>
      </c>
      <c r="D180" s="1499">
        <v>5.6028689344561222</v>
      </c>
      <c r="E180" s="1499">
        <v>4.3640066349555777</v>
      </c>
      <c r="F180" s="1499">
        <v>3.6315188953881257</v>
      </c>
      <c r="G180" s="1499">
        <v>3.2781028872933891</v>
      </c>
      <c r="H180" s="1499">
        <v>3.4743786415149271</v>
      </c>
      <c r="I180" s="1499">
        <v>5.9988711897294014</v>
      </c>
      <c r="J180" s="1499">
        <v>5.3727205595911647</v>
      </c>
      <c r="K180" s="113">
        <v>3.1187886534646987</v>
      </c>
    </row>
    <row r="181" spans="2:11" x14ac:dyDescent="0.3">
      <c r="B181" s="122">
        <v>0</v>
      </c>
      <c r="C181" s="112" t="s">
        <v>1496</v>
      </c>
      <c r="D181" s="1499">
        <v>5.4879914477779135</v>
      </c>
      <c r="E181" s="1499">
        <v>4.2491291482773681</v>
      </c>
      <c r="F181" s="1499">
        <v>3.5166414087099169</v>
      </c>
      <c r="G181" s="1499">
        <v>3.1632254006151803</v>
      </c>
      <c r="H181" s="1499">
        <v>3.3595011548367184</v>
      </c>
      <c r="I181" s="1499">
        <v>5.8839937030511926</v>
      </c>
      <c r="J181" s="1499">
        <v>5.2578430729129559</v>
      </c>
      <c r="K181" s="113">
        <v>3.0039111667864895</v>
      </c>
    </row>
    <row r="182" spans="2:11" x14ac:dyDescent="0.3">
      <c r="B182" s="123"/>
      <c r="C182" s="112" t="s">
        <v>1500</v>
      </c>
      <c r="D182" s="1499">
        <v>5.3731139610997039</v>
      </c>
      <c r="E182" s="1499">
        <v>4.1342516615991594</v>
      </c>
      <c r="F182" s="1499">
        <v>3.4017639220317082</v>
      </c>
      <c r="G182" s="1499">
        <v>3.0483479139369711</v>
      </c>
      <c r="H182" s="1499">
        <v>3.2446236681585092</v>
      </c>
      <c r="I182" s="1499">
        <v>5.769116216372983</v>
      </c>
      <c r="J182" s="1499">
        <v>5.1429655862347472</v>
      </c>
      <c r="K182" s="113">
        <v>2.8890336801082808</v>
      </c>
    </row>
    <row r="183" spans="2:11" x14ac:dyDescent="0.3">
      <c r="B183" s="123"/>
      <c r="C183" s="112" t="s">
        <v>1504</v>
      </c>
      <c r="D183" s="1499">
        <v>5.5090001058786102</v>
      </c>
      <c r="E183" s="1499">
        <v>4.2612565614887483</v>
      </c>
      <c r="F183" s="1499">
        <v>3.5322581743452974</v>
      </c>
      <c r="G183" s="1499">
        <v>3.176999848314741</v>
      </c>
      <c r="H183" s="1499">
        <v>3.3772292685180938</v>
      </c>
      <c r="I183" s="1499">
        <v>5.9028160376436567</v>
      </c>
      <c r="J183" s="1499">
        <v>5.2732367231924497</v>
      </c>
      <c r="K183" s="113">
        <v>3.0165189496219611</v>
      </c>
    </row>
    <row r="184" spans="2:11" x14ac:dyDescent="0.3">
      <c r="B184" s="123"/>
      <c r="C184" s="112" t="s">
        <v>1508</v>
      </c>
      <c r="D184" s="1499">
        <v>5.4446165105486042</v>
      </c>
      <c r="E184" s="1499">
        <v>4.1968729661587432</v>
      </c>
      <c r="F184" s="1499">
        <v>3.4678745790152914</v>
      </c>
      <c r="G184" s="1499">
        <v>3.112616252984735</v>
      </c>
      <c r="H184" s="1499">
        <v>3.3128456731880878</v>
      </c>
      <c r="I184" s="1499">
        <v>5.8384324423136507</v>
      </c>
      <c r="J184" s="1499">
        <v>5.2088531278624437</v>
      </c>
      <c r="K184" s="113">
        <v>2.9521353542919551</v>
      </c>
    </row>
    <row r="185" spans="2:11" x14ac:dyDescent="0.3">
      <c r="B185" s="123"/>
      <c r="C185" s="112" t="s">
        <v>1513</v>
      </c>
      <c r="D185" s="1499">
        <v>5.3480411175535947</v>
      </c>
      <c r="E185" s="1499">
        <v>4.1002975731637337</v>
      </c>
      <c r="F185" s="1499">
        <v>3.3712991860202823</v>
      </c>
      <c r="G185" s="1499">
        <v>3.0160408599897259</v>
      </c>
      <c r="H185" s="1499">
        <v>3.2162702801930787</v>
      </c>
      <c r="I185" s="1499">
        <v>5.741857049318642</v>
      </c>
      <c r="J185" s="1499">
        <v>5.1122777348674351</v>
      </c>
      <c r="K185" s="113">
        <v>2.855559961296946</v>
      </c>
    </row>
    <row r="186" spans="2:11" x14ac:dyDescent="0.3">
      <c r="B186" s="123"/>
      <c r="C186" s="112" t="s">
        <v>1517</v>
      </c>
      <c r="D186" s="1499">
        <v>5.2514657245585861</v>
      </c>
      <c r="E186" s="1499">
        <v>4.0037221801687251</v>
      </c>
      <c r="F186" s="1499">
        <v>3.2747237930252737</v>
      </c>
      <c r="G186" s="1499">
        <v>2.9194654669947173</v>
      </c>
      <c r="H186" s="1499">
        <v>3.1196948871980701</v>
      </c>
      <c r="I186" s="1499">
        <v>5.6452816563236334</v>
      </c>
      <c r="J186" s="1499">
        <v>5.0157023418724265</v>
      </c>
      <c r="K186" s="113">
        <v>2.7589845683019369</v>
      </c>
    </row>
    <row r="187" spans="2:11" ht="14.5" thickBot="1" x14ac:dyDescent="0.35">
      <c r="B187" s="124"/>
      <c r="C187" s="116" t="s">
        <v>1519</v>
      </c>
      <c r="D187" s="117">
        <v>5.6794539255749275</v>
      </c>
      <c r="E187" s="117">
        <v>4.440591626074383</v>
      </c>
      <c r="F187" s="117">
        <v>3.7081038865069318</v>
      </c>
      <c r="G187" s="117">
        <v>3.3546878784121952</v>
      </c>
      <c r="H187" s="117">
        <v>3.5509636326337333</v>
      </c>
      <c r="I187" s="117">
        <v>6.0754561808482075</v>
      </c>
      <c r="J187" s="117">
        <v>5.4493055507099708</v>
      </c>
      <c r="K187" s="118">
        <v>3.1953736445835044</v>
      </c>
    </row>
    <row r="188" spans="2:11" x14ac:dyDescent="0.3">
      <c r="B188" s="120" t="s">
        <v>1993</v>
      </c>
      <c r="C188" s="1234" t="s">
        <v>1416</v>
      </c>
      <c r="D188" s="109">
        <v>3.5184542168600244</v>
      </c>
      <c r="E188" s="109">
        <v>2.1766807869656657</v>
      </c>
      <c r="F188" s="109">
        <v>1.592459497345611</v>
      </c>
      <c r="G188" s="109">
        <v>1.2008458221510021</v>
      </c>
      <c r="H188" s="109">
        <v>1.4192412194445729</v>
      </c>
      <c r="I188" s="109">
        <v>3.8362642935450912</v>
      </c>
      <c r="J188" s="109">
        <v>3.1874951841694497</v>
      </c>
      <c r="K188" s="110">
        <v>1.0807230743627387</v>
      </c>
    </row>
    <row r="189" spans="2:11" x14ac:dyDescent="0.3">
      <c r="B189" s="121"/>
      <c r="C189" s="1500" t="s">
        <v>1483</v>
      </c>
      <c r="D189" s="1499">
        <v>4.4035559185254911</v>
      </c>
      <c r="E189" s="1499">
        <v>3.1325482743833093</v>
      </c>
      <c r="F189" s="1499">
        <v>2.4766275566538107</v>
      </c>
      <c r="G189" s="1499">
        <v>2.1144383958657751</v>
      </c>
      <c r="H189" s="1499">
        <v>2.3104787817571792</v>
      </c>
      <c r="I189" s="1499">
        <v>4.7340099374254079</v>
      </c>
      <c r="J189" s="1499">
        <v>4.1189638120312519</v>
      </c>
      <c r="K189" s="113">
        <v>1.9766697137820108</v>
      </c>
    </row>
    <row r="190" spans="2:11" x14ac:dyDescent="0.3">
      <c r="B190" s="128"/>
      <c r="C190" s="1500" t="s">
        <v>1489</v>
      </c>
      <c r="D190" s="1499">
        <v>4.3269709274066859</v>
      </c>
      <c r="E190" s="1499">
        <v>3.0559632832645036</v>
      </c>
      <c r="F190" s="1499">
        <v>2.4000425655350051</v>
      </c>
      <c r="G190" s="1499">
        <v>2.0378534047469694</v>
      </c>
      <c r="H190" s="1499">
        <v>2.2338937906383731</v>
      </c>
      <c r="I190" s="1499">
        <v>4.6574249463066026</v>
      </c>
      <c r="J190" s="1499">
        <v>4.0423788209124458</v>
      </c>
      <c r="K190" s="113">
        <v>1.9000847226632049</v>
      </c>
    </row>
    <row r="191" spans="2:11" x14ac:dyDescent="0.3">
      <c r="B191" s="122">
        <v>0</v>
      </c>
      <c r="C191" s="1500" t="s">
        <v>1496</v>
      </c>
      <c r="D191" s="1499">
        <v>4.2120934407284762</v>
      </c>
      <c r="E191" s="1499">
        <v>2.9410857965862944</v>
      </c>
      <c r="F191" s="1499">
        <v>2.2851650788567959</v>
      </c>
      <c r="G191" s="1499">
        <v>1.9229759180687604</v>
      </c>
      <c r="H191" s="1499">
        <v>2.1190163039601644</v>
      </c>
      <c r="I191" s="1499">
        <v>4.5425474596283939</v>
      </c>
      <c r="J191" s="1499">
        <v>3.9275013342342371</v>
      </c>
      <c r="K191" s="113">
        <v>1.785207235984996</v>
      </c>
    </row>
    <row r="192" spans="2:11" x14ac:dyDescent="0.3">
      <c r="B192" s="123"/>
      <c r="C192" s="1500" t="s">
        <v>1500</v>
      </c>
      <c r="D192" s="1499">
        <v>4.0972159540502675</v>
      </c>
      <c r="E192" s="1499">
        <v>2.8262083099080857</v>
      </c>
      <c r="F192" s="1499">
        <v>2.1702875921785871</v>
      </c>
      <c r="G192" s="1499">
        <v>1.8080984313905515</v>
      </c>
      <c r="H192" s="1499">
        <v>2.0041388172819556</v>
      </c>
      <c r="I192" s="1499">
        <v>4.4276699729501852</v>
      </c>
      <c r="J192" s="1499">
        <v>3.8126238475560279</v>
      </c>
      <c r="K192" s="113">
        <v>1.6703297493067872</v>
      </c>
    </row>
    <row r="193" spans="2:11" x14ac:dyDescent="0.3">
      <c r="B193" s="123"/>
      <c r="C193" s="1500" t="s">
        <v>1504</v>
      </c>
      <c r="D193" s="1499">
        <v>4.2322627531739156</v>
      </c>
      <c r="E193" s="1499">
        <v>2.9479165762637733</v>
      </c>
      <c r="F193" s="1499">
        <v>2.2994635260318796</v>
      </c>
      <c r="G193" s="1499">
        <v>1.9374758958783154</v>
      </c>
      <c r="H193" s="1499">
        <v>2.1376730590438209</v>
      </c>
      <c r="I193" s="1499">
        <v>4.5528758900676127</v>
      </c>
      <c r="J193" s="1499">
        <v>3.9369713423298247</v>
      </c>
      <c r="K193" s="113">
        <v>1.8001760808837401</v>
      </c>
    </row>
    <row r="194" spans="2:11" x14ac:dyDescent="0.3">
      <c r="B194" s="123"/>
      <c r="C194" s="1500" t="s">
        <v>1508</v>
      </c>
      <c r="D194" s="1499">
        <v>4.1678791578439096</v>
      </c>
      <c r="E194" s="1499">
        <v>2.8835329809337673</v>
      </c>
      <c r="F194" s="1499">
        <v>2.2350799307018741</v>
      </c>
      <c r="G194" s="1499">
        <v>1.8730923005483096</v>
      </c>
      <c r="H194" s="1499">
        <v>2.0732894637138153</v>
      </c>
      <c r="I194" s="1499">
        <v>4.4884922947376067</v>
      </c>
      <c r="J194" s="1499">
        <v>3.8725877469998187</v>
      </c>
      <c r="K194" s="113">
        <v>1.7357924855537341</v>
      </c>
    </row>
    <row r="195" spans="2:11" x14ac:dyDescent="0.3">
      <c r="B195" s="123"/>
      <c r="C195" s="1500" t="s">
        <v>1513</v>
      </c>
      <c r="D195" s="1499">
        <v>4.0713037648489001</v>
      </c>
      <c r="E195" s="1499">
        <v>2.7869575879387587</v>
      </c>
      <c r="F195" s="1499">
        <v>2.138504537706865</v>
      </c>
      <c r="G195" s="1499">
        <v>1.7765169075533005</v>
      </c>
      <c r="H195" s="1499">
        <v>1.9767140707188062</v>
      </c>
      <c r="I195" s="1499">
        <v>4.3919169017425981</v>
      </c>
      <c r="J195" s="1499">
        <v>3.7760123540048096</v>
      </c>
      <c r="K195" s="113">
        <v>1.6392170925587253</v>
      </c>
    </row>
    <row r="196" spans="2:11" x14ac:dyDescent="0.3">
      <c r="B196" s="123"/>
      <c r="C196" s="1500" t="s">
        <v>1517</v>
      </c>
      <c r="D196" s="1499">
        <v>3.9747283718538915</v>
      </c>
      <c r="E196" s="1499">
        <v>2.6903821949437496</v>
      </c>
      <c r="F196" s="1499">
        <v>2.0419291447118559</v>
      </c>
      <c r="G196" s="1499">
        <v>1.6799415145582917</v>
      </c>
      <c r="H196" s="1499">
        <v>1.8801386777237972</v>
      </c>
      <c r="I196" s="1499">
        <v>4.2953415087475895</v>
      </c>
      <c r="J196" s="1499">
        <v>3.6794369610098006</v>
      </c>
      <c r="K196" s="113">
        <v>1.5426416995637164</v>
      </c>
    </row>
    <row r="197" spans="2:11" ht="14.5" thickBot="1" x14ac:dyDescent="0.35">
      <c r="B197" s="124"/>
      <c r="C197" s="125" t="s">
        <v>1519</v>
      </c>
      <c r="D197" s="117">
        <v>4.4035559185254911</v>
      </c>
      <c r="E197" s="117">
        <v>3.1325482743833093</v>
      </c>
      <c r="F197" s="117">
        <v>2.4766275566538107</v>
      </c>
      <c r="G197" s="117">
        <v>2.1144383958657751</v>
      </c>
      <c r="H197" s="117">
        <v>2.3104787817571792</v>
      </c>
      <c r="I197" s="117">
        <v>4.7340099374254079</v>
      </c>
      <c r="J197" s="117">
        <v>4.1189638120312519</v>
      </c>
      <c r="K197" s="118">
        <v>1.9766697137820108</v>
      </c>
    </row>
    <row r="198" spans="2:11" x14ac:dyDescent="0.3">
      <c r="B198" s="119" t="s">
        <v>1994</v>
      </c>
      <c r="C198" s="108" t="s">
        <v>1416</v>
      </c>
      <c r="D198" s="109">
        <v>3.9955404587232715</v>
      </c>
      <c r="E198" s="109">
        <v>2.684499393052207</v>
      </c>
      <c r="F198" s="109">
        <v>2.0066856078091173</v>
      </c>
      <c r="G198" s="109">
        <v>1.6262590152450989</v>
      </c>
      <c r="H198" s="109">
        <v>1.8509212455736581</v>
      </c>
      <c r="I198" s="109">
        <v>4.4032339820339432</v>
      </c>
      <c r="J198" s="109">
        <v>3.7358195922093547</v>
      </c>
      <c r="K198" s="110">
        <v>1.4781152977528285</v>
      </c>
    </row>
    <row r="199" spans="2:11" x14ac:dyDescent="0.3">
      <c r="B199" s="111"/>
      <c r="C199" s="112" t="s">
        <v>1483</v>
      </c>
      <c r="D199" s="1499">
        <v>4.8815986777737264</v>
      </c>
      <c r="E199" s="1499">
        <v>3.633692516568078</v>
      </c>
      <c r="F199" s="1499">
        <v>2.9194754671984708</v>
      </c>
      <c r="G199" s="1499">
        <v>2.56940121915826</v>
      </c>
      <c r="H199" s="1499">
        <v>2.7579152587074991</v>
      </c>
      <c r="I199" s="1499">
        <v>5.2647073208514401</v>
      </c>
      <c r="J199" s="1499">
        <v>4.6400729481470337</v>
      </c>
      <c r="K199" s="113">
        <v>2.4150609924867736</v>
      </c>
    </row>
    <row r="200" spans="2:11" x14ac:dyDescent="0.3">
      <c r="B200" s="111"/>
      <c r="C200" s="112" t="s">
        <v>1489</v>
      </c>
      <c r="D200" s="1499">
        <v>4.8050136866549202</v>
      </c>
      <c r="E200" s="1499">
        <v>3.5571075254492719</v>
      </c>
      <c r="F200" s="1499">
        <v>2.8428904760796647</v>
      </c>
      <c r="G200" s="1499">
        <v>2.4928162280394539</v>
      </c>
      <c r="H200" s="1499">
        <v>2.6813302675886934</v>
      </c>
      <c r="I200" s="1499">
        <v>5.188122329732634</v>
      </c>
      <c r="J200" s="1499">
        <v>4.5634879570282276</v>
      </c>
      <c r="K200" s="113">
        <v>2.338476001367968</v>
      </c>
    </row>
    <row r="201" spans="2:11" x14ac:dyDescent="0.3">
      <c r="B201" s="114">
        <v>0</v>
      </c>
      <c r="C201" s="112" t="s">
        <v>1496</v>
      </c>
      <c r="D201" s="1499">
        <v>4.6901361999767115</v>
      </c>
      <c r="E201" s="1499">
        <v>3.4422300387710631</v>
      </c>
      <c r="F201" s="1499">
        <v>2.728012989401456</v>
      </c>
      <c r="G201" s="1499">
        <v>2.3779387413612452</v>
      </c>
      <c r="H201" s="1499">
        <v>2.5664527809104842</v>
      </c>
      <c r="I201" s="1499">
        <v>5.0732448430544261</v>
      </c>
      <c r="J201" s="1499">
        <v>4.4486104703500189</v>
      </c>
      <c r="K201" s="113">
        <v>2.2235985146897592</v>
      </c>
    </row>
    <row r="202" spans="2:11" x14ac:dyDescent="0.3">
      <c r="B202" s="115"/>
      <c r="C202" s="112" t="s">
        <v>1500</v>
      </c>
      <c r="D202" s="1499">
        <v>4.5752587132985028</v>
      </c>
      <c r="E202" s="1499">
        <v>3.3273525520928544</v>
      </c>
      <c r="F202" s="1499">
        <v>2.6131355027232468</v>
      </c>
      <c r="G202" s="1499">
        <v>2.2630612546830364</v>
      </c>
      <c r="H202" s="1499">
        <v>2.4515752942322755</v>
      </c>
      <c r="I202" s="1499">
        <v>4.9583673563762165</v>
      </c>
      <c r="J202" s="1499">
        <v>4.3337329836718101</v>
      </c>
      <c r="K202" s="113">
        <v>2.10872102801155</v>
      </c>
    </row>
    <row r="203" spans="2:11" x14ac:dyDescent="0.3">
      <c r="B203" s="115"/>
      <c r="C203" s="112" t="s">
        <v>1504</v>
      </c>
      <c r="D203" s="1499">
        <v>4.7091035113772728</v>
      </c>
      <c r="E203" s="1499">
        <v>3.4520905050013018</v>
      </c>
      <c r="F203" s="1499">
        <v>2.7452268692687372</v>
      </c>
      <c r="G203" s="1499">
        <v>2.3860195296500946</v>
      </c>
      <c r="H203" s="1499">
        <v>2.5832871625899165</v>
      </c>
      <c r="I203" s="1499">
        <v>5.0847822803879774</v>
      </c>
      <c r="J203" s="1499">
        <v>4.4588071733561812</v>
      </c>
      <c r="K203" s="113">
        <v>2.2296309820864542</v>
      </c>
    </row>
    <row r="204" spans="2:11" x14ac:dyDescent="0.3">
      <c r="B204" s="115"/>
      <c r="C204" s="112" t="s">
        <v>1508</v>
      </c>
      <c r="D204" s="1499">
        <v>4.6447199160472668</v>
      </c>
      <c r="E204" s="1499">
        <v>3.3877069096712957</v>
      </c>
      <c r="F204" s="1499">
        <v>2.6808432739387311</v>
      </c>
      <c r="G204" s="1499">
        <v>2.3216359343200885</v>
      </c>
      <c r="H204" s="1499">
        <v>2.5189035672599105</v>
      </c>
      <c r="I204" s="1499">
        <v>5.0203986850579714</v>
      </c>
      <c r="J204" s="1499">
        <v>4.3944235780261751</v>
      </c>
      <c r="K204" s="113">
        <v>2.1652473867564481</v>
      </c>
    </row>
    <row r="205" spans="2:11" x14ac:dyDescent="0.3">
      <c r="B205" s="115"/>
      <c r="C205" s="112" t="s">
        <v>1513</v>
      </c>
      <c r="D205" s="1499">
        <v>4.5481445230522581</v>
      </c>
      <c r="E205" s="1499">
        <v>3.2911315166762867</v>
      </c>
      <c r="F205" s="1499">
        <v>2.5842678809437225</v>
      </c>
      <c r="G205" s="1499">
        <v>2.2250605413250795</v>
      </c>
      <c r="H205" s="1499">
        <v>2.4223281742649019</v>
      </c>
      <c r="I205" s="1499">
        <v>4.9238232920629628</v>
      </c>
      <c r="J205" s="1499">
        <v>4.2978481850311665</v>
      </c>
      <c r="K205" s="113">
        <v>2.0686719937614391</v>
      </c>
    </row>
    <row r="206" spans="2:11" x14ac:dyDescent="0.3">
      <c r="B206" s="115"/>
      <c r="C206" s="112" t="s">
        <v>1517</v>
      </c>
      <c r="D206" s="1499">
        <v>4.4515691300572486</v>
      </c>
      <c r="E206" s="1499">
        <v>3.1945561236812776</v>
      </c>
      <c r="F206" s="1499">
        <v>2.4876924879487134</v>
      </c>
      <c r="G206" s="1499">
        <v>2.1284851483300709</v>
      </c>
      <c r="H206" s="1499">
        <v>2.3257527812698928</v>
      </c>
      <c r="I206" s="1499">
        <v>4.8272478990679542</v>
      </c>
      <c r="J206" s="1499">
        <v>4.201272792036157</v>
      </c>
      <c r="K206" s="113">
        <v>1.9720966007664302</v>
      </c>
    </row>
    <row r="207" spans="2:11" ht="14.5" thickBot="1" x14ac:dyDescent="0.35">
      <c r="B207" s="1233"/>
      <c r="C207" s="116" t="s">
        <v>1519</v>
      </c>
      <c r="D207" s="117">
        <v>4.8815986777737264</v>
      </c>
      <c r="E207" s="117">
        <v>3.633692516568078</v>
      </c>
      <c r="F207" s="117">
        <v>2.9194754671984708</v>
      </c>
      <c r="G207" s="117">
        <v>2.56940121915826</v>
      </c>
      <c r="H207" s="117">
        <v>2.7579152587074991</v>
      </c>
      <c r="I207" s="117">
        <v>5.2647073208514401</v>
      </c>
      <c r="J207" s="117">
        <v>4.6400729481470337</v>
      </c>
      <c r="K207" s="118">
        <v>2.4150609924867736</v>
      </c>
    </row>
    <row r="208" spans="2:11" x14ac:dyDescent="0.3">
      <c r="B208" s="120" t="s">
        <v>1519</v>
      </c>
      <c r="C208" s="108" t="s">
        <v>1416</v>
      </c>
      <c r="D208" s="129">
        <v>3.353660891329425</v>
      </c>
      <c r="E208" s="109">
        <v>1.990015703067751</v>
      </c>
      <c r="F208" s="109">
        <v>1.4553111721045415</v>
      </c>
      <c r="G208" s="109">
        <v>1.0767942908214017</v>
      </c>
      <c r="H208" s="109">
        <v>1.3042874460949492</v>
      </c>
      <c r="I208" s="109">
        <v>3.5904531722102662</v>
      </c>
      <c r="J208" s="109">
        <v>2.9608789085632314</v>
      </c>
      <c r="K208" s="110">
        <v>0.96024226031668969</v>
      </c>
    </row>
    <row r="209" spans="2:11" x14ac:dyDescent="0.3">
      <c r="B209" s="111"/>
      <c r="C209" s="112" t="s">
        <v>1483</v>
      </c>
      <c r="D209" s="130">
        <v>4.0188286818528027</v>
      </c>
      <c r="E209" s="1499">
        <v>2.7086373988880741</v>
      </c>
      <c r="F209" s="1499">
        <v>2.1153198167940479</v>
      </c>
      <c r="G209" s="1499">
        <v>1.7414762615758614</v>
      </c>
      <c r="H209" s="1499">
        <v>1.9587388561435788</v>
      </c>
      <c r="I209" s="1499">
        <v>4.2777176459765913</v>
      </c>
      <c r="J209" s="1499">
        <v>3.6719395370474723</v>
      </c>
      <c r="K209" s="113">
        <v>1.6072787119955823</v>
      </c>
    </row>
    <row r="210" spans="2:11" x14ac:dyDescent="0.3">
      <c r="B210" s="111"/>
      <c r="C210" s="112" t="s">
        <v>1489</v>
      </c>
      <c r="D210" s="130">
        <v>3.9422436907339971</v>
      </c>
      <c r="E210" s="1499">
        <v>2.632052407769268</v>
      </c>
      <c r="F210" s="1499">
        <v>2.0387348256752422</v>
      </c>
      <c r="G210" s="1499">
        <v>1.6648912704570555</v>
      </c>
      <c r="H210" s="1499">
        <v>1.8821538650247729</v>
      </c>
      <c r="I210" s="1499">
        <v>4.2011326548577852</v>
      </c>
      <c r="J210" s="1499">
        <v>3.5953545459286667</v>
      </c>
      <c r="K210" s="113">
        <v>1.5306937208767764</v>
      </c>
    </row>
    <row r="211" spans="2:11" x14ac:dyDescent="0.3">
      <c r="B211" s="114">
        <v>0</v>
      </c>
      <c r="C211" s="112" t="s">
        <v>1496</v>
      </c>
      <c r="D211" s="130">
        <v>3.8273662040557883</v>
      </c>
      <c r="E211" s="1499">
        <v>2.5171749210910592</v>
      </c>
      <c r="F211" s="1499">
        <v>1.9238573389970333</v>
      </c>
      <c r="G211" s="1499">
        <v>1.5500137837788466</v>
      </c>
      <c r="H211" s="1499">
        <v>1.7672763783465639</v>
      </c>
      <c r="I211" s="1499">
        <v>4.0862551681795765</v>
      </c>
      <c r="J211" s="1499">
        <v>3.4804770592504575</v>
      </c>
      <c r="K211" s="113">
        <v>1.4158162341985674</v>
      </c>
    </row>
    <row r="212" spans="2:11" x14ac:dyDescent="0.3">
      <c r="B212" s="115"/>
      <c r="C212" s="112" t="s">
        <v>1500</v>
      </c>
      <c r="D212" s="130">
        <v>3.7124887173775791</v>
      </c>
      <c r="E212" s="1499">
        <v>2.4022974344128505</v>
      </c>
      <c r="F212" s="1499">
        <v>1.8089798523188243</v>
      </c>
      <c r="G212" s="1499">
        <v>1.4351362971006378</v>
      </c>
      <c r="H212" s="1499">
        <v>1.6523988916683552</v>
      </c>
      <c r="I212" s="1499">
        <v>3.9713776815013677</v>
      </c>
      <c r="J212" s="1499">
        <v>3.3655995725722487</v>
      </c>
      <c r="K212" s="113">
        <v>1.3009387475203589</v>
      </c>
    </row>
    <row r="213" spans="2:11" x14ac:dyDescent="0.3">
      <c r="B213" s="115"/>
      <c r="C213" s="112" t="s">
        <v>1504</v>
      </c>
      <c r="D213" s="130">
        <v>3.884742885306788</v>
      </c>
      <c r="E213" s="1499">
        <v>2.5632356188805852</v>
      </c>
      <c r="F213" s="1499">
        <v>1.9843475752896147</v>
      </c>
      <c r="G213" s="1499">
        <v>1.5950164525547046</v>
      </c>
      <c r="H213" s="1499">
        <v>1.8234635518759488</v>
      </c>
      <c r="I213" s="1499">
        <v>4.133017440200824</v>
      </c>
      <c r="J213" s="1499">
        <v>3.5272773195461165</v>
      </c>
      <c r="K213" s="113">
        <v>1.475003168449881</v>
      </c>
    </row>
    <row r="214" spans="2:11" x14ac:dyDescent="0.3">
      <c r="B214" s="115"/>
      <c r="C214" s="112" t="s">
        <v>1508</v>
      </c>
      <c r="D214" s="130">
        <v>3.820359289976782</v>
      </c>
      <c r="E214" s="1499">
        <v>2.4988520235505791</v>
      </c>
      <c r="F214" s="1499">
        <v>1.9199639799596089</v>
      </c>
      <c r="G214" s="1499">
        <v>1.5306328572246988</v>
      </c>
      <c r="H214" s="1499">
        <v>1.759079956545943</v>
      </c>
      <c r="I214" s="1499">
        <v>4.0686338448708179</v>
      </c>
      <c r="J214" s="1499">
        <v>3.4628937242161104</v>
      </c>
      <c r="K214" s="113">
        <v>1.410619573119875</v>
      </c>
    </row>
    <row r="215" spans="2:11" x14ac:dyDescent="0.3">
      <c r="B215" s="115"/>
      <c r="C215" s="112" t="s">
        <v>1513</v>
      </c>
      <c r="D215" s="130">
        <v>3.7237838969817734</v>
      </c>
      <c r="E215" s="1499">
        <v>2.4022766305555701</v>
      </c>
      <c r="F215" s="1499">
        <v>1.8233885869645998</v>
      </c>
      <c r="G215" s="1499">
        <v>1.4340574642296897</v>
      </c>
      <c r="H215" s="1499">
        <v>1.6625045635509339</v>
      </c>
      <c r="I215" s="1499">
        <v>3.9720584518758089</v>
      </c>
      <c r="J215" s="1499">
        <v>3.3663183312211018</v>
      </c>
      <c r="K215" s="113">
        <v>1.3140441801248661</v>
      </c>
    </row>
    <row r="216" spans="2:11" x14ac:dyDescent="0.3">
      <c r="B216" s="115"/>
      <c r="C216" s="112" t="s">
        <v>1517</v>
      </c>
      <c r="D216" s="130">
        <v>3.6272085039867643</v>
      </c>
      <c r="E216" s="1499">
        <v>2.305701237560561</v>
      </c>
      <c r="F216" s="1499">
        <v>1.726813193969591</v>
      </c>
      <c r="G216" s="1499">
        <v>1.3374820712346809</v>
      </c>
      <c r="H216" s="1499">
        <v>1.5659291705559251</v>
      </c>
      <c r="I216" s="1499">
        <v>3.8754830588807998</v>
      </c>
      <c r="J216" s="1499">
        <v>3.2697429382260927</v>
      </c>
      <c r="K216" s="113">
        <v>1.2174687871298573</v>
      </c>
    </row>
    <row r="217" spans="2:11" ht="14.5" thickBot="1" x14ac:dyDescent="0.35">
      <c r="B217" s="1233"/>
      <c r="C217" s="116" t="s">
        <v>1519</v>
      </c>
      <c r="D217" s="131">
        <v>4.0188286818528027</v>
      </c>
      <c r="E217" s="117">
        <v>2.7086373988880741</v>
      </c>
      <c r="F217" s="117">
        <v>2.1153198167940479</v>
      </c>
      <c r="G217" s="117">
        <v>1.7414762615758614</v>
      </c>
      <c r="H217" s="117">
        <v>1.9587388561435788</v>
      </c>
      <c r="I217" s="117">
        <v>4.2777176459765913</v>
      </c>
      <c r="J217" s="117">
        <v>3.6719395370474723</v>
      </c>
      <c r="K217" s="118">
        <v>1.6072787119955823</v>
      </c>
    </row>
    <row r="221" spans="2:11" ht="14.5" thickBot="1" x14ac:dyDescent="0.35"/>
    <row r="222" spans="2:11" x14ac:dyDescent="0.3">
      <c r="C222" s="132" t="s">
        <v>1995</v>
      </c>
      <c r="D222" s="132"/>
      <c r="E222" s="132"/>
      <c r="F222" s="132"/>
    </row>
    <row r="223" spans="2:11" x14ac:dyDescent="0.3">
      <c r="C223" s="1504" t="s">
        <v>1996</v>
      </c>
      <c r="D223" s="1504" t="s">
        <v>1997</v>
      </c>
      <c r="E223" s="1504" t="s">
        <v>1998</v>
      </c>
      <c r="F223" s="1504" t="s">
        <v>1999</v>
      </c>
    </row>
    <row r="224" spans="2:11" x14ac:dyDescent="0.3">
      <c r="C224" s="1498">
        <v>1</v>
      </c>
      <c r="D224" s="1505">
        <v>341.03896643611819</v>
      </c>
      <c r="E224" s="1506">
        <v>6.2544512747007591E-2</v>
      </c>
      <c r="F224" s="1507">
        <v>2.5017805098803039</v>
      </c>
      <c r="H224" s="134" t="s">
        <v>2000</v>
      </c>
    </row>
    <row r="225" spans="2:11" x14ac:dyDescent="0.3">
      <c r="C225" s="1498">
        <v>1.5</v>
      </c>
      <c r="D225" s="1505">
        <v>287.92252677779413</v>
      </c>
      <c r="E225" s="1506">
        <v>5.2803274459775111E-2</v>
      </c>
      <c r="F225" s="1507">
        <v>2.1121309783910043</v>
      </c>
      <c r="H225" s="134" t="s">
        <v>2001</v>
      </c>
    </row>
    <row r="226" spans="2:11" x14ac:dyDescent="0.3">
      <c r="C226" s="1498">
        <v>2</v>
      </c>
      <c r="D226" s="1505">
        <v>250.23581308382501</v>
      </c>
      <c r="E226" s="1506">
        <v>4.589175590323856E-2</v>
      </c>
      <c r="F226" s="1507">
        <v>1.8356702361295423</v>
      </c>
    </row>
    <row r="227" spans="2:11" x14ac:dyDescent="0.3">
      <c r="C227" s="1498">
        <v>2.5</v>
      </c>
      <c r="D227" s="1505">
        <v>221.00372691535625</v>
      </c>
      <c r="E227" s="1506">
        <v>4.0530765617901504E-2</v>
      </c>
      <c r="F227" s="1507">
        <v>1.6212306247160604</v>
      </c>
    </row>
    <row r="228" spans="2:11" x14ac:dyDescent="0.3">
      <c r="B228" s="2"/>
      <c r="C228" s="1498">
        <v>3</v>
      </c>
      <c r="D228" s="1505">
        <v>197.11937342550092</v>
      </c>
      <c r="E228" s="1506">
        <v>3.6150517616006073E-2</v>
      </c>
      <c r="F228" s="1507">
        <v>1.4460207046402429</v>
      </c>
      <c r="I228" s="135"/>
      <c r="J228" s="135"/>
      <c r="K228" s="135"/>
    </row>
    <row r="229" spans="2:11" x14ac:dyDescent="0.3">
      <c r="B229" s="136"/>
      <c r="C229" s="1498">
        <v>3.5</v>
      </c>
      <c r="D229" s="1505">
        <v>176.92544028649968</v>
      </c>
      <c r="E229" s="1506">
        <v>3.244707069959317E-2</v>
      </c>
      <c r="F229" s="1507">
        <v>1.2978828279837269</v>
      </c>
      <c r="I229" s="135"/>
      <c r="J229" s="135"/>
      <c r="K229" s="135"/>
    </row>
    <row r="230" spans="2:11" x14ac:dyDescent="0.3">
      <c r="B230" s="136"/>
      <c r="C230" s="1498">
        <v>4</v>
      </c>
      <c r="D230" s="1505">
        <v>159.4326597315318</v>
      </c>
      <c r="E230" s="1506">
        <v>2.9238999059469518E-2</v>
      </c>
      <c r="F230" s="1507">
        <v>1.1695599623787807</v>
      </c>
      <c r="I230" s="135"/>
      <c r="J230" s="135"/>
      <c r="K230" s="135"/>
    </row>
    <row r="231" spans="2:11" x14ac:dyDescent="0.3">
      <c r="B231" s="137"/>
      <c r="C231" s="1498">
        <v>4.5</v>
      </c>
      <c r="D231" s="1505">
        <v>144.00293376717687</v>
      </c>
      <c r="E231" s="1506">
        <v>2.6409279328773586E-2</v>
      </c>
      <c r="F231" s="1507">
        <v>1.0563711731509433</v>
      </c>
      <c r="I231" s="135"/>
      <c r="J231" s="135"/>
      <c r="K231" s="135"/>
    </row>
    <row r="232" spans="2:11" x14ac:dyDescent="0.3">
      <c r="C232" s="1498">
        <v>5</v>
      </c>
      <c r="D232" s="1505">
        <v>130.20057356306307</v>
      </c>
      <c r="E232" s="1506">
        <v>2.3878008774132466E-2</v>
      </c>
      <c r="F232" s="1507">
        <v>0.95512035096529901</v>
      </c>
      <c r="I232" s="135"/>
      <c r="J232" s="135"/>
      <c r="K232" s="135"/>
    </row>
    <row r="233" spans="2:11" x14ac:dyDescent="0.3">
      <c r="C233" s="1498">
        <v>5.5</v>
      </c>
      <c r="D233" s="1505">
        <v>117.71482000951703</v>
      </c>
      <c r="E233" s="1506">
        <v>2.1588196027963379E-2</v>
      </c>
      <c r="F233" s="1507">
        <v>0.8635278411185352</v>
      </c>
      <c r="I233" s="135"/>
      <c r="J233" s="135"/>
      <c r="K233" s="135"/>
    </row>
    <row r="234" spans="2:11" x14ac:dyDescent="0.3">
      <c r="C234" s="1498">
        <v>6</v>
      </c>
      <c r="D234" s="1505">
        <v>106.31622007320775</v>
      </c>
      <c r="E234" s="1506">
        <v>1.9497760772237031E-2</v>
      </c>
      <c r="F234" s="1507">
        <v>0.77991043088948131</v>
      </c>
      <c r="I234" s="135"/>
      <c r="J234" s="135"/>
      <c r="K234" s="135"/>
    </row>
    <row r="235" spans="2:11" x14ac:dyDescent="0.3">
      <c r="C235" s="1498">
        <v>6.5</v>
      </c>
      <c r="D235" s="1505">
        <v>95.830524591129219</v>
      </c>
      <c r="E235" s="1506">
        <v>1.7574746749547794E-2</v>
      </c>
      <c r="F235" s="1507">
        <v>0.70298986998191171</v>
      </c>
      <c r="I235" s="135"/>
      <c r="J235" s="135"/>
      <c r="K235" s="135"/>
    </row>
    <row r="236" spans="2:11" x14ac:dyDescent="0.3">
      <c r="C236" s="1498">
        <v>7</v>
      </c>
      <c r="D236" s="1505">
        <v>86.122286934206471</v>
      </c>
      <c r="E236" s="1506">
        <v>1.5794313855824138E-2</v>
      </c>
      <c r="F236" s="1507">
        <v>0.6317725542329653</v>
      </c>
      <c r="I236" s="135"/>
      <c r="J236" s="135"/>
      <c r="K236" s="135"/>
    </row>
    <row r="237" spans="2:11" x14ac:dyDescent="0.3">
      <c r="C237" s="1498">
        <v>7.5</v>
      </c>
      <c r="D237" s="1505">
        <v>77.084133904739019</v>
      </c>
      <c r="E237" s="1506">
        <v>1.4136770486899985E-2</v>
      </c>
      <c r="F237" s="1507">
        <v>0.56547081947599942</v>
      </c>
      <c r="I237" s="135"/>
      <c r="J237" s="135"/>
      <c r="K237" s="135"/>
    </row>
    <row r="238" spans="2:11" x14ac:dyDescent="0.3">
      <c r="B238" s="2"/>
      <c r="C238" s="1498">
        <v>8</v>
      </c>
      <c r="D238" s="1505">
        <v>68.629506379238677</v>
      </c>
      <c r="E238" s="1506">
        <v>1.258624221570049E-2</v>
      </c>
      <c r="F238" s="1507">
        <v>0.50344968862801953</v>
      </c>
      <c r="I238" s="135"/>
      <c r="J238" s="135"/>
      <c r="K238" s="135"/>
    </row>
    <row r="239" spans="2:11" x14ac:dyDescent="0.3">
      <c r="B239" s="136"/>
      <c r="C239" s="1498">
        <v>8.5</v>
      </c>
      <c r="D239" s="1505">
        <v>60.687604592556809</v>
      </c>
      <c r="E239" s="1506">
        <v>1.1129744787493408E-2</v>
      </c>
      <c r="F239" s="1507">
        <v>0.44518979149973648</v>
      </c>
      <c r="I239" s="135"/>
      <c r="J239" s="135"/>
      <c r="K239" s="135"/>
    </row>
    <row r="240" spans="2:11" x14ac:dyDescent="0.3">
      <c r="B240" s="136"/>
      <c r="C240" s="1498">
        <v>9</v>
      </c>
      <c r="D240" s="1505">
        <v>53.199780414883683</v>
      </c>
      <c r="E240" s="1506">
        <v>9.7565224850045471E-3</v>
      </c>
      <c r="F240" s="1507">
        <v>0.39026089940018183</v>
      </c>
      <c r="I240" s="135"/>
      <c r="J240" s="135"/>
      <c r="K240" s="135"/>
    </row>
    <row r="241" spans="2:11" x14ac:dyDescent="0.3">
      <c r="B241" s="137"/>
      <c r="C241" s="1498">
        <v>9.5</v>
      </c>
      <c r="D241" s="1505">
        <v>46.116906355767995</v>
      </c>
      <c r="E241" s="1506">
        <v>8.4575656194441681E-3</v>
      </c>
      <c r="F241" s="1507">
        <v>0.33830262477776674</v>
      </c>
      <c r="I241" s="135"/>
      <c r="J241" s="135"/>
      <c r="K241" s="135"/>
    </row>
    <row r="242" spans="2:11" x14ac:dyDescent="0.3">
      <c r="C242" s="1498">
        <v>10</v>
      </c>
      <c r="D242" s="1505">
        <v>39.397420210769845</v>
      </c>
      <c r="E242" s="1506">
        <v>7.225251930363422E-3</v>
      </c>
      <c r="F242" s="1507">
        <v>0.28901007721453686</v>
      </c>
      <c r="I242" s="135"/>
      <c r="J242" s="135"/>
      <c r="K242" s="135"/>
    </row>
    <row r="243" spans="2:11" x14ac:dyDescent="0.3">
      <c r="I243" s="135"/>
      <c r="J243" s="135"/>
      <c r="K243" s="135"/>
    </row>
    <row r="244" spans="2:11" ht="14.5" thickBot="1" x14ac:dyDescent="0.35">
      <c r="I244" s="135"/>
      <c r="J244" s="135"/>
      <c r="K244" s="135"/>
    </row>
    <row r="245" spans="2:11" x14ac:dyDescent="0.3">
      <c r="C245" s="132" t="s">
        <v>2002</v>
      </c>
      <c r="D245" s="132"/>
      <c r="E245" s="132"/>
      <c r="F245" s="132"/>
      <c r="H245" s="134" t="s">
        <v>2003</v>
      </c>
      <c r="I245" s="135"/>
      <c r="J245" s="135"/>
      <c r="K245" s="135"/>
    </row>
    <row r="246" spans="2:11" x14ac:dyDescent="0.3">
      <c r="C246" s="1508" t="s">
        <v>1996</v>
      </c>
      <c r="D246" s="1508" t="s">
        <v>2004</v>
      </c>
      <c r="E246" s="1508" t="s">
        <v>2005</v>
      </c>
      <c r="F246" s="1508" t="s">
        <v>2006</v>
      </c>
      <c r="H246" s="134" t="s">
        <v>2007</v>
      </c>
      <c r="I246" s="135"/>
      <c r="J246" s="135"/>
      <c r="K246" s="135"/>
    </row>
    <row r="247" spans="2:11" x14ac:dyDescent="0.3">
      <c r="C247" s="1498" t="s">
        <v>376</v>
      </c>
      <c r="D247" s="1509">
        <v>404.97104520715669</v>
      </c>
      <c r="E247" s="1510">
        <v>7.4269274751254735E-2</v>
      </c>
      <c r="F247" s="1511">
        <v>2.9707709900501893</v>
      </c>
      <c r="I247" s="135"/>
      <c r="J247" s="135"/>
      <c r="K247" s="135"/>
    </row>
    <row r="248" spans="2:11" x14ac:dyDescent="0.3">
      <c r="B248" s="2"/>
      <c r="D248" s="135"/>
      <c r="E248" s="135"/>
      <c r="F248" s="135"/>
      <c r="G248" s="135"/>
      <c r="H248" s="135"/>
      <c r="I248" s="135"/>
      <c r="J248" s="135"/>
      <c r="K248" s="135"/>
    </row>
    <row r="249" spans="2:11" x14ac:dyDescent="0.3">
      <c r="B249" s="136"/>
      <c r="D249" s="135"/>
      <c r="E249" s="135"/>
      <c r="F249" s="135"/>
      <c r="G249" s="135"/>
      <c r="H249" s="135"/>
      <c r="I249" s="135"/>
      <c r="J249" s="135"/>
      <c r="K249" s="135"/>
    </row>
    <row r="250" spans="2:11" x14ac:dyDescent="0.3">
      <c r="B250" s="136"/>
      <c r="D250" s="135"/>
      <c r="E250" s="135"/>
      <c r="F250" s="135"/>
      <c r="G250" s="135"/>
      <c r="H250" s="135"/>
      <c r="I250" s="135"/>
      <c r="J250" s="135"/>
      <c r="K250" s="135"/>
    </row>
    <row r="251" spans="2:11" x14ac:dyDescent="0.3">
      <c r="B251" s="137"/>
      <c r="D251" s="135"/>
      <c r="E251" s="135"/>
      <c r="F251" s="135"/>
      <c r="G251" s="135"/>
      <c r="H251" s="135"/>
      <c r="I251" s="135"/>
      <c r="J251" s="135"/>
      <c r="K251" s="135"/>
    </row>
    <row r="252" spans="2:11" x14ac:dyDescent="0.3">
      <c r="D252" s="135"/>
      <c r="E252" s="135"/>
      <c r="F252" s="135"/>
      <c r="G252" s="135"/>
      <c r="H252" s="135"/>
      <c r="I252" s="135"/>
      <c r="J252" s="135"/>
      <c r="K252" s="135"/>
    </row>
    <row r="253" spans="2:11" x14ac:dyDescent="0.3">
      <c r="D253" s="135"/>
      <c r="E253" s="135"/>
      <c r="F253" s="135"/>
      <c r="G253" s="135"/>
      <c r="H253" s="135"/>
      <c r="I253" s="135"/>
      <c r="J253" s="135"/>
      <c r="K253" s="135"/>
    </row>
    <row r="254" spans="2:11" x14ac:dyDescent="0.3">
      <c r="D254" s="135"/>
      <c r="E254" s="135"/>
      <c r="F254" s="135"/>
      <c r="G254" s="135"/>
      <c r="H254" s="135"/>
      <c r="I254" s="135"/>
      <c r="J254" s="135"/>
      <c r="K254" s="135"/>
    </row>
    <row r="255" spans="2:11" x14ac:dyDescent="0.3">
      <c r="D255" s="135"/>
      <c r="E255" s="135"/>
      <c r="F255" s="135"/>
      <c r="G255" s="135"/>
      <c r="H255" s="135"/>
      <c r="I255" s="135"/>
      <c r="J255" s="135"/>
      <c r="K255" s="135"/>
    </row>
    <row r="256" spans="2:11" x14ac:dyDescent="0.3">
      <c r="D256" s="135"/>
      <c r="E256" s="135"/>
      <c r="F256" s="135"/>
      <c r="G256" s="135"/>
      <c r="H256" s="135"/>
      <c r="I256" s="135"/>
      <c r="J256" s="135"/>
      <c r="K256" s="135"/>
    </row>
    <row r="257" spans="4:11" x14ac:dyDescent="0.3">
      <c r="D257" s="135"/>
      <c r="E257" s="135"/>
      <c r="F257" s="135"/>
      <c r="G257" s="135"/>
      <c r="H257" s="135"/>
      <c r="I257" s="135"/>
      <c r="J257" s="135"/>
      <c r="K257" s="135"/>
    </row>
  </sheetData>
  <sheetProtection algorithmName="SHA-512" hashValue="vQ9U3mX1uzhkX5be1MfHm0JR9wIl04WvHEa08mRyfaGX0UdlmFIbjN4s+TxnK5dYblMiN8yxE0wDFtLFj3Bylg==" saltValue="er9ITp/FOfJeBiCj7sHg2g==" spinCount="100000" sheet="1" objects="1" scenarios="1" autoFilter="0"/>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8"/>
  <dimension ref="B1:K257"/>
  <sheetViews>
    <sheetView workbookViewId="0">
      <selection activeCell="G9" sqref="G9"/>
    </sheetView>
  </sheetViews>
  <sheetFormatPr defaultColWidth="7.58203125" defaultRowHeight="14" x14ac:dyDescent="0.3"/>
  <cols>
    <col min="3" max="3" width="26.83203125" customWidth="1"/>
  </cols>
  <sheetData>
    <row r="1" spans="2:11" ht="14.5" thickBot="1" x14ac:dyDescent="0.35"/>
    <row r="2" spans="2:11" ht="25.5" thickBot="1" x14ac:dyDescent="0.55000000000000004">
      <c r="B2" s="88" t="s">
        <v>1960</v>
      </c>
      <c r="C2" s="89"/>
      <c r="D2" s="90">
        <v>5</v>
      </c>
      <c r="E2" s="91" t="s">
        <v>1961</v>
      </c>
      <c r="F2" s="92"/>
      <c r="G2" s="92"/>
      <c r="H2" s="92"/>
      <c r="I2" s="93"/>
      <c r="J2" s="89" t="s">
        <v>176</v>
      </c>
      <c r="K2" s="94" t="s">
        <v>214</v>
      </c>
    </row>
    <row r="3" spans="2:11" ht="14.5" thickBot="1" x14ac:dyDescent="0.35">
      <c r="B3" s="95" t="s">
        <v>1962</v>
      </c>
      <c r="C3" s="96" t="s">
        <v>1963</v>
      </c>
      <c r="D3" s="95" t="s">
        <v>1964</v>
      </c>
      <c r="E3" s="97" t="s">
        <v>1965</v>
      </c>
      <c r="F3" s="97" t="s">
        <v>1966</v>
      </c>
      <c r="G3" s="97" t="s">
        <v>1967</v>
      </c>
      <c r="H3" s="97" t="s">
        <v>1968</v>
      </c>
      <c r="I3" s="97" t="s">
        <v>1969</v>
      </c>
      <c r="J3" s="97" t="s">
        <v>1970</v>
      </c>
      <c r="K3" s="98" t="s">
        <v>1971</v>
      </c>
    </row>
    <row r="4" spans="2:11" ht="18.5" thickBot="1" x14ac:dyDescent="0.45">
      <c r="B4" s="99" t="s">
        <v>34</v>
      </c>
      <c r="C4" s="100" t="s">
        <v>34</v>
      </c>
      <c r="D4" s="101" t="s">
        <v>34</v>
      </c>
      <c r="E4" s="944"/>
      <c r="F4" s="944"/>
      <c r="G4" s="944"/>
      <c r="H4" s="944"/>
      <c r="I4" s="944" t="s">
        <v>34</v>
      </c>
      <c r="J4" s="944" t="s">
        <v>34</v>
      </c>
      <c r="K4" s="102"/>
    </row>
    <row r="5" spans="2:11" ht="90.5" thickBot="1" x14ac:dyDescent="0.45">
      <c r="B5" s="103" t="s">
        <v>1972</v>
      </c>
      <c r="C5" s="104" t="s">
        <v>1973</v>
      </c>
      <c r="D5" s="105" t="s">
        <v>1974</v>
      </c>
      <c r="E5" s="105" t="s">
        <v>1525</v>
      </c>
      <c r="F5" s="105" t="s">
        <v>1527</v>
      </c>
      <c r="G5" s="105" t="s">
        <v>1975</v>
      </c>
      <c r="H5" s="105" t="s">
        <v>1976</v>
      </c>
      <c r="I5" s="105" t="s">
        <v>1445</v>
      </c>
      <c r="J5" s="105" t="s">
        <v>1538</v>
      </c>
      <c r="K5" s="106" t="s">
        <v>1541</v>
      </c>
    </row>
    <row r="6" spans="2:11" x14ac:dyDescent="0.3">
      <c r="B6" s="107" t="s">
        <v>1977</v>
      </c>
      <c r="C6" s="108" t="s">
        <v>1416</v>
      </c>
      <c r="D6" s="109">
        <v>4.0404634381643181</v>
      </c>
      <c r="E6" s="109">
        <v>2.9273529531680986</v>
      </c>
      <c r="F6" s="109">
        <v>2.1379567038505085</v>
      </c>
      <c r="G6" s="109">
        <v>1.8122554167393241</v>
      </c>
      <c r="H6" s="109">
        <v>1.9632217044119777</v>
      </c>
      <c r="I6" s="109">
        <v>3.8597332887538904</v>
      </c>
      <c r="J6" s="109">
        <v>3.3553146422714888</v>
      </c>
      <c r="K6" s="110">
        <v>1.5750591783878107</v>
      </c>
    </row>
    <row r="7" spans="2:11" x14ac:dyDescent="0.3">
      <c r="B7" s="111" t="s">
        <v>1978</v>
      </c>
      <c r="C7" s="112" t="s">
        <v>1483</v>
      </c>
      <c r="D7" s="1499">
        <v>4.3726087006627044</v>
      </c>
      <c r="E7" s="1499">
        <v>3.287053954931979</v>
      </c>
      <c r="F7" s="1499">
        <v>2.4850499363159839</v>
      </c>
      <c r="G7" s="1499">
        <v>2.1654421874708976</v>
      </c>
      <c r="H7" s="1499">
        <v>2.3015657436200683</v>
      </c>
      <c r="I7" s="1499">
        <v>4.2116109201051177</v>
      </c>
      <c r="J7" s="1499">
        <v>3.7106545660104899</v>
      </c>
      <c r="K7" s="113">
        <v>1.9395316926707451</v>
      </c>
    </row>
    <row r="8" spans="2:11" x14ac:dyDescent="0.3">
      <c r="B8" s="111" t="s">
        <v>1979</v>
      </c>
      <c r="C8" s="112" t="s">
        <v>1489</v>
      </c>
      <c r="D8" s="1499">
        <v>4.3335194268975945</v>
      </c>
      <c r="E8" s="1499">
        <v>3.2479646811668692</v>
      </c>
      <c r="F8" s="1499">
        <v>2.4459606625508745</v>
      </c>
      <c r="G8" s="1499">
        <v>2.1263529137057877</v>
      </c>
      <c r="H8" s="1499">
        <v>2.2624764698549589</v>
      </c>
      <c r="I8" s="1499">
        <v>4.1725216463400079</v>
      </c>
      <c r="J8" s="1499">
        <v>3.6715652922453801</v>
      </c>
      <c r="K8" s="113">
        <v>1.9004424189056353</v>
      </c>
    </row>
    <row r="9" spans="2:11" x14ac:dyDescent="0.3">
      <c r="B9" s="114">
        <v>0</v>
      </c>
      <c r="C9" s="112" t="s">
        <v>1496</v>
      </c>
      <c r="D9" s="1499">
        <v>4.2748855162499302</v>
      </c>
      <c r="E9" s="1499">
        <v>3.1893307705192044</v>
      </c>
      <c r="F9" s="1499">
        <v>2.3873267519032098</v>
      </c>
      <c r="G9" s="1499">
        <v>2.067719003058123</v>
      </c>
      <c r="H9" s="1499">
        <v>2.2038425592072941</v>
      </c>
      <c r="I9" s="1499">
        <v>4.1138877356923436</v>
      </c>
      <c r="J9" s="1499">
        <v>3.6129313815977153</v>
      </c>
      <c r="K9" s="113">
        <v>1.8418085082579705</v>
      </c>
    </row>
    <row r="10" spans="2:11" x14ac:dyDescent="0.3">
      <c r="B10" s="115"/>
      <c r="C10" s="112" t="s">
        <v>1500</v>
      </c>
      <c r="D10" s="1499">
        <v>4.216251605602265</v>
      </c>
      <c r="E10" s="1499">
        <v>3.1306968598715397</v>
      </c>
      <c r="F10" s="1499">
        <v>2.3286928412555454</v>
      </c>
      <c r="G10" s="1499">
        <v>2.0090850924104586</v>
      </c>
      <c r="H10" s="1499">
        <v>2.1452086485596293</v>
      </c>
      <c r="I10" s="1499">
        <v>4.0552538250446784</v>
      </c>
      <c r="J10" s="1499">
        <v>3.5542974709500506</v>
      </c>
      <c r="K10" s="113">
        <v>1.7831745976103062</v>
      </c>
    </row>
    <row r="11" spans="2:11" x14ac:dyDescent="0.3">
      <c r="B11" s="115"/>
      <c r="C11" s="112" t="s">
        <v>1504</v>
      </c>
      <c r="D11" s="1499">
        <v>4.3049100540692944</v>
      </c>
      <c r="E11" s="1499">
        <v>3.2151863939630316</v>
      </c>
      <c r="F11" s="1499">
        <v>2.4137993919156249</v>
      </c>
      <c r="G11" s="1499">
        <v>2.0944581788475984</v>
      </c>
      <c r="H11" s="1499">
        <v>2.2283904359939575</v>
      </c>
      <c r="I11" s="1499">
        <v>4.1398420901603608</v>
      </c>
      <c r="J11" s="1499">
        <v>3.638238381482906</v>
      </c>
      <c r="K11" s="113">
        <v>1.8657523417132793</v>
      </c>
    </row>
    <row r="12" spans="2:11" x14ac:dyDescent="0.3">
      <c r="B12" s="115"/>
      <c r="C12" s="112" t="s">
        <v>1508</v>
      </c>
      <c r="D12" s="1499">
        <v>4.2723155456626891</v>
      </c>
      <c r="E12" s="1499">
        <v>3.1825918855564272</v>
      </c>
      <c r="F12" s="1499">
        <v>2.38120488350902</v>
      </c>
      <c r="G12" s="1499">
        <v>2.0618636704409936</v>
      </c>
      <c r="H12" s="1499">
        <v>2.1957959275873526</v>
      </c>
      <c r="I12" s="1499">
        <v>4.1072475817537564</v>
      </c>
      <c r="J12" s="1499">
        <v>3.6056438730763012</v>
      </c>
      <c r="K12" s="113">
        <v>1.8331578333066745</v>
      </c>
    </row>
    <row r="13" spans="2:11" x14ac:dyDescent="0.3">
      <c r="B13" s="115"/>
      <c r="C13" s="112" t="s">
        <v>1513</v>
      </c>
      <c r="D13" s="1499">
        <v>4.2234237830527821</v>
      </c>
      <c r="E13" s="1499">
        <v>3.1337001229465202</v>
      </c>
      <c r="F13" s="1499">
        <v>2.3323131208991135</v>
      </c>
      <c r="G13" s="1499">
        <v>2.0129719078310866</v>
      </c>
      <c r="H13" s="1499">
        <v>2.1469041649774456</v>
      </c>
      <c r="I13" s="1499">
        <v>4.0583558191438494</v>
      </c>
      <c r="J13" s="1499">
        <v>3.5567521104663942</v>
      </c>
      <c r="K13" s="113">
        <v>1.7842660706967675</v>
      </c>
    </row>
    <row r="14" spans="2:11" x14ac:dyDescent="0.3">
      <c r="B14" s="115"/>
      <c r="C14" s="112" t="s">
        <v>1517</v>
      </c>
      <c r="D14" s="1499">
        <v>4.174532020442876</v>
      </c>
      <c r="E14" s="1499">
        <v>3.0848083603366132</v>
      </c>
      <c r="F14" s="1499">
        <v>2.283421358289206</v>
      </c>
      <c r="G14" s="1499">
        <v>1.9640801452211794</v>
      </c>
      <c r="H14" s="1499">
        <v>2.0980124023675386</v>
      </c>
      <c r="I14" s="1499">
        <v>4.0094640565339423</v>
      </c>
      <c r="J14" s="1499">
        <v>3.5078603478564871</v>
      </c>
      <c r="K14" s="113">
        <v>1.7353743080868602</v>
      </c>
    </row>
    <row r="15" spans="2:11" ht="14.5" thickBot="1" x14ac:dyDescent="0.35">
      <c r="B15" s="1233"/>
      <c r="C15" s="116" t="s">
        <v>1519</v>
      </c>
      <c r="D15" s="117">
        <v>4.3726087006627044</v>
      </c>
      <c r="E15" s="117">
        <v>3.287053954931979</v>
      </c>
      <c r="F15" s="117">
        <v>2.4850499363159839</v>
      </c>
      <c r="G15" s="117">
        <v>2.1654421874708976</v>
      </c>
      <c r="H15" s="117">
        <v>2.3015657436200683</v>
      </c>
      <c r="I15" s="117">
        <v>4.2116109201051177</v>
      </c>
      <c r="J15" s="117">
        <v>3.7106545660104899</v>
      </c>
      <c r="K15" s="118">
        <v>1.9395316926707451</v>
      </c>
    </row>
    <row r="16" spans="2:11" x14ac:dyDescent="0.3">
      <c r="B16" s="107" t="s">
        <v>1977</v>
      </c>
      <c r="C16" s="108" t="s">
        <v>1416</v>
      </c>
      <c r="D16" s="109">
        <v>3.9079557440227584</v>
      </c>
      <c r="E16" s="109">
        <v>2.7948452590265394</v>
      </c>
      <c r="F16" s="109">
        <v>2.0054490097089488</v>
      </c>
      <c r="G16" s="109">
        <v>1.6797477225977646</v>
      </c>
      <c r="H16" s="109">
        <v>1.8307140102704182</v>
      </c>
      <c r="I16" s="109">
        <v>3.7272255946123312</v>
      </c>
      <c r="J16" s="109">
        <v>3.2228069481299291</v>
      </c>
      <c r="K16" s="110">
        <v>1.4425514842462512</v>
      </c>
    </row>
    <row r="17" spans="2:11" x14ac:dyDescent="0.3">
      <c r="B17" s="111" t="s">
        <v>1978</v>
      </c>
      <c r="C17" s="112" t="s">
        <v>1483</v>
      </c>
      <c r="D17" s="1499">
        <v>4.2401010065211446</v>
      </c>
      <c r="E17" s="1499">
        <v>3.1545462607904193</v>
      </c>
      <c r="F17" s="1499">
        <v>2.3525422421744246</v>
      </c>
      <c r="G17" s="1499">
        <v>2.0329344933293378</v>
      </c>
      <c r="H17" s="1499">
        <v>2.169058049478509</v>
      </c>
      <c r="I17" s="1499">
        <v>4.079103225963558</v>
      </c>
      <c r="J17" s="1499">
        <v>3.5781468718689302</v>
      </c>
      <c r="K17" s="113">
        <v>1.8070239985291854</v>
      </c>
    </row>
    <row r="18" spans="2:11" x14ac:dyDescent="0.3">
      <c r="B18" s="111" t="s">
        <v>1980</v>
      </c>
      <c r="C18" s="112" t="s">
        <v>1489</v>
      </c>
      <c r="D18" s="1499">
        <v>4.2010117327560357</v>
      </c>
      <c r="E18" s="1499">
        <v>3.1154569870253095</v>
      </c>
      <c r="F18" s="1499">
        <v>2.3134529684093148</v>
      </c>
      <c r="G18" s="1499">
        <v>1.9938452195642284</v>
      </c>
      <c r="H18" s="1499">
        <v>2.1299687757133992</v>
      </c>
      <c r="I18" s="1499">
        <v>4.0400139521984482</v>
      </c>
      <c r="J18" s="1499">
        <v>3.5390575981038208</v>
      </c>
      <c r="K18" s="113">
        <v>1.7679347247640758</v>
      </c>
    </row>
    <row r="19" spans="2:11" x14ac:dyDescent="0.3">
      <c r="B19" s="114">
        <v>0</v>
      </c>
      <c r="C19" s="112" t="s">
        <v>1496</v>
      </c>
      <c r="D19" s="1499">
        <v>4.1423778221083705</v>
      </c>
      <c r="E19" s="1499">
        <v>3.0568230763776447</v>
      </c>
      <c r="F19" s="1499">
        <v>2.25481905776165</v>
      </c>
      <c r="G19" s="1499">
        <v>1.9352113089165637</v>
      </c>
      <c r="H19" s="1499">
        <v>2.0713348650657344</v>
      </c>
      <c r="I19" s="1499">
        <v>3.9813800415507838</v>
      </c>
      <c r="J19" s="1499">
        <v>3.480423687456156</v>
      </c>
      <c r="K19" s="113">
        <v>1.709300814116411</v>
      </c>
    </row>
    <row r="20" spans="2:11" x14ac:dyDescent="0.3">
      <c r="B20" s="115"/>
      <c r="C20" s="112" t="s">
        <v>1500</v>
      </c>
      <c r="D20" s="1499">
        <v>4.0837439114607061</v>
      </c>
      <c r="E20" s="1499">
        <v>2.9981891657299804</v>
      </c>
      <c r="F20" s="1499">
        <v>2.1961851471139857</v>
      </c>
      <c r="G20" s="1499">
        <v>1.8765773982688991</v>
      </c>
      <c r="H20" s="1499">
        <v>2.0127009544180701</v>
      </c>
      <c r="I20" s="1499">
        <v>3.9227461309031191</v>
      </c>
      <c r="J20" s="1499">
        <v>3.4217897768084913</v>
      </c>
      <c r="K20" s="113">
        <v>1.6506669034687467</v>
      </c>
    </row>
    <row r="21" spans="2:11" x14ac:dyDescent="0.3">
      <c r="B21" s="115"/>
      <c r="C21" s="112" t="s">
        <v>1504</v>
      </c>
      <c r="D21" s="1499">
        <v>4.1724023599277347</v>
      </c>
      <c r="E21" s="1499">
        <v>3.0826786998214724</v>
      </c>
      <c r="F21" s="1499">
        <v>2.2812916977740656</v>
      </c>
      <c r="G21" s="1499">
        <v>1.9619504847060389</v>
      </c>
      <c r="H21" s="1499">
        <v>2.0958827418523982</v>
      </c>
      <c r="I21" s="1499">
        <v>4.007334396018801</v>
      </c>
      <c r="J21" s="1499">
        <v>3.5057306873413463</v>
      </c>
      <c r="K21" s="113">
        <v>1.7332446475717198</v>
      </c>
    </row>
    <row r="22" spans="2:11" x14ac:dyDescent="0.3">
      <c r="B22" s="115"/>
      <c r="C22" s="112" t="s">
        <v>1508</v>
      </c>
      <c r="D22" s="1499">
        <v>4.1398078515211303</v>
      </c>
      <c r="E22" s="1499">
        <v>3.050084191414868</v>
      </c>
      <c r="F22" s="1499">
        <v>2.2486971893674608</v>
      </c>
      <c r="G22" s="1499">
        <v>1.9293559762994343</v>
      </c>
      <c r="H22" s="1499">
        <v>2.0632882334457934</v>
      </c>
      <c r="I22" s="1499">
        <v>3.9747398876121967</v>
      </c>
      <c r="J22" s="1499">
        <v>3.4731361789347419</v>
      </c>
      <c r="K22" s="113">
        <v>1.700650139165115</v>
      </c>
    </row>
    <row r="23" spans="2:11" x14ac:dyDescent="0.3">
      <c r="B23" s="115"/>
      <c r="C23" s="112" t="s">
        <v>1513</v>
      </c>
      <c r="D23" s="1499">
        <v>4.0909160889112233</v>
      </c>
      <c r="E23" s="1499">
        <v>3.001192428804961</v>
      </c>
      <c r="F23" s="1499">
        <v>2.1998054267575538</v>
      </c>
      <c r="G23" s="1499">
        <v>1.8804642136895273</v>
      </c>
      <c r="H23" s="1499">
        <v>2.0143964708358864</v>
      </c>
      <c r="I23" s="1499">
        <v>3.9258481250022896</v>
      </c>
      <c r="J23" s="1499">
        <v>3.4242444163248349</v>
      </c>
      <c r="K23" s="113">
        <v>1.651758376555208</v>
      </c>
    </row>
    <row r="24" spans="2:11" x14ac:dyDescent="0.3">
      <c r="B24" s="115"/>
      <c r="C24" s="112" t="s">
        <v>1517</v>
      </c>
      <c r="D24" s="1499">
        <v>4.0420243263013163</v>
      </c>
      <c r="E24" s="1499">
        <v>2.9523006661950539</v>
      </c>
      <c r="F24" s="1499">
        <v>2.1509136641476463</v>
      </c>
      <c r="G24" s="1499">
        <v>1.8315724510796199</v>
      </c>
      <c r="H24" s="1499">
        <v>1.9655047082259791</v>
      </c>
      <c r="I24" s="1499">
        <v>3.8769563623923826</v>
      </c>
      <c r="J24" s="1499">
        <v>3.3753526537149279</v>
      </c>
      <c r="K24" s="113">
        <v>1.6028666139453007</v>
      </c>
    </row>
    <row r="25" spans="2:11" ht="14.5" thickBot="1" x14ac:dyDescent="0.35">
      <c r="B25" s="1233"/>
      <c r="C25" s="116" t="s">
        <v>1519</v>
      </c>
      <c r="D25" s="117">
        <v>4.2401010065211446</v>
      </c>
      <c r="E25" s="117">
        <v>3.1545462607904193</v>
      </c>
      <c r="F25" s="117">
        <v>2.3525422421744246</v>
      </c>
      <c r="G25" s="117">
        <v>2.0329344933293378</v>
      </c>
      <c r="H25" s="117">
        <v>2.169058049478509</v>
      </c>
      <c r="I25" s="117">
        <v>4.079103225963558</v>
      </c>
      <c r="J25" s="117">
        <v>3.5781468718689302</v>
      </c>
      <c r="K25" s="118">
        <v>1.8070239985291854</v>
      </c>
    </row>
    <row r="26" spans="2:11" x14ac:dyDescent="0.3">
      <c r="B26" s="107" t="s">
        <v>1977</v>
      </c>
      <c r="C26" s="108" t="s">
        <v>1416</v>
      </c>
      <c r="D26" s="109">
        <v>3.7091942028104188</v>
      </c>
      <c r="E26" s="109">
        <v>2.5960837178141998</v>
      </c>
      <c r="F26" s="109">
        <v>1.8066874684966097</v>
      </c>
      <c r="G26" s="109">
        <v>1.4809861813854255</v>
      </c>
      <c r="H26" s="109">
        <v>1.6319524690580789</v>
      </c>
      <c r="I26" s="109">
        <v>3.5284640533999916</v>
      </c>
      <c r="J26" s="109">
        <v>3.0240454069175899</v>
      </c>
      <c r="K26" s="110">
        <v>1.2437899430339119</v>
      </c>
    </row>
    <row r="27" spans="2:11" x14ac:dyDescent="0.3">
      <c r="B27" s="111" t="s">
        <v>1978</v>
      </c>
      <c r="C27" s="112" t="s">
        <v>1483</v>
      </c>
      <c r="D27" s="1499">
        <v>4.0413394653088055</v>
      </c>
      <c r="E27" s="1499">
        <v>2.9557847195780802</v>
      </c>
      <c r="F27" s="1499">
        <v>2.1537807009620851</v>
      </c>
      <c r="G27" s="1499">
        <v>1.8341729521169987</v>
      </c>
      <c r="H27" s="1499">
        <v>1.9702965082661696</v>
      </c>
      <c r="I27" s="1499">
        <v>3.8803416847512189</v>
      </c>
      <c r="J27" s="1499">
        <v>3.3793853306565911</v>
      </c>
      <c r="K27" s="113">
        <v>1.6082624573168463</v>
      </c>
    </row>
    <row r="28" spans="2:11" x14ac:dyDescent="0.3">
      <c r="B28" s="111" t="s">
        <v>1981</v>
      </c>
      <c r="C28" s="112" t="s">
        <v>1489</v>
      </c>
      <c r="D28" s="1499">
        <v>4.0022501915436957</v>
      </c>
      <c r="E28" s="1499">
        <v>2.9166954458129704</v>
      </c>
      <c r="F28" s="1499">
        <v>2.1146914271969757</v>
      </c>
      <c r="G28" s="1499">
        <v>1.7950836783518891</v>
      </c>
      <c r="H28" s="1499">
        <v>1.9312072345010598</v>
      </c>
      <c r="I28" s="1499">
        <v>3.841252410986109</v>
      </c>
      <c r="J28" s="1499">
        <v>3.3402960568914812</v>
      </c>
      <c r="K28" s="113">
        <v>1.5691731835517366</v>
      </c>
    </row>
    <row r="29" spans="2:11" x14ac:dyDescent="0.3">
      <c r="B29" s="114">
        <v>0</v>
      </c>
      <c r="C29" s="112" t="s">
        <v>1496</v>
      </c>
      <c r="D29" s="1499">
        <v>3.9436162808960313</v>
      </c>
      <c r="E29" s="1499">
        <v>2.8580615351653056</v>
      </c>
      <c r="F29" s="1499">
        <v>2.0560575165493109</v>
      </c>
      <c r="G29" s="1499">
        <v>1.7364497677042243</v>
      </c>
      <c r="H29" s="1499">
        <v>1.8725733238533953</v>
      </c>
      <c r="I29" s="1499">
        <v>3.7826185003384443</v>
      </c>
      <c r="J29" s="1499">
        <v>3.2816621462438165</v>
      </c>
      <c r="K29" s="113">
        <v>1.5105392729040719</v>
      </c>
    </row>
    <row r="30" spans="2:11" x14ac:dyDescent="0.3">
      <c r="B30" s="115"/>
      <c r="C30" s="112" t="s">
        <v>1500</v>
      </c>
      <c r="D30" s="1499">
        <v>3.8849823702483666</v>
      </c>
      <c r="E30" s="1499">
        <v>2.7994276245176408</v>
      </c>
      <c r="F30" s="1499">
        <v>1.9974236059016464</v>
      </c>
      <c r="G30" s="1499">
        <v>1.6778158570565598</v>
      </c>
      <c r="H30" s="1499">
        <v>1.8139394132057307</v>
      </c>
      <c r="I30" s="1499">
        <v>3.7239845896907799</v>
      </c>
      <c r="J30" s="1499">
        <v>3.2230282355961517</v>
      </c>
      <c r="K30" s="113">
        <v>1.4519053622564073</v>
      </c>
    </row>
    <row r="31" spans="2:11" x14ac:dyDescent="0.3">
      <c r="B31" s="115"/>
      <c r="C31" s="112" t="s">
        <v>1504</v>
      </c>
      <c r="D31" s="1499">
        <v>3.9736408187153951</v>
      </c>
      <c r="E31" s="1499">
        <v>2.8839171586091328</v>
      </c>
      <c r="F31" s="1499">
        <v>2.082530156561726</v>
      </c>
      <c r="G31" s="1499">
        <v>1.7631889434936998</v>
      </c>
      <c r="H31" s="1499">
        <v>1.8971212006400588</v>
      </c>
      <c r="I31" s="1499">
        <v>3.8085728548064615</v>
      </c>
      <c r="J31" s="1499">
        <v>3.3069691461290072</v>
      </c>
      <c r="K31" s="113">
        <v>1.5344831063593805</v>
      </c>
    </row>
    <row r="32" spans="2:11" x14ac:dyDescent="0.3">
      <c r="B32" s="115"/>
      <c r="C32" s="112" t="s">
        <v>1508</v>
      </c>
      <c r="D32" s="1499">
        <v>3.9410463103087907</v>
      </c>
      <c r="E32" s="1499">
        <v>2.8513226502025284</v>
      </c>
      <c r="F32" s="1499">
        <v>2.0499356481551216</v>
      </c>
      <c r="G32" s="1499">
        <v>1.730594435087095</v>
      </c>
      <c r="H32" s="1499">
        <v>1.864526692233454</v>
      </c>
      <c r="I32" s="1499">
        <v>3.7759783463998571</v>
      </c>
      <c r="J32" s="1499">
        <v>3.2743746377224023</v>
      </c>
      <c r="K32" s="113">
        <v>1.5018885979527756</v>
      </c>
    </row>
    <row r="33" spans="2:11" x14ac:dyDescent="0.3">
      <c r="B33" s="115"/>
      <c r="C33" s="112" t="s">
        <v>1513</v>
      </c>
      <c r="D33" s="1499">
        <v>3.8921545476988837</v>
      </c>
      <c r="E33" s="1499">
        <v>2.8024308875926214</v>
      </c>
      <c r="F33" s="1499">
        <v>2.0010438855452146</v>
      </c>
      <c r="G33" s="1499">
        <v>1.681702672477188</v>
      </c>
      <c r="H33" s="1499">
        <v>1.815634929623547</v>
      </c>
      <c r="I33" s="1499">
        <v>3.7270865837899501</v>
      </c>
      <c r="J33" s="1499">
        <v>3.2254828751124958</v>
      </c>
      <c r="K33" s="113">
        <v>1.4529968353428686</v>
      </c>
    </row>
    <row r="34" spans="2:11" x14ac:dyDescent="0.3">
      <c r="B34" s="115"/>
      <c r="C34" s="112" t="s">
        <v>1517</v>
      </c>
      <c r="D34" s="1499">
        <v>3.8432627850889767</v>
      </c>
      <c r="E34" s="1499">
        <v>2.7535391249827144</v>
      </c>
      <c r="F34" s="1499">
        <v>1.9521521229353072</v>
      </c>
      <c r="G34" s="1499">
        <v>1.6328109098672807</v>
      </c>
      <c r="H34" s="1499">
        <v>1.7667431670136398</v>
      </c>
      <c r="I34" s="1499">
        <v>3.678194821180043</v>
      </c>
      <c r="J34" s="1499">
        <v>3.1765911125025887</v>
      </c>
      <c r="K34" s="113">
        <v>1.4041050727329614</v>
      </c>
    </row>
    <row r="35" spans="2:11" ht="14.5" thickBot="1" x14ac:dyDescent="0.35">
      <c r="B35" s="1233"/>
      <c r="C35" s="116" t="s">
        <v>1519</v>
      </c>
      <c r="D35" s="117">
        <v>4.0413394653088055</v>
      </c>
      <c r="E35" s="117">
        <v>2.9557847195780802</v>
      </c>
      <c r="F35" s="117">
        <v>2.1537807009620851</v>
      </c>
      <c r="G35" s="117">
        <v>1.8341729521169987</v>
      </c>
      <c r="H35" s="117">
        <v>1.9702965082661696</v>
      </c>
      <c r="I35" s="117">
        <v>3.8803416847512189</v>
      </c>
      <c r="J35" s="117">
        <v>3.3793853306565911</v>
      </c>
      <c r="K35" s="118">
        <v>1.6082624573168463</v>
      </c>
    </row>
    <row r="36" spans="2:11" x14ac:dyDescent="0.3">
      <c r="B36" s="107" t="s">
        <v>1977</v>
      </c>
      <c r="C36" s="108" t="s">
        <v>1416</v>
      </c>
      <c r="D36" s="109">
        <v>3.5104326615980797</v>
      </c>
      <c r="E36" s="109">
        <v>2.3973221766018606</v>
      </c>
      <c r="F36" s="109">
        <v>1.6079259272842703</v>
      </c>
      <c r="G36" s="109">
        <v>1.2822246401730861</v>
      </c>
      <c r="H36" s="109">
        <v>1.4331909278457395</v>
      </c>
      <c r="I36" s="109">
        <v>3.3297025121876525</v>
      </c>
      <c r="J36" s="109">
        <v>2.8252838657052508</v>
      </c>
      <c r="K36" s="110">
        <v>1.0450284018215727</v>
      </c>
    </row>
    <row r="37" spans="2:11" x14ac:dyDescent="0.3">
      <c r="B37" s="111" t="s">
        <v>1978</v>
      </c>
      <c r="C37" s="112" t="s">
        <v>1483</v>
      </c>
      <c r="D37" s="1499">
        <v>3.8425779240964664</v>
      </c>
      <c r="E37" s="1499">
        <v>2.7570231783657406</v>
      </c>
      <c r="F37" s="1499">
        <v>1.9550191597497459</v>
      </c>
      <c r="G37" s="1499">
        <v>1.6354114109046594</v>
      </c>
      <c r="H37" s="1499">
        <v>1.7715349670538303</v>
      </c>
      <c r="I37" s="1499">
        <v>3.6815801435388797</v>
      </c>
      <c r="J37" s="1499">
        <v>3.1806237894442515</v>
      </c>
      <c r="K37" s="113">
        <v>1.4095009161045071</v>
      </c>
    </row>
    <row r="38" spans="2:11" x14ac:dyDescent="0.3">
      <c r="B38" s="111" t="s">
        <v>1982</v>
      </c>
      <c r="C38" s="112" t="s">
        <v>1489</v>
      </c>
      <c r="D38" s="1499">
        <v>3.8034886503313565</v>
      </c>
      <c r="E38" s="1499">
        <v>2.7179339046006312</v>
      </c>
      <c r="F38" s="1499">
        <v>1.9159298859846363</v>
      </c>
      <c r="G38" s="1499">
        <v>1.5963221371395497</v>
      </c>
      <c r="H38" s="1499">
        <v>1.7324456932887207</v>
      </c>
      <c r="I38" s="1499">
        <v>3.6424908697737699</v>
      </c>
      <c r="J38" s="1499">
        <v>3.1415345156791421</v>
      </c>
      <c r="K38" s="113">
        <v>1.3704116423393973</v>
      </c>
    </row>
    <row r="39" spans="2:11" x14ac:dyDescent="0.3">
      <c r="B39" s="114">
        <v>0</v>
      </c>
      <c r="C39" s="112" t="s">
        <v>1496</v>
      </c>
      <c r="D39" s="1499">
        <v>3.7448547396836918</v>
      </c>
      <c r="E39" s="1499">
        <v>2.6592999939529665</v>
      </c>
      <c r="F39" s="1499">
        <v>1.8572959753369715</v>
      </c>
      <c r="G39" s="1499">
        <v>1.537688226491885</v>
      </c>
      <c r="H39" s="1499">
        <v>1.6738117826410559</v>
      </c>
      <c r="I39" s="1499">
        <v>3.5838569591261051</v>
      </c>
      <c r="J39" s="1499">
        <v>3.0829006050314773</v>
      </c>
      <c r="K39" s="113">
        <v>1.3117777316917327</v>
      </c>
    </row>
    <row r="40" spans="2:11" x14ac:dyDescent="0.3">
      <c r="B40" s="115"/>
      <c r="C40" s="112" t="s">
        <v>1500</v>
      </c>
      <c r="D40" s="1499">
        <v>3.686220829036027</v>
      </c>
      <c r="E40" s="1499">
        <v>2.6006660833053021</v>
      </c>
      <c r="F40" s="1499">
        <v>1.7986620646893072</v>
      </c>
      <c r="G40" s="1499">
        <v>1.4790543158442206</v>
      </c>
      <c r="H40" s="1499">
        <v>1.6151778719933914</v>
      </c>
      <c r="I40" s="1499">
        <v>3.5252230484784404</v>
      </c>
      <c r="J40" s="1499">
        <v>3.0242666943838126</v>
      </c>
      <c r="K40" s="113">
        <v>1.253143821044068</v>
      </c>
    </row>
    <row r="41" spans="2:11" x14ac:dyDescent="0.3">
      <c r="B41" s="115"/>
      <c r="C41" s="112" t="s">
        <v>1504</v>
      </c>
      <c r="D41" s="1499">
        <v>3.774879277503056</v>
      </c>
      <c r="E41" s="1499">
        <v>2.6851556173967936</v>
      </c>
      <c r="F41" s="1499">
        <v>1.8837686153493869</v>
      </c>
      <c r="G41" s="1499">
        <v>1.5644274022813605</v>
      </c>
      <c r="H41" s="1499">
        <v>1.6983596594277195</v>
      </c>
      <c r="I41" s="1499">
        <v>3.6098113135941223</v>
      </c>
      <c r="J41" s="1499">
        <v>3.1082076049166676</v>
      </c>
      <c r="K41" s="113">
        <v>1.3357215651470411</v>
      </c>
    </row>
    <row r="42" spans="2:11" x14ac:dyDescent="0.3">
      <c r="B42" s="115"/>
      <c r="C42" s="112" t="s">
        <v>1508</v>
      </c>
      <c r="D42" s="1499">
        <v>3.7422847690964516</v>
      </c>
      <c r="E42" s="1499">
        <v>2.6525611089901893</v>
      </c>
      <c r="F42" s="1499">
        <v>1.8511741069427823</v>
      </c>
      <c r="G42" s="1499">
        <v>1.5318328938747556</v>
      </c>
      <c r="H42" s="1499">
        <v>1.6657651510211147</v>
      </c>
      <c r="I42" s="1499">
        <v>3.5772168051875179</v>
      </c>
      <c r="J42" s="1499">
        <v>3.0756130965100632</v>
      </c>
      <c r="K42" s="113">
        <v>1.3031270567404365</v>
      </c>
    </row>
    <row r="43" spans="2:11" x14ac:dyDescent="0.3">
      <c r="B43" s="115"/>
      <c r="C43" s="112" t="s">
        <v>1513</v>
      </c>
      <c r="D43" s="1499">
        <v>3.6933930064865446</v>
      </c>
      <c r="E43" s="1499">
        <v>2.6036693463802822</v>
      </c>
      <c r="F43" s="1499">
        <v>1.8022823443328748</v>
      </c>
      <c r="G43" s="1499">
        <v>1.4829411312648486</v>
      </c>
      <c r="H43" s="1499">
        <v>1.6168733884112074</v>
      </c>
      <c r="I43" s="1499">
        <v>3.5283250425776109</v>
      </c>
      <c r="J43" s="1499">
        <v>3.0267213339001562</v>
      </c>
      <c r="K43" s="113">
        <v>1.2542352941305293</v>
      </c>
    </row>
    <row r="44" spans="2:11" x14ac:dyDescent="0.3">
      <c r="B44" s="115"/>
      <c r="C44" s="112" t="s">
        <v>1517</v>
      </c>
      <c r="D44" s="1499">
        <v>3.6445012438766375</v>
      </c>
      <c r="E44" s="1499">
        <v>2.5547775837703748</v>
      </c>
      <c r="F44" s="1499">
        <v>1.7533905817229678</v>
      </c>
      <c r="G44" s="1499">
        <v>1.4340493686549414</v>
      </c>
      <c r="H44" s="1499">
        <v>1.5679816258013004</v>
      </c>
      <c r="I44" s="1499">
        <v>3.4794332799677039</v>
      </c>
      <c r="J44" s="1499">
        <v>2.9778295712902492</v>
      </c>
      <c r="K44" s="113">
        <v>1.2053435315206222</v>
      </c>
    </row>
    <row r="45" spans="2:11" ht="14.5" thickBot="1" x14ac:dyDescent="0.35">
      <c r="B45" s="1233"/>
      <c r="C45" s="116" t="s">
        <v>1519</v>
      </c>
      <c r="D45" s="117">
        <v>3.8425779240964664</v>
      </c>
      <c r="E45" s="117">
        <v>2.7570231783657406</v>
      </c>
      <c r="F45" s="117">
        <v>1.9550191597497459</v>
      </c>
      <c r="G45" s="117">
        <v>1.6354114109046594</v>
      </c>
      <c r="H45" s="117">
        <v>1.7715349670538303</v>
      </c>
      <c r="I45" s="117">
        <v>3.6815801435388797</v>
      </c>
      <c r="J45" s="117">
        <v>3.1806237894442515</v>
      </c>
      <c r="K45" s="118">
        <v>1.4095009161045071</v>
      </c>
    </row>
    <row r="46" spans="2:11" x14ac:dyDescent="0.3">
      <c r="B46" s="119" t="s">
        <v>1983</v>
      </c>
      <c r="C46" s="108" t="s">
        <v>1416</v>
      </c>
      <c r="D46" s="109">
        <v>3.7006660453628752</v>
      </c>
      <c r="E46" s="109">
        <v>2.5673127332781207</v>
      </c>
      <c r="F46" s="109">
        <v>1.820083085387151</v>
      </c>
      <c r="G46" s="109">
        <v>1.4705060582240361</v>
      </c>
      <c r="H46" s="109">
        <v>1.6360095408272983</v>
      </c>
      <c r="I46" s="109">
        <v>3.4829300122796694</v>
      </c>
      <c r="J46" s="109">
        <v>2.9862887203132056</v>
      </c>
      <c r="K46" s="110">
        <v>1.2655010494895149</v>
      </c>
    </row>
    <row r="47" spans="2:11" x14ac:dyDescent="0.3">
      <c r="B47" s="111"/>
      <c r="C47" s="112" t="s">
        <v>1483</v>
      </c>
      <c r="D47" s="1499">
        <v>4.0332270221731763</v>
      </c>
      <c r="E47" s="1499">
        <v>2.9226807930299108</v>
      </c>
      <c r="F47" s="1499">
        <v>2.1526169995643403</v>
      </c>
      <c r="G47" s="1499">
        <v>1.8390538591334449</v>
      </c>
      <c r="H47" s="1499">
        <v>1.9804027762680378</v>
      </c>
      <c r="I47" s="1499">
        <v>3.8402392396059057</v>
      </c>
      <c r="J47" s="1499">
        <v>3.3443186502518145</v>
      </c>
      <c r="K47" s="113">
        <v>1.6137114389825882</v>
      </c>
    </row>
    <row r="48" spans="2:11" x14ac:dyDescent="0.3">
      <c r="B48" s="111" t="s">
        <v>1979</v>
      </c>
      <c r="C48" s="112" t="s">
        <v>1489</v>
      </c>
      <c r="D48" s="1499">
        <v>3.9941377484080656</v>
      </c>
      <c r="E48" s="1499">
        <v>2.883591519264801</v>
      </c>
      <c r="F48" s="1499">
        <v>2.1135277257992309</v>
      </c>
      <c r="G48" s="1499">
        <v>1.7999645853683353</v>
      </c>
      <c r="H48" s="1499">
        <v>1.9413135025029282</v>
      </c>
      <c r="I48" s="1499">
        <v>3.8011499658407955</v>
      </c>
      <c r="J48" s="1499">
        <v>3.3052293764867042</v>
      </c>
      <c r="K48" s="113">
        <v>1.5746221652174786</v>
      </c>
    </row>
    <row r="49" spans="2:11" x14ac:dyDescent="0.3">
      <c r="B49" s="114">
        <v>0</v>
      </c>
      <c r="C49" s="112" t="s">
        <v>1496</v>
      </c>
      <c r="D49" s="1499">
        <v>3.9355038377604017</v>
      </c>
      <c r="E49" s="1499">
        <v>2.8249576086171366</v>
      </c>
      <c r="F49" s="1499">
        <v>2.0548938151515661</v>
      </c>
      <c r="G49" s="1499">
        <v>1.7413306747206705</v>
      </c>
      <c r="H49" s="1499">
        <v>1.8826795918552635</v>
      </c>
      <c r="I49" s="1499">
        <v>3.7425160551931311</v>
      </c>
      <c r="J49" s="1499">
        <v>3.2465954658390399</v>
      </c>
      <c r="K49" s="113">
        <v>1.5159882545698138</v>
      </c>
    </row>
    <row r="50" spans="2:11" x14ac:dyDescent="0.3">
      <c r="B50" s="115"/>
      <c r="C50" s="112" t="s">
        <v>1500</v>
      </c>
      <c r="D50" s="1499">
        <v>3.8768699271127369</v>
      </c>
      <c r="E50" s="1499">
        <v>2.7663236979694719</v>
      </c>
      <c r="F50" s="1499">
        <v>1.9962599045039016</v>
      </c>
      <c r="G50" s="1499">
        <v>1.6826967640730062</v>
      </c>
      <c r="H50" s="1499">
        <v>1.8240456812075991</v>
      </c>
      <c r="I50" s="1499">
        <v>3.6838821445454664</v>
      </c>
      <c r="J50" s="1499">
        <v>3.1879615551913751</v>
      </c>
      <c r="K50" s="113">
        <v>1.4573543439221492</v>
      </c>
    </row>
    <row r="51" spans="2:11" x14ac:dyDescent="0.3">
      <c r="B51" s="115"/>
      <c r="C51" s="112" t="s">
        <v>1504</v>
      </c>
      <c r="D51" s="1499">
        <v>3.9670660191820568</v>
      </c>
      <c r="E51" s="1499">
        <v>2.8500449134746613</v>
      </c>
      <c r="F51" s="1499">
        <v>2.086247831000001</v>
      </c>
      <c r="G51" s="1499">
        <v>1.7643462121195344</v>
      </c>
      <c r="H51" s="1499">
        <v>1.9108545929325997</v>
      </c>
      <c r="I51" s="1499">
        <v>3.7679780035439081</v>
      </c>
      <c r="J51" s="1499">
        <v>3.2727082305757156</v>
      </c>
      <c r="K51" s="113">
        <v>1.536225880705411</v>
      </c>
    </row>
    <row r="52" spans="2:11" x14ac:dyDescent="0.3">
      <c r="B52" s="115"/>
      <c r="C52" s="112" t="s">
        <v>1508</v>
      </c>
      <c r="D52" s="1499">
        <v>3.934471510775452</v>
      </c>
      <c r="E52" s="1499">
        <v>2.817450405068056</v>
      </c>
      <c r="F52" s="1499">
        <v>2.0536533225933962</v>
      </c>
      <c r="G52" s="1499">
        <v>1.7317517037129297</v>
      </c>
      <c r="H52" s="1499">
        <v>1.8782600845259949</v>
      </c>
      <c r="I52" s="1499">
        <v>3.7353834951373033</v>
      </c>
      <c r="J52" s="1499">
        <v>3.2401137221691103</v>
      </c>
      <c r="K52" s="113">
        <v>1.5036313722988064</v>
      </c>
    </row>
    <row r="53" spans="2:11" x14ac:dyDescent="0.3">
      <c r="B53" s="115"/>
      <c r="C53" s="112" t="s">
        <v>1513</v>
      </c>
      <c r="D53" s="1499">
        <v>3.885579748165545</v>
      </c>
      <c r="E53" s="1499">
        <v>2.768558642458149</v>
      </c>
      <c r="F53" s="1499">
        <v>2.0047615599834891</v>
      </c>
      <c r="G53" s="1499">
        <v>1.6828599411030223</v>
      </c>
      <c r="H53" s="1499">
        <v>1.8293683219160877</v>
      </c>
      <c r="I53" s="1499">
        <v>3.6864917325273963</v>
      </c>
      <c r="J53" s="1499">
        <v>3.1912219595592033</v>
      </c>
      <c r="K53" s="113">
        <v>1.4547396096888989</v>
      </c>
    </row>
    <row r="54" spans="2:11" x14ac:dyDescent="0.3">
      <c r="B54" s="115"/>
      <c r="C54" s="112" t="s">
        <v>1517</v>
      </c>
      <c r="D54" s="1499">
        <v>3.8366879855556379</v>
      </c>
      <c r="E54" s="1499">
        <v>2.719666879848242</v>
      </c>
      <c r="F54" s="1499">
        <v>1.9558697973735821</v>
      </c>
      <c r="G54" s="1499">
        <v>1.6339681784931153</v>
      </c>
      <c r="H54" s="1499">
        <v>1.7804765593061807</v>
      </c>
      <c r="I54" s="1499">
        <v>3.6375999699174892</v>
      </c>
      <c r="J54" s="1499">
        <v>3.1423301969492963</v>
      </c>
      <c r="K54" s="113">
        <v>1.4058478470789919</v>
      </c>
    </row>
    <row r="55" spans="2:11" ht="14.5" thickBot="1" x14ac:dyDescent="0.35">
      <c r="B55" s="1233"/>
      <c r="C55" s="116" t="s">
        <v>1519</v>
      </c>
      <c r="D55" s="117">
        <v>4.0332270221731763</v>
      </c>
      <c r="E55" s="117">
        <v>2.9226807930299108</v>
      </c>
      <c r="F55" s="117">
        <v>2.1526169995643403</v>
      </c>
      <c r="G55" s="117">
        <v>1.8390538591334449</v>
      </c>
      <c r="H55" s="117">
        <v>1.9804027762680378</v>
      </c>
      <c r="I55" s="117">
        <v>3.8402392396059057</v>
      </c>
      <c r="J55" s="117">
        <v>3.3443186502518145</v>
      </c>
      <c r="K55" s="118">
        <v>1.6137114389825882</v>
      </c>
    </row>
    <row r="56" spans="2:11" x14ac:dyDescent="0.3">
      <c r="B56" s="119" t="s">
        <v>1983</v>
      </c>
      <c r="C56" s="108" t="s">
        <v>1416</v>
      </c>
      <c r="D56" s="109">
        <v>3.6331395140080822</v>
      </c>
      <c r="E56" s="109">
        <v>2.4997862019233277</v>
      </c>
      <c r="F56" s="109">
        <v>1.7525565540323578</v>
      </c>
      <c r="G56" s="109">
        <v>1.4029795268692431</v>
      </c>
      <c r="H56" s="109">
        <v>1.5684830094725053</v>
      </c>
      <c r="I56" s="109">
        <v>3.4154034809248768</v>
      </c>
      <c r="J56" s="109">
        <v>2.918762188958413</v>
      </c>
      <c r="K56" s="110">
        <v>1.1979745181347219</v>
      </c>
    </row>
    <row r="57" spans="2:11" x14ac:dyDescent="0.3">
      <c r="B57" s="111"/>
      <c r="C57" s="112" t="s">
        <v>1483</v>
      </c>
      <c r="D57" s="1499">
        <v>3.9657004908183828</v>
      </c>
      <c r="E57" s="1499">
        <v>2.8551542616751178</v>
      </c>
      <c r="F57" s="1499">
        <v>2.0850904682095472</v>
      </c>
      <c r="G57" s="1499">
        <v>1.7715273277786519</v>
      </c>
      <c r="H57" s="1499">
        <v>1.9128762449132448</v>
      </c>
      <c r="I57" s="1499">
        <v>3.7727127082511123</v>
      </c>
      <c r="J57" s="1499">
        <v>3.276792118897021</v>
      </c>
      <c r="K57" s="113">
        <v>1.5461849076277951</v>
      </c>
    </row>
    <row r="58" spans="2:11" x14ac:dyDescent="0.3">
      <c r="B58" s="111" t="s">
        <v>1980</v>
      </c>
      <c r="C58" s="112" t="s">
        <v>1489</v>
      </c>
      <c r="D58" s="1499">
        <v>3.926611217053273</v>
      </c>
      <c r="E58" s="1499">
        <v>2.8160649879100079</v>
      </c>
      <c r="F58" s="1499">
        <v>2.0460011944444378</v>
      </c>
      <c r="G58" s="1499">
        <v>1.7324380540135422</v>
      </c>
      <c r="H58" s="1499">
        <v>1.8737869711481352</v>
      </c>
      <c r="I58" s="1499">
        <v>3.7336234344860024</v>
      </c>
      <c r="J58" s="1499">
        <v>3.2377028451319112</v>
      </c>
      <c r="K58" s="113">
        <v>1.5070956338626855</v>
      </c>
    </row>
    <row r="59" spans="2:11" x14ac:dyDescent="0.3">
      <c r="B59" s="114">
        <v>0</v>
      </c>
      <c r="C59" s="112" t="s">
        <v>1496</v>
      </c>
      <c r="D59" s="1499">
        <v>3.8679773064056082</v>
      </c>
      <c r="E59" s="1499">
        <v>2.7574310772623432</v>
      </c>
      <c r="F59" s="1499">
        <v>1.9873672837967729</v>
      </c>
      <c r="G59" s="1499">
        <v>1.6738041433658775</v>
      </c>
      <c r="H59" s="1499">
        <v>1.8151530605004704</v>
      </c>
      <c r="I59" s="1499">
        <v>3.6749895238383377</v>
      </c>
      <c r="J59" s="1499">
        <v>3.1790689344842464</v>
      </c>
      <c r="K59" s="113">
        <v>1.4484617232150208</v>
      </c>
    </row>
    <row r="60" spans="2:11" x14ac:dyDescent="0.3">
      <c r="B60" s="115"/>
      <c r="C60" s="112" t="s">
        <v>1500</v>
      </c>
      <c r="D60" s="1499">
        <v>3.8093433957579435</v>
      </c>
      <c r="E60" s="1499">
        <v>2.6987971666146784</v>
      </c>
      <c r="F60" s="1499">
        <v>1.9287333731491083</v>
      </c>
      <c r="G60" s="1499">
        <v>1.6151702327182129</v>
      </c>
      <c r="H60" s="1499">
        <v>1.7565191498528059</v>
      </c>
      <c r="I60" s="1499">
        <v>3.6163556131906729</v>
      </c>
      <c r="J60" s="1499">
        <v>3.1204350238365817</v>
      </c>
      <c r="K60" s="113">
        <v>1.3898278125673562</v>
      </c>
    </row>
    <row r="61" spans="2:11" x14ac:dyDescent="0.3">
      <c r="B61" s="115"/>
      <c r="C61" s="112" t="s">
        <v>1504</v>
      </c>
      <c r="D61" s="1499">
        <v>3.8995394878272638</v>
      </c>
      <c r="E61" s="1499">
        <v>2.7825183821198678</v>
      </c>
      <c r="F61" s="1499">
        <v>2.018721299645208</v>
      </c>
      <c r="G61" s="1499">
        <v>1.6968196807647413</v>
      </c>
      <c r="H61" s="1499">
        <v>1.8433280615778065</v>
      </c>
      <c r="I61" s="1499">
        <v>3.7004514721891151</v>
      </c>
      <c r="J61" s="1499">
        <v>3.2051816992209221</v>
      </c>
      <c r="K61" s="113">
        <v>1.468699349350618</v>
      </c>
    </row>
    <row r="62" spans="2:11" x14ac:dyDescent="0.3">
      <c r="B62" s="115"/>
      <c r="C62" s="112" t="s">
        <v>1508</v>
      </c>
      <c r="D62" s="1499">
        <v>3.866944979420659</v>
      </c>
      <c r="E62" s="1499">
        <v>2.7499238737132634</v>
      </c>
      <c r="F62" s="1499">
        <v>1.9861267912386034</v>
      </c>
      <c r="G62" s="1499">
        <v>1.6642251723581365</v>
      </c>
      <c r="H62" s="1499">
        <v>1.8107335531712019</v>
      </c>
      <c r="I62" s="1499">
        <v>3.6678569637825102</v>
      </c>
      <c r="J62" s="1499">
        <v>3.1725871908143177</v>
      </c>
      <c r="K62" s="113">
        <v>1.4361048409440131</v>
      </c>
    </row>
    <row r="63" spans="2:11" x14ac:dyDescent="0.3">
      <c r="B63" s="115"/>
      <c r="C63" s="112" t="s">
        <v>1513</v>
      </c>
      <c r="D63" s="1499">
        <v>3.8180532168107519</v>
      </c>
      <c r="E63" s="1499">
        <v>2.7010321111033564</v>
      </c>
      <c r="F63" s="1499">
        <v>1.9372350286286963</v>
      </c>
      <c r="G63" s="1499">
        <v>1.6153334097482295</v>
      </c>
      <c r="H63" s="1499">
        <v>1.7618417905612949</v>
      </c>
      <c r="I63" s="1499">
        <v>3.6189652011726032</v>
      </c>
      <c r="J63" s="1499">
        <v>3.1236954282044107</v>
      </c>
      <c r="K63" s="113">
        <v>1.3872130783341061</v>
      </c>
    </row>
    <row r="64" spans="2:11" x14ac:dyDescent="0.3">
      <c r="B64" s="115"/>
      <c r="C64" s="112" t="s">
        <v>1517</v>
      </c>
      <c r="D64" s="1499">
        <v>3.7691614542008454</v>
      </c>
      <c r="E64" s="1499">
        <v>2.6521403484934494</v>
      </c>
      <c r="F64" s="1499">
        <v>1.8883432660187889</v>
      </c>
      <c r="G64" s="1499">
        <v>1.5664416471383222</v>
      </c>
      <c r="H64" s="1499">
        <v>1.7129500279513874</v>
      </c>
      <c r="I64" s="1499">
        <v>3.5700734385626962</v>
      </c>
      <c r="J64" s="1499">
        <v>3.0748036655945037</v>
      </c>
      <c r="K64" s="113">
        <v>1.3383213157241989</v>
      </c>
    </row>
    <row r="65" spans="2:11" ht="14.5" thickBot="1" x14ac:dyDescent="0.35">
      <c r="B65" s="1233"/>
      <c r="C65" s="116" t="s">
        <v>1519</v>
      </c>
      <c r="D65" s="117">
        <v>3.9657004908183828</v>
      </c>
      <c r="E65" s="117">
        <v>2.8551542616751178</v>
      </c>
      <c r="F65" s="117">
        <v>2.0850904682095472</v>
      </c>
      <c r="G65" s="117">
        <v>1.7715273277786519</v>
      </c>
      <c r="H65" s="117">
        <v>1.9128762449132448</v>
      </c>
      <c r="I65" s="117">
        <v>3.7727127082511123</v>
      </c>
      <c r="J65" s="117">
        <v>3.276792118897021</v>
      </c>
      <c r="K65" s="118">
        <v>1.5461849076277951</v>
      </c>
    </row>
    <row r="66" spans="2:11" x14ac:dyDescent="0.3">
      <c r="B66" s="119" t="s">
        <v>1983</v>
      </c>
      <c r="C66" s="108" t="s">
        <v>1416</v>
      </c>
      <c r="D66" s="109">
        <v>3.5318497169758927</v>
      </c>
      <c r="E66" s="109">
        <v>2.3984964048911381</v>
      </c>
      <c r="F66" s="109">
        <v>1.6512667570001685</v>
      </c>
      <c r="G66" s="109">
        <v>1.3016897298370536</v>
      </c>
      <c r="H66" s="109">
        <v>1.467193212440316</v>
      </c>
      <c r="I66" s="109">
        <v>3.3141136838926868</v>
      </c>
      <c r="J66" s="109">
        <v>2.817472391926223</v>
      </c>
      <c r="K66" s="110">
        <v>1.0966847211025323</v>
      </c>
    </row>
    <row r="67" spans="2:11" x14ac:dyDescent="0.3">
      <c r="B67" s="111"/>
      <c r="C67" s="112" t="s">
        <v>1483</v>
      </c>
      <c r="D67" s="1499">
        <v>3.8644106937861933</v>
      </c>
      <c r="E67" s="1499">
        <v>2.7538644646429287</v>
      </c>
      <c r="F67" s="1499">
        <v>1.9838006711773579</v>
      </c>
      <c r="G67" s="1499">
        <v>1.6702375307464625</v>
      </c>
      <c r="H67" s="1499">
        <v>1.8115864478810555</v>
      </c>
      <c r="I67" s="1499">
        <v>3.6714229112189232</v>
      </c>
      <c r="J67" s="1499">
        <v>3.1755023218648319</v>
      </c>
      <c r="K67" s="113">
        <v>1.4448951105956056</v>
      </c>
    </row>
    <row r="68" spans="2:11" x14ac:dyDescent="0.3">
      <c r="B68" s="111" t="s">
        <v>1981</v>
      </c>
      <c r="C68" s="112" t="s">
        <v>1489</v>
      </c>
      <c r="D68" s="1499">
        <v>3.8253214200210834</v>
      </c>
      <c r="E68" s="1499">
        <v>2.7147751908778184</v>
      </c>
      <c r="F68" s="1499">
        <v>1.9447113974122481</v>
      </c>
      <c r="G68" s="1499">
        <v>1.6311482569813527</v>
      </c>
      <c r="H68" s="1499">
        <v>1.7724971741159459</v>
      </c>
      <c r="I68" s="1499">
        <v>3.6323336374538129</v>
      </c>
      <c r="J68" s="1499">
        <v>3.1364130480997217</v>
      </c>
      <c r="K68" s="113">
        <v>1.405805836830496</v>
      </c>
    </row>
    <row r="69" spans="2:11" x14ac:dyDescent="0.3">
      <c r="B69" s="114">
        <v>0</v>
      </c>
      <c r="C69" s="112" t="s">
        <v>1496</v>
      </c>
      <c r="D69" s="1499">
        <v>3.7666875093734191</v>
      </c>
      <c r="E69" s="1499">
        <v>2.6561412802301541</v>
      </c>
      <c r="F69" s="1499">
        <v>1.8860774867645835</v>
      </c>
      <c r="G69" s="1499">
        <v>1.5725143463336881</v>
      </c>
      <c r="H69" s="1499">
        <v>1.7138632634682811</v>
      </c>
      <c r="I69" s="1499">
        <v>3.5736997268061486</v>
      </c>
      <c r="J69" s="1499">
        <v>3.0777791374520573</v>
      </c>
      <c r="K69" s="113">
        <v>1.3471719261828312</v>
      </c>
    </row>
    <row r="70" spans="2:11" x14ac:dyDescent="0.3">
      <c r="B70" s="115"/>
      <c r="C70" s="112" t="s">
        <v>1500</v>
      </c>
      <c r="D70" s="1499">
        <v>3.7080535987257544</v>
      </c>
      <c r="E70" s="1499">
        <v>2.5975073695824893</v>
      </c>
      <c r="F70" s="1499">
        <v>1.827443576116919</v>
      </c>
      <c r="G70" s="1499">
        <v>1.5138804356860234</v>
      </c>
      <c r="H70" s="1499">
        <v>1.6552293528206166</v>
      </c>
      <c r="I70" s="1499">
        <v>3.5150658161584838</v>
      </c>
      <c r="J70" s="1499">
        <v>3.0191452268043926</v>
      </c>
      <c r="K70" s="113">
        <v>1.2885380155351667</v>
      </c>
    </row>
    <row r="71" spans="2:11" x14ac:dyDescent="0.3">
      <c r="B71" s="115"/>
      <c r="C71" s="112" t="s">
        <v>1504</v>
      </c>
      <c r="D71" s="1499">
        <v>3.7982496907950747</v>
      </c>
      <c r="E71" s="1499">
        <v>2.6812285850876787</v>
      </c>
      <c r="F71" s="1499">
        <v>1.9174315026130186</v>
      </c>
      <c r="G71" s="1499">
        <v>1.595529883732552</v>
      </c>
      <c r="H71" s="1499">
        <v>1.7420382645456172</v>
      </c>
      <c r="I71" s="1499">
        <v>3.5991616751569255</v>
      </c>
      <c r="J71" s="1499">
        <v>3.103891902188733</v>
      </c>
      <c r="K71" s="113">
        <v>1.3674095523184286</v>
      </c>
    </row>
    <row r="72" spans="2:11" x14ac:dyDescent="0.3">
      <c r="B72" s="115"/>
      <c r="C72" s="112" t="s">
        <v>1508</v>
      </c>
      <c r="D72" s="1499">
        <v>3.7656551823884694</v>
      </c>
      <c r="E72" s="1499">
        <v>2.6486340766810739</v>
      </c>
      <c r="F72" s="1499">
        <v>1.8848369942064138</v>
      </c>
      <c r="G72" s="1499">
        <v>1.5629353753259472</v>
      </c>
      <c r="H72" s="1499">
        <v>1.7094437561390123</v>
      </c>
      <c r="I72" s="1499">
        <v>3.5665671667503207</v>
      </c>
      <c r="J72" s="1499">
        <v>3.0712973937821277</v>
      </c>
      <c r="K72" s="113">
        <v>1.3348150439118238</v>
      </c>
    </row>
    <row r="73" spans="2:11" x14ac:dyDescent="0.3">
      <c r="B73" s="115"/>
      <c r="C73" s="112" t="s">
        <v>1513</v>
      </c>
      <c r="D73" s="1499">
        <v>3.7167634197785624</v>
      </c>
      <c r="E73" s="1499">
        <v>2.5997423140711664</v>
      </c>
      <c r="F73" s="1499">
        <v>1.8359452315965066</v>
      </c>
      <c r="G73" s="1499">
        <v>1.5140436127160399</v>
      </c>
      <c r="H73" s="1499">
        <v>1.6605519935291051</v>
      </c>
      <c r="I73" s="1499">
        <v>3.5176754041404137</v>
      </c>
      <c r="J73" s="1499">
        <v>3.0224056311722207</v>
      </c>
      <c r="K73" s="113">
        <v>1.2859232813019166</v>
      </c>
    </row>
    <row r="74" spans="2:11" x14ac:dyDescent="0.3">
      <c r="B74" s="115"/>
      <c r="C74" s="112" t="s">
        <v>1517</v>
      </c>
      <c r="D74" s="1499">
        <v>3.6678716571686554</v>
      </c>
      <c r="E74" s="1499">
        <v>2.5508505514612594</v>
      </c>
      <c r="F74" s="1499">
        <v>1.7870534689865996</v>
      </c>
      <c r="G74" s="1499">
        <v>1.4651518501061329</v>
      </c>
      <c r="H74" s="1499">
        <v>1.6116602309191981</v>
      </c>
      <c r="I74" s="1499">
        <v>3.4687836415305067</v>
      </c>
      <c r="J74" s="1499">
        <v>2.9735138685623137</v>
      </c>
      <c r="K74" s="113">
        <v>1.2370315186920096</v>
      </c>
    </row>
    <row r="75" spans="2:11" ht="14.5" thickBot="1" x14ac:dyDescent="0.35">
      <c r="B75" s="1233"/>
      <c r="C75" s="116" t="s">
        <v>1519</v>
      </c>
      <c r="D75" s="117">
        <v>3.8644106937861933</v>
      </c>
      <c r="E75" s="117">
        <v>2.7538644646429287</v>
      </c>
      <c r="F75" s="117">
        <v>1.9838006711773579</v>
      </c>
      <c r="G75" s="117">
        <v>1.6702375307464625</v>
      </c>
      <c r="H75" s="117">
        <v>1.8115864478810555</v>
      </c>
      <c r="I75" s="117">
        <v>3.6714229112189232</v>
      </c>
      <c r="J75" s="117">
        <v>3.1755023218648319</v>
      </c>
      <c r="K75" s="118">
        <v>1.4448951105956056</v>
      </c>
    </row>
    <row r="76" spans="2:11" x14ac:dyDescent="0.3">
      <c r="B76" s="119" t="s">
        <v>1983</v>
      </c>
      <c r="C76" s="108" t="s">
        <v>1416</v>
      </c>
      <c r="D76" s="109">
        <v>3.4305599199437036</v>
      </c>
      <c r="E76" s="109">
        <v>2.2972066078589486</v>
      </c>
      <c r="F76" s="109">
        <v>1.5499769599679789</v>
      </c>
      <c r="G76" s="109">
        <v>1.200399932804864</v>
      </c>
      <c r="H76" s="109">
        <v>1.3659034154081262</v>
      </c>
      <c r="I76" s="109">
        <v>3.2128238868604977</v>
      </c>
      <c r="J76" s="109">
        <v>2.7161825948940339</v>
      </c>
      <c r="K76" s="110">
        <v>0.99539492407034291</v>
      </c>
    </row>
    <row r="77" spans="2:11" x14ac:dyDescent="0.3">
      <c r="B77" s="111"/>
      <c r="C77" s="112" t="s">
        <v>1483</v>
      </c>
      <c r="D77" s="1499">
        <v>3.7631208967540037</v>
      </c>
      <c r="E77" s="1499">
        <v>2.6525746676107387</v>
      </c>
      <c r="F77" s="1499">
        <v>1.8825108741451684</v>
      </c>
      <c r="G77" s="1499">
        <v>1.568947733714273</v>
      </c>
      <c r="H77" s="1499">
        <v>1.710296650848866</v>
      </c>
      <c r="I77" s="1499">
        <v>3.5701331141867332</v>
      </c>
      <c r="J77" s="1499">
        <v>3.074212524832642</v>
      </c>
      <c r="K77" s="113">
        <v>1.3436053135634163</v>
      </c>
    </row>
    <row r="78" spans="2:11" x14ac:dyDescent="0.3">
      <c r="B78" s="111" t="s">
        <v>1982</v>
      </c>
      <c r="C78" s="112" t="s">
        <v>1489</v>
      </c>
      <c r="D78" s="1499">
        <v>3.7240316229888939</v>
      </c>
      <c r="E78" s="1499">
        <v>2.6134853938456293</v>
      </c>
      <c r="F78" s="1499">
        <v>1.8434216003800588</v>
      </c>
      <c r="G78" s="1499">
        <v>1.5298584599491631</v>
      </c>
      <c r="H78" s="1499">
        <v>1.6712073770837563</v>
      </c>
      <c r="I78" s="1499">
        <v>3.5310438404216238</v>
      </c>
      <c r="J78" s="1499">
        <v>3.0351232510675326</v>
      </c>
      <c r="K78" s="113">
        <v>1.3045160397983064</v>
      </c>
    </row>
    <row r="79" spans="2:11" x14ac:dyDescent="0.3">
      <c r="B79" s="114">
        <v>0</v>
      </c>
      <c r="C79" s="112" t="s">
        <v>1496</v>
      </c>
      <c r="D79" s="1499">
        <v>3.6653977123412291</v>
      </c>
      <c r="E79" s="1499">
        <v>2.5548514831979645</v>
      </c>
      <c r="F79" s="1499">
        <v>1.784787689732394</v>
      </c>
      <c r="G79" s="1499">
        <v>1.4712245493014986</v>
      </c>
      <c r="H79" s="1499">
        <v>1.6125734664360916</v>
      </c>
      <c r="I79" s="1499">
        <v>3.472409929773959</v>
      </c>
      <c r="J79" s="1499">
        <v>2.9764893404198678</v>
      </c>
      <c r="K79" s="113">
        <v>1.2458821291506419</v>
      </c>
    </row>
    <row r="80" spans="2:11" x14ac:dyDescent="0.3">
      <c r="B80" s="115"/>
      <c r="C80" s="112" t="s">
        <v>1500</v>
      </c>
      <c r="D80" s="1499">
        <v>3.6067638016935644</v>
      </c>
      <c r="E80" s="1499">
        <v>2.4962175725502997</v>
      </c>
      <c r="F80" s="1499">
        <v>1.7261537790847292</v>
      </c>
      <c r="G80" s="1499">
        <v>1.4125906386538338</v>
      </c>
      <c r="H80" s="1499">
        <v>1.5539395557884268</v>
      </c>
      <c r="I80" s="1499">
        <v>3.4137760191262942</v>
      </c>
      <c r="J80" s="1499">
        <v>2.917855429772203</v>
      </c>
      <c r="K80" s="113">
        <v>1.1872482185029771</v>
      </c>
    </row>
    <row r="81" spans="2:11" x14ac:dyDescent="0.3">
      <c r="B81" s="115"/>
      <c r="C81" s="112" t="s">
        <v>1504</v>
      </c>
      <c r="D81" s="1499">
        <v>3.6969598937628847</v>
      </c>
      <c r="E81" s="1499">
        <v>2.5799387880554887</v>
      </c>
      <c r="F81" s="1499">
        <v>1.8161417055808289</v>
      </c>
      <c r="G81" s="1499">
        <v>1.4942400867003625</v>
      </c>
      <c r="H81" s="1499">
        <v>1.6407484675134274</v>
      </c>
      <c r="I81" s="1499">
        <v>3.497871878124736</v>
      </c>
      <c r="J81" s="1499">
        <v>3.002602105156543</v>
      </c>
      <c r="K81" s="113">
        <v>1.2661197552862389</v>
      </c>
    </row>
    <row r="82" spans="2:11" x14ac:dyDescent="0.3">
      <c r="B82" s="115"/>
      <c r="C82" s="112" t="s">
        <v>1508</v>
      </c>
      <c r="D82" s="1499">
        <v>3.6643653853562803</v>
      </c>
      <c r="E82" s="1499">
        <v>2.5473442796488843</v>
      </c>
      <c r="F82" s="1499">
        <v>1.7835471971742245</v>
      </c>
      <c r="G82" s="1499">
        <v>1.4616455782937574</v>
      </c>
      <c r="H82" s="1499">
        <v>1.608153959106823</v>
      </c>
      <c r="I82" s="1499">
        <v>3.4652773697181316</v>
      </c>
      <c r="J82" s="1499">
        <v>2.9700075967499386</v>
      </c>
      <c r="K82" s="113">
        <v>1.2335252468796343</v>
      </c>
    </row>
    <row r="83" spans="2:11" x14ac:dyDescent="0.3">
      <c r="B83" s="115"/>
      <c r="C83" s="112" t="s">
        <v>1513</v>
      </c>
      <c r="D83" s="1499">
        <v>3.6154736227463733</v>
      </c>
      <c r="E83" s="1499">
        <v>2.4984525170389773</v>
      </c>
      <c r="F83" s="1499">
        <v>1.734655434564317</v>
      </c>
      <c r="G83" s="1499">
        <v>1.4127538156838504</v>
      </c>
      <c r="H83" s="1499">
        <v>1.5592621964969156</v>
      </c>
      <c r="I83" s="1499">
        <v>3.4163856071082246</v>
      </c>
      <c r="J83" s="1499">
        <v>2.9211158341400316</v>
      </c>
      <c r="K83" s="113">
        <v>1.184633484269727</v>
      </c>
    </row>
    <row r="84" spans="2:11" x14ac:dyDescent="0.3">
      <c r="B84" s="115"/>
      <c r="C84" s="112" t="s">
        <v>1517</v>
      </c>
      <c r="D84" s="1499">
        <v>3.5665818601364658</v>
      </c>
      <c r="E84" s="1499">
        <v>2.4495607544290703</v>
      </c>
      <c r="F84" s="1499">
        <v>1.68576367195441</v>
      </c>
      <c r="G84" s="1499">
        <v>1.3638620530739434</v>
      </c>
      <c r="H84" s="1499">
        <v>1.5103704338870085</v>
      </c>
      <c r="I84" s="1499">
        <v>3.3674938444983171</v>
      </c>
      <c r="J84" s="1499">
        <v>2.8722240715301242</v>
      </c>
      <c r="K84" s="113">
        <v>1.13574172165982</v>
      </c>
    </row>
    <row r="85" spans="2:11" ht="14.5" thickBot="1" x14ac:dyDescent="0.35">
      <c r="B85" s="1233"/>
      <c r="C85" s="116" t="s">
        <v>1519</v>
      </c>
      <c r="D85" s="117">
        <v>3.7631208967540037</v>
      </c>
      <c r="E85" s="117">
        <v>2.6525746676107387</v>
      </c>
      <c r="F85" s="117">
        <v>1.8825108741451684</v>
      </c>
      <c r="G85" s="117">
        <v>1.568947733714273</v>
      </c>
      <c r="H85" s="117">
        <v>1.710296650848866</v>
      </c>
      <c r="I85" s="117">
        <v>3.5701331141867332</v>
      </c>
      <c r="J85" s="117">
        <v>3.074212524832642</v>
      </c>
      <c r="K85" s="118">
        <v>1.3436053135634163</v>
      </c>
    </row>
    <row r="87" spans="2:11" ht="14.5" thickBot="1" x14ac:dyDescent="0.35"/>
    <row r="88" spans="2:11" ht="25.5" thickBot="1" x14ac:dyDescent="0.55000000000000004">
      <c r="B88" s="88" t="s">
        <v>1960</v>
      </c>
      <c r="C88" s="89"/>
      <c r="D88" s="90">
        <v>5</v>
      </c>
      <c r="E88" s="91" t="s">
        <v>1984</v>
      </c>
      <c r="F88" s="92"/>
      <c r="G88" s="92"/>
      <c r="H88" s="92"/>
      <c r="I88" s="93"/>
      <c r="J88" s="89" t="s">
        <v>176</v>
      </c>
      <c r="K88" s="94" t="s">
        <v>214</v>
      </c>
    </row>
    <row r="89" spans="2:11" ht="14.5" thickBot="1" x14ac:dyDescent="0.35">
      <c r="B89" s="95" t="s">
        <v>1962</v>
      </c>
      <c r="C89" s="96" t="s">
        <v>1963</v>
      </c>
      <c r="D89" s="95" t="s">
        <v>1964</v>
      </c>
      <c r="E89" s="97" t="s">
        <v>1965</v>
      </c>
      <c r="F89" s="97" t="s">
        <v>1966</v>
      </c>
      <c r="G89" s="97" t="s">
        <v>1967</v>
      </c>
      <c r="H89" s="97" t="s">
        <v>1968</v>
      </c>
      <c r="I89" s="97" t="s">
        <v>1969</v>
      </c>
      <c r="J89" s="97" t="s">
        <v>1970</v>
      </c>
      <c r="K89" s="98" t="s">
        <v>1971</v>
      </c>
    </row>
    <row r="90" spans="2:11" ht="14.5" thickBot="1" x14ac:dyDescent="0.35">
      <c r="B90" s="99"/>
      <c r="C90" s="99"/>
      <c r="D90" s="100"/>
      <c r="E90" s="944"/>
      <c r="F90" s="944"/>
      <c r="G90" s="944"/>
      <c r="H90" s="944"/>
      <c r="I90" s="944"/>
      <c r="J90" s="944"/>
      <c r="K90" s="102"/>
    </row>
    <row r="91" spans="2:11" ht="90.5" thickBot="1" x14ac:dyDescent="0.45">
      <c r="B91" s="103" t="s">
        <v>1972</v>
      </c>
      <c r="C91" s="103" t="s">
        <v>1973</v>
      </c>
      <c r="D91" s="105" t="s">
        <v>1974</v>
      </c>
      <c r="E91" s="105" t="s">
        <v>1525</v>
      </c>
      <c r="F91" s="105" t="s">
        <v>1527</v>
      </c>
      <c r="G91" s="105" t="s">
        <v>1975</v>
      </c>
      <c r="H91" s="105" t="s">
        <v>1976</v>
      </c>
      <c r="I91" s="105" t="s">
        <v>1445</v>
      </c>
      <c r="J91" s="105" t="s">
        <v>1538</v>
      </c>
      <c r="K91" s="106" t="s">
        <v>1541</v>
      </c>
    </row>
    <row r="92" spans="2:11" x14ac:dyDescent="0.3">
      <c r="B92" s="107" t="s">
        <v>1985</v>
      </c>
      <c r="C92" s="108" t="s">
        <v>1416</v>
      </c>
      <c r="D92" s="109">
        <v>3.1408663359928983</v>
      </c>
      <c r="E92" s="109">
        <v>1.9517621288639697</v>
      </c>
      <c r="F92" s="109">
        <v>1.314181763996378</v>
      </c>
      <c r="G92" s="109">
        <v>0.97073961642178341</v>
      </c>
      <c r="H92" s="109">
        <v>1.1445632852391252</v>
      </c>
      <c r="I92" s="109">
        <v>2.8214137769883378</v>
      </c>
      <c r="J92" s="109">
        <v>2.3519000451249759</v>
      </c>
      <c r="K92" s="110">
        <v>0.77579233474781595</v>
      </c>
    </row>
    <row r="93" spans="2:11" x14ac:dyDescent="0.3">
      <c r="B93" s="111"/>
      <c r="C93" s="112" t="s">
        <v>1483</v>
      </c>
      <c r="D93" s="1499">
        <v>3.4637962409772598</v>
      </c>
      <c r="E93" s="1499">
        <v>2.3054095828031604</v>
      </c>
      <c r="F93" s="1499">
        <v>1.648827690709499</v>
      </c>
      <c r="G93" s="1499">
        <v>1.3153199606452195</v>
      </c>
      <c r="H93" s="1499">
        <v>1.4607508474625419</v>
      </c>
      <c r="I93" s="1499">
        <v>3.1786060820881197</v>
      </c>
      <c r="J93" s="1499">
        <v>2.7047763879727018</v>
      </c>
      <c r="K93" s="113">
        <v>1.1344287452108481</v>
      </c>
    </row>
    <row r="94" spans="2:11" x14ac:dyDescent="0.3">
      <c r="B94" s="111" t="s">
        <v>1986</v>
      </c>
      <c r="C94" s="112" t="s">
        <v>1489</v>
      </c>
      <c r="D94" s="1499">
        <v>3.4247069672121504</v>
      </c>
      <c r="E94" s="1499">
        <v>2.2663203090380506</v>
      </c>
      <c r="F94" s="1499">
        <v>1.6097384169443891</v>
      </c>
      <c r="G94" s="1499">
        <v>1.2762306868801097</v>
      </c>
      <c r="H94" s="1499">
        <v>1.4216615736974321</v>
      </c>
      <c r="I94" s="1499">
        <v>3.1395168083230098</v>
      </c>
      <c r="J94" s="1499">
        <v>2.665687114207592</v>
      </c>
      <c r="K94" s="113">
        <v>1.0953394714457383</v>
      </c>
    </row>
    <row r="95" spans="2:11" x14ac:dyDescent="0.3">
      <c r="B95" s="114">
        <v>0</v>
      </c>
      <c r="C95" s="112" t="s">
        <v>1496</v>
      </c>
      <c r="D95" s="1499">
        <v>3.3660730565644856</v>
      </c>
      <c r="E95" s="1499">
        <v>2.2076863983903863</v>
      </c>
      <c r="F95" s="1499">
        <v>1.5511045062967246</v>
      </c>
      <c r="G95" s="1499">
        <v>1.2175967762324451</v>
      </c>
      <c r="H95" s="1499">
        <v>1.3630276630497675</v>
      </c>
      <c r="I95" s="1499">
        <v>3.0808828976753451</v>
      </c>
      <c r="J95" s="1499">
        <v>2.6070532035599276</v>
      </c>
      <c r="K95" s="113">
        <v>1.0367055607980735</v>
      </c>
    </row>
    <row r="96" spans="2:11" x14ac:dyDescent="0.3">
      <c r="B96" s="115"/>
      <c r="C96" s="112" t="s">
        <v>1500</v>
      </c>
      <c r="D96" s="1499">
        <v>3.3074391459168213</v>
      </c>
      <c r="E96" s="1499">
        <v>2.1490524877427215</v>
      </c>
      <c r="F96" s="1499">
        <v>1.4924705956490598</v>
      </c>
      <c r="G96" s="1499">
        <v>1.1589628655847803</v>
      </c>
      <c r="H96" s="1499">
        <v>1.3043937524021028</v>
      </c>
      <c r="I96" s="1499">
        <v>3.0222489870276807</v>
      </c>
      <c r="J96" s="1499">
        <v>2.5484192929122629</v>
      </c>
      <c r="K96" s="113">
        <v>0.97807165015040898</v>
      </c>
    </row>
    <row r="97" spans="2:11" x14ac:dyDescent="0.3">
      <c r="B97" s="115"/>
      <c r="C97" s="112" t="s">
        <v>1504</v>
      </c>
      <c r="D97" s="1499">
        <v>3.3997562035728075</v>
      </c>
      <c r="E97" s="1499">
        <v>2.2311678061367566</v>
      </c>
      <c r="F97" s="1499">
        <v>1.5766547089275902</v>
      </c>
      <c r="G97" s="1499">
        <v>1.248270781010288</v>
      </c>
      <c r="H97" s="1499">
        <v>1.3951094934478212</v>
      </c>
      <c r="I97" s="1499">
        <v>3.1072238868601505</v>
      </c>
      <c r="J97" s="1499">
        <v>2.6341613793531762</v>
      </c>
      <c r="K97" s="113">
        <v>1.0654962441649225</v>
      </c>
    </row>
    <row r="98" spans="2:11" x14ac:dyDescent="0.3">
      <c r="B98" s="115"/>
      <c r="C98" s="112" t="s">
        <v>1508</v>
      </c>
      <c r="D98" s="1499">
        <v>3.3671616951662027</v>
      </c>
      <c r="E98" s="1499">
        <v>2.1985732977301518</v>
      </c>
      <c r="F98" s="1499">
        <v>1.5440602005209856</v>
      </c>
      <c r="G98" s="1499">
        <v>1.2156762726036832</v>
      </c>
      <c r="H98" s="1499">
        <v>1.3625149850412166</v>
      </c>
      <c r="I98" s="1499">
        <v>3.0746293784535452</v>
      </c>
      <c r="J98" s="1499">
        <v>2.6015668709465714</v>
      </c>
      <c r="K98" s="113">
        <v>1.0329017357583179</v>
      </c>
    </row>
    <row r="99" spans="2:11" x14ac:dyDescent="0.3">
      <c r="B99" s="115"/>
      <c r="C99" s="112" t="s">
        <v>1513</v>
      </c>
      <c r="D99" s="1499">
        <v>3.3182699325562957</v>
      </c>
      <c r="E99" s="1499">
        <v>2.1496815351202447</v>
      </c>
      <c r="F99" s="1499">
        <v>1.4951684379110786</v>
      </c>
      <c r="G99" s="1499">
        <v>1.1667845099937759</v>
      </c>
      <c r="H99" s="1499">
        <v>1.3136232224313094</v>
      </c>
      <c r="I99" s="1499">
        <v>3.0257376158436382</v>
      </c>
      <c r="J99" s="1499">
        <v>2.5526751083366643</v>
      </c>
      <c r="K99" s="113">
        <v>0.98400997314841065</v>
      </c>
    </row>
    <row r="100" spans="2:11" x14ac:dyDescent="0.3">
      <c r="B100" s="115"/>
      <c r="C100" s="112" t="s">
        <v>1517</v>
      </c>
      <c r="D100" s="1499">
        <v>3.2693781699463886</v>
      </c>
      <c r="E100" s="1499">
        <v>2.1007897725103377</v>
      </c>
      <c r="F100" s="1499">
        <v>1.4462766753011715</v>
      </c>
      <c r="G100" s="1499">
        <v>1.1178927473838689</v>
      </c>
      <c r="H100" s="1499">
        <v>1.2647314598214021</v>
      </c>
      <c r="I100" s="1499">
        <v>2.9768458532337312</v>
      </c>
      <c r="J100" s="1499">
        <v>2.5037833457267573</v>
      </c>
      <c r="K100" s="113">
        <v>0.93511821053850352</v>
      </c>
    </row>
    <row r="101" spans="2:11" ht="14.5" thickBot="1" x14ac:dyDescent="0.35">
      <c r="B101" s="115"/>
      <c r="C101" s="116" t="s">
        <v>1519</v>
      </c>
      <c r="D101" s="117">
        <v>3.4637962409772598</v>
      </c>
      <c r="E101" s="117">
        <v>2.3054095828031604</v>
      </c>
      <c r="F101" s="117">
        <v>1.648827690709499</v>
      </c>
      <c r="G101" s="117">
        <v>1.3153199606452195</v>
      </c>
      <c r="H101" s="117">
        <v>1.4607508474625419</v>
      </c>
      <c r="I101" s="117">
        <v>3.1786060820881197</v>
      </c>
      <c r="J101" s="117">
        <v>2.7047763879727018</v>
      </c>
      <c r="K101" s="118">
        <v>1.1344287452108481</v>
      </c>
    </row>
    <row r="102" spans="2:11" x14ac:dyDescent="0.3">
      <c r="B102" s="120" t="s">
        <v>1985</v>
      </c>
      <c r="C102" s="1234" t="s">
        <v>1416</v>
      </c>
      <c r="D102" s="109">
        <v>3.0996081714186197</v>
      </c>
      <c r="E102" s="109">
        <v>1.910503964289691</v>
      </c>
      <c r="F102" s="109">
        <v>1.2729235994220993</v>
      </c>
      <c r="G102" s="109">
        <v>0.92948145184750464</v>
      </c>
      <c r="H102" s="109">
        <v>1.1033051206648463</v>
      </c>
      <c r="I102" s="109">
        <v>2.7801556124140592</v>
      </c>
      <c r="J102" s="109">
        <v>2.3106418805506972</v>
      </c>
      <c r="K102" s="110">
        <v>0.73453417017353717</v>
      </c>
    </row>
    <row r="103" spans="2:11" x14ac:dyDescent="0.3">
      <c r="B103" s="121"/>
      <c r="C103" s="1500" t="s">
        <v>1483</v>
      </c>
      <c r="D103" s="1499">
        <v>3.4225380764029811</v>
      </c>
      <c r="E103" s="1499">
        <v>2.2641514182288818</v>
      </c>
      <c r="F103" s="1499">
        <v>1.6075695261352201</v>
      </c>
      <c r="G103" s="1499">
        <v>1.2740617960709406</v>
      </c>
      <c r="H103" s="1499">
        <v>1.419492682888263</v>
      </c>
      <c r="I103" s="1499">
        <v>3.137347917513841</v>
      </c>
      <c r="J103" s="1499">
        <v>2.6635182233984231</v>
      </c>
      <c r="K103" s="113">
        <v>1.0931705806365695</v>
      </c>
    </row>
    <row r="104" spans="2:11" x14ac:dyDescent="0.3">
      <c r="B104" s="111" t="s">
        <v>1987</v>
      </c>
      <c r="C104" s="1500" t="s">
        <v>1489</v>
      </c>
      <c r="D104" s="1499">
        <v>3.3834488026378717</v>
      </c>
      <c r="E104" s="1499">
        <v>2.2250621444637719</v>
      </c>
      <c r="F104" s="1499">
        <v>1.5684802523701105</v>
      </c>
      <c r="G104" s="1499">
        <v>1.234972522305831</v>
      </c>
      <c r="H104" s="1499">
        <v>1.3804034091231534</v>
      </c>
      <c r="I104" s="1499">
        <v>3.0982586437487312</v>
      </c>
      <c r="J104" s="1499">
        <v>2.6244289496333133</v>
      </c>
      <c r="K104" s="113">
        <v>1.0540813068714596</v>
      </c>
    </row>
    <row r="105" spans="2:11" x14ac:dyDescent="0.3">
      <c r="B105" s="122">
        <v>0</v>
      </c>
      <c r="C105" s="1500" t="s">
        <v>1496</v>
      </c>
      <c r="D105" s="1499">
        <v>3.324814891990207</v>
      </c>
      <c r="E105" s="1499">
        <v>2.1664282338161072</v>
      </c>
      <c r="F105" s="1499">
        <v>1.5098463417224457</v>
      </c>
      <c r="G105" s="1499">
        <v>1.1763386116581662</v>
      </c>
      <c r="H105" s="1499">
        <v>1.3217694984754886</v>
      </c>
      <c r="I105" s="1499">
        <v>3.0396247331010664</v>
      </c>
      <c r="J105" s="1499">
        <v>2.5657950389856485</v>
      </c>
      <c r="K105" s="113">
        <v>0.99544739622379497</v>
      </c>
    </row>
    <row r="106" spans="2:11" x14ac:dyDescent="0.3">
      <c r="B106" s="123"/>
      <c r="C106" s="1500" t="s">
        <v>1500</v>
      </c>
      <c r="D106" s="1499">
        <v>3.2661809813425422</v>
      </c>
      <c r="E106" s="1499">
        <v>2.1077943231684428</v>
      </c>
      <c r="F106" s="1499">
        <v>1.4512124310747812</v>
      </c>
      <c r="G106" s="1499">
        <v>1.1177047010105017</v>
      </c>
      <c r="H106" s="1499">
        <v>1.2631355878278241</v>
      </c>
      <c r="I106" s="1499">
        <v>2.9809908224534016</v>
      </c>
      <c r="J106" s="1499">
        <v>2.5071611283379842</v>
      </c>
      <c r="K106" s="113">
        <v>0.9368134855761302</v>
      </c>
    </row>
    <row r="107" spans="2:11" x14ac:dyDescent="0.3">
      <c r="B107" s="123"/>
      <c r="C107" s="1500" t="s">
        <v>1504</v>
      </c>
      <c r="D107" s="1499">
        <v>3.3584980389985284</v>
      </c>
      <c r="E107" s="1499">
        <v>2.1899096415624779</v>
      </c>
      <c r="F107" s="1499">
        <v>1.5353965443533115</v>
      </c>
      <c r="G107" s="1499">
        <v>1.2070126164360091</v>
      </c>
      <c r="H107" s="1499">
        <v>1.3538513288735423</v>
      </c>
      <c r="I107" s="1499">
        <v>3.0659657222858714</v>
      </c>
      <c r="J107" s="1499">
        <v>2.5929032147788975</v>
      </c>
      <c r="K107" s="113">
        <v>1.0242380795906438</v>
      </c>
    </row>
    <row r="108" spans="2:11" x14ac:dyDescent="0.3">
      <c r="B108" s="123"/>
      <c r="C108" s="1500" t="s">
        <v>1508</v>
      </c>
      <c r="D108" s="1499">
        <v>3.325903530591924</v>
      </c>
      <c r="E108" s="1499">
        <v>2.1573151331558731</v>
      </c>
      <c r="F108" s="1499">
        <v>1.5028020359467069</v>
      </c>
      <c r="G108" s="1499">
        <v>1.1744181080294043</v>
      </c>
      <c r="H108" s="1499">
        <v>1.3212568204669377</v>
      </c>
      <c r="I108" s="1499">
        <v>3.0333712138792666</v>
      </c>
      <c r="J108" s="1499">
        <v>2.5603087063722927</v>
      </c>
      <c r="K108" s="113">
        <v>0.99164357118403901</v>
      </c>
    </row>
    <row r="109" spans="2:11" x14ac:dyDescent="0.3">
      <c r="B109" s="123"/>
      <c r="C109" s="1500" t="s">
        <v>1513</v>
      </c>
      <c r="D109" s="1499">
        <v>3.277011767982017</v>
      </c>
      <c r="E109" s="1499">
        <v>2.1084233705459661</v>
      </c>
      <c r="F109" s="1499">
        <v>1.4539102733367999</v>
      </c>
      <c r="G109" s="1499">
        <v>1.1255263454194973</v>
      </c>
      <c r="H109" s="1499">
        <v>1.2723650578570305</v>
      </c>
      <c r="I109" s="1499">
        <v>2.9844794512693595</v>
      </c>
      <c r="J109" s="1499">
        <v>2.5114169437623857</v>
      </c>
      <c r="K109" s="113">
        <v>0.94275180857413188</v>
      </c>
    </row>
    <row r="110" spans="2:11" x14ac:dyDescent="0.3">
      <c r="B110" s="123"/>
      <c r="C110" s="1500" t="s">
        <v>1517</v>
      </c>
      <c r="D110" s="1499">
        <v>3.22812000537211</v>
      </c>
      <c r="E110" s="1499">
        <v>2.0595316079360586</v>
      </c>
      <c r="F110" s="1499">
        <v>1.4050185107268924</v>
      </c>
      <c r="G110" s="1499">
        <v>1.07663458280959</v>
      </c>
      <c r="H110" s="1499">
        <v>1.2234732952471234</v>
      </c>
      <c r="I110" s="1499">
        <v>2.9355876886594525</v>
      </c>
      <c r="J110" s="1499">
        <v>2.4625251811524782</v>
      </c>
      <c r="K110" s="113">
        <v>0.89386004596422475</v>
      </c>
    </row>
    <row r="111" spans="2:11" ht="14.5" thickBot="1" x14ac:dyDescent="0.35">
      <c r="B111" s="124"/>
      <c r="C111" s="125" t="s">
        <v>1519</v>
      </c>
      <c r="D111" s="117">
        <v>3.4225380764029811</v>
      </c>
      <c r="E111" s="117">
        <v>2.2641514182288818</v>
      </c>
      <c r="F111" s="117">
        <v>1.6075695261352201</v>
      </c>
      <c r="G111" s="117">
        <v>1.2740617960709406</v>
      </c>
      <c r="H111" s="117">
        <v>1.419492682888263</v>
      </c>
      <c r="I111" s="117">
        <v>3.137347917513841</v>
      </c>
      <c r="J111" s="117">
        <v>2.6635182233984231</v>
      </c>
      <c r="K111" s="118">
        <v>1.0931705806365695</v>
      </c>
    </row>
    <row r="112" spans="2:11" x14ac:dyDescent="0.3">
      <c r="B112" s="119" t="s">
        <v>1985</v>
      </c>
      <c r="C112" s="108" t="s">
        <v>1416</v>
      </c>
      <c r="D112" s="109">
        <v>3.0377209245572021</v>
      </c>
      <c r="E112" s="109">
        <v>1.8486167174282728</v>
      </c>
      <c r="F112" s="109">
        <v>1.2110363525606811</v>
      </c>
      <c r="G112" s="109">
        <v>0.86759420498608653</v>
      </c>
      <c r="H112" s="109">
        <v>1.0414178738034283</v>
      </c>
      <c r="I112" s="109">
        <v>2.7182683655526412</v>
      </c>
      <c r="J112" s="109">
        <v>2.2487546336892787</v>
      </c>
      <c r="K112" s="110">
        <v>0.67264692331211906</v>
      </c>
    </row>
    <row r="113" spans="2:11" x14ac:dyDescent="0.3">
      <c r="B113" s="111"/>
      <c r="C113" s="112" t="s">
        <v>1483</v>
      </c>
      <c r="D113" s="1499">
        <v>3.3606508295415631</v>
      </c>
      <c r="E113" s="1499">
        <v>2.2022641713674638</v>
      </c>
      <c r="F113" s="1499">
        <v>1.5456822792738021</v>
      </c>
      <c r="G113" s="1499">
        <v>1.2121745492095226</v>
      </c>
      <c r="H113" s="1499">
        <v>1.357605436026845</v>
      </c>
      <c r="I113" s="1499">
        <v>3.075460670652423</v>
      </c>
      <c r="J113" s="1499">
        <v>2.6016309765370051</v>
      </c>
      <c r="K113" s="113">
        <v>1.0312833337751512</v>
      </c>
    </row>
    <row r="114" spans="2:11" ht="14.5" thickBot="1" x14ac:dyDescent="0.35">
      <c r="B114" s="111" t="s">
        <v>1988</v>
      </c>
      <c r="C114" s="112" t="s">
        <v>1489</v>
      </c>
      <c r="D114" s="1499">
        <v>3.3215615557764537</v>
      </c>
      <c r="E114" s="1499">
        <v>2.1631748976023539</v>
      </c>
      <c r="F114" s="1501">
        <v>1.5065930055086922</v>
      </c>
      <c r="G114" s="1499">
        <v>1.1730852754444128</v>
      </c>
      <c r="H114" s="1499">
        <v>1.3185161622617352</v>
      </c>
      <c r="I114" s="1499">
        <v>3.0363713968873132</v>
      </c>
      <c r="J114" s="1499">
        <v>2.5625417027718953</v>
      </c>
      <c r="K114" s="113">
        <v>0.99219406001004151</v>
      </c>
    </row>
    <row r="115" spans="2:11" ht="14.5" thickBot="1" x14ac:dyDescent="0.35">
      <c r="B115" s="114">
        <v>0</v>
      </c>
      <c r="C115" s="112" t="s">
        <v>1496</v>
      </c>
      <c r="D115" s="1499">
        <v>3.262927645128789</v>
      </c>
      <c r="E115" s="1502">
        <v>2.1045409869546892</v>
      </c>
      <c r="F115" s="126">
        <v>1.4479590948610277</v>
      </c>
      <c r="G115" s="1503">
        <v>1.1144513647967482</v>
      </c>
      <c r="H115" s="1499">
        <v>1.2598822516140706</v>
      </c>
      <c r="I115" s="1499">
        <v>2.9777374862396484</v>
      </c>
      <c r="J115" s="1499">
        <v>2.5039077921242305</v>
      </c>
      <c r="K115" s="113">
        <v>0.93356014936237686</v>
      </c>
    </row>
    <row r="116" spans="2:11" x14ac:dyDescent="0.3">
      <c r="B116" s="115"/>
      <c r="C116" s="112" t="s">
        <v>1500</v>
      </c>
      <c r="D116" s="1499">
        <v>3.2042937344811242</v>
      </c>
      <c r="E116" s="1499">
        <v>2.0459070763070244</v>
      </c>
      <c r="F116" s="127">
        <v>1.3893251842133629</v>
      </c>
      <c r="G116" s="1499">
        <v>1.0558174541490835</v>
      </c>
      <c r="H116" s="1499">
        <v>1.2012483409664059</v>
      </c>
      <c r="I116" s="1499">
        <v>2.9191035755919836</v>
      </c>
      <c r="J116" s="1499">
        <v>2.4452738814765662</v>
      </c>
      <c r="K116" s="113">
        <v>0.87492623871471231</v>
      </c>
    </row>
    <row r="117" spans="2:11" x14ac:dyDescent="0.3">
      <c r="B117" s="115"/>
      <c r="C117" s="112" t="s">
        <v>1504</v>
      </c>
      <c r="D117" s="1499">
        <v>3.2966107921371104</v>
      </c>
      <c r="E117" s="1499">
        <v>2.1280223947010595</v>
      </c>
      <c r="F117" s="1499">
        <v>1.4735092974918933</v>
      </c>
      <c r="G117" s="1499">
        <v>1.1451253695745911</v>
      </c>
      <c r="H117" s="1499">
        <v>1.2919640820121243</v>
      </c>
      <c r="I117" s="1499">
        <v>3.0040784754244534</v>
      </c>
      <c r="J117" s="1499">
        <v>2.5310159679174791</v>
      </c>
      <c r="K117" s="113">
        <v>0.96235083272922572</v>
      </c>
    </row>
    <row r="118" spans="2:11" x14ac:dyDescent="0.3">
      <c r="B118" s="115"/>
      <c r="C118" s="112" t="s">
        <v>1508</v>
      </c>
      <c r="D118" s="1499">
        <v>3.264016283730506</v>
      </c>
      <c r="E118" s="1499">
        <v>2.0954278862944546</v>
      </c>
      <c r="F118" s="1499">
        <v>1.4409147890852887</v>
      </c>
      <c r="G118" s="1499">
        <v>1.1125308611679863</v>
      </c>
      <c r="H118" s="1499">
        <v>1.2593695736055197</v>
      </c>
      <c r="I118" s="1499">
        <v>2.971483967017849</v>
      </c>
      <c r="J118" s="1499">
        <v>2.4984214595108742</v>
      </c>
      <c r="K118" s="113">
        <v>0.9297563243226209</v>
      </c>
    </row>
    <row r="119" spans="2:11" x14ac:dyDescent="0.3">
      <c r="B119" s="115"/>
      <c r="C119" s="112" t="s">
        <v>1513</v>
      </c>
      <c r="D119" s="1499">
        <v>3.2151245211205981</v>
      </c>
      <c r="E119" s="1499">
        <v>2.0465361236845476</v>
      </c>
      <c r="F119" s="1499">
        <v>1.3920230264753817</v>
      </c>
      <c r="G119" s="1499">
        <v>1.063639098558079</v>
      </c>
      <c r="H119" s="1499">
        <v>1.2104778109956125</v>
      </c>
      <c r="I119" s="1499">
        <v>2.922592204407942</v>
      </c>
      <c r="J119" s="1499">
        <v>2.4495296969009672</v>
      </c>
      <c r="K119" s="113">
        <v>0.88086456171271377</v>
      </c>
    </row>
    <row r="120" spans="2:11" x14ac:dyDescent="0.3">
      <c r="B120" s="115"/>
      <c r="C120" s="112" t="s">
        <v>1517</v>
      </c>
      <c r="D120" s="1499">
        <v>3.1662327585106911</v>
      </c>
      <c r="E120" s="1499">
        <v>1.9976443610746408</v>
      </c>
      <c r="F120" s="1499">
        <v>1.3431312638654747</v>
      </c>
      <c r="G120" s="1499">
        <v>1.014747335948172</v>
      </c>
      <c r="H120" s="1499">
        <v>1.1615860483857052</v>
      </c>
      <c r="I120" s="1499">
        <v>2.8737004417980341</v>
      </c>
      <c r="J120" s="1499">
        <v>2.4006379342910602</v>
      </c>
      <c r="K120" s="113">
        <v>0.83197279910280664</v>
      </c>
    </row>
    <row r="121" spans="2:11" ht="14.5" thickBot="1" x14ac:dyDescent="0.35">
      <c r="B121" s="1233"/>
      <c r="C121" s="116" t="s">
        <v>1519</v>
      </c>
      <c r="D121" s="117">
        <v>3.3606508295415631</v>
      </c>
      <c r="E121" s="117">
        <v>2.2022641713674638</v>
      </c>
      <c r="F121" s="117">
        <v>1.5456822792738021</v>
      </c>
      <c r="G121" s="117">
        <v>1.2121745492095226</v>
      </c>
      <c r="H121" s="117">
        <v>1.357605436026845</v>
      </c>
      <c r="I121" s="117">
        <v>3.075460670652423</v>
      </c>
      <c r="J121" s="117">
        <v>2.6016309765370051</v>
      </c>
      <c r="K121" s="118">
        <v>1.0312833337751512</v>
      </c>
    </row>
    <row r="122" spans="2:11" x14ac:dyDescent="0.3">
      <c r="B122" s="107" t="s">
        <v>1985</v>
      </c>
      <c r="C122" s="108" t="s">
        <v>1416</v>
      </c>
      <c r="D122" s="109">
        <v>2.9758336776957832</v>
      </c>
      <c r="E122" s="109">
        <v>1.7867294705668548</v>
      </c>
      <c r="F122" s="109">
        <v>1.1491491056992631</v>
      </c>
      <c r="G122" s="109">
        <v>0.80570695812466842</v>
      </c>
      <c r="H122" s="109">
        <v>0.9795306269420101</v>
      </c>
      <c r="I122" s="109">
        <v>2.6563811186912227</v>
      </c>
      <c r="J122" s="109">
        <v>2.1868673868278607</v>
      </c>
      <c r="K122" s="110">
        <v>0.61075967645070095</v>
      </c>
    </row>
    <row r="123" spans="2:11" x14ac:dyDescent="0.3">
      <c r="B123" s="111"/>
      <c r="C123" s="112" t="s">
        <v>1483</v>
      </c>
      <c r="D123" s="1499">
        <v>3.2987635826801451</v>
      </c>
      <c r="E123" s="1499">
        <v>2.1403769245060453</v>
      </c>
      <c r="F123" s="1499">
        <v>1.4837950324123839</v>
      </c>
      <c r="G123" s="1499">
        <v>1.1502873023481044</v>
      </c>
      <c r="H123" s="1499">
        <v>1.295718189165427</v>
      </c>
      <c r="I123" s="1499">
        <v>3.013573423791005</v>
      </c>
      <c r="J123" s="1499">
        <v>2.5397437296755867</v>
      </c>
      <c r="K123" s="113">
        <v>0.96939608691373313</v>
      </c>
    </row>
    <row r="124" spans="2:11" x14ac:dyDescent="0.3">
      <c r="B124" s="111" t="s">
        <v>1989</v>
      </c>
      <c r="C124" s="112" t="s">
        <v>1489</v>
      </c>
      <c r="D124" s="1499">
        <v>3.2596743089150353</v>
      </c>
      <c r="E124" s="1499">
        <v>2.1012876507409359</v>
      </c>
      <c r="F124" s="1499">
        <v>1.4447057586472742</v>
      </c>
      <c r="G124" s="1499">
        <v>1.1111980285829948</v>
      </c>
      <c r="H124" s="1499">
        <v>1.2566289154003172</v>
      </c>
      <c r="I124" s="1499">
        <v>2.9744841500258947</v>
      </c>
      <c r="J124" s="1499">
        <v>2.5006544559104773</v>
      </c>
      <c r="K124" s="113">
        <v>0.9303068131486234</v>
      </c>
    </row>
    <row r="125" spans="2:11" x14ac:dyDescent="0.3">
      <c r="B125" s="114">
        <v>0</v>
      </c>
      <c r="C125" s="112" t="s">
        <v>1496</v>
      </c>
      <c r="D125" s="1499">
        <v>3.201040398267371</v>
      </c>
      <c r="E125" s="1499">
        <v>2.0426537400932712</v>
      </c>
      <c r="F125" s="1499">
        <v>1.3860718479996095</v>
      </c>
      <c r="G125" s="1499">
        <v>1.05256411793533</v>
      </c>
      <c r="H125" s="1499">
        <v>1.1979950047526524</v>
      </c>
      <c r="I125" s="1499">
        <v>2.9158502393782304</v>
      </c>
      <c r="J125" s="1499">
        <v>2.4420205452628125</v>
      </c>
      <c r="K125" s="113">
        <v>0.87167290250095875</v>
      </c>
    </row>
    <row r="126" spans="2:11" x14ac:dyDescent="0.3">
      <c r="B126" s="115"/>
      <c r="C126" s="112" t="s">
        <v>1500</v>
      </c>
      <c r="D126" s="1499">
        <v>3.1424064876197062</v>
      </c>
      <c r="E126" s="1499">
        <v>1.9840198294456066</v>
      </c>
      <c r="F126" s="1499">
        <v>1.3274379373519449</v>
      </c>
      <c r="G126" s="1499">
        <v>0.99393020728766535</v>
      </c>
      <c r="H126" s="1499">
        <v>1.1393610941049879</v>
      </c>
      <c r="I126" s="1499">
        <v>2.8572163287305656</v>
      </c>
      <c r="J126" s="1499">
        <v>2.3833866346151482</v>
      </c>
      <c r="K126" s="113">
        <v>0.81303899185329398</v>
      </c>
    </row>
    <row r="127" spans="2:11" x14ac:dyDescent="0.3">
      <c r="B127" s="115"/>
      <c r="C127" s="112" t="s">
        <v>1504</v>
      </c>
      <c r="D127" s="1499">
        <v>3.2347235452756924</v>
      </c>
      <c r="E127" s="1499">
        <v>2.0661351478396415</v>
      </c>
      <c r="F127" s="1499">
        <v>1.4116220506304753</v>
      </c>
      <c r="G127" s="1499">
        <v>1.0832381227131729</v>
      </c>
      <c r="H127" s="1499">
        <v>1.2300768351507063</v>
      </c>
      <c r="I127" s="1499">
        <v>2.9421912285630354</v>
      </c>
      <c r="J127" s="1499">
        <v>2.4691287210560611</v>
      </c>
      <c r="K127" s="113">
        <v>0.90046358586780761</v>
      </c>
    </row>
    <row r="128" spans="2:11" x14ac:dyDescent="0.3">
      <c r="B128" s="115"/>
      <c r="C128" s="112" t="s">
        <v>1508</v>
      </c>
      <c r="D128" s="1499">
        <v>3.2021290368690871</v>
      </c>
      <c r="E128" s="1499">
        <v>2.0335406394330366</v>
      </c>
      <c r="F128" s="1499">
        <v>1.3790275422238707</v>
      </c>
      <c r="G128" s="1499">
        <v>1.0506436143065683</v>
      </c>
      <c r="H128" s="1499">
        <v>1.1974823267441015</v>
      </c>
      <c r="I128" s="1499">
        <v>2.9095967201564301</v>
      </c>
      <c r="J128" s="1499">
        <v>2.4365342126494562</v>
      </c>
      <c r="K128" s="113">
        <v>0.86786907746120279</v>
      </c>
    </row>
    <row r="129" spans="2:11" x14ac:dyDescent="0.3">
      <c r="B129" s="115"/>
      <c r="C129" s="112" t="s">
        <v>1513</v>
      </c>
      <c r="D129" s="1499">
        <v>3.1532372742591801</v>
      </c>
      <c r="E129" s="1499">
        <v>1.9846488768231294</v>
      </c>
      <c r="F129" s="1499">
        <v>1.3301357796139637</v>
      </c>
      <c r="G129" s="1499">
        <v>1.001751851696661</v>
      </c>
      <c r="H129" s="1499">
        <v>1.1485905641341945</v>
      </c>
      <c r="I129" s="1499">
        <v>2.8607049575465231</v>
      </c>
      <c r="J129" s="1499">
        <v>2.3876424500395492</v>
      </c>
      <c r="K129" s="113">
        <v>0.81897731485129566</v>
      </c>
    </row>
    <row r="130" spans="2:11" x14ac:dyDescent="0.3">
      <c r="B130" s="115"/>
      <c r="C130" s="112" t="s">
        <v>1517</v>
      </c>
      <c r="D130" s="1499">
        <v>3.1043455116492735</v>
      </c>
      <c r="E130" s="1499">
        <v>1.9357571142132224</v>
      </c>
      <c r="F130" s="1499">
        <v>1.2812440170040562</v>
      </c>
      <c r="G130" s="1499">
        <v>0.9528600890867539</v>
      </c>
      <c r="H130" s="1499">
        <v>1.0996988015242872</v>
      </c>
      <c r="I130" s="1499">
        <v>2.8118131949366161</v>
      </c>
      <c r="J130" s="1499">
        <v>2.3387506874296422</v>
      </c>
      <c r="K130" s="113">
        <v>0.77008555224138853</v>
      </c>
    </row>
    <row r="131" spans="2:11" ht="14.5" thickBot="1" x14ac:dyDescent="0.35">
      <c r="B131" s="1233"/>
      <c r="C131" s="116" t="s">
        <v>1519</v>
      </c>
      <c r="D131" s="117">
        <v>3.2987635826801451</v>
      </c>
      <c r="E131" s="117">
        <v>2.1403769245060453</v>
      </c>
      <c r="F131" s="117">
        <v>1.4837950324123839</v>
      </c>
      <c r="G131" s="117">
        <v>1.1502873023481044</v>
      </c>
      <c r="H131" s="117">
        <v>1.295718189165427</v>
      </c>
      <c r="I131" s="117">
        <v>3.013573423791005</v>
      </c>
      <c r="J131" s="117">
        <v>2.5397437296755867</v>
      </c>
      <c r="K131" s="118">
        <v>0.96939608691373313</v>
      </c>
    </row>
    <row r="132" spans="2:11" x14ac:dyDescent="0.3">
      <c r="B132" s="120" t="s">
        <v>1990</v>
      </c>
      <c r="C132" s="108" t="s">
        <v>1416</v>
      </c>
      <c r="D132" s="109">
        <v>3.0649061191536457</v>
      </c>
      <c r="E132" s="109">
        <v>1.8722250487649188</v>
      </c>
      <c r="F132" s="109">
        <v>1.2519606215207379</v>
      </c>
      <c r="G132" s="109">
        <v>0.90081348101348147</v>
      </c>
      <c r="H132" s="109">
        <v>1.0789805645208121</v>
      </c>
      <c r="I132" s="109">
        <v>2.7373198663475984</v>
      </c>
      <c r="J132" s="109">
        <v>2.2684709295468592</v>
      </c>
      <c r="K132" s="110">
        <v>0.71159896497080422</v>
      </c>
    </row>
    <row r="133" spans="2:11" x14ac:dyDescent="0.3">
      <c r="B133" s="111"/>
      <c r="C133" s="112" t="s">
        <v>1483</v>
      </c>
      <c r="D133" s="1499">
        <v>3.389625929921837</v>
      </c>
      <c r="E133" s="1499">
        <v>2.2236428612280998</v>
      </c>
      <c r="F133" s="1499">
        <v>1.5783062830135519</v>
      </c>
      <c r="G133" s="1499">
        <v>1.2513004970277282</v>
      </c>
      <c r="H133" s="1499">
        <v>1.3962000938653758</v>
      </c>
      <c r="I133" s="1499">
        <v>3.0940807858482944</v>
      </c>
      <c r="J133" s="1499">
        <v>2.6236471397255037</v>
      </c>
      <c r="K133" s="113">
        <v>1.0705807279718689</v>
      </c>
    </row>
    <row r="134" spans="2:11" x14ac:dyDescent="0.3">
      <c r="B134" s="111" t="s">
        <v>1986</v>
      </c>
      <c r="C134" s="112" t="s">
        <v>1489</v>
      </c>
      <c r="D134" s="1499">
        <v>3.3505366561567271</v>
      </c>
      <c r="E134" s="1499">
        <v>2.1845535874629896</v>
      </c>
      <c r="F134" s="1499">
        <v>1.5392170092484421</v>
      </c>
      <c r="G134" s="1499">
        <v>1.2122112232626183</v>
      </c>
      <c r="H134" s="1499">
        <v>1.3571108201002662</v>
      </c>
      <c r="I134" s="1499">
        <v>3.054991512083185</v>
      </c>
      <c r="J134" s="1499">
        <v>2.5845578659603934</v>
      </c>
      <c r="K134" s="113">
        <v>1.031491454206759</v>
      </c>
    </row>
    <row r="135" spans="2:11" x14ac:dyDescent="0.3">
      <c r="B135" s="114">
        <v>0</v>
      </c>
      <c r="C135" s="112" t="s">
        <v>1496</v>
      </c>
      <c r="D135" s="1499">
        <v>3.2919027455090624</v>
      </c>
      <c r="E135" s="1499">
        <v>2.1259196768153248</v>
      </c>
      <c r="F135" s="1499">
        <v>1.4805830986007773</v>
      </c>
      <c r="G135" s="1499">
        <v>1.1535773126149538</v>
      </c>
      <c r="H135" s="1499">
        <v>1.2984769094526014</v>
      </c>
      <c r="I135" s="1499">
        <v>2.9963576014355202</v>
      </c>
      <c r="J135" s="1499">
        <v>2.5259239553127286</v>
      </c>
      <c r="K135" s="113">
        <v>0.97285754355909448</v>
      </c>
    </row>
    <row r="136" spans="2:11" x14ac:dyDescent="0.3">
      <c r="B136" s="115"/>
      <c r="C136" s="112" t="s">
        <v>1500</v>
      </c>
      <c r="D136" s="1499">
        <v>3.2332688348613976</v>
      </c>
      <c r="E136" s="1499">
        <v>2.0672857661676605</v>
      </c>
      <c r="F136" s="1499">
        <v>1.4219491879531128</v>
      </c>
      <c r="G136" s="1499">
        <v>1.0949434019672892</v>
      </c>
      <c r="H136" s="1499">
        <v>1.2398429988049369</v>
      </c>
      <c r="I136" s="1499">
        <v>2.9377236907878554</v>
      </c>
      <c r="J136" s="1499">
        <v>2.4672900446650643</v>
      </c>
      <c r="K136" s="113">
        <v>0.91422363291142983</v>
      </c>
    </row>
    <row r="137" spans="2:11" x14ac:dyDescent="0.3">
      <c r="B137" s="115"/>
      <c r="C137" s="112" t="s">
        <v>1504</v>
      </c>
      <c r="D137" s="1499">
        <v>3.3250755515289563</v>
      </c>
      <c r="E137" s="1499">
        <v>2.1488759949793259</v>
      </c>
      <c r="F137" s="1499">
        <v>1.505201285519753</v>
      </c>
      <c r="G137" s="1499">
        <v>1.183407011036306</v>
      </c>
      <c r="H137" s="1499">
        <v>1.3338392969161215</v>
      </c>
      <c r="I137" s="1499">
        <v>3.0224088321951172</v>
      </c>
      <c r="J137" s="1499">
        <v>2.5522674698245806</v>
      </c>
      <c r="K137" s="113">
        <v>1.0008104106742426</v>
      </c>
    </row>
    <row r="138" spans="2:11" x14ac:dyDescent="0.3">
      <c r="B138" s="115"/>
      <c r="C138" s="112" t="s">
        <v>1508</v>
      </c>
      <c r="D138" s="1499">
        <v>3.2924810431223519</v>
      </c>
      <c r="E138" s="1499">
        <v>2.1162814865727211</v>
      </c>
      <c r="F138" s="1499">
        <v>1.4726067771131484</v>
      </c>
      <c r="G138" s="1499">
        <v>1.1508125026297011</v>
      </c>
      <c r="H138" s="1499">
        <v>1.3012447885095166</v>
      </c>
      <c r="I138" s="1499">
        <v>2.9898143237885129</v>
      </c>
      <c r="J138" s="1499">
        <v>2.5196729614179758</v>
      </c>
      <c r="K138" s="113">
        <v>0.96821590226763776</v>
      </c>
    </row>
    <row r="139" spans="2:11" x14ac:dyDescent="0.3">
      <c r="B139" s="115"/>
      <c r="C139" s="112" t="s">
        <v>1513</v>
      </c>
      <c r="D139" s="1499">
        <v>3.2435892805124444</v>
      </c>
      <c r="E139" s="1499">
        <v>2.0673897239628141</v>
      </c>
      <c r="F139" s="1499">
        <v>1.4237150145032413</v>
      </c>
      <c r="G139" s="1499">
        <v>1.1019207400197941</v>
      </c>
      <c r="H139" s="1499">
        <v>1.2523530258996094</v>
      </c>
      <c r="I139" s="1499">
        <v>2.9409225611786054</v>
      </c>
      <c r="J139" s="1499">
        <v>2.4707811988080688</v>
      </c>
      <c r="K139" s="113">
        <v>0.91932413965773052</v>
      </c>
    </row>
    <row r="140" spans="2:11" x14ac:dyDescent="0.3">
      <c r="B140" s="115"/>
      <c r="C140" s="112" t="s">
        <v>1517</v>
      </c>
      <c r="D140" s="1499">
        <v>3.1946975179025374</v>
      </c>
      <c r="E140" s="1499">
        <v>2.018497961352907</v>
      </c>
      <c r="F140" s="1499">
        <v>1.3748232518933339</v>
      </c>
      <c r="G140" s="1499">
        <v>1.0530289774098871</v>
      </c>
      <c r="H140" s="1499">
        <v>1.2034612632897024</v>
      </c>
      <c r="I140" s="1499">
        <v>2.8920307985686984</v>
      </c>
      <c r="J140" s="1499">
        <v>2.4218894361981618</v>
      </c>
      <c r="K140" s="113">
        <v>0.87043237704782361</v>
      </c>
    </row>
    <row r="141" spans="2:11" ht="14.5" thickBot="1" x14ac:dyDescent="0.35">
      <c r="B141" s="1233"/>
      <c r="C141" s="116" t="s">
        <v>1519</v>
      </c>
      <c r="D141" s="117">
        <v>3.389625929921837</v>
      </c>
      <c r="E141" s="117">
        <v>2.2236428612280998</v>
      </c>
      <c r="F141" s="117">
        <v>1.5783062830135519</v>
      </c>
      <c r="G141" s="117">
        <v>1.2513004970277282</v>
      </c>
      <c r="H141" s="117">
        <v>1.3962000938653758</v>
      </c>
      <c r="I141" s="117">
        <v>3.0940807858482944</v>
      </c>
      <c r="J141" s="117">
        <v>2.6236471397255037</v>
      </c>
      <c r="K141" s="118">
        <v>1.0705807279718689</v>
      </c>
    </row>
    <row r="142" spans="2:11" x14ac:dyDescent="0.3">
      <c r="B142" s="120" t="s">
        <v>1990</v>
      </c>
      <c r="C142" s="108" t="s">
        <v>1416</v>
      </c>
      <c r="D142" s="109">
        <v>3.0304048614477463</v>
      </c>
      <c r="E142" s="109">
        <v>1.8377237910590196</v>
      </c>
      <c r="F142" s="109">
        <v>1.2174593638148388</v>
      </c>
      <c r="G142" s="109">
        <v>0.86631222330758229</v>
      </c>
      <c r="H142" s="109">
        <v>1.044479306814913</v>
      </c>
      <c r="I142" s="109">
        <v>2.702818608641699</v>
      </c>
      <c r="J142" s="109">
        <v>2.2339696718409603</v>
      </c>
      <c r="K142" s="110">
        <v>0.67709770726490504</v>
      </c>
    </row>
    <row r="143" spans="2:11" x14ac:dyDescent="0.3">
      <c r="B143" s="111"/>
      <c r="C143" s="112" t="s">
        <v>1483</v>
      </c>
      <c r="D143" s="1499">
        <v>3.3551246722159376</v>
      </c>
      <c r="E143" s="1499">
        <v>2.1891416035222</v>
      </c>
      <c r="F143" s="1499">
        <v>1.5438050253076525</v>
      </c>
      <c r="G143" s="1499">
        <v>1.216799239321829</v>
      </c>
      <c r="H143" s="1499">
        <v>1.3616988361594766</v>
      </c>
      <c r="I143" s="1499">
        <v>3.059579528142395</v>
      </c>
      <c r="J143" s="1499">
        <v>2.5891458820196038</v>
      </c>
      <c r="K143" s="113">
        <v>1.0360794702659697</v>
      </c>
    </row>
    <row r="144" spans="2:11" x14ac:dyDescent="0.3">
      <c r="B144" s="111" t="s">
        <v>1987</v>
      </c>
      <c r="C144" s="112" t="s">
        <v>1489</v>
      </c>
      <c r="D144" s="1499">
        <v>3.3160353984508277</v>
      </c>
      <c r="E144" s="1499">
        <v>2.1500523297570906</v>
      </c>
      <c r="F144" s="1499">
        <v>1.5047157515425429</v>
      </c>
      <c r="G144" s="1499">
        <v>1.1777099655567191</v>
      </c>
      <c r="H144" s="1499">
        <v>1.3226095623943668</v>
      </c>
      <c r="I144" s="1499">
        <v>3.0204902543772856</v>
      </c>
      <c r="J144" s="1499">
        <v>2.5500566082544944</v>
      </c>
      <c r="K144" s="113">
        <v>0.99699019650085985</v>
      </c>
    </row>
    <row r="145" spans="2:11" x14ac:dyDescent="0.3">
      <c r="B145" s="114">
        <v>0</v>
      </c>
      <c r="C145" s="112" t="s">
        <v>1496</v>
      </c>
      <c r="D145" s="1499">
        <v>3.257401487803163</v>
      </c>
      <c r="E145" s="1499">
        <v>2.0914184191094258</v>
      </c>
      <c r="F145" s="1499">
        <v>1.4460818408948781</v>
      </c>
      <c r="G145" s="1499">
        <v>1.1190760549090546</v>
      </c>
      <c r="H145" s="1499">
        <v>1.2639756517467022</v>
      </c>
      <c r="I145" s="1499">
        <v>2.9618563437296208</v>
      </c>
      <c r="J145" s="1499">
        <v>2.4914226976068297</v>
      </c>
      <c r="K145" s="113">
        <v>0.9383562858531953</v>
      </c>
    </row>
    <row r="146" spans="2:11" x14ac:dyDescent="0.3">
      <c r="B146" s="115"/>
      <c r="C146" s="112" t="s">
        <v>1500</v>
      </c>
      <c r="D146" s="1499">
        <v>3.1987675771554982</v>
      </c>
      <c r="E146" s="1499">
        <v>2.0327845084617615</v>
      </c>
      <c r="F146" s="1499">
        <v>1.3874479302472136</v>
      </c>
      <c r="G146" s="1499">
        <v>1.0604421442613901</v>
      </c>
      <c r="H146" s="1499">
        <v>1.2053417410990375</v>
      </c>
      <c r="I146" s="1499">
        <v>2.903222433081956</v>
      </c>
      <c r="J146" s="1499">
        <v>2.4327887869591653</v>
      </c>
      <c r="K146" s="113">
        <v>0.87972237520553065</v>
      </c>
    </row>
    <row r="147" spans="2:11" x14ac:dyDescent="0.3">
      <c r="B147" s="115"/>
      <c r="C147" s="112" t="s">
        <v>1504</v>
      </c>
      <c r="D147" s="1499">
        <v>3.2905742938230569</v>
      </c>
      <c r="E147" s="1499">
        <v>2.114374737273427</v>
      </c>
      <c r="F147" s="1499">
        <v>1.4707000278138538</v>
      </c>
      <c r="G147" s="1499">
        <v>1.1489057533304068</v>
      </c>
      <c r="H147" s="1499">
        <v>1.2993380392102223</v>
      </c>
      <c r="I147" s="1499">
        <v>2.9879075744892178</v>
      </c>
      <c r="J147" s="1499">
        <v>2.5177662121186817</v>
      </c>
      <c r="K147" s="113">
        <v>0.9663091529683433</v>
      </c>
    </row>
    <row r="148" spans="2:11" x14ac:dyDescent="0.3">
      <c r="B148" s="115"/>
      <c r="C148" s="112" t="s">
        <v>1508</v>
      </c>
      <c r="D148" s="1499">
        <v>3.2579797854164525</v>
      </c>
      <c r="E148" s="1499">
        <v>2.0817802288668221</v>
      </c>
      <c r="F148" s="1499">
        <v>1.4381055194072492</v>
      </c>
      <c r="G148" s="1499">
        <v>1.116311244923802</v>
      </c>
      <c r="H148" s="1499">
        <v>1.2667435308036175</v>
      </c>
      <c r="I148" s="1499">
        <v>2.9553130660826135</v>
      </c>
      <c r="J148" s="1499">
        <v>2.4851717037120769</v>
      </c>
      <c r="K148" s="113">
        <v>0.93371464456173858</v>
      </c>
    </row>
    <row r="149" spans="2:11" x14ac:dyDescent="0.3">
      <c r="B149" s="115"/>
      <c r="C149" s="112" t="s">
        <v>1513</v>
      </c>
      <c r="D149" s="1499">
        <v>3.2090880228065455</v>
      </c>
      <c r="E149" s="1499">
        <v>2.0328884662569151</v>
      </c>
      <c r="F149" s="1499">
        <v>1.3892137567973422</v>
      </c>
      <c r="G149" s="1499">
        <v>1.0674194823138947</v>
      </c>
      <c r="H149" s="1499">
        <v>1.2178517681937102</v>
      </c>
      <c r="I149" s="1499">
        <v>2.9064213034727064</v>
      </c>
      <c r="J149" s="1499">
        <v>2.4362799411021698</v>
      </c>
      <c r="K149" s="113">
        <v>0.88482288195183134</v>
      </c>
    </row>
    <row r="150" spans="2:11" x14ac:dyDescent="0.3">
      <c r="B150" s="115"/>
      <c r="C150" s="112" t="s">
        <v>1517</v>
      </c>
      <c r="D150" s="1499">
        <v>3.1601962601966385</v>
      </c>
      <c r="E150" s="1499">
        <v>1.9839967036470076</v>
      </c>
      <c r="F150" s="1499">
        <v>1.3403219941874347</v>
      </c>
      <c r="G150" s="1499">
        <v>1.0185277197039877</v>
      </c>
      <c r="H150" s="1499">
        <v>1.1689600055838032</v>
      </c>
      <c r="I150" s="1499">
        <v>2.8575295408627994</v>
      </c>
      <c r="J150" s="1499">
        <v>2.3873881784922624</v>
      </c>
      <c r="K150" s="113">
        <v>0.83593111934192421</v>
      </c>
    </row>
    <row r="151" spans="2:11" ht="14.5" thickBot="1" x14ac:dyDescent="0.35">
      <c r="B151" s="1233"/>
      <c r="C151" s="116" t="s">
        <v>1519</v>
      </c>
      <c r="D151" s="117">
        <v>3.3551246722159376</v>
      </c>
      <c r="E151" s="117">
        <v>2.1891416035222</v>
      </c>
      <c r="F151" s="117">
        <v>1.5438050253076525</v>
      </c>
      <c r="G151" s="117">
        <v>1.216799239321829</v>
      </c>
      <c r="H151" s="117">
        <v>1.3616988361594766</v>
      </c>
      <c r="I151" s="117">
        <v>3.059579528142395</v>
      </c>
      <c r="J151" s="117">
        <v>2.5891458820196038</v>
      </c>
      <c r="K151" s="118">
        <v>1.0360794702659697</v>
      </c>
    </row>
    <row r="152" spans="2:11" x14ac:dyDescent="0.3">
      <c r="B152" s="120" t="s">
        <v>1990</v>
      </c>
      <c r="C152" s="108" t="s">
        <v>1416</v>
      </c>
      <c r="D152" s="109">
        <v>2.978652974888897</v>
      </c>
      <c r="E152" s="109">
        <v>1.7859719045001707</v>
      </c>
      <c r="F152" s="109">
        <v>1.1657074772559899</v>
      </c>
      <c r="G152" s="109">
        <v>0.8145603367487334</v>
      </c>
      <c r="H152" s="109">
        <v>0.9927274202560642</v>
      </c>
      <c r="I152" s="109">
        <v>2.6510667220828501</v>
      </c>
      <c r="J152" s="109">
        <v>2.182217785282111</v>
      </c>
      <c r="K152" s="110">
        <v>0.62534582070605627</v>
      </c>
    </row>
    <row r="153" spans="2:11" x14ac:dyDescent="0.3">
      <c r="B153" s="111"/>
      <c r="C153" s="112" t="s">
        <v>1483</v>
      </c>
      <c r="D153" s="1499">
        <v>3.3033727856570883</v>
      </c>
      <c r="E153" s="1499">
        <v>2.1373897169633516</v>
      </c>
      <c r="F153" s="1499">
        <v>1.4920531387488039</v>
      </c>
      <c r="G153" s="1499">
        <v>1.1650473527629803</v>
      </c>
      <c r="H153" s="1499">
        <v>1.3099469496006277</v>
      </c>
      <c r="I153" s="1499">
        <v>3.0078276415835461</v>
      </c>
      <c r="J153" s="1499">
        <v>2.5373939954607554</v>
      </c>
      <c r="K153" s="113">
        <v>0.98432758370712092</v>
      </c>
    </row>
    <row r="154" spans="2:11" x14ac:dyDescent="0.3">
      <c r="B154" s="111" t="s">
        <v>1988</v>
      </c>
      <c r="C154" s="112" t="s">
        <v>1489</v>
      </c>
      <c r="D154" s="1499">
        <v>3.2642835118919789</v>
      </c>
      <c r="E154" s="1499">
        <v>2.0983004431982417</v>
      </c>
      <c r="F154" s="1499">
        <v>1.452963864983694</v>
      </c>
      <c r="G154" s="1499">
        <v>1.1259580789978705</v>
      </c>
      <c r="H154" s="1499">
        <v>1.2708576758355181</v>
      </c>
      <c r="I154" s="1499">
        <v>2.9687383678184367</v>
      </c>
      <c r="J154" s="1499">
        <v>2.4983047216956455</v>
      </c>
      <c r="K154" s="113">
        <v>0.94523830994201108</v>
      </c>
    </row>
    <row r="155" spans="2:11" x14ac:dyDescent="0.3">
      <c r="B155" s="114">
        <v>0</v>
      </c>
      <c r="C155" s="112" t="s">
        <v>1496</v>
      </c>
      <c r="D155" s="1499">
        <v>3.2056496012443141</v>
      </c>
      <c r="E155" s="1499">
        <v>2.0396665325505769</v>
      </c>
      <c r="F155" s="1499">
        <v>1.3943299543360295</v>
      </c>
      <c r="G155" s="1499">
        <v>1.0673241683502057</v>
      </c>
      <c r="H155" s="1499">
        <v>1.2122237651878534</v>
      </c>
      <c r="I155" s="1499">
        <v>2.9101044571707719</v>
      </c>
      <c r="J155" s="1499">
        <v>2.4396708110479808</v>
      </c>
      <c r="K155" s="113">
        <v>0.88660439929434642</v>
      </c>
    </row>
    <row r="156" spans="2:11" x14ac:dyDescent="0.3">
      <c r="B156" s="115"/>
      <c r="C156" s="112" t="s">
        <v>1500</v>
      </c>
      <c r="D156" s="1499">
        <v>3.1470156905966498</v>
      </c>
      <c r="E156" s="1499">
        <v>1.9810326219029124</v>
      </c>
      <c r="F156" s="1499">
        <v>1.3356960436883647</v>
      </c>
      <c r="G156" s="1499">
        <v>1.0086902577025412</v>
      </c>
      <c r="H156" s="1499">
        <v>1.1535898545401886</v>
      </c>
      <c r="I156" s="1499">
        <v>2.8514705465231076</v>
      </c>
      <c r="J156" s="1499">
        <v>2.381036900400316</v>
      </c>
      <c r="K156" s="113">
        <v>0.82797048864668166</v>
      </c>
    </row>
    <row r="157" spans="2:11" x14ac:dyDescent="0.3">
      <c r="B157" s="115"/>
      <c r="C157" s="112" t="s">
        <v>1504</v>
      </c>
      <c r="D157" s="1499">
        <v>3.2388224072642084</v>
      </c>
      <c r="E157" s="1499">
        <v>2.0626228507145781</v>
      </c>
      <c r="F157" s="1499">
        <v>1.4189481412550049</v>
      </c>
      <c r="G157" s="1499">
        <v>1.0971538667715579</v>
      </c>
      <c r="H157" s="1499">
        <v>1.2475861526513734</v>
      </c>
      <c r="I157" s="1499">
        <v>2.9361556879303694</v>
      </c>
      <c r="J157" s="1499">
        <v>2.4660143255598328</v>
      </c>
      <c r="K157" s="113">
        <v>0.91455726640949453</v>
      </c>
    </row>
    <row r="158" spans="2:11" x14ac:dyDescent="0.3">
      <c r="B158" s="115"/>
      <c r="C158" s="112" t="s">
        <v>1508</v>
      </c>
      <c r="D158" s="1499">
        <v>3.2062278988576036</v>
      </c>
      <c r="E158" s="1499">
        <v>2.0300283423079732</v>
      </c>
      <c r="F158" s="1499">
        <v>1.3863536328484001</v>
      </c>
      <c r="G158" s="1499">
        <v>1.0645593583649531</v>
      </c>
      <c r="H158" s="1499">
        <v>1.2149916442447686</v>
      </c>
      <c r="I158" s="1499">
        <v>2.9035611795237646</v>
      </c>
      <c r="J158" s="1499">
        <v>2.433419817153228</v>
      </c>
      <c r="K158" s="113">
        <v>0.8819627580028897</v>
      </c>
    </row>
    <row r="159" spans="2:11" x14ac:dyDescent="0.3">
      <c r="B159" s="115"/>
      <c r="C159" s="112" t="s">
        <v>1513</v>
      </c>
      <c r="D159" s="1499">
        <v>3.1573361362476966</v>
      </c>
      <c r="E159" s="1499">
        <v>1.981136579698066</v>
      </c>
      <c r="F159" s="1499">
        <v>1.3374618702384931</v>
      </c>
      <c r="G159" s="1499">
        <v>1.0156675957550461</v>
      </c>
      <c r="H159" s="1499">
        <v>1.1660998816348616</v>
      </c>
      <c r="I159" s="1499">
        <v>2.8546694169138576</v>
      </c>
      <c r="J159" s="1499">
        <v>2.384528054543321</v>
      </c>
      <c r="K159" s="113">
        <v>0.83307099539298257</v>
      </c>
    </row>
    <row r="160" spans="2:11" x14ac:dyDescent="0.3">
      <c r="B160" s="115"/>
      <c r="C160" s="112" t="s">
        <v>1517</v>
      </c>
      <c r="D160" s="1499">
        <v>3.1084443736377896</v>
      </c>
      <c r="E160" s="1499">
        <v>1.932244817088159</v>
      </c>
      <c r="F160" s="1499">
        <v>1.288570107628586</v>
      </c>
      <c r="G160" s="1499">
        <v>0.96677583314513893</v>
      </c>
      <c r="H160" s="1499">
        <v>1.1172081190249543</v>
      </c>
      <c r="I160" s="1499">
        <v>2.8057776543039505</v>
      </c>
      <c r="J160" s="1499">
        <v>2.3356362919334139</v>
      </c>
      <c r="K160" s="113">
        <v>0.78417923278307544</v>
      </c>
    </row>
    <row r="161" spans="2:11" ht="14.5" thickBot="1" x14ac:dyDescent="0.35">
      <c r="B161" s="1233"/>
      <c r="C161" s="116" t="s">
        <v>1519</v>
      </c>
      <c r="D161" s="117">
        <v>3.3033727856570883</v>
      </c>
      <c r="E161" s="117">
        <v>2.1373897169633516</v>
      </c>
      <c r="F161" s="117">
        <v>1.4920531387488039</v>
      </c>
      <c r="G161" s="117">
        <v>1.1650473527629803</v>
      </c>
      <c r="H161" s="117">
        <v>1.3099469496006277</v>
      </c>
      <c r="I161" s="117">
        <v>3.0078276415835461</v>
      </c>
      <c r="J161" s="117">
        <v>2.5373939954607554</v>
      </c>
      <c r="K161" s="118">
        <v>0.98432758370712092</v>
      </c>
    </row>
    <row r="162" spans="2:11" x14ac:dyDescent="0.3">
      <c r="B162" s="120" t="s">
        <v>1990</v>
      </c>
      <c r="C162" s="108" t="s">
        <v>1416</v>
      </c>
      <c r="D162" s="109">
        <v>2.9269010883300481</v>
      </c>
      <c r="E162" s="109">
        <v>1.7342200179413221</v>
      </c>
      <c r="F162" s="109">
        <v>1.1139555906971412</v>
      </c>
      <c r="G162" s="109">
        <v>0.76280845018988463</v>
      </c>
      <c r="H162" s="109">
        <v>0.94097553369721532</v>
      </c>
      <c r="I162" s="109">
        <v>2.5993148355240012</v>
      </c>
      <c r="J162" s="109">
        <v>2.1304658987232625</v>
      </c>
      <c r="K162" s="110">
        <v>0.57359393414720738</v>
      </c>
    </row>
    <row r="163" spans="2:11" x14ac:dyDescent="0.3">
      <c r="B163" s="111"/>
      <c r="C163" s="112" t="s">
        <v>1483</v>
      </c>
      <c r="D163" s="1499">
        <v>3.2516208990982403</v>
      </c>
      <c r="E163" s="1499">
        <v>2.0856378304045027</v>
      </c>
      <c r="F163" s="1499">
        <v>1.440301252189955</v>
      </c>
      <c r="G163" s="1499">
        <v>1.1132954662041312</v>
      </c>
      <c r="H163" s="1499">
        <v>1.2581950630417789</v>
      </c>
      <c r="I163" s="1499">
        <v>2.9560757550246977</v>
      </c>
      <c r="J163" s="1499">
        <v>2.4856421089019065</v>
      </c>
      <c r="K163" s="113">
        <v>0.93257569714827193</v>
      </c>
    </row>
    <row r="164" spans="2:11" x14ac:dyDescent="0.3">
      <c r="B164" s="111" t="s">
        <v>1989</v>
      </c>
      <c r="C164" s="112" t="s">
        <v>1489</v>
      </c>
      <c r="D164" s="1499">
        <v>3.21253162533313</v>
      </c>
      <c r="E164" s="1499">
        <v>2.0465485566393928</v>
      </c>
      <c r="F164" s="1499">
        <v>1.4012119784248454</v>
      </c>
      <c r="G164" s="1499">
        <v>1.0742061924390216</v>
      </c>
      <c r="H164" s="1499">
        <v>1.219105789276669</v>
      </c>
      <c r="I164" s="1499">
        <v>2.9169864812595874</v>
      </c>
      <c r="J164" s="1499">
        <v>2.4465528351367967</v>
      </c>
      <c r="K164" s="113">
        <v>0.89348642338316231</v>
      </c>
    </row>
    <row r="165" spans="2:11" x14ac:dyDescent="0.3">
      <c r="B165" s="114">
        <v>0</v>
      </c>
      <c r="C165" s="112" t="s">
        <v>1496</v>
      </c>
      <c r="D165" s="1499">
        <v>3.1538977146854656</v>
      </c>
      <c r="E165" s="1499">
        <v>1.9879146459917283</v>
      </c>
      <c r="F165" s="1499">
        <v>1.3425780677771806</v>
      </c>
      <c r="G165" s="1499">
        <v>1.0155722817913568</v>
      </c>
      <c r="H165" s="1499">
        <v>1.1604718786290045</v>
      </c>
      <c r="I165" s="1499">
        <v>2.8583525706119235</v>
      </c>
      <c r="J165" s="1499">
        <v>2.3879189244891319</v>
      </c>
      <c r="K165" s="113">
        <v>0.83485251273549754</v>
      </c>
    </row>
    <row r="166" spans="2:11" x14ac:dyDescent="0.3">
      <c r="B166" s="115"/>
      <c r="C166" s="112" t="s">
        <v>1500</v>
      </c>
      <c r="D166" s="1499">
        <v>3.0952638040378009</v>
      </c>
      <c r="E166" s="1499">
        <v>1.9292807353440637</v>
      </c>
      <c r="F166" s="1499">
        <v>1.2839441571295158</v>
      </c>
      <c r="G166" s="1499">
        <v>0.95693837114369229</v>
      </c>
      <c r="H166" s="1499">
        <v>1.1018379679813399</v>
      </c>
      <c r="I166" s="1499">
        <v>2.7997186599642587</v>
      </c>
      <c r="J166" s="1499">
        <v>2.3292850138414676</v>
      </c>
      <c r="K166" s="113">
        <v>0.77621860208783289</v>
      </c>
    </row>
    <row r="167" spans="2:11" x14ac:dyDescent="0.3">
      <c r="B167" s="115"/>
      <c r="C167" s="112" t="s">
        <v>1504</v>
      </c>
      <c r="D167" s="1499">
        <v>3.1870705207053596</v>
      </c>
      <c r="E167" s="1499">
        <v>2.0108709641557292</v>
      </c>
      <c r="F167" s="1499">
        <v>1.3671962546961562</v>
      </c>
      <c r="G167" s="1499">
        <v>1.045401980212709</v>
      </c>
      <c r="H167" s="1499">
        <v>1.1958342660925245</v>
      </c>
      <c r="I167" s="1499">
        <v>2.8844038013715205</v>
      </c>
      <c r="J167" s="1499">
        <v>2.4142624390009839</v>
      </c>
      <c r="K167" s="113">
        <v>0.86280537985064554</v>
      </c>
    </row>
    <row r="168" spans="2:11" x14ac:dyDescent="0.3">
      <c r="B168" s="115"/>
      <c r="C168" s="112" t="s">
        <v>1508</v>
      </c>
      <c r="D168" s="1499">
        <v>3.1544760122987547</v>
      </c>
      <c r="E168" s="1499">
        <v>1.9782764557491244</v>
      </c>
      <c r="F168" s="1499">
        <v>1.3346017462895514</v>
      </c>
      <c r="G168" s="1499">
        <v>1.0128074718061044</v>
      </c>
      <c r="H168" s="1499">
        <v>1.1632397576859197</v>
      </c>
      <c r="I168" s="1499">
        <v>2.8518092929649157</v>
      </c>
      <c r="J168" s="1499">
        <v>2.3816679305943791</v>
      </c>
      <c r="K168" s="113">
        <v>0.83021087144404082</v>
      </c>
    </row>
    <row r="169" spans="2:11" x14ac:dyDescent="0.3">
      <c r="B169" s="115"/>
      <c r="C169" s="112" t="s">
        <v>1513</v>
      </c>
      <c r="D169" s="1499">
        <v>3.1055842496888477</v>
      </c>
      <c r="E169" s="1499">
        <v>1.9293846931392171</v>
      </c>
      <c r="F169" s="1499">
        <v>1.2857099836796444</v>
      </c>
      <c r="G169" s="1499">
        <v>0.96391570919619729</v>
      </c>
      <c r="H169" s="1499">
        <v>1.1143479950760127</v>
      </c>
      <c r="I169" s="1499">
        <v>2.8029175303550087</v>
      </c>
      <c r="J169" s="1499">
        <v>2.3327761679844721</v>
      </c>
      <c r="K169" s="113">
        <v>0.7813191088341338</v>
      </c>
    </row>
    <row r="170" spans="2:11" x14ac:dyDescent="0.3">
      <c r="B170" s="115"/>
      <c r="C170" s="112" t="s">
        <v>1517</v>
      </c>
      <c r="D170" s="1499">
        <v>3.0566924870789407</v>
      </c>
      <c r="E170" s="1499">
        <v>1.8804929305293101</v>
      </c>
      <c r="F170" s="1499">
        <v>1.2368182210697372</v>
      </c>
      <c r="G170" s="1499">
        <v>0.91502394658629005</v>
      </c>
      <c r="H170" s="1499">
        <v>1.0654562324661054</v>
      </c>
      <c r="I170" s="1499">
        <v>2.7540257677451017</v>
      </c>
      <c r="J170" s="1499">
        <v>2.2838844053745651</v>
      </c>
      <c r="K170" s="113">
        <v>0.73242734622422667</v>
      </c>
    </row>
    <row r="171" spans="2:11" ht="14.5" thickBot="1" x14ac:dyDescent="0.35">
      <c r="B171" s="1233"/>
      <c r="C171" s="116" t="s">
        <v>1519</v>
      </c>
      <c r="D171" s="117">
        <v>3.2516208990982403</v>
      </c>
      <c r="E171" s="117">
        <v>2.0856378304045027</v>
      </c>
      <c r="F171" s="117">
        <v>1.440301252189955</v>
      </c>
      <c r="G171" s="117">
        <v>1.1132954662041312</v>
      </c>
      <c r="H171" s="117">
        <v>1.2581950630417789</v>
      </c>
      <c r="I171" s="117">
        <v>2.9560757550246977</v>
      </c>
      <c r="J171" s="117">
        <v>2.4856421089019065</v>
      </c>
      <c r="K171" s="118">
        <v>0.93257569714827193</v>
      </c>
    </row>
    <row r="173" spans="2:11" ht="14.5" thickBot="1" x14ac:dyDescent="0.35"/>
    <row r="174" spans="2:11" ht="25.5" thickBot="1" x14ac:dyDescent="0.55000000000000004">
      <c r="B174" s="88" t="s">
        <v>1960</v>
      </c>
      <c r="C174" s="89"/>
      <c r="D174" s="90">
        <v>5</v>
      </c>
      <c r="E174" s="91" t="s">
        <v>1991</v>
      </c>
      <c r="F174" s="92"/>
      <c r="G174" s="92"/>
      <c r="H174" s="92"/>
      <c r="I174" s="93"/>
      <c r="J174" s="89" t="s">
        <v>176</v>
      </c>
      <c r="K174" s="94" t="s">
        <v>214</v>
      </c>
    </row>
    <row r="175" spans="2:11" ht="14.5" thickBot="1" x14ac:dyDescent="0.35">
      <c r="B175" s="95" t="s">
        <v>1962</v>
      </c>
      <c r="C175" s="96" t="s">
        <v>1963</v>
      </c>
      <c r="D175" s="95" t="s">
        <v>1964</v>
      </c>
      <c r="E175" s="97" t="s">
        <v>1965</v>
      </c>
      <c r="F175" s="97" t="s">
        <v>1966</v>
      </c>
      <c r="G175" s="97" t="s">
        <v>1967</v>
      </c>
      <c r="H175" s="97" t="s">
        <v>1968</v>
      </c>
      <c r="I175" s="97" t="s">
        <v>1969</v>
      </c>
      <c r="J175" s="97" t="s">
        <v>1970</v>
      </c>
      <c r="K175" s="98" t="s">
        <v>1971</v>
      </c>
    </row>
    <row r="176" spans="2:11" ht="14.5" thickBot="1" x14ac:dyDescent="0.35">
      <c r="B176" s="99"/>
      <c r="C176" s="99"/>
      <c r="D176" s="100"/>
      <c r="E176" s="944"/>
      <c r="F176" s="944"/>
      <c r="G176" s="944"/>
      <c r="H176" s="944"/>
      <c r="I176" s="944"/>
      <c r="J176" s="944"/>
      <c r="K176" s="102"/>
    </row>
    <row r="177" spans="2:11" ht="90.5" thickBot="1" x14ac:dyDescent="0.45">
      <c r="B177" s="103" t="s">
        <v>1972</v>
      </c>
      <c r="C177" s="103" t="s">
        <v>1973</v>
      </c>
      <c r="D177" s="105" t="s">
        <v>1974</v>
      </c>
      <c r="E177" s="105" t="s">
        <v>1525</v>
      </c>
      <c r="F177" s="105" t="s">
        <v>1527</v>
      </c>
      <c r="G177" s="105" t="s">
        <v>1975</v>
      </c>
      <c r="H177" s="105" t="s">
        <v>1976</v>
      </c>
      <c r="I177" s="105" t="s">
        <v>1445</v>
      </c>
      <c r="J177" s="105" t="s">
        <v>1538</v>
      </c>
      <c r="K177" s="106" t="s">
        <v>1541</v>
      </c>
    </row>
    <row r="178" spans="2:11" x14ac:dyDescent="0.3">
      <c r="B178" s="120" t="s">
        <v>1992</v>
      </c>
      <c r="C178" s="108" t="s">
        <v>1416</v>
      </c>
      <c r="D178" s="109">
        <v>4.1439828521252355</v>
      </c>
      <c r="E178" s="109">
        <v>3.0336965040252837</v>
      </c>
      <c r="F178" s="109">
        <v>2.2466638420615817</v>
      </c>
      <c r="G178" s="109">
        <v>1.9203818354444453</v>
      </c>
      <c r="H178" s="109">
        <v>2.0694917867129341</v>
      </c>
      <c r="I178" s="109">
        <v>3.9500660428235568</v>
      </c>
      <c r="J178" s="109">
        <v>3.4528632698414947</v>
      </c>
      <c r="K178" s="110">
        <v>1.6890470353639604</v>
      </c>
    </row>
    <row r="179" spans="2:11" x14ac:dyDescent="0.3">
      <c r="B179" s="128"/>
      <c r="C179" s="112" t="s">
        <v>1483</v>
      </c>
      <c r="D179" s="1499">
        <v>4.5781222130774122</v>
      </c>
      <c r="E179" s="1499">
        <v>3.4885877633303517</v>
      </c>
      <c r="F179" s="1499">
        <v>2.6899691772593375</v>
      </c>
      <c r="G179" s="1499">
        <v>2.3818742108125885</v>
      </c>
      <c r="H179" s="1499">
        <v>2.5204249394934162</v>
      </c>
      <c r="I179" s="1499">
        <v>4.4020744715966398</v>
      </c>
      <c r="J179" s="1499">
        <v>3.9101008545288281</v>
      </c>
      <c r="K179" s="113">
        <v>2.1443434751182631</v>
      </c>
    </row>
    <row r="180" spans="2:11" x14ac:dyDescent="0.3">
      <c r="B180" s="128"/>
      <c r="C180" s="112" t="s">
        <v>1489</v>
      </c>
      <c r="D180" s="1499">
        <v>4.5390329393123023</v>
      </c>
      <c r="E180" s="1499">
        <v>3.4494984895652419</v>
      </c>
      <c r="F180" s="1499">
        <v>2.6508799034942276</v>
      </c>
      <c r="G180" s="1499">
        <v>2.3427849370474787</v>
      </c>
      <c r="H180" s="1499">
        <v>2.4813356657283063</v>
      </c>
      <c r="I180" s="1499">
        <v>4.3629851978315299</v>
      </c>
      <c r="J180" s="1499">
        <v>3.8710115807637182</v>
      </c>
      <c r="K180" s="113">
        <v>2.1052542013531537</v>
      </c>
    </row>
    <row r="181" spans="2:11" x14ac:dyDescent="0.3">
      <c r="B181" s="122">
        <v>0</v>
      </c>
      <c r="C181" s="112" t="s">
        <v>1496</v>
      </c>
      <c r="D181" s="1499">
        <v>4.480399028664638</v>
      </c>
      <c r="E181" s="1499">
        <v>3.3908645789175771</v>
      </c>
      <c r="F181" s="1499">
        <v>2.5922459928465629</v>
      </c>
      <c r="G181" s="1499">
        <v>2.2841510263998139</v>
      </c>
      <c r="H181" s="1499">
        <v>2.4227017550806416</v>
      </c>
      <c r="I181" s="1499">
        <v>4.3043512871838647</v>
      </c>
      <c r="J181" s="1499">
        <v>3.8123776701160534</v>
      </c>
      <c r="K181" s="113">
        <v>2.0466202907054889</v>
      </c>
    </row>
    <row r="182" spans="2:11" x14ac:dyDescent="0.3">
      <c r="B182" s="123"/>
      <c r="C182" s="112" t="s">
        <v>1500</v>
      </c>
      <c r="D182" s="1499">
        <v>4.4217651180169728</v>
      </c>
      <c r="E182" s="1499">
        <v>3.3322306682699123</v>
      </c>
      <c r="F182" s="1499">
        <v>2.5336120821988986</v>
      </c>
      <c r="G182" s="1499">
        <v>2.2255171157521496</v>
      </c>
      <c r="H182" s="1499">
        <v>2.3640678444329772</v>
      </c>
      <c r="I182" s="1499">
        <v>4.2457173765362004</v>
      </c>
      <c r="J182" s="1499">
        <v>3.7537437594683887</v>
      </c>
      <c r="K182" s="113">
        <v>1.9879863800578241</v>
      </c>
    </row>
    <row r="183" spans="2:11" x14ac:dyDescent="0.3">
      <c r="B183" s="123"/>
      <c r="C183" s="112" t="s">
        <v>1504</v>
      </c>
      <c r="D183" s="1499">
        <v>4.4960357797185786</v>
      </c>
      <c r="E183" s="1499">
        <v>3.4017416445614082</v>
      </c>
      <c r="F183" s="1499">
        <v>2.6049937882074472</v>
      </c>
      <c r="G183" s="1499">
        <v>2.2905914146822353</v>
      </c>
      <c r="H183" s="1499">
        <v>2.4333740109534361</v>
      </c>
      <c r="I183" s="1499">
        <v>4.3141274706269721</v>
      </c>
      <c r="J183" s="1499">
        <v>3.8227601280796621</v>
      </c>
      <c r="K183" s="113">
        <v>2.0521101818484335</v>
      </c>
    </row>
    <row r="184" spans="2:11" x14ac:dyDescent="0.3">
      <c r="B184" s="123"/>
      <c r="C184" s="112" t="s">
        <v>1508</v>
      </c>
      <c r="D184" s="1499">
        <v>4.4634412713119742</v>
      </c>
      <c r="E184" s="1499">
        <v>3.3691471361548038</v>
      </c>
      <c r="F184" s="1499">
        <v>2.5723992798008424</v>
      </c>
      <c r="G184" s="1499">
        <v>2.2579969062756304</v>
      </c>
      <c r="H184" s="1499">
        <v>2.4007795025468313</v>
      </c>
      <c r="I184" s="1499">
        <v>4.2815329622203677</v>
      </c>
      <c r="J184" s="1499">
        <v>3.7901656196730578</v>
      </c>
      <c r="K184" s="113">
        <v>2.0195156734418287</v>
      </c>
    </row>
    <row r="185" spans="2:11" x14ac:dyDescent="0.3">
      <c r="B185" s="123"/>
      <c r="C185" s="112" t="s">
        <v>1513</v>
      </c>
      <c r="D185" s="1499">
        <v>4.4145495087020672</v>
      </c>
      <c r="E185" s="1499">
        <v>3.3202553735448967</v>
      </c>
      <c r="F185" s="1499">
        <v>2.5235075171909354</v>
      </c>
      <c r="G185" s="1499">
        <v>2.2091051436657234</v>
      </c>
      <c r="H185" s="1499">
        <v>2.3518877399369242</v>
      </c>
      <c r="I185" s="1499">
        <v>4.2326411996104607</v>
      </c>
      <c r="J185" s="1499">
        <v>3.7412738570631507</v>
      </c>
      <c r="K185" s="113">
        <v>1.9706239108319219</v>
      </c>
    </row>
    <row r="186" spans="2:11" x14ac:dyDescent="0.3">
      <c r="B186" s="123"/>
      <c r="C186" s="112" t="s">
        <v>1517</v>
      </c>
      <c r="D186" s="1499">
        <v>4.3656577460921602</v>
      </c>
      <c r="E186" s="1499">
        <v>3.2713636109349897</v>
      </c>
      <c r="F186" s="1499">
        <v>2.4746157545810279</v>
      </c>
      <c r="G186" s="1499">
        <v>2.1602133810558164</v>
      </c>
      <c r="H186" s="1499">
        <v>2.3029959773270168</v>
      </c>
      <c r="I186" s="1499">
        <v>4.1837494370005537</v>
      </c>
      <c r="J186" s="1499">
        <v>3.6923820944532437</v>
      </c>
      <c r="K186" s="113">
        <v>1.9217321482220144</v>
      </c>
    </row>
    <row r="187" spans="2:11" ht="14.5" thickBot="1" x14ac:dyDescent="0.35">
      <c r="B187" s="124"/>
      <c r="C187" s="116" t="s">
        <v>1519</v>
      </c>
      <c r="D187" s="117">
        <v>4.5781222130774122</v>
      </c>
      <c r="E187" s="117">
        <v>3.4885877633303517</v>
      </c>
      <c r="F187" s="117">
        <v>2.6899691772593375</v>
      </c>
      <c r="G187" s="117">
        <v>2.3818742108125885</v>
      </c>
      <c r="H187" s="117">
        <v>2.5204249394934162</v>
      </c>
      <c r="I187" s="117">
        <v>4.4020744715966398</v>
      </c>
      <c r="J187" s="117">
        <v>3.9101008545288281</v>
      </c>
      <c r="K187" s="118">
        <v>2.1443434751182631</v>
      </c>
    </row>
    <row r="188" spans="2:11" x14ac:dyDescent="0.3">
      <c r="B188" s="120" t="s">
        <v>1993</v>
      </c>
      <c r="C188" s="1234" t="s">
        <v>1416</v>
      </c>
      <c r="D188" s="109">
        <v>3.2936649184091409</v>
      </c>
      <c r="E188" s="109">
        <v>2.1267409400246695</v>
      </c>
      <c r="F188" s="109">
        <v>1.433481026536511</v>
      </c>
      <c r="G188" s="109">
        <v>1.1010358285317283</v>
      </c>
      <c r="H188" s="109">
        <v>1.2605869934148495</v>
      </c>
      <c r="I188" s="109">
        <v>3.026513752450565</v>
      </c>
      <c r="J188" s="109">
        <v>2.5399807861927761</v>
      </c>
      <c r="K188" s="110">
        <v>0.9025814889328545</v>
      </c>
    </row>
    <row r="189" spans="2:11" x14ac:dyDescent="0.3">
      <c r="B189" s="121"/>
      <c r="C189" s="1500" t="s">
        <v>1483</v>
      </c>
      <c r="D189" s="1499">
        <v>3.7264272266939091</v>
      </c>
      <c r="E189" s="1499">
        <v>2.6009733695503177</v>
      </c>
      <c r="F189" s="1499">
        <v>1.8909520061105187</v>
      </c>
      <c r="G189" s="1499">
        <v>1.5640833355546118</v>
      </c>
      <c r="H189" s="1499">
        <v>1.7132408161629709</v>
      </c>
      <c r="I189" s="1499">
        <v>3.4930896541756922</v>
      </c>
      <c r="J189" s="1499">
        <v>3.0089707762407785</v>
      </c>
      <c r="K189" s="113">
        <v>1.3540285991671637</v>
      </c>
    </row>
    <row r="190" spans="2:11" x14ac:dyDescent="0.3">
      <c r="B190" s="128"/>
      <c r="C190" s="1500" t="s">
        <v>1489</v>
      </c>
      <c r="D190" s="1499">
        <v>3.6873379529287993</v>
      </c>
      <c r="E190" s="1499">
        <v>2.5618840957852078</v>
      </c>
      <c r="F190" s="1499">
        <v>1.8518627323454091</v>
      </c>
      <c r="G190" s="1499">
        <v>1.5249940617895021</v>
      </c>
      <c r="H190" s="1499">
        <v>1.6741515423978612</v>
      </c>
      <c r="I190" s="1499">
        <v>3.4540003804105828</v>
      </c>
      <c r="J190" s="1499">
        <v>2.9698815024756686</v>
      </c>
      <c r="K190" s="113">
        <v>1.314939325402054</v>
      </c>
    </row>
    <row r="191" spans="2:11" x14ac:dyDescent="0.3">
      <c r="B191" s="122">
        <v>0</v>
      </c>
      <c r="C191" s="1500" t="s">
        <v>1496</v>
      </c>
      <c r="D191" s="1499">
        <v>3.6287040422811345</v>
      </c>
      <c r="E191" s="1499">
        <v>2.503250185137543</v>
      </c>
      <c r="F191" s="1499">
        <v>1.7932288216977443</v>
      </c>
      <c r="G191" s="1499">
        <v>1.4663601511418374</v>
      </c>
      <c r="H191" s="1499">
        <v>1.6155176317501965</v>
      </c>
      <c r="I191" s="1499">
        <v>3.395366469762918</v>
      </c>
      <c r="J191" s="1499">
        <v>2.9112475918280039</v>
      </c>
      <c r="K191" s="113">
        <v>1.2563054147543893</v>
      </c>
    </row>
    <row r="192" spans="2:11" x14ac:dyDescent="0.3">
      <c r="B192" s="123"/>
      <c r="C192" s="1500" t="s">
        <v>1500</v>
      </c>
      <c r="D192" s="1499">
        <v>3.5700701316334698</v>
      </c>
      <c r="E192" s="1499">
        <v>2.4446162744898787</v>
      </c>
      <c r="F192" s="1499">
        <v>1.7345949110500798</v>
      </c>
      <c r="G192" s="1499">
        <v>1.4077262404941731</v>
      </c>
      <c r="H192" s="1499">
        <v>1.5568837211025321</v>
      </c>
      <c r="I192" s="1499">
        <v>3.3367325591152532</v>
      </c>
      <c r="J192" s="1499">
        <v>2.8526136811803391</v>
      </c>
      <c r="K192" s="113">
        <v>1.1976715041067245</v>
      </c>
    </row>
    <row r="193" spans="2:11" x14ac:dyDescent="0.3">
      <c r="B193" s="123"/>
      <c r="C193" s="1500" t="s">
        <v>1504</v>
      </c>
      <c r="D193" s="1499">
        <v>3.6423151209985067</v>
      </c>
      <c r="E193" s="1499">
        <v>2.509738425910792</v>
      </c>
      <c r="F193" s="1499">
        <v>1.8037805848725654</v>
      </c>
      <c r="G193" s="1499">
        <v>1.4646435313129582</v>
      </c>
      <c r="H193" s="1499">
        <v>1.6212013522388105</v>
      </c>
      <c r="I193" s="1499">
        <v>3.4040853452520383</v>
      </c>
      <c r="J193" s="1499">
        <v>2.9173898868638308</v>
      </c>
      <c r="K193" s="113">
        <v>1.2693892566993281</v>
      </c>
    </row>
    <row r="194" spans="2:11" x14ac:dyDescent="0.3">
      <c r="B194" s="123"/>
      <c r="C194" s="1500" t="s">
        <v>1508</v>
      </c>
      <c r="D194" s="1499">
        <v>3.6097206125919024</v>
      </c>
      <c r="E194" s="1499">
        <v>2.4771439175041872</v>
      </c>
      <c r="F194" s="1499">
        <v>1.7711860764659606</v>
      </c>
      <c r="G194" s="1499">
        <v>1.4320490229063534</v>
      </c>
      <c r="H194" s="1499">
        <v>1.5886068438322059</v>
      </c>
      <c r="I194" s="1499">
        <v>3.3714908368454339</v>
      </c>
      <c r="J194" s="1499">
        <v>2.8847953784572264</v>
      </c>
      <c r="K194" s="113">
        <v>1.2367947482927233</v>
      </c>
    </row>
    <row r="195" spans="2:11" x14ac:dyDescent="0.3">
      <c r="B195" s="123"/>
      <c r="C195" s="1500" t="s">
        <v>1513</v>
      </c>
      <c r="D195" s="1499">
        <v>3.5608288499819953</v>
      </c>
      <c r="E195" s="1499">
        <v>2.4282521548942801</v>
      </c>
      <c r="F195" s="1499">
        <v>1.7222943138560536</v>
      </c>
      <c r="G195" s="1499">
        <v>1.3831572602964464</v>
      </c>
      <c r="H195" s="1499">
        <v>1.5397150812222988</v>
      </c>
      <c r="I195" s="1499">
        <v>3.3225990742355269</v>
      </c>
      <c r="J195" s="1499">
        <v>2.8359036158473194</v>
      </c>
      <c r="K195" s="113">
        <v>1.187902985682816</v>
      </c>
    </row>
    <row r="196" spans="2:11" x14ac:dyDescent="0.3">
      <c r="B196" s="123"/>
      <c r="C196" s="1500" t="s">
        <v>1517</v>
      </c>
      <c r="D196" s="1499">
        <v>3.5119370873720883</v>
      </c>
      <c r="E196" s="1499">
        <v>2.3793603922843727</v>
      </c>
      <c r="F196" s="1499">
        <v>1.6734025512461463</v>
      </c>
      <c r="G196" s="1499">
        <v>1.3342654976865391</v>
      </c>
      <c r="H196" s="1499">
        <v>1.4908233186123916</v>
      </c>
      <c r="I196" s="1499">
        <v>3.2737073116256199</v>
      </c>
      <c r="J196" s="1499">
        <v>2.7870118532374124</v>
      </c>
      <c r="K196" s="113">
        <v>1.139011223072909</v>
      </c>
    </row>
    <row r="197" spans="2:11" ht="14.5" thickBot="1" x14ac:dyDescent="0.35">
      <c r="B197" s="124"/>
      <c r="C197" s="125" t="s">
        <v>1519</v>
      </c>
      <c r="D197" s="117">
        <v>3.7264272266939091</v>
      </c>
      <c r="E197" s="117">
        <v>2.6009733695503177</v>
      </c>
      <c r="F197" s="117">
        <v>1.8909520061105187</v>
      </c>
      <c r="G197" s="117">
        <v>1.5640833355546118</v>
      </c>
      <c r="H197" s="117">
        <v>1.7132408161629709</v>
      </c>
      <c r="I197" s="117">
        <v>3.4930896541756922</v>
      </c>
      <c r="J197" s="117">
        <v>3.0089707762407785</v>
      </c>
      <c r="K197" s="118">
        <v>1.3540285991671637</v>
      </c>
    </row>
    <row r="198" spans="2:11" x14ac:dyDescent="0.3">
      <c r="B198" s="119" t="s">
        <v>1994</v>
      </c>
      <c r="C198" s="108" t="s">
        <v>1416</v>
      </c>
      <c r="D198" s="109">
        <v>3.7542852765971482</v>
      </c>
      <c r="E198" s="109">
        <v>2.6309744425097694</v>
      </c>
      <c r="F198" s="109">
        <v>1.863801271856169</v>
      </c>
      <c r="G198" s="109">
        <v>1.525209484276032</v>
      </c>
      <c r="H198" s="109">
        <v>1.6836618167099893</v>
      </c>
      <c r="I198" s="109">
        <v>3.555628664024499</v>
      </c>
      <c r="J198" s="109">
        <v>3.055205889055582</v>
      </c>
      <c r="K198" s="110">
        <v>1.3009855522441773</v>
      </c>
    </row>
    <row r="199" spans="2:11" x14ac:dyDescent="0.3">
      <c r="B199" s="111"/>
      <c r="C199" s="112" t="s">
        <v>1483</v>
      </c>
      <c r="D199" s="1499">
        <v>4.1858442935247488</v>
      </c>
      <c r="E199" s="1499">
        <v>3.1017822116195832</v>
      </c>
      <c r="F199" s="1499">
        <v>2.3150411286629335</v>
      </c>
      <c r="G199" s="1499">
        <v>1.999641720502698</v>
      </c>
      <c r="H199" s="1499">
        <v>2.1305028165200848</v>
      </c>
      <c r="I199" s="1499">
        <v>4.0209344035270478</v>
      </c>
      <c r="J199" s="1499">
        <v>3.5212869770062025</v>
      </c>
      <c r="K199" s="113">
        <v>1.7789459486738533</v>
      </c>
    </row>
    <row r="200" spans="2:11" x14ac:dyDescent="0.3">
      <c r="B200" s="111"/>
      <c r="C200" s="112" t="s">
        <v>1489</v>
      </c>
      <c r="D200" s="1499">
        <v>4.146755019759639</v>
      </c>
      <c r="E200" s="1499">
        <v>3.0626929378544738</v>
      </c>
      <c r="F200" s="1499">
        <v>2.2759518548978237</v>
      </c>
      <c r="G200" s="1499">
        <v>1.9605524467375883</v>
      </c>
      <c r="H200" s="1499">
        <v>2.0914135427549749</v>
      </c>
      <c r="I200" s="1499">
        <v>3.9818451297619384</v>
      </c>
      <c r="J200" s="1499">
        <v>3.4821977032410927</v>
      </c>
      <c r="K200" s="113">
        <v>1.7398566749087434</v>
      </c>
    </row>
    <row r="201" spans="2:11" x14ac:dyDescent="0.3">
      <c r="B201" s="114">
        <v>0</v>
      </c>
      <c r="C201" s="112" t="s">
        <v>1496</v>
      </c>
      <c r="D201" s="1499">
        <v>4.0881211091119747</v>
      </c>
      <c r="E201" s="1499">
        <v>3.0040590272068091</v>
      </c>
      <c r="F201" s="1499">
        <v>2.2173179442501589</v>
      </c>
      <c r="G201" s="1499">
        <v>1.9019185360899236</v>
      </c>
      <c r="H201" s="1499">
        <v>2.0327796321073102</v>
      </c>
      <c r="I201" s="1499">
        <v>3.9232112191142736</v>
      </c>
      <c r="J201" s="1499">
        <v>3.4235637925934279</v>
      </c>
      <c r="K201" s="113">
        <v>1.6812227642610786</v>
      </c>
    </row>
    <row r="202" spans="2:11" x14ac:dyDescent="0.3">
      <c r="B202" s="115"/>
      <c r="C202" s="112" t="s">
        <v>1500</v>
      </c>
      <c r="D202" s="1499">
        <v>4.0294871984643095</v>
      </c>
      <c r="E202" s="1499">
        <v>2.9454251165591443</v>
      </c>
      <c r="F202" s="1499">
        <v>2.1586840336024946</v>
      </c>
      <c r="G202" s="1499">
        <v>1.8432846254422592</v>
      </c>
      <c r="H202" s="1499">
        <v>1.9741457214596458</v>
      </c>
      <c r="I202" s="1499">
        <v>3.8645773084666089</v>
      </c>
      <c r="J202" s="1499">
        <v>3.3649298819457631</v>
      </c>
      <c r="K202" s="113">
        <v>1.6225888536134143</v>
      </c>
    </row>
    <row r="203" spans="2:11" x14ac:dyDescent="0.3">
      <c r="B203" s="115"/>
      <c r="C203" s="112" t="s">
        <v>1504</v>
      </c>
      <c r="D203" s="1499">
        <v>4.1035512065537603</v>
      </c>
      <c r="E203" s="1499">
        <v>3.0109101279929558</v>
      </c>
      <c r="F203" s="1499">
        <v>2.2238991469633715</v>
      </c>
      <c r="G203" s="1499">
        <v>1.9089357030503606</v>
      </c>
      <c r="H203" s="1499">
        <v>2.0414952060083098</v>
      </c>
      <c r="I203" s="1499">
        <v>3.9318081383682668</v>
      </c>
      <c r="J203" s="1499">
        <v>3.4317377976173664</v>
      </c>
      <c r="K203" s="113">
        <v>1.6842194467665559</v>
      </c>
    </row>
    <row r="204" spans="2:11" x14ac:dyDescent="0.3">
      <c r="B204" s="115"/>
      <c r="C204" s="112" t="s">
        <v>1508</v>
      </c>
      <c r="D204" s="1499">
        <v>4.0709566981471559</v>
      </c>
      <c r="E204" s="1499">
        <v>2.9783156195863514</v>
      </c>
      <c r="F204" s="1499">
        <v>2.1913046385567667</v>
      </c>
      <c r="G204" s="1499">
        <v>1.8763411946437558</v>
      </c>
      <c r="H204" s="1499">
        <v>2.008900697601705</v>
      </c>
      <c r="I204" s="1499">
        <v>3.8992136299616624</v>
      </c>
      <c r="J204" s="1499">
        <v>3.399143289210762</v>
      </c>
      <c r="K204" s="113">
        <v>1.6516249383599511</v>
      </c>
    </row>
    <row r="205" spans="2:11" x14ac:dyDescent="0.3">
      <c r="B205" s="115"/>
      <c r="C205" s="112" t="s">
        <v>1513</v>
      </c>
      <c r="D205" s="1499">
        <v>4.0220649355372489</v>
      </c>
      <c r="E205" s="1499">
        <v>2.9294238569764444</v>
      </c>
      <c r="F205" s="1499">
        <v>2.1424128759468597</v>
      </c>
      <c r="G205" s="1499">
        <v>1.8274494320338488</v>
      </c>
      <c r="H205" s="1499">
        <v>1.9600089349917982</v>
      </c>
      <c r="I205" s="1499">
        <v>3.8503218673517554</v>
      </c>
      <c r="J205" s="1499">
        <v>3.350251526600855</v>
      </c>
      <c r="K205" s="113">
        <v>1.602733175750044</v>
      </c>
    </row>
    <row r="206" spans="2:11" x14ac:dyDescent="0.3">
      <c r="B206" s="115"/>
      <c r="C206" s="112" t="s">
        <v>1517</v>
      </c>
      <c r="D206" s="1499">
        <v>3.9731731729273414</v>
      </c>
      <c r="E206" s="1499">
        <v>2.8805320943665373</v>
      </c>
      <c r="F206" s="1499">
        <v>2.0935211133369522</v>
      </c>
      <c r="G206" s="1499">
        <v>1.7785576694239416</v>
      </c>
      <c r="H206" s="1499">
        <v>1.9111171723818907</v>
      </c>
      <c r="I206" s="1499">
        <v>3.8014301047418484</v>
      </c>
      <c r="J206" s="1499">
        <v>3.301359763990948</v>
      </c>
      <c r="K206" s="113">
        <v>1.5538414131401368</v>
      </c>
    </row>
    <row r="207" spans="2:11" ht="14.5" thickBot="1" x14ac:dyDescent="0.35">
      <c r="B207" s="1233"/>
      <c r="C207" s="116" t="s">
        <v>1519</v>
      </c>
      <c r="D207" s="117">
        <v>4.1858442935247488</v>
      </c>
      <c r="E207" s="117">
        <v>3.1017822116195832</v>
      </c>
      <c r="F207" s="117">
        <v>2.3150411286629335</v>
      </c>
      <c r="G207" s="117">
        <v>1.999641720502698</v>
      </c>
      <c r="H207" s="117">
        <v>2.1305028165200848</v>
      </c>
      <c r="I207" s="117">
        <v>4.0209344035270478</v>
      </c>
      <c r="J207" s="117">
        <v>3.5212869770062025</v>
      </c>
      <c r="K207" s="118">
        <v>1.7789459486738533</v>
      </c>
    </row>
    <row r="208" spans="2:11" x14ac:dyDescent="0.3">
      <c r="B208" s="120" t="s">
        <v>1519</v>
      </c>
      <c r="C208" s="108" t="s">
        <v>1416</v>
      </c>
      <c r="D208" s="129">
        <v>3.1408663359928983</v>
      </c>
      <c r="E208" s="109">
        <v>1.9517621288639697</v>
      </c>
      <c r="F208" s="109">
        <v>1.314181763996378</v>
      </c>
      <c r="G208" s="109">
        <v>0.97073961642178341</v>
      </c>
      <c r="H208" s="109">
        <v>1.1445632852391252</v>
      </c>
      <c r="I208" s="109">
        <v>2.8214137769883378</v>
      </c>
      <c r="J208" s="109">
        <v>2.3519000451249759</v>
      </c>
      <c r="K208" s="110">
        <v>0.77579233474781595</v>
      </c>
    </row>
    <row r="209" spans="2:11" x14ac:dyDescent="0.3">
      <c r="B209" s="111"/>
      <c r="C209" s="112" t="s">
        <v>1483</v>
      </c>
      <c r="D209" s="130">
        <v>3.4637962409772598</v>
      </c>
      <c r="E209" s="1499">
        <v>2.3054095828031604</v>
      </c>
      <c r="F209" s="1499">
        <v>1.648827690709499</v>
      </c>
      <c r="G209" s="1499">
        <v>1.3153199606452195</v>
      </c>
      <c r="H209" s="1499">
        <v>1.4607508474625419</v>
      </c>
      <c r="I209" s="1499">
        <v>3.1786060820881197</v>
      </c>
      <c r="J209" s="1499">
        <v>2.7047763879727018</v>
      </c>
      <c r="K209" s="113">
        <v>1.1344287452108481</v>
      </c>
    </row>
    <row r="210" spans="2:11" x14ac:dyDescent="0.3">
      <c r="B210" s="111"/>
      <c r="C210" s="112" t="s">
        <v>1489</v>
      </c>
      <c r="D210" s="130">
        <v>3.4247069672121504</v>
      </c>
      <c r="E210" s="1499">
        <v>2.2663203090380506</v>
      </c>
      <c r="F210" s="1499">
        <v>1.6097384169443891</v>
      </c>
      <c r="G210" s="1499">
        <v>1.2762306868801097</v>
      </c>
      <c r="H210" s="1499">
        <v>1.4216615736974321</v>
      </c>
      <c r="I210" s="1499">
        <v>3.1395168083230098</v>
      </c>
      <c r="J210" s="1499">
        <v>2.665687114207592</v>
      </c>
      <c r="K210" s="113">
        <v>1.0953394714457383</v>
      </c>
    </row>
    <row r="211" spans="2:11" x14ac:dyDescent="0.3">
      <c r="B211" s="114">
        <v>0</v>
      </c>
      <c r="C211" s="112" t="s">
        <v>1496</v>
      </c>
      <c r="D211" s="130">
        <v>3.3660730565644856</v>
      </c>
      <c r="E211" s="1499">
        <v>2.2076863983903863</v>
      </c>
      <c r="F211" s="1499">
        <v>1.5511045062967246</v>
      </c>
      <c r="G211" s="1499">
        <v>1.2175967762324451</v>
      </c>
      <c r="H211" s="1499">
        <v>1.3630276630497675</v>
      </c>
      <c r="I211" s="1499">
        <v>3.0808828976753451</v>
      </c>
      <c r="J211" s="1499">
        <v>2.6070532035599276</v>
      </c>
      <c r="K211" s="113">
        <v>1.0367055607980735</v>
      </c>
    </row>
    <row r="212" spans="2:11" x14ac:dyDescent="0.3">
      <c r="B212" s="115"/>
      <c r="C212" s="112" t="s">
        <v>1500</v>
      </c>
      <c r="D212" s="130">
        <v>3.3074391459168213</v>
      </c>
      <c r="E212" s="1499">
        <v>2.1490524877427215</v>
      </c>
      <c r="F212" s="1499">
        <v>1.4924705956490598</v>
      </c>
      <c r="G212" s="1499">
        <v>1.1589628655847803</v>
      </c>
      <c r="H212" s="1499">
        <v>1.3043937524021028</v>
      </c>
      <c r="I212" s="1499">
        <v>3.0222489870276807</v>
      </c>
      <c r="J212" s="1499">
        <v>2.5484192929122629</v>
      </c>
      <c r="K212" s="113">
        <v>0.97807165015040898</v>
      </c>
    </row>
    <row r="213" spans="2:11" x14ac:dyDescent="0.3">
      <c r="B213" s="115"/>
      <c r="C213" s="112" t="s">
        <v>1504</v>
      </c>
      <c r="D213" s="130">
        <v>3.3997562035728075</v>
      </c>
      <c r="E213" s="1499">
        <v>2.2311678061367566</v>
      </c>
      <c r="F213" s="1499">
        <v>1.5766547089275902</v>
      </c>
      <c r="G213" s="1499">
        <v>1.248270781010288</v>
      </c>
      <c r="H213" s="1499">
        <v>1.3951094934478212</v>
      </c>
      <c r="I213" s="1499">
        <v>3.1072238868601505</v>
      </c>
      <c r="J213" s="1499">
        <v>2.6341613793531762</v>
      </c>
      <c r="K213" s="113">
        <v>1.0654962441649225</v>
      </c>
    </row>
    <row r="214" spans="2:11" x14ac:dyDescent="0.3">
      <c r="B214" s="115"/>
      <c r="C214" s="112" t="s">
        <v>1508</v>
      </c>
      <c r="D214" s="130">
        <v>3.3671616951662027</v>
      </c>
      <c r="E214" s="1499">
        <v>2.1985732977301518</v>
      </c>
      <c r="F214" s="1499">
        <v>1.5440602005209856</v>
      </c>
      <c r="G214" s="1499">
        <v>1.2156762726036832</v>
      </c>
      <c r="H214" s="1499">
        <v>1.3625149850412166</v>
      </c>
      <c r="I214" s="1499">
        <v>3.0746293784535452</v>
      </c>
      <c r="J214" s="1499">
        <v>2.6015668709465714</v>
      </c>
      <c r="K214" s="113">
        <v>1.0329017357583179</v>
      </c>
    </row>
    <row r="215" spans="2:11" x14ac:dyDescent="0.3">
      <c r="B215" s="115"/>
      <c r="C215" s="112" t="s">
        <v>1513</v>
      </c>
      <c r="D215" s="130">
        <v>3.3182699325562957</v>
      </c>
      <c r="E215" s="1499">
        <v>2.1496815351202447</v>
      </c>
      <c r="F215" s="1499">
        <v>1.4951684379110786</v>
      </c>
      <c r="G215" s="1499">
        <v>1.1667845099937759</v>
      </c>
      <c r="H215" s="1499">
        <v>1.3136232224313094</v>
      </c>
      <c r="I215" s="1499">
        <v>3.0257376158436382</v>
      </c>
      <c r="J215" s="1499">
        <v>2.5526751083366643</v>
      </c>
      <c r="K215" s="113">
        <v>0.98400997314841065</v>
      </c>
    </row>
    <row r="216" spans="2:11" x14ac:dyDescent="0.3">
      <c r="B216" s="115"/>
      <c r="C216" s="112" t="s">
        <v>1517</v>
      </c>
      <c r="D216" s="130">
        <v>3.2693781699463886</v>
      </c>
      <c r="E216" s="1499">
        <v>2.1007897725103377</v>
      </c>
      <c r="F216" s="1499">
        <v>1.4462766753011715</v>
      </c>
      <c r="G216" s="1499">
        <v>1.1178927473838689</v>
      </c>
      <c r="H216" s="1499">
        <v>1.2647314598214021</v>
      </c>
      <c r="I216" s="1499">
        <v>2.9768458532337312</v>
      </c>
      <c r="J216" s="1499">
        <v>2.5037833457267573</v>
      </c>
      <c r="K216" s="113">
        <v>0.93511821053850352</v>
      </c>
    </row>
    <row r="217" spans="2:11" ht="14.5" thickBot="1" x14ac:dyDescent="0.35">
      <c r="B217" s="1233"/>
      <c r="C217" s="116" t="s">
        <v>1519</v>
      </c>
      <c r="D217" s="131">
        <v>3.4637962409772598</v>
      </c>
      <c r="E217" s="117">
        <v>2.3054095828031604</v>
      </c>
      <c r="F217" s="117">
        <v>1.648827690709499</v>
      </c>
      <c r="G217" s="117">
        <v>1.3153199606452195</v>
      </c>
      <c r="H217" s="117">
        <v>1.4607508474625419</v>
      </c>
      <c r="I217" s="117">
        <v>3.1786060820881197</v>
      </c>
      <c r="J217" s="117">
        <v>2.7047763879727018</v>
      </c>
      <c r="K217" s="118">
        <v>1.1344287452108481</v>
      </c>
    </row>
    <row r="221" spans="2:11" ht="14.5" thickBot="1" x14ac:dyDescent="0.35"/>
    <row r="222" spans="2:11" x14ac:dyDescent="0.3">
      <c r="C222" s="132" t="s">
        <v>1995</v>
      </c>
      <c r="D222" s="132"/>
      <c r="E222" s="132"/>
      <c r="F222" s="132"/>
    </row>
    <row r="223" spans="2:11" x14ac:dyDescent="0.3">
      <c r="C223" s="1504" t="s">
        <v>1996</v>
      </c>
      <c r="D223" s="1504" t="s">
        <v>1997</v>
      </c>
      <c r="E223" s="1504" t="s">
        <v>1998</v>
      </c>
      <c r="F223" s="1504" t="s">
        <v>1999</v>
      </c>
    </row>
    <row r="224" spans="2:11" x14ac:dyDescent="0.3">
      <c r="C224" s="1498">
        <v>1</v>
      </c>
      <c r="D224" s="1505">
        <v>293.63408554296598</v>
      </c>
      <c r="E224" s="1506">
        <v>6.0830833994805524E-2</v>
      </c>
      <c r="F224" s="1507">
        <v>2.4332333597922209</v>
      </c>
      <c r="H224" s="134" t="s">
        <v>2000</v>
      </c>
    </row>
    <row r="225" spans="2:11" x14ac:dyDescent="0.3">
      <c r="C225" s="1498">
        <v>1.5</v>
      </c>
      <c r="D225" s="1505">
        <v>247.82387999124234</v>
      </c>
      <c r="E225" s="1506">
        <v>5.1340542688767546E-2</v>
      </c>
      <c r="F225" s="1507">
        <v>2.0536217075507022</v>
      </c>
      <c r="H225" s="134" t="s">
        <v>2001</v>
      </c>
    </row>
    <row r="226" spans="2:11" x14ac:dyDescent="0.3">
      <c r="C226" s="1498">
        <v>2</v>
      </c>
      <c r="D226" s="1505">
        <v>215.32102189316328</v>
      </c>
      <c r="E226" s="1506">
        <v>4.4607073848919071E-2</v>
      </c>
      <c r="F226" s="1507">
        <v>1.7842829539567628</v>
      </c>
    </row>
    <row r="227" spans="2:11" x14ac:dyDescent="0.3">
      <c r="C227" s="1498">
        <v>2.5</v>
      </c>
      <c r="D227" s="1505">
        <v>190.10984650758954</v>
      </c>
      <c r="E227" s="1506">
        <v>3.9384189653244327E-2</v>
      </c>
      <c r="F227" s="1507">
        <v>1.5753675861297729</v>
      </c>
    </row>
    <row r="228" spans="2:11" x14ac:dyDescent="0.3">
      <c r="B228" s="2"/>
      <c r="C228" s="1498">
        <v>3</v>
      </c>
      <c r="D228" s="1505">
        <v>169.51081634143961</v>
      </c>
      <c r="E228" s="1506">
        <v>3.51167825428811E-2</v>
      </c>
      <c r="F228" s="1507">
        <v>1.4046713017152439</v>
      </c>
      <c r="I228" s="135"/>
      <c r="J228" s="135"/>
      <c r="K228" s="135"/>
    </row>
    <row r="229" spans="2:11" x14ac:dyDescent="0.3">
      <c r="B229" s="136"/>
      <c r="C229" s="1498">
        <v>3.5</v>
      </c>
      <c r="D229" s="1505">
        <v>152.09458449408461</v>
      </c>
      <c r="E229" s="1506">
        <v>3.1508741240855641E-2</v>
      </c>
      <c r="F229" s="1507">
        <v>1.2603496496342257</v>
      </c>
      <c r="I229" s="135"/>
      <c r="J229" s="135"/>
      <c r="K229" s="135"/>
    </row>
    <row r="230" spans="2:11" x14ac:dyDescent="0.3">
      <c r="B230" s="136"/>
      <c r="C230" s="1498">
        <v>4</v>
      </c>
      <c r="D230" s="1505">
        <v>137.00795824336058</v>
      </c>
      <c r="E230" s="1506">
        <v>2.8383313703032605E-2</v>
      </c>
      <c r="F230" s="1507">
        <v>1.1353325481213044</v>
      </c>
      <c r="I230" s="135"/>
      <c r="J230" s="135"/>
      <c r="K230" s="135"/>
    </row>
    <row r="231" spans="2:11" x14ac:dyDescent="0.3">
      <c r="B231" s="137"/>
      <c r="C231" s="1498">
        <v>4.5</v>
      </c>
      <c r="D231" s="1505">
        <v>123.70061078971594</v>
      </c>
      <c r="E231" s="1506">
        <v>2.5626491236843119E-2</v>
      </c>
      <c r="F231" s="1507">
        <v>1.0250596494737247</v>
      </c>
      <c r="I231" s="135"/>
      <c r="J231" s="135"/>
      <c r="K231" s="135"/>
    </row>
    <row r="232" spans="2:11" x14ac:dyDescent="0.3">
      <c r="C232" s="1498">
        <v>5</v>
      </c>
      <c r="D232" s="1505">
        <v>111.79678285778685</v>
      </c>
      <c r="E232" s="1506">
        <v>2.3160429507357867E-2</v>
      </c>
      <c r="F232" s="1507">
        <v>0.92641718029431486</v>
      </c>
      <c r="I232" s="135"/>
      <c r="J232" s="135"/>
      <c r="K232" s="135"/>
    </row>
    <row r="233" spans="2:11" x14ac:dyDescent="0.3">
      <c r="C233" s="1498">
        <v>5.5</v>
      </c>
      <c r="D233" s="1505">
        <v>101.02846065028604</v>
      </c>
      <c r="E233" s="1506">
        <v>2.0929605318824721E-2</v>
      </c>
      <c r="F233" s="1507">
        <v>0.83718421275298871</v>
      </c>
      <c r="I233" s="135"/>
      <c r="J233" s="135"/>
      <c r="K233" s="135"/>
    </row>
    <row r="234" spans="2:11" x14ac:dyDescent="0.3">
      <c r="C234" s="1498">
        <v>6</v>
      </c>
      <c r="D234" s="1505">
        <v>91.197752691636936</v>
      </c>
      <c r="E234" s="1506">
        <v>1.8893022396994634E-2</v>
      </c>
      <c r="F234" s="1507">
        <v>0.75572089587978541</v>
      </c>
      <c r="I234" s="135"/>
      <c r="J234" s="135"/>
      <c r="K234" s="135"/>
    </row>
    <row r="235" spans="2:11" x14ac:dyDescent="0.3">
      <c r="C235" s="1498">
        <v>6.5</v>
      </c>
      <c r="D235" s="1505">
        <v>82.154378013727381</v>
      </c>
      <c r="E235" s="1506">
        <v>1.7019547719259218E-2</v>
      </c>
      <c r="F235" s="1507">
        <v>0.6807819087703687</v>
      </c>
      <c r="I235" s="135"/>
      <c r="J235" s="135"/>
      <c r="K235" s="135"/>
    </row>
    <row r="236" spans="2:11" x14ac:dyDescent="0.3">
      <c r="C236" s="1498">
        <v>7</v>
      </c>
      <c r="D236" s="1505">
        <v>73.781520844281928</v>
      </c>
      <c r="E236" s="1506">
        <v>1.5284981094969181E-2</v>
      </c>
      <c r="F236" s="1507">
        <v>0.6113992437987672</v>
      </c>
      <c r="I236" s="135"/>
      <c r="J236" s="135"/>
      <c r="K236" s="135"/>
    </row>
    <row r="237" spans="2:11" x14ac:dyDescent="0.3">
      <c r="C237" s="1498">
        <v>7.5</v>
      </c>
      <c r="D237" s="1505">
        <v>65.986577306063182</v>
      </c>
      <c r="E237" s="1506">
        <v>1.3670138201319886E-2</v>
      </c>
      <c r="F237" s="1507">
        <v>0.54680552805279559</v>
      </c>
      <c r="I237" s="135"/>
      <c r="J237" s="135"/>
      <c r="K237" s="135"/>
    </row>
    <row r="238" spans="2:11" x14ac:dyDescent="0.3">
      <c r="B238" s="2"/>
      <c r="C238" s="1498">
        <v>8</v>
      </c>
      <c r="D238" s="1505">
        <v>58.694894593557926</v>
      </c>
      <c r="E238" s="1506">
        <v>1.2159553557146156E-2</v>
      </c>
      <c r="F238" s="1507">
        <v>0.4863821422858462</v>
      </c>
      <c r="I238" s="135"/>
      <c r="J238" s="135"/>
      <c r="K238" s="135"/>
    </row>
    <row r="239" spans="2:11" x14ac:dyDescent="0.3">
      <c r="B239" s="136"/>
      <c r="C239" s="1498">
        <v>8.5</v>
      </c>
      <c r="D239" s="1505">
        <v>51.845411539727458</v>
      </c>
      <c r="E239" s="1506">
        <v>1.0740577399022896E-2</v>
      </c>
      <c r="F239" s="1507">
        <v>0.4296230959609158</v>
      </c>
      <c r="I239" s="135"/>
      <c r="J239" s="135"/>
      <c r="K239" s="135"/>
    </row>
    <row r="240" spans="2:11" x14ac:dyDescent="0.3">
      <c r="B240" s="136"/>
      <c r="C240" s="1498">
        <v>9</v>
      </c>
      <c r="D240" s="1505">
        <v>45.387547139913238</v>
      </c>
      <c r="E240" s="1506">
        <v>9.4027310909566564E-3</v>
      </c>
      <c r="F240" s="1507">
        <v>0.37610924363826631</v>
      </c>
      <c r="I240" s="135"/>
      <c r="J240" s="135"/>
      <c r="K240" s="135"/>
    </row>
    <row r="241" spans="2:11" x14ac:dyDescent="0.3">
      <c r="B241" s="137"/>
      <c r="C241" s="1498">
        <v>9.5</v>
      </c>
      <c r="D241" s="1505">
        <v>39.278931452713039</v>
      </c>
      <c r="E241" s="1506">
        <v>8.1372370454713735E-3</v>
      </c>
      <c r="F241" s="1507">
        <v>0.3254894818188549</v>
      </c>
      <c r="I241" s="135"/>
      <c r="J241" s="135"/>
      <c r="K241" s="135"/>
    </row>
    <row r="242" spans="2:11" x14ac:dyDescent="0.3">
      <c r="C242" s="1498">
        <v>10</v>
      </c>
      <c r="D242" s="1505">
        <v>33.48371920798413</v>
      </c>
      <c r="E242" s="1506">
        <v>6.9366693614713992E-3</v>
      </c>
      <c r="F242" s="1507">
        <v>0.27746677445885598</v>
      </c>
      <c r="I242" s="135"/>
      <c r="J242" s="135"/>
      <c r="K242" s="135"/>
    </row>
    <row r="243" spans="2:11" x14ac:dyDescent="0.3">
      <c r="I243" s="135"/>
      <c r="J243" s="135"/>
      <c r="K243" s="135"/>
    </row>
    <row r="244" spans="2:11" ht="14.5" thickBot="1" x14ac:dyDescent="0.35">
      <c r="I244" s="135"/>
      <c r="J244" s="135"/>
      <c r="K244" s="135"/>
    </row>
    <row r="245" spans="2:11" x14ac:dyDescent="0.3">
      <c r="C245" s="132" t="s">
        <v>2002</v>
      </c>
      <c r="D245" s="132"/>
      <c r="E245" s="132"/>
      <c r="F245" s="132"/>
      <c r="H245" s="134" t="s">
        <v>2003</v>
      </c>
      <c r="I245" s="135"/>
      <c r="J245" s="135"/>
      <c r="K245" s="135"/>
    </row>
    <row r="246" spans="2:11" x14ac:dyDescent="0.3">
      <c r="C246" s="1508" t="s">
        <v>1996</v>
      </c>
      <c r="D246" s="1508" t="s">
        <v>2004</v>
      </c>
      <c r="E246" s="1508" t="s">
        <v>2005</v>
      </c>
      <c r="F246" s="1508" t="s">
        <v>2006</v>
      </c>
      <c r="H246" s="134" t="s">
        <v>2007</v>
      </c>
      <c r="I246" s="135"/>
      <c r="J246" s="135"/>
      <c r="K246" s="135"/>
    </row>
    <row r="247" spans="2:11" x14ac:dyDescent="0.3">
      <c r="C247" s="1498" t="s">
        <v>376</v>
      </c>
      <c r="D247" s="1509">
        <v>349.2577157569076</v>
      </c>
      <c r="E247" s="1510">
        <v>7.2354127720995309E-2</v>
      </c>
      <c r="F247" s="1511">
        <v>2.8941651088398128</v>
      </c>
      <c r="I247" s="135"/>
      <c r="J247" s="135"/>
      <c r="K247" s="135"/>
    </row>
    <row r="248" spans="2:11" x14ac:dyDescent="0.3">
      <c r="B248" s="2"/>
      <c r="D248" s="135"/>
      <c r="E248" s="135"/>
      <c r="F248" s="135"/>
      <c r="G248" s="135"/>
      <c r="H248" s="135"/>
      <c r="I248" s="135"/>
      <c r="J248" s="135"/>
      <c r="K248" s="135"/>
    </row>
    <row r="249" spans="2:11" x14ac:dyDescent="0.3">
      <c r="B249" s="136"/>
      <c r="D249" s="135"/>
      <c r="E249" s="135"/>
      <c r="F249" s="135"/>
      <c r="G249" s="135"/>
      <c r="H249" s="135"/>
      <c r="I249" s="135"/>
      <c r="J249" s="135"/>
      <c r="K249" s="135"/>
    </row>
    <row r="250" spans="2:11" x14ac:dyDescent="0.3">
      <c r="B250" s="136"/>
      <c r="D250" s="135"/>
      <c r="E250" s="135"/>
      <c r="F250" s="135"/>
      <c r="G250" s="135"/>
      <c r="H250" s="135"/>
      <c r="I250" s="135"/>
      <c r="J250" s="135"/>
      <c r="K250" s="135"/>
    </row>
    <row r="251" spans="2:11" x14ac:dyDescent="0.3">
      <c r="B251" s="137"/>
      <c r="D251" s="135"/>
      <c r="E251" s="135"/>
      <c r="F251" s="135"/>
      <c r="G251" s="135"/>
      <c r="H251" s="135"/>
      <c r="I251" s="135"/>
      <c r="J251" s="135"/>
      <c r="K251" s="135"/>
    </row>
    <row r="252" spans="2:11" x14ac:dyDescent="0.3">
      <c r="D252" s="135"/>
      <c r="E252" s="135"/>
      <c r="F252" s="135"/>
      <c r="G252" s="135"/>
      <c r="H252" s="135"/>
      <c r="I252" s="135"/>
      <c r="J252" s="135"/>
      <c r="K252" s="135"/>
    </row>
    <row r="253" spans="2:11" x14ac:dyDescent="0.3">
      <c r="D253" s="135"/>
      <c r="E253" s="135"/>
      <c r="F253" s="135"/>
      <c r="G253" s="135"/>
      <c r="H253" s="135"/>
      <c r="I253" s="135"/>
      <c r="J253" s="135"/>
      <c r="K253" s="135"/>
    </row>
    <row r="254" spans="2:11" x14ac:dyDescent="0.3">
      <c r="D254" s="135"/>
      <c r="E254" s="135"/>
      <c r="F254" s="135"/>
      <c r="G254" s="135"/>
      <c r="H254" s="135"/>
      <c r="I254" s="135"/>
      <c r="J254" s="135"/>
      <c r="K254" s="135"/>
    </row>
    <row r="255" spans="2:11" x14ac:dyDescent="0.3">
      <c r="D255" s="135"/>
      <c r="E255" s="135"/>
      <c r="F255" s="135"/>
      <c r="G255" s="135"/>
      <c r="H255" s="135"/>
      <c r="I255" s="135"/>
      <c r="J255" s="135"/>
      <c r="K255" s="135"/>
    </row>
    <row r="256" spans="2:11" x14ac:dyDescent="0.3">
      <c r="D256" s="135"/>
      <c r="E256" s="135"/>
      <c r="F256" s="135"/>
      <c r="G256" s="135"/>
      <c r="H256" s="135"/>
      <c r="I256" s="135"/>
      <c r="J256" s="135"/>
      <c r="K256" s="135"/>
    </row>
    <row r="257" spans="4:11" x14ac:dyDescent="0.3">
      <c r="D257" s="135"/>
      <c r="E257" s="135"/>
      <c r="F257" s="135"/>
      <c r="G257" s="135"/>
      <c r="H257" s="135"/>
      <c r="I257" s="135"/>
      <c r="J257" s="135"/>
      <c r="K257" s="135"/>
    </row>
  </sheetData>
  <sheetProtection algorithmName="SHA-512" hashValue="9v2FGJO87KP35vn8wUg1esm46GRuadfwFnAGslfPQ3CC3Lbi/E/dBnV//UyzKKZArjPCHMsWODD/OBT8N9EAPg==" saltValue="dRA37D5BJbDqkTqBpK1ZHg==" spinCount="100000" sheet="1" objects="1" scenarios="1" autoFilter="0"/>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9"/>
  <dimension ref="B1:K248"/>
  <sheetViews>
    <sheetView topLeftCell="A199" workbookViewId="0">
      <selection activeCell="G9" sqref="G9"/>
    </sheetView>
  </sheetViews>
  <sheetFormatPr defaultColWidth="7.58203125" defaultRowHeight="14" x14ac:dyDescent="0.3"/>
  <sheetData>
    <row r="1" spans="2:11" ht="14.5" thickBot="1" x14ac:dyDescent="0.35"/>
    <row r="2" spans="2:11" ht="25.5" thickBot="1" x14ac:dyDescent="0.55000000000000004">
      <c r="B2" s="88" t="s">
        <v>1960</v>
      </c>
      <c r="C2" s="89"/>
      <c r="D2" s="90">
        <v>5</v>
      </c>
      <c r="E2" s="91" t="s">
        <v>1961</v>
      </c>
      <c r="F2" s="92"/>
      <c r="G2" s="92"/>
      <c r="H2" s="92"/>
      <c r="I2" s="93"/>
      <c r="J2" s="89" t="s">
        <v>176</v>
      </c>
      <c r="K2" s="94" t="s">
        <v>230</v>
      </c>
    </row>
    <row r="3" spans="2:11" ht="14.5" thickBot="1" x14ac:dyDescent="0.35">
      <c r="B3" s="95" t="s">
        <v>1962</v>
      </c>
      <c r="C3" s="96" t="s">
        <v>1963</v>
      </c>
      <c r="D3" s="95" t="s">
        <v>1964</v>
      </c>
      <c r="E3" s="97" t="s">
        <v>1965</v>
      </c>
      <c r="F3" s="97" t="s">
        <v>1966</v>
      </c>
      <c r="G3" s="97" t="s">
        <v>1967</v>
      </c>
      <c r="H3" s="97" t="s">
        <v>1968</v>
      </c>
      <c r="I3" s="97" t="s">
        <v>1969</v>
      </c>
      <c r="J3" s="97" t="s">
        <v>1970</v>
      </c>
      <c r="K3" s="98" t="s">
        <v>1971</v>
      </c>
    </row>
    <row r="4" spans="2:11" ht="18.5" thickBot="1" x14ac:dyDescent="0.45">
      <c r="B4" s="99" t="s">
        <v>34</v>
      </c>
      <c r="C4" s="100" t="s">
        <v>34</v>
      </c>
      <c r="D4" s="101" t="s">
        <v>34</v>
      </c>
      <c r="E4" s="944"/>
      <c r="F4" s="944"/>
      <c r="G4" s="944"/>
      <c r="H4" s="944"/>
      <c r="I4" s="944" t="s">
        <v>34</v>
      </c>
      <c r="J4" s="944" t="s">
        <v>34</v>
      </c>
      <c r="K4" s="102"/>
    </row>
    <row r="5" spans="2:11" ht="90.5" thickBot="1" x14ac:dyDescent="0.45">
      <c r="B5" s="103" t="s">
        <v>1972</v>
      </c>
      <c r="C5" s="104" t="s">
        <v>1973</v>
      </c>
      <c r="D5" s="105" t="s">
        <v>1974</v>
      </c>
      <c r="E5" s="105" t="s">
        <v>1525</v>
      </c>
      <c r="F5" s="105" t="s">
        <v>1527</v>
      </c>
      <c r="G5" s="105" t="s">
        <v>1975</v>
      </c>
      <c r="H5" s="105" t="s">
        <v>1976</v>
      </c>
      <c r="I5" s="105" t="s">
        <v>1445</v>
      </c>
      <c r="J5" s="105" t="s">
        <v>1538</v>
      </c>
      <c r="K5" s="106" t="s">
        <v>1541</v>
      </c>
    </row>
    <row r="6" spans="2:11" x14ac:dyDescent="0.3">
      <c r="B6" s="107" t="s">
        <v>1977</v>
      </c>
      <c r="C6" s="108" t="s">
        <v>1416</v>
      </c>
      <c r="D6" s="109">
        <v>4.2712849272864668</v>
      </c>
      <c r="E6" s="109">
        <v>3.8409140586270509</v>
      </c>
      <c r="F6" s="109">
        <v>2.6503536021856058</v>
      </c>
      <c r="G6" s="109">
        <v>2.5405317966660661</v>
      </c>
      <c r="H6" s="109">
        <v>2.4924710259344343</v>
      </c>
      <c r="I6" s="109">
        <v>5.5186129927101213</v>
      </c>
      <c r="J6" s="109">
        <v>4.8030972200453199</v>
      </c>
      <c r="K6" s="110">
        <v>2.2993566915383687</v>
      </c>
    </row>
    <row r="7" spans="2:11" x14ac:dyDescent="0.3">
      <c r="B7" s="111" t="s">
        <v>1978</v>
      </c>
      <c r="C7" s="112" t="s">
        <v>1483</v>
      </c>
      <c r="D7" s="1499">
        <v>4.5674064855319338</v>
      </c>
      <c r="E7" s="1499">
        <v>4.1454524074895147</v>
      </c>
      <c r="F7" s="1499">
        <v>2.9498972549371483</v>
      </c>
      <c r="G7" s="1499">
        <v>2.8480716504604731</v>
      </c>
      <c r="H7" s="1499">
        <v>2.7941615100200146</v>
      </c>
      <c r="I7" s="1499">
        <v>5.8066907745397192</v>
      </c>
      <c r="J7" s="1499">
        <v>5.0990260660260223</v>
      </c>
      <c r="K7" s="113">
        <v>2.6109270340961572</v>
      </c>
    </row>
    <row r="8" spans="2:11" x14ac:dyDescent="0.3">
      <c r="B8" s="111" t="s">
        <v>1979</v>
      </c>
      <c r="C8" s="112" t="s">
        <v>1489</v>
      </c>
      <c r="D8" s="1499">
        <v>4.5327456232042733</v>
      </c>
      <c r="E8" s="1499">
        <v>4.1107915451618533</v>
      </c>
      <c r="F8" s="1499">
        <v>2.9152363926094873</v>
      </c>
      <c r="G8" s="1499">
        <v>2.8134107881328121</v>
      </c>
      <c r="H8" s="1499">
        <v>2.7595006476923536</v>
      </c>
      <c r="I8" s="1499">
        <v>5.7720299122120577</v>
      </c>
      <c r="J8" s="1499">
        <v>5.0643652036983609</v>
      </c>
      <c r="K8" s="113">
        <v>2.5762661717684963</v>
      </c>
    </row>
    <row r="9" spans="2:11" x14ac:dyDescent="0.3">
      <c r="B9" s="114">
        <v>0</v>
      </c>
      <c r="C9" s="112" t="s">
        <v>1496</v>
      </c>
      <c r="D9" s="1499">
        <v>4.4807543297127816</v>
      </c>
      <c r="E9" s="1499">
        <v>4.0588002516703625</v>
      </c>
      <c r="F9" s="1499">
        <v>2.8632450991179956</v>
      </c>
      <c r="G9" s="1499">
        <v>2.7614194946413209</v>
      </c>
      <c r="H9" s="1499">
        <v>2.7075093542008619</v>
      </c>
      <c r="I9" s="1499">
        <v>5.7200386187205661</v>
      </c>
      <c r="J9" s="1499">
        <v>5.0123739102068692</v>
      </c>
      <c r="K9" s="113">
        <v>2.524274878277005</v>
      </c>
    </row>
    <row r="10" spans="2:11" x14ac:dyDescent="0.3">
      <c r="B10" s="115"/>
      <c r="C10" s="112" t="s">
        <v>1500</v>
      </c>
      <c r="D10" s="1499">
        <v>4.42876303622129</v>
      </c>
      <c r="E10" s="1499">
        <v>4.0068089581788708</v>
      </c>
      <c r="F10" s="1499">
        <v>2.811253805626504</v>
      </c>
      <c r="G10" s="1499">
        <v>2.7094282011498292</v>
      </c>
      <c r="H10" s="1499">
        <v>2.6555180607093702</v>
      </c>
      <c r="I10" s="1499">
        <v>5.6680473252290753</v>
      </c>
      <c r="J10" s="1499">
        <v>4.9603826167153775</v>
      </c>
      <c r="K10" s="113">
        <v>2.4722835847855134</v>
      </c>
    </row>
    <row r="11" spans="2:11" x14ac:dyDescent="0.3">
      <c r="B11" s="115"/>
      <c r="C11" s="112" t="s">
        <v>1504</v>
      </c>
      <c r="D11" s="1499">
        <v>4.5085577200259035</v>
      </c>
      <c r="E11" s="1499">
        <v>4.0841457285059146</v>
      </c>
      <c r="F11" s="1499">
        <v>2.8894786476518579</v>
      </c>
      <c r="G11" s="1499">
        <v>2.7871767296244894</v>
      </c>
      <c r="H11" s="1499">
        <v>2.7342771185238499</v>
      </c>
      <c r="I11" s="1499">
        <v>5.7467894465299665</v>
      </c>
      <c r="J11" s="1499">
        <v>5.037998796342098</v>
      </c>
      <c r="K11" s="113">
        <v>2.5485625576435251</v>
      </c>
    </row>
    <row r="12" spans="2:11" x14ac:dyDescent="0.3">
      <c r="B12" s="115"/>
      <c r="C12" s="112" t="s">
        <v>1508</v>
      </c>
      <c r="D12" s="1499">
        <v>4.4794509471781412</v>
      </c>
      <c r="E12" s="1499">
        <v>4.0550389556581514</v>
      </c>
      <c r="F12" s="1499">
        <v>2.8603718748040952</v>
      </c>
      <c r="G12" s="1499">
        <v>2.7580699567767266</v>
      </c>
      <c r="H12" s="1499">
        <v>2.7051703456760872</v>
      </c>
      <c r="I12" s="1499">
        <v>5.7176826736822024</v>
      </c>
      <c r="J12" s="1499">
        <v>5.0088920234943348</v>
      </c>
      <c r="K12" s="113">
        <v>2.5194557847957624</v>
      </c>
    </row>
    <row r="13" spans="2:11" x14ac:dyDescent="0.3">
      <c r="B13" s="115"/>
      <c r="C13" s="112" t="s">
        <v>1513</v>
      </c>
      <c r="D13" s="1499">
        <v>4.4357907879064964</v>
      </c>
      <c r="E13" s="1499">
        <v>4.0113787963865075</v>
      </c>
      <c r="F13" s="1499">
        <v>2.8167117155324508</v>
      </c>
      <c r="G13" s="1499">
        <v>2.7144097975050823</v>
      </c>
      <c r="H13" s="1499">
        <v>2.6615101864044428</v>
      </c>
      <c r="I13" s="1499">
        <v>5.6740225144105585</v>
      </c>
      <c r="J13" s="1499">
        <v>4.9652318642226909</v>
      </c>
      <c r="K13" s="113">
        <v>2.475795625524118</v>
      </c>
    </row>
    <row r="14" spans="2:11" x14ac:dyDescent="0.3">
      <c r="B14" s="115"/>
      <c r="C14" s="112" t="s">
        <v>1517</v>
      </c>
      <c r="D14" s="1499">
        <v>4.3921306286348525</v>
      </c>
      <c r="E14" s="1499">
        <v>3.9677186371148632</v>
      </c>
      <c r="F14" s="1499">
        <v>2.7730515562608065</v>
      </c>
      <c r="G14" s="1499">
        <v>2.6707496382334384</v>
      </c>
      <c r="H14" s="1499">
        <v>2.6178500271327985</v>
      </c>
      <c r="I14" s="1499">
        <v>5.6303623551389146</v>
      </c>
      <c r="J14" s="1499">
        <v>4.921571704951047</v>
      </c>
      <c r="K14" s="113">
        <v>2.4321354662524741</v>
      </c>
    </row>
    <row r="15" spans="2:11" ht="14.5" thickBot="1" x14ac:dyDescent="0.35">
      <c r="B15" s="1233"/>
      <c r="C15" s="116" t="s">
        <v>1519</v>
      </c>
      <c r="D15" s="117">
        <v>4.5674064855319338</v>
      </c>
      <c r="E15" s="117">
        <v>4.1454524074895147</v>
      </c>
      <c r="F15" s="117">
        <v>2.9498972549371483</v>
      </c>
      <c r="G15" s="117">
        <v>2.8480716504604731</v>
      </c>
      <c r="H15" s="117">
        <v>2.7941615100200146</v>
      </c>
      <c r="I15" s="117">
        <v>5.8066907745397192</v>
      </c>
      <c r="J15" s="117">
        <v>5.0990260660260223</v>
      </c>
      <c r="K15" s="118">
        <v>2.6109270340961572</v>
      </c>
    </row>
    <row r="16" spans="2:11" x14ac:dyDescent="0.3">
      <c r="B16" s="107" t="s">
        <v>1977</v>
      </c>
      <c r="C16" s="108" t="s">
        <v>1416</v>
      </c>
      <c r="D16" s="109">
        <v>4.086343900423004</v>
      </c>
      <c r="E16" s="109">
        <v>3.6559730317635881</v>
      </c>
      <c r="F16" s="109">
        <v>2.465412575322143</v>
      </c>
      <c r="G16" s="109">
        <v>2.3555907698026033</v>
      </c>
      <c r="H16" s="109">
        <v>2.3075299990709714</v>
      </c>
      <c r="I16" s="109">
        <v>5.3336719658466594</v>
      </c>
      <c r="J16" s="109">
        <v>4.6181561931818571</v>
      </c>
      <c r="K16" s="110">
        <v>2.1144156646749059</v>
      </c>
    </row>
    <row r="17" spans="2:11" x14ac:dyDescent="0.3">
      <c r="B17" s="111" t="s">
        <v>1978</v>
      </c>
      <c r="C17" s="112" t="s">
        <v>1483</v>
      </c>
      <c r="D17" s="1499">
        <v>4.382465458668471</v>
      </c>
      <c r="E17" s="1499">
        <v>3.9605113806260519</v>
      </c>
      <c r="F17" s="1499">
        <v>2.7649562280736855</v>
      </c>
      <c r="G17" s="1499">
        <v>2.6631306235970102</v>
      </c>
      <c r="H17" s="1499">
        <v>2.6092204831565522</v>
      </c>
      <c r="I17" s="1499">
        <v>5.6217497476762572</v>
      </c>
      <c r="J17" s="1499">
        <v>4.9140850391625595</v>
      </c>
      <c r="K17" s="113">
        <v>2.4259860072326949</v>
      </c>
    </row>
    <row r="18" spans="2:11" x14ac:dyDescent="0.3">
      <c r="B18" s="111" t="s">
        <v>1980</v>
      </c>
      <c r="C18" s="112" t="s">
        <v>1489</v>
      </c>
      <c r="D18" s="1499">
        <v>4.3478045963408105</v>
      </c>
      <c r="E18" s="1499">
        <v>3.9258505182983909</v>
      </c>
      <c r="F18" s="1499">
        <v>2.7302953657460245</v>
      </c>
      <c r="G18" s="1499">
        <v>2.6284697612693493</v>
      </c>
      <c r="H18" s="1499">
        <v>2.5745596208288908</v>
      </c>
      <c r="I18" s="1499">
        <v>5.5870888853485958</v>
      </c>
      <c r="J18" s="1499">
        <v>4.879424176834898</v>
      </c>
      <c r="K18" s="113">
        <v>2.3913251449050335</v>
      </c>
    </row>
    <row r="19" spans="2:11" x14ac:dyDescent="0.3">
      <c r="B19" s="114">
        <v>0</v>
      </c>
      <c r="C19" s="112" t="s">
        <v>1496</v>
      </c>
      <c r="D19" s="1499">
        <v>4.2958133028493188</v>
      </c>
      <c r="E19" s="1499">
        <v>3.8738592248068993</v>
      </c>
      <c r="F19" s="1499">
        <v>2.6783040722545328</v>
      </c>
      <c r="G19" s="1499">
        <v>2.5764784677778581</v>
      </c>
      <c r="H19" s="1499">
        <v>2.5225683273373991</v>
      </c>
      <c r="I19" s="1499">
        <v>5.5350975918571041</v>
      </c>
      <c r="J19" s="1499">
        <v>4.8274328833434064</v>
      </c>
      <c r="K19" s="113">
        <v>2.3393338514135422</v>
      </c>
    </row>
    <row r="20" spans="2:11" x14ac:dyDescent="0.3">
      <c r="B20" s="115"/>
      <c r="C20" s="112" t="s">
        <v>1500</v>
      </c>
      <c r="D20" s="1499">
        <v>4.2438220093578272</v>
      </c>
      <c r="E20" s="1499">
        <v>3.8218679313154076</v>
      </c>
      <c r="F20" s="1499">
        <v>2.6263127787630411</v>
      </c>
      <c r="G20" s="1499">
        <v>2.5244871742863664</v>
      </c>
      <c r="H20" s="1499">
        <v>2.4705770338459074</v>
      </c>
      <c r="I20" s="1499">
        <v>5.4831062983656125</v>
      </c>
      <c r="J20" s="1499">
        <v>4.7754415898519147</v>
      </c>
      <c r="K20" s="113">
        <v>2.2873425579220505</v>
      </c>
    </row>
    <row r="21" spans="2:11" x14ac:dyDescent="0.3">
      <c r="B21" s="115"/>
      <c r="C21" s="112" t="s">
        <v>1504</v>
      </c>
      <c r="D21" s="1499">
        <v>4.3236166931624407</v>
      </c>
      <c r="E21" s="1499">
        <v>3.8992047016424518</v>
      </c>
      <c r="F21" s="1499">
        <v>2.7045376207883951</v>
      </c>
      <c r="G21" s="1499">
        <v>2.602235702761027</v>
      </c>
      <c r="H21" s="1499">
        <v>2.5493360916603871</v>
      </c>
      <c r="I21" s="1499">
        <v>5.5618484196665028</v>
      </c>
      <c r="J21" s="1499">
        <v>4.8530577694786352</v>
      </c>
      <c r="K21" s="113">
        <v>2.3636215307800628</v>
      </c>
    </row>
    <row r="22" spans="2:11" x14ac:dyDescent="0.3">
      <c r="B22" s="115"/>
      <c r="C22" s="112" t="s">
        <v>1508</v>
      </c>
      <c r="D22" s="1499">
        <v>4.2945099203146784</v>
      </c>
      <c r="E22" s="1499">
        <v>3.8700979287946891</v>
      </c>
      <c r="F22" s="1499">
        <v>2.6754308479406324</v>
      </c>
      <c r="G22" s="1499">
        <v>2.5731289299132638</v>
      </c>
      <c r="H22" s="1499">
        <v>2.5202293188126244</v>
      </c>
      <c r="I22" s="1499">
        <v>5.5327416468187405</v>
      </c>
      <c r="J22" s="1499">
        <v>4.823950996630872</v>
      </c>
      <c r="K22" s="113">
        <v>2.3345147579322996</v>
      </c>
    </row>
    <row r="23" spans="2:11" x14ac:dyDescent="0.3">
      <c r="B23" s="115"/>
      <c r="C23" s="112" t="s">
        <v>1513</v>
      </c>
      <c r="D23" s="1499">
        <v>4.2508497610430336</v>
      </c>
      <c r="E23" s="1499">
        <v>3.8264377695230447</v>
      </c>
      <c r="F23" s="1499">
        <v>2.631770688668988</v>
      </c>
      <c r="G23" s="1499">
        <v>2.5294687706416199</v>
      </c>
      <c r="H23" s="1499">
        <v>2.47656915954098</v>
      </c>
      <c r="I23" s="1499">
        <v>5.4890814875470966</v>
      </c>
      <c r="J23" s="1499">
        <v>4.7802908373592281</v>
      </c>
      <c r="K23" s="113">
        <v>2.2908545986606557</v>
      </c>
    </row>
    <row r="24" spans="2:11" x14ac:dyDescent="0.3">
      <c r="B24" s="115"/>
      <c r="C24" s="112" t="s">
        <v>1517</v>
      </c>
      <c r="D24" s="1499">
        <v>4.2071896017713897</v>
      </c>
      <c r="E24" s="1499">
        <v>3.7827776102514008</v>
      </c>
      <c r="F24" s="1499">
        <v>2.5881105293973437</v>
      </c>
      <c r="G24" s="1499">
        <v>2.4858086113699756</v>
      </c>
      <c r="H24" s="1499">
        <v>2.4329090002693357</v>
      </c>
      <c r="I24" s="1499">
        <v>5.4454213282754527</v>
      </c>
      <c r="J24" s="1499">
        <v>4.7366306780875842</v>
      </c>
      <c r="K24" s="113">
        <v>2.2471944393890113</v>
      </c>
    </row>
    <row r="25" spans="2:11" ht="14.5" thickBot="1" x14ac:dyDescent="0.35">
      <c r="B25" s="1233"/>
      <c r="C25" s="116" t="s">
        <v>1519</v>
      </c>
      <c r="D25" s="117">
        <v>4.382465458668471</v>
      </c>
      <c r="E25" s="117">
        <v>3.9605113806260519</v>
      </c>
      <c r="F25" s="117">
        <v>2.7649562280736855</v>
      </c>
      <c r="G25" s="117">
        <v>2.6631306235970102</v>
      </c>
      <c r="H25" s="117">
        <v>2.6092204831565522</v>
      </c>
      <c r="I25" s="117">
        <v>5.6217497476762572</v>
      </c>
      <c r="J25" s="117">
        <v>4.9140850391625595</v>
      </c>
      <c r="K25" s="118">
        <v>2.4259860072326949</v>
      </c>
    </row>
    <row r="26" spans="2:11" x14ac:dyDescent="0.3">
      <c r="B26" s="107" t="s">
        <v>1977</v>
      </c>
      <c r="C26" s="108" t="s">
        <v>1416</v>
      </c>
      <c r="D26" s="109">
        <v>3.8089323601278107</v>
      </c>
      <c r="E26" s="109">
        <v>3.3785614914683944</v>
      </c>
      <c r="F26" s="109">
        <v>2.1880010350269488</v>
      </c>
      <c r="G26" s="109">
        <v>2.0781792295074091</v>
      </c>
      <c r="H26" s="109">
        <v>2.0301184587757772</v>
      </c>
      <c r="I26" s="109">
        <v>5.0562604255514652</v>
      </c>
      <c r="J26" s="109">
        <v>4.3407446528866629</v>
      </c>
      <c r="K26" s="110">
        <v>1.8370041243797117</v>
      </c>
    </row>
    <row r="27" spans="2:11" x14ac:dyDescent="0.3">
      <c r="B27" s="111" t="s">
        <v>1978</v>
      </c>
      <c r="C27" s="112" t="s">
        <v>1483</v>
      </c>
      <c r="D27" s="1499">
        <v>4.1050539183732777</v>
      </c>
      <c r="E27" s="1499">
        <v>3.6830998403308577</v>
      </c>
      <c r="F27" s="1499">
        <v>2.4875446877784912</v>
      </c>
      <c r="G27" s="1499">
        <v>2.3857190833018165</v>
      </c>
      <c r="H27" s="1499">
        <v>2.331808942861358</v>
      </c>
      <c r="I27" s="1499">
        <v>5.344338207381063</v>
      </c>
      <c r="J27" s="1499">
        <v>4.6366734988673652</v>
      </c>
      <c r="K27" s="113">
        <v>2.1485744669375006</v>
      </c>
    </row>
    <row r="28" spans="2:11" x14ac:dyDescent="0.3">
      <c r="B28" s="111" t="s">
        <v>1981</v>
      </c>
      <c r="C28" s="112" t="s">
        <v>1489</v>
      </c>
      <c r="D28" s="1499">
        <v>4.0703930560456163</v>
      </c>
      <c r="E28" s="1499">
        <v>3.6484389780031972</v>
      </c>
      <c r="F28" s="1499">
        <v>2.4528838254508303</v>
      </c>
      <c r="G28" s="1499">
        <v>2.3510582209741551</v>
      </c>
      <c r="H28" s="1499">
        <v>2.2971480805336966</v>
      </c>
      <c r="I28" s="1499">
        <v>5.3096773450534016</v>
      </c>
      <c r="J28" s="1499">
        <v>4.6020126365397047</v>
      </c>
      <c r="K28" s="113">
        <v>2.1139136046098392</v>
      </c>
    </row>
    <row r="29" spans="2:11" x14ac:dyDescent="0.3">
      <c r="B29" s="114">
        <v>0</v>
      </c>
      <c r="C29" s="112" t="s">
        <v>1496</v>
      </c>
      <c r="D29" s="1499">
        <v>4.0184017625541246</v>
      </c>
      <c r="E29" s="1499">
        <v>3.5964476845117055</v>
      </c>
      <c r="F29" s="1499">
        <v>2.4008925319593386</v>
      </c>
      <c r="G29" s="1499">
        <v>2.2990669274826638</v>
      </c>
      <c r="H29" s="1499">
        <v>2.2451567870422049</v>
      </c>
      <c r="I29" s="1499">
        <v>5.2576860515619099</v>
      </c>
      <c r="J29" s="1499">
        <v>4.550021343048213</v>
      </c>
      <c r="K29" s="113">
        <v>2.061922311118348</v>
      </c>
    </row>
    <row r="30" spans="2:11" x14ac:dyDescent="0.3">
      <c r="B30" s="115"/>
      <c r="C30" s="112" t="s">
        <v>1500</v>
      </c>
      <c r="D30" s="1499">
        <v>3.9664104690626334</v>
      </c>
      <c r="E30" s="1499">
        <v>3.5444563910202138</v>
      </c>
      <c r="F30" s="1499">
        <v>2.3489012384678469</v>
      </c>
      <c r="G30" s="1499">
        <v>2.2470756339911722</v>
      </c>
      <c r="H30" s="1499">
        <v>2.1931654935507132</v>
      </c>
      <c r="I30" s="1499">
        <v>5.2056947580704183</v>
      </c>
      <c r="J30" s="1499">
        <v>4.4980300495567214</v>
      </c>
      <c r="K30" s="113">
        <v>2.0099310176268563</v>
      </c>
    </row>
    <row r="31" spans="2:11" x14ac:dyDescent="0.3">
      <c r="B31" s="115"/>
      <c r="C31" s="112" t="s">
        <v>1504</v>
      </c>
      <c r="D31" s="1499">
        <v>4.0462051528672465</v>
      </c>
      <c r="E31" s="1499">
        <v>3.6217931613472576</v>
      </c>
      <c r="F31" s="1499">
        <v>2.4271260804932009</v>
      </c>
      <c r="G31" s="1499">
        <v>2.3248241624658328</v>
      </c>
      <c r="H31" s="1499">
        <v>2.2719245513651929</v>
      </c>
      <c r="I31" s="1499">
        <v>5.2844368793713095</v>
      </c>
      <c r="J31" s="1499">
        <v>4.5756462291834401</v>
      </c>
      <c r="K31" s="113">
        <v>2.0862099904848685</v>
      </c>
    </row>
    <row r="32" spans="2:11" x14ac:dyDescent="0.3">
      <c r="B32" s="115"/>
      <c r="C32" s="112" t="s">
        <v>1508</v>
      </c>
      <c r="D32" s="1499">
        <v>4.0170983800194842</v>
      </c>
      <c r="E32" s="1499">
        <v>3.5926863884994948</v>
      </c>
      <c r="F32" s="1499">
        <v>2.3980193076454381</v>
      </c>
      <c r="G32" s="1499">
        <v>2.2957173896180696</v>
      </c>
      <c r="H32" s="1499">
        <v>2.2428177785174301</v>
      </c>
      <c r="I32" s="1499">
        <v>5.2553301065235463</v>
      </c>
      <c r="J32" s="1499">
        <v>4.5465394563356778</v>
      </c>
      <c r="K32" s="113">
        <v>2.0571032176371054</v>
      </c>
    </row>
    <row r="33" spans="2:11" x14ac:dyDescent="0.3">
      <c r="B33" s="115"/>
      <c r="C33" s="112" t="s">
        <v>1513</v>
      </c>
      <c r="D33" s="1499">
        <v>3.9734382207478394</v>
      </c>
      <c r="E33" s="1499">
        <v>3.5490262292278505</v>
      </c>
      <c r="F33" s="1499">
        <v>2.3543591483737938</v>
      </c>
      <c r="G33" s="1499">
        <v>2.2520572303464257</v>
      </c>
      <c r="H33" s="1499">
        <v>2.1991576192457858</v>
      </c>
      <c r="I33" s="1499">
        <v>5.2116699472519015</v>
      </c>
      <c r="J33" s="1499">
        <v>4.5028792970640339</v>
      </c>
      <c r="K33" s="113">
        <v>2.0134430583654614</v>
      </c>
    </row>
    <row r="34" spans="2:11" x14ac:dyDescent="0.3">
      <c r="B34" s="115"/>
      <c r="C34" s="112" t="s">
        <v>1517</v>
      </c>
      <c r="D34" s="1499">
        <v>3.9297780614761955</v>
      </c>
      <c r="E34" s="1499">
        <v>3.5053660699562061</v>
      </c>
      <c r="F34" s="1499">
        <v>2.3106989891021494</v>
      </c>
      <c r="G34" s="1499">
        <v>2.2083970710747818</v>
      </c>
      <c r="H34" s="1499">
        <v>2.1554974599741414</v>
      </c>
      <c r="I34" s="1499">
        <v>5.1680097879802576</v>
      </c>
      <c r="J34" s="1499">
        <v>4.45921913779239</v>
      </c>
      <c r="K34" s="113">
        <v>1.9697828990938171</v>
      </c>
    </row>
    <row r="35" spans="2:11" ht="14.5" thickBot="1" x14ac:dyDescent="0.35">
      <c r="B35" s="1233"/>
      <c r="C35" s="116" t="s">
        <v>1519</v>
      </c>
      <c r="D35" s="117">
        <v>4.1050539183732777</v>
      </c>
      <c r="E35" s="117">
        <v>3.6830998403308577</v>
      </c>
      <c r="F35" s="117">
        <v>2.4875446877784912</v>
      </c>
      <c r="G35" s="117">
        <v>2.3857190833018165</v>
      </c>
      <c r="H35" s="117">
        <v>2.331808942861358</v>
      </c>
      <c r="I35" s="117">
        <v>5.344338207381063</v>
      </c>
      <c r="J35" s="117">
        <v>4.6366734988673652</v>
      </c>
      <c r="K35" s="118">
        <v>2.1485744669375006</v>
      </c>
    </row>
    <row r="36" spans="2:11" x14ac:dyDescent="0.3">
      <c r="B36" s="107" t="s">
        <v>1977</v>
      </c>
      <c r="C36" s="108" t="s">
        <v>1416</v>
      </c>
      <c r="D36" s="109">
        <v>3.531520819832616</v>
      </c>
      <c r="E36" s="109">
        <v>3.1011499511731997</v>
      </c>
      <c r="F36" s="109">
        <v>1.9105894947317545</v>
      </c>
      <c r="G36" s="109">
        <v>1.8007676892122153</v>
      </c>
      <c r="H36" s="109">
        <v>1.7527069184805832</v>
      </c>
      <c r="I36" s="109">
        <v>4.7788488852562709</v>
      </c>
      <c r="J36" s="109">
        <v>4.0633331125914687</v>
      </c>
      <c r="K36" s="110">
        <v>1.5595925840845177</v>
      </c>
    </row>
    <row r="37" spans="2:11" x14ac:dyDescent="0.3">
      <c r="B37" s="111" t="s">
        <v>1978</v>
      </c>
      <c r="C37" s="112" t="s">
        <v>1483</v>
      </c>
      <c r="D37" s="1499">
        <v>3.8276423780780835</v>
      </c>
      <c r="E37" s="1499">
        <v>3.4056883000356639</v>
      </c>
      <c r="F37" s="1499">
        <v>2.2101331474832975</v>
      </c>
      <c r="G37" s="1499">
        <v>2.1083075430066223</v>
      </c>
      <c r="H37" s="1499">
        <v>2.0543974025661638</v>
      </c>
      <c r="I37" s="1499">
        <v>5.0669266670858688</v>
      </c>
      <c r="J37" s="1499">
        <v>4.359261958572171</v>
      </c>
      <c r="K37" s="113">
        <v>1.8711629266423067</v>
      </c>
    </row>
    <row r="38" spans="2:11" x14ac:dyDescent="0.3">
      <c r="B38" s="111" t="s">
        <v>1982</v>
      </c>
      <c r="C38" s="112" t="s">
        <v>1489</v>
      </c>
      <c r="D38" s="1499">
        <v>3.7929815157504221</v>
      </c>
      <c r="E38" s="1499">
        <v>3.3710274377080025</v>
      </c>
      <c r="F38" s="1499">
        <v>2.1754722851556365</v>
      </c>
      <c r="G38" s="1499">
        <v>2.0736466806789613</v>
      </c>
      <c r="H38" s="1499">
        <v>2.0197365402385028</v>
      </c>
      <c r="I38" s="1499">
        <v>5.0322658047582074</v>
      </c>
      <c r="J38" s="1499">
        <v>4.3246010962445096</v>
      </c>
      <c r="K38" s="113">
        <v>1.8365020643146455</v>
      </c>
    </row>
    <row r="39" spans="2:11" x14ac:dyDescent="0.3">
      <c r="B39" s="114">
        <v>0</v>
      </c>
      <c r="C39" s="112" t="s">
        <v>1496</v>
      </c>
      <c r="D39" s="1499">
        <v>3.7409902222589304</v>
      </c>
      <c r="E39" s="1499">
        <v>3.3190361442165108</v>
      </c>
      <c r="F39" s="1499">
        <v>2.1234809916641448</v>
      </c>
      <c r="G39" s="1499">
        <v>2.0216553871874696</v>
      </c>
      <c r="H39" s="1499">
        <v>1.9677452467470111</v>
      </c>
      <c r="I39" s="1499">
        <v>4.9802745112667157</v>
      </c>
      <c r="J39" s="1499">
        <v>4.2726098027530179</v>
      </c>
      <c r="K39" s="113">
        <v>1.7845107708231538</v>
      </c>
    </row>
    <row r="40" spans="2:11" x14ac:dyDescent="0.3">
      <c r="B40" s="115"/>
      <c r="C40" s="112" t="s">
        <v>1500</v>
      </c>
      <c r="D40" s="1499">
        <v>3.6889989287674387</v>
      </c>
      <c r="E40" s="1499">
        <v>3.2670448507250192</v>
      </c>
      <c r="F40" s="1499">
        <v>2.0714896981726527</v>
      </c>
      <c r="G40" s="1499">
        <v>1.9696640936959777</v>
      </c>
      <c r="H40" s="1499">
        <v>1.9157539532555192</v>
      </c>
      <c r="I40" s="1499">
        <v>4.928283217775224</v>
      </c>
      <c r="J40" s="1499">
        <v>4.2206185092615263</v>
      </c>
      <c r="K40" s="113">
        <v>1.7325194773316619</v>
      </c>
    </row>
    <row r="41" spans="2:11" x14ac:dyDescent="0.3">
      <c r="B41" s="115"/>
      <c r="C41" s="112" t="s">
        <v>1504</v>
      </c>
      <c r="D41" s="1499">
        <v>3.7687936125720523</v>
      </c>
      <c r="E41" s="1499">
        <v>3.3443816210520634</v>
      </c>
      <c r="F41" s="1499">
        <v>2.1497145401980067</v>
      </c>
      <c r="G41" s="1499">
        <v>2.0474126221706386</v>
      </c>
      <c r="H41" s="1499">
        <v>1.9945130110699987</v>
      </c>
      <c r="I41" s="1499">
        <v>5.0070253390761152</v>
      </c>
      <c r="J41" s="1499">
        <v>4.2982346888882468</v>
      </c>
      <c r="K41" s="113">
        <v>1.8087984501896741</v>
      </c>
    </row>
    <row r="42" spans="2:11" x14ac:dyDescent="0.3">
      <c r="B42" s="115"/>
      <c r="C42" s="112" t="s">
        <v>1508</v>
      </c>
      <c r="D42" s="1499">
        <v>3.7396868397242895</v>
      </c>
      <c r="E42" s="1499">
        <v>3.3152748482043002</v>
      </c>
      <c r="F42" s="1499">
        <v>2.1206077673502439</v>
      </c>
      <c r="G42" s="1499">
        <v>2.0183058493228758</v>
      </c>
      <c r="H42" s="1499">
        <v>1.9654062382222361</v>
      </c>
      <c r="I42" s="1499">
        <v>4.977918566228352</v>
      </c>
      <c r="J42" s="1499">
        <v>4.2691279160404836</v>
      </c>
      <c r="K42" s="113">
        <v>1.7796916773419116</v>
      </c>
    </row>
    <row r="43" spans="2:11" x14ac:dyDescent="0.3">
      <c r="B43" s="115"/>
      <c r="C43" s="112" t="s">
        <v>1513</v>
      </c>
      <c r="D43" s="1499">
        <v>3.6960266804526456</v>
      </c>
      <c r="E43" s="1499">
        <v>3.2716146889326563</v>
      </c>
      <c r="F43" s="1499">
        <v>2.0769476080785996</v>
      </c>
      <c r="G43" s="1499">
        <v>1.9746456900512317</v>
      </c>
      <c r="H43" s="1499">
        <v>1.9217460789505918</v>
      </c>
      <c r="I43" s="1499">
        <v>4.9342584069567081</v>
      </c>
      <c r="J43" s="1499">
        <v>4.2254677567688397</v>
      </c>
      <c r="K43" s="113">
        <v>1.7360315180702672</v>
      </c>
    </row>
    <row r="44" spans="2:11" x14ac:dyDescent="0.3">
      <c r="B44" s="115"/>
      <c r="C44" s="112" t="s">
        <v>1517</v>
      </c>
      <c r="D44" s="1499">
        <v>3.6523665211810012</v>
      </c>
      <c r="E44" s="1499">
        <v>3.2279545296610124</v>
      </c>
      <c r="F44" s="1499">
        <v>2.0332874488069557</v>
      </c>
      <c r="G44" s="1499">
        <v>1.9309855307795876</v>
      </c>
      <c r="H44" s="1499">
        <v>1.8780859196789477</v>
      </c>
      <c r="I44" s="1499">
        <v>4.8905982476850642</v>
      </c>
      <c r="J44" s="1499">
        <v>4.1818075974971958</v>
      </c>
      <c r="K44" s="113">
        <v>1.6923713587986233</v>
      </c>
    </row>
    <row r="45" spans="2:11" ht="14.5" thickBot="1" x14ac:dyDescent="0.35">
      <c r="B45" s="1233"/>
      <c r="C45" s="116" t="s">
        <v>1519</v>
      </c>
      <c r="D45" s="117">
        <v>3.8276423780780835</v>
      </c>
      <c r="E45" s="117">
        <v>3.4056883000356639</v>
      </c>
      <c r="F45" s="117">
        <v>2.2101331474832975</v>
      </c>
      <c r="G45" s="117">
        <v>2.1083075430066223</v>
      </c>
      <c r="H45" s="117">
        <v>2.0543974025661638</v>
      </c>
      <c r="I45" s="117">
        <v>5.0669266670858688</v>
      </c>
      <c r="J45" s="117">
        <v>4.359261958572171</v>
      </c>
      <c r="K45" s="118">
        <v>1.8711629266423067</v>
      </c>
    </row>
    <row r="46" spans="2:11" x14ac:dyDescent="0.3">
      <c r="B46" s="119" t="s">
        <v>1983</v>
      </c>
      <c r="C46" s="108" t="s">
        <v>1416</v>
      </c>
      <c r="D46" s="109">
        <v>3.8292993791605134</v>
      </c>
      <c r="E46" s="109">
        <v>3.3691383170714793</v>
      </c>
      <c r="F46" s="109">
        <v>2.2069418988235925</v>
      </c>
      <c r="G46" s="109">
        <v>2.0847852759618406</v>
      </c>
      <c r="H46" s="109">
        <v>2.0486971899154822</v>
      </c>
      <c r="I46" s="109">
        <v>5.0372720109635463</v>
      </c>
      <c r="J46" s="109">
        <v>4.324391835679358</v>
      </c>
      <c r="K46" s="110">
        <v>1.8542312120228805</v>
      </c>
    </row>
    <row r="47" spans="2:11" x14ac:dyDescent="0.3">
      <c r="B47" s="111"/>
      <c r="C47" s="112" t="s">
        <v>1483</v>
      </c>
      <c r="D47" s="1499">
        <v>4.1224791801431264</v>
      </c>
      <c r="E47" s="1499">
        <v>3.6758808002092853</v>
      </c>
      <c r="F47" s="1499">
        <v>2.512695266795844</v>
      </c>
      <c r="G47" s="1499">
        <v>2.3962851722452037</v>
      </c>
      <c r="H47" s="1499">
        <v>2.3512876630610813</v>
      </c>
      <c r="I47" s="1499">
        <v>5.3299346496130768</v>
      </c>
      <c r="J47" s="1499">
        <v>4.6250436765989837</v>
      </c>
      <c r="K47" s="113">
        <v>2.1603971664782193</v>
      </c>
    </row>
    <row r="48" spans="2:11" x14ac:dyDescent="0.3">
      <c r="B48" s="111" t="s">
        <v>1979</v>
      </c>
      <c r="C48" s="112" t="s">
        <v>1489</v>
      </c>
      <c r="D48" s="1499">
        <v>4.087818317815465</v>
      </c>
      <c r="E48" s="1499">
        <v>3.6412199378816239</v>
      </c>
      <c r="F48" s="1499">
        <v>2.478034404468183</v>
      </c>
      <c r="G48" s="1499">
        <v>2.3616243099175427</v>
      </c>
      <c r="H48" s="1499">
        <v>2.3166268007334203</v>
      </c>
      <c r="I48" s="1499">
        <v>5.2952737872854163</v>
      </c>
      <c r="J48" s="1499">
        <v>4.5903828142713223</v>
      </c>
      <c r="K48" s="113">
        <v>2.1257363041505584</v>
      </c>
    </row>
    <row r="49" spans="2:11" x14ac:dyDescent="0.3">
      <c r="B49" s="114">
        <v>0</v>
      </c>
      <c r="C49" s="112" t="s">
        <v>1496</v>
      </c>
      <c r="D49" s="1499">
        <v>4.0358270243239733</v>
      </c>
      <c r="E49" s="1499">
        <v>3.5892286443901327</v>
      </c>
      <c r="F49" s="1499">
        <v>2.4260431109766913</v>
      </c>
      <c r="G49" s="1499">
        <v>2.309633016426051</v>
      </c>
      <c r="H49" s="1499">
        <v>2.2646355072419286</v>
      </c>
      <c r="I49" s="1499">
        <v>5.2432824937939246</v>
      </c>
      <c r="J49" s="1499">
        <v>4.5383915207798307</v>
      </c>
      <c r="K49" s="113">
        <v>2.0737450106590667</v>
      </c>
    </row>
    <row r="50" spans="2:11" x14ac:dyDescent="0.3">
      <c r="B50" s="115"/>
      <c r="C50" s="112" t="s">
        <v>1500</v>
      </c>
      <c r="D50" s="1499">
        <v>3.9838357308324821</v>
      </c>
      <c r="E50" s="1499">
        <v>3.537237350898641</v>
      </c>
      <c r="F50" s="1499">
        <v>2.3740518174851997</v>
      </c>
      <c r="G50" s="1499">
        <v>2.2576417229345593</v>
      </c>
      <c r="H50" s="1499">
        <v>2.212644213750437</v>
      </c>
      <c r="I50" s="1499">
        <v>5.191291200302433</v>
      </c>
      <c r="J50" s="1499">
        <v>4.486400227288339</v>
      </c>
      <c r="K50" s="113">
        <v>2.021753717167575</v>
      </c>
    </row>
    <row r="51" spans="2:11" x14ac:dyDescent="0.3">
      <c r="B51" s="115"/>
      <c r="C51" s="112" t="s">
        <v>1504</v>
      </c>
      <c r="D51" s="1499">
        <v>4.0645076886057012</v>
      </c>
      <c r="E51" s="1499">
        <v>3.6141723169346784</v>
      </c>
      <c r="F51" s="1499">
        <v>2.4514988632147787</v>
      </c>
      <c r="G51" s="1499">
        <v>2.3329641979471263</v>
      </c>
      <c r="H51" s="1499">
        <v>2.2890588248330803</v>
      </c>
      <c r="I51" s="1499">
        <v>5.2694394008516552</v>
      </c>
      <c r="J51" s="1499">
        <v>4.5636998972940637</v>
      </c>
      <c r="K51" s="113">
        <v>2.0985828172746341</v>
      </c>
    </row>
    <row r="52" spans="2:11" x14ac:dyDescent="0.3">
      <c r="B52" s="115"/>
      <c r="C52" s="112" t="s">
        <v>1508</v>
      </c>
      <c r="D52" s="1499">
        <v>4.035400915757938</v>
      </c>
      <c r="E52" s="1499">
        <v>3.5850655440869152</v>
      </c>
      <c r="F52" s="1499">
        <v>2.422392090367016</v>
      </c>
      <c r="G52" s="1499">
        <v>2.3038574250993635</v>
      </c>
      <c r="H52" s="1499">
        <v>2.2599520519853176</v>
      </c>
      <c r="I52" s="1499">
        <v>5.240332628003892</v>
      </c>
      <c r="J52" s="1499">
        <v>4.5345931244463014</v>
      </c>
      <c r="K52" s="113">
        <v>2.0694760444268714</v>
      </c>
    </row>
    <row r="53" spans="2:11" x14ac:dyDescent="0.3">
      <c r="B53" s="115"/>
      <c r="C53" s="112" t="s">
        <v>1513</v>
      </c>
      <c r="D53" s="1499">
        <v>3.9917407564862941</v>
      </c>
      <c r="E53" s="1499">
        <v>3.5414053848152713</v>
      </c>
      <c r="F53" s="1499">
        <v>2.3787319310953721</v>
      </c>
      <c r="G53" s="1499">
        <v>2.2601972658277196</v>
      </c>
      <c r="H53" s="1499">
        <v>2.2162918927136737</v>
      </c>
      <c r="I53" s="1499">
        <v>5.1966724687322481</v>
      </c>
      <c r="J53" s="1499">
        <v>4.4909329651746575</v>
      </c>
      <c r="K53" s="113">
        <v>2.0258158851552275</v>
      </c>
    </row>
    <row r="54" spans="2:11" x14ac:dyDescent="0.3">
      <c r="B54" s="115"/>
      <c r="C54" s="112" t="s">
        <v>1517</v>
      </c>
      <c r="D54" s="1499">
        <v>3.9480805972146502</v>
      </c>
      <c r="E54" s="1499">
        <v>3.4977452255436274</v>
      </c>
      <c r="F54" s="1499">
        <v>2.3350717718237277</v>
      </c>
      <c r="G54" s="1499">
        <v>2.2165371065560753</v>
      </c>
      <c r="H54" s="1499">
        <v>2.1726317334420293</v>
      </c>
      <c r="I54" s="1499">
        <v>5.1530123094606042</v>
      </c>
      <c r="J54" s="1499">
        <v>4.4472728059030127</v>
      </c>
      <c r="K54" s="113">
        <v>1.9821557258835829</v>
      </c>
    </row>
    <row r="55" spans="2:11" ht="14.5" thickBot="1" x14ac:dyDescent="0.35">
      <c r="B55" s="1233"/>
      <c r="C55" s="116" t="s">
        <v>1519</v>
      </c>
      <c r="D55" s="117">
        <v>4.1224791801431264</v>
      </c>
      <c r="E55" s="117">
        <v>3.6758808002092853</v>
      </c>
      <c r="F55" s="117">
        <v>2.512695266795844</v>
      </c>
      <c r="G55" s="117">
        <v>2.3962851722452037</v>
      </c>
      <c r="H55" s="117">
        <v>2.3512876630610813</v>
      </c>
      <c r="I55" s="117">
        <v>5.3299346496130768</v>
      </c>
      <c r="J55" s="117">
        <v>4.6250436765989837</v>
      </c>
      <c r="K55" s="118">
        <v>2.1603971664782193</v>
      </c>
    </row>
    <row r="56" spans="2:11" x14ac:dyDescent="0.3">
      <c r="B56" s="119" t="s">
        <v>1983</v>
      </c>
      <c r="C56" s="108" t="s">
        <v>1416</v>
      </c>
      <c r="D56" s="109">
        <v>3.732738452474373</v>
      </c>
      <c r="E56" s="109">
        <v>3.2725773903853388</v>
      </c>
      <c r="F56" s="109">
        <v>2.1103809721374516</v>
      </c>
      <c r="G56" s="109">
        <v>1.9882243492756997</v>
      </c>
      <c r="H56" s="109">
        <v>1.9521362632293413</v>
      </c>
      <c r="I56" s="109">
        <v>4.9407110842774058</v>
      </c>
      <c r="J56" s="109">
        <v>4.2278309089932176</v>
      </c>
      <c r="K56" s="110">
        <v>1.7576702853367396</v>
      </c>
    </row>
    <row r="57" spans="2:11" x14ac:dyDescent="0.3">
      <c r="B57" s="111"/>
      <c r="C57" s="112" t="s">
        <v>1483</v>
      </c>
      <c r="D57" s="1499">
        <v>4.025918253456986</v>
      </c>
      <c r="E57" s="1499">
        <v>3.5793198735231444</v>
      </c>
      <c r="F57" s="1499">
        <v>2.4161343401097035</v>
      </c>
      <c r="G57" s="1499">
        <v>2.2997242455590627</v>
      </c>
      <c r="H57" s="1499">
        <v>2.2547267363749408</v>
      </c>
      <c r="I57" s="1499">
        <v>5.2333737229269364</v>
      </c>
      <c r="J57" s="1499">
        <v>4.5284827499128424</v>
      </c>
      <c r="K57" s="113">
        <v>2.0638362397920789</v>
      </c>
    </row>
    <row r="58" spans="2:11" x14ac:dyDescent="0.3">
      <c r="B58" s="111" t="s">
        <v>1980</v>
      </c>
      <c r="C58" s="112" t="s">
        <v>1489</v>
      </c>
      <c r="D58" s="1499">
        <v>3.991257391129325</v>
      </c>
      <c r="E58" s="1499">
        <v>3.5446590111954834</v>
      </c>
      <c r="F58" s="1499">
        <v>2.3814734777820421</v>
      </c>
      <c r="G58" s="1499">
        <v>2.2650633832314018</v>
      </c>
      <c r="H58" s="1499">
        <v>2.2200658740472794</v>
      </c>
      <c r="I58" s="1499">
        <v>5.1987128605992758</v>
      </c>
      <c r="J58" s="1499">
        <v>4.4938218875851819</v>
      </c>
      <c r="K58" s="113">
        <v>2.0291753774644175</v>
      </c>
    </row>
    <row r="59" spans="2:11" x14ac:dyDescent="0.3">
      <c r="B59" s="114">
        <v>0</v>
      </c>
      <c r="C59" s="112" t="s">
        <v>1496</v>
      </c>
      <c r="D59" s="1499">
        <v>3.9392660976378333</v>
      </c>
      <c r="E59" s="1499">
        <v>3.4926677177039922</v>
      </c>
      <c r="F59" s="1499">
        <v>2.3294821842905509</v>
      </c>
      <c r="G59" s="1499">
        <v>2.2130720897399101</v>
      </c>
      <c r="H59" s="1499">
        <v>2.1680745805557877</v>
      </c>
      <c r="I59" s="1499">
        <v>5.1467215671077842</v>
      </c>
      <c r="J59" s="1499">
        <v>4.4418305940936902</v>
      </c>
      <c r="K59" s="113">
        <v>1.977184083972926</v>
      </c>
    </row>
    <row r="60" spans="2:11" x14ac:dyDescent="0.3">
      <c r="B60" s="115"/>
      <c r="C60" s="112" t="s">
        <v>1500</v>
      </c>
      <c r="D60" s="1499">
        <v>3.8872748041463416</v>
      </c>
      <c r="E60" s="1499">
        <v>3.4406764242125005</v>
      </c>
      <c r="F60" s="1499">
        <v>2.2774908907990592</v>
      </c>
      <c r="G60" s="1499">
        <v>2.1610807962484184</v>
      </c>
      <c r="H60" s="1499">
        <v>2.1160832870642965</v>
      </c>
      <c r="I60" s="1499">
        <v>5.0947302736162925</v>
      </c>
      <c r="J60" s="1499">
        <v>4.3898393006021985</v>
      </c>
      <c r="K60" s="113">
        <v>1.9251927904814343</v>
      </c>
    </row>
    <row r="61" spans="2:11" x14ac:dyDescent="0.3">
      <c r="B61" s="115"/>
      <c r="C61" s="112" t="s">
        <v>1504</v>
      </c>
      <c r="D61" s="1499">
        <v>3.9679467619195607</v>
      </c>
      <c r="E61" s="1499">
        <v>3.517611390248538</v>
      </c>
      <c r="F61" s="1499">
        <v>2.3549379365286383</v>
      </c>
      <c r="G61" s="1499">
        <v>2.2364032712609858</v>
      </c>
      <c r="H61" s="1499">
        <v>2.1924978981469398</v>
      </c>
      <c r="I61" s="1499">
        <v>5.1728784741655147</v>
      </c>
      <c r="J61" s="1499">
        <v>4.4671389706079232</v>
      </c>
      <c r="K61" s="113">
        <v>2.0020218905884937</v>
      </c>
    </row>
    <row r="62" spans="2:11" x14ac:dyDescent="0.3">
      <c r="B62" s="115"/>
      <c r="C62" s="112" t="s">
        <v>1508</v>
      </c>
      <c r="D62" s="1499">
        <v>3.9388399890717976</v>
      </c>
      <c r="E62" s="1499">
        <v>3.4885046174007748</v>
      </c>
      <c r="F62" s="1499">
        <v>2.3258311636808751</v>
      </c>
      <c r="G62" s="1499">
        <v>2.2072964984132231</v>
      </c>
      <c r="H62" s="1499">
        <v>2.1633911252991771</v>
      </c>
      <c r="I62" s="1499">
        <v>5.1437717013177515</v>
      </c>
      <c r="J62" s="1499">
        <v>4.4380321977601609</v>
      </c>
      <c r="K62" s="113">
        <v>1.9729151177407305</v>
      </c>
    </row>
    <row r="63" spans="2:11" x14ac:dyDescent="0.3">
      <c r="B63" s="115"/>
      <c r="C63" s="112" t="s">
        <v>1513</v>
      </c>
      <c r="D63" s="1499">
        <v>3.8951798298001536</v>
      </c>
      <c r="E63" s="1499">
        <v>3.4448444581291309</v>
      </c>
      <c r="F63" s="1499">
        <v>2.2821710044092312</v>
      </c>
      <c r="G63" s="1499">
        <v>2.1636363391415792</v>
      </c>
      <c r="H63" s="1499">
        <v>2.1197309660275327</v>
      </c>
      <c r="I63" s="1499">
        <v>5.1001115420461076</v>
      </c>
      <c r="J63" s="1499">
        <v>4.394372038488517</v>
      </c>
      <c r="K63" s="113">
        <v>1.9292549584690866</v>
      </c>
    </row>
    <row r="64" spans="2:11" x14ac:dyDescent="0.3">
      <c r="B64" s="115"/>
      <c r="C64" s="112" t="s">
        <v>1517</v>
      </c>
      <c r="D64" s="1499">
        <v>3.8515196705285097</v>
      </c>
      <c r="E64" s="1499">
        <v>3.401184298857487</v>
      </c>
      <c r="F64" s="1499">
        <v>2.2385108451375868</v>
      </c>
      <c r="G64" s="1499">
        <v>2.1199761798699348</v>
      </c>
      <c r="H64" s="1499">
        <v>2.0760708067558884</v>
      </c>
      <c r="I64" s="1499">
        <v>5.0564513827744637</v>
      </c>
      <c r="J64" s="1499">
        <v>4.3507118792168722</v>
      </c>
      <c r="K64" s="113">
        <v>1.8855947991974422</v>
      </c>
    </row>
    <row r="65" spans="2:11" ht="14.5" thickBot="1" x14ac:dyDescent="0.35">
      <c r="B65" s="1233"/>
      <c r="C65" s="116" t="s">
        <v>1519</v>
      </c>
      <c r="D65" s="117">
        <v>4.025918253456986</v>
      </c>
      <c r="E65" s="117">
        <v>3.5793198735231444</v>
      </c>
      <c r="F65" s="117">
        <v>2.4161343401097035</v>
      </c>
      <c r="G65" s="117">
        <v>2.2997242455590627</v>
      </c>
      <c r="H65" s="117">
        <v>2.2547267363749408</v>
      </c>
      <c r="I65" s="117">
        <v>5.2333737229269364</v>
      </c>
      <c r="J65" s="117">
        <v>4.5284827499128424</v>
      </c>
      <c r="K65" s="118">
        <v>2.0638362397920789</v>
      </c>
    </row>
    <row r="66" spans="2:11" x14ac:dyDescent="0.3">
      <c r="B66" s="119" t="s">
        <v>1983</v>
      </c>
      <c r="C66" s="108" t="s">
        <v>1416</v>
      </c>
      <c r="D66" s="109">
        <v>3.5878970624451614</v>
      </c>
      <c r="E66" s="109">
        <v>3.1277360003561276</v>
      </c>
      <c r="F66" s="109">
        <v>1.9655395821082409</v>
      </c>
      <c r="G66" s="109">
        <v>1.8433829592464888</v>
      </c>
      <c r="H66" s="109">
        <v>1.8072948732001304</v>
      </c>
      <c r="I66" s="109">
        <v>4.7958696942481946</v>
      </c>
      <c r="J66" s="109">
        <v>4.0829895189640064</v>
      </c>
      <c r="K66" s="110">
        <v>1.6128288953075287</v>
      </c>
    </row>
    <row r="67" spans="2:11" x14ac:dyDescent="0.3">
      <c r="B67" s="111"/>
      <c r="C67" s="112" t="s">
        <v>1483</v>
      </c>
      <c r="D67" s="1499">
        <v>3.8810768634277748</v>
      </c>
      <c r="E67" s="1499">
        <v>3.4344784834939337</v>
      </c>
      <c r="F67" s="1499">
        <v>2.2712929500804924</v>
      </c>
      <c r="G67" s="1499">
        <v>2.1548828555298516</v>
      </c>
      <c r="H67" s="1499">
        <v>2.1098853463457292</v>
      </c>
      <c r="I67" s="1499">
        <v>5.0885323328977261</v>
      </c>
      <c r="J67" s="1499">
        <v>4.3836413598836321</v>
      </c>
      <c r="K67" s="113">
        <v>1.9189948497628675</v>
      </c>
    </row>
    <row r="68" spans="2:11" x14ac:dyDescent="0.3">
      <c r="B68" s="111" t="s">
        <v>1981</v>
      </c>
      <c r="C68" s="112" t="s">
        <v>1489</v>
      </c>
      <c r="D68" s="1499">
        <v>3.8464160011001134</v>
      </c>
      <c r="E68" s="1499">
        <v>3.3998176211662723</v>
      </c>
      <c r="F68" s="1499">
        <v>2.2366320877528314</v>
      </c>
      <c r="G68" s="1499">
        <v>2.1202219932021906</v>
      </c>
      <c r="H68" s="1499">
        <v>2.0752244840180687</v>
      </c>
      <c r="I68" s="1499">
        <v>5.0538714705700647</v>
      </c>
      <c r="J68" s="1499">
        <v>4.3489804975559707</v>
      </c>
      <c r="K68" s="113">
        <v>1.8843339874352065</v>
      </c>
    </row>
    <row r="69" spans="2:11" x14ac:dyDescent="0.3">
      <c r="B69" s="114">
        <v>0</v>
      </c>
      <c r="C69" s="112" t="s">
        <v>1496</v>
      </c>
      <c r="D69" s="1499">
        <v>3.7944247076086222</v>
      </c>
      <c r="E69" s="1499">
        <v>3.3478263276747806</v>
      </c>
      <c r="F69" s="1499">
        <v>2.1846407942613397</v>
      </c>
      <c r="G69" s="1499">
        <v>2.0682306997106989</v>
      </c>
      <c r="H69" s="1499">
        <v>2.0232331905265766</v>
      </c>
      <c r="I69" s="1499">
        <v>5.001880177078573</v>
      </c>
      <c r="J69" s="1499">
        <v>4.296989204064479</v>
      </c>
      <c r="K69" s="113">
        <v>1.8323426939437146</v>
      </c>
    </row>
    <row r="70" spans="2:11" x14ac:dyDescent="0.3">
      <c r="B70" s="115"/>
      <c r="C70" s="112" t="s">
        <v>1500</v>
      </c>
      <c r="D70" s="1499">
        <v>3.7424334141171305</v>
      </c>
      <c r="E70" s="1499">
        <v>3.2958350341832889</v>
      </c>
      <c r="F70" s="1499">
        <v>2.132649500769848</v>
      </c>
      <c r="G70" s="1499">
        <v>2.0162394062192073</v>
      </c>
      <c r="H70" s="1499">
        <v>1.9712418970350851</v>
      </c>
      <c r="I70" s="1499">
        <v>4.9498888835870813</v>
      </c>
      <c r="J70" s="1499">
        <v>4.2449979105729874</v>
      </c>
      <c r="K70" s="113">
        <v>1.7803514004522232</v>
      </c>
    </row>
    <row r="71" spans="2:11" x14ac:dyDescent="0.3">
      <c r="B71" s="115"/>
      <c r="C71" s="112" t="s">
        <v>1504</v>
      </c>
      <c r="D71" s="1499">
        <v>3.8231053718903492</v>
      </c>
      <c r="E71" s="1499">
        <v>3.3727700002193264</v>
      </c>
      <c r="F71" s="1499">
        <v>2.2100965464994267</v>
      </c>
      <c r="G71" s="1499">
        <v>2.0915618812317747</v>
      </c>
      <c r="H71" s="1499">
        <v>2.0476565081177287</v>
      </c>
      <c r="I71" s="1499">
        <v>5.0280370841363036</v>
      </c>
      <c r="J71" s="1499">
        <v>4.3222975805787121</v>
      </c>
      <c r="K71" s="113">
        <v>1.8571805005592821</v>
      </c>
    </row>
    <row r="72" spans="2:11" x14ac:dyDescent="0.3">
      <c r="B72" s="115"/>
      <c r="C72" s="112" t="s">
        <v>1508</v>
      </c>
      <c r="D72" s="1499">
        <v>3.7939985990425864</v>
      </c>
      <c r="E72" s="1499">
        <v>3.3436632273715636</v>
      </c>
      <c r="F72" s="1499">
        <v>2.1809897736516644</v>
      </c>
      <c r="G72" s="1499">
        <v>2.0624551083840119</v>
      </c>
      <c r="H72" s="1499">
        <v>2.018549735269966</v>
      </c>
      <c r="I72" s="1499">
        <v>4.9989303112885404</v>
      </c>
      <c r="J72" s="1499">
        <v>4.2931908077309497</v>
      </c>
      <c r="K72" s="113">
        <v>1.8280737277115195</v>
      </c>
    </row>
    <row r="73" spans="2:11" x14ac:dyDescent="0.3">
      <c r="B73" s="115"/>
      <c r="C73" s="112" t="s">
        <v>1513</v>
      </c>
      <c r="D73" s="1499">
        <v>3.7503384397709425</v>
      </c>
      <c r="E73" s="1499">
        <v>3.3000030680999197</v>
      </c>
      <c r="F73" s="1499">
        <v>2.13732961438002</v>
      </c>
      <c r="G73" s="1499">
        <v>2.0187949491123676</v>
      </c>
      <c r="H73" s="1499">
        <v>1.9748895759983216</v>
      </c>
      <c r="I73" s="1499">
        <v>4.9552701520168965</v>
      </c>
      <c r="J73" s="1499">
        <v>4.2495306484593049</v>
      </c>
      <c r="K73" s="113">
        <v>1.7844135684398752</v>
      </c>
    </row>
    <row r="74" spans="2:11" x14ac:dyDescent="0.3">
      <c r="B74" s="115"/>
      <c r="C74" s="112" t="s">
        <v>1517</v>
      </c>
      <c r="D74" s="1499">
        <v>3.7066782804992982</v>
      </c>
      <c r="E74" s="1499">
        <v>3.2563429088282758</v>
      </c>
      <c r="F74" s="1499">
        <v>2.0936694551083761</v>
      </c>
      <c r="G74" s="1499">
        <v>1.9751347898407237</v>
      </c>
      <c r="H74" s="1499">
        <v>1.9312294167266777</v>
      </c>
      <c r="I74" s="1499">
        <v>4.9116099927452526</v>
      </c>
      <c r="J74" s="1499">
        <v>4.205870489187661</v>
      </c>
      <c r="K74" s="113">
        <v>1.7407534091682313</v>
      </c>
    </row>
    <row r="75" spans="2:11" ht="14.5" thickBot="1" x14ac:dyDescent="0.35">
      <c r="B75" s="1233"/>
      <c r="C75" s="116" t="s">
        <v>1519</v>
      </c>
      <c r="D75" s="117">
        <v>3.8810768634277748</v>
      </c>
      <c r="E75" s="117">
        <v>3.4344784834939337</v>
      </c>
      <c r="F75" s="117">
        <v>2.2712929500804924</v>
      </c>
      <c r="G75" s="117">
        <v>2.1548828555298516</v>
      </c>
      <c r="H75" s="117">
        <v>2.1098853463457292</v>
      </c>
      <c r="I75" s="117">
        <v>5.0885323328977261</v>
      </c>
      <c r="J75" s="117">
        <v>4.3836413598836321</v>
      </c>
      <c r="K75" s="118">
        <v>1.9189948497628675</v>
      </c>
    </row>
    <row r="76" spans="2:11" x14ac:dyDescent="0.3">
      <c r="B76" s="119" t="s">
        <v>1983</v>
      </c>
      <c r="C76" s="108" t="s">
        <v>1416</v>
      </c>
      <c r="D76" s="109">
        <v>3.4430556724159507</v>
      </c>
      <c r="E76" s="109">
        <v>2.9828946103269169</v>
      </c>
      <c r="F76" s="109">
        <v>1.8206981920790295</v>
      </c>
      <c r="G76" s="109">
        <v>1.6985415692172774</v>
      </c>
      <c r="H76" s="109">
        <v>1.662453483170919</v>
      </c>
      <c r="I76" s="109">
        <v>4.6510283042189844</v>
      </c>
      <c r="J76" s="109">
        <v>3.9381481289347957</v>
      </c>
      <c r="K76" s="110">
        <v>1.4679875052783173</v>
      </c>
    </row>
    <row r="77" spans="2:11" x14ac:dyDescent="0.3">
      <c r="B77" s="111"/>
      <c r="C77" s="112" t="s">
        <v>1483</v>
      </c>
      <c r="D77" s="1499">
        <v>3.7362354733985637</v>
      </c>
      <c r="E77" s="1499">
        <v>3.2896370934647226</v>
      </c>
      <c r="F77" s="1499">
        <v>2.1264515600512812</v>
      </c>
      <c r="G77" s="1499">
        <v>2.0100414655006409</v>
      </c>
      <c r="H77" s="1499">
        <v>1.9650439563165185</v>
      </c>
      <c r="I77" s="1499">
        <v>4.943690942868515</v>
      </c>
      <c r="J77" s="1499">
        <v>4.238799969854421</v>
      </c>
      <c r="K77" s="113">
        <v>1.7741534597336566</v>
      </c>
    </row>
    <row r="78" spans="2:11" x14ac:dyDescent="0.3">
      <c r="B78" s="111" t="s">
        <v>1982</v>
      </c>
      <c r="C78" s="112" t="s">
        <v>1489</v>
      </c>
      <c r="D78" s="1499">
        <v>3.7015746110709027</v>
      </c>
      <c r="E78" s="1499">
        <v>3.2549762311370616</v>
      </c>
      <c r="F78" s="1499">
        <v>2.0917906977236198</v>
      </c>
      <c r="G78" s="1499">
        <v>1.9753806031729795</v>
      </c>
      <c r="H78" s="1499">
        <v>1.9303830939888573</v>
      </c>
      <c r="I78" s="1499">
        <v>4.9090300805408535</v>
      </c>
      <c r="J78" s="1499">
        <v>4.2041391075267596</v>
      </c>
      <c r="K78" s="113">
        <v>1.7394925974059954</v>
      </c>
    </row>
    <row r="79" spans="2:11" x14ac:dyDescent="0.3">
      <c r="B79" s="114">
        <v>0</v>
      </c>
      <c r="C79" s="112" t="s">
        <v>1496</v>
      </c>
      <c r="D79" s="1499">
        <v>3.6495833175794115</v>
      </c>
      <c r="E79" s="1499">
        <v>3.2029849376455699</v>
      </c>
      <c r="F79" s="1499">
        <v>2.0397994042321286</v>
      </c>
      <c r="G79" s="1499">
        <v>1.9233893096814878</v>
      </c>
      <c r="H79" s="1499">
        <v>1.8783918004973656</v>
      </c>
      <c r="I79" s="1499">
        <v>4.8570387870493619</v>
      </c>
      <c r="J79" s="1499">
        <v>4.1521478140352679</v>
      </c>
      <c r="K79" s="113">
        <v>1.6875013039145037</v>
      </c>
    </row>
    <row r="80" spans="2:11" x14ac:dyDescent="0.3">
      <c r="B80" s="115"/>
      <c r="C80" s="112" t="s">
        <v>1500</v>
      </c>
      <c r="D80" s="1499">
        <v>3.5975920240879189</v>
      </c>
      <c r="E80" s="1499">
        <v>3.1509936441540782</v>
      </c>
      <c r="F80" s="1499">
        <v>1.9878081107406367</v>
      </c>
      <c r="G80" s="1499">
        <v>1.8713980161899963</v>
      </c>
      <c r="H80" s="1499">
        <v>1.826400507005874</v>
      </c>
      <c r="I80" s="1499">
        <v>4.8050474935578702</v>
      </c>
      <c r="J80" s="1499">
        <v>4.1001565205437762</v>
      </c>
      <c r="K80" s="113">
        <v>1.635510010423012</v>
      </c>
    </row>
    <row r="81" spans="2:11" x14ac:dyDescent="0.3">
      <c r="B81" s="115"/>
      <c r="C81" s="112" t="s">
        <v>1504</v>
      </c>
      <c r="D81" s="1499">
        <v>3.678263981861138</v>
      </c>
      <c r="E81" s="1499">
        <v>3.2279286101901152</v>
      </c>
      <c r="F81" s="1499">
        <v>2.065255156470216</v>
      </c>
      <c r="G81" s="1499">
        <v>1.9467204912025635</v>
      </c>
      <c r="H81" s="1499">
        <v>1.9028151180885176</v>
      </c>
      <c r="I81" s="1499">
        <v>4.8831956941070924</v>
      </c>
      <c r="J81" s="1499">
        <v>4.1774561905495009</v>
      </c>
      <c r="K81" s="113">
        <v>1.7123391105300712</v>
      </c>
    </row>
    <row r="82" spans="2:11" x14ac:dyDescent="0.3">
      <c r="B82" s="115"/>
      <c r="C82" s="112" t="s">
        <v>1508</v>
      </c>
      <c r="D82" s="1499">
        <v>3.6491572090133757</v>
      </c>
      <c r="E82" s="1499">
        <v>3.1988218373423529</v>
      </c>
      <c r="F82" s="1499">
        <v>2.0361483836224532</v>
      </c>
      <c r="G82" s="1499">
        <v>1.9176137183548008</v>
      </c>
      <c r="H82" s="1499">
        <v>1.8737083452407548</v>
      </c>
      <c r="I82" s="1499">
        <v>4.8540889212593301</v>
      </c>
      <c r="J82" s="1499">
        <v>4.1483494177017386</v>
      </c>
      <c r="K82" s="113">
        <v>1.6832323376823084</v>
      </c>
    </row>
    <row r="83" spans="2:11" x14ac:dyDescent="0.3">
      <c r="B83" s="115"/>
      <c r="C83" s="112" t="s">
        <v>1513</v>
      </c>
      <c r="D83" s="1499">
        <v>3.6054970497417318</v>
      </c>
      <c r="E83" s="1499">
        <v>3.1551616780707086</v>
      </c>
      <c r="F83" s="1499">
        <v>1.9924882243508091</v>
      </c>
      <c r="G83" s="1499">
        <v>1.8739535590831566</v>
      </c>
      <c r="H83" s="1499">
        <v>1.8300481859691107</v>
      </c>
      <c r="I83" s="1499">
        <v>4.8104287619876862</v>
      </c>
      <c r="J83" s="1499">
        <v>4.1046892584300938</v>
      </c>
      <c r="K83" s="113">
        <v>1.6395721784106643</v>
      </c>
    </row>
    <row r="84" spans="2:11" x14ac:dyDescent="0.3">
      <c r="B84" s="115"/>
      <c r="C84" s="112" t="s">
        <v>1517</v>
      </c>
      <c r="D84" s="1499">
        <v>3.561836890470087</v>
      </c>
      <c r="E84" s="1499">
        <v>3.1115015187990642</v>
      </c>
      <c r="F84" s="1499">
        <v>1.948828065079165</v>
      </c>
      <c r="G84" s="1499">
        <v>1.8302933998115123</v>
      </c>
      <c r="H84" s="1499">
        <v>1.7863880266974663</v>
      </c>
      <c r="I84" s="1499">
        <v>4.7667686027160414</v>
      </c>
      <c r="J84" s="1499">
        <v>4.0610290991584499</v>
      </c>
      <c r="K84" s="113">
        <v>1.5959120191390201</v>
      </c>
    </row>
    <row r="85" spans="2:11" ht="14.5" thickBot="1" x14ac:dyDescent="0.35">
      <c r="B85" s="1233"/>
      <c r="C85" s="116" t="s">
        <v>1519</v>
      </c>
      <c r="D85" s="117">
        <v>3.7362354733985637</v>
      </c>
      <c r="E85" s="117">
        <v>3.2896370934647226</v>
      </c>
      <c r="F85" s="117">
        <v>2.1264515600512812</v>
      </c>
      <c r="G85" s="117">
        <v>2.0100414655006409</v>
      </c>
      <c r="H85" s="117">
        <v>1.9650439563165185</v>
      </c>
      <c r="I85" s="117">
        <v>4.943690942868515</v>
      </c>
      <c r="J85" s="117">
        <v>4.238799969854421</v>
      </c>
      <c r="K85" s="118">
        <v>1.7741534597336566</v>
      </c>
    </row>
    <row r="87" spans="2:11" ht="14.5" thickBot="1" x14ac:dyDescent="0.35"/>
    <row r="88" spans="2:11" ht="25.5" thickBot="1" x14ac:dyDescent="0.55000000000000004">
      <c r="B88" s="88" t="s">
        <v>1960</v>
      </c>
      <c r="C88" s="89"/>
      <c r="D88" s="90">
        <v>5</v>
      </c>
      <c r="E88" s="91" t="s">
        <v>1984</v>
      </c>
      <c r="F88" s="92"/>
      <c r="G88" s="92"/>
      <c r="H88" s="92"/>
      <c r="I88" s="93"/>
      <c r="J88" s="89" t="s">
        <v>176</v>
      </c>
      <c r="K88" s="94" t="s">
        <v>230</v>
      </c>
    </row>
    <row r="89" spans="2:11" ht="14.5" thickBot="1" x14ac:dyDescent="0.35">
      <c r="B89" s="95" t="s">
        <v>1962</v>
      </c>
      <c r="C89" s="96" t="s">
        <v>1963</v>
      </c>
      <c r="D89" s="95" t="s">
        <v>1964</v>
      </c>
      <c r="E89" s="97" t="s">
        <v>1965</v>
      </c>
      <c r="F89" s="97" t="s">
        <v>1966</v>
      </c>
      <c r="G89" s="97" t="s">
        <v>1967</v>
      </c>
      <c r="H89" s="97" t="s">
        <v>1968</v>
      </c>
      <c r="I89" s="97" t="s">
        <v>1969</v>
      </c>
      <c r="J89" s="97" t="s">
        <v>1970</v>
      </c>
      <c r="K89" s="98" t="s">
        <v>1971</v>
      </c>
    </row>
    <row r="90" spans="2:11" ht="14.5" thickBot="1" x14ac:dyDescent="0.35">
      <c r="B90" s="99"/>
      <c r="C90" s="99"/>
      <c r="D90" s="100"/>
      <c r="E90" s="944"/>
      <c r="F90" s="944"/>
      <c r="G90" s="944"/>
      <c r="H90" s="944"/>
      <c r="I90" s="944"/>
      <c r="J90" s="944"/>
      <c r="K90" s="102"/>
    </row>
    <row r="91" spans="2:11" ht="90.5" thickBot="1" x14ac:dyDescent="0.45">
      <c r="B91" s="103" t="s">
        <v>1972</v>
      </c>
      <c r="C91" s="103" t="s">
        <v>1973</v>
      </c>
      <c r="D91" s="105" t="s">
        <v>1974</v>
      </c>
      <c r="E91" s="105" t="s">
        <v>1525</v>
      </c>
      <c r="F91" s="105" t="s">
        <v>1527</v>
      </c>
      <c r="G91" s="105" t="s">
        <v>1975</v>
      </c>
      <c r="H91" s="105" t="s">
        <v>1976</v>
      </c>
      <c r="I91" s="105" t="s">
        <v>1445</v>
      </c>
      <c r="J91" s="105" t="s">
        <v>1538</v>
      </c>
      <c r="K91" s="106" t="s">
        <v>1541</v>
      </c>
    </row>
    <row r="92" spans="2:11" x14ac:dyDescent="0.3">
      <c r="B92" s="107" t="s">
        <v>1985</v>
      </c>
      <c r="C92" s="108" t="s">
        <v>1416</v>
      </c>
      <c r="D92" s="109">
        <v>2.7758238219203091</v>
      </c>
      <c r="E92" s="109">
        <v>2.2147548677577222</v>
      </c>
      <c r="F92" s="109">
        <v>1.2149051111949767</v>
      </c>
      <c r="G92" s="109">
        <v>1.0443949494556124</v>
      </c>
      <c r="H92" s="109">
        <v>1.0544957181063543</v>
      </c>
      <c r="I92" s="109">
        <v>3.8232444696621903</v>
      </c>
      <c r="J92" s="109">
        <v>3.1318763269925798</v>
      </c>
      <c r="K92" s="110">
        <v>0.8438005066550921</v>
      </c>
    </row>
    <row r="93" spans="2:11" x14ac:dyDescent="0.3">
      <c r="B93" s="111"/>
      <c r="C93" s="112" t="s">
        <v>1483</v>
      </c>
      <c r="D93" s="1499">
        <v>3.0696752585519436</v>
      </c>
      <c r="E93" s="1499">
        <v>2.5239029682647343</v>
      </c>
      <c r="F93" s="1499">
        <v>1.5028825383927906</v>
      </c>
      <c r="G93" s="1499">
        <v>1.3462549709068128</v>
      </c>
      <c r="H93" s="1499">
        <v>1.3439629107168669</v>
      </c>
      <c r="I93" s="1499">
        <v>4.1250704932612878</v>
      </c>
      <c r="J93" s="1499">
        <v>3.4369100586722876</v>
      </c>
      <c r="K93" s="113">
        <v>1.156850383989606</v>
      </c>
    </row>
    <row r="94" spans="2:11" x14ac:dyDescent="0.3">
      <c r="B94" s="111" t="s">
        <v>1986</v>
      </c>
      <c r="C94" s="112" t="s">
        <v>1489</v>
      </c>
      <c r="D94" s="1499">
        <v>3.0350143962242822</v>
      </c>
      <c r="E94" s="1499">
        <v>2.4892421059370733</v>
      </c>
      <c r="F94" s="1499">
        <v>1.4682216760651294</v>
      </c>
      <c r="G94" s="1499">
        <v>1.3115941085791518</v>
      </c>
      <c r="H94" s="1499">
        <v>1.3093020483892057</v>
      </c>
      <c r="I94" s="1499">
        <v>4.0904096309336264</v>
      </c>
      <c r="J94" s="1499">
        <v>3.4022491963446262</v>
      </c>
      <c r="K94" s="113">
        <v>1.1221895216619449</v>
      </c>
    </row>
    <row r="95" spans="2:11" x14ac:dyDescent="0.3">
      <c r="B95" s="114">
        <v>0</v>
      </c>
      <c r="C95" s="112" t="s">
        <v>1496</v>
      </c>
      <c r="D95" s="1499">
        <v>2.9830231027327905</v>
      </c>
      <c r="E95" s="1499">
        <v>2.4372508124455816</v>
      </c>
      <c r="F95" s="1499">
        <v>1.416230382573638</v>
      </c>
      <c r="G95" s="1499">
        <v>1.2596028150876601</v>
      </c>
      <c r="H95" s="1499">
        <v>1.257310754897714</v>
      </c>
      <c r="I95" s="1499">
        <v>4.0384183374421347</v>
      </c>
      <c r="J95" s="1499">
        <v>3.350257902853135</v>
      </c>
      <c r="K95" s="113">
        <v>1.0701982281704534</v>
      </c>
    </row>
    <row r="96" spans="2:11" x14ac:dyDescent="0.3">
      <c r="B96" s="115"/>
      <c r="C96" s="112" t="s">
        <v>1500</v>
      </c>
      <c r="D96" s="1499">
        <v>2.9310318092412992</v>
      </c>
      <c r="E96" s="1499">
        <v>2.3852595189540899</v>
      </c>
      <c r="F96" s="1499">
        <v>1.3642390890821463</v>
      </c>
      <c r="G96" s="1499">
        <v>1.2076115215961685</v>
      </c>
      <c r="H96" s="1499">
        <v>1.2053194614062226</v>
      </c>
      <c r="I96" s="1499">
        <v>3.9864270439506435</v>
      </c>
      <c r="J96" s="1499">
        <v>3.2982666093616433</v>
      </c>
      <c r="K96" s="113">
        <v>1.0182069346789617</v>
      </c>
    </row>
    <row r="97" spans="2:11" x14ac:dyDescent="0.3">
      <c r="B97" s="115"/>
      <c r="C97" s="112" t="s">
        <v>1504</v>
      </c>
      <c r="D97" s="1499">
        <v>3.0110518107880915</v>
      </c>
      <c r="E97" s="1499">
        <v>2.4620788812492282</v>
      </c>
      <c r="F97" s="1499">
        <v>1.4407878902640294</v>
      </c>
      <c r="G97" s="1499">
        <v>1.2870945173657646</v>
      </c>
      <c r="H97" s="1499">
        <v>1.287146198797618</v>
      </c>
      <c r="I97" s="1499">
        <v>4.0640905233149569</v>
      </c>
      <c r="J97" s="1499">
        <v>3.3762392389287843</v>
      </c>
      <c r="K97" s="113">
        <v>1.0961267337651908</v>
      </c>
    </row>
    <row r="98" spans="2:11" x14ac:dyDescent="0.3">
      <c r="B98" s="115"/>
      <c r="C98" s="112" t="s">
        <v>1508</v>
      </c>
      <c r="D98" s="1499">
        <v>2.9819450379403287</v>
      </c>
      <c r="E98" s="1499">
        <v>2.4329721084014651</v>
      </c>
      <c r="F98" s="1499">
        <v>1.4116811174162665</v>
      </c>
      <c r="G98" s="1499">
        <v>1.2579877445180019</v>
      </c>
      <c r="H98" s="1499">
        <v>1.2580394259498553</v>
      </c>
      <c r="I98" s="1499">
        <v>4.0349837504671946</v>
      </c>
      <c r="J98" s="1499">
        <v>3.3471324660810211</v>
      </c>
      <c r="K98" s="113">
        <v>1.067019960917428</v>
      </c>
    </row>
    <row r="99" spans="2:11" x14ac:dyDescent="0.3">
      <c r="B99" s="115"/>
      <c r="C99" s="112" t="s">
        <v>1513</v>
      </c>
      <c r="D99" s="1499">
        <v>2.9382848786686844</v>
      </c>
      <c r="E99" s="1499">
        <v>2.3893119491298211</v>
      </c>
      <c r="F99" s="1499">
        <v>1.3680209581446225</v>
      </c>
      <c r="G99" s="1499">
        <v>1.2143275852463578</v>
      </c>
      <c r="H99" s="1499">
        <v>1.2143792666782112</v>
      </c>
      <c r="I99" s="1499">
        <v>3.9913235911955502</v>
      </c>
      <c r="J99" s="1499">
        <v>3.3034723068093772</v>
      </c>
      <c r="K99" s="113">
        <v>1.0233598016457839</v>
      </c>
    </row>
    <row r="100" spans="2:11" x14ac:dyDescent="0.3">
      <c r="B100" s="115"/>
      <c r="C100" s="112" t="s">
        <v>1517</v>
      </c>
      <c r="D100" s="1499">
        <v>2.8946247193970405</v>
      </c>
      <c r="E100" s="1499">
        <v>2.3456517898581772</v>
      </c>
      <c r="F100" s="1499">
        <v>1.3243607988729784</v>
      </c>
      <c r="G100" s="1499">
        <v>1.1706674259747134</v>
      </c>
      <c r="H100" s="1499">
        <v>1.170719107406567</v>
      </c>
      <c r="I100" s="1499">
        <v>3.9476634319239063</v>
      </c>
      <c r="J100" s="1499">
        <v>3.2598121475377333</v>
      </c>
      <c r="K100" s="113">
        <v>0.97969964237413965</v>
      </c>
    </row>
    <row r="101" spans="2:11" ht="14.5" thickBot="1" x14ac:dyDescent="0.35">
      <c r="B101" s="115"/>
      <c r="C101" s="116" t="s">
        <v>1519</v>
      </c>
      <c r="D101" s="117">
        <v>3.0696752585519436</v>
      </c>
      <c r="E101" s="117">
        <v>2.5239029682647343</v>
      </c>
      <c r="F101" s="117">
        <v>1.5028825383927906</v>
      </c>
      <c r="G101" s="117">
        <v>1.3462549709068128</v>
      </c>
      <c r="H101" s="117">
        <v>1.3439629107168669</v>
      </c>
      <c r="I101" s="117">
        <v>4.1250704932612878</v>
      </c>
      <c r="J101" s="117">
        <v>3.4369100586722876</v>
      </c>
      <c r="K101" s="118">
        <v>1.156850383989606</v>
      </c>
    </row>
    <row r="102" spans="2:11" x14ac:dyDescent="0.3">
      <c r="B102" s="120" t="s">
        <v>1985</v>
      </c>
      <c r="C102" s="1234" t="s">
        <v>1416</v>
      </c>
      <c r="D102" s="109">
        <v>2.7407665863914485</v>
      </c>
      <c r="E102" s="109">
        <v>2.1796976322288617</v>
      </c>
      <c r="F102" s="109">
        <v>1.1798478756661159</v>
      </c>
      <c r="G102" s="109">
        <v>1.0093377139267519</v>
      </c>
      <c r="H102" s="109">
        <v>1.0194384825774936</v>
      </c>
      <c r="I102" s="109">
        <v>3.7881872341333298</v>
      </c>
      <c r="J102" s="109">
        <v>3.0968190914637193</v>
      </c>
      <c r="K102" s="110">
        <v>0.80874327112623134</v>
      </c>
    </row>
    <row r="103" spans="2:11" x14ac:dyDescent="0.3">
      <c r="B103" s="121"/>
      <c r="C103" s="1500" t="s">
        <v>1483</v>
      </c>
      <c r="D103" s="1499">
        <v>3.0346180230230826</v>
      </c>
      <c r="E103" s="1499">
        <v>2.4888457327358737</v>
      </c>
      <c r="F103" s="1499">
        <v>1.4678253028639301</v>
      </c>
      <c r="G103" s="1499">
        <v>1.311197735377952</v>
      </c>
      <c r="H103" s="1499">
        <v>1.3089056751880059</v>
      </c>
      <c r="I103" s="1499">
        <v>4.0900132577324273</v>
      </c>
      <c r="J103" s="1499">
        <v>3.4018528231434266</v>
      </c>
      <c r="K103" s="113">
        <v>1.1217931484607453</v>
      </c>
    </row>
    <row r="104" spans="2:11" x14ac:dyDescent="0.3">
      <c r="B104" s="111" t="s">
        <v>1987</v>
      </c>
      <c r="C104" s="1500" t="s">
        <v>1489</v>
      </c>
      <c r="D104" s="1499">
        <v>2.9999571606954216</v>
      </c>
      <c r="E104" s="1499">
        <v>2.4541848704082123</v>
      </c>
      <c r="F104" s="1499">
        <v>1.4331644405362689</v>
      </c>
      <c r="G104" s="1499">
        <v>1.2765368730502911</v>
      </c>
      <c r="H104" s="1499">
        <v>1.274244812860345</v>
      </c>
      <c r="I104" s="1499">
        <v>4.0553523954047659</v>
      </c>
      <c r="J104" s="1499">
        <v>3.3671919608157657</v>
      </c>
      <c r="K104" s="113">
        <v>1.0871322861330843</v>
      </c>
    </row>
    <row r="105" spans="2:11" x14ac:dyDescent="0.3">
      <c r="B105" s="122">
        <v>0</v>
      </c>
      <c r="C105" s="1500" t="s">
        <v>1496</v>
      </c>
      <c r="D105" s="1499">
        <v>2.9479658672039299</v>
      </c>
      <c r="E105" s="1499">
        <v>2.4021935769167211</v>
      </c>
      <c r="F105" s="1499">
        <v>1.3811731470447772</v>
      </c>
      <c r="G105" s="1499">
        <v>1.2245455795587994</v>
      </c>
      <c r="H105" s="1499">
        <v>1.2222535193688533</v>
      </c>
      <c r="I105" s="1499">
        <v>4.0033611019132742</v>
      </c>
      <c r="J105" s="1499">
        <v>3.315200667324274</v>
      </c>
      <c r="K105" s="113">
        <v>1.0351409926415926</v>
      </c>
    </row>
    <row r="106" spans="2:11" x14ac:dyDescent="0.3">
      <c r="B106" s="123"/>
      <c r="C106" s="1500" t="s">
        <v>1500</v>
      </c>
      <c r="D106" s="1499">
        <v>2.8959745737124383</v>
      </c>
      <c r="E106" s="1499">
        <v>2.3502022834252294</v>
      </c>
      <c r="F106" s="1499">
        <v>1.3291818535532858</v>
      </c>
      <c r="G106" s="1499">
        <v>1.1725542860673077</v>
      </c>
      <c r="H106" s="1499">
        <v>1.1702622258773618</v>
      </c>
      <c r="I106" s="1499">
        <v>3.951369808421783</v>
      </c>
      <c r="J106" s="1499">
        <v>3.2632093738327828</v>
      </c>
      <c r="K106" s="113">
        <v>0.98314969915010098</v>
      </c>
    </row>
    <row r="107" spans="2:11" x14ac:dyDescent="0.3">
      <c r="B107" s="123"/>
      <c r="C107" s="1500" t="s">
        <v>1504</v>
      </c>
      <c r="D107" s="1499">
        <v>2.9759945752592309</v>
      </c>
      <c r="E107" s="1499">
        <v>2.4270216457203677</v>
      </c>
      <c r="F107" s="1499">
        <v>1.4057306547351689</v>
      </c>
      <c r="G107" s="1499">
        <v>1.2520372818369039</v>
      </c>
      <c r="H107" s="1499">
        <v>1.2520889632687573</v>
      </c>
      <c r="I107" s="1499">
        <v>4.0290332877860964</v>
      </c>
      <c r="J107" s="1499">
        <v>3.3411820033999238</v>
      </c>
      <c r="K107" s="113">
        <v>1.06106949823633</v>
      </c>
    </row>
    <row r="108" spans="2:11" x14ac:dyDescent="0.3">
      <c r="B108" s="123"/>
      <c r="C108" s="1500" t="s">
        <v>1508</v>
      </c>
      <c r="D108" s="1499">
        <v>2.9468878024114682</v>
      </c>
      <c r="E108" s="1499">
        <v>2.3979148728726045</v>
      </c>
      <c r="F108" s="1499">
        <v>1.3766238818874059</v>
      </c>
      <c r="G108" s="1499">
        <v>1.2229305089891411</v>
      </c>
      <c r="H108" s="1499">
        <v>1.2229821904209948</v>
      </c>
      <c r="I108" s="1499">
        <v>3.9999265149383341</v>
      </c>
      <c r="J108" s="1499">
        <v>3.3120752305521606</v>
      </c>
      <c r="K108" s="113">
        <v>1.0319627253885673</v>
      </c>
    </row>
    <row r="109" spans="2:11" x14ac:dyDescent="0.3">
      <c r="B109" s="123"/>
      <c r="C109" s="1500" t="s">
        <v>1513</v>
      </c>
      <c r="D109" s="1499">
        <v>2.9032276431398238</v>
      </c>
      <c r="E109" s="1499">
        <v>2.3542547136009606</v>
      </c>
      <c r="F109" s="1499">
        <v>1.332963722615762</v>
      </c>
      <c r="G109" s="1499">
        <v>1.179270349717497</v>
      </c>
      <c r="H109" s="1499">
        <v>1.1793220311493504</v>
      </c>
      <c r="I109" s="1499">
        <v>3.9562663556666897</v>
      </c>
      <c r="J109" s="1499">
        <v>3.2684150712805167</v>
      </c>
      <c r="K109" s="113">
        <v>0.98830256611692313</v>
      </c>
    </row>
    <row r="110" spans="2:11" x14ac:dyDescent="0.3">
      <c r="B110" s="123"/>
      <c r="C110" s="1500" t="s">
        <v>1517</v>
      </c>
      <c r="D110" s="1499">
        <v>2.8595674838681799</v>
      </c>
      <c r="E110" s="1499">
        <v>2.3105945543293163</v>
      </c>
      <c r="F110" s="1499">
        <v>1.2893035633441177</v>
      </c>
      <c r="G110" s="1499">
        <v>1.1356101904458529</v>
      </c>
      <c r="H110" s="1499">
        <v>1.1356618718777065</v>
      </c>
      <c r="I110" s="1499">
        <v>3.9126061963950458</v>
      </c>
      <c r="J110" s="1499">
        <v>3.2247549120088728</v>
      </c>
      <c r="K110" s="113">
        <v>0.94464240684527911</v>
      </c>
    </row>
    <row r="111" spans="2:11" ht="14.5" thickBot="1" x14ac:dyDescent="0.35">
      <c r="B111" s="124"/>
      <c r="C111" s="125" t="s">
        <v>1519</v>
      </c>
      <c r="D111" s="117">
        <v>3.0346180230230826</v>
      </c>
      <c r="E111" s="117">
        <v>2.4888457327358737</v>
      </c>
      <c r="F111" s="117">
        <v>1.4678253028639301</v>
      </c>
      <c r="G111" s="117">
        <v>1.311197735377952</v>
      </c>
      <c r="H111" s="117">
        <v>1.3089056751880059</v>
      </c>
      <c r="I111" s="117">
        <v>4.0900132577324273</v>
      </c>
      <c r="J111" s="117">
        <v>3.4018528231434266</v>
      </c>
      <c r="K111" s="118">
        <v>1.1217931484607453</v>
      </c>
    </row>
    <row r="112" spans="2:11" x14ac:dyDescent="0.3">
      <c r="B112" s="119" t="s">
        <v>1985</v>
      </c>
      <c r="C112" s="108" t="s">
        <v>1416</v>
      </c>
      <c r="D112" s="109">
        <v>2.6881807330981577</v>
      </c>
      <c r="E112" s="109">
        <v>2.1271117789355705</v>
      </c>
      <c r="F112" s="109">
        <v>1.1272620223728249</v>
      </c>
      <c r="G112" s="109">
        <v>0.95675186063346074</v>
      </c>
      <c r="H112" s="109">
        <v>0.96685262928420257</v>
      </c>
      <c r="I112" s="109">
        <v>3.735601380840039</v>
      </c>
      <c r="J112" s="109">
        <v>3.0442332381704285</v>
      </c>
      <c r="K112" s="110">
        <v>0.75615741783294033</v>
      </c>
    </row>
    <row r="113" spans="2:11" x14ac:dyDescent="0.3">
      <c r="B113" s="111"/>
      <c r="C113" s="112" t="s">
        <v>1483</v>
      </c>
      <c r="D113" s="1499">
        <v>2.9820321697297918</v>
      </c>
      <c r="E113" s="1499">
        <v>2.4362598794425825</v>
      </c>
      <c r="F113" s="1499">
        <v>1.4152394495706389</v>
      </c>
      <c r="G113" s="1499">
        <v>1.258611882084661</v>
      </c>
      <c r="H113" s="1499">
        <v>1.2563198218947149</v>
      </c>
      <c r="I113" s="1499">
        <v>4.0374274044391365</v>
      </c>
      <c r="J113" s="1499">
        <v>3.3492669698501358</v>
      </c>
      <c r="K113" s="113">
        <v>1.0692072951674543</v>
      </c>
    </row>
    <row r="114" spans="2:11" ht="14.5" thickBot="1" x14ac:dyDescent="0.35">
      <c r="B114" s="111" t="s">
        <v>1988</v>
      </c>
      <c r="C114" s="112" t="s">
        <v>1489</v>
      </c>
      <c r="D114" s="1499">
        <v>2.9473713074021308</v>
      </c>
      <c r="E114" s="1499">
        <v>2.4015990171149215</v>
      </c>
      <c r="F114" s="1501">
        <v>1.3805785872429779</v>
      </c>
      <c r="G114" s="1499">
        <v>1.223951019757</v>
      </c>
      <c r="H114" s="1499">
        <v>1.2216589595670539</v>
      </c>
      <c r="I114" s="1499">
        <v>4.0027665421114751</v>
      </c>
      <c r="J114" s="1499">
        <v>3.3146061075224749</v>
      </c>
      <c r="K114" s="113">
        <v>1.0345464328397933</v>
      </c>
    </row>
    <row r="115" spans="2:11" ht="14.5" thickBot="1" x14ac:dyDescent="0.35">
      <c r="B115" s="114">
        <v>0</v>
      </c>
      <c r="C115" s="112" t="s">
        <v>1496</v>
      </c>
      <c r="D115" s="1499">
        <v>2.8953800139106391</v>
      </c>
      <c r="E115" s="1502">
        <v>2.3496077236234298</v>
      </c>
      <c r="F115" s="126">
        <v>1.3285872937514862</v>
      </c>
      <c r="G115" s="1503">
        <v>1.1719597262655084</v>
      </c>
      <c r="H115" s="1499">
        <v>1.1696676660755625</v>
      </c>
      <c r="I115" s="1499">
        <v>3.9507752486199839</v>
      </c>
      <c r="J115" s="1499">
        <v>3.2626148140309832</v>
      </c>
      <c r="K115" s="113">
        <v>0.98255513934830163</v>
      </c>
    </row>
    <row r="116" spans="2:11" x14ac:dyDescent="0.3">
      <c r="B116" s="115"/>
      <c r="C116" s="112" t="s">
        <v>1500</v>
      </c>
      <c r="D116" s="1499">
        <v>2.8433887204191475</v>
      </c>
      <c r="E116" s="1499">
        <v>2.2976164301319382</v>
      </c>
      <c r="F116" s="127">
        <v>1.2765960002599945</v>
      </c>
      <c r="G116" s="1499">
        <v>1.1199684327740167</v>
      </c>
      <c r="H116" s="1499">
        <v>1.1176763725840708</v>
      </c>
      <c r="I116" s="1499">
        <v>3.8987839551284922</v>
      </c>
      <c r="J116" s="1499">
        <v>3.2106235205394915</v>
      </c>
      <c r="K116" s="113">
        <v>0.93056384585681007</v>
      </c>
    </row>
    <row r="117" spans="2:11" x14ac:dyDescent="0.3">
      <c r="B117" s="115"/>
      <c r="C117" s="112" t="s">
        <v>1504</v>
      </c>
      <c r="D117" s="1499">
        <v>2.9234087219659397</v>
      </c>
      <c r="E117" s="1499">
        <v>2.3744357924270765</v>
      </c>
      <c r="F117" s="1499">
        <v>1.3531448014418777</v>
      </c>
      <c r="G117" s="1499">
        <v>1.1994514285436129</v>
      </c>
      <c r="H117" s="1499">
        <v>1.1995031099754665</v>
      </c>
      <c r="I117" s="1499">
        <v>3.9764474344928051</v>
      </c>
      <c r="J117" s="1499">
        <v>3.2885961501066325</v>
      </c>
      <c r="K117" s="113">
        <v>1.008483644943039</v>
      </c>
    </row>
    <row r="118" spans="2:11" x14ac:dyDescent="0.3">
      <c r="B118" s="115"/>
      <c r="C118" s="112" t="s">
        <v>1508</v>
      </c>
      <c r="D118" s="1499">
        <v>2.8943019491181774</v>
      </c>
      <c r="E118" s="1499">
        <v>2.3453290195793137</v>
      </c>
      <c r="F118" s="1499">
        <v>1.3240380285941149</v>
      </c>
      <c r="G118" s="1499">
        <v>1.1703446556958501</v>
      </c>
      <c r="H118" s="1499">
        <v>1.1703963371277037</v>
      </c>
      <c r="I118" s="1499">
        <v>3.9473406616450428</v>
      </c>
      <c r="J118" s="1499">
        <v>3.2594893772588698</v>
      </c>
      <c r="K118" s="113">
        <v>0.97937687209527624</v>
      </c>
    </row>
    <row r="119" spans="2:11" x14ac:dyDescent="0.3">
      <c r="B119" s="115"/>
      <c r="C119" s="112" t="s">
        <v>1513</v>
      </c>
      <c r="D119" s="1499">
        <v>2.850641789846533</v>
      </c>
      <c r="E119" s="1499">
        <v>2.3016688603076694</v>
      </c>
      <c r="F119" s="1499">
        <v>1.2803778693224708</v>
      </c>
      <c r="G119" s="1499">
        <v>1.126684496424206</v>
      </c>
      <c r="H119" s="1499">
        <v>1.1267361778560594</v>
      </c>
      <c r="I119" s="1499">
        <v>3.9036805023733989</v>
      </c>
      <c r="J119" s="1499">
        <v>3.215829217987225</v>
      </c>
      <c r="K119" s="113">
        <v>0.93571671282363211</v>
      </c>
    </row>
    <row r="120" spans="2:11" x14ac:dyDescent="0.3">
      <c r="B120" s="115"/>
      <c r="C120" s="112" t="s">
        <v>1517</v>
      </c>
      <c r="D120" s="1499">
        <v>2.8069816305748887</v>
      </c>
      <c r="E120" s="1499">
        <v>2.2580087010360255</v>
      </c>
      <c r="F120" s="1499">
        <v>1.2367177100508266</v>
      </c>
      <c r="G120" s="1499">
        <v>1.0830243371525619</v>
      </c>
      <c r="H120" s="1499">
        <v>1.0830760185844153</v>
      </c>
      <c r="I120" s="1499">
        <v>3.8600203431017541</v>
      </c>
      <c r="J120" s="1499">
        <v>3.1721690587155811</v>
      </c>
      <c r="K120" s="113">
        <v>0.89205655355198787</v>
      </c>
    </row>
    <row r="121" spans="2:11" ht="14.5" thickBot="1" x14ac:dyDescent="0.35">
      <c r="B121" s="1233"/>
      <c r="C121" s="116" t="s">
        <v>1519</v>
      </c>
      <c r="D121" s="117">
        <v>2.9820321697297918</v>
      </c>
      <c r="E121" s="117">
        <v>2.4362598794425825</v>
      </c>
      <c r="F121" s="117">
        <v>1.4152394495706389</v>
      </c>
      <c r="G121" s="117">
        <v>1.258611882084661</v>
      </c>
      <c r="H121" s="117">
        <v>1.2563198218947149</v>
      </c>
      <c r="I121" s="117">
        <v>4.0374274044391365</v>
      </c>
      <c r="J121" s="117">
        <v>3.3492669698501358</v>
      </c>
      <c r="K121" s="118">
        <v>1.0692072951674543</v>
      </c>
    </row>
    <row r="122" spans="2:11" x14ac:dyDescent="0.3">
      <c r="B122" s="107" t="s">
        <v>1985</v>
      </c>
      <c r="C122" s="108" t="s">
        <v>1416</v>
      </c>
      <c r="D122" s="109">
        <v>2.6355948798048665</v>
      </c>
      <c r="E122" s="109">
        <v>2.0745259256422797</v>
      </c>
      <c r="F122" s="109">
        <v>1.0746761690795341</v>
      </c>
      <c r="G122" s="109">
        <v>0.90416600734016972</v>
      </c>
      <c r="H122" s="109">
        <v>0.91426677599091155</v>
      </c>
      <c r="I122" s="109">
        <v>3.6830155275467473</v>
      </c>
      <c r="J122" s="109">
        <v>2.9916473848771372</v>
      </c>
      <c r="K122" s="110">
        <v>0.70357156453964931</v>
      </c>
    </row>
    <row r="123" spans="2:11" x14ac:dyDescent="0.3">
      <c r="B123" s="111"/>
      <c r="C123" s="112" t="s">
        <v>1483</v>
      </c>
      <c r="D123" s="1499">
        <v>2.929446316436501</v>
      </c>
      <c r="E123" s="1499">
        <v>2.3836740261492917</v>
      </c>
      <c r="F123" s="1499">
        <v>1.3626535962773481</v>
      </c>
      <c r="G123" s="1499">
        <v>1.20602602879137</v>
      </c>
      <c r="H123" s="1499">
        <v>1.2037339686014241</v>
      </c>
      <c r="I123" s="1499">
        <v>3.9848415511458453</v>
      </c>
      <c r="J123" s="1499">
        <v>3.296681116556845</v>
      </c>
      <c r="K123" s="113">
        <v>1.0166214418741633</v>
      </c>
    </row>
    <row r="124" spans="2:11" x14ac:dyDescent="0.3">
      <c r="B124" s="111" t="s">
        <v>1989</v>
      </c>
      <c r="C124" s="112" t="s">
        <v>1489</v>
      </c>
      <c r="D124" s="1499">
        <v>2.8947854541088396</v>
      </c>
      <c r="E124" s="1499">
        <v>2.3490131638216307</v>
      </c>
      <c r="F124" s="1499">
        <v>1.3279927339496869</v>
      </c>
      <c r="G124" s="1499">
        <v>1.171365166463709</v>
      </c>
      <c r="H124" s="1499">
        <v>1.1690731062737629</v>
      </c>
      <c r="I124" s="1499">
        <v>3.9501806888181838</v>
      </c>
      <c r="J124" s="1499">
        <v>3.2620202542291836</v>
      </c>
      <c r="K124" s="113">
        <v>0.98196057954650218</v>
      </c>
    </row>
    <row r="125" spans="2:11" x14ac:dyDescent="0.3">
      <c r="B125" s="114">
        <v>0</v>
      </c>
      <c r="C125" s="112" t="s">
        <v>1496</v>
      </c>
      <c r="D125" s="1499">
        <v>2.8427941606173479</v>
      </c>
      <c r="E125" s="1499">
        <v>2.297021870330139</v>
      </c>
      <c r="F125" s="1499">
        <v>1.2760014404581954</v>
      </c>
      <c r="G125" s="1499">
        <v>1.1193738729722174</v>
      </c>
      <c r="H125" s="1499">
        <v>1.1170818127822713</v>
      </c>
      <c r="I125" s="1499">
        <v>3.8981893953266922</v>
      </c>
      <c r="J125" s="1499">
        <v>3.2100289607376919</v>
      </c>
      <c r="K125" s="113">
        <v>0.9299692860550105</v>
      </c>
    </row>
    <row r="126" spans="2:11" x14ac:dyDescent="0.3">
      <c r="B126" s="115"/>
      <c r="C126" s="112" t="s">
        <v>1500</v>
      </c>
      <c r="D126" s="1499">
        <v>2.7908028671258562</v>
      </c>
      <c r="E126" s="1499">
        <v>2.2450305768386474</v>
      </c>
      <c r="F126" s="1499">
        <v>1.2240101469667037</v>
      </c>
      <c r="G126" s="1499">
        <v>1.0673825794807259</v>
      </c>
      <c r="H126" s="1499">
        <v>1.0650905192907796</v>
      </c>
      <c r="I126" s="1499">
        <v>3.8461981018352005</v>
      </c>
      <c r="J126" s="1499">
        <v>3.1580376672462003</v>
      </c>
      <c r="K126" s="113">
        <v>0.87797799256351883</v>
      </c>
    </row>
    <row r="127" spans="2:11" x14ac:dyDescent="0.3">
      <c r="B127" s="115"/>
      <c r="C127" s="112" t="s">
        <v>1504</v>
      </c>
      <c r="D127" s="1499">
        <v>2.8708228686726485</v>
      </c>
      <c r="E127" s="1499">
        <v>2.3218499391337852</v>
      </c>
      <c r="F127" s="1499">
        <v>1.3005589481485866</v>
      </c>
      <c r="G127" s="1499">
        <v>1.1468655752503218</v>
      </c>
      <c r="H127" s="1499">
        <v>1.1469172566821755</v>
      </c>
      <c r="I127" s="1499">
        <v>3.9238615811995143</v>
      </c>
      <c r="J127" s="1499">
        <v>3.2360102968133413</v>
      </c>
      <c r="K127" s="113">
        <v>0.95589779164974797</v>
      </c>
    </row>
    <row r="128" spans="2:11" x14ac:dyDescent="0.3">
      <c r="B128" s="115"/>
      <c r="C128" s="112" t="s">
        <v>1508</v>
      </c>
      <c r="D128" s="1499">
        <v>2.8417160958248857</v>
      </c>
      <c r="E128" s="1499">
        <v>2.2927431662860225</v>
      </c>
      <c r="F128" s="1499">
        <v>1.2714521753008239</v>
      </c>
      <c r="G128" s="1499">
        <v>1.1177588024025591</v>
      </c>
      <c r="H128" s="1499">
        <v>1.1178104838344127</v>
      </c>
      <c r="I128" s="1499">
        <v>3.8947548083517516</v>
      </c>
      <c r="J128" s="1499">
        <v>3.2069035239655785</v>
      </c>
      <c r="K128" s="113">
        <v>0.92679101880198522</v>
      </c>
    </row>
    <row r="129" spans="2:11" x14ac:dyDescent="0.3">
      <c r="B129" s="115"/>
      <c r="C129" s="112" t="s">
        <v>1513</v>
      </c>
      <c r="D129" s="1499">
        <v>2.7980559365532418</v>
      </c>
      <c r="E129" s="1499">
        <v>2.2490830070143781</v>
      </c>
      <c r="F129" s="1499">
        <v>1.2277920160291798</v>
      </c>
      <c r="G129" s="1499">
        <v>1.074098643130915</v>
      </c>
      <c r="H129" s="1499">
        <v>1.0741503245627684</v>
      </c>
      <c r="I129" s="1499">
        <v>3.8510946490801077</v>
      </c>
      <c r="J129" s="1499">
        <v>3.1632433646939342</v>
      </c>
      <c r="K129" s="113">
        <v>0.88313085953034109</v>
      </c>
    </row>
    <row r="130" spans="2:11" x14ac:dyDescent="0.3">
      <c r="B130" s="115"/>
      <c r="C130" s="112" t="s">
        <v>1517</v>
      </c>
      <c r="D130" s="1499">
        <v>2.7543957772815979</v>
      </c>
      <c r="E130" s="1499">
        <v>2.2054228477427342</v>
      </c>
      <c r="F130" s="1499">
        <v>1.1841318567575356</v>
      </c>
      <c r="G130" s="1499">
        <v>1.0304384838592708</v>
      </c>
      <c r="H130" s="1499">
        <v>1.0304901652911242</v>
      </c>
      <c r="I130" s="1499">
        <v>3.8074344898084633</v>
      </c>
      <c r="J130" s="1499">
        <v>3.1195832054222903</v>
      </c>
      <c r="K130" s="113">
        <v>0.83947070025869686</v>
      </c>
    </row>
    <row r="131" spans="2:11" ht="14.5" thickBot="1" x14ac:dyDescent="0.35">
      <c r="B131" s="1233"/>
      <c r="C131" s="116" t="s">
        <v>1519</v>
      </c>
      <c r="D131" s="117">
        <v>2.929446316436501</v>
      </c>
      <c r="E131" s="117">
        <v>2.3836740261492917</v>
      </c>
      <c r="F131" s="117">
        <v>1.3626535962773481</v>
      </c>
      <c r="G131" s="117">
        <v>1.20602602879137</v>
      </c>
      <c r="H131" s="117">
        <v>1.2037339686014241</v>
      </c>
      <c r="I131" s="117">
        <v>3.9848415511458453</v>
      </c>
      <c r="J131" s="117">
        <v>3.296681116556845</v>
      </c>
      <c r="K131" s="118">
        <v>1.0166214418741633</v>
      </c>
    </row>
    <row r="132" spans="2:11" x14ac:dyDescent="0.3">
      <c r="B132" s="120" t="s">
        <v>1990</v>
      </c>
      <c r="C132" s="108" t="s">
        <v>1416</v>
      </c>
      <c r="D132" s="109">
        <v>2.7157818844130617</v>
      </c>
      <c r="E132" s="109">
        <v>2.1474273047983043</v>
      </c>
      <c r="F132" s="109">
        <v>1.1603477875068042</v>
      </c>
      <c r="G132" s="109">
        <v>0.98508380842906984</v>
      </c>
      <c r="H132" s="109">
        <v>0.99767731198568321</v>
      </c>
      <c r="I132" s="109">
        <v>3.7543346236945041</v>
      </c>
      <c r="J132" s="109">
        <v>3.063527745267665</v>
      </c>
      <c r="K132" s="110">
        <v>0.78453637018343059</v>
      </c>
    </row>
    <row r="133" spans="2:11" x14ac:dyDescent="0.3">
      <c r="B133" s="111"/>
      <c r="C133" s="112" t="s">
        <v>1483</v>
      </c>
      <c r="D133" s="1499">
        <v>3.0075668563022009</v>
      </c>
      <c r="E133" s="1499">
        <v>2.4578805888359292</v>
      </c>
      <c r="F133" s="1499">
        <v>1.4453558004462013</v>
      </c>
      <c r="G133" s="1499">
        <v>1.2906547899278997</v>
      </c>
      <c r="H133" s="1499">
        <v>1.290439739876186</v>
      </c>
      <c r="I133" s="1499">
        <v>4.0572507096533643</v>
      </c>
      <c r="J133" s="1499">
        <v>3.3695472535300488</v>
      </c>
      <c r="K133" s="113">
        <v>1.1012890924045637</v>
      </c>
    </row>
    <row r="134" spans="2:11" x14ac:dyDescent="0.3">
      <c r="B134" s="111" t="s">
        <v>1986</v>
      </c>
      <c r="C134" s="112" t="s">
        <v>1489</v>
      </c>
      <c r="D134" s="1499">
        <v>2.9729059939745399</v>
      </c>
      <c r="E134" s="1499">
        <v>2.4232197265082678</v>
      </c>
      <c r="F134" s="1499">
        <v>1.4106949381185401</v>
      </c>
      <c r="G134" s="1499">
        <v>1.2559939276002388</v>
      </c>
      <c r="H134" s="1499">
        <v>1.255778877548525</v>
      </c>
      <c r="I134" s="1499">
        <v>4.0225898473257029</v>
      </c>
      <c r="J134" s="1499">
        <v>3.3348863912023878</v>
      </c>
      <c r="K134" s="113">
        <v>1.0666282300769026</v>
      </c>
    </row>
    <row r="135" spans="2:11" x14ac:dyDescent="0.3">
      <c r="B135" s="114">
        <v>0</v>
      </c>
      <c r="C135" s="112" t="s">
        <v>1496</v>
      </c>
      <c r="D135" s="1499">
        <v>2.9209147004830482</v>
      </c>
      <c r="E135" s="1499">
        <v>2.3712284330167765</v>
      </c>
      <c r="F135" s="1499">
        <v>1.3587036446270486</v>
      </c>
      <c r="G135" s="1499">
        <v>1.2040026341087471</v>
      </c>
      <c r="H135" s="1499">
        <v>1.2037875840570333</v>
      </c>
      <c r="I135" s="1499">
        <v>3.9705985538342117</v>
      </c>
      <c r="J135" s="1499">
        <v>3.2828950977108966</v>
      </c>
      <c r="K135" s="113">
        <v>1.0146369365854111</v>
      </c>
    </row>
    <row r="136" spans="2:11" x14ac:dyDescent="0.3">
      <c r="B136" s="115"/>
      <c r="C136" s="112" t="s">
        <v>1500</v>
      </c>
      <c r="D136" s="1499">
        <v>2.8689234069915566</v>
      </c>
      <c r="E136" s="1499">
        <v>2.3192371395252849</v>
      </c>
      <c r="F136" s="1499">
        <v>1.3067123511355572</v>
      </c>
      <c r="G136" s="1499">
        <v>1.1520113406172556</v>
      </c>
      <c r="H136" s="1499">
        <v>1.1517962905655417</v>
      </c>
      <c r="I136" s="1499">
        <v>3.91860726034272</v>
      </c>
      <c r="J136" s="1499">
        <v>3.2309038042194049</v>
      </c>
      <c r="K136" s="113">
        <v>0.96264564309391942</v>
      </c>
    </row>
    <row r="137" spans="2:11" x14ac:dyDescent="0.3">
      <c r="B137" s="115"/>
      <c r="C137" s="112" t="s">
        <v>1504</v>
      </c>
      <c r="D137" s="1499">
        <v>2.9486275044740893</v>
      </c>
      <c r="E137" s="1499">
        <v>2.395622066093098</v>
      </c>
      <c r="F137" s="1499">
        <v>1.3848794341662189</v>
      </c>
      <c r="G137" s="1499">
        <v>1.2309482054943957</v>
      </c>
      <c r="H137" s="1499">
        <v>1.2331441548240425</v>
      </c>
      <c r="I137" s="1499">
        <v>3.9961453475543545</v>
      </c>
      <c r="J137" s="1499">
        <v>3.3087089520881294</v>
      </c>
      <c r="K137" s="113">
        <v>1.0400214110273716</v>
      </c>
    </row>
    <row r="138" spans="2:11" x14ac:dyDescent="0.3">
      <c r="B138" s="115"/>
      <c r="C138" s="112" t="s">
        <v>1508</v>
      </c>
      <c r="D138" s="1499">
        <v>2.9195207316263261</v>
      </c>
      <c r="E138" s="1499">
        <v>2.3665152932453353</v>
      </c>
      <c r="F138" s="1499">
        <v>1.355772661318456</v>
      </c>
      <c r="G138" s="1499">
        <v>1.2018414326466331</v>
      </c>
      <c r="H138" s="1499">
        <v>1.2040373819762797</v>
      </c>
      <c r="I138" s="1499">
        <v>3.9670385747065913</v>
      </c>
      <c r="J138" s="1499">
        <v>3.2796021792403667</v>
      </c>
      <c r="K138" s="113">
        <v>1.0109146381796088</v>
      </c>
    </row>
    <row r="139" spans="2:11" x14ac:dyDescent="0.3">
      <c r="B139" s="115"/>
      <c r="C139" s="112" t="s">
        <v>1513</v>
      </c>
      <c r="D139" s="1499">
        <v>2.8758605723546822</v>
      </c>
      <c r="E139" s="1499">
        <v>2.3228551339736914</v>
      </c>
      <c r="F139" s="1499">
        <v>1.3121125020468121</v>
      </c>
      <c r="G139" s="1499">
        <v>1.1581812733749888</v>
      </c>
      <c r="H139" s="1499">
        <v>1.1603772227046356</v>
      </c>
      <c r="I139" s="1499">
        <v>3.9233784154349474</v>
      </c>
      <c r="J139" s="1499">
        <v>3.2359420199687223</v>
      </c>
      <c r="K139" s="113">
        <v>0.96725447890796468</v>
      </c>
    </row>
    <row r="140" spans="2:11" x14ac:dyDescent="0.3">
      <c r="B140" s="115"/>
      <c r="C140" s="112" t="s">
        <v>1517</v>
      </c>
      <c r="D140" s="1499">
        <v>2.8322004130830378</v>
      </c>
      <c r="E140" s="1499">
        <v>2.2791949747020475</v>
      </c>
      <c r="F140" s="1499">
        <v>1.2684523427751679</v>
      </c>
      <c r="G140" s="1499">
        <v>1.1145211141033446</v>
      </c>
      <c r="H140" s="1499">
        <v>1.1167170634329915</v>
      </c>
      <c r="I140" s="1499">
        <v>3.8797182561633026</v>
      </c>
      <c r="J140" s="1499">
        <v>3.192281860697078</v>
      </c>
      <c r="K140" s="113">
        <v>0.92359431963632055</v>
      </c>
    </row>
    <row r="141" spans="2:11" ht="14.5" thickBot="1" x14ac:dyDescent="0.35">
      <c r="B141" s="1233"/>
      <c r="C141" s="116" t="s">
        <v>1519</v>
      </c>
      <c r="D141" s="117">
        <v>3.0075668563022009</v>
      </c>
      <c r="E141" s="117">
        <v>2.4578805888359292</v>
      </c>
      <c r="F141" s="117">
        <v>1.4453558004462013</v>
      </c>
      <c r="G141" s="117">
        <v>1.2906547899278997</v>
      </c>
      <c r="H141" s="117">
        <v>1.290439739876186</v>
      </c>
      <c r="I141" s="117">
        <v>4.0572507096533643</v>
      </c>
      <c r="J141" s="117">
        <v>3.3695472535300488</v>
      </c>
      <c r="K141" s="118">
        <v>1.1012890924045637</v>
      </c>
    </row>
    <row r="142" spans="2:11" x14ac:dyDescent="0.3">
      <c r="B142" s="120" t="s">
        <v>1990</v>
      </c>
      <c r="C142" s="108" t="s">
        <v>1416</v>
      </c>
      <c r="D142" s="109">
        <v>2.6864133818026787</v>
      </c>
      <c r="E142" s="109">
        <v>2.1180588021879214</v>
      </c>
      <c r="F142" s="109">
        <v>1.1309792848964215</v>
      </c>
      <c r="G142" s="109">
        <v>0.95571530581868702</v>
      </c>
      <c r="H142" s="109">
        <v>0.96830880937530051</v>
      </c>
      <c r="I142" s="109">
        <v>3.7249661210841212</v>
      </c>
      <c r="J142" s="109">
        <v>3.0341592426572821</v>
      </c>
      <c r="K142" s="110">
        <v>0.75516786757304777</v>
      </c>
    </row>
    <row r="143" spans="2:11" x14ac:dyDescent="0.3">
      <c r="B143" s="111"/>
      <c r="C143" s="112" t="s">
        <v>1483</v>
      </c>
      <c r="D143" s="1499">
        <v>2.978198353691818</v>
      </c>
      <c r="E143" s="1499">
        <v>2.4285120862255467</v>
      </c>
      <c r="F143" s="1499">
        <v>1.4159872978358188</v>
      </c>
      <c r="G143" s="1499">
        <v>1.261286287317517</v>
      </c>
      <c r="H143" s="1499">
        <v>1.2610712372658031</v>
      </c>
      <c r="I143" s="1499">
        <v>4.0278822070429809</v>
      </c>
      <c r="J143" s="1499">
        <v>3.3401787509196659</v>
      </c>
      <c r="K143" s="113">
        <v>1.0719205897941808</v>
      </c>
    </row>
    <row r="144" spans="2:11" x14ac:dyDescent="0.3">
      <c r="B144" s="111" t="s">
        <v>1987</v>
      </c>
      <c r="C144" s="112" t="s">
        <v>1489</v>
      </c>
      <c r="D144" s="1499">
        <v>2.943537491364157</v>
      </c>
      <c r="E144" s="1499">
        <v>2.3938512238978853</v>
      </c>
      <c r="F144" s="1499">
        <v>1.3813264355081576</v>
      </c>
      <c r="G144" s="1499">
        <v>1.2266254249898558</v>
      </c>
      <c r="H144" s="1499">
        <v>1.2264103749381421</v>
      </c>
      <c r="I144" s="1499">
        <v>3.9932213447153204</v>
      </c>
      <c r="J144" s="1499">
        <v>3.3055178885920049</v>
      </c>
      <c r="K144" s="113">
        <v>1.0372597274665198</v>
      </c>
    </row>
    <row r="145" spans="2:11" x14ac:dyDescent="0.3">
      <c r="B145" s="114">
        <v>0</v>
      </c>
      <c r="C145" s="112" t="s">
        <v>1496</v>
      </c>
      <c r="D145" s="1499">
        <v>2.8915461978726653</v>
      </c>
      <c r="E145" s="1499">
        <v>2.3418599304063936</v>
      </c>
      <c r="F145" s="1499">
        <v>1.3293351420166659</v>
      </c>
      <c r="G145" s="1499">
        <v>1.1746341314983644</v>
      </c>
      <c r="H145" s="1499">
        <v>1.1744190814466506</v>
      </c>
      <c r="I145" s="1499">
        <v>3.9412300512238287</v>
      </c>
      <c r="J145" s="1499">
        <v>3.2535265951005137</v>
      </c>
      <c r="K145" s="113">
        <v>0.98526843397502817</v>
      </c>
    </row>
    <row r="146" spans="2:11" x14ac:dyDescent="0.3">
      <c r="B146" s="115"/>
      <c r="C146" s="112" t="s">
        <v>1500</v>
      </c>
      <c r="D146" s="1499">
        <v>2.8395549043811736</v>
      </c>
      <c r="E146" s="1499">
        <v>2.2898686369149019</v>
      </c>
      <c r="F146" s="1499">
        <v>1.2773438485251742</v>
      </c>
      <c r="G146" s="1499">
        <v>1.1226428380068727</v>
      </c>
      <c r="H146" s="1499">
        <v>1.122427787955159</v>
      </c>
      <c r="I146" s="1499">
        <v>3.8892387577323371</v>
      </c>
      <c r="J146" s="1499">
        <v>3.201535301609022</v>
      </c>
      <c r="K146" s="113">
        <v>0.9332771404835366</v>
      </c>
    </row>
    <row r="147" spans="2:11" x14ac:dyDescent="0.3">
      <c r="B147" s="115"/>
      <c r="C147" s="112" t="s">
        <v>1504</v>
      </c>
      <c r="D147" s="1499">
        <v>2.9192590018637063</v>
      </c>
      <c r="E147" s="1499">
        <v>2.3662535634827155</v>
      </c>
      <c r="F147" s="1499">
        <v>1.3555109315558362</v>
      </c>
      <c r="G147" s="1499">
        <v>1.2015797028840129</v>
      </c>
      <c r="H147" s="1499">
        <v>1.2037756522136598</v>
      </c>
      <c r="I147" s="1499">
        <v>3.9667768449439711</v>
      </c>
      <c r="J147" s="1499">
        <v>3.2793404494777465</v>
      </c>
      <c r="K147" s="113">
        <v>1.0106529084169888</v>
      </c>
    </row>
    <row r="148" spans="2:11" x14ac:dyDescent="0.3">
      <c r="B148" s="115"/>
      <c r="C148" s="112" t="s">
        <v>1508</v>
      </c>
      <c r="D148" s="1499">
        <v>2.8901522290159432</v>
      </c>
      <c r="E148" s="1499">
        <v>2.3371467906349528</v>
      </c>
      <c r="F148" s="1499">
        <v>1.3264041587080735</v>
      </c>
      <c r="G148" s="1499">
        <v>1.1724729300362502</v>
      </c>
      <c r="H148" s="1499">
        <v>1.174668879365897</v>
      </c>
      <c r="I148" s="1499">
        <v>3.9376700720962083</v>
      </c>
      <c r="J148" s="1499">
        <v>3.2502336766299837</v>
      </c>
      <c r="K148" s="113">
        <v>0.9815461355692261</v>
      </c>
    </row>
    <row r="149" spans="2:11" x14ac:dyDescent="0.3">
      <c r="B149" s="115"/>
      <c r="C149" s="112" t="s">
        <v>1513</v>
      </c>
      <c r="D149" s="1499">
        <v>2.8464920697442992</v>
      </c>
      <c r="E149" s="1499">
        <v>2.2934866313633084</v>
      </c>
      <c r="F149" s="1499">
        <v>1.2827439994364291</v>
      </c>
      <c r="G149" s="1499">
        <v>1.1288127707646061</v>
      </c>
      <c r="H149" s="1499">
        <v>1.1310087200942527</v>
      </c>
      <c r="I149" s="1499">
        <v>3.8940099128245644</v>
      </c>
      <c r="J149" s="1499">
        <v>3.2065735173583394</v>
      </c>
      <c r="K149" s="113">
        <v>0.93788597629758186</v>
      </c>
    </row>
    <row r="150" spans="2:11" x14ac:dyDescent="0.3">
      <c r="B150" s="115"/>
      <c r="C150" s="112" t="s">
        <v>1517</v>
      </c>
      <c r="D150" s="1499">
        <v>2.8028319104726553</v>
      </c>
      <c r="E150" s="1499">
        <v>2.2498264720916641</v>
      </c>
      <c r="F150" s="1499">
        <v>1.239083840164785</v>
      </c>
      <c r="G150" s="1499">
        <v>1.0851526114929619</v>
      </c>
      <c r="H150" s="1499">
        <v>1.0873485608226086</v>
      </c>
      <c r="I150" s="1499">
        <v>3.8503497535529205</v>
      </c>
      <c r="J150" s="1499">
        <v>3.1629133580866955</v>
      </c>
      <c r="K150" s="113">
        <v>0.89422581702593784</v>
      </c>
    </row>
    <row r="151" spans="2:11" ht="14.5" thickBot="1" x14ac:dyDescent="0.35">
      <c r="B151" s="1233"/>
      <c r="C151" s="116" t="s">
        <v>1519</v>
      </c>
      <c r="D151" s="117">
        <v>2.978198353691818</v>
      </c>
      <c r="E151" s="117">
        <v>2.4285120862255467</v>
      </c>
      <c r="F151" s="117">
        <v>1.4159872978358188</v>
      </c>
      <c r="G151" s="117">
        <v>1.261286287317517</v>
      </c>
      <c r="H151" s="117">
        <v>1.2610712372658031</v>
      </c>
      <c r="I151" s="117">
        <v>4.0278822070429809</v>
      </c>
      <c r="J151" s="117">
        <v>3.3401787509196659</v>
      </c>
      <c r="K151" s="118">
        <v>1.0719205897941808</v>
      </c>
    </row>
    <row r="152" spans="2:11" x14ac:dyDescent="0.3">
      <c r="B152" s="120" t="s">
        <v>1990</v>
      </c>
      <c r="C152" s="108" t="s">
        <v>1416</v>
      </c>
      <c r="D152" s="109">
        <v>2.6423606278871046</v>
      </c>
      <c r="E152" s="109">
        <v>2.0740060482723472</v>
      </c>
      <c r="F152" s="109">
        <v>1.0869265309808473</v>
      </c>
      <c r="G152" s="109">
        <v>0.91166255190311285</v>
      </c>
      <c r="H152" s="109">
        <v>0.92425605545972633</v>
      </c>
      <c r="I152" s="109">
        <v>3.680913367168547</v>
      </c>
      <c r="J152" s="109">
        <v>2.9901064887417079</v>
      </c>
      <c r="K152" s="110">
        <v>0.7111151136574736</v>
      </c>
    </row>
    <row r="153" spans="2:11" x14ac:dyDescent="0.3">
      <c r="B153" s="111"/>
      <c r="C153" s="112" t="s">
        <v>1483</v>
      </c>
      <c r="D153" s="1499">
        <v>2.9341455997762438</v>
      </c>
      <c r="E153" s="1499">
        <v>2.3844593323099725</v>
      </c>
      <c r="F153" s="1499">
        <v>1.3719345439202446</v>
      </c>
      <c r="G153" s="1499">
        <v>1.2172335334019428</v>
      </c>
      <c r="H153" s="1499">
        <v>1.2170184833502291</v>
      </c>
      <c r="I153" s="1499">
        <v>3.9838294531274072</v>
      </c>
      <c r="J153" s="1499">
        <v>3.2961259970040917</v>
      </c>
      <c r="K153" s="113">
        <v>1.0278678358786066</v>
      </c>
    </row>
    <row r="154" spans="2:11" x14ac:dyDescent="0.3">
      <c r="B154" s="111" t="s">
        <v>1988</v>
      </c>
      <c r="C154" s="112" t="s">
        <v>1489</v>
      </c>
      <c r="D154" s="1499">
        <v>2.8994847374485828</v>
      </c>
      <c r="E154" s="1499">
        <v>2.3497984699823111</v>
      </c>
      <c r="F154" s="1499">
        <v>1.3372736815925834</v>
      </c>
      <c r="G154" s="1499">
        <v>1.1825726710742819</v>
      </c>
      <c r="H154" s="1499">
        <v>1.1823576210225679</v>
      </c>
      <c r="I154" s="1499">
        <v>3.9491685907997462</v>
      </c>
      <c r="J154" s="1499">
        <v>3.2614651346764312</v>
      </c>
      <c r="K154" s="113">
        <v>0.99320697355094567</v>
      </c>
    </row>
    <row r="155" spans="2:11" x14ac:dyDescent="0.3">
      <c r="B155" s="114">
        <v>0</v>
      </c>
      <c r="C155" s="112" t="s">
        <v>1496</v>
      </c>
      <c r="D155" s="1499">
        <v>2.8474934439570911</v>
      </c>
      <c r="E155" s="1499">
        <v>2.2978071764908194</v>
      </c>
      <c r="F155" s="1499">
        <v>1.2852823881010917</v>
      </c>
      <c r="G155" s="1499">
        <v>1.13058137758279</v>
      </c>
      <c r="H155" s="1499">
        <v>1.1303663275310765</v>
      </c>
      <c r="I155" s="1499">
        <v>3.8971772973082546</v>
      </c>
      <c r="J155" s="1499">
        <v>3.2094738411849395</v>
      </c>
      <c r="K155" s="113">
        <v>0.941215680059454</v>
      </c>
    </row>
    <row r="156" spans="2:11" x14ac:dyDescent="0.3">
      <c r="B156" s="115"/>
      <c r="C156" s="112" t="s">
        <v>1500</v>
      </c>
      <c r="D156" s="1499">
        <v>2.7955021504655995</v>
      </c>
      <c r="E156" s="1499">
        <v>2.2458158829993282</v>
      </c>
      <c r="F156" s="1499">
        <v>1.2332910946096001</v>
      </c>
      <c r="G156" s="1499">
        <v>1.0785900840912985</v>
      </c>
      <c r="H156" s="1499">
        <v>1.0783750340395846</v>
      </c>
      <c r="I156" s="1499">
        <v>3.8451860038167629</v>
      </c>
      <c r="J156" s="1499">
        <v>3.1574825476934478</v>
      </c>
      <c r="K156" s="113">
        <v>0.88922438656796232</v>
      </c>
    </row>
    <row r="157" spans="2:11" x14ac:dyDescent="0.3">
      <c r="B157" s="115"/>
      <c r="C157" s="112" t="s">
        <v>1504</v>
      </c>
      <c r="D157" s="1499">
        <v>2.8752062479481322</v>
      </c>
      <c r="E157" s="1499">
        <v>2.3222008095671409</v>
      </c>
      <c r="F157" s="1499">
        <v>1.3114581776402621</v>
      </c>
      <c r="G157" s="1499">
        <v>1.1575269489684388</v>
      </c>
      <c r="H157" s="1499">
        <v>1.1597228982980856</v>
      </c>
      <c r="I157" s="1499">
        <v>3.9227240910283974</v>
      </c>
      <c r="J157" s="1499">
        <v>3.2352876955621723</v>
      </c>
      <c r="K157" s="113">
        <v>0.96660015450141468</v>
      </c>
    </row>
    <row r="158" spans="2:11" x14ac:dyDescent="0.3">
      <c r="B158" s="115"/>
      <c r="C158" s="112" t="s">
        <v>1508</v>
      </c>
      <c r="D158" s="1499">
        <v>2.8460994751003694</v>
      </c>
      <c r="E158" s="1499">
        <v>2.2930940367193786</v>
      </c>
      <c r="F158" s="1499">
        <v>1.2823514047924993</v>
      </c>
      <c r="G158" s="1499">
        <v>1.128420176120676</v>
      </c>
      <c r="H158" s="1499">
        <v>1.1306161254503229</v>
      </c>
      <c r="I158" s="1499">
        <v>3.8936173181806342</v>
      </c>
      <c r="J158" s="1499">
        <v>3.2061809227144096</v>
      </c>
      <c r="K158" s="113">
        <v>0.93749338165365192</v>
      </c>
    </row>
    <row r="159" spans="2:11" x14ac:dyDescent="0.3">
      <c r="B159" s="115"/>
      <c r="C159" s="112" t="s">
        <v>1513</v>
      </c>
      <c r="D159" s="1499">
        <v>2.8024393158287251</v>
      </c>
      <c r="E159" s="1499">
        <v>2.2494338774477343</v>
      </c>
      <c r="F159" s="1499">
        <v>1.2386912455208552</v>
      </c>
      <c r="G159" s="1499">
        <v>1.0847600168490319</v>
      </c>
      <c r="H159" s="1499">
        <v>1.0869559661786787</v>
      </c>
      <c r="I159" s="1499">
        <v>3.8499571589089903</v>
      </c>
      <c r="J159" s="1499">
        <v>3.1625207634427657</v>
      </c>
      <c r="K159" s="113">
        <v>0.8938332223820078</v>
      </c>
    </row>
    <row r="160" spans="2:11" x14ac:dyDescent="0.3">
      <c r="B160" s="115"/>
      <c r="C160" s="112" t="s">
        <v>1517</v>
      </c>
      <c r="D160" s="1499">
        <v>2.7587791565570812</v>
      </c>
      <c r="E160" s="1499">
        <v>2.2057737181760904</v>
      </c>
      <c r="F160" s="1499">
        <v>1.1950310862492108</v>
      </c>
      <c r="G160" s="1499">
        <v>1.0410998575773878</v>
      </c>
      <c r="H160" s="1499">
        <v>1.0432958069070344</v>
      </c>
      <c r="I160" s="1499">
        <v>3.8062969996373464</v>
      </c>
      <c r="J160" s="1499">
        <v>3.1188606041711213</v>
      </c>
      <c r="K160" s="113">
        <v>0.85017306311036356</v>
      </c>
    </row>
    <row r="161" spans="2:11" ht="14.5" thickBot="1" x14ac:dyDescent="0.35">
      <c r="B161" s="1233"/>
      <c r="C161" s="116" t="s">
        <v>1519</v>
      </c>
      <c r="D161" s="117">
        <v>2.9341455997762438</v>
      </c>
      <c r="E161" s="117">
        <v>2.3844593323099725</v>
      </c>
      <c r="F161" s="117">
        <v>1.3719345439202446</v>
      </c>
      <c r="G161" s="117">
        <v>1.2172335334019428</v>
      </c>
      <c r="H161" s="117">
        <v>1.2170184833502291</v>
      </c>
      <c r="I161" s="117">
        <v>3.9838294531274072</v>
      </c>
      <c r="J161" s="117">
        <v>3.2961259970040917</v>
      </c>
      <c r="K161" s="118">
        <v>1.0278678358786066</v>
      </c>
    </row>
    <row r="162" spans="2:11" x14ac:dyDescent="0.3">
      <c r="B162" s="120" t="s">
        <v>1990</v>
      </c>
      <c r="C162" s="108" t="s">
        <v>1416</v>
      </c>
      <c r="D162" s="109">
        <v>2.5983078739715304</v>
      </c>
      <c r="E162" s="109">
        <v>2.0299532943567735</v>
      </c>
      <c r="F162" s="109">
        <v>1.042873777065273</v>
      </c>
      <c r="G162" s="109">
        <v>0.86760979798753857</v>
      </c>
      <c r="H162" s="109">
        <v>0.88020330154415205</v>
      </c>
      <c r="I162" s="109">
        <v>3.6368606132529728</v>
      </c>
      <c r="J162" s="109">
        <v>2.9460537348261338</v>
      </c>
      <c r="K162" s="110">
        <v>0.66706235974189931</v>
      </c>
    </row>
    <row r="163" spans="2:11" x14ac:dyDescent="0.3">
      <c r="B163" s="111"/>
      <c r="C163" s="112" t="s">
        <v>1483</v>
      </c>
      <c r="D163" s="1499">
        <v>2.8900928458606696</v>
      </c>
      <c r="E163" s="1499">
        <v>2.3404065783943979</v>
      </c>
      <c r="F163" s="1499">
        <v>1.3278817900046702</v>
      </c>
      <c r="G163" s="1499">
        <v>1.1731807794863687</v>
      </c>
      <c r="H163" s="1499">
        <v>1.1729657294346549</v>
      </c>
      <c r="I163" s="1499">
        <v>3.939776699211833</v>
      </c>
      <c r="J163" s="1499">
        <v>3.2520732430885175</v>
      </c>
      <c r="K163" s="113">
        <v>0.98381508196303258</v>
      </c>
    </row>
    <row r="164" spans="2:11" x14ac:dyDescent="0.3">
      <c r="B164" s="111" t="s">
        <v>1989</v>
      </c>
      <c r="C164" s="112" t="s">
        <v>1489</v>
      </c>
      <c r="D164" s="1499">
        <v>2.8554319835330086</v>
      </c>
      <c r="E164" s="1499">
        <v>2.305745716066737</v>
      </c>
      <c r="F164" s="1499">
        <v>1.293220927677009</v>
      </c>
      <c r="G164" s="1499">
        <v>1.1385199171587075</v>
      </c>
      <c r="H164" s="1499">
        <v>1.1383048671069937</v>
      </c>
      <c r="I164" s="1499">
        <v>3.9051158368841721</v>
      </c>
      <c r="J164" s="1499">
        <v>3.217412380760857</v>
      </c>
      <c r="K164" s="113">
        <v>0.94915421963537139</v>
      </c>
    </row>
    <row r="165" spans="2:11" x14ac:dyDescent="0.3">
      <c r="B165" s="114">
        <v>0</v>
      </c>
      <c r="C165" s="112" t="s">
        <v>1496</v>
      </c>
      <c r="D165" s="1499">
        <v>2.803440690041517</v>
      </c>
      <c r="E165" s="1499">
        <v>2.2537544225752453</v>
      </c>
      <c r="F165" s="1499">
        <v>1.2412296341855176</v>
      </c>
      <c r="G165" s="1499">
        <v>1.086528623667216</v>
      </c>
      <c r="H165" s="1499">
        <v>1.0863135736155021</v>
      </c>
      <c r="I165" s="1499">
        <v>3.8531245433926804</v>
      </c>
      <c r="J165" s="1499">
        <v>3.1654210872693653</v>
      </c>
      <c r="K165" s="113">
        <v>0.89716292614387982</v>
      </c>
    </row>
    <row r="166" spans="2:11" x14ac:dyDescent="0.3">
      <c r="B166" s="115"/>
      <c r="C166" s="112" t="s">
        <v>1500</v>
      </c>
      <c r="D166" s="1499">
        <v>2.7514493965500253</v>
      </c>
      <c r="E166" s="1499">
        <v>2.201763129083754</v>
      </c>
      <c r="F166" s="1499">
        <v>1.1892383406940259</v>
      </c>
      <c r="G166" s="1499">
        <v>1.0345373301757244</v>
      </c>
      <c r="H166" s="1499">
        <v>1.0343222801240106</v>
      </c>
      <c r="I166" s="1499">
        <v>3.8011332499011887</v>
      </c>
      <c r="J166" s="1499">
        <v>3.1134297937778737</v>
      </c>
      <c r="K166" s="113">
        <v>0.84517163265238826</v>
      </c>
    </row>
    <row r="167" spans="2:11" x14ac:dyDescent="0.3">
      <c r="B167" s="115"/>
      <c r="C167" s="112" t="s">
        <v>1504</v>
      </c>
      <c r="D167" s="1499">
        <v>2.831153494032558</v>
      </c>
      <c r="E167" s="1499">
        <v>2.2781480556515672</v>
      </c>
      <c r="F167" s="1499">
        <v>1.2674054237246877</v>
      </c>
      <c r="G167" s="1499">
        <v>1.1134741950528646</v>
      </c>
      <c r="H167" s="1499">
        <v>1.1156701443825112</v>
      </c>
      <c r="I167" s="1499">
        <v>3.8786713371128232</v>
      </c>
      <c r="J167" s="1499">
        <v>3.1912349416465982</v>
      </c>
      <c r="K167" s="113">
        <v>0.92254740058584039</v>
      </c>
    </row>
    <row r="168" spans="2:11" x14ac:dyDescent="0.3">
      <c r="B168" s="115"/>
      <c r="C168" s="112" t="s">
        <v>1508</v>
      </c>
      <c r="D168" s="1499">
        <v>2.8020467211847953</v>
      </c>
      <c r="E168" s="1499">
        <v>2.2490412828038044</v>
      </c>
      <c r="F168" s="1499">
        <v>1.2382986508769249</v>
      </c>
      <c r="G168" s="1499">
        <v>1.0843674222051018</v>
      </c>
      <c r="H168" s="1499">
        <v>1.0865633715347485</v>
      </c>
      <c r="I168" s="1499">
        <v>3.84956456426506</v>
      </c>
      <c r="J168" s="1499">
        <v>3.1621281687988354</v>
      </c>
      <c r="K168" s="113">
        <v>0.89344062773807764</v>
      </c>
    </row>
    <row r="169" spans="2:11" x14ac:dyDescent="0.3">
      <c r="B169" s="115"/>
      <c r="C169" s="112" t="s">
        <v>1513</v>
      </c>
      <c r="D169" s="1499">
        <v>2.7583865619131509</v>
      </c>
      <c r="E169" s="1499">
        <v>2.2053811235321601</v>
      </c>
      <c r="F169" s="1499">
        <v>1.1946384916052808</v>
      </c>
      <c r="G169" s="1499">
        <v>1.0407072629334577</v>
      </c>
      <c r="H169" s="1499">
        <v>1.0429032122631043</v>
      </c>
      <c r="I169" s="1499">
        <v>3.8059044049934161</v>
      </c>
      <c r="J169" s="1499">
        <v>3.1184680095271915</v>
      </c>
      <c r="K169" s="113">
        <v>0.84978046846643362</v>
      </c>
    </row>
    <row r="170" spans="2:11" x14ac:dyDescent="0.3">
      <c r="B170" s="115"/>
      <c r="C170" s="112" t="s">
        <v>1517</v>
      </c>
      <c r="D170" s="1499">
        <v>2.7147264026415066</v>
      </c>
      <c r="E170" s="1499">
        <v>2.1617209642605162</v>
      </c>
      <c r="F170" s="1499">
        <v>1.1509783323336369</v>
      </c>
      <c r="G170" s="1499">
        <v>0.99704710366181359</v>
      </c>
      <c r="H170" s="1499">
        <v>0.99924305299146032</v>
      </c>
      <c r="I170" s="1499">
        <v>3.7622442457217713</v>
      </c>
      <c r="J170" s="1499">
        <v>3.0748078502555467</v>
      </c>
      <c r="K170" s="113">
        <v>0.8061203091947895</v>
      </c>
    </row>
    <row r="171" spans="2:11" ht="14.5" thickBot="1" x14ac:dyDescent="0.35">
      <c r="B171" s="1233"/>
      <c r="C171" s="116" t="s">
        <v>1519</v>
      </c>
      <c r="D171" s="117">
        <v>2.8900928458606696</v>
      </c>
      <c r="E171" s="117">
        <v>2.3404065783943979</v>
      </c>
      <c r="F171" s="117">
        <v>1.3278817900046702</v>
      </c>
      <c r="G171" s="117">
        <v>1.1731807794863687</v>
      </c>
      <c r="H171" s="117">
        <v>1.1729657294346549</v>
      </c>
      <c r="I171" s="117">
        <v>3.939776699211833</v>
      </c>
      <c r="J171" s="117">
        <v>3.2520732430885175</v>
      </c>
      <c r="K171" s="118">
        <v>0.98381508196303258</v>
      </c>
    </row>
    <row r="173" spans="2:11" ht="14.5" thickBot="1" x14ac:dyDescent="0.35"/>
    <row r="174" spans="2:11" ht="25.5" thickBot="1" x14ac:dyDescent="0.55000000000000004">
      <c r="B174" s="88" t="s">
        <v>1960</v>
      </c>
      <c r="C174" s="89"/>
      <c r="D174" s="90">
        <v>5</v>
      </c>
      <c r="E174" s="91" t="s">
        <v>1991</v>
      </c>
      <c r="F174" s="92"/>
      <c r="G174" s="92"/>
      <c r="H174" s="92"/>
      <c r="I174" s="93"/>
      <c r="J174" s="89" t="s">
        <v>176</v>
      </c>
      <c r="K174" s="94" t="s">
        <v>230</v>
      </c>
    </row>
    <row r="175" spans="2:11" ht="14.5" thickBot="1" x14ac:dyDescent="0.35">
      <c r="B175" s="95" t="s">
        <v>1962</v>
      </c>
      <c r="C175" s="96" t="s">
        <v>1963</v>
      </c>
      <c r="D175" s="95" t="s">
        <v>1964</v>
      </c>
      <c r="E175" s="97" t="s">
        <v>1965</v>
      </c>
      <c r="F175" s="97" t="s">
        <v>1966</v>
      </c>
      <c r="G175" s="97" t="s">
        <v>1967</v>
      </c>
      <c r="H175" s="97" t="s">
        <v>1968</v>
      </c>
      <c r="I175" s="97" t="s">
        <v>1969</v>
      </c>
      <c r="J175" s="97" t="s">
        <v>1970</v>
      </c>
      <c r="K175" s="98" t="s">
        <v>1971</v>
      </c>
    </row>
    <row r="176" spans="2:11" ht="14.5" thickBot="1" x14ac:dyDescent="0.35">
      <c r="B176" s="99"/>
      <c r="C176" s="99"/>
      <c r="D176" s="100"/>
      <c r="E176" s="944"/>
      <c r="F176" s="944"/>
      <c r="G176" s="944"/>
      <c r="H176" s="944"/>
      <c r="I176" s="944"/>
      <c r="J176" s="944"/>
      <c r="K176" s="102"/>
    </row>
    <row r="177" spans="2:11" ht="90.5" thickBot="1" x14ac:dyDescent="0.45">
      <c r="B177" s="103" t="s">
        <v>1972</v>
      </c>
      <c r="C177" s="103" t="s">
        <v>1973</v>
      </c>
      <c r="D177" s="105" t="s">
        <v>1974</v>
      </c>
      <c r="E177" s="105" t="s">
        <v>1525</v>
      </c>
      <c r="F177" s="105" t="s">
        <v>1527</v>
      </c>
      <c r="G177" s="105" t="s">
        <v>1975</v>
      </c>
      <c r="H177" s="105" t="s">
        <v>1976</v>
      </c>
      <c r="I177" s="105" t="s">
        <v>1445</v>
      </c>
      <c r="J177" s="105" t="s">
        <v>1538</v>
      </c>
      <c r="K177" s="106" t="s">
        <v>1541</v>
      </c>
    </row>
    <row r="178" spans="2:11" x14ac:dyDescent="0.3">
      <c r="B178" s="120" t="s">
        <v>1992</v>
      </c>
      <c r="C178" s="108" t="s">
        <v>1416</v>
      </c>
      <c r="D178" s="109">
        <v>3.5826165815329047</v>
      </c>
      <c r="E178" s="109">
        <v>3.0868704145505239</v>
      </c>
      <c r="F178" s="109">
        <v>1.9701771108128709</v>
      </c>
      <c r="G178" s="109">
        <v>1.8359286026664428</v>
      </c>
      <c r="H178" s="109">
        <v>1.8146990986666249</v>
      </c>
      <c r="I178" s="109">
        <v>4.7233582010534914</v>
      </c>
      <c r="J178" s="109">
        <v>4.0230392670309625</v>
      </c>
      <c r="K178" s="110">
        <v>1.6103877264732389</v>
      </c>
    </row>
    <row r="179" spans="2:11" x14ac:dyDescent="0.3">
      <c r="B179" s="128"/>
      <c r="C179" s="112" t="s">
        <v>1483</v>
      </c>
      <c r="D179" s="1499">
        <v>3.9622718654289804</v>
      </c>
      <c r="E179" s="1499">
        <v>3.4812695765893418</v>
      </c>
      <c r="F179" s="1499">
        <v>2.3640480933240688</v>
      </c>
      <c r="G179" s="1499">
        <v>2.2360356329245907</v>
      </c>
      <c r="H179" s="1499">
        <v>2.2044818788237248</v>
      </c>
      <c r="I179" s="1499">
        <v>5.1075476118161456</v>
      </c>
      <c r="J179" s="1499">
        <v>4.4143845288849022</v>
      </c>
      <c r="K179" s="113">
        <v>2.0096330203366115</v>
      </c>
    </row>
    <row r="180" spans="2:11" x14ac:dyDescent="0.3">
      <c r="B180" s="128"/>
      <c r="C180" s="112" t="s">
        <v>1489</v>
      </c>
      <c r="D180" s="1499">
        <v>3.9276110031013194</v>
      </c>
      <c r="E180" s="1499">
        <v>3.4466087142616808</v>
      </c>
      <c r="F180" s="1499">
        <v>2.3293872309964074</v>
      </c>
      <c r="G180" s="1499">
        <v>2.2013747705969293</v>
      </c>
      <c r="H180" s="1499">
        <v>2.1698210164960634</v>
      </c>
      <c r="I180" s="1499">
        <v>5.0728867494884842</v>
      </c>
      <c r="J180" s="1499">
        <v>4.3797236665572417</v>
      </c>
      <c r="K180" s="113">
        <v>1.9749721580089503</v>
      </c>
    </row>
    <row r="181" spans="2:11" x14ac:dyDescent="0.3">
      <c r="B181" s="122">
        <v>0</v>
      </c>
      <c r="C181" s="112" t="s">
        <v>1496</v>
      </c>
      <c r="D181" s="1499">
        <v>3.8756197096098277</v>
      </c>
      <c r="E181" s="1499">
        <v>3.3946174207701896</v>
      </c>
      <c r="F181" s="1499">
        <v>2.2773959375049162</v>
      </c>
      <c r="G181" s="1499">
        <v>2.1493834771054381</v>
      </c>
      <c r="H181" s="1499">
        <v>2.1178297230045717</v>
      </c>
      <c r="I181" s="1499">
        <v>5.0208954559969925</v>
      </c>
      <c r="J181" s="1499">
        <v>4.32773237306575</v>
      </c>
      <c r="K181" s="113">
        <v>1.9229808645174586</v>
      </c>
    </row>
    <row r="182" spans="2:11" x14ac:dyDescent="0.3">
      <c r="B182" s="123"/>
      <c r="C182" s="112" t="s">
        <v>1500</v>
      </c>
      <c r="D182" s="1499">
        <v>3.823628416118336</v>
      </c>
      <c r="E182" s="1499">
        <v>3.3426261272786979</v>
      </c>
      <c r="F182" s="1499">
        <v>2.2254046440134245</v>
      </c>
      <c r="G182" s="1499">
        <v>2.0973921836139464</v>
      </c>
      <c r="H182" s="1499">
        <v>2.0658384295130805</v>
      </c>
      <c r="I182" s="1499">
        <v>4.9689041625055008</v>
      </c>
      <c r="J182" s="1499">
        <v>4.2757410795742583</v>
      </c>
      <c r="K182" s="113">
        <v>1.8709895710259672</v>
      </c>
    </row>
    <row r="183" spans="2:11" x14ac:dyDescent="0.3">
      <c r="B183" s="123"/>
      <c r="C183" s="112" t="s">
        <v>1504</v>
      </c>
      <c r="D183" s="1499">
        <v>3.8909655936181697</v>
      </c>
      <c r="E183" s="1499">
        <v>3.406147000320368</v>
      </c>
      <c r="F183" s="1499">
        <v>2.2874440687439455</v>
      </c>
      <c r="G183" s="1499">
        <v>2.1570316793581701</v>
      </c>
      <c r="H183" s="1499">
        <v>2.1275460815112441</v>
      </c>
      <c r="I183" s="1499">
        <v>5.0325795120686703</v>
      </c>
      <c r="J183" s="1499">
        <v>4.3392262568338413</v>
      </c>
      <c r="K183" s="113">
        <v>1.9336530620384511</v>
      </c>
    </row>
    <row r="184" spans="2:11" x14ac:dyDescent="0.3">
      <c r="B184" s="123"/>
      <c r="C184" s="112" t="s">
        <v>1508</v>
      </c>
      <c r="D184" s="1499">
        <v>3.861858820770407</v>
      </c>
      <c r="E184" s="1499">
        <v>3.3770402274726052</v>
      </c>
      <c r="F184" s="1499">
        <v>2.2583372958961827</v>
      </c>
      <c r="G184" s="1499">
        <v>2.1279249065104073</v>
      </c>
      <c r="H184" s="1499">
        <v>2.0984393086634814</v>
      </c>
      <c r="I184" s="1499">
        <v>5.0034727392209071</v>
      </c>
      <c r="J184" s="1499">
        <v>4.310119483986079</v>
      </c>
      <c r="K184" s="113">
        <v>1.9045462891906881</v>
      </c>
    </row>
    <row r="185" spans="2:11" x14ac:dyDescent="0.3">
      <c r="B185" s="123"/>
      <c r="C185" s="112" t="s">
        <v>1513</v>
      </c>
      <c r="D185" s="1499">
        <v>3.8181986614987631</v>
      </c>
      <c r="E185" s="1499">
        <v>3.3333800682009613</v>
      </c>
      <c r="F185" s="1499">
        <v>2.2146771366245388</v>
      </c>
      <c r="G185" s="1499">
        <v>2.084264747238763</v>
      </c>
      <c r="H185" s="1499">
        <v>2.0547791493918375</v>
      </c>
      <c r="I185" s="1499">
        <v>4.9598125799492632</v>
      </c>
      <c r="J185" s="1499">
        <v>4.2664593247144351</v>
      </c>
      <c r="K185" s="113">
        <v>1.8608861299190442</v>
      </c>
    </row>
    <row r="186" spans="2:11" x14ac:dyDescent="0.3">
      <c r="B186" s="123"/>
      <c r="C186" s="112" t="s">
        <v>1517</v>
      </c>
      <c r="D186" s="1499">
        <v>3.7745385022271192</v>
      </c>
      <c r="E186" s="1499">
        <v>3.289719908929317</v>
      </c>
      <c r="F186" s="1499">
        <v>2.1710169773528945</v>
      </c>
      <c r="G186" s="1499">
        <v>2.0406045879671191</v>
      </c>
      <c r="H186" s="1499">
        <v>2.0111189901201931</v>
      </c>
      <c r="I186" s="1499">
        <v>4.9161524206776193</v>
      </c>
      <c r="J186" s="1499">
        <v>4.2227991654427903</v>
      </c>
      <c r="K186" s="113">
        <v>1.8172259706473999</v>
      </c>
    </row>
    <row r="187" spans="2:11" ht="14.5" thickBot="1" x14ac:dyDescent="0.35">
      <c r="B187" s="124"/>
      <c r="C187" s="116" t="s">
        <v>1519</v>
      </c>
      <c r="D187" s="117">
        <v>3.9622718654289804</v>
      </c>
      <c r="E187" s="117">
        <v>3.4812695765893418</v>
      </c>
      <c r="F187" s="117">
        <v>2.3640480933240688</v>
      </c>
      <c r="G187" s="117">
        <v>2.2360356329245907</v>
      </c>
      <c r="H187" s="117">
        <v>2.2044818788237248</v>
      </c>
      <c r="I187" s="117">
        <v>5.1075476118161456</v>
      </c>
      <c r="J187" s="117">
        <v>4.4143845288849022</v>
      </c>
      <c r="K187" s="118">
        <v>2.0096330203366115</v>
      </c>
    </row>
    <row r="188" spans="2:11" x14ac:dyDescent="0.3">
      <c r="B188" s="120" t="s">
        <v>1993</v>
      </c>
      <c r="C188" s="1234" t="s">
        <v>1416</v>
      </c>
      <c r="D188" s="109">
        <v>2.9941694327052626</v>
      </c>
      <c r="E188" s="109">
        <v>2.4642703922058833</v>
      </c>
      <c r="F188" s="109">
        <v>1.3951247719210238</v>
      </c>
      <c r="G188" s="109">
        <v>1.2442293616117199</v>
      </c>
      <c r="H188" s="109">
        <v>1.2399568189657022</v>
      </c>
      <c r="I188" s="109">
        <v>4.0993261628640987</v>
      </c>
      <c r="J188" s="109">
        <v>3.3963088153464804</v>
      </c>
      <c r="K188" s="110">
        <v>1.0409571983499837</v>
      </c>
    </row>
    <row r="189" spans="2:11" x14ac:dyDescent="0.3">
      <c r="B189" s="121"/>
      <c r="C189" s="1500" t="s">
        <v>1483</v>
      </c>
      <c r="D189" s="1499">
        <v>3.3734331083552132</v>
      </c>
      <c r="E189" s="1499">
        <v>2.8675180280251182</v>
      </c>
      <c r="F189" s="1499">
        <v>1.8007256079607512</v>
      </c>
      <c r="G189" s="1499">
        <v>1.657213476272988</v>
      </c>
      <c r="H189" s="1499">
        <v>1.637770271644821</v>
      </c>
      <c r="I189" s="1499">
        <v>4.4953614824052144</v>
      </c>
      <c r="J189" s="1499">
        <v>3.7984696891781642</v>
      </c>
      <c r="K189" s="113">
        <v>1.4418856665095099</v>
      </c>
    </row>
    <row r="190" spans="2:11" x14ac:dyDescent="0.3">
      <c r="B190" s="128"/>
      <c r="C190" s="1500" t="s">
        <v>1489</v>
      </c>
      <c r="D190" s="1499">
        <v>3.3387722460275526</v>
      </c>
      <c r="E190" s="1499">
        <v>2.8328571656974573</v>
      </c>
      <c r="F190" s="1499">
        <v>1.76606474563309</v>
      </c>
      <c r="G190" s="1499">
        <v>1.6225526139453268</v>
      </c>
      <c r="H190" s="1499">
        <v>1.6031094093171598</v>
      </c>
      <c r="I190" s="1499">
        <v>4.460700620077553</v>
      </c>
      <c r="J190" s="1499">
        <v>3.7638088268505032</v>
      </c>
      <c r="K190" s="113">
        <v>1.4072248041818487</v>
      </c>
    </row>
    <row r="191" spans="2:11" x14ac:dyDescent="0.3">
      <c r="B191" s="122">
        <v>0</v>
      </c>
      <c r="C191" s="1500" t="s">
        <v>1496</v>
      </c>
      <c r="D191" s="1499">
        <v>3.286780952536061</v>
      </c>
      <c r="E191" s="1499">
        <v>2.780865872205966</v>
      </c>
      <c r="F191" s="1499">
        <v>1.7140734521415983</v>
      </c>
      <c r="G191" s="1499">
        <v>1.5705613204538351</v>
      </c>
      <c r="H191" s="1499">
        <v>1.5511181158256682</v>
      </c>
      <c r="I191" s="1499">
        <v>4.4087093265860613</v>
      </c>
      <c r="J191" s="1499">
        <v>3.7118175333590115</v>
      </c>
      <c r="K191" s="113">
        <v>1.355233510690357</v>
      </c>
    </row>
    <row r="192" spans="2:11" x14ac:dyDescent="0.3">
      <c r="B192" s="123"/>
      <c r="C192" s="1500" t="s">
        <v>1500</v>
      </c>
      <c r="D192" s="1499">
        <v>3.2347896590445693</v>
      </c>
      <c r="E192" s="1499">
        <v>2.7288745787144744</v>
      </c>
      <c r="F192" s="1499">
        <v>1.6620821586501067</v>
      </c>
      <c r="G192" s="1499">
        <v>1.5185700269623437</v>
      </c>
      <c r="H192" s="1499">
        <v>1.4991268223341767</v>
      </c>
      <c r="I192" s="1499">
        <v>4.3567180330945705</v>
      </c>
      <c r="J192" s="1499">
        <v>3.6598262398675199</v>
      </c>
      <c r="K192" s="113">
        <v>1.3032422171988653</v>
      </c>
    </row>
    <row r="193" spans="2:11" x14ac:dyDescent="0.3">
      <c r="B193" s="123"/>
      <c r="C193" s="1500" t="s">
        <v>1504</v>
      </c>
      <c r="D193" s="1499">
        <v>3.3015522310992345</v>
      </c>
      <c r="E193" s="1499">
        <v>2.7893183104942643</v>
      </c>
      <c r="F193" s="1499">
        <v>1.7235901663198243</v>
      </c>
      <c r="G193" s="1499">
        <v>1.5746501615036903</v>
      </c>
      <c r="H193" s="1499">
        <v>1.5576164378058555</v>
      </c>
      <c r="I193" s="1499">
        <v>4.4192906411596553</v>
      </c>
      <c r="J193" s="1499">
        <v>3.7221969569587978</v>
      </c>
      <c r="K193" s="113">
        <v>1.3585093659831564</v>
      </c>
    </row>
    <row r="194" spans="2:11" x14ac:dyDescent="0.3">
      <c r="B194" s="123"/>
      <c r="C194" s="1500" t="s">
        <v>1508</v>
      </c>
      <c r="D194" s="1499">
        <v>3.2724454582514717</v>
      </c>
      <c r="E194" s="1499">
        <v>2.7602115376465015</v>
      </c>
      <c r="F194" s="1499">
        <v>1.6944833934720613</v>
      </c>
      <c r="G194" s="1499">
        <v>1.5455433886559273</v>
      </c>
      <c r="H194" s="1499">
        <v>1.5285096649580927</v>
      </c>
      <c r="I194" s="1499">
        <v>4.3901838683118921</v>
      </c>
      <c r="J194" s="1499">
        <v>3.6930901841110351</v>
      </c>
      <c r="K194" s="113">
        <v>1.3294025931353937</v>
      </c>
    </row>
    <row r="195" spans="2:11" x14ac:dyDescent="0.3">
      <c r="B195" s="123"/>
      <c r="C195" s="1500" t="s">
        <v>1513</v>
      </c>
      <c r="D195" s="1499">
        <v>3.2287852989798278</v>
      </c>
      <c r="E195" s="1499">
        <v>2.7165513783748576</v>
      </c>
      <c r="F195" s="1499">
        <v>1.6508232342004174</v>
      </c>
      <c r="G195" s="1499">
        <v>1.5018832293842834</v>
      </c>
      <c r="H195" s="1499">
        <v>1.4848495056864486</v>
      </c>
      <c r="I195" s="1499">
        <v>4.3465237090402482</v>
      </c>
      <c r="J195" s="1499">
        <v>3.6494300248393907</v>
      </c>
      <c r="K195" s="113">
        <v>1.2857424338637493</v>
      </c>
    </row>
    <row r="196" spans="2:11" x14ac:dyDescent="0.3">
      <c r="B196" s="123"/>
      <c r="C196" s="1500" t="s">
        <v>1517</v>
      </c>
      <c r="D196" s="1499">
        <v>3.1851251397081839</v>
      </c>
      <c r="E196" s="1499">
        <v>2.6728912191032133</v>
      </c>
      <c r="F196" s="1499">
        <v>1.6071630749287731</v>
      </c>
      <c r="G196" s="1499">
        <v>1.4582230701126391</v>
      </c>
      <c r="H196" s="1499">
        <v>1.4411893464148042</v>
      </c>
      <c r="I196" s="1499">
        <v>4.3028635497686043</v>
      </c>
      <c r="J196" s="1499">
        <v>3.6057698655677468</v>
      </c>
      <c r="K196" s="113">
        <v>1.2420822745921052</v>
      </c>
    </row>
    <row r="197" spans="2:11" ht="14.5" thickBot="1" x14ac:dyDescent="0.35">
      <c r="B197" s="124"/>
      <c r="C197" s="125" t="s">
        <v>1519</v>
      </c>
      <c r="D197" s="117">
        <v>3.3734331083552132</v>
      </c>
      <c r="E197" s="117">
        <v>2.8675180280251182</v>
      </c>
      <c r="F197" s="117">
        <v>1.8007256079607512</v>
      </c>
      <c r="G197" s="117">
        <v>1.657213476272988</v>
      </c>
      <c r="H197" s="117">
        <v>1.637770271644821</v>
      </c>
      <c r="I197" s="117">
        <v>4.4953614824052144</v>
      </c>
      <c r="J197" s="117">
        <v>3.7984696891781642</v>
      </c>
      <c r="K197" s="118">
        <v>1.4418856665095099</v>
      </c>
    </row>
    <row r="198" spans="2:11" x14ac:dyDescent="0.3">
      <c r="B198" s="119" t="s">
        <v>1994</v>
      </c>
      <c r="C198" s="108" t="s">
        <v>1416</v>
      </c>
      <c r="D198" s="109">
        <v>3.6428885142697616</v>
      </c>
      <c r="E198" s="109">
        <v>3.1765445585930148</v>
      </c>
      <c r="F198" s="109">
        <v>2.0222089298045605</v>
      </c>
      <c r="G198" s="109">
        <v>1.8982542102341338</v>
      </c>
      <c r="H198" s="109">
        <v>1.865214633482779</v>
      </c>
      <c r="I198" s="109">
        <v>4.8414490907720937</v>
      </c>
      <c r="J198" s="109">
        <v>4.1292818702263876</v>
      </c>
      <c r="K198" s="110">
        <v>1.6676923253404468</v>
      </c>
    </row>
    <row r="199" spans="2:11" x14ac:dyDescent="0.3">
      <c r="B199" s="111"/>
      <c r="C199" s="112" t="s">
        <v>1483</v>
      </c>
      <c r="D199" s="1499">
        <v>4.0250744852106335</v>
      </c>
      <c r="E199" s="1499">
        <v>3.5774783648617206</v>
      </c>
      <c r="F199" s="1499">
        <v>2.4231691036576128</v>
      </c>
      <c r="G199" s="1499">
        <v>2.3066052264804937</v>
      </c>
      <c r="H199" s="1499">
        <v>2.2617366413781181</v>
      </c>
      <c r="I199" s="1499">
        <v>5.228790602437682</v>
      </c>
      <c r="J199" s="1499">
        <v>4.5250040626585619</v>
      </c>
      <c r="K199" s="113">
        <v>2.0734055744051809</v>
      </c>
    </row>
    <row r="200" spans="2:11" x14ac:dyDescent="0.3">
      <c r="B200" s="111"/>
      <c r="C200" s="112" t="s">
        <v>1489</v>
      </c>
      <c r="D200" s="1499">
        <v>3.990413622882973</v>
      </c>
      <c r="E200" s="1499">
        <v>3.54281750253406</v>
      </c>
      <c r="F200" s="1499">
        <v>2.3885082413299514</v>
      </c>
      <c r="G200" s="1499">
        <v>2.2719443641528327</v>
      </c>
      <c r="H200" s="1499">
        <v>2.2270757790504572</v>
      </c>
      <c r="I200" s="1499">
        <v>5.1941297401100215</v>
      </c>
      <c r="J200" s="1499">
        <v>4.4903432003309014</v>
      </c>
      <c r="K200" s="113">
        <v>2.0387447120775195</v>
      </c>
    </row>
    <row r="201" spans="2:11" x14ac:dyDescent="0.3">
      <c r="B201" s="114">
        <v>0</v>
      </c>
      <c r="C201" s="112" t="s">
        <v>1496</v>
      </c>
      <c r="D201" s="1499">
        <v>3.9384223293914813</v>
      </c>
      <c r="E201" s="1499">
        <v>3.4908262090425684</v>
      </c>
      <c r="F201" s="1499">
        <v>2.3365169478384598</v>
      </c>
      <c r="G201" s="1499">
        <v>2.2199530706613411</v>
      </c>
      <c r="H201" s="1499">
        <v>2.1750844855589655</v>
      </c>
      <c r="I201" s="1499">
        <v>5.1421384466185298</v>
      </c>
      <c r="J201" s="1499">
        <v>4.4383519068394097</v>
      </c>
      <c r="K201" s="113">
        <v>1.9867534185860281</v>
      </c>
    </row>
    <row r="202" spans="2:11" x14ac:dyDescent="0.3">
      <c r="B202" s="115"/>
      <c r="C202" s="112" t="s">
        <v>1500</v>
      </c>
      <c r="D202" s="1499">
        <v>3.8864310358999896</v>
      </c>
      <c r="E202" s="1499">
        <v>3.4388349155510767</v>
      </c>
      <c r="F202" s="1499">
        <v>2.2845256543469685</v>
      </c>
      <c r="G202" s="1499">
        <v>2.1679617771698494</v>
      </c>
      <c r="H202" s="1499">
        <v>2.1230931920674738</v>
      </c>
      <c r="I202" s="1499">
        <v>5.0901471531270381</v>
      </c>
      <c r="J202" s="1499">
        <v>4.386360613347918</v>
      </c>
      <c r="K202" s="113">
        <v>1.9347621250945364</v>
      </c>
    </row>
    <row r="203" spans="2:11" x14ac:dyDescent="0.3">
      <c r="B203" s="115"/>
      <c r="C203" s="112" t="s">
        <v>1504</v>
      </c>
      <c r="D203" s="1499">
        <v>3.9533965339008357</v>
      </c>
      <c r="E203" s="1499">
        <v>3.5010621202086258</v>
      </c>
      <c r="F203" s="1499">
        <v>2.3459300993787542</v>
      </c>
      <c r="G203" s="1499">
        <v>2.2265465788168384</v>
      </c>
      <c r="H203" s="1499">
        <v>2.1831038581623341</v>
      </c>
      <c r="I203" s="1499">
        <v>5.1531093961922547</v>
      </c>
      <c r="J203" s="1499">
        <v>4.4490099836544017</v>
      </c>
      <c r="K203" s="113">
        <v>1.994573348731765</v>
      </c>
    </row>
    <row r="204" spans="2:11" x14ac:dyDescent="0.3">
      <c r="B204" s="115"/>
      <c r="C204" s="112" t="s">
        <v>1508</v>
      </c>
      <c r="D204" s="1499">
        <v>3.9242897610530725</v>
      </c>
      <c r="E204" s="1499">
        <v>3.4719553473608631</v>
      </c>
      <c r="F204" s="1499">
        <v>2.3168233265309914</v>
      </c>
      <c r="G204" s="1499">
        <v>2.1974398059690756</v>
      </c>
      <c r="H204" s="1499">
        <v>2.1539970853145713</v>
      </c>
      <c r="I204" s="1499">
        <v>5.1240026233444915</v>
      </c>
      <c r="J204" s="1499">
        <v>4.4199032108066385</v>
      </c>
      <c r="K204" s="113">
        <v>1.9654665758840022</v>
      </c>
    </row>
    <row r="205" spans="2:11" x14ac:dyDescent="0.3">
      <c r="B205" s="115"/>
      <c r="C205" s="112" t="s">
        <v>1513</v>
      </c>
      <c r="D205" s="1499">
        <v>3.8806296017814286</v>
      </c>
      <c r="E205" s="1499">
        <v>3.4282951880892187</v>
      </c>
      <c r="F205" s="1499">
        <v>2.2731631672593471</v>
      </c>
      <c r="G205" s="1499">
        <v>2.1537796466974317</v>
      </c>
      <c r="H205" s="1499">
        <v>2.1103369260429274</v>
      </c>
      <c r="I205" s="1499">
        <v>5.0803424640728476</v>
      </c>
      <c r="J205" s="1499">
        <v>4.3762430515349946</v>
      </c>
      <c r="K205" s="113">
        <v>1.9218064166123581</v>
      </c>
    </row>
    <row r="206" spans="2:11" x14ac:dyDescent="0.3">
      <c r="B206" s="115"/>
      <c r="C206" s="112" t="s">
        <v>1517</v>
      </c>
      <c r="D206" s="1499">
        <v>3.8369694425097847</v>
      </c>
      <c r="E206" s="1499">
        <v>3.3846350288175748</v>
      </c>
      <c r="F206" s="1499">
        <v>2.2295030079877027</v>
      </c>
      <c r="G206" s="1499">
        <v>2.1101194874257874</v>
      </c>
      <c r="H206" s="1499">
        <v>2.0666767667712831</v>
      </c>
      <c r="I206" s="1499">
        <v>5.0366823048012037</v>
      </c>
      <c r="J206" s="1499">
        <v>4.3325828922633507</v>
      </c>
      <c r="K206" s="113">
        <v>1.8781462573407137</v>
      </c>
    </row>
    <row r="207" spans="2:11" ht="14.5" thickBot="1" x14ac:dyDescent="0.35">
      <c r="B207" s="1233"/>
      <c r="C207" s="116" t="s">
        <v>1519</v>
      </c>
      <c r="D207" s="117">
        <v>4.0250744852106335</v>
      </c>
      <c r="E207" s="117">
        <v>3.5774783648617206</v>
      </c>
      <c r="F207" s="117">
        <v>2.4231691036576128</v>
      </c>
      <c r="G207" s="117">
        <v>2.3066052264804937</v>
      </c>
      <c r="H207" s="117">
        <v>2.2617366413781181</v>
      </c>
      <c r="I207" s="117">
        <v>5.228790602437682</v>
      </c>
      <c r="J207" s="117">
        <v>4.5250040626585619</v>
      </c>
      <c r="K207" s="118">
        <v>2.0734055744051809</v>
      </c>
    </row>
    <row r="208" spans="2:11" x14ac:dyDescent="0.3">
      <c r="B208" s="120" t="s">
        <v>1519</v>
      </c>
      <c r="C208" s="108" t="s">
        <v>1416</v>
      </c>
      <c r="D208" s="129">
        <v>2.7758238219203091</v>
      </c>
      <c r="E208" s="109">
        <v>2.2147548677577222</v>
      </c>
      <c r="F208" s="109">
        <v>1.2149051111949767</v>
      </c>
      <c r="G208" s="109">
        <v>1.0443949494556124</v>
      </c>
      <c r="H208" s="109">
        <v>1.0544957181063543</v>
      </c>
      <c r="I208" s="109">
        <v>3.8232444696621903</v>
      </c>
      <c r="J208" s="109">
        <v>3.1318763269925798</v>
      </c>
      <c r="K208" s="110">
        <v>0.8438005066550921</v>
      </c>
    </row>
    <row r="209" spans="2:11" x14ac:dyDescent="0.3">
      <c r="B209" s="111"/>
      <c r="C209" s="112" t="s">
        <v>1483</v>
      </c>
      <c r="D209" s="130">
        <v>3.0696752585519436</v>
      </c>
      <c r="E209" s="1499">
        <v>2.5239029682647343</v>
      </c>
      <c r="F209" s="1499">
        <v>1.5028825383927906</v>
      </c>
      <c r="G209" s="1499">
        <v>1.3462549709068128</v>
      </c>
      <c r="H209" s="1499">
        <v>1.3439629107168669</v>
      </c>
      <c r="I209" s="1499">
        <v>4.1250704932612878</v>
      </c>
      <c r="J209" s="1499">
        <v>3.4369100586722876</v>
      </c>
      <c r="K209" s="113">
        <v>1.156850383989606</v>
      </c>
    </row>
    <row r="210" spans="2:11" x14ac:dyDescent="0.3">
      <c r="B210" s="111"/>
      <c r="C210" s="112" t="s">
        <v>1489</v>
      </c>
      <c r="D210" s="130">
        <v>3.0350143962242822</v>
      </c>
      <c r="E210" s="1499">
        <v>2.4892421059370733</v>
      </c>
      <c r="F210" s="1499">
        <v>1.4682216760651294</v>
      </c>
      <c r="G210" s="1499">
        <v>1.3115941085791518</v>
      </c>
      <c r="H210" s="1499">
        <v>1.3093020483892057</v>
      </c>
      <c r="I210" s="1499">
        <v>4.0904096309336264</v>
      </c>
      <c r="J210" s="1499">
        <v>3.4022491963446262</v>
      </c>
      <c r="K210" s="113">
        <v>1.1221895216619449</v>
      </c>
    </row>
    <row r="211" spans="2:11" x14ac:dyDescent="0.3">
      <c r="B211" s="114">
        <v>0</v>
      </c>
      <c r="C211" s="112" t="s">
        <v>1496</v>
      </c>
      <c r="D211" s="130">
        <v>2.9830231027327905</v>
      </c>
      <c r="E211" s="1499">
        <v>2.4372508124455816</v>
      </c>
      <c r="F211" s="1499">
        <v>1.416230382573638</v>
      </c>
      <c r="G211" s="1499">
        <v>1.2596028150876601</v>
      </c>
      <c r="H211" s="1499">
        <v>1.257310754897714</v>
      </c>
      <c r="I211" s="1499">
        <v>4.0384183374421347</v>
      </c>
      <c r="J211" s="1499">
        <v>3.350257902853135</v>
      </c>
      <c r="K211" s="113">
        <v>1.0701982281704534</v>
      </c>
    </row>
    <row r="212" spans="2:11" x14ac:dyDescent="0.3">
      <c r="B212" s="115"/>
      <c r="C212" s="112" t="s">
        <v>1500</v>
      </c>
      <c r="D212" s="130">
        <v>2.9310318092412992</v>
      </c>
      <c r="E212" s="1499">
        <v>2.3852595189540899</v>
      </c>
      <c r="F212" s="1499">
        <v>1.3642390890821463</v>
      </c>
      <c r="G212" s="1499">
        <v>1.2076115215961685</v>
      </c>
      <c r="H212" s="1499">
        <v>1.2053194614062226</v>
      </c>
      <c r="I212" s="1499">
        <v>3.9864270439506435</v>
      </c>
      <c r="J212" s="1499">
        <v>3.2982666093616433</v>
      </c>
      <c r="K212" s="113">
        <v>1.0182069346789617</v>
      </c>
    </row>
    <row r="213" spans="2:11" x14ac:dyDescent="0.3">
      <c r="B213" s="115"/>
      <c r="C213" s="112" t="s">
        <v>1504</v>
      </c>
      <c r="D213" s="130">
        <v>3.0110518107880915</v>
      </c>
      <c r="E213" s="1499">
        <v>2.4620788812492282</v>
      </c>
      <c r="F213" s="1499">
        <v>1.4407878902640294</v>
      </c>
      <c r="G213" s="1499">
        <v>1.2870945173657646</v>
      </c>
      <c r="H213" s="1499">
        <v>1.287146198797618</v>
      </c>
      <c r="I213" s="1499">
        <v>4.0640905233149569</v>
      </c>
      <c r="J213" s="1499">
        <v>3.3762392389287843</v>
      </c>
      <c r="K213" s="113">
        <v>1.0961267337651908</v>
      </c>
    </row>
    <row r="214" spans="2:11" x14ac:dyDescent="0.3">
      <c r="B214" s="115"/>
      <c r="C214" s="112" t="s">
        <v>1508</v>
      </c>
      <c r="D214" s="130">
        <v>2.9819450379403287</v>
      </c>
      <c r="E214" s="1499">
        <v>2.4329721084014651</v>
      </c>
      <c r="F214" s="1499">
        <v>1.4116811174162665</v>
      </c>
      <c r="G214" s="1499">
        <v>1.2579877445180019</v>
      </c>
      <c r="H214" s="1499">
        <v>1.2580394259498553</v>
      </c>
      <c r="I214" s="1499">
        <v>4.0349837504671946</v>
      </c>
      <c r="J214" s="1499">
        <v>3.3471324660810211</v>
      </c>
      <c r="K214" s="113">
        <v>1.067019960917428</v>
      </c>
    </row>
    <row r="215" spans="2:11" x14ac:dyDescent="0.3">
      <c r="B215" s="115"/>
      <c r="C215" s="112" t="s">
        <v>1513</v>
      </c>
      <c r="D215" s="130">
        <v>2.9382848786686844</v>
      </c>
      <c r="E215" s="1499">
        <v>2.3893119491298211</v>
      </c>
      <c r="F215" s="1499">
        <v>1.3680209581446225</v>
      </c>
      <c r="G215" s="1499">
        <v>1.2143275852463578</v>
      </c>
      <c r="H215" s="1499">
        <v>1.2143792666782112</v>
      </c>
      <c r="I215" s="1499">
        <v>3.9913235911955502</v>
      </c>
      <c r="J215" s="1499">
        <v>3.3034723068093772</v>
      </c>
      <c r="K215" s="113">
        <v>1.0233598016457839</v>
      </c>
    </row>
    <row r="216" spans="2:11" x14ac:dyDescent="0.3">
      <c r="B216" s="115"/>
      <c r="C216" s="112" t="s">
        <v>1517</v>
      </c>
      <c r="D216" s="130">
        <v>2.8946247193970405</v>
      </c>
      <c r="E216" s="1499">
        <v>2.3456517898581772</v>
      </c>
      <c r="F216" s="1499">
        <v>1.3243607988729784</v>
      </c>
      <c r="G216" s="1499">
        <v>1.1706674259747134</v>
      </c>
      <c r="H216" s="1499">
        <v>1.170719107406567</v>
      </c>
      <c r="I216" s="1499">
        <v>3.9476634319239063</v>
      </c>
      <c r="J216" s="1499">
        <v>3.2598121475377333</v>
      </c>
      <c r="K216" s="113">
        <v>0.97969964237413965</v>
      </c>
    </row>
    <row r="217" spans="2:11" ht="14.5" thickBot="1" x14ac:dyDescent="0.35">
      <c r="B217" s="1233"/>
      <c r="C217" s="116" t="s">
        <v>1519</v>
      </c>
      <c r="D217" s="131">
        <v>3.0696752585519436</v>
      </c>
      <c r="E217" s="117">
        <v>2.5239029682647343</v>
      </c>
      <c r="F217" s="117">
        <v>1.5028825383927906</v>
      </c>
      <c r="G217" s="117">
        <v>1.3462549709068128</v>
      </c>
      <c r="H217" s="117">
        <v>1.3439629107168669</v>
      </c>
      <c r="I217" s="117">
        <v>4.1250704932612878</v>
      </c>
      <c r="J217" s="117">
        <v>3.4369100586722876</v>
      </c>
      <c r="K217" s="118">
        <v>1.156850383989606</v>
      </c>
    </row>
    <row r="221" spans="2:11" ht="14.5" thickBot="1" x14ac:dyDescent="0.35"/>
    <row r="222" spans="2:11" x14ac:dyDescent="0.3">
      <c r="C222" s="132" t="s">
        <v>1995</v>
      </c>
      <c r="D222" s="132"/>
      <c r="E222" s="132"/>
      <c r="F222" s="132"/>
    </row>
    <row r="223" spans="2:11" x14ac:dyDescent="0.3">
      <c r="C223" s="1504" t="s">
        <v>1996</v>
      </c>
      <c r="D223" s="1504" t="s">
        <v>1997</v>
      </c>
      <c r="E223" s="1504" t="s">
        <v>1998</v>
      </c>
      <c r="F223" s="1504" t="s">
        <v>1999</v>
      </c>
    </row>
    <row r="224" spans="2:11" x14ac:dyDescent="0.3">
      <c r="C224" s="1498">
        <v>1</v>
      </c>
      <c r="D224" s="1505">
        <v>249.0603823237571</v>
      </c>
      <c r="E224" s="1506">
        <v>5.1596703236288149E-2</v>
      </c>
      <c r="F224" s="1507">
        <v>2.0638681294515262</v>
      </c>
      <c r="H224" s="134" t="s">
        <v>2000</v>
      </c>
    </row>
    <row r="225" spans="2:11" x14ac:dyDescent="0.3">
      <c r="C225" s="1498">
        <v>1.5</v>
      </c>
      <c r="D225" s="1505">
        <v>210.27459082530882</v>
      </c>
      <c r="E225" s="1506">
        <v>4.3561627745523947E-2</v>
      </c>
      <c r="F225" s="1507">
        <v>1.742465109820958</v>
      </c>
      <c r="H225" s="134" t="s">
        <v>2001</v>
      </c>
    </row>
    <row r="226" spans="2:11" x14ac:dyDescent="0.3">
      <c r="C226" s="1498">
        <v>2</v>
      </c>
      <c r="D226" s="1505">
        <v>182.75563381315652</v>
      </c>
      <c r="E226" s="1506">
        <v>3.7860650957965411E-2</v>
      </c>
      <c r="F226" s="1507">
        <v>1.5144260383186166</v>
      </c>
    </row>
    <row r="227" spans="2:11" x14ac:dyDescent="0.3">
      <c r="C227" s="1498">
        <v>2.5</v>
      </c>
      <c r="D227" s="1505">
        <v>161.41027244315319</v>
      </c>
      <c r="E227" s="1506">
        <v>3.3438629816731756E-2</v>
      </c>
      <c r="F227" s="1507">
        <v>1.3375451926692703</v>
      </c>
    </row>
    <row r="228" spans="2:11" x14ac:dyDescent="0.3">
      <c r="B228" s="2"/>
      <c r="C228" s="1498">
        <v>3</v>
      </c>
      <c r="D228" s="1505">
        <v>143.96984231470822</v>
      </c>
      <c r="E228" s="1506">
        <v>2.9825575467201198E-2</v>
      </c>
      <c r="F228" s="1507">
        <v>1.1930230186880482</v>
      </c>
      <c r="I228" s="135"/>
      <c r="J228" s="135"/>
      <c r="K228" s="135"/>
    </row>
    <row r="229" spans="2:11" x14ac:dyDescent="0.3">
      <c r="B229" s="136"/>
      <c r="C229" s="1498">
        <v>3.5</v>
      </c>
      <c r="D229" s="1505">
        <v>129.22416874733153</v>
      </c>
      <c r="E229" s="1506">
        <v>2.6770781541420978E-2</v>
      </c>
      <c r="F229" s="1507">
        <v>1.070831261656839</v>
      </c>
      <c r="I229" s="135"/>
      <c r="J229" s="135"/>
      <c r="K229" s="135"/>
    </row>
    <row r="230" spans="2:11" x14ac:dyDescent="0.3">
      <c r="B230" s="136"/>
      <c r="C230" s="1498">
        <v>4</v>
      </c>
      <c r="D230" s="1505">
        <v>116.45088530255593</v>
      </c>
      <c r="E230" s="1506">
        <v>2.4124598679642673E-2</v>
      </c>
      <c r="F230" s="1507">
        <v>0.9649839471857069</v>
      </c>
      <c r="I230" s="135"/>
      <c r="J230" s="135"/>
      <c r="K230" s="135"/>
    </row>
    <row r="231" spans="2:11" x14ac:dyDescent="0.3">
      <c r="B231" s="137"/>
      <c r="C231" s="1498">
        <v>4.5</v>
      </c>
      <c r="D231" s="1505">
        <v>105.18405081625997</v>
      </c>
      <c r="E231" s="1506">
        <v>2.1790499976436995E-2</v>
      </c>
      <c r="F231" s="1507">
        <v>0.87161999905747978</v>
      </c>
      <c r="I231" s="135"/>
      <c r="J231" s="135"/>
      <c r="K231" s="135"/>
    </row>
    <row r="232" spans="2:11" x14ac:dyDescent="0.3">
      <c r="C232" s="1498">
        <v>5</v>
      </c>
      <c r="D232" s="1505">
        <v>95.105523932552643</v>
      </c>
      <c r="E232" s="1506">
        <v>1.9702577538409018E-2</v>
      </c>
      <c r="F232" s="1507">
        <v>0.78810310153636076</v>
      </c>
      <c r="I232" s="135"/>
      <c r="J232" s="135"/>
      <c r="K232" s="135"/>
    </row>
    <row r="233" spans="2:11" x14ac:dyDescent="0.3">
      <c r="C233" s="1498">
        <v>5.5</v>
      </c>
      <c r="D233" s="1505">
        <v>85.988387370991774</v>
      </c>
      <c r="E233" s="1506">
        <v>1.7813821947726315E-2</v>
      </c>
      <c r="F233" s="1507">
        <v>0.71255287790905264</v>
      </c>
      <c r="I233" s="135"/>
      <c r="J233" s="135"/>
      <c r="K233" s="135"/>
    </row>
    <row r="234" spans="2:11" x14ac:dyDescent="0.3">
      <c r="C234" s="1498">
        <v>6</v>
      </c>
      <c r="D234" s="1505">
        <v>77.665093804107656</v>
      </c>
      <c r="E234" s="1506">
        <v>1.6089523188878463E-2</v>
      </c>
      <c r="F234" s="1507">
        <v>0.64358092755513852</v>
      </c>
      <c r="I234" s="135"/>
      <c r="J234" s="135"/>
      <c r="K234" s="135"/>
    </row>
    <row r="235" spans="2:11" x14ac:dyDescent="0.3">
      <c r="C235" s="1498">
        <v>6.5</v>
      </c>
      <c r="D235" s="1505">
        <v>70.008405944374871</v>
      </c>
      <c r="E235" s="1506">
        <v>1.4503322093442982E-2</v>
      </c>
      <c r="F235" s="1507">
        <v>0.5801328837377191</v>
      </c>
      <c r="I235" s="135"/>
      <c r="J235" s="135"/>
      <c r="K235" s="135"/>
    </row>
    <row r="236" spans="2:11" x14ac:dyDescent="0.3">
      <c r="C236" s="1498">
        <v>7</v>
      </c>
      <c r="D236" s="1505">
        <v>62.919420236730971</v>
      </c>
      <c r="E236" s="1506">
        <v>1.3034729263098236E-2</v>
      </c>
      <c r="F236" s="1507">
        <v>0.52138917052392952</v>
      </c>
      <c r="I236" s="135"/>
      <c r="J236" s="135"/>
      <c r="K236" s="135"/>
    </row>
    <row r="237" spans="2:11" x14ac:dyDescent="0.3">
      <c r="C237" s="1498">
        <v>7.5</v>
      </c>
      <c r="D237" s="1505">
        <v>56.319732434104353</v>
      </c>
      <c r="E237" s="1506">
        <v>1.166750204764481E-2</v>
      </c>
      <c r="F237" s="1507">
        <v>0.46670008190579237</v>
      </c>
      <c r="I237" s="135"/>
      <c r="J237" s="135"/>
      <c r="K237" s="135"/>
    </row>
    <row r="238" spans="2:11" x14ac:dyDescent="0.3">
      <c r="B238" s="2"/>
      <c r="C238" s="1498">
        <v>8</v>
      </c>
      <c r="D238" s="1505">
        <v>50.146136791955364</v>
      </c>
      <c r="E238" s="1506">
        <v>1.0388546401319927E-2</v>
      </c>
      <c r="F238" s="1507">
        <v>0.41554185605279709</v>
      </c>
      <c r="I238" s="135"/>
      <c r="J238" s="135"/>
      <c r="K238" s="135"/>
    </row>
    <row r="239" spans="2:11" x14ac:dyDescent="0.3">
      <c r="B239" s="136"/>
      <c r="C239" s="1498">
        <v>8.5</v>
      </c>
      <c r="D239" s="1505">
        <v>44.346935098829015</v>
      </c>
      <c r="E239" s="1506">
        <v>9.1871522414946182E-3</v>
      </c>
      <c r="F239" s="1507">
        <v>0.36748608965978469</v>
      </c>
      <c r="I239" s="135"/>
      <c r="J239" s="135"/>
      <c r="K239" s="135"/>
    </row>
    <row r="240" spans="2:11" x14ac:dyDescent="0.3">
      <c r="B240" s="136"/>
      <c r="C240" s="1498">
        <v>9</v>
      </c>
      <c r="D240" s="1505">
        <v>38.879302305659373</v>
      </c>
      <c r="E240" s="1506">
        <v>8.0544476981142497E-3</v>
      </c>
      <c r="F240" s="1507">
        <v>0.32217790792457007</v>
      </c>
      <c r="I240" s="135"/>
      <c r="J240" s="135"/>
      <c r="K240" s="135"/>
    </row>
    <row r="241" spans="2:11" x14ac:dyDescent="0.3">
      <c r="B241" s="137"/>
      <c r="C241" s="1498">
        <v>9.5</v>
      </c>
      <c r="D241" s="1505">
        <v>33.707365364219861</v>
      </c>
      <c r="E241" s="1506">
        <v>6.9830011154242665E-3</v>
      </c>
      <c r="F241" s="1507">
        <v>0.27932004461697069</v>
      </c>
      <c r="I241" s="135"/>
      <c r="J241" s="135"/>
      <c r="K241" s="135"/>
    </row>
    <row r="242" spans="2:11" x14ac:dyDescent="0.3">
      <c r="C242" s="1498">
        <v>10</v>
      </c>
      <c r="D242" s="1505">
        <v>28.800775421952004</v>
      </c>
      <c r="E242" s="1506">
        <v>5.9665252600862636E-3</v>
      </c>
      <c r="F242" s="1507">
        <v>0.23866101040345056</v>
      </c>
      <c r="I242" s="135"/>
      <c r="J242" s="135"/>
      <c r="K242" s="135"/>
    </row>
    <row r="243" spans="2:11" x14ac:dyDescent="0.3">
      <c r="I243" s="135"/>
      <c r="J243" s="135"/>
      <c r="K243" s="135"/>
    </row>
    <row r="244" spans="2:11" ht="14.5" thickBot="1" x14ac:dyDescent="0.35">
      <c r="I244" s="135"/>
      <c r="J244" s="135"/>
      <c r="K244" s="135"/>
    </row>
    <row r="245" spans="2:11" x14ac:dyDescent="0.3">
      <c r="C245" s="132" t="s">
        <v>2002</v>
      </c>
      <c r="D245" s="132"/>
      <c r="E245" s="132"/>
      <c r="F245" s="132"/>
      <c r="H245" s="134" t="s">
        <v>2003</v>
      </c>
      <c r="I245" s="135"/>
      <c r="J245" s="135"/>
      <c r="K245" s="135"/>
    </row>
    <row r="246" spans="2:11" x14ac:dyDescent="0.3">
      <c r="C246" s="1508" t="s">
        <v>1996</v>
      </c>
      <c r="D246" s="1508" t="s">
        <v>2004</v>
      </c>
      <c r="E246" s="1508" t="s">
        <v>2005</v>
      </c>
      <c r="F246" s="1508" t="s">
        <v>2006</v>
      </c>
      <c r="H246" s="134" t="s">
        <v>2007</v>
      </c>
      <c r="I246" s="135"/>
      <c r="J246" s="135"/>
      <c r="K246" s="135"/>
    </row>
    <row r="247" spans="2:11" x14ac:dyDescent="0.3">
      <c r="C247" s="1498" t="s">
        <v>376</v>
      </c>
      <c r="D247" s="1509">
        <v>295.83570022774654</v>
      </c>
      <c r="E247" s="1510">
        <v>6.1286932465671969E-2</v>
      </c>
      <c r="F247" s="1511">
        <v>2.4514772986268785</v>
      </c>
      <c r="I247" s="135"/>
      <c r="J247" s="135"/>
      <c r="K247" s="135"/>
    </row>
    <row r="248" spans="2:11" x14ac:dyDescent="0.3">
      <c r="B248" s="2"/>
      <c r="D248" s="135"/>
      <c r="E248" s="135"/>
      <c r="F248" s="135"/>
      <c r="G248" s="135"/>
      <c r="H248" s="135"/>
      <c r="I248" s="135"/>
      <c r="J248" s="135"/>
      <c r="K248" s="135"/>
    </row>
  </sheetData>
  <sheetProtection algorithmName="SHA-512" hashValue="uIc1W7i1VYbEqbxXV7WKu/EheMrNvJ5+T3Djh7ZR7OE7IaGHxebjcd/2CUVV0V3LrJBX3pnzaREEjjlK2o8RBw==" saltValue="4pV9J9UnqmUnYjLJKh6e0g==" spinCount="100000" sheet="1" objects="1" scenarios="1" autoFilter="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0"/>
  <dimension ref="B1:K257"/>
  <sheetViews>
    <sheetView topLeftCell="A199" workbookViewId="0">
      <selection activeCell="G9" sqref="G9"/>
    </sheetView>
  </sheetViews>
  <sheetFormatPr defaultColWidth="7.58203125" defaultRowHeight="14" x14ac:dyDescent="0.3"/>
  <sheetData>
    <row r="1" spans="2:11" ht="14.5" thickBot="1" x14ac:dyDescent="0.35"/>
    <row r="2" spans="2:11" ht="25.5" thickBot="1" x14ac:dyDescent="0.55000000000000004">
      <c r="B2" s="88" t="s">
        <v>1960</v>
      </c>
      <c r="C2" s="89"/>
      <c r="D2" s="90">
        <v>5</v>
      </c>
      <c r="E2" s="91" t="s">
        <v>1961</v>
      </c>
      <c r="F2" s="92"/>
      <c r="G2" s="92"/>
      <c r="H2" s="92"/>
      <c r="I2" s="93"/>
      <c r="J2" s="89" t="s">
        <v>176</v>
      </c>
      <c r="K2" s="94" t="s">
        <v>234</v>
      </c>
    </row>
    <row r="3" spans="2:11" ht="14.5" thickBot="1" x14ac:dyDescent="0.35">
      <c r="B3" s="95" t="s">
        <v>1962</v>
      </c>
      <c r="C3" s="96" t="s">
        <v>1963</v>
      </c>
      <c r="D3" s="95" t="s">
        <v>1964</v>
      </c>
      <c r="E3" s="97" t="s">
        <v>1965</v>
      </c>
      <c r="F3" s="97" t="s">
        <v>1966</v>
      </c>
      <c r="G3" s="97" t="s">
        <v>1967</v>
      </c>
      <c r="H3" s="97" t="s">
        <v>1968</v>
      </c>
      <c r="I3" s="97" t="s">
        <v>1969</v>
      </c>
      <c r="J3" s="97" t="s">
        <v>1970</v>
      </c>
      <c r="K3" s="98" t="s">
        <v>1971</v>
      </c>
    </row>
    <row r="4" spans="2:11" ht="18.5" thickBot="1" x14ac:dyDescent="0.45">
      <c r="B4" s="99" t="s">
        <v>34</v>
      </c>
      <c r="C4" s="100" t="s">
        <v>34</v>
      </c>
      <c r="D4" s="101" t="s">
        <v>34</v>
      </c>
      <c r="E4" s="944"/>
      <c r="F4" s="944"/>
      <c r="G4" s="944"/>
      <c r="H4" s="944"/>
      <c r="I4" s="944" t="s">
        <v>34</v>
      </c>
      <c r="J4" s="944" t="s">
        <v>34</v>
      </c>
      <c r="K4" s="102"/>
    </row>
    <row r="5" spans="2:11" ht="90.5" thickBot="1" x14ac:dyDescent="0.45">
      <c r="B5" s="103" t="s">
        <v>1972</v>
      </c>
      <c r="C5" s="104" t="s">
        <v>1973</v>
      </c>
      <c r="D5" s="105" t="s">
        <v>1974</v>
      </c>
      <c r="E5" s="105" t="s">
        <v>1525</v>
      </c>
      <c r="F5" s="105" t="s">
        <v>1527</v>
      </c>
      <c r="G5" s="105" t="s">
        <v>1975</v>
      </c>
      <c r="H5" s="105" t="s">
        <v>1976</v>
      </c>
      <c r="I5" s="105" t="s">
        <v>1445</v>
      </c>
      <c r="J5" s="105" t="s">
        <v>1538</v>
      </c>
      <c r="K5" s="106" t="s">
        <v>1541</v>
      </c>
    </row>
    <row r="6" spans="2:11" x14ac:dyDescent="0.3">
      <c r="B6" s="107" t="s">
        <v>1977</v>
      </c>
      <c r="C6" s="108" t="s">
        <v>1416</v>
      </c>
      <c r="D6" s="109">
        <v>4.0233349151497926</v>
      </c>
      <c r="E6" s="109">
        <v>3.1958084356446719</v>
      </c>
      <c r="F6" s="109">
        <v>2.0612906781316318</v>
      </c>
      <c r="G6" s="109">
        <v>1.8148980062964861</v>
      </c>
      <c r="H6" s="109">
        <v>1.9112673960824058</v>
      </c>
      <c r="I6" s="109">
        <v>3.8399007559411968</v>
      </c>
      <c r="J6" s="109">
        <v>3.3266116394333451</v>
      </c>
      <c r="K6" s="110">
        <v>1.4821015398715855</v>
      </c>
    </row>
    <row r="7" spans="2:11" x14ac:dyDescent="0.3">
      <c r="B7" s="111" t="s">
        <v>1978</v>
      </c>
      <c r="C7" s="112" t="s">
        <v>1483</v>
      </c>
      <c r="D7" s="1499">
        <v>4.4685317783695844</v>
      </c>
      <c r="E7" s="1499">
        <v>3.6619198015457091</v>
      </c>
      <c r="F7" s="1499">
        <v>2.5415077208193253</v>
      </c>
      <c r="G7" s="1499">
        <v>2.3084713614295969</v>
      </c>
      <c r="H7" s="1499">
        <v>2.3831027678156955</v>
      </c>
      <c r="I7" s="1499">
        <v>4.2962224332179302</v>
      </c>
      <c r="J7" s="1499">
        <v>3.7943340012853977</v>
      </c>
      <c r="K7" s="113">
        <v>1.9929129050886891</v>
      </c>
    </row>
    <row r="8" spans="2:11" x14ac:dyDescent="0.3">
      <c r="B8" s="111" t="s">
        <v>1979</v>
      </c>
      <c r="C8" s="112" t="s">
        <v>1489</v>
      </c>
      <c r="D8" s="1499">
        <v>4.4149138077569337</v>
      </c>
      <c r="E8" s="1499">
        <v>3.6083018309330579</v>
      </c>
      <c r="F8" s="1499">
        <v>2.4878897502066737</v>
      </c>
      <c r="G8" s="1499">
        <v>2.2548533908169448</v>
      </c>
      <c r="H8" s="1499">
        <v>2.3294847972030435</v>
      </c>
      <c r="I8" s="1499">
        <v>4.2426044626052786</v>
      </c>
      <c r="J8" s="1499">
        <v>3.7407160306727461</v>
      </c>
      <c r="K8" s="113">
        <v>1.9392949344760371</v>
      </c>
    </row>
    <row r="9" spans="2:11" x14ac:dyDescent="0.3">
      <c r="B9" s="114">
        <v>0</v>
      </c>
      <c r="C9" s="112" t="s">
        <v>1496</v>
      </c>
      <c r="D9" s="1499">
        <v>4.3344868518379558</v>
      </c>
      <c r="E9" s="1499">
        <v>3.52787487501408</v>
      </c>
      <c r="F9" s="1499">
        <v>2.4074627942876958</v>
      </c>
      <c r="G9" s="1499">
        <v>2.1744264348979674</v>
      </c>
      <c r="H9" s="1499">
        <v>2.2490578412840661</v>
      </c>
      <c r="I9" s="1499">
        <v>4.1621775066863007</v>
      </c>
      <c r="J9" s="1499">
        <v>3.6602890747537686</v>
      </c>
      <c r="K9" s="113">
        <v>1.8588679785570597</v>
      </c>
    </row>
    <row r="10" spans="2:11" x14ac:dyDescent="0.3">
      <c r="B10" s="115"/>
      <c r="C10" s="112" t="s">
        <v>1500</v>
      </c>
      <c r="D10" s="1499">
        <v>4.2540598959189779</v>
      </c>
      <c r="E10" s="1499">
        <v>3.4474479190951022</v>
      </c>
      <c r="F10" s="1499">
        <v>2.327035838368718</v>
      </c>
      <c r="G10" s="1499">
        <v>2.0939994789789895</v>
      </c>
      <c r="H10" s="1499">
        <v>2.1686308853650882</v>
      </c>
      <c r="I10" s="1499">
        <v>4.0817505507673228</v>
      </c>
      <c r="J10" s="1499">
        <v>3.5798621188347908</v>
      </c>
      <c r="K10" s="113">
        <v>1.7784410226380818</v>
      </c>
    </row>
    <row r="11" spans="2:11" x14ac:dyDescent="0.3">
      <c r="B11" s="115"/>
      <c r="C11" s="112" t="s">
        <v>1504</v>
      </c>
      <c r="D11" s="1499">
        <v>4.3751747530854068</v>
      </c>
      <c r="E11" s="1499">
        <v>3.5651339976464174</v>
      </c>
      <c r="F11" s="1499">
        <v>2.4405055832095939</v>
      </c>
      <c r="G11" s="1499">
        <v>2.2028390246032985</v>
      </c>
      <c r="H11" s="1499">
        <v>2.2796295275236944</v>
      </c>
      <c r="I11" s="1499">
        <v>4.2023465841720213</v>
      </c>
      <c r="J11" s="1499">
        <v>3.6969172061763276</v>
      </c>
      <c r="K11" s="113">
        <v>1.8880534422746189</v>
      </c>
    </row>
    <row r="12" spans="2:11" x14ac:dyDescent="0.3">
      <c r="B12" s="115"/>
      <c r="C12" s="112" t="s">
        <v>1508</v>
      </c>
      <c r="D12" s="1499">
        <v>4.331080476872148</v>
      </c>
      <c r="E12" s="1499">
        <v>3.5210397214331586</v>
      </c>
      <c r="F12" s="1499">
        <v>2.3964113069963346</v>
      </c>
      <c r="G12" s="1499">
        <v>2.1587447483900393</v>
      </c>
      <c r="H12" s="1499">
        <v>2.2355352513104352</v>
      </c>
      <c r="I12" s="1499">
        <v>4.1582523079587626</v>
      </c>
      <c r="J12" s="1499">
        <v>3.6528229299630688</v>
      </c>
      <c r="K12" s="113">
        <v>1.8439591660613597</v>
      </c>
    </row>
    <row r="13" spans="2:11" x14ac:dyDescent="0.3">
      <c r="B13" s="115"/>
      <c r="C13" s="112" t="s">
        <v>1513</v>
      </c>
      <c r="D13" s="1499">
        <v>4.2649390625522594</v>
      </c>
      <c r="E13" s="1499">
        <v>3.4548983071132695</v>
      </c>
      <c r="F13" s="1499">
        <v>2.330269892676446</v>
      </c>
      <c r="G13" s="1499">
        <v>2.0926033340701506</v>
      </c>
      <c r="H13" s="1499">
        <v>2.1693938369905466</v>
      </c>
      <c r="I13" s="1499">
        <v>4.0921108936388739</v>
      </c>
      <c r="J13" s="1499">
        <v>3.5866815156431802</v>
      </c>
      <c r="K13" s="113">
        <v>1.7778177517414711</v>
      </c>
    </row>
    <row r="14" spans="2:11" x14ac:dyDescent="0.3">
      <c r="B14" s="115"/>
      <c r="C14" s="112" t="s">
        <v>1517</v>
      </c>
      <c r="D14" s="1499">
        <v>4.1987976482323708</v>
      </c>
      <c r="E14" s="1499">
        <v>3.3887568927933804</v>
      </c>
      <c r="F14" s="1499">
        <v>2.264128478356557</v>
      </c>
      <c r="G14" s="1499">
        <v>2.0264619197502616</v>
      </c>
      <c r="H14" s="1499">
        <v>2.1032524226706575</v>
      </c>
      <c r="I14" s="1499">
        <v>4.0259694793189844</v>
      </c>
      <c r="J14" s="1499">
        <v>3.5205401013232911</v>
      </c>
      <c r="K14" s="113">
        <v>1.711676337421582</v>
      </c>
    </row>
    <row r="15" spans="2:11" ht="14.5" thickBot="1" x14ac:dyDescent="0.35">
      <c r="B15" s="1233"/>
      <c r="C15" s="116" t="s">
        <v>1519</v>
      </c>
      <c r="D15" s="117">
        <v>4.4685317783695844</v>
      </c>
      <c r="E15" s="117">
        <v>3.6619198015457091</v>
      </c>
      <c r="F15" s="117">
        <v>2.5415077208193253</v>
      </c>
      <c r="G15" s="117">
        <v>2.3084713614295969</v>
      </c>
      <c r="H15" s="117">
        <v>2.3831027678156955</v>
      </c>
      <c r="I15" s="117">
        <v>4.2962224332179302</v>
      </c>
      <c r="J15" s="117">
        <v>3.7943340012853977</v>
      </c>
      <c r="K15" s="118">
        <v>1.9929129050886891</v>
      </c>
    </row>
    <row r="16" spans="2:11" x14ac:dyDescent="0.3">
      <c r="B16" s="107" t="s">
        <v>1977</v>
      </c>
      <c r="C16" s="108" t="s">
        <v>1416</v>
      </c>
      <c r="D16" s="109">
        <v>3.8915907829494785</v>
      </c>
      <c r="E16" s="109">
        <v>3.0640643034443578</v>
      </c>
      <c r="F16" s="109">
        <v>1.9295465459313177</v>
      </c>
      <c r="G16" s="109">
        <v>1.6831538740961722</v>
      </c>
      <c r="H16" s="109">
        <v>1.7795232638820917</v>
      </c>
      <c r="I16" s="109">
        <v>3.7081566237408827</v>
      </c>
      <c r="J16" s="109">
        <v>3.194867507233031</v>
      </c>
      <c r="K16" s="110">
        <v>1.3503574076712717</v>
      </c>
    </row>
    <row r="17" spans="2:11" x14ac:dyDescent="0.3">
      <c r="B17" s="111" t="s">
        <v>1978</v>
      </c>
      <c r="C17" s="112" t="s">
        <v>1483</v>
      </c>
      <c r="D17" s="1499">
        <v>4.3367876461692711</v>
      </c>
      <c r="E17" s="1499">
        <v>3.5301756693453954</v>
      </c>
      <c r="F17" s="1499">
        <v>2.4097635886190116</v>
      </c>
      <c r="G17" s="1499">
        <v>2.1767272292292827</v>
      </c>
      <c r="H17" s="1499">
        <v>2.2513586356153814</v>
      </c>
      <c r="I17" s="1499">
        <v>4.164478301017617</v>
      </c>
      <c r="J17" s="1499">
        <v>3.662589869085084</v>
      </c>
      <c r="K17" s="113">
        <v>1.8611687728883752</v>
      </c>
    </row>
    <row r="18" spans="2:11" x14ac:dyDescent="0.3">
      <c r="B18" s="111" t="s">
        <v>1980</v>
      </c>
      <c r="C18" s="112" t="s">
        <v>1489</v>
      </c>
      <c r="D18" s="1499">
        <v>4.2831696755566195</v>
      </c>
      <c r="E18" s="1499">
        <v>3.4765576987327433</v>
      </c>
      <c r="F18" s="1499">
        <v>2.3561456180063596</v>
      </c>
      <c r="G18" s="1499">
        <v>2.1231092586166311</v>
      </c>
      <c r="H18" s="1499">
        <v>2.1977406650027298</v>
      </c>
      <c r="I18" s="1499">
        <v>4.1108603304049645</v>
      </c>
      <c r="J18" s="1499">
        <v>3.6089718984724319</v>
      </c>
      <c r="K18" s="113">
        <v>1.8075508022757232</v>
      </c>
    </row>
    <row r="19" spans="2:11" x14ac:dyDescent="0.3">
      <c r="B19" s="114">
        <v>0</v>
      </c>
      <c r="C19" s="112" t="s">
        <v>1496</v>
      </c>
      <c r="D19" s="1499">
        <v>4.2027427196376417</v>
      </c>
      <c r="E19" s="1499">
        <v>3.3961307428137655</v>
      </c>
      <c r="F19" s="1499">
        <v>2.2757186620873822</v>
      </c>
      <c r="G19" s="1499">
        <v>2.0426823026976533</v>
      </c>
      <c r="H19" s="1499">
        <v>2.1173137090837519</v>
      </c>
      <c r="I19" s="1499">
        <v>4.0304333744859866</v>
      </c>
      <c r="J19" s="1499">
        <v>3.5285449425534541</v>
      </c>
      <c r="K19" s="113">
        <v>1.7271238463567458</v>
      </c>
    </row>
    <row r="20" spans="2:11" x14ac:dyDescent="0.3">
      <c r="B20" s="115"/>
      <c r="C20" s="112" t="s">
        <v>1500</v>
      </c>
      <c r="D20" s="1499">
        <v>4.1223157637186638</v>
      </c>
      <c r="E20" s="1499">
        <v>3.3157037868947885</v>
      </c>
      <c r="F20" s="1499">
        <v>2.1952917061684043</v>
      </c>
      <c r="G20" s="1499">
        <v>1.9622553467786756</v>
      </c>
      <c r="H20" s="1499">
        <v>2.0368867531647741</v>
      </c>
      <c r="I20" s="1499">
        <v>3.9500064185670096</v>
      </c>
      <c r="J20" s="1499">
        <v>3.4481179866344771</v>
      </c>
      <c r="K20" s="113">
        <v>1.6466968904377679</v>
      </c>
    </row>
    <row r="21" spans="2:11" x14ac:dyDescent="0.3">
      <c r="B21" s="115"/>
      <c r="C21" s="112" t="s">
        <v>1504</v>
      </c>
      <c r="D21" s="1499">
        <v>4.2434306208850936</v>
      </c>
      <c r="E21" s="1499">
        <v>3.4333898654461037</v>
      </c>
      <c r="F21" s="1499">
        <v>2.3087614510092798</v>
      </c>
      <c r="G21" s="1499">
        <v>2.0710948924029848</v>
      </c>
      <c r="H21" s="1499">
        <v>2.1478853953233803</v>
      </c>
      <c r="I21" s="1499">
        <v>4.0706024519717072</v>
      </c>
      <c r="J21" s="1499">
        <v>3.5651730739760139</v>
      </c>
      <c r="K21" s="113">
        <v>1.756309310074305</v>
      </c>
    </row>
    <row r="22" spans="2:11" x14ac:dyDescent="0.3">
      <c r="B22" s="115"/>
      <c r="C22" s="112" t="s">
        <v>1508</v>
      </c>
      <c r="D22" s="1499">
        <v>4.1993363446718339</v>
      </c>
      <c r="E22" s="1499">
        <v>3.3892955892328445</v>
      </c>
      <c r="F22" s="1499">
        <v>2.2646671747960205</v>
      </c>
      <c r="G22" s="1499">
        <v>2.0270006161897252</v>
      </c>
      <c r="H22" s="1499">
        <v>2.1037911191101211</v>
      </c>
      <c r="I22" s="1499">
        <v>4.0265081757584484</v>
      </c>
      <c r="J22" s="1499">
        <v>3.5210787977627547</v>
      </c>
      <c r="K22" s="113">
        <v>1.7122150338610458</v>
      </c>
    </row>
    <row r="23" spans="2:11" x14ac:dyDescent="0.3">
      <c r="B23" s="115"/>
      <c r="C23" s="112" t="s">
        <v>1513</v>
      </c>
      <c r="D23" s="1499">
        <v>4.1331949303519453</v>
      </c>
      <c r="E23" s="1499">
        <v>3.3231541749129554</v>
      </c>
      <c r="F23" s="1499">
        <v>2.1985257604761319</v>
      </c>
      <c r="G23" s="1499">
        <v>1.9608592018698368</v>
      </c>
      <c r="H23" s="1499">
        <v>2.0376497047902324</v>
      </c>
      <c r="I23" s="1499">
        <v>3.9603667614385594</v>
      </c>
      <c r="J23" s="1499">
        <v>3.4549373834428656</v>
      </c>
      <c r="K23" s="113">
        <v>1.6460736195411572</v>
      </c>
    </row>
    <row r="24" spans="2:11" x14ac:dyDescent="0.3">
      <c r="B24" s="115"/>
      <c r="C24" s="112" t="s">
        <v>1517</v>
      </c>
      <c r="D24" s="1499">
        <v>4.0670535160320567</v>
      </c>
      <c r="E24" s="1499">
        <v>3.2570127605930668</v>
      </c>
      <c r="F24" s="1499">
        <v>2.1323843461562428</v>
      </c>
      <c r="G24" s="1499">
        <v>1.8947177875499477</v>
      </c>
      <c r="H24" s="1499">
        <v>1.9715082904703434</v>
      </c>
      <c r="I24" s="1499">
        <v>3.8942253471186707</v>
      </c>
      <c r="J24" s="1499">
        <v>3.3887959691229774</v>
      </c>
      <c r="K24" s="113">
        <v>1.5799322052212681</v>
      </c>
    </row>
    <row r="25" spans="2:11" ht="14.5" thickBot="1" x14ac:dyDescent="0.35">
      <c r="B25" s="1233"/>
      <c r="C25" s="116" t="s">
        <v>1519</v>
      </c>
      <c r="D25" s="117">
        <v>4.3367876461692711</v>
      </c>
      <c r="E25" s="117">
        <v>3.5301756693453954</v>
      </c>
      <c r="F25" s="117">
        <v>2.4097635886190116</v>
      </c>
      <c r="G25" s="117">
        <v>2.1767272292292827</v>
      </c>
      <c r="H25" s="117">
        <v>2.2513586356153814</v>
      </c>
      <c r="I25" s="117">
        <v>4.164478301017617</v>
      </c>
      <c r="J25" s="117">
        <v>3.662589869085084</v>
      </c>
      <c r="K25" s="118">
        <v>1.8611687728883752</v>
      </c>
    </row>
    <row r="26" spans="2:11" x14ac:dyDescent="0.3">
      <c r="B26" s="107" t="s">
        <v>1977</v>
      </c>
      <c r="C26" s="108" t="s">
        <v>1416</v>
      </c>
      <c r="D26" s="109">
        <v>3.6939745846490077</v>
      </c>
      <c r="E26" s="109">
        <v>2.866448105143887</v>
      </c>
      <c r="F26" s="109">
        <v>1.7319303476308467</v>
      </c>
      <c r="G26" s="109">
        <v>1.4855376757957013</v>
      </c>
      <c r="H26" s="109">
        <v>1.5819070655816208</v>
      </c>
      <c r="I26" s="109">
        <v>3.510540425440412</v>
      </c>
      <c r="J26" s="109">
        <v>2.9972513089325603</v>
      </c>
      <c r="K26" s="110">
        <v>1.1527412093708007</v>
      </c>
    </row>
    <row r="27" spans="2:11" x14ac:dyDescent="0.3">
      <c r="B27" s="111" t="s">
        <v>1978</v>
      </c>
      <c r="C27" s="112" t="s">
        <v>1483</v>
      </c>
      <c r="D27" s="1499">
        <v>4.1391714478688</v>
      </c>
      <c r="E27" s="1499">
        <v>3.3325594710449242</v>
      </c>
      <c r="F27" s="1499">
        <v>2.2121473903185405</v>
      </c>
      <c r="G27" s="1499">
        <v>1.9791110309288118</v>
      </c>
      <c r="H27" s="1499">
        <v>2.0537424373149107</v>
      </c>
      <c r="I27" s="1499">
        <v>3.9668621027171453</v>
      </c>
      <c r="J27" s="1499">
        <v>3.4649736707846128</v>
      </c>
      <c r="K27" s="113">
        <v>1.6635525745879041</v>
      </c>
    </row>
    <row r="28" spans="2:11" x14ac:dyDescent="0.3">
      <c r="B28" s="111" t="s">
        <v>1981</v>
      </c>
      <c r="C28" s="112" t="s">
        <v>1489</v>
      </c>
      <c r="D28" s="1499">
        <v>4.0855534772561484</v>
      </c>
      <c r="E28" s="1499">
        <v>3.2789415004322726</v>
      </c>
      <c r="F28" s="1499">
        <v>2.1585294197058889</v>
      </c>
      <c r="G28" s="1499">
        <v>1.92549306031616</v>
      </c>
      <c r="H28" s="1499">
        <v>2.0001244667022586</v>
      </c>
      <c r="I28" s="1499">
        <v>3.9132441321044942</v>
      </c>
      <c r="J28" s="1499">
        <v>3.4113557001719612</v>
      </c>
      <c r="K28" s="113">
        <v>1.6099346039752522</v>
      </c>
    </row>
    <row r="29" spans="2:11" x14ac:dyDescent="0.3">
      <c r="B29" s="114">
        <v>0</v>
      </c>
      <c r="C29" s="112" t="s">
        <v>1496</v>
      </c>
      <c r="D29" s="1499">
        <v>4.0051265213371705</v>
      </c>
      <c r="E29" s="1499">
        <v>3.1985145445132948</v>
      </c>
      <c r="F29" s="1499">
        <v>2.078102463786911</v>
      </c>
      <c r="G29" s="1499">
        <v>1.8450661043971823</v>
      </c>
      <c r="H29" s="1499">
        <v>1.919697510783281</v>
      </c>
      <c r="I29" s="1499">
        <v>3.8328171761855163</v>
      </c>
      <c r="J29" s="1499">
        <v>3.3309287442529834</v>
      </c>
      <c r="K29" s="113">
        <v>1.5295076480562746</v>
      </c>
    </row>
    <row r="30" spans="2:11" x14ac:dyDescent="0.3">
      <c r="B30" s="115"/>
      <c r="C30" s="112" t="s">
        <v>1500</v>
      </c>
      <c r="D30" s="1499">
        <v>3.9246995654181926</v>
      </c>
      <c r="E30" s="1499">
        <v>3.1180875885943169</v>
      </c>
      <c r="F30" s="1499">
        <v>1.9976755078679336</v>
      </c>
      <c r="G30" s="1499">
        <v>1.7646391484782049</v>
      </c>
      <c r="H30" s="1499">
        <v>1.8392705548643034</v>
      </c>
      <c r="I30" s="1499">
        <v>3.7523902202665385</v>
      </c>
      <c r="J30" s="1499">
        <v>3.2505017883340055</v>
      </c>
      <c r="K30" s="113">
        <v>1.4490806921372972</v>
      </c>
    </row>
    <row r="31" spans="2:11" x14ac:dyDescent="0.3">
      <c r="B31" s="115"/>
      <c r="C31" s="112" t="s">
        <v>1504</v>
      </c>
      <c r="D31" s="1499">
        <v>4.0458144225846224</v>
      </c>
      <c r="E31" s="1499">
        <v>3.235773667145633</v>
      </c>
      <c r="F31" s="1499">
        <v>2.111145252708809</v>
      </c>
      <c r="G31" s="1499">
        <v>1.8734786941025137</v>
      </c>
      <c r="H31" s="1499">
        <v>1.9502691970229094</v>
      </c>
      <c r="I31" s="1499">
        <v>3.8729862536712369</v>
      </c>
      <c r="J31" s="1499">
        <v>3.3675568756755427</v>
      </c>
      <c r="K31" s="113">
        <v>1.5586931117738341</v>
      </c>
    </row>
    <row r="32" spans="2:11" x14ac:dyDescent="0.3">
      <c r="B32" s="115"/>
      <c r="C32" s="112" t="s">
        <v>1508</v>
      </c>
      <c r="D32" s="1499">
        <v>4.0017201463713636</v>
      </c>
      <c r="E32" s="1499">
        <v>3.1916793909323733</v>
      </c>
      <c r="F32" s="1499">
        <v>2.0670509764955498</v>
      </c>
      <c r="G32" s="1499">
        <v>1.8293844178892542</v>
      </c>
      <c r="H32" s="1499">
        <v>1.9061749208096501</v>
      </c>
      <c r="I32" s="1499">
        <v>3.8288919774579777</v>
      </c>
      <c r="J32" s="1499">
        <v>3.323462599462284</v>
      </c>
      <c r="K32" s="113">
        <v>1.5145988355605746</v>
      </c>
    </row>
    <row r="33" spans="2:11" x14ac:dyDescent="0.3">
      <c r="B33" s="115"/>
      <c r="C33" s="112" t="s">
        <v>1513</v>
      </c>
      <c r="D33" s="1499">
        <v>3.9355787320514746</v>
      </c>
      <c r="E33" s="1499">
        <v>3.1255379766124847</v>
      </c>
      <c r="F33" s="1499">
        <v>2.0009095621756607</v>
      </c>
      <c r="G33" s="1499">
        <v>1.7632430035693656</v>
      </c>
      <c r="H33" s="1499">
        <v>1.8400335064897615</v>
      </c>
      <c r="I33" s="1499">
        <v>3.7627505631380886</v>
      </c>
      <c r="J33" s="1499">
        <v>3.2573211851423949</v>
      </c>
      <c r="K33" s="113">
        <v>1.448457421240686</v>
      </c>
    </row>
    <row r="34" spans="2:11" x14ac:dyDescent="0.3">
      <c r="B34" s="115"/>
      <c r="C34" s="112" t="s">
        <v>1517</v>
      </c>
      <c r="D34" s="1499">
        <v>3.8694373177315855</v>
      </c>
      <c r="E34" s="1499">
        <v>3.0593965622925956</v>
      </c>
      <c r="F34" s="1499">
        <v>1.9347681478557719</v>
      </c>
      <c r="G34" s="1499">
        <v>1.697101589249477</v>
      </c>
      <c r="H34" s="1499">
        <v>1.7738920921698724</v>
      </c>
      <c r="I34" s="1499">
        <v>3.6966091488181996</v>
      </c>
      <c r="J34" s="1499">
        <v>3.1911797708225063</v>
      </c>
      <c r="K34" s="113">
        <v>1.3823160069207974</v>
      </c>
    </row>
    <row r="35" spans="2:11" ht="14.5" thickBot="1" x14ac:dyDescent="0.35">
      <c r="B35" s="1233"/>
      <c r="C35" s="116" t="s">
        <v>1519</v>
      </c>
      <c r="D35" s="117">
        <v>4.1391714478688</v>
      </c>
      <c r="E35" s="117">
        <v>3.3325594710449242</v>
      </c>
      <c r="F35" s="117">
        <v>2.2121473903185405</v>
      </c>
      <c r="G35" s="117">
        <v>1.9791110309288118</v>
      </c>
      <c r="H35" s="117">
        <v>2.0537424373149107</v>
      </c>
      <c r="I35" s="117">
        <v>3.9668621027171453</v>
      </c>
      <c r="J35" s="117">
        <v>3.4649736707846128</v>
      </c>
      <c r="K35" s="118">
        <v>1.6635525745879041</v>
      </c>
    </row>
    <row r="36" spans="2:11" x14ac:dyDescent="0.3">
      <c r="B36" s="107" t="s">
        <v>1977</v>
      </c>
      <c r="C36" s="108" t="s">
        <v>1416</v>
      </c>
      <c r="D36" s="109">
        <v>3.4963583863485366</v>
      </c>
      <c r="E36" s="109">
        <v>2.6688319068434159</v>
      </c>
      <c r="F36" s="109">
        <v>1.534314149330376</v>
      </c>
      <c r="G36" s="109">
        <v>1.2879214774952306</v>
      </c>
      <c r="H36" s="109">
        <v>1.38429086728115</v>
      </c>
      <c r="I36" s="109">
        <v>3.3129242271399404</v>
      </c>
      <c r="J36" s="109">
        <v>2.7996351106320891</v>
      </c>
      <c r="K36" s="110">
        <v>0.95512501107032999</v>
      </c>
    </row>
    <row r="37" spans="2:11" x14ac:dyDescent="0.3">
      <c r="B37" s="111" t="s">
        <v>1978</v>
      </c>
      <c r="C37" s="112" t="s">
        <v>1483</v>
      </c>
      <c r="D37" s="1499">
        <v>3.9415552495683293</v>
      </c>
      <c r="E37" s="1499">
        <v>3.1349432727444535</v>
      </c>
      <c r="F37" s="1499">
        <v>2.0145311920180697</v>
      </c>
      <c r="G37" s="1499">
        <v>1.7814948326283409</v>
      </c>
      <c r="H37" s="1499">
        <v>1.8561262390144395</v>
      </c>
      <c r="I37" s="1499">
        <v>3.7692459044166746</v>
      </c>
      <c r="J37" s="1499">
        <v>3.2673574724841421</v>
      </c>
      <c r="K37" s="113">
        <v>1.4659363762874331</v>
      </c>
    </row>
    <row r="38" spans="2:11" x14ac:dyDescent="0.3">
      <c r="B38" s="111" t="s">
        <v>1982</v>
      </c>
      <c r="C38" s="112" t="s">
        <v>1489</v>
      </c>
      <c r="D38" s="1499">
        <v>3.8879372789556772</v>
      </c>
      <c r="E38" s="1499">
        <v>3.0813253021318014</v>
      </c>
      <c r="F38" s="1499">
        <v>1.9609132214054179</v>
      </c>
      <c r="G38" s="1499">
        <v>1.7278768620156892</v>
      </c>
      <c r="H38" s="1499">
        <v>1.8025082684017879</v>
      </c>
      <c r="I38" s="1499">
        <v>3.7156279338040226</v>
      </c>
      <c r="J38" s="1499">
        <v>3.21373950187149</v>
      </c>
      <c r="K38" s="113">
        <v>1.4123184056747815</v>
      </c>
    </row>
    <row r="39" spans="2:11" x14ac:dyDescent="0.3">
      <c r="B39" s="114">
        <v>0</v>
      </c>
      <c r="C39" s="112" t="s">
        <v>1496</v>
      </c>
      <c r="D39" s="1499">
        <v>3.8075103230366998</v>
      </c>
      <c r="E39" s="1499">
        <v>3.000898346212824</v>
      </c>
      <c r="F39" s="1499">
        <v>1.8804862654864403</v>
      </c>
      <c r="G39" s="1499">
        <v>1.6474499060967116</v>
      </c>
      <c r="H39" s="1499">
        <v>1.7220813124828103</v>
      </c>
      <c r="I39" s="1499">
        <v>3.6352009778850456</v>
      </c>
      <c r="J39" s="1499">
        <v>3.1333125459525126</v>
      </c>
      <c r="K39" s="113">
        <v>1.3318914497558036</v>
      </c>
    </row>
    <row r="40" spans="2:11" x14ac:dyDescent="0.3">
      <c r="B40" s="115"/>
      <c r="C40" s="112" t="s">
        <v>1500</v>
      </c>
      <c r="D40" s="1499">
        <v>3.7270833671177219</v>
      </c>
      <c r="E40" s="1499">
        <v>2.9204713902938462</v>
      </c>
      <c r="F40" s="1499">
        <v>1.8000593095674624</v>
      </c>
      <c r="G40" s="1499">
        <v>1.5670229501777337</v>
      </c>
      <c r="H40" s="1499">
        <v>1.6416543565638324</v>
      </c>
      <c r="I40" s="1499">
        <v>3.5547740219660677</v>
      </c>
      <c r="J40" s="1499">
        <v>3.0528855900335348</v>
      </c>
      <c r="K40" s="113">
        <v>1.251464493836826</v>
      </c>
    </row>
    <row r="41" spans="2:11" x14ac:dyDescent="0.3">
      <c r="B41" s="115"/>
      <c r="C41" s="112" t="s">
        <v>1504</v>
      </c>
      <c r="D41" s="1499">
        <v>3.8481982242841517</v>
      </c>
      <c r="E41" s="1499">
        <v>3.0381574688451614</v>
      </c>
      <c r="F41" s="1499">
        <v>1.9135290544083379</v>
      </c>
      <c r="G41" s="1499">
        <v>1.6758624958020425</v>
      </c>
      <c r="H41" s="1499">
        <v>1.7526529987224384</v>
      </c>
      <c r="I41" s="1499">
        <v>3.6753700553707658</v>
      </c>
      <c r="J41" s="1499">
        <v>3.169940677375072</v>
      </c>
      <c r="K41" s="113">
        <v>1.3610769134733629</v>
      </c>
    </row>
    <row r="42" spans="2:11" x14ac:dyDescent="0.3">
      <c r="B42" s="115"/>
      <c r="C42" s="112" t="s">
        <v>1508</v>
      </c>
      <c r="D42" s="1499">
        <v>3.804103948070892</v>
      </c>
      <c r="E42" s="1499">
        <v>2.9940631926319021</v>
      </c>
      <c r="F42" s="1499">
        <v>1.8694347781950789</v>
      </c>
      <c r="G42" s="1499">
        <v>1.6317682195887835</v>
      </c>
      <c r="H42" s="1499">
        <v>1.7085587225091794</v>
      </c>
      <c r="I42" s="1499">
        <v>3.6312757791575061</v>
      </c>
      <c r="J42" s="1499">
        <v>3.1258464011618128</v>
      </c>
      <c r="K42" s="113">
        <v>1.3169826372601039</v>
      </c>
    </row>
    <row r="43" spans="2:11" x14ac:dyDescent="0.3">
      <c r="B43" s="115"/>
      <c r="C43" s="112" t="s">
        <v>1513</v>
      </c>
      <c r="D43" s="1499">
        <v>3.7379625337510038</v>
      </c>
      <c r="E43" s="1499">
        <v>2.9279217783120139</v>
      </c>
      <c r="F43" s="1499">
        <v>1.8032933638751902</v>
      </c>
      <c r="G43" s="1499">
        <v>1.5656268052688946</v>
      </c>
      <c r="H43" s="1499">
        <v>1.6424173081892905</v>
      </c>
      <c r="I43" s="1499">
        <v>3.5651343648376179</v>
      </c>
      <c r="J43" s="1499">
        <v>3.0597049868419242</v>
      </c>
      <c r="K43" s="113">
        <v>1.2508412229402153</v>
      </c>
    </row>
    <row r="44" spans="2:11" x14ac:dyDescent="0.3">
      <c r="B44" s="115"/>
      <c r="C44" s="112" t="s">
        <v>1517</v>
      </c>
      <c r="D44" s="1499">
        <v>3.6718211194311148</v>
      </c>
      <c r="E44" s="1499">
        <v>2.8617803639921249</v>
      </c>
      <c r="F44" s="1499">
        <v>1.7371519495553012</v>
      </c>
      <c r="G44" s="1499">
        <v>1.499485390949006</v>
      </c>
      <c r="H44" s="1499">
        <v>1.5762758938694017</v>
      </c>
      <c r="I44" s="1499">
        <v>3.4989929505177289</v>
      </c>
      <c r="J44" s="1499">
        <v>2.9935635725220355</v>
      </c>
      <c r="K44" s="113">
        <v>1.1846998086203264</v>
      </c>
    </row>
    <row r="45" spans="2:11" ht="14.5" thickBot="1" x14ac:dyDescent="0.35">
      <c r="B45" s="1233"/>
      <c r="C45" s="116" t="s">
        <v>1519</v>
      </c>
      <c r="D45" s="117">
        <v>3.9415552495683293</v>
      </c>
      <c r="E45" s="117">
        <v>3.1349432727444535</v>
      </c>
      <c r="F45" s="117">
        <v>2.0145311920180697</v>
      </c>
      <c r="G45" s="117">
        <v>1.7814948326283409</v>
      </c>
      <c r="H45" s="117">
        <v>1.8561262390144395</v>
      </c>
      <c r="I45" s="117">
        <v>3.7692459044166746</v>
      </c>
      <c r="J45" s="117">
        <v>3.2673574724841421</v>
      </c>
      <c r="K45" s="118">
        <v>1.4659363762874331</v>
      </c>
    </row>
    <row r="46" spans="2:11" x14ac:dyDescent="0.3">
      <c r="B46" s="119" t="s">
        <v>1983</v>
      </c>
      <c r="C46" s="108" t="s">
        <v>1416</v>
      </c>
      <c r="D46" s="109">
        <v>3.68232598976559</v>
      </c>
      <c r="E46" s="109">
        <v>2.8299100040581773</v>
      </c>
      <c r="F46" s="109">
        <v>1.7448893417596565</v>
      </c>
      <c r="G46" s="109">
        <v>1.4722664601557396</v>
      </c>
      <c r="H46" s="109">
        <v>1.5842022636136692</v>
      </c>
      <c r="I46" s="109">
        <v>3.467913909312105</v>
      </c>
      <c r="J46" s="109">
        <v>2.9588563826958345</v>
      </c>
      <c r="K46" s="110">
        <v>1.1885780503116967</v>
      </c>
    </row>
    <row r="47" spans="2:11" x14ac:dyDescent="0.3">
      <c r="B47" s="111"/>
      <c r="C47" s="112" t="s">
        <v>1483</v>
      </c>
      <c r="D47" s="1499">
        <v>4.1286682359392683</v>
      </c>
      <c r="E47" s="1499">
        <v>3.3068798717007888</v>
      </c>
      <c r="F47" s="1499">
        <v>2.2124060962366845</v>
      </c>
      <c r="G47" s="1499">
        <v>1.9843946653313704</v>
      </c>
      <c r="H47" s="1499">
        <v>2.0620708012921583</v>
      </c>
      <c r="I47" s="1499">
        <v>3.9332438148875104</v>
      </c>
      <c r="J47" s="1499">
        <v>3.4342627920796231</v>
      </c>
      <c r="K47" s="113">
        <v>1.6739366639642383</v>
      </c>
    </row>
    <row r="48" spans="2:11" x14ac:dyDescent="0.3">
      <c r="B48" s="111" t="s">
        <v>1979</v>
      </c>
      <c r="C48" s="112" t="s">
        <v>1489</v>
      </c>
      <c r="D48" s="1499">
        <v>4.0750502653266167</v>
      </c>
      <c r="E48" s="1499">
        <v>3.2532619010881376</v>
      </c>
      <c r="F48" s="1499">
        <v>2.1587881256240324</v>
      </c>
      <c r="G48" s="1499">
        <v>1.9307766947187186</v>
      </c>
      <c r="H48" s="1499">
        <v>2.0084528306795066</v>
      </c>
      <c r="I48" s="1499">
        <v>3.8796258442748592</v>
      </c>
      <c r="J48" s="1499">
        <v>3.3806448214669715</v>
      </c>
      <c r="K48" s="113">
        <v>1.6203186933515865</v>
      </c>
    </row>
    <row r="49" spans="2:11" x14ac:dyDescent="0.3">
      <c r="B49" s="114">
        <v>0</v>
      </c>
      <c r="C49" s="112" t="s">
        <v>1496</v>
      </c>
      <c r="D49" s="1499">
        <v>3.9946233094076389</v>
      </c>
      <c r="E49" s="1499">
        <v>3.1728349451691598</v>
      </c>
      <c r="F49" s="1499">
        <v>2.078361169705055</v>
      </c>
      <c r="G49" s="1499">
        <v>1.850349738799741</v>
      </c>
      <c r="H49" s="1499">
        <v>1.9280258747605288</v>
      </c>
      <c r="I49" s="1499">
        <v>3.7991988883558814</v>
      </c>
      <c r="J49" s="1499">
        <v>3.3002178655479937</v>
      </c>
      <c r="K49" s="113">
        <v>1.5398917374326089</v>
      </c>
    </row>
    <row r="50" spans="2:11" x14ac:dyDescent="0.3">
      <c r="B50" s="115"/>
      <c r="C50" s="112" t="s">
        <v>1500</v>
      </c>
      <c r="D50" s="1499">
        <v>3.9141963534886615</v>
      </c>
      <c r="E50" s="1499">
        <v>3.0924079892501819</v>
      </c>
      <c r="F50" s="1499">
        <v>1.9979342137860769</v>
      </c>
      <c r="G50" s="1499">
        <v>1.7699227828807631</v>
      </c>
      <c r="H50" s="1499">
        <v>1.8475989188415509</v>
      </c>
      <c r="I50" s="1499">
        <v>3.7187719324369035</v>
      </c>
      <c r="J50" s="1499">
        <v>3.2197909096290158</v>
      </c>
      <c r="K50" s="113">
        <v>1.459464781513631</v>
      </c>
    </row>
    <row r="51" spans="2:11" x14ac:dyDescent="0.3">
      <c r="B51" s="115"/>
      <c r="C51" s="112" t="s">
        <v>1504</v>
      </c>
      <c r="D51" s="1499">
        <v>4.0371737821805</v>
      </c>
      <c r="E51" s="1499">
        <v>3.2082398839642452</v>
      </c>
      <c r="F51" s="1499">
        <v>2.1149483563402058</v>
      </c>
      <c r="G51" s="1499">
        <v>1.8801792446721592</v>
      </c>
      <c r="H51" s="1499">
        <v>1.9646982898962186</v>
      </c>
      <c r="I51" s="1499">
        <v>3.8372386022529175</v>
      </c>
      <c r="J51" s="1499">
        <v>3.336259258441761</v>
      </c>
      <c r="K51" s="113">
        <v>1.5639860029639876</v>
      </c>
    </row>
    <row r="52" spans="2:11" x14ac:dyDescent="0.3">
      <c r="B52" s="115"/>
      <c r="C52" s="112" t="s">
        <v>1508</v>
      </c>
      <c r="D52" s="1499">
        <v>3.9930795059672413</v>
      </c>
      <c r="E52" s="1499">
        <v>3.1641456077509864</v>
      </c>
      <c r="F52" s="1499">
        <v>2.0708540801269466</v>
      </c>
      <c r="G52" s="1499">
        <v>1.8360849684589</v>
      </c>
      <c r="H52" s="1499">
        <v>1.9206040136829594</v>
      </c>
      <c r="I52" s="1499">
        <v>3.7931443260396591</v>
      </c>
      <c r="J52" s="1499">
        <v>3.2921649822285022</v>
      </c>
      <c r="K52" s="113">
        <v>1.5198917267507284</v>
      </c>
    </row>
    <row r="53" spans="2:11" x14ac:dyDescent="0.3">
      <c r="B53" s="115"/>
      <c r="C53" s="112" t="s">
        <v>1513</v>
      </c>
      <c r="D53" s="1499">
        <v>3.9269380916473526</v>
      </c>
      <c r="E53" s="1499">
        <v>3.0980041934310973</v>
      </c>
      <c r="F53" s="1499">
        <v>2.004712665807058</v>
      </c>
      <c r="G53" s="1499">
        <v>1.7699435541390114</v>
      </c>
      <c r="H53" s="1499">
        <v>1.8544625993630708</v>
      </c>
      <c r="I53" s="1499">
        <v>3.7270029117197701</v>
      </c>
      <c r="J53" s="1499">
        <v>3.2260235679086131</v>
      </c>
      <c r="K53" s="113">
        <v>1.4537503124308395</v>
      </c>
    </row>
    <row r="54" spans="2:11" x14ac:dyDescent="0.3">
      <c r="B54" s="115"/>
      <c r="C54" s="112" t="s">
        <v>1517</v>
      </c>
      <c r="D54" s="1499">
        <v>3.8607966773274636</v>
      </c>
      <c r="E54" s="1499">
        <v>3.0318627791112083</v>
      </c>
      <c r="F54" s="1499">
        <v>1.9385712514871691</v>
      </c>
      <c r="G54" s="1499">
        <v>1.7038021398191223</v>
      </c>
      <c r="H54" s="1499">
        <v>1.7883211850431819</v>
      </c>
      <c r="I54" s="1499">
        <v>3.660861497399881</v>
      </c>
      <c r="J54" s="1499">
        <v>3.1598821535887245</v>
      </c>
      <c r="K54" s="113">
        <v>1.3876088981109507</v>
      </c>
    </row>
    <row r="55" spans="2:11" ht="14.5" thickBot="1" x14ac:dyDescent="0.35">
      <c r="B55" s="1233"/>
      <c r="C55" s="116" t="s">
        <v>1519</v>
      </c>
      <c r="D55" s="117">
        <v>4.1286682359392683</v>
      </c>
      <c r="E55" s="117">
        <v>3.3068798717007888</v>
      </c>
      <c r="F55" s="117">
        <v>2.2124060962366845</v>
      </c>
      <c r="G55" s="117">
        <v>1.9843946653313704</v>
      </c>
      <c r="H55" s="117">
        <v>2.0620708012921583</v>
      </c>
      <c r="I55" s="117">
        <v>3.9332438148875104</v>
      </c>
      <c r="J55" s="117">
        <v>3.4342627920796231</v>
      </c>
      <c r="K55" s="118">
        <v>1.6739366639642383</v>
      </c>
    </row>
    <row r="56" spans="2:11" x14ac:dyDescent="0.3">
      <c r="B56" s="119" t="s">
        <v>1983</v>
      </c>
      <c r="C56" s="108" t="s">
        <v>1416</v>
      </c>
      <c r="D56" s="109">
        <v>3.6157307679945787</v>
      </c>
      <c r="E56" s="109">
        <v>2.763314782287166</v>
      </c>
      <c r="F56" s="109">
        <v>1.6782941199886452</v>
      </c>
      <c r="G56" s="109">
        <v>1.4056712383847283</v>
      </c>
      <c r="H56" s="109">
        <v>1.5176070418426579</v>
      </c>
      <c r="I56" s="109">
        <v>3.4013186875410937</v>
      </c>
      <c r="J56" s="109">
        <v>2.8922611609248228</v>
      </c>
      <c r="K56" s="110">
        <v>1.1219828285406854</v>
      </c>
    </row>
    <row r="57" spans="2:11" x14ac:dyDescent="0.3">
      <c r="B57" s="111"/>
      <c r="C57" s="112" t="s">
        <v>1483</v>
      </c>
      <c r="D57" s="1499">
        <v>4.0620730141682575</v>
      </c>
      <c r="E57" s="1499">
        <v>3.2402846499297779</v>
      </c>
      <c r="F57" s="1499">
        <v>2.1458108744656732</v>
      </c>
      <c r="G57" s="1499">
        <v>1.9177994435603591</v>
      </c>
      <c r="H57" s="1499">
        <v>1.9954755795211472</v>
      </c>
      <c r="I57" s="1499">
        <v>3.8666485931164996</v>
      </c>
      <c r="J57" s="1499">
        <v>3.3676675703086123</v>
      </c>
      <c r="K57" s="113">
        <v>1.6073414421932273</v>
      </c>
    </row>
    <row r="58" spans="2:11" x14ac:dyDescent="0.3">
      <c r="B58" s="111" t="s">
        <v>1980</v>
      </c>
      <c r="C58" s="112" t="s">
        <v>1489</v>
      </c>
      <c r="D58" s="1499">
        <v>4.0084550435556059</v>
      </c>
      <c r="E58" s="1499">
        <v>3.1866666793171259</v>
      </c>
      <c r="F58" s="1499">
        <v>2.0921929038530211</v>
      </c>
      <c r="G58" s="1499">
        <v>1.8641814729477073</v>
      </c>
      <c r="H58" s="1499">
        <v>1.9418576089084951</v>
      </c>
      <c r="I58" s="1499">
        <v>3.8130306225038475</v>
      </c>
      <c r="J58" s="1499">
        <v>3.3140495996959602</v>
      </c>
      <c r="K58" s="113">
        <v>1.5537234715805752</v>
      </c>
    </row>
    <row r="59" spans="2:11" x14ac:dyDescent="0.3">
      <c r="B59" s="114">
        <v>0</v>
      </c>
      <c r="C59" s="112" t="s">
        <v>1496</v>
      </c>
      <c r="D59" s="1499">
        <v>3.9280280876366276</v>
      </c>
      <c r="E59" s="1499">
        <v>3.106239723398148</v>
      </c>
      <c r="F59" s="1499">
        <v>2.0117659479340437</v>
      </c>
      <c r="G59" s="1499">
        <v>1.7837545170287297</v>
      </c>
      <c r="H59" s="1499">
        <v>1.8614306529895177</v>
      </c>
      <c r="I59" s="1499">
        <v>3.7326036665848696</v>
      </c>
      <c r="J59" s="1499">
        <v>3.2336226437769824</v>
      </c>
      <c r="K59" s="113">
        <v>1.4732965156615976</v>
      </c>
    </row>
    <row r="60" spans="2:11" x14ac:dyDescent="0.3">
      <c r="B60" s="115"/>
      <c r="C60" s="112" t="s">
        <v>1500</v>
      </c>
      <c r="D60" s="1499">
        <v>3.8476011317176502</v>
      </c>
      <c r="E60" s="1499">
        <v>3.0258127674791711</v>
      </c>
      <c r="F60" s="1499">
        <v>1.9313389920150656</v>
      </c>
      <c r="G60" s="1499">
        <v>1.7033275611097518</v>
      </c>
      <c r="H60" s="1499">
        <v>1.7810036970705398</v>
      </c>
      <c r="I60" s="1499">
        <v>3.6521767106658927</v>
      </c>
      <c r="J60" s="1499">
        <v>3.153195687858005</v>
      </c>
      <c r="K60" s="113">
        <v>1.3928695597426199</v>
      </c>
    </row>
    <row r="61" spans="2:11" x14ac:dyDescent="0.3">
      <c r="B61" s="115"/>
      <c r="C61" s="112" t="s">
        <v>1504</v>
      </c>
      <c r="D61" s="1499">
        <v>3.9705785604094892</v>
      </c>
      <c r="E61" s="1499">
        <v>3.1416446621932339</v>
      </c>
      <c r="F61" s="1499">
        <v>2.0483531345691945</v>
      </c>
      <c r="G61" s="1499">
        <v>1.8135840229011482</v>
      </c>
      <c r="H61" s="1499">
        <v>1.8981030681252076</v>
      </c>
      <c r="I61" s="1499">
        <v>3.7706433804819066</v>
      </c>
      <c r="J61" s="1499">
        <v>3.2696640366707501</v>
      </c>
      <c r="K61" s="113">
        <v>1.4973907811929763</v>
      </c>
    </row>
    <row r="62" spans="2:11" x14ac:dyDescent="0.3">
      <c r="B62" s="115"/>
      <c r="C62" s="112" t="s">
        <v>1508</v>
      </c>
      <c r="D62" s="1499">
        <v>3.92648428419623</v>
      </c>
      <c r="E62" s="1499">
        <v>3.0975503859799747</v>
      </c>
      <c r="F62" s="1499">
        <v>2.0042588583559353</v>
      </c>
      <c r="G62" s="1499">
        <v>1.7694897466878887</v>
      </c>
      <c r="H62" s="1499">
        <v>1.8540087919119481</v>
      </c>
      <c r="I62" s="1499">
        <v>3.7265491042686474</v>
      </c>
      <c r="J62" s="1499">
        <v>3.2255697604574909</v>
      </c>
      <c r="K62" s="113">
        <v>1.4532965049797171</v>
      </c>
    </row>
    <row r="63" spans="2:11" x14ac:dyDescent="0.3">
      <c r="B63" s="115"/>
      <c r="C63" s="112" t="s">
        <v>1513</v>
      </c>
      <c r="D63" s="1499">
        <v>3.8603428698763409</v>
      </c>
      <c r="E63" s="1499">
        <v>3.031408971660086</v>
      </c>
      <c r="F63" s="1499">
        <v>1.9381174440360467</v>
      </c>
      <c r="G63" s="1499">
        <v>1.7033483323680001</v>
      </c>
      <c r="H63" s="1499">
        <v>1.7878673775920595</v>
      </c>
      <c r="I63" s="1499">
        <v>3.6604076899487583</v>
      </c>
      <c r="J63" s="1499">
        <v>3.1594283461376018</v>
      </c>
      <c r="K63" s="113">
        <v>1.3871550906598284</v>
      </c>
    </row>
    <row r="64" spans="2:11" x14ac:dyDescent="0.3">
      <c r="B64" s="115"/>
      <c r="C64" s="112" t="s">
        <v>1517</v>
      </c>
      <c r="D64" s="1499">
        <v>3.7942014555564527</v>
      </c>
      <c r="E64" s="1499">
        <v>2.9652675573401974</v>
      </c>
      <c r="F64" s="1499">
        <v>1.8719760297161578</v>
      </c>
      <c r="G64" s="1499">
        <v>1.6372069180481112</v>
      </c>
      <c r="H64" s="1499">
        <v>1.7217259632721706</v>
      </c>
      <c r="I64" s="1499">
        <v>3.5942662756288701</v>
      </c>
      <c r="J64" s="1499">
        <v>3.0932869318177136</v>
      </c>
      <c r="K64" s="113">
        <v>1.3210136763399394</v>
      </c>
    </row>
    <row r="65" spans="2:11" ht="14.5" thickBot="1" x14ac:dyDescent="0.35">
      <c r="B65" s="1233"/>
      <c r="C65" s="116" t="s">
        <v>1519</v>
      </c>
      <c r="D65" s="117">
        <v>4.0620730141682575</v>
      </c>
      <c r="E65" s="117">
        <v>3.2402846499297779</v>
      </c>
      <c r="F65" s="117">
        <v>2.1458108744656732</v>
      </c>
      <c r="G65" s="117">
        <v>1.9177994435603591</v>
      </c>
      <c r="H65" s="117">
        <v>1.9954755795211472</v>
      </c>
      <c r="I65" s="117">
        <v>3.8666485931164996</v>
      </c>
      <c r="J65" s="117">
        <v>3.3676675703086123</v>
      </c>
      <c r="K65" s="118">
        <v>1.6073414421932273</v>
      </c>
    </row>
    <row r="66" spans="2:11" x14ac:dyDescent="0.3">
      <c r="B66" s="119" t="s">
        <v>1983</v>
      </c>
      <c r="C66" s="108" t="s">
        <v>1416</v>
      </c>
      <c r="D66" s="109">
        <v>3.515837935338062</v>
      </c>
      <c r="E66" s="109">
        <v>2.6634219496306493</v>
      </c>
      <c r="F66" s="109">
        <v>1.5784012873321283</v>
      </c>
      <c r="G66" s="109">
        <v>1.3057784057282114</v>
      </c>
      <c r="H66" s="109">
        <v>1.417714209186141</v>
      </c>
      <c r="I66" s="109">
        <v>3.301425854884577</v>
      </c>
      <c r="J66" s="109">
        <v>2.7923683282683061</v>
      </c>
      <c r="K66" s="110">
        <v>1.0220899958841687</v>
      </c>
    </row>
    <row r="67" spans="2:11" x14ac:dyDescent="0.3">
      <c r="B67" s="111"/>
      <c r="C67" s="112" t="s">
        <v>1483</v>
      </c>
      <c r="D67" s="1499">
        <v>3.9621801815117399</v>
      </c>
      <c r="E67" s="1499">
        <v>3.1403918172732608</v>
      </c>
      <c r="F67" s="1499">
        <v>2.045918041809156</v>
      </c>
      <c r="G67" s="1499">
        <v>1.8179066109038422</v>
      </c>
      <c r="H67" s="1499">
        <v>1.8955827468646302</v>
      </c>
      <c r="I67" s="1499">
        <v>3.7667557604599824</v>
      </c>
      <c r="J67" s="1499">
        <v>3.2677747376520947</v>
      </c>
      <c r="K67" s="113">
        <v>1.5074486095367101</v>
      </c>
    </row>
    <row r="68" spans="2:11" x14ac:dyDescent="0.3">
      <c r="B68" s="111" t="s">
        <v>1981</v>
      </c>
      <c r="C68" s="112" t="s">
        <v>1489</v>
      </c>
      <c r="D68" s="1499">
        <v>3.9085622108990887</v>
      </c>
      <c r="E68" s="1499">
        <v>3.0867738466606092</v>
      </c>
      <c r="F68" s="1499">
        <v>1.9923000711965042</v>
      </c>
      <c r="G68" s="1499">
        <v>1.7642886402911904</v>
      </c>
      <c r="H68" s="1499">
        <v>1.8419647762519782</v>
      </c>
      <c r="I68" s="1499">
        <v>3.7131377898473308</v>
      </c>
      <c r="J68" s="1499">
        <v>3.2141567670394435</v>
      </c>
      <c r="K68" s="113">
        <v>1.4538306389240583</v>
      </c>
    </row>
    <row r="69" spans="2:11" x14ac:dyDescent="0.3">
      <c r="B69" s="114">
        <v>0</v>
      </c>
      <c r="C69" s="112" t="s">
        <v>1496</v>
      </c>
      <c r="D69" s="1499">
        <v>3.8281352549801109</v>
      </c>
      <c r="E69" s="1499">
        <v>3.0063468907416313</v>
      </c>
      <c r="F69" s="1499">
        <v>1.9118731152775266</v>
      </c>
      <c r="G69" s="1499">
        <v>1.6838616843722127</v>
      </c>
      <c r="H69" s="1499">
        <v>1.7615378203330005</v>
      </c>
      <c r="I69" s="1499">
        <v>3.6327108339283529</v>
      </c>
      <c r="J69" s="1499">
        <v>3.1337298111204657</v>
      </c>
      <c r="K69" s="113">
        <v>1.3734036830050806</v>
      </c>
    </row>
    <row r="70" spans="2:11" x14ac:dyDescent="0.3">
      <c r="B70" s="115"/>
      <c r="C70" s="112" t="s">
        <v>1500</v>
      </c>
      <c r="D70" s="1499">
        <v>3.747708299061133</v>
      </c>
      <c r="E70" s="1499">
        <v>2.9259199348226534</v>
      </c>
      <c r="F70" s="1499">
        <v>1.8314461593585489</v>
      </c>
      <c r="G70" s="1499">
        <v>1.6034347284532351</v>
      </c>
      <c r="H70" s="1499">
        <v>1.6811108644140231</v>
      </c>
      <c r="I70" s="1499">
        <v>3.5522838780093751</v>
      </c>
      <c r="J70" s="1499">
        <v>3.0533028552014878</v>
      </c>
      <c r="K70" s="113">
        <v>1.2929767270861032</v>
      </c>
    </row>
    <row r="71" spans="2:11" x14ac:dyDescent="0.3">
      <c r="B71" s="115"/>
      <c r="C71" s="112" t="s">
        <v>1504</v>
      </c>
      <c r="D71" s="1499">
        <v>3.870685727752972</v>
      </c>
      <c r="E71" s="1499">
        <v>3.0417518295367167</v>
      </c>
      <c r="F71" s="1499">
        <v>1.9484603019126778</v>
      </c>
      <c r="G71" s="1499">
        <v>1.713691190244631</v>
      </c>
      <c r="H71" s="1499">
        <v>1.7982102354686906</v>
      </c>
      <c r="I71" s="1499">
        <v>3.6707505478253895</v>
      </c>
      <c r="J71" s="1499">
        <v>3.169771204014233</v>
      </c>
      <c r="K71" s="113">
        <v>1.3974979485364594</v>
      </c>
    </row>
    <row r="72" spans="2:11" x14ac:dyDescent="0.3">
      <c r="B72" s="115"/>
      <c r="C72" s="112" t="s">
        <v>1508</v>
      </c>
      <c r="D72" s="1499">
        <v>3.8265914515397133</v>
      </c>
      <c r="E72" s="1499">
        <v>2.997657553323458</v>
      </c>
      <c r="F72" s="1499">
        <v>1.9043660256994184</v>
      </c>
      <c r="G72" s="1499">
        <v>1.6695969140313718</v>
      </c>
      <c r="H72" s="1499">
        <v>1.7541159592554312</v>
      </c>
      <c r="I72" s="1499">
        <v>3.6266562716121307</v>
      </c>
      <c r="J72" s="1499">
        <v>3.1256769278009742</v>
      </c>
      <c r="K72" s="113">
        <v>1.3534036723232001</v>
      </c>
    </row>
    <row r="73" spans="2:11" x14ac:dyDescent="0.3">
      <c r="B73" s="115"/>
      <c r="C73" s="112" t="s">
        <v>1513</v>
      </c>
      <c r="D73" s="1499">
        <v>3.7604500372198242</v>
      </c>
      <c r="E73" s="1499">
        <v>2.9315161390035693</v>
      </c>
      <c r="F73" s="1499">
        <v>1.8382246113795297</v>
      </c>
      <c r="G73" s="1499">
        <v>1.6034554997114832</v>
      </c>
      <c r="H73" s="1499">
        <v>1.6879745449355426</v>
      </c>
      <c r="I73" s="1499">
        <v>3.5605148572922416</v>
      </c>
      <c r="J73" s="1499">
        <v>3.0595355134810851</v>
      </c>
      <c r="K73" s="113">
        <v>1.2872622580033115</v>
      </c>
    </row>
    <row r="74" spans="2:11" x14ac:dyDescent="0.3">
      <c r="B74" s="115"/>
      <c r="C74" s="112" t="s">
        <v>1517</v>
      </c>
      <c r="D74" s="1499">
        <v>3.6943086228999356</v>
      </c>
      <c r="E74" s="1499">
        <v>2.8653747246836803</v>
      </c>
      <c r="F74" s="1499">
        <v>1.7720831970596411</v>
      </c>
      <c r="G74" s="1499">
        <v>1.5373140853915945</v>
      </c>
      <c r="H74" s="1499">
        <v>1.6218331306156539</v>
      </c>
      <c r="I74" s="1499">
        <v>3.494373442972353</v>
      </c>
      <c r="J74" s="1499">
        <v>2.993394099161196</v>
      </c>
      <c r="K74" s="113">
        <v>1.2211208436834227</v>
      </c>
    </row>
    <row r="75" spans="2:11" ht="14.5" thickBot="1" x14ac:dyDescent="0.35">
      <c r="B75" s="1233"/>
      <c r="C75" s="116" t="s">
        <v>1519</v>
      </c>
      <c r="D75" s="117">
        <v>3.9621801815117399</v>
      </c>
      <c r="E75" s="117">
        <v>3.1403918172732608</v>
      </c>
      <c r="F75" s="117">
        <v>2.045918041809156</v>
      </c>
      <c r="G75" s="117">
        <v>1.8179066109038422</v>
      </c>
      <c r="H75" s="117">
        <v>1.8955827468646302</v>
      </c>
      <c r="I75" s="117">
        <v>3.7667557604599824</v>
      </c>
      <c r="J75" s="117">
        <v>3.2677747376520947</v>
      </c>
      <c r="K75" s="118">
        <v>1.5074486095367101</v>
      </c>
    </row>
    <row r="76" spans="2:11" x14ac:dyDescent="0.3">
      <c r="B76" s="119" t="s">
        <v>1983</v>
      </c>
      <c r="C76" s="108" t="s">
        <v>1416</v>
      </c>
      <c r="D76" s="109">
        <v>3.4159451026815444</v>
      </c>
      <c r="E76" s="109">
        <v>2.5635291169741317</v>
      </c>
      <c r="F76" s="109">
        <v>1.4785084546756115</v>
      </c>
      <c r="G76" s="109">
        <v>1.2058855730716946</v>
      </c>
      <c r="H76" s="109">
        <v>1.3178213765296243</v>
      </c>
      <c r="I76" s="109">
        <v>3.2015330222280598</v>
      </c>
      <c r="J76" s="109">
        <v>2.6924754956117889</v>
      </c>
      <c r="K76" s="110">
        <v>0.92219716322765166</v>
      </c>
    </row>
    <row r="77" spans="2:11" x14ac:dyDescent="0.3">
      <c r="B77" s="111"/>
      <c r="C77" s="112" t="s">
        <v>1483</v>
      </c>
      <c r="D77" s="1499">
        <v>3.8622873488552232</v>
      </c>
      <c r="E77" s="1499">
        <v>3.0404989846167441</v>
      </c>
      <c r="F77" s="1499">
        <v>1.9460252091526391</v>
      </c>
      <c r="G77" s="1499">
        <v>1.7180137782473253</v>
      </c>
      <c r="H77" s="1499">
        <v>1.7956899142081131</v>
      </c>
      <c r="I77" s="1499">
        <v>3.6668629278034657</v>
      </c>
      <c r="J77" s="1499">
        <v>3.167881904995578</v>
      </c>
      <c r="K77" s="113">
        <v>1.4075557768801932</v>
      </c>
    </row>
    <row r="78" spans="2:11" x14ac:dyDescent="0.3">
      <c r="B78" s="111" t="s">
        <v>1982</v>
      </c>
      <c r="C78" s="112" t="s">
        <v>1489</v>
      </c>
      <c r="D78" s="1499">
        <v>3.8086693782425716</v>
      </c>
      <c r="E78" s="1499">
        <v>2.986881014004092</v>
      </c>
      <c r="F78" s="1499">
        <v>1.8924072385399875</v>
      </c>
      <c r="G78" s="1499">
        <v>1.6643958076346737</v>
      </c>
      <c r="H78" s="1499">
        <v>1.7420719435954615</v>
      </c>
      <c r="I78" s="1499">
        <v>3.6132449571908136</v>
      </c>
      <c r="J78" s="1499">
        <v>3.1142639343829264</v>
      </c>
      <c r="K78" s="113">
        <v>1.3539378062675416</v>
      </c>
    </row>
    <row r="79" spans="2:11" x14ac:dyDescent="0.3">
      <c r="B79" s="114">
        <v>0</v>
      </c>
      <c r="C79" s="112" t="s">
        <v>1496</v>
      </c>
      <c r="D79" s="1499">
        <v>3.7282424223235942</v>
      </c>
      <c r="E79" s="1499">
        <v>2.9064540580851146</v>
      </c>
      <c r="F79" s="1499">
        <v>1.8119802826210099</v>
      </c>
      <c r="G79" s="1499">
        <v>1.583968851715696</v>
      </c>
      <c r="H79" s="1499">
        <v>1.6616449876764841</v>
      </c>
      <c r="I79" s="1499">
        <v>3.5328180012718362</v>
      </c>
      <c r="J79" s="1499">
        <v>3.033836978463949</v>
      </c>
      <c r="K79" s="113">
        <v>1.2735108503485639</v>
      </c>
    </row>
    <row r="80" spans="2:11" x14ac:dyDescent="0.3">
      <c r="B80" s="115"/>
      <c r="C80" s="112" t="s">
        <v>1500</v>
      </c>
      <c r="D80" s="1499">
        <v>3.6478154664046163</v>
      </c>
      <c r="E80" s="1499">
        <v>2.8260271021661367</v>
      </c>
      <c r="F80" s="1499">
        <v>1.731553326702032</v>
      </c>
      <c r="G80" s="1499">
        <v>1.5035418957967182</v>
      </c>
      <c r="H80" s="1499">
        <v>1.5812180317575062</v>
      </c>
      <c r="I80" s="1499">
        <v>3.4523910453528583</v>
      </c>
      <c r="J80" s="1499">
        <v>2.9534100225449711</v>
      </c>
      <c r="K80" s="113">
        <v>1.1930838944295861</v>
      </c>
    </row>
    <row r="81" spans="2:11" x14ac:dyDescent="0.3">
      <c r="B81" s="115"/>
      <c r="C81" s="112" t="s">
        <v>1504</v>
      </c>
      <c r="D81" s="1499">
        <v>3.7707928950964553</v>
      </c>
      <c r="E81" s="1499">
        <v>2.9418589968802</v>
      </c>
      <c r="F81" s="1499">
        <v>1.8485674692561607</v>
      </c>
      <c r="G81" s="1499">
        <v>1.6137983575881141</v>
      </c>
      <c r="H81" s="1499">
        <v>1.6983174028121735</v>
      </c>
      <c r="I81" s="1499">
        <v>3.5708577151688727</v>
      </c>
      <c r="J81" s="1499">
        <v>3.0698783713577162</v>
      </c>
      <c r="K81" s="113">
        <v>1.2976051158799424</v>
      </c>
    </row>
    <row r="82" spans="2:11" x14ac:dyDescent="0.3">
      <c r="B82" s="115"/>
      <c r="C82" s="112" t="s">
        <v>1508</v>
      </c>
      <c r="D82" s="1499">
        <v>3.7266986188831961</v>
      </c>
      <c r="E82" s="1499">
        <v>2.8977647206669408</v>
      </c>
      <c r="F82" s="1499">
        <v>1.8044731930429017</v>
      </c>
      <c r="G82" s="1499">
        <v>1.5697040813748551</v>
      </c>
      <c r="H82" s="1499">
        <v>1.6542231265989145</v>
      </c>
      <c r="I82" s="1499">
        <v>3.5267634389556135</v>
      </c>
      <c r="J82" s="1499">
        <v>3.025784095144457</v>
      </c>
      <c r="K82" s="113">
        <v>1.2535108396666834</v>
      </c>
    </row>
    <row r="83" spans="2:11" x14ac:dyDescent="0.3">
      <c r="B83" s="115"/>
      <c r="C83" s="112" t="s">
        <v>1513</v>
      </c>
      <c r="D83" s="1499">
        <v>3.6605572045633075</v>
      </c>
      <c r="E83" s="1499">
        <v>2.8316233063470526</v>
      </c>
      <c r="F83" s="1499">
        <v>1.7383317787230128</v>
      </c>
      <c r="G83" s="1499">
        <v>1.5035626670549662</v>
      </c>
      <c r="H83" s="1499">
        <v>1.5880817122790256</v>
      </c>
      <c r="I83" s="1499">
        <v>3.4606220246357249</v>
      </c>
      <c r="J83" s="1499">
        <v>2.9596426808245684</v>
      </c>
      <c r="K83" s="113">
        <v>1.1873694253467946</v>
      </c>
    </row>
    <row r="84" spans="2:11" x14ac:dyDescent="0.3">
      <c r="B84" s="115"/>
      <c r="C84" s="112" t="s">
        <v>1517</v>
      </c>
      <c r="D84" s="1499">
        <v>3.5944157902434188</v>
      </c>
      <c r="E84" s="1499">
        <v>2.7654818920271635</v>
      </c>
      <c r="F84" s="1499">
        <v>1.6721903644031242</v>
      </c>
      <c r="G84" s="1499">
        <v>1.4374212527350776</v>
      </c>
      <c r="H84" s="1499">
        <v>1.521940297959137</v>
      </c>
      <c r="I84" s="1499">
        <v>3.3944806103158363</v>
      </c>
      <c r="J84" s="1499">
        <v>2.8935012665046793</v>
      </c>
      <c r="K84" s="113">
        <v>1.1212280110269057</v>
      </c>
    </row>
    <row r="85" spans="2:11" ht="14.5" thickBot="1" x14ac:dyDescent="0.35">
      <c r="B85" s="1233"/>
      <c r="C85" s="116" t="s">
        <v>1519</v>
      </c>
      <c r="D85" s="117">
        <v>3.8622873488552232</v>
      </c>
      <c r="E85" s="117">
        <v>3.0404989846167441</v>
      </c>
      <c r="F85" s="117">
        <v>1.9460252091526391</v>
      </c>
      <c r="G85" s="117">
        <v>1.7180137782473253</v>
      </c>
      <c r="H85" s="117">
        <v>1.7956899142081131</v>
      </c>
      <c r="I85" s="117">
        <v>3.6668629278034657</v>
      </c>
      <c r="J85" s="117">
        <v>3.167881904995578</v>
      </c>
      <c r="K85" s="118">
        <v>1.4075557768801932</v>
      </c>
    </row>
    <row r="87" spans="2:11" ht="14.5" thickBot="1" x14ac:dyDescent="0.35"/>
    <row r="88" spans="2:11" ht="25.5" thickBot="1" x14ac:dyDescent="0.55000000000000004">
      <c r="B88" s="88" t="s">
        <v>1960</v>
      </c>
      <c r="C88" s="89"/>
      <c r="D88" s="90">
        <v>5</v>
      </c>
      <c r="E88" s="91" t="s">
        <v>1984</v>
      </c>
      <c r="F88" s="92"/>
      <c r="G88" s="92"/>
      <c r="H88" s="92"/>
      <c r="I88" s="93"/>
      <c r="J88" s="89" t="s">
        <v>176</v>
      </c>
      <c r="K88" s="94" t="s">
        <v>234</v>
      </c>
    </row>
    <row r="89" spans="2:11" ht="14.5" thickBot="1" x14ac:dyDescent="0.35">
      <c r="B89" s="95" t="s">
        <v>1962</v>
      </c>
      <c r="C89" s="96" t="s">
        <v>1963</v>
      </c>
      <c r="D89" s="95" t="s">
        <v>1964</v>
      </c>
      <c r="E89" s="97" t="s">
        <v>1965</v>
      </c>
      <c r="F89" s="97" t="s">
        <v>1966</v>
      </c>
      <c r="G89" s="97" t="s">
        <v>1967</v>
      </c>
      <c r="H89" s="97" t="s">
        <v>1968</v>
      </c>
      <c r="I89" s="97" t="s">
        <v>1969</v>
      </c>
      <c r="J89" s="97" t="s">
        <v>1970</v>
      </c>
      <c r="K89" s="98" t="s">
        <v>1971</v>
      </c>
    </row>
    <row r="90" spans="2:11" ht="14.5" thickBot="1" x14ac:dyDescent="0.35">
      <c r="B90" s="99"/>
      <c r="C90" s="99"/>
      <c r="D90" s="100"/>
      <c r="E90" s="944"/>
      <c r="F90" s="944"/>
      <c r="G90" s="944"/>
      <c r="H90" s="944"/>
      <c r="I90" s="944"/>
      <c r="J90" s="944"/>
      <c r="K90" s="102"/>
    </row>
    <row r="91" spans="2:11" ht="90.5" thickBot="1" x14ac:dyDescent="0.45">
      <c r="B91" s="103" t="s">
        <v>1972</v>
      </c>
      <c r="C91" s="103" t="s">
        <v>1973</v>
      </c>
      <c r="D91" s="105" t="s">
        <v>1974</v>
      </c>
      <c r="E91" s="105" t="s">
        <v>1525</v>
      </c>
      <c r="F91" s="105" t="s">
        <v>1527</v>
      </c>
      <c r="G91" s="105" t="s">
        <v>1975</v>
      </c>
      <c r="H91" s="105" t="s">
        <v>1976</v>
      </c>
      <c r="I91" s="105" t="s">
        <v>1445</v>
      </c>
      <c r="J91" s="105" t="s">
        <v>1538</v>
      </c>
      <c r="K91" s="106" t="s">
        <v>1541</v>
      </c>
    </row>
    <row r="92" spans="2:11" x14ac:dyDescent="0.3">
      <c r="B92" s="107" t="s">
        <v>1985</v>
      </c>
      <c r="C92" s="108" t="s">
        <v>1416</v>
      </c>
      <c r="D92" s="109">
        <v>3.1483803803817088</v>
      </c>
      <c r="E92" s="109">
        <v>2.2057074800548868</v>
      </c>
      <c r="F92" s="109">
        <v>1.2904304986604205</v>
      </c>
      <c r="G92" s="109">
        <v>1.0126825634741823</v>
      </c>
      <c r="H92" s="109">
        <v>1.1462897129235623</v>
      </c>
      <c r="I92" s="109">
        <v>2.8003730175737327</v>
      </c>
      <c r="J92" s="109">
        <v>2.3241214935468215</v>
      </c>
      <c r="K92" s="110">
        <v>0.74698359881377197</v>
      </c>
    </row>
    <row r="93" spans="2:11" x14ac:dyDescent="0.3">
      <c r="B93" s="111"/>
      <c r="C93" s="112" t="s">
        <v>1483</v>
      </c>
      <c r="D93" s="1499">
        <v>3.5881634283952701</v>
      </c>
      <c r="E93" s="1499">
        <v>2.685645690231877</v>
      </c>
      <c r="F93" s="1499">
        <v>1.7445482139499446</v>
      </c>
      <c r="G93" s="1499">
        <v>1.4688476002837973</v>
      </c>
      <c r="H93" s="1499">
        <v>1.5866776500154935</v>
      </c>
      <c r="I93" s="1499">
        <v>3.2719863483823972</v>
      </c>
      <c r="J93" s="1499">
        <v>2.799170682953811</v>
      </c>
      <c r="K93" s="113">
        <v>1.2289096991707578</v>
      </c>
    </row>
    <row r="94" spans="2:11" x14ac:dyDescent="0.3">
      <c r="B94" s="111" t="s">
        <v>1986</v>
      </c>
      <c r="C94" s="112" t="s">
        <v>1489</v>
      </c>
      <c r="D94" s="1499">
        <v>3.5345454577826185</v>
      </c>
      <c r="E94" s="1499">
        <v>2.6320277196192254</v>
      </c>
      <c r="F94" s="1499">
        <v>1.690930243337293</v>
      </c>
      <c r="G94" s="1499">
        <v>1.4152296296711457</v>
      </c>
      <c r="H94" s="1499">
        <v>1.5330596794028419</v>
      </c>
      <c r="I94" s="1499">
        <v>3.2183683777697456</v>
      </c>
      <c r="J94" s="1499">
        <v>2.7455527123411594</v>
      </c>
      <c r="K94" s="113">
        <v>1.1752917285581059</v>
      </c>
    </row>
    <row r="95" spans="2:11" x14ac:dyDescent="0.3">
      <c r="B95" s="114">
        <v>0</v>
      </c>
      <c r="C95" s="112" t="s">
        <v>1496</v>
      </c>
      <c r="D95" s="1499">
        <v>3.4541185018636411</v>
      </c>
      <c r="E95" s="1499">
        <v>2.551600763700248</v>
      </c>
      <c r="F95" s="1499">
        <v>1.6105032874183152</v>
      </c>
      <c r="G95" s="1499">
        <v>1.3348026737521679</v>
      </c>
      <c r="H95" s="1499">
        <v>1.4526327234838641</v>
      </c>
      <c r="I95" s="1499">
        <v>3.1379414218507682</v>
      </c>
      <c r="J95" s="1499">
        <v>2.665125756422182</v>
      </c>
      <c r="K95" s="113">
        <v>1.0948647726391283</v>
      </c>
    </row>
    <row r="96" spans="2:11" x14ac:dyDescent="0.3">
      <c r="B96" s="115"/>
      <c r="C96" s="112" t="s">
        <v>1500</v>
      </c>
      <c r="D96" s="1499">
        <v>3.3736915459446633</v>
      </c>
      <c r="E96" s="1499">
        <v>2.4711738077812702</v>
      </c>
      <c r="F96" s="1499">
        <v>1.5300763314993377</v>
      </c>
      <c r="G96" s="1499">
        <v>1.2543757178331905</v>
      </c>
      <c r="H96" s="1499">
        <v>1.3722057675648864</v>
      </c>
      <c r="I96" s="1499">
        <v>3.0575144659317903</v>
      </c>
      <c r="J96" s="1499">
        <v>2.5846988005032041</v>
      </c>
      <c r="K96" s="113">
        <v>1.0144378167201507</v>
      </c>
    </row>
    <row r="97" spans="2:11" x14ac:dyDescent="0.3">
      <c r="B97" s="115"/>
      <c r="C97" s="112" t="s">
        <v>1504</v>
      </c>
      <c r="D97" s="1499">
        <v>3.4946859871940585</v>
      </c>
      <c r="E97" s="1499">
        <v>2.586505594916829</v>
      </c>
      <c r="F97" s="1499">
        <v>1.6453649088420166</v>
      </c>
      <c r="G97" s="1499">
        <v>1.378368115211914</v>
      </c>
      <c r="H97" s="1499">
        <v>1.483491689838256</v>
      </c>
      <c r="I97" s="1499">
        <v>3.1743634531347285</v>
      </c>
      <c r="J97" s="1499">
        <v>2.7012569148242402</v>
      </c>
      <c r="K97" s="113">
        <v>1.1358788261773489</v>
      </c>
    </row>
    <row r="98" spans="2:11" x14ac:dyDescent="0.3">
      <c r="B98" s="115"/>
      <c r="C98" s="112" t="s">
        <v>1508</v>
      </c>
      <c r="D98" s="1499">
        <v>3.4505917109807993</v>
      </c>
      <c r="E98" s="1499">
        <v>2.5424113187035697</v>
      </c>
      <c r="F98" s="1499">
        <v>1.6012706326287576</v>
      </c>
      <c r="G98" s="1499">
        <v>1.334273838998655</v>
      </c>
      <c r="H98" s="1499">
        <v>1.439397413624997</v>
      </c>
      <c r="I98" s="1499">
        <v>3.1302691769214688</v>
      </c>
      <c r="J98" s="1499">
        <v>2.657162638610981</v>
      </c>
      <c r="K98" s="113">
        <v>1.0917845499640897</v>
      </c>
    </row>
    <row r="99" spans="2:11" x14ac:dyDescent="0.3">
      <c r="B99" s="115"/>
      <c r="C99" s="112" t="s">
        <v>1513</v>
      </c>
      <c r="D99" s="1499">
        <v>3.3844502966609111</v>
      </c>
      <c r="E99" s="1499">
        <v>2.4762699043836811</v>
      </c>
      <c r="F99" s="1499">
        <v>1.5351292183088687</v>
      </c>
      <c r="G99" s="1499">
        <v>1.268132424678766</v>
      </c>
      <c r="H99" s="1499">
        <v>1.3732559993051079</v>
      </c>
      <c r="I99" s="1499">
        <v>3.0641277626015806</v>
      </c>
      <c r="J99" s="1499">
        <v>2.5910212242910924</v>
      </c>
      <c r="K99" s="113">
        <v>1.0256431356442011</v>
      </c>
    </row>
    <row r="100" spans="2:11" x14ac:dyDescent="0.3">
      <c r="B100" s="115"/>
      <c r="C100" s="112" t="s">
        <v>1517</v>
      </c>
      <c r="D100" s="1499">
        <v>3.3183088823410221</v>
      </c>
      <c r="E100" s="1499">
        <v>2.4101284900637925</v>
      </c>
      <c r="F100" s="1499">
        <v>1.4689878039889801</v>
      </c>
      <c r="G100" s="1499">
        <v>1.2019910103588773</v>
      </c>
      <c r="H100" s="1499">
        <v>1.3071145849852193</v>
      </c>
      <c r="I100" s="1499">
        <v>2.9979863482816915</v>
      </c>
      <c r="J100" s="1499">
        <v>2.5248798099712038</v>
      </c>
      <c r="K100" s="113">
        <v>0.95950172132431233</v>
      </c>
    </row>
    <row r="101" spans="2:11" ht="14.5" thickBot="1" x14ac:dyDescent="0.35">
      <c r="B101" s="115"/>
      <c r="C101" s="116" t="s">
        <v>1519</v>
      </c>
      <c r="D101" s="117">
        <v>3.5881634283952701</v>
      </c>
      <c r="E101" s="117">
        <v>2.685645690231877</v>
      </c>
      <c r="F101" s="117">
        <v>1.7445482139499446</v>
      </c>
      <c r="G101" s="117">
        <v>1.4688476002837973</v>
      </c>
      <c r="H101" s="117">
        <v>1.5866776500154935</v>
      </c>
      <c r="I101" s="117">
        <v>3.2719863483823972</v>
      </c>
      <c r="J101" s="117">
        <v>2.799170682953811</v>
      </c>
      <c r="K101" s="118">
        <v>1.2289096991707578</v>
      </c>
    </row>
    <row r="102" spans="2:11" x14ac:dyDescent="0.3">
      <c r="B102" s="120" t="s">
        <v>1985</v>
      </c>
      <c r="C102" s="1234" t="s">
        <v>1416</v>
      </c>
      <c r="D102" s="109">
        <v>3.1061994712295218</v>
      </c>
      <c r="E102" s="109">
        <v>2.1635265709026994</v>
      </c>
      <c r="F102" s="109">
        <v>1.2482495895082328</v>
      </c>
      <c r="G102" s="109">
        <v>0.97050165432199509</v>
      </c>
      <c r="H102" s="109">
        <v>1.1041088037713749</v>
      </c>
      <c r="I102" s="109">
        <v>2.7581921084215457</v>
      </c>
      <c r="J102" s="109">
        <v>2.2819405843946341</v>
      </c>
      <c r="K102" s="110">
        <v>0.70480268966158466</v>
      </c>
    </row>
    <row r="103" spans="2:11" x14ac:dyDescent="0.3">
      <c r="B103" s="121"/>
      <c r="C103" s="1500" t="s">
        <v>1483</v>
      </c>
      <c r="D103" s="1499">
        <v>3.5459825192430832</v>
      </c>
      <c r="E103" s="1499">
        <v>2.6434647810796901</v>
      </c>
      <c r="F103" s="1499">
        <v>1.7023673047977577</v>
      </c>
      <c r="G103" s="1499">
        <v>1.4266666911316104</v>
      </c>
      <c r="H103" s="1499">
        <v>1.5444967408633063</v>
      </c>
      <c r="I103" s="1499">
        <v>3.2298054392302102</v>
      </c>
      <c r="J103" s="1499">
        <v>2.756989773801624</v>
      </c>
      <c r="K103" s="113">
        <v>1.1867287900185703</v>
      </c>
    </row>
    <row r="104" spans="2:11" x14ac:dyDescent="0.3">
      <c r="B104" s="111" t="s">
        <v>1987</v>
      </c>
      <c r="C104" s="1500" t="s">
        <v>1489</v>
      </c>
      <c r="D104" s="1499">
        <v>3.4923645486304311</v>
      </c>
      <c r="E104" s="1499">
        <v>2.589846810467038</v>
      </c>
      <c r="F104" s="1499">
        <v>1.6487493341851056</v>
      </c>
      <c r="G104" s="1499">
        <v>1.3730487205189583</v>
      </c>
      <c r="H104" s="1499">
        <v>1.4908787702506545</v>
      </c>
      <c r="I104" s="1499">
        <v>3.1761874686175582</v>
      </c>
      <c r="J104" s="1499">
        <v>2.703371803188972</v>
      </c>
      <c r="K104" s="113">
        <v>1.1331108194059185</v>
      </c>
    </row>
    <row r="105" spans="2:11" x14ac:dyDescent="0.3">
      <c r="B105" s="122">
        <v>0</v>
      </c>
      <c r="C105" s="1500" t="s">
        <v>1496</v>
      </c>
      <c r="D105" s="1499">
        <v>3.4119375927114532</v>
      </c>
      <c r="E105" s="1499">
        <v>2.5094198545480602</v>
      </c>
      <c r="F105" s="1499">
        <v>1.5683223782661282</v>
      </c>
      <c r="G105" s="1499">
        <v>1.2926217645999807</v>
      </c>
      <c r="H105" s="1499">
        <v>1.4104518143316769</v>
      </c>
      <c r="I105" s="1499">
        <v>3.0957605126985803</v>
      </c>
      <c r="J105" s="1499">
        <v>2.6229448472699941</v>
      </c>
      <c r="K105" s="113">
        <v>1.0526838634869409</v>
      </c>
    </row>
    <row r="106" spans="2:11" x14ac:dyDescent="0.3">
      <c r="B106" s="123"/>
      <c r="C106" s="1500" t="s">
        <v>1500</v>
      </c>
      <c r="D106" s="1499">
        <v>3.3315106367924763</v>
      </c>
      <c r="E106" s="1499">
        <v>2.4289928986290827</v>
      </c>
      <c r="F106" s="1499">
        <v>1.4878954223471503</v>
      </c>
      <c r="G106" s="1499">
        <v>1.212194808681003</v>
      </c>
      <c r="H106" s="1499">
        <v>1.330024858412699</v>
      </c>
      <c r="I106" s="1499">
        <v>3.0153335567796034</v>
      </c>
      <c r="J106" s="1499">
        <v>2.5425178913510171</v>
      </c>
      <c r="K106" s="113">
        <v>0.97225690756796335</v>
      </c>
    </row>
    <row r="107" spans="2:11" x14ac:dyDescent="0.3">
      <c r="B107" s="123"/>
      <c r="C107" s="1500" t="s">
        <v>1504</v>
      </c>
      <c r="D107" s="1499">
        <v>3.4525050780418716</v>
      </c>
      <c r="E107" s="1499">
        <v>2.544324685764642</v>
      </c>
      <c r="F107" s="1499">
        <v>1.6031839996898296</v>
      </c>
      <c r="G107" s="1499">
        <v>1.3361872060597269</v>
      </c>
      <c r="H107" s="1499">
        <v>1.4413107806860688</v>
      </c>
      <c r="I107" s="1499">
        <v>3.132182543982541</v>
      </c>
      <c r="J107" s="1499">
        <v>2.6590760056720528</v>
      </c>
      <c r="K107" s="113">
        <v>1.0936979170251617</v>
      </c>
    </row>
    <row r="108" spans="2:11" x14ac:dyDescent="0.3">
      <c r="B108" s="123"/>
      <c r="C108" s="1500" t="s">
        <v>1508</v>
      </c>
      <c r="D108" s="1499">
        <v>3.4084108018286123</v>
      </c>
      <c r="E108" s="1499">
        <v>2.5002304095513828</v>
      </c>
      <c r="F108" s="1499">
        <v>1.5590897234765702</v>
      </c>
      <c r="G108" s="1499">
        <v>1.2920929298464676</v>
      </c>
      <c r="H108" s="1499">
        <v>1.3972165044728095</v>
      </c>
      <c r="I108" s="1499">
        <v>3.0880882677692818</v>
      </c>
      <c r="J108" s="1499">
        <v>2.6149817294587936</v>
      </c>
      <c r="K108" s="113">
        <v>1.0496036408119025</v>
      </c>
    </row>
    <row r="109" spans="2:11" x14ac:dyDescent="0.3">
      <c r="B109" s="123"/>
      <c r="C109" s="1500" t="s">
        <v>1513</v>
      </c>
      <c r="D109" s="1499">
        <v>3.3422693875087233</v>
      </c>
      <c r="E109" s="1499">
        <v>2.4340889952314941</v>
      </c>
      <c r="F109" s="1499">
        <v>1.4929483091566815</v>
      </c>
      <c r="G109" s="1499">
        <v>1.2259515155265788</v>
      </c>
      <c r="H109" s="1499">
        <v>1.3310750901529209</v>
      </c>
      <c r="I109" s="1499">
        <v>3.0219468534493927</v>
      </c>
      <c r="J109" s="1499">
        <v>2.548840315138905</v>
      </c>
      <c r="K109" s="113">
        <v>0.98346222649201365</v>
      </c>
    </row>
    <row r="110" spans="2:11" x14ac:dyDescent="0.3">
      <c r="B110" s="123"/>
      <c r="C110" s="1500" t="s">
        <v>1517</v>
      </c>
      <c r="D110" s="1499">
        <v>3.2761279731888351</v>
      </c>
      <c r="E110" s="1499">
        <v>2.3679475809116051</v>
      </c>
      <c r="F110" s="1499">
        <v>1.4268068948367927</v>
      </c>
      <c r="G110" s="1499">
        <v>1.1598101012066899</v>
      </c>
      <c r="H110" s="1499">
        <v>1.2649336758330318</v>
      </c>
      <c r="I110" s="1499">
        <v>2.9558054391295046</v>
      </c>
      <c r="J110" s="1499">
        <v>2.4826989008190163</v>
      </c>
      <c r="K110" s="113">
        <v>0.91732081217212502</v>
      </c>
    </row>
    <row r="111" spans="2:11" ht="14.5" thickBot="1" x14ac:dyDescent="0.35">
      <c r="B111" s="124"/>
      <c r="C111" s="125" t="s">
        <v>1519</v>
      </c>
      <c r="D111" s="117">
        <v>3.5459825192430832</v>
      </c>
      <c r="E111" s="117">
        <v>2.6434647810796901</v>
      </c>
      <c r="F111" s="117">
        <v>1.7023673047977577</v>
      </c>
      <c r="G111" s="117">
        <v>1.4266666911316104</v>
      </c>
      <c r="H111" s="117">
        <v>1.5444967408633063</v>
      </c>
      <c r="I111" s="117">
        <v>3.2298054392302102</v>
      </c>
      <c r="J111" s="117">
        <v>2.756989773801624</v>
      </c>
      <c r="K111" s="118">
        <v>1.1867287900185703</v>
      </c>
    </row>
    <row r="112" spans="2:11" x14ac:dyDescent="0.3">
      <c r="B112" s="119" t="s">
        <v>1985</v>
      </c>
      <c r="C112" s="108" t="s">
        <v>1416</v>
      </c>
      <c r="D112" s="109">
        <v>3.0429281075012407</v>
      </c>
      <c r="E112" s="109">
        <v>2.1002552071744183</v>
      </c>
      <c r="F112" s="109">
        <v>1.1849782257799519</v>
      </c>
      <c r="G112" s="109">
        <v>0.90723029059371396</v>
      </c>
      <c r="H112" s="109">
        <v>1.040837440043094</v>
      </c>
      <c r="I112" s="109">
        <v>2.6949207446932646</v>
      </c>
      <c r="J112" s="109">
        <v>2.218669220666353</v>
      </c>
      <c r="K112" s="110">
        <v>0.64153132593330364</v>
      </c>
    </row>
    <row r="113" spans="2:11" x14ac:dyDescent="0.3">
      <c r="B113" s="111"/>
      <c r="C113" s="112" t="s">
        <v>1483</v>
      </c>
      <c r="D113" s="1499">
        <v>3.482711155514802</v>
      </c>
      <c r="E113" s="1499">
        <v>2.5801934173514089</v>
      </c>
      <c r="F113" s="1499">
        <v>1.6390959410694765</v>
      </c>
      <c r="G113" s="1499">
        <v>1.3633953274033292</v>
      </c>
      <c r="H113" s="1499">
        <v>1.4812253771350252</v>
      </c>
      <c r="I113" s="1499">
        <v>3.1665340755019291</v>
      </c>
      <c r="J113" s="1499">
        <v>2.6937184100733429</v>
      </c>
      <c r="K113" s="113">
        <v>1.1234574262902894</v>
      </c>
    </row>
    <row r="114" spans="2:11" ht="14.5" thickBot="1" x14ac:dyDescent="0.35">
      <c r="B114" s="111" t="s">
        <v>1988</v>
      </c>
      <c r="C114" s="112" t="s">
        <v>1489</v>
      </c>
      <c r="D114" s="1499">
        <v>3.42909318490215</v>
      </c>
      <c r="E114" s="1499">
        <v>2.5265754467387573</v>
      </c>
      <c r="F114" s="1501">
        <v>1.5854779704568247</v>
      </c>
      <c r="G114" s="1499">
        <v>1.3097773567906774</v>
      </c>
      <c r="H114" s="1499">
        <v>1.4276074065223734</v>
      </c>
      <c r="I114" s="1499">
        <v>3.1129161048892771</v>
      </c>
      <c r="J114" s="1499">
        <v>2.6401004394606913</v>
      </c>
      <c r="K114" s="113">
        <v>1.0698394556776376</v>
      </c>
    </row>
    <row r="115" spans="2:11" ht="14.5" thickBot="1" x14ac:dyDescent="0.35">
      <c r="B115" s="114">
        <v>0</v>
      </c>
      <c r="C115" s="112" t="s">
        <v>1496</v>
      </c>
      <c r="D115" s="1499">
        <v>3.3486662289831721</v>
      </c>
      <c r="E115" s="1502">
        <v>2.4461484908197795</v>
      </c>
      <c r="F115" s="126">
        <v>1.5050510145378471</v>
      </c>
      <c r="G115" s="1503">
        <v>1.2293504008716998</v>
      </c>
      <c r="H115" s="1499">
        <v>1.3471804506033958</v>
      </c>
      <c r="I115" s="1499">
        <v>3.0324891489702992</v>
      </c>
      <c r="J115" s="1499">
        <v>2.5596734835417134</v>
      </c>
      <c r="K115" s="113">
        <v>0.98941249975865997</v>
      </c>
    </row>
    <row r="116" spans="2:11" x14ac:dyDescent="0.3">
      <c r="B116" s="115"/>
      <c r="C116" s="112" t="s">
        <v>1500</v>
      </c>
      <c r="D116" s="1499">
        <v>3.2682392730641951</v>
      </c>
      <c r="E116" s="1499">
        <v>2.3657215349008021</v>
      </c>
      <c r="F116" s="127">
        <v>1.4246240586188692</v>
      </c>
      <c r="G116" s="1499">
        <v>1.1489234449527221</v>
      </c>
      <c r="H116" s="1499">
        <v>1.2667534946844183</v>
      </c>
      <c r="I116" s="1499">
        <v>2.9520621930513222</v>
      </c>
      <c r="J116" s="1499">
        <v>2.479246527622736</v>
      </c>
      <c r="K116" s="113">
        <v>0.90898554383968233</v>
      </c>
    </row>
    <row r="117" spans="2:11" x14ac:dyDescent="0.3">
      <c r="B117" s="115"/>
      <c r="C117" s="112" t="s">
        <v>1504</v>
      </c>
      <c r="D117" s="1499">
        <v>3.3892337143135904</v>
      </c>
      <c r="E117" s="1499">
        <v>2.4810533220363609</v>
      </c>
      <c r="F117" s="1499">
        <v>1.5399126359615485</v>
      </c>
      <c r="G117" s="1499">
        <v>1.2729158423314457</v>
      </c>
      <c r="H117" s="1499">
        <v>1.3780394169577876</v>
      </c>
      <c r="I117" s="1499">
        <v>3.0689111802542599</v>
      </c>
      <c r="J117" s="1499">
        <v>2.5958046419437721</v>
      </c>
      <c r="K117" s="113">
        <v>1.0304265532968806</v>
      </c>
    </row>
    <row r="118" spans="2:11" x14ac:dyDescent="0.3">
      <c r="B118" s="115"/>
      <c r="C118" s="112" t="s">
        <v>1508</v>
      </c>
      <c r="D118" s="1499">
        <v>3.3451394381003312</v>
      </c>
      <c r="E118" s="1499">
        <v>2.4369590458231016</v>
      </c>
      <c r="F118" s="1499">
        <v>1.4958183597482893</v>
      </c>
      <c r="G118" s="1499">
        <v>1.2288215661181865</v>
      </c>
      <c r="H118" s="1499">
        <v>1.3339451407445284</v>
      </c>
      <c r="I118" s="1499">
        <v>3.0248169040410007</v>
      </c>
      <c r="J118" s="1499">
        <v>2.5517103657305129</v>
      </c>
      <c r="K118" s="113">
        <v>0.98633227708362148</v>
      </c>
    </row>
    <row r="119" spans="2:11" x14ac:dyDescent="0.3">
      <c r="B119" s="115"/>
      <c r="C119" s="112" t="s">
        <v>1513</v>
      </c>
      <c r="D119" s="1499">
        <v>3.2789980237804421</v>
      </c>
      <c r="E119" s="1499">
        <v>2.370817631503213</v>
      </c>
      <c r="F119" s="1499">
        <v>1.4296769454284004</v>
      </c>
      <c r="G119" s="1499">
        <v>1.1626801517982979</v>
      </c>
      <c r="H119" s="1499">
        <v>1.2678037264246398</v>
      </c>
      <c r="I119" s="1499">
        <v>2.9586754897211121</v>
      </c>
      <c r="J119" s="1499">
        <v>2.4855689514106238</v>
      </c>
      <c r="K119" s="113">
        <v>0.92019086276373263</v>
      </c>
    </row>
    <row r="120" spans="2:11" x14ac:dyDescent="0.3">
      <c r="B120" s="115"/>
      <c r="C120" s="112" t="s">
        <v>1517</v>
      </c>
      <c r="D120" s="1499">
        <v>3.212856609460554</v>
      </c>
      <c r="E120" s="1499">
        <v>2.3046762171833239</v>
      </c>
      <c r="F120" s="1499">
        <v>1.3635355311085116</v>
      </c>
      <c r="G120" s="1499">
        <v>1.096538737478409</v>
      </c>
      <c r="H120" s="1499">
        <v>1.2016623121047509</v>
      </c>
      <c r="I120" s="1499">
        <v>2.8925340754012234</v>
      </c>
      <c r="J120" s="1499">
        <v>2.4194275370907352</v>
      </c>
      <c r="K120" s="113">
        <v>0.85404944844384401</v>
      </c>
    </row>
    <row r="121" spans="2:11" ht="14.5" thickBot="1" x14ac:dyDescent="0.35">
      <c r="B121" s="1233"/>
      <c r="C121" s="116" t="s">
        <v>1519</v>
      </c>
      <c r="D121" s="117">
        <v>3.482711155514802</v>
      </c>
      <c r="E121" s="117">
        <v>2.5801934173514089</v>
      </c>
      <c r="F121" s="117">
        <v>1.6390959410694765</v>
      </c>
      <c r="G121" s="117">
        <v>1.3633953274033292</v>
      </c>
      <c r="H121" s="117">
        <v>1.4812253771350252</v>
      </c>
      <c r="I121" s="117">
        <v>3.1665340755019291</v>
      </c>
      <c r="J121" s="117">
        <v>2.6937184100733429</v>
      </c>
      <c r="K121" s="118">
        <v>1.1234574262902894</v>
      </c>
    </row>
    <row r="122" spans="2:11" x14ac:dyDescent="0.3">
      <c r="B122" s="107" t="s">
        <v>1985</v>
      </c>
      <c r="C122" s="108" t="s">
        <v>1416</v>
      </c>
      <c r="D122" s="109">
        <v>2.9796567437729595</v>
      </c>
      <c r="E122" s="109">
        <v>2.0369838434461376</v>
      </c>
      <c r="F122" s="109">
        <v>1.1217068620516708</v>
      </c>
      <c r="G122" s="109">
        <v>0.84395892686543295</v>
      </c>
      <c r="H122" s="109">
        <v>0.97756607631481296</v>
      </c>
      <c r="I122" s="109">
        <v>2.6316493809649835</v>
      </c>
      <c r="J122" s="109">
        <v>2.1553978569380718</v>
      </c>
      <c r="K122" s="110">
        <v>0.57825996220502274</v>
      </c>
    </row>
    <row r="123" spans="2:11" x14ac:dyDescent="0.3">
      <c r="B123" s="111"/>
      <c r="C123" s="112" t="s">
        <v>1483</v>
      </c>
      <c r="D123" s="1499">
        <v>3.4194397917865209</v>
      </c>
      <c r="E123" s="1499">
        <v>2.5169220536231278</v>
      </c>
      <c r="F123" s="1499">
        <v>1.5758245773411954</v>
      </c>
      <c r="G123" s="1499">
        <v>1.3001239636750481</v>
      </c>
      <c r="H123" s="1499">
        <v>1.4179540134067443</v>
      </c>
      <c r="I123" s="1499">
        <v>3.103262711773648</v>
      </c>
      <c r="J123" s="1499">
        <v>2.6304470463450618</v>
      </c>
      <c r="K123" s="113">
        <v>1.0601860625620085</v>
      </c>
    </row>
    <row r="124" spans="2:11" x14ac:dyDescent="0.3">
      <c r="B124" s="111" t="s">
        <v>1989</v>
      </c>
      <c r="C124" s="112" t="s">
        <v>1489</v>
      </c>
      <c r="D124" s="1499">
        <v>3.3658218211738693</v>
      </c>
      <c r="E124" s="1499">
        <v>2.4633040830104762</v>
      </c>
      <c r="F124" s="1499">
        <v>1.5222066067285436</v>
      </c>
      <c r="G124" s="1499">
        <v>1.2465059930623963</v>
      </c>
      <c r="H124" s="1499">
        <v>1.3643360427940923</v>
      </c>
      <c r="I124" s="1499">
        <v>3.0496447411609964</v>
      </c>
      <c r="J124" s="1499">
        <v>2.5768290757324102</v>
      </c>
      <c r="K124" s="113">
        <v>1.0065680919493567</v>
      </c>
    </row>
    <row r="125" spans="2:11" x14ac:dyDescent="0.3">
      <c r="B125" s="114">
        <v>0</v>
      </c>
      <c r="C125" s="112" t="s">
        <v>1496</v>
      </c>
      <c r="D125" s="1499">
        <v>3.2853948652548914</v>
      </c>
      <c r="E125" s="1499">
        <v>2.3828771270914983</v>
      </c>
      <c r="F125" s="1499">
        <v>1.4417796508095659</v>
      </c>
      <c r="G125" s="1499">
        <v>1.1660790371434187</v>
      </c>
      <c r="H125" s="1499">
        <v>1.2839090868751148</v>
      </c>
      <c r="I125" s="1499">
        <v>2.9692177852420185</v>
      </c>
      <c r="J125" s="1499">
        <v>2.4964021198134323</v>
      </c>
      <c r="K125" s="113">
        <v>0.92614113603037895</v>
      </c>
    </row>
    <row r="126" spans="2:11" x14ac:dyDescent="0.3">
      <c r="B126" s="115"/>
      <c r="C126" s="112" t="s">
        <v>1500</v>
      </c>
      <c r="D126" s="1499">
        <v>3.204967909335914</v>
      </c>
      <c r="E126" s="1499">
        <v>2.3024501711725209</v>
      </c>
      <c r="F126" s="1499">
        <v>1.3613526948905885</v>
      </c>
      <c r="G126" s="1499">
        <v>1.085652081224441</v>
      </c>
      <c r="H126" s="1499">
        <v>1.203482130956137</v>
      </c>
      <c r="I126" s="1499">
        <v>2.8887908293230411</v>
      </c>
      <c r="J126" s="1499">
        <v>2.4159751638944549</v>
      </c>
      <c r="K126" s="113">
        <v>0.84571418011140131</v>
      </c>
    </row>
    <row r="127" spans="2:11" x14ac:dyDescent="0.3">
      <c r="B127" s="115"/>
      <c r="C127" s="112" t="s">
        <v>1504</v>
      </c>
      <c r="D127" s="1499">
        <v>3.3259623505853093</v>
      </c>
      <c r="E127" s="1499">
        <v>2.4177819583080797</v>
      </c>
      <c r="F127" s="1499">
        <v>1.4766412722332674</v>
      </c>
      <c r="G127" s="1499">
        <v>1.2096444786031648</v>
      </c>
      <c r="H127" s="1499">
        <v>1.3147680532295067</v>
      </c>
      <c r="I127" s="1499">
        <v>3.0056398165259792</v>
      </c>
      <c r="J127" s="1499">
        <v>2.532533278215491</v>
      </c>
      <c r="K127" s="113">
        <v>0.96715518956859969</v>
      </c>
    </row>
    <row r="128" spans="2:11" x14ac:dyDescent="0.3">
      <c r="B128" s="115"/>
      <c r="C128" s="112" t="s">
        <v>1508</v>
      </c>
      <c r="D128" s="1499">
        <v>3.2818680743720501</v>
      </c>
      <c r="E128" s="1499">
        <v>2.3736876820948205</v>
      </c>
      <c r="F128" s="1499">
        <v>1.4325469960200081</v>
      </c>
      <c r="G128" s="1499">
        <v>1.1655502023899056</v>
      </c>
      <c r="H128" s="1499">
        <v>1.2706737770162475</v>
      </c>
      <c r="I128" s="1499">
        <v>2.9615455403127195</v>
      </c>
      <c r="J128" s="1499">
        <v>2.4884390020022318</v>
      </c>
      <c r="K128" s="113">
        <v>0.92306091335534057</v>
      </c>
    </row>
    <row r="129" spans="2:11" x14ac:dyDescent="0.3">
      <c r="B129" s="115"/>
      <c r="C129" s="112" t="s">
        <v>1513</v>
      </c>
      <c r="D129" s="1499">
        <v>3.215726660052161</v>
      </c>
      <c r="E129" s="1499">
        <v>2.3075462677749319</v>
      </c>
      <c r="F129" s="1499">
        <v>1.3664055817001195</v>
      </c>
      <c r="G129" s="1499">
        <v>1.0994087880700167</v>
      </c>
      <c r="H129" s="1499">
        <v>1.2045323626963587</v>
      </c>
      <c r="I129" s="1499">
        <v>2.8954041259928309</v>
      </c>
      <c r="J129" s="1499">
        <v>2.4222975876823432</v>
      </c>
      <c r="K129" s="113">
        <v>0.85691949903545173</v>
      </c>
    </row>
    <row r="130" spans="2:11" x14ac:dyDescent="0.3">
      <c r="B130" s="115"/>
      <c r="C130" s="112" t="s">
        <v>1517</v>
      </c>
      <c r="D130" s="1499">
        <v>3.1495852457322728</v>
      </c>
      <c r="E130" s="1499">
        <v>2.2414048534550433</v>
      </c>
      <c r="F130" s="1499">
        <v>1.3002641673802309</v>
      </c>
      <c r="G130" s="1499">
        <v>1.0332673737501281</v>
      </c>
      <c r="H130" s="1499">
        <v>1.13839094837647</v>
      </c>
      <c r="I130" s="1499">
        <v>2.8292627116729423</v>
      </c>
      <c r="J130" s="1499">
        <v>2.3561561733624545</v>
      </c>
      <c r="K130" s="113">
        <v>0.79077808471556288</v>
      </c>
    </row>
    <row r="131" spans="2:11" ht="14.5" thickBot="1" x14ac:dyDescent="0.35">
      <c r="B131" s="1233"/>
      <c r="C131" s="116" t="s">
        <v>1519</v>
      </c>
      <c r="D131" s="117">
        <v>3.4194397917865209</v>
      </c>
      <c r="E131" s="117">
        <v>2.5169220536231278</v>
      </c>
      <c r="F131" s="117">
        <v>1.5758245773411954</v>
      </c>
      <c r="G131" s="117">
        <v>1.3001239636750481</v>
      </c>
      <c r="H131" s="117">
        <v>1.4179540134067443</v>
      </c>
      <c r="I131" s="117">
        <v>3.103262711773648</v>
      </c>
      <c r="J131" s="117">
        <v>2.6304470463450618</v>
      </c>
      <c r="K131" s="118">
        <v>1.0601860625620085</v>
      </c>
    </row>
    <row r="132" spans="2:11" x14ac:dyDescent="0.3">
      <c r="B132" s="120" t="s">
        <v>1990</v>
      </c>
      <c r="C132" s="108" t="s">
        <v>1416</v>
      </c>
      <c r="D132" s="109">
        <v>3.0694036168851957</v>
      </c>
      <c r="E132" s="109">
        <v>2.1201812115645295</v>
      </c>
      <c r="F132" s="109">
        <v>1.2280578431989033</v>
      </c>
      <c r="G132" s="109">
        <v>0.94136599476290628</v>
      </c>
      <c r="H132" s="109">
        <v>1.0797666298157216</v>
      </c>
      <c r="I132" s="109">
        <v>2.7160041208426562</v>
      </c>
      <c r="J132" s="109">
        <v>2.2385820145340936</v>
      </c>
      <c r="K132" s="110">
        <v>0.69508920765916349</v>
      </c>
    </row>
    <row r="133" spans="2:11" x14ac:dyDescent="0.3">
      <c r="B133" s="111"/>
      <c r="C133" s="112" t="s">
        <v>1483</v>
      </c>
      <c r="D133" s="1499">
        <v>3.5085736911024727</v>
      </c>
      <c r="E133" s="1499">
        <v>2.6059824495843928</v>
      </c>
      <c r="F133" s="1499">
        <v>1.6728701784272761</v>
      </c>
      <c r="G133" s="1499">
        <v>1.405397552307017</v>
      </c>
      <c r="H133" s="1499">
        <v>1.5123494526771839</v>
      </c>
      <c r="I133" s="1499">
        <v>3.1900026050997279</v>
      </c>
      <c r="J133" s="1499">
        <v>2.7195811611244229</v>
      </c>
      <c r="K133" s="113">
        <v>1.1652969236258139</v>
      </c>
    </row>
    <row r="134" spans="2:11" x14ac:dyDescent="0.3">
      <c r="B134" s="111" t="s">
        <v>1986</v>
      </c>
      <c r="C134" s="112" t="s">
        <v>1489</v>
      </c>
      <c r="D134" s="1499">
        <v>3.4549557204898207</v>
      </c>
      <c r="E134" s="1499">
        <v>2.5523644789717408</v>
      </c>
      <c r="F134" s="1499">
        <v>1.6192522078146243</v>
      </c>
      <c r="G134" s="1499">
        <v>1.3517795816943652</v>
      </c>
      <c r="H134" s="1499">
        <v>1.4587314820645318</v>
      </c>
      <c r="I134" s="1499">
        <v>3.1363846344870758</v>
      </c>
      <c r="J134" s="1499">
        <v>2.6659631905117709</v>
      </c>
      <c r="K134" s="113">
        <v>1.1116789530131621</v>
      </c>
    </row>
    <row r="135" spans="2:11" x14ac:dyDescent="0.3">
      <c r="B135" s="114">
        <v>0</v>
      </c>
      <c r="C135" s="112" t="s">
        <v>1496</v>
      </c>
      <c r="D135" s="1499">
        <v>3.3745287645708428</v>
      </c>
      <c r="E135" s="1499">
        <v>2.4719375230527634</v>
      </c>
      <c r="F135" s="1499">
        <v>1.5388252518956467</v>
      </c>
      <c r="G135" s="1499">
        <v>1.2713526257753875</v>
      </c>
      <c r="H135" s="1499">
        <v>1.3783045261455544</v>
      </c>
      <c r="I135" s="1499">
        <v>3.055957678568098</v>
      </c>
      <c r="J135" s="1499">
        <v>2.585536234592793</v>
      </c>
      <c r="K135" s="113">
        <v>1.0312519970941845</v>
      </c>
    </row>
    <row r="136" spans="2:11" x14ac:dyDescent="0.3">
      <c r="B136" s="115"/>
      <c r="C136" s="112" t="s">
        <v>1500</v>
      </c>
      <c r="D136" s="1499">
        <v>3.2941018086518654</v>
      </c>
      <c r="E136" s="1499">
        <v>2.391510567133786</v>
      </c>
      <c r="F136" s="1499">
        <v>1.458398295976669</v>
      </c>
      <c r="G136" s="1499">
        <v>1.1909256698564099</v>
      </c>
      <c r="H136" s="1499">
        <v>1.2978775702265768</v>
      </c>
      <c r="I136" s="1499">
        <v>2.975530722649121</v>
      </c>
      <c r="J136" s="1499">
        <v>2.5051092786738161</v>
      </c>
      <c r="K136" s="113">
        <v>0.95082504117520683</v>
      </c>
    </row>
    <row r="137" spans="2:11" x14ac:dyDescent="0.3">
      <c r="B137" s="115"/>
      <c r="C137" s="112" t="s">
        <v>1504</v>
      </c>
      <c r="D137" s="1499">
        <v>3.418787938070782</v>
      </c>
      <c r="E137" s="1499">
        <v>2.5055126915264379</v>
      </c>
      <c r="F137" s="1499">
        <v>1.5722425960800137</v>
      </c>
      <c r="G137" s="1499">
        <v>1.3142945778026094</v>
      </c>
      <c r="H137" s="1499">
        <v>1.4170115845246136</v>
      </c>
      <c r="I137" s="1499">
        <v>3.0912302236683518</v>
      </c>
      <c r="J137" s="1499">
        <v>2.6203395117552106</v>
      </c>
      <c r="K137" s="113">
        <v>1.0711527705293227</v>
      </c>
    </row>
    <row r="138" spans="2:11" x14ac:dyDescent="0.3">
      <c r="B138" s="115"/>
      <c r="C138" s="112" t="s">
        <v>1508</v>
      </c>
      <c r="D138" s="1499">
        <v>3.3746936618575223</v>
      </c>
      <c r="E138" s="1499">
        <v>2.4614184153131786</v>
      </c>
      <c r="F138" s="1499">
        <v>1.5281483198667545</v>
      </c>
      <c r="G138" s="1499">
        <v>1.2702003015893499</v>
      </c>
      <c r="H138" s="1499">
        <v>1.3729173083113542</v>
      </c>
      <c r="I138" s="1499">
        <v>3.0471359474550925</v>
      </c>
      <c r="J138" s="1499">
        <v>2.5762452355419514</v>
      </c>
      <c r="K138" s="113">
        <v>1.0270584943160634</v>
      </c>
    </row>
    <row r="139" spans="2:11" x14ac:dyDescent="0.3">
      <c r="B139" s="115"/>
      <c r="C139" s="112" t="s">
        <v>1513</v>
      </c>
      <c r="D139" s="1499">
        <v>3.3085522475376337</v>
      </c>
      <c r="E139" s="1499">
        <v>2.3952770009932896</v>
      </c>
      <c r="F139" s="1499">
        <v>1.4620069055468656</v>
      </c>
      <c r="G139" s="1499">
        <v>1.2040588872694613</v>
      </c>
      <c r="H139" s="1499">
        <v>1.3067758939914655</v>
      </c>
      <c r="I139" s="1499">
        <v>2.9809945331352035</v>
      </c>
      <c r="J139" s="1499">
        <v>2.5101038212220623</v>
      </c>
      <c r="K139" s="113">
        <v>0.96091707999617471</v>
      </c>
    </row>
    <row r="140" spans="2:11" x14ac:dyDescent="0.3">
      <c r="B140" s="115"/>
      <c r="C140" s="112" t="s">
        <v>1517</v>
      </c>
      <c r="D140" s="1499">
        <v>3.242410833217745</v>
      </c>
      <c r="E140" s="1499">
        <v>2.3291355866734009</v>
      </c>
      <c r="F140" s="1499">
        <v>1.3958654912269768</v>
      </c>
      <c r="G140" s="1499">
        <v>1.1379174729495725</v>
      </c>
      <c r="H140" s="1499">
        <v>1.2406344796715767</v>
      </c>
      <c r="I140" s="1499">
        <v>2.9148531188153148</v>
      </c>
      <c r="J140" s="1499">
        <v>2.4439624069021737</v>
      </c>
      <c r="K140" s="113">
        <v>0.89477566567628597</v>
      </c>
    </row>
    <row r="141" spans="2:11" ht="14.5" thickBot="1" x14ac:dyDescent="0.35">
      <c r="B141" s="1233"/>
      <c r="C141" s="116" t="s">
        <v>1519</v>
      </c>
      <c r="D141" s="117">
        <v>3.5085736911024727</v>
      </c>
      <c r="E141" s="117">
        <v>2.6059824495843928</v>
      </c>
      <c r="F141" s="117">
        <v>1.6728701784272761</v>
      </c>
      <c r="G141" s="117">
        <v>1.405397552307017</v>
      </c>
      <c r="H141" s="117">
        <v>1.5123494526771839</v>
      </c>
      <c r="I141" s="117">
        <v>3.1900026050997279</v>
      </c>
      <c r="J141" s="117">
        <v>2.7195811611244229</v>
      </c>
      <c r="K141" s="118">
        <v>1.1652969236258139</v>
      </c>
    </row>
    <row r="142" spans="2:11" x14ac:dyDescent="0.3">
      <c r="B142" s="120" t="s">
        <v>1990</v>
      </c>
      <c r="C142" s="108" t="s">
        <v>1416</v>
      </c>
      <c r="D142" s="109">
        <v>3.0339948690644163</v>
      </c>
      <c r="E142" s="109">
        <v>2.0847724637437501</v>
      </c>
      <c r="F142" s="109">
        <v>1.1926490953781239</v>
      </c>
      <c r="G142" s="109">
        <v>0.90595724694212676</v>
      </c>
      <c r="H142" s="109">
        <v>1.044357881994942</v>
      </c>
      <c r="I142" s="109">
        <v>2.6805953730218768</v>
      </c>
      <c r="J142" s="109">
        <v>2.2031732667133141</v>
      </c>
      <c r="K142" s="110">
        <v>0.65968045983838408</v>
      </c>
    </row>
    <row r="143" spans="2:11" x14ac:dyDescent="0.3">
      <c r="B143" s="111"/>
      <c r="C143" s="112" t="s">
        <v>1483</v>
      </c>
      <c r="D143" s="1499">
        <v>3.4731649432816933</v>
      </c>
      <c r="E143" s="1499">
        <v>2.5705737017636134</v>
      </c>
      <c r="F143" s="1499">
        <v>1.6374614306064967</v>
      </c>
      <c r="G143" s="1499">
        <v>1.3699888044862376</v>
      </c>
      <c r="H143" s="1499">
        <v>1.4769407048564043</v>
      </c>
      <c r="I143" s="1499">
        <v>3.1545938572789485</v>
      </c>
      <c r="J143" s="1499">
        <v>2.6841724133036435</v>
      </c>
      <c r="K143" s="113">
        <v>1.1298881758050345</v>
      </c>
    </row>
    <row r="144" spans="2:11" x14ac:dyDescent="0.3">
      <c r="B144" s="111" t="s">
        <v>1987</v>
      </c>
      <c r="C144" s="112" t="s">
        <v>1489</v>
      </c>
      <c r="D144" s="1499">
        <v>3.4195469726690413</v>
      </c>
      <c r="E144" s="1499">
        <v>2.5169557311509614</v>
      </c>
      <c r="F144" s="1499">
        <v>1.5838434599938447</v>
      </c>
      <c r="G144" s="1499">
        <v>1.3163708338735856</v>
      </c>
      <c r="H144" s="1499">
        <v>1.4233227342437524</v>
      </c>
      <c r="I144" s="1499">
        <v>3.1009758866662964</v>
      </c>
      <c r="J144" s="1499">
        <v>2.6305544426909915</v>
      </c>
      <c r="K144" s="113">
        <v>1.0762702051923827</v>
      </c>
    </row>
    <row r="145" spans="2:11" x14ac:dyDescent="0.3">
      <c r="B145" s="114">
        <v>0</v>
      </c>
      <c r="C145" s="112" t="s">
        <v>1496</v>
      </c>
      <c r="D145" s="1499">
        <v>3.3391200167500634</v>
      </c>
      <c r="E145" s="1499">
        <v>2.436528775231984</v>
      </c>
      <c r="F145" s="1499">
        <v>1.5034165040748673</v>
      </c>
      <c r="G145" s="1499">
        <v>1.2359438779546079</v>
      </c>
      <c r="H145" s="1499">
        <v>1.3428957783247748</v>
      </c>
      <c r="I145" s="1499">
        <v>3.0205489307473186</v>
      </c>
      <c r="J145" s="1499">
        <v>2.5501274867720136</v>
      </c>
      <c r="K145" s="113">
        <v>0.99584324927340495</v>
      </c>
    </row>
    <row r="146" spans="2:11" x14ac:dyDescent="0.3">
      <c r="B146" s="115"/>
      <c r="C146" s="112" t="s">
        <v>1500</v>
      </c>
      <c r="D146" s="1499">
        <v>3.258693060831086</v>
      </c>
      <c r="E146" s="1499">
        <v>2.3561018193130061</v>
      </c>
      <c r="F146" s="1499">
        <v>1.4229895481558894</v>
      </c>
      <c r="G146" s="1499">
        <v>1.1555169220356303</v>
      </c>
      <c r="H146" s="1499">
        <v>1.2624688224057969</v>
      </c>
      <c r="I146" s="1499">
        <v>2.9401219748283416</v>
      </c>
      <c r="J146" s="1499">
        <v>2.4697005308530362</v>
      </c>
      <c r="K146" s="113">
        <v>0.91541629335442742</v>
      </c>
    </row>
    <row r="147" spans="2:11" x14ac:dyDescent="0.3">
      <c r="B147" s="115"/>
      <c r="C147" s="112" t="s">
        <v>1504</v>
      </c>
      <c r="D147" s="1499">
        <v>3.3833791902500021</v>
      </c>
      <c r="E147" s="1499">
        <v>2.4701039437056584</v>
      </c>
      <c r="F147" s="1499">
        <v>1.5368338482592343</v>
      </c>
      <c r="G147" s="1499">
        <v>1.2788858299818298</v>
      </c>
      <c r="H147" s="1499">
        <v>1.381602836703834</v>
      </c>
      <c r="I147" s="1499">
        <v>3.0558214758475724</v>
      </c>
      <c r="J147" s="1499">
        <v>2.5849307639344312</v>
      </c>
      <c r="K147" s="113">
        <v>1.035744022708543</v>
      </c>
    </row>
    <row r="148" spans="2:11" x14ac:dyDescent="0.3">
      <c r="B148" s="115"/>
      <c r="C148" s="112" t="s">
        <v>1508</v>
      </c>
      <c r="D148" s="1499">
        <v>3.3392849140367429</v>
      </c>
      <c r="E148" s="1499">
        <v>2.4260096674923988</v>
      </c>
      <c r="F148" s="1499">
        <v>1.4927395720459748</v>
      </c>
      <c r="G148" s="1499">
        <v>1.2347915537685705</v>
      </c>
      <c r="H148" s="1499">
        <v>1.3375085604905748</v>
      </c>
      <c r="I148" s="1499">
        <v>3.0117271996343127</v>
      </c>
      <c r="J148" s="1499">
        <v>2.540836487721172</v>
      </c>
      <c r="K148" s="113">
        <v>0.99164974649528392</v>
      </c>
    </row>
    <row r="149" spans="2:11" x14ac:dyDescent="0.3">
      <c r="B149" s="115"/>
      <c r="C149" s="112" t="s">
        <v>1513</v>
      </c>
      <c r="D149" s="1499">
        <v>3.2731434997168543</v>
      </c>
      <c r="E149" s="1499">
        <v>2.3598682531725101</v>
      </c>
      <c r="F149" s="1499">
        <v>1.4265981577260862</v>
      </c>
      <c r="G149" s="1499">
        <v>1.1686501394486817</v>
      </c>
      <c r="H149" s="1499">
        <v>1.2713671461706861</v>
      </c>
      <c r="I149" s="1499">
        <v>2.9455857853144241</v>
      </c>
      <c r="J149" s="1499">
        <v>2.4746950734012829</v>
      </c>
      <c r="K149" s="113">
        <v>0.92550833217539519</v>
      </c>
    </row>
    <row r="150" spans="2:11" x14ac:dyDescent="0.3">
      <c r="B150" s="115"/>
      <c r="C150" s="112" t="s">
        <v>1517</v>
      </c>
      <c r="D150" s="1499">
        <v>3.2070020853969656</v>
      </c>
      <c r="E150" s="1499">
        <v>2.2937268388526215</v>
      </c>
      <c r="F150" s="1499">
        <v>1.3604567434061974</v>
      </c>
      <c r="G150" s="1499">
        <v>1.1025087251287928</v>
      </c>
      <c r="H150" s="1499">
        <v>1.2052257318507971</v>
      </c>
      <c r="I150" s="1499">
        <v>2.8794443709945354</v>
      </c>
      <c r="J150" s="1499">
        <v>2.4085536590813943</v>
      </c>
      <c r="K150" s="113">
        <v>0.85936691785550645</v>
      </c>
    </row>
    <row r="151" spans="2:11" ht="14.5" thickBot="1" x14ac:dyDescent="0.35">
      <c r="B151" s="1233"/>
      <c r="C151" s="116" t="s">
        <v>1519</v>
      </c>
      <c r="D151" s="117">
        <v>3.4731649432816933</v>
      </c>
      <c r="E151" s="117">
        <v>2.5705737017636134</v>
      </c>
      <c r="F151" s="117">
        <v>1.6374614306064967</v>
      </c>
      <c r="G151" s="117">
        <v>1.3699888044862376</v>
      </c>
      <c r="H151" s="117">
        <v>1.4769407048564043</v>
      </c>
      <c r="I151" s="117">
        <v>3.1545938572789485</v>
      </c>
      <c r="J151" s="117">
        <v>2.6841724133036435</v>
      </c>
      <c r="K151" s="118">
        <v>1.1298881758050345</v>
      </c>
    </row>
    <row r="152" spans="2:11" x14ac:dyDescent="0.3">
      <c r="B152" s="120" t="s">
        <v>1990</v>
      </c>
      <c r="C152" s="108" t="s">
        <v>1416</v>
      </c>
      <c r="D152" s="109">
        <v>2.980881747333247</v>
      </c>
      <c r="E152" s="109">
        <v>2.0316593420125808</v>
      </c>
      <c r="F152" s="109">
        <v>1.1395359736469546</v>
      </c>
      <c r="G152" s="109">
        <v>0.85284412521095743</v>
      </c>
      <c r="H152" s="109">
        <v>0.99124476026377262</v>
      </c>
      <c r="I152" s="109">
        <v>2.6274822512907074</v>
      </c>
      <c r="J152" s="109">
        <v>2.1500601449821448</v>
      </c>
      <c r="K152" s="110">
        <v>0.60656733810721475</v>
      </c>
    </row>
    <row r="153" spans="2:11" x14ac:dyDescent="0.3">
      <c r="B153" s="111"/>
      <c r="C153" s="112" t="s">
        <v>1483</v>
      </c>
      <c r="D153" s="1499">
        <v>3.420051821550524</v>
      </c>
      <c r="E153" s="1499">
        <v>2.5174605800324441</v>
      </c>
      <c r="F153" s="1499">
        <v>1.5843483088753272</v>
      </c>
      <c r="G153" s="1499">
        <v>1.3168756827550681</v>
      </c>
      <c r="H153" s="1499">
        <v>1.4238275831252349</v>
      </c>
      <c r="I153" s="1499">
        <v>3.1014807355477791</v>
      </c>
      <c r="J153" s="1499">
        <v>2.6310592915724742</v>
      </c>
      <c r="K153" s="113">
        <v>1.0767750540738652</v>
      </c>
    </row>
    <row r="154" spans="2:11" x14ac:dyDescent="0.3">
      <c r="B154" s="111" t="s">
        <v>1988</v>
      </c>
      <c r="C154" s="112" t="s">
        <v>1489</v>
      </c>
      <c r="D154" s="1499">
        <v>3.366433850937872</v>
      </c>
      <c r="E154" s="1499">
        <v>2.4638426094197921</v>
      </c>
      <c r="F154" s="1499">
        <v>1.5307303382626756</v>
      </c>
      <c r="G154" s="1499">
        <v>1.2632577121424164</v>
      </c>
      <c r="H154" s="1499">
        <v>1.3702096125125833</v>
      </c>
      <c r="I154" s="1499">
        <v>3.0478627649351275</v>
      </c>
      <c r="J154" s="1499">
        <v>2.5774413209598221</v>
      </c>
      <c r="K154" s="113">
        <v>1.0231570834612134</v>
      </c>
    </row>
    <row r="155" spans="2:11" x14ac:dyDescent="0.3">
      <c r="B155" s="114">
        <v>0</v>
      </c>
      <c r="C155" s="112" t="s">
        <v>1496</v>
      </c>
      <c r="D155" s="1499">
        <v>3.2860068950188941</v>
      </c>
      <c r="E155" s="1499">
        <v>2.3834156535008142</v>
      </c>
      <c r="F155" s="1499">
        <v>1.4503033823436977</v>
      </c>
      <c r="G155" s="1499">
        <v>1.1828307562234386</v>
      </c>
      <c r="H155" s="1499">
        <v>1.2897826565936055</v>
      </c>
      <c r="I155" s="1499">
        <v>2.9674358090161497</v>
      </c>
      <c r="J155" s="1499">
        <v>2.4970143650408443</v>
      </c>
      <c r="K155" s="113">
        <v>0.94273012754223573</v>
      </c>
    </row>
    <row r="156" spans="2:11" x14ac:dyDescent="0.3">
      <c r="B156" s="115"/>
      <c r="C156" s="112" t="s">
        <v>1500</v>
      </c>
      <c r="D156" s="1499">
        <v>3.2055799390999167</v>
      </c>
      <c r="E156" s="1499">
        <v>2.3029886975818368</v>
      </c>
      <c r="F156" s="1499">
        <v>1.3698764264247201</v>
      </c>
      <c r="G156" s="1499">
        <v>1.1024038003044609</v>
      </c>
      <c r="H156" s="1499">
        <v>1.2093557006746278</v>
      </c>
      <c r="I156" s="1499">
        <v>2.8870088530971723</v>
      </c>
      <c r="J156" s="1499">
        <v>2.4165874091218669</v>
      </c>
      <c r="K156" s="113">
        <v>0.86230317162325798</v>
      </c>
    </row>
    <row r="157" spans="2:11" x14ac:dyDescent="0.3">
      <c r="B157" s="115"/>
      <c r="C157" s="112" t="s">
        <v>1504</v>
      </c>
      <c r="D157" s="1499">
        <v>3.3302660685188332</v>
      </c>
      <c r="E157" s="1499">
        <v>2.4169908219744887</v>
      </c>
      <c r="F157" s="1499">
        <v>1.4837207265280647</v>
      </c>
      <c r="G157" s="1499">
        <v>1.2257727082506604</v>
      </c>
      <c r="H157" s="1499">
        <v>1.3284897149726647</v>
      </c>
      <c r="I157" s="1499">
        <v>3.002708354116403</v>
      </c>
      <c r="J157" s="1499">
        <v>2.5318176422032619</v>
      </c>
      <c r="K157" s="113">
        <v>0.98263090097737382</v>
      </c>
    </row>
    <row r="158" spans="2:11" x14ac:dyDescent="0.3">
      <c r="B158" s="115"/>
      <c r="C158" s="112" t="s">
        <v>1508</v>
      </c>
      <c r="D158" s="1499">
        <v>3.2861717923055735</v>
      </c>
      <c r="E158" s="1499">
        <v>2.3728965457612299</v>
      </c>
      <c r="F158" s="1499">
        <v>1.4396264503148057</v>
      </c>
      <c r="G158" s="1499">
        <v>1.1816784320374012</v>
      </c>
      <c r="H158" s="1499">
        <v>1.2843954387594054</v>
      </c>
      <c r="I158" s="1499">
        <v>2.9586140779031438</v>
      </c>
      <c r="J158" s="1499">
        <v>2.4877233659900027</v>
      </c>
      <c r="K158" s="113">
        <v>0.93853662476411459</v>
      </c>
    </row>
    <row r="159" spans="2:11" x14ac:dyDescent="0.3">
      <c r="B159" s="115"/>
      <c r="C159" s="112" t="s">
        <v>1513</v>
      </c>
      <c r="D159" s="1499">
        <v>3.2200303779856849</v>
      </c>
      <c r="E159" s="1499">
        <v>2.3067551314413408</v>
      </c>
      <c r="F159" s="1499">
        <v>1.3734850359949167</v>
      </c>
      <c r="G159" s="1499">
        <v>1.1155370177175126</v>
      </c>
      <c r="H159" s="1499">
        <v>1.2182540244395168</v>
      </c>
      <c r="I159" s="1499">
        <v>2.8924726635832547</v>
      </c>
      <c r="J159" s="1499">
        <v>2.4215819516701136</v>
      </c>
      <c r="K159" s="113">
        <v>0.87239521044422597</v>
      </c>
    </row>
    <row r="160" spans="2:11" x14ac:dyDescent="0.3">
      <c r="B160" s="115"/>
      <c r="C160" s="112" t="s">
        <v>1517</v>
      </c>
      <c r="D160" s="1499">
        <v>3.1538889636657959</v>
      </c>
      <c r="E160" s="1499">
        <v>2.2406137171214522</v>
      </c>
      <c r="F160" s="1499">
        <v>1.307343621675028</v>
      </c>
      <c r="G160" s="1499">
        <v>1.0493956033976237</v>
      </c>
      <c r="H160" s="1499">
        <v>1.152112610119628</v>
      </c>
      <c r="I160" s="1499">
        <v>2.8263312492633665</v>
      </c>
      <c r="J160" s="1499">
        <v>2.355440537350225</v>
      </c>
      <c r="K160" s="113">
        <v>0.80625379612433712</v>
      </c>
    </row>
    <row r="161" spans="2:11" ht="14.5" thickBot="1" x14ac:dyDescent="0.35">
      <c r="B161" s="1233"/>
      <c r="C161" s="116" t="s">
        <v>1519</v>
      </c>
      <c r="D161" s="117">
        <v>3.420051821550524</v>
      </c>
      <c r="E161" s="117">
        <v>2.5174605800324441</v>
      </c>
      <c r="F161" s="117">
        <v>1.5843483088753272</v>
      </c>
      <c r="G161" s="117">
        <v>1.3168756827550681</v>
      </c>
      <c r="H161" s="117">
        <v>1.4238275831252349</v>
      </c>
      <c r="I161" s="117">
        <v>3.1014807355477791</v>
      </c>
      <c r="J161" s="117">
        <v>2.6310592915724742</v>
      </c>
      <c r="K161" s="118">
        <v>1.0767750540738652</v>
      </c>
    </row>
    <row r="162" spans="2:11" x14ac:dyDescent="0.3">
      <c r="B162" s="120" t="s">
        <v>1990</v>
      </c>
      <c r="C162" s="108" t="s">
        <v>1416</v>
      </c>
      <c r="D162" s="109">
        <v>2.9277686256020781</v>
      </c>
      <c r="E162" s="109">
        <v>1.9785462202814115</v>
      </c>
      <c r="F162" s="109">
        <v>1.0864228519157852</v>
      </c>
      <c r="G162" s="109">
        <v>0.79973100347978821</v>
      </c>
      <c r="H162" s="109">
        <v>0.9381316385326034</v>
      </c>
      <c r="I162" s="109">
        <v>2.5743691295595381</v>
      </c>
      <c r="J162" s="109">
        <v>2.0969470232509755</v>
      </c>
      <c r="K162" s="110">
        <v>0.55345421637604542</v>
      </c>
    </row>
    <row r="163" spans="2:11" x14ac:dyDescent="0.3">
      <c r="B163" s="111"/>
      <c r="C163" s="112" t="s">
        <v>1483</v>
      </c>
      <c r="D163" s="1499">
        <v>3.3669386998193547</v>
      </c>
      <c r="E163" s="1499">
        <v>2.4643474583012748</v>
      </c>
      <c r="F163" s="1499">
        <v>1.5312351871441581</v>
      </c>
      <c r="G163" s="1499">
        <v>1.2637625610238987</v>
      </c>
      <c r="H163" s="1499">
        <v>1.3707144613940656</v>
      </c>
      <c r="I163" s="1499">
        <v>3.0483676138166098</v>
      </c>
      <c r="J163" s="1499">
        <v>2.5779461698413049</v>
      </c>
      <c r="K163" s="113">
        <v>1.0236619323426959</v>
      </c>
    </row>
    <row r="164" spans="2:11" x14ac:dyDescent="0.3">
      <c r="B164" s="111" t="s">
        <v>1989</v>
      </c>
      <c r="C164" s="112" t="s">
        <v>1489</v>
      </c>
      <c r="D164" s="1499">
        <v>3.3133207292067026</v>
      </c>
      <c r="E164" s="1499">
        <v>2.4107294876886232</v>
      </c>
      <c r="F164" s="1499">
        <v>1.4776172165315062</v>
      </c>
      <c r="G164" s="1499">
        <v>1.2101445904112471</v>
      </c>
      <c r="H164" s="1499">
        <v>1.317096490781414</v>
      </c>
      <c r="I164" s="1499">
        <v>2.9947496432039582</v>
      </c>
      <c r="J164" s="1499">
        <v>2.5243281992286533</v>
      </c>
      <c r="K164" s="113">
        <v>0.97004396173004404</v>
      </c>
    </row>
    <row r="165" spans="2:11" x14ac:dyDescent="0.3">
      <c r="B165" s="114">
        <v>0</v>
      </c>
      <c r="C165" s="112" t="s">
        <v>1496</v>
      </c>
      <c r="D165" s="1499">
        <v>3.2328937732877248</v>
      </c>
      <c r="E165" s="1499">
        <v>2.3303025317696453</v>
      </c>
      <c r="F165" s="1499">
        <v>1.3971902606125284</v>
      </c>
      <c r="G165" s="1499">
        <v>1.1297176344922693</v>
      </c>
      <c r="H165" s="1499">
        <v>1.2366695348624361</v>
      </c>
      <c r="I165" s="1499">
        <v>2.9143226872849803</v>
      </c>
      <c r="J165" s="1499">
        <v>2.4439012433096754</v>
      </c>
      <c r="K165" s="113">
        <v>0.8896170058110664</v>
      </c>
    </row>
    <row r="166" spans="2:11" x14ac:dyDescent="0.3">
      <c r="B166" s="115"/>
      <c r="C166" s="112" t="s">
        <v>1500</v>
      </c>
      <c r="D166" s="1499">
        <v>3.1524668173687469</v>
      </c>
      <c r="E166" s="1499">
        <v>2.2498755758506674</v>
      </c>
      <c r="F166" s="1499">
        <v>1.316763304693551</v>
      </c>
      <c r="G166" s="1499">
        <v>1.0492906785732918</v>
      </c>
      <c r="H166" s="1499">
        <v>1.1562425789434585</v>
      </c>
      <c r="I166" s="1499">
        <v>2.8338957313660025</v>
      </c>
      <c r="J166" s="1499">
        <v>2.3634742873906975</v>
      </c>
      <c r="K166" s="113">
        <v>0.80919004989208876</v>
      </c>
    </row>
    <row r="167" spans="2:11" x14ac:dyDescent="0.3">
      <c r="B167" s="115"/>
      <c r="C167" s="112" t="s">
        <v>1504</v>
      </c>
      <c r="D167" s="1499">
        <v>3.2771529467876639</v>
      </c>
      <c r="E167" s="1499">
        <v>2.3638777002433193</v>
      </c>
      <c r="F167" s="1499">
        <v>1.4306076047968954</v>
      </c>
      <c r="G167" s="1499">
        <v>1.1726595865194911</v>
      </c>
      <c r="H167" s="1499">
        <v>1.2753765932414953</v>
      </c>
      <c r="I167" s="1499">
        <v>2.9495952323852337</v>
      </c>
      <c r="J167" s="1499">
        <v>2.4787045204720926</v>
      </c>
      <c r="K167" s="113">
        <v>0.92951777924620449</v>
      </c>
    </row>
    <row r="168" spans="2:11" x14ac:dyDescent="0.3">
      <c r="B168" s="115"/>
      <c r="C168" s="112" t="s">
        <v>1508</v>
      </c>
      <c r="D168" s="1499">
        <v>3.2330586705744047</v>
      </c>
      <c r="E168" s="1499">
        <v>2.3197834240300605</v>
      </c>
      <c r="F168" s="1499">
        <v>1.3865133285836364</v>
      </c>
      <c r="G168" s="1499">
        <v>1.1285653103062319</v>
      </c>
      <c r="H168" s="1499">
        <v>1.2312823170282361</v>
      </c>
      <c r="I168" s="1499">
        <v>2.9055009561719745</v>
      </c>
      <c r="J168" s="1499">
        <v>2.4346102442588333</v>
      </c>
      <c r="K168" s="113">
        <v>0.88542350303294537</v>
      </c>
    </row>
    <row r="169" spans="2:11" x14ac:dyDescent="0.3">
      <c r="B169" s="115"/>
      <c r="C169" s="112" t="s">
        <v>1513</v>
      </c>
      <c r="D169" s="1499">
        <v>3.1669172562545156</v>
      </c>
      <c r="E169" s="1499">
        <v>2.2536420097101715</v>
      </c>
      <c r="F169" s="1499">
        <v>1.3203719142637476</v>
      </c>
      <c r="G169" s="1499">
        <v>1.0624238959863432</v>
      </c>
      <c r="H169" s="1499">
        <v>1.1651409027083475</v>
      </c>
      <c r="I169" s="1499">
        <v>2.8393595418520854</v>
      </c>
      <c r="J169" s="1499">
        <v>2.3684688299389443</v>
      </c>
      <c r="K169" s="113">
        <v>0.81928208871305652</v>
      </c>
    </row>
    <row r="170" spans="2:11" x14ac:dyDescent="0.3">
      <c r="B170" s="115"/>
      <c r="C170" s="112" t="s">
        <v>1517</v>
      </c>
      <c r="D170" s="1499">
        <v>3.1007758419346265</v>
      </c>
      <c r="E170" s="1499">
        <v>2.1875005953902829</v>
      </c>
      <c r="F170" s="1499">
        <v>1.2542304999438589</v>
      </c>
      <c r="G170" s="1499">
        <v>0.9962824816664545</v>
      </c>
      <c r="H170" s="1499">
        <v>1.0989994883884586</v>
      </c>
      <c r="I170" s="1499">
        <v>2.7732181275321968</v>
      </c>
      <c r="J170" s="1499">
        <v>2.3023274156190556</v>
      </c>
      <c r="K170" s="113">
        <v>0.75314067439316779</v>
      </c>
    </row>
    <row r="171" spans="2:11" ht="14.5" thickBot="1" x14ac:dyDescent="0.35">
      <c r="B171" s="1233"/>
      <c r="C171" s="116" t="s">
        <v>1519</v>
      </c>
      <c r="D171" s="117">
        <v>3.3669386998193547</v>
      </c>
      <c r="E171" s="117">
        <v>2.4643474583012748</v>
      </c>
      <c r="F171" s="117">
        <v>1.5312351871441581</v>
      </c>
      <c r="G171" s="117">
        <v>1.2637625610238987</v>
      </c>
      <c r="H171" s="117">
        <v>1.3707144613940656</v>
      </c>
      <c r="I171" s="117">
        <v>3.0483676138166098</v>
      </c>
      <c r="J171" s="117">
        <v>2.5779461698413049</v>
      </c>
      <c r="K171" s="118">
        <v>1.0236619323426959</v>
      </c>
    </row>
    <row r="173" spans="2:11" ht="14.5" thickBot="1" x14ac:dyDescent="0.35"/>
    <row r="174" spans="2:11" ht="25.5" thickBot="1" x14ac:dyDescent="0.55000000000000004">
      <c r="B174" s="88" t="s">
        <v>1960</v>
      </c>
      <c r="C174" s="89"/>
      <c r="D174" s="90">
        <v>5</v>
      </c>
      <c r="E174" s="91" t="s">
        <v>1991</v>
      </c>
      <c r="F174" s="92"/>
      <c r="G174" s="92"/>
      <c r="H174" s="92"/>
      <c r="I174" s="93"/>
      <c r="J174" s="89" t="s">
        <v>176</v>
      </c>
      <c r="K174" s="94" t="s">
        <v>234</v>
      </c>
    </row>
    <row r="175" spans="2:11" ht="14.5" thickBot="1" x14ac:dyDescent="0.35">
      <c r="B175" s="95" t="s">
        <v>1962</v>
      </c>
      <c r="C175" s="96" t="s">
        <v>1963</v>
      </c>
      <c r="D175" s="95" t="s">
        <v>1964</v>
      </c>
      <c r="E175" s="97" t="s">
        <v>1965</v>
      </c>
      <c r="F175" s="97" t="s">
        <v>1966</v>
      </c>
      <c r="G175" s="97" t="s">
        <v>1967</v>
      </c>
      <c r="H175" s="97" t="s">
        <v>1968</v>
      </c>
      <c r="I175" s="97" t="s">
        <v>1969</v>
      </c>
      <c r="J175" s="97" t="s">
        <v>1970</v>
      </c>
      <c r="K175" s="98" t="s">
        <v>1971</v>
      </c>
    </row>
    <row r="176" spans="2:11" ht="14.5" thickBot="1" x14ac:dyDescent="0.35">
      <c r="B176" s="99"/>
      <c r="C176" s="99"/>
      <c r="D176" s="100"/>
      <c r="E176" s="944"/>
      <c r="F176" s="944"/>
      <c r="G176" s="944"/>
      <c r="H176" s="944"/>
      <c r="I176" s="944"/>
      <c r="J176" s="944"/>
      <c r="K176" s="102"/>
    </row>
    <row r="177" spans="2:11" ht="90.5" thickBot="1" x14ac:dyDescent="0.45">
      <c r="B177" s="103" t="s">
        <v>1972</v>
      </c>
      <c r="C177" s="103" t="s">
        <v>1973</v>
      </c>
      <c r="D177" s="105" t="s">
        <v>1974</v>
      </c>
      <c r="E177" s="105" t="s">
        <v>1525</v>
      </c>
      <c r="F177" s="105" t="s">
        <v>1527</v>
      </c>
      <c r="G177" s="105" t="s">
        <v>1975</v>
      </c>
      <c r="H177" s="105" t="s">
        <v>1976</v>
      </c>
      <c r="I177" s="105" t="s">
        <v>1445</v>
      </c>
      <c r="J177" s="105" t="s">
        <v>1538</v>
      </c>
      <c r="K177" s="106" t="s">
        <v>1541</v>
      </c>
    </row>
    <row r="178" spans="2:11" x14ac:dyDescent="0.3">
      <c r="B178" s="120" t="s">
        <v>1992</v>
      </c>
      <c r="C178" s="108" t="s">
        <v>1416</v>
      </c>
      <c r="D178" s="109">
        <v>4.1946940960630208</v>
      </c>
      <c r="E178" s="109">
        <v>3.3217825114769206</v>
      </c>
      <c r="F178" s="109">
        <v>2.2458885521121794</v>
      </c>
      <c r="G178" s="109">
        <v>1.9908482090434709</v>
      </c>
      <c r="H178" s="109">
        <v>2.1000038628512505</v>
      </c>
      <c r="I178" s="109">
        <v>3.9361571829301916</v>
      </c>
      <c r="J178" s="109">
        <v>3.4470624141946007</v>
      </c>
      <c r="K178" s="110">
        <v>1.6783444460640595</v>
      </c>
    </row>
    <row r="179" spans="2:11" x14ac:dyDescent="0.3">
      <c r="B179" s="128"/>
      <c r="C179" s="112" t="s">
        <v>1483</v>
      </c>
      <c r="D179" s="1499">
        <v>4.7657311844593702</v>
      </c>
      <c r="E179" s="1499">
        <v>3.9085955754122228</v>
      </c>
      <c r="F179" s="1499">
        <v>2.8484341871626717</v>
      </c>
      <c r="G179" s="1499">
        <v>2.6134951653470946</v>
      </c>
      <c r="H179" s="1499">
        <v>2.7041666679033578</v>
      </c>
      <c r="I179" s="1499">
        <v>4.5104351115998451</v>
      </c>
      <c r="J179" s="1499">
        <v>4.0331377357978564</v>
      </c>
      <c r="K179" s="113">
        <v>2.3002937646190862</v>
      </c>
    </row>
    <row r="180" spans="2:11" x14ac:dyDescent="0.3">
      <c r="B180" s="128"/>
      <c r="C180" s="112" t="s">
        <v>1489</v>
      </c>
      <c r="D180" s="1499">
        <v>4.7121132138467177</v>
      </c>
      <c r="E180" s="1499">
        <v>3.8549776047995712</v>
      </c>
      <c r="F180" s="1499">
        <v>2.7948162165500197</v>
      </c>
      <c r="G180" s="1499">
        <v>2.5598771947344425</v>
      </c>
      <c r="H180" s="1499">
        <v>2.6505486972907057</v>
      </c>
      <c r="I180" s="1499">
        <v>4.4568171409871935</v>
      </c>
      <c r="J180" s="1499">
        <v>3.9795197651852048</v>
      </c>
      <c r="K180" s="113">
        <v>2.2466757940064341</v>
      </c>
    </row>
    <row r="181" spans="2:11" x14ac:dyDescent="0.3">
      <c r="B181" s="122">
        <v>0</v>
      </c>
      <c r="C181" s="112" t="s">
        <v>1496</v>
      </c>
      <c r="D181" s="1499">
        <v>4.6316862579277398</v>
      </c>
      <c r="E181" s="1499">
        <v>3.7745506488805933</v>
      </c>
      <c r="F181" s="1499">
        <v>2.7143892606310418</v>
      </c>
      <c r="G181" s="1499">
        <v>2.4794502388154651</v>
      </c>
      <c r="H181" s="1499">
        <v>2.5701217413717279</v>
      </c>
      <c r="I181" s="1499">
        <v>4.3763901850682156</v>
      </c>
      <c r="J181" s="1499">
        <v>3.8990928092662269</v>
      </c>
      <c r="K181" s="113">
        <v>2.1662488380874567</v>
      </c>
    </row>
    <row r="182" spans="2:11" x14ac:dyDescent="0.3">
      <c r="B182" s="123"/>
      <c r="C182" s="112" t="s">
        <v>1500</v>
      </c>
      <c r="D182" s="1499">
        <v>4.5512593020087628</v>
      </c>
      <c r="E182" s="1499">
        <v>3.6941236929616159</v>
      </c>
      <c r="F182" s="1499">
        <v>2.6339623047120644</v>
      </c>
      <c r="G182" s="1499">
        <v>2.3990232828964873</v>
      </c>
      <c r="H182" s="1499">
        <v>2.4896947854527505</v>
      </c>
      <c r="I182" s="1499">
        <v>4.2959632291492378</v>
      </c>
      <c r="J182" s="1499">
        <v>3.8186658533472495</v>
      </c>
      <c r="K182" s="113">
        <v>2.0858218821684789</v>
      </c>
    </row>
    <row r="183" spans="2:11" x14ac:dyDescent="0.3">
      <c r="B183" s="123"/>
      <c r="C183" s="112" t="s">
        <v>1504</v>
      </c>
      <c r="D183" s="1499">
        <v>4.6541992616729209</v>
      </c>
      <c r="E183" s="1499">
        <v>3.7919848519518</v>
      </c>
      <c r="F183" s="1499">
        <v>2.7276394949024469</v>
      </c>
      <c r="G183" s="1499">
        <v>2.4902035686718769</v>
      </c>
      <c r="H183" s="1499">
        <v>2.5853788289596009</v>
      </c>
      <c r="I183" s="1499">
        <v>4.3962460100232068</v>
      </c>
      <c r="J183" s="1499">
        <v>3.9174163822824264</v>
      </c>
      <c r="K183" s="113">
        <v>2.1725417217587792</v>
      </c>
    </row>
    <row r="184" spans="2:11" x14ac:dyDescent="0.3">
      <c r="B184" s="123"/>
      <c r="C184" s="112" t="s">
        <v>1508</v>
      </c>
      <c r="D184" s="1499">
        <v>4.6101049854596612</v>
      </c>
      <c r="E184" s="1499">
        <v>3.7478905757385403</v>
      </c>
      <c r="F184" s="1499">
        <v>2.6835452186891877</v>
      </c>
      <c r="G184" s="1499">
        <v>2.4461092924586172</v>
      </c>
      <c r="H184" s="1499">
        <v>2.5412845527463417</v>
      </c>
      <c r="I184" s="1499">
        <v>4.3521517338099471</v>
      </c>
      <c r="J184" s="1499">
        <v>3.8733221060691672</v>
      </c>
      <c r="K184" s="113">
        <v>2.12844744554552</v>
      </c>
    </row>
    <row r="185" spans="2:11" x14ac:dyDescent="0.3">
      <c r="B185" s="123"/>
      <c r="C185" s="112" t="s">
        <v>1513</v>
      </c>
      <c r="D185" s="1499">
        <v>4.5439635711397726</v>
      </c>
      <c r="E185" s="1499">
        <v>3.6817491614186517</v>
      </c>
      <c r="F185" s="1499">
        <v>2.6174038043692986</v>
      </c>
      <c r="G185" s="1499">
        <v>2.3799678781387286</v>
      </c>
      <c r="H185" s="1499">
        <v>2.4751431384264531</v>
      </c>
      <c r="I185" s="1499">
        <v>4.2860103194900585</v>
      </c>
      <c r="J185" s="1499">
        <v>3.8071806917492781</v>
      </c>
      <c r="K185" s="113">
        <v>2.0623060312256314</v>
      </c>
    </row>
    <row r="186" spans="2:11" x14ac:dyDescent="0.3">
      <c r="B186" s="123"/>
      <c r="C186" s="112" t="s">
        <v>1517</v>
      </c>
      <c r="D186" s="1499">
        <v>4.4778221568198839</v>
      </c>
      <c r="E186" s="1499">
        <v>3.6156077470987631</v>
      </c>
      <c r="F186" s="1499">
        <v>2.5512623900494105</v>
      </c>
      <c r="G186" s="1499">
        <v>2.3138264638188399</v>
      </c>
      <c r="H186" s="1499">
        <v>2.409001724106564</v>
      </c>
      <c r="I186" s="1499">
        <v>4.2198689051701699</v>
      </c>
      <c r="J186" s="1499">
        <v>3.7410392774293899</v>
      </c>
      <c r="K186" s="113">
        <v>1.9961646169057425</v>
      </c>
    </row>
    <row r="187" spans="2:11" ht="14.5" thickBot="1" x14ac:dyDescent="0.35">
      <c r="B187" s="124"/>
      <c r="C187" s="116" t="s">
        <v>1519</v>
      </c>
      <c r="D187" s="117">
        <v>4.7657311844593702</v>
      </c>
      <c r="E187" s="117">
        <v>3.9085955754122228</v>
      </c>
      <c r="F187" s="117">
        <v>2.8484341871626717</v>
      </c>
      <c r="G187" s="117">
        <v>2.6134951653470946</v>
      </c>
      <c r="H187" s="117">
        <v>2.7041666679033578</v>
      </c>
      <c r="I187" s="117">
        <v>4.5104351115998451</v>
      </c>
      <c r="J187" s="117">
        <v>4.0331377357978564</v>
      </c>
      <c r="K187" s="118">
        <v>2.3002937646190862</v>
      </c>
    </row>
    <row r="188" spans="2:11" x14ac:dyDescent="0.3">
      <c r="B188" s="120" t="s">
        <v>1993</v>
      </c>
      <c r="C188" s="1234" t="s">
        <v>1416</v>
      </c>
      <c r="D188" s="109">
        <v>3.1606433400169052</v>
      </c>
      <c r="E188" s="109">
        <v>2.2536608073668809</v>
      </c>
      <c r="F188" s="109">
        <v>1.2771654328011051</v>
      </c>
      <c r="G188" s="109">
        <v>1.0073912668564595</v>
      </c>
      <c r="H188" s="109">
        <v>1.1322747441600987</v>
      </c>
      <c r="I188" s="109">
        <v>2.8725329749409387</v>
      </c>
      <c r="J188" s="109">
        <v>2.3759069109539368</v>
      </c>
      <c r="K188" s="110">
        <v>0.73259102996289982</v>
      </c>
    </row>
    <row r="189" spans="2:11" x14ac:dyDescent="0.3">
      <c r="B189" s="121"/>
      <c r="C189" s="1500" t="s">
        <v>1483</v>
      </c>
      <c r="D189" s="1499">
        <v>3.751616099457328</v>
      </c>
      <c r="E189" s="1499">
        <v>2.8990127575410907</v>
      </c>
      <c r="F189" s="1499">
        <v>1.8955959447934572</v>
      </c>
      <c r="G189" s="1499">
        <v>1.6526227956354063</v>
      </c>
      <c r="H189" s="1499">
        <v>1.7436106151998954</v>
      </c>
      <c r="I189" s="1499">
        <v>3.5013046535074523</v>
      </c>
      <c r="J189" s="1499">
        <v>3.0219050902513853</v>
      </c>
      <c r="K189" s="113">
        <v>1.3663580645686269</v>
      </c>
    </row>
    <row r="190" spans="2:11" x14ac:dyDescent="0.3">
      <c r="B190" s="128"/>
      <c r="C190" s="1500" t="s">
        <v>1489</v>
      </c>
      <c r="D190" s="1499">
        <v>3.6979981288446759</v>
      </c>
      <c r="E190" s="1499">
        <v>2.8453947869284386</v>
      </c>
      <c r="F190" s="1499">
        <v>1.8419779741808053</v>
      </c>
      <c r="G190" s="1499">
        <v>1.5990048250227544</v>
      </c>
      <c r="H190" s="1499">
        <v>1.6899926445872435</v>
      </c>
      <c r="I190" s="1499">
        <v>3.4476866828948003</v>
      </c>
      <c r="J190" s="1499">
        <v>2.9682871196387333</v>
      </c>
      <c r="K190" s="113">
        <v>1.312740093955975</v>
      </c>
    </row>
    <row r="191" spans="2:11" x14ac:dyDescent="0.3">
      <c r="B191" s="122">
        <v>0</v>
      </c>
      <c r="C191" s="1500" t="s">
        <v>1496</v>
      </c>
      <c r="D191" s="1499">
        <v>3.6175711729256981</v>
      </c>
      <c r="E191" s="1499">
        <v>2.7649678310094608</v>
      </c>
      <c r="F191" s="1499">
        <v>1.7615510182618277</v>
      </c>
      <c r="G191" s="1499">
        <v>1.5185778691037768</v>
      </c>
      <c r="H191" s="1499">
        <v>1.6095656886682659</v>
      </c>
      <c r="I191" s="1499">
        <v>3.3672597269758224</v>
      </c>
      <c r="J191" s="1499">
        <v>2.8878601637197554</v>
      </c>
      <c r="K191" s="113">
        <v>1.2323131380369974</v>
      </c>
    </row>
    <row r="192" spans="2:11" x14ac:dyDescent="0.3">
      <c r="B192" s="123"/>
      <c r="C192" s="1500" t="s">
        <v>1500</v>
      </c>
      <c r="D192" s="1499">
        <v>3.5371442170067207</v>
      </c>
      <c r="E192" s="1499">
        <v>2.6845408750904833</v>
      </c>
      <c r="F192" s="1499">
        <v>1.6811240623428498</v>
      </c>
      <c r="G192" s="1499">
        <v>1.4381509131847989</v>
      </c>
      <c r="H192" s="1499">
        <v>1.529138732749288</v>
      </c>
      <c r="I192" s="1499">
        <v>3.286832771056845</v>
      </c>
      <c r="J192" s="1499">
        <v>2.8074332078007784</v>
      </c>
      <c r="K192" s="113">
        <v>1.1518861821180197</v>
      </c>
    </row>
    <row r="193" spans="2:11" x14ac:dyDescent="0.3">
      <c r="B193" s="123"/>
      <c r="C193" s="1500" t="s">
        <v>1504</v>
      </c>
      <c r="D193" s="1499">
        <v>3.6329090875157868</v>
      </c>
      <c r="E193" s="1499">
        <v>2.768298996191942</v>
      </c>
      <c r="F193" s="1499">
        <v>1.7734393588300004</v>
      </c>
      <c r="G193" s="1499">
        <v>1.5148302110807068</v>
      </c>
      <c r="H193" s="1499">
        <v>1.6154216367815191</v>
      </c>
      <c r="I193" s="1499">
        <v>3.3767157733792743</v>
      </c>
      <c r="J193" s="1499">
        <v>2.8910108258435279</v>
      </c>
      <c r="K193" s="113">
        <v>1.2490325527165946</v>
      </c>
    </row>
    <row r="194" spans="2:11" x14ac:dyDescent="0.3">
      <c r="B194" s="123"/>
      <c r="C194" s="1500" t="s">
        <v>1508</v>
      </c>
      <c r="D194" s="1499">
        <v>3.5888148113025271</v>
      </c>
      <c r="E194" s="1499">
        <v>2.7242047199786827</v>
      </c>
      <c r="F194" s="1499">
        <v>1.7293450826167411</v>
      </c>
      <c r="G194" s="1499">
        <v>1.4707359348674476</v>
      </c>
      <c r="H194" s="1499">
        <v>1.5713273605682598</v>
      </c>
      <c r="I194" s="1499">
        <v>3.3326214971660151</v>
      </c>
      <c r="J194" s="1499">
        <v>2.8469165496302686</v>
      </c>
      <c r="K194" s="113">
        <v>1.2049382765033354</v>
      </c>
    </row>
    <row r="195" spans="2:11" x14ac:dyDescent="0.3">
      <c r="B195" s="123"/>
      <c r="C195" s="1500" t="s">
        <v>1513</v>
      </c>
      <c r="D195" s="1499">
        <v>3.5226733969826385</v>
      </c>
      <c r="E195" s="1499">
        <v>2.6580633056587941</v>
      </c>
      <c r="F195" s="1499">
        <v>1.6632036682968525</v>
      </c>
      <c r="G195" s="1499">
        <v>1.404594520547559</v>
      </c>
      <c r="H195" s="1499">
        <v>1.5051859462483712</v>
      </c>
      <c r="I195" s="1499">
        <v>3.266480082846126</v>
      </c>
      <c r="J195" s="1499">
        <v>2.7807751353103796</v>
      </c>
      <c r="K195" s="113">
        <v>1.1387968621834466</v>
      </c>
    </row>
    <row r="196" spans="2:11" x14ac:dyDescent="0.3">
      <c r="B196" s="123"/>
      <c r="C196" s="1500" t="s">
        <v>1517</v>
      </c>
      <c r="D196" s="1499">
        <v>3.4565319826627499</v>
      </c>
      <c r="E196" s="1499">
        <v>2.5919218913389055</v>
      </c>
      <c r="F196" s="1499">
        <v>1.5970622539769634</v>
      </c>
      <c r="G196" s="1499">
        <v>1.3384531062276699</v>
      </c>
      <c r="H196" s="1499">
        <v>1.4390445319284821</v>
      </c>
      <c r="I196" s="1499">
        <v>3.2003386685262378</v>
      </c>
      <c r="J196" s="1499">
        <v>2.7146337209904914</v>
      </c>
      <c r="K196" s="113">
        <v>1.0726554478635577</v>
      </c>
    </row>
    <row r="197" spans="2:11" ht="14.5" thickBot="1" x14ac:dyDescent="0.35">
      <c r="B197" s="124"/>
      <c r="C197" s="125" t="s">
        <v>1519</v>
      </c>
      <c r="D197" s="117">
        <v>3.751616099457328</v>
      </c>
      <c r="E197" s="117">
        <v>2.8990127575410907</v>
      </c>
      <c r="F197" s="117">
        <v>1.8955959447934572</v>
      </c>
      <c r="G197" s="117">
        <v>1.6526227956354063</v>
      </c>
      <c r="H197" s="117">
        <v>1.7436106151998954</v>
      </c>
      <c r="I197" s="117">
        <v>3.5013046535074523</v>
      </c>
      <c r="J197" s="117">
        <v>3.0219050902513853</v>
      </c>
      <c r="K197" s="118">
        <v>1.3663580645686269</v>
      </c>
    </row>
    <row r="198" spans="2:11" x14ac:dyDescent="0.3">
      <c r="B198" s="119" t="s">
        <v>1994</v>
      </c>
      <c r="C198" s="108" t="s">
        <v>1416</v>
      </c>
      <c r="D198" s="109">
        <v>3.9466790430794418</v>
      </c>
      <c r="E198" s="109">
        <v>3.1328915419312064</v>
      </c>
      <c r="F198" s="109">
        <v>1.9788077064841296</v>
      </c>
      <c r="G198" s="109">
        <v>1.7409760049594345</v>
      </c>
      <c r="H198" s="109">
        <v>1.8302222723690897</v>
      </c>
      <c r="I198" s="109">
        <v>3.7813415777962578</v>
      </c>
      <c r="J198" s="109">
        <v>3.2654423602987164</v>
      </c>
      <c r="K198" s="110">
        <v>1.4013216010771143</v>
      </c>
    </row>
    <row r="199" spans="2:11" x14ac:dyDescent="0.3">
      <c r="B199" s="111"/>
      <c r="C199" s="112" t="s">
        <v>1483</v>
      </c>
      <c r="D199" s="1499">
        <v>4.536217119347576</v>
      </c>
      <c r="E199" s="1499">
        <v>3.7507885255405431</v>
      </c>
      <c r="F199" s="1499">
        <v>2.6180337447015645</v>
      </c>
      <c r="G199" s="1499">
        <v>2.4032681140138088</v>
      </c>
      <c r="H199" s="1499">
        <v>2.4631321088530362</v>
      </c>
      <c r="I199" s="1499">
        <v>4.3830109505334924</v>
      </c>
      <c r="J199" s="1499">
        <v>3.8836165820700472</v>
      </c>
      <c r="K199" s="113">
        <v>2.0717839371337403</v>
      </c>
    </row>
    <row r="200" spans="2:11" x14ac:dyDescent="0.3">
      <c r="B200" s="111"/>
      <c r="C200" s="112" t="s">
        <v>1489</v>
      </c>
      <c r="D200" s="1499">
        <v>4.4825991487349235</v>
      </c>
      <c r="E200" s="1499">
        <v>3.6971705549278915</v>
      </c>
      <c r="F200" s="1499">
        <v>2.5644157740889124</v>
      </c>
      <c r="G200" s="1499">
        <v>2.3496501434011572</v>
      </c>
      <c r="H200" s="1499">
        <v>2.4095141382403842</v>
      </c>
      <c r="I200" s="1499">
        <v>4.3293929799208399</v>
      </c>
      <c r="J200" s="1499">
        <v>3.8299986114573956</v>
      </c>
      <c r="K200" s="113">
        <v>2.0181659665210883</v>
      </c>
    </row>
    <row r="201" spans="2:11" x14ac:dyDescent="0.3">
      <c r="B201" s="114">
        <v>0</v>
      </c>
      <c r="C201" s="112" t="s">
        <v>1496</v>
      </c>
      <c r="D201" s="1499">
        <v>4.4021721928159456</v>
      </c>
      <c r="E201" s="1499">
        <v>3.6167435990089136</v>
      </c>
      <c r="F201" s="1499">
        <v>2.483988818169935</v>
      </c>
      <c r="G201" s="1499">
        <v>2.2692231874821793</v>
      </c>
      <c r="H201" s="1499">
        <v>2.3290871823214068</v>
      </c>
      <c r="I201" s="1499">
        <v>4.2489660240018621</v>
      </c>
      <c r="J201" s="1499">
        <v>3.7495716555384178</v>
      </c>
      <c r="K201" s="113">
        <v>1.9377390106021108</v>
      </c>
    </row>
    <row r="202" spans="2:11" x14ac:dyDescent="0.3">
      <c r="B202" s="115"/>
      <c r="C202" s="112" t="s">
        <v>1500</v>
      </c>
      <c r="D202" s="1499">
        <v>4.3217452368969687</v>
      </c>
      <c r="E202" s="1499">
        <v>3.5363166430899362</v>
      </c>
      <c r="F202" s="1499">
        <v>2.4035618622509571</v>
      </c>
      <c r="G202" s="1499">
        <v>2.1887962315632015</v>
      </c>
      <c r="H202" s="1499">
        <v>2.2486602264024289</v>
      </c>
      <c r="I202" s="1499">
        <v>4.1685390680828851</v>
      </c>
      <c r="J202" s="1499">
        <v>3.6691446996194403</v>
      </c>
      <c r="K202" s="113">
        <v>1.857312054683133</v>
      </c>
    </row>
    <row r="203" spans="2:11" x14ac:dyDescent="0.3">
      <c r="B203" s="115"/>
      <c r="C203" s="112" t="s">
        <v>1504</v>
      </c>
      <c r="D203" s="1499">
        <v>4.4194271699277516</v>
      </c>
      <c r="E203" s="1499">
        <v>3.6272570536674702</v>
      </c>
      <c r="F203" s="1499">
        <v>2.4922102663747761</v>
      </c>
      <c r="G203" s="1499">
        <v>2.2694334510507383</v>
      </c>
      <c r="H203" s="1499">
        <v>2.3350506993512306</v>
      </c>
      <c r="I203" s="1499">
        <v>4.2634047307967755</v>
      </c>
      <c r="J203" s="1499">
        <v>3.7608163358640176</v>
      </c>
      <c r="K203" s="113">
        <v>1.9447788779148121</v>
      </c>
    </row>
    <row r="204" spans="2:11" x14ac:dyDescent="0.3">
      <c r="B204" s="115"/>
      <c r="C204" s="112" t="s">
        <v>1508</v>
      </c>
      <c r="D204" s="1499">
        <v>4.375332893714492</v>
      </c>
      <c r="E204" s="1499">
        <v>3.583162777454211</v>
      </c>
      <c r="F204" s="1499">
        <v>2.4481159901615168</v>
      </c>
      <c r="G204" s="1499">
        <v>2.2253391748374791</v>
      </c>
      <c r="H204" s="1499">
        <v>2.2909564231379713</v>
      </c>
      <c r="I204" s="1499">
        <v>4.2193104545835158</v>
      </c>
      <c r="J204" s="1499">
        <v>3.7167220596507584</v>
      </c>
      <c r="K204" s="113">
        <v>1.9006846017015528</v>
      </c>
    </row>
    <row r="205" spans="2:11" x14ac:dyDescent="0.3">
      <c r="B205" s="115"/>
      <c r="C205" s="112" t="s">
        <v>1513</v>
      </c>
      <c r="D205" s="1499">
        <v>4.3091914793946033</v>
      </c>
      <c r="E205" s="1499">
        <v>3.5170213631343219</v>
      </c>
      <c r="F205" s="1499">
        <v>2.3819745758416282</v>
      </c>
      <c r="G205" s="1499">
        <v>2.15919776051759</v>
      </c>
      <c r="H205" s="1499">
        <v>2.2248150088180827</v>
      </c>
      <c r="I205" s="1499">
        <v>4.1531690402636272</v>
      </c>
      <c r="J205" s="1499">
        <v>3.6505806453308693</v>
      </c>
      <c r="K205" s="113">
        <v>1.834543187381664</v>
      </c>
    </row>
    <row r="206" spans="2:11" x14ac:dyDescent="0.3">
      <c r="B206" s="115"/>
      <c r="C206" s="112" t="s">
        <v>1517</v>
      </c>
      <c r="D206" s="1499">
        <v>4.2430500650747147</v>
      </c>
      <c r="E206" s="1499">
        <v>3.4508799488144333</v>
      </c>
      <c r="F206" s="1499">
        <v>2.3158331615217396</v>
      </c>
      <c r="G206" s="1499">
        <v>2.0930563461977014</v>
      </c>
      <c r="H206" s="1499">
        <v>2.1586735944981936</v>
      </c>
      <c r="I206" s="1499">
        <v>4.0870276259437386</v>
      </c>
      <c r="J206" s="1499">
        <v>3.5844392310109812</v>
      </c>
      <c r="K206" s="113">
        <v>1.7684017730617752</v>
      </c>
    </row>
    <row r="207" spans="2:11" ht="14.5" thickBot="1" x14ac:dyDescent="0.35">
      <c r="B207" s="1233"/>
      <c r="C207" s="116" t="s">
        <v>1519</v>
      </c>
      <c r="D207" s="117">
        <v>4.536217119347576</v>
      </c>
      <c r="E207" s="117">
        <v>3.7507885255405431</v>
      </c>
      <c r="F207" s="117">
        <v>2.6180337447015645</v>
      </c>
      <c r="G207" s="117">
        <v>2.4032681140138088</v>
      </c>
      <c r="H207" s="117">
        <v>2.4631321088530362</v>
      </c>
      <c r="I207" s="117">
        <v>4.3830109505334924</v>
      </c>
      <c r="J207" s="117">
        <v>3.8836165820700472</v>
      </c>
      <c r="K207" s="118">
        <v>2.0717839371337403</v>
      </c>
    </row>
    <row r="208" spans="2:11" x14ac:dyDescent="0.3">
      <c r="B208" s="120" t="s">
        <v>1519</v>
      </c>
      <c r="C208" s="108" t="s">
        <v>1416</v>
      </c>
      <c r="D208" s="129">
        <v>3.1483803803817088</v>
      </c>
      <c r="E208" s="109">
        <v>2.2057074800548868</v>
      </c>
      <c r="F208" s="109">
        <v>1.2904304986604205</v>
      </c>
      <c r="G208" s="109">
        <v>1.0126825634741823</v>
      </c>
      <c r="H208" s="109">
        <v>1.1462897129235623</v>
      </c>
      <c r="I208" s="109">
        <v>2.8003730175737327</v>
      </c>
      <c r="J208" s="109">
        <v>2.3241214935468215</v>
      </c>
      <c r="K208" s="110">
        <v>0.74698359881377197</v>
      </c>
    </row>
    <row r="209" spans="2:11" x14ac:dyDescent="0.3">
      <c r="B209" s="111"/>
      <c r="C209" s="112" t="s">
        <v>1483</v>
      </c>
      <c r="D209" s="130">
        <v>3.5881634283952701</v>
      </c>
      <c r="E209" s="1499">
        <v>2.685645690231877</v>
      </c>
      <c r="F209" s="1499">
        <v>1.7445482139499446</v>
      </c>
      <c r="G209" s="1499">
        <v>1.4688476002837973</v>
      </c>
      <c r="H209" s="1499">
        <v>1.5866776500154935</v>
      </c>
      <c r="I209" s="1499">
        <v>3.2719863483823972</v>
      </c>
      <c r="J209" s="1499">
        <v>2.799170682953811</v>
      </c>
      <c r="K209" s="113">
        <v>1.2289096991707578</v>
      </c>
    </row>
    <row r="210" spans="2:11" x14ac:dyDescent="0.3">
      <c r="B210" s="111"/>
      <c r="C210" s="112" t="s">
        <v>1489</v>
      </c>
      <c r="D210" s="130">
        <v>3.5345454577826185</v>
      </c>
      <c r="E210" s="1499">
        <v>2.6320277196192254</v>
      </c>
      <c r="F210" s="1499">
        <v>1.690930243337293</v>
      </c>
      <c r="G210" s="1499">
        <v>1.4152296296711457</v>
      </c>
      <c r="H210" s="1499">
        <v>1.5330596794028419</v>
      </c>
      <c r="I210" s="1499">
        <v>3.2183683777697456</v>
      </c>
      <c r="J210" s="1499">
        <v>2.7455527123411594</v>
      </c>
      <c r="K210" s="113">
        <v>1.1752917285581059</v>
      </c>
    </row>
    <row r="211" spans="2:11" x14ac:dyDescent="0.3">
      <c r="B211" s="114">
        <v>0</v>
      </c>
      <c r="C211" s="112" t="s">
        <v>1496</v>
      </c>
      <c r="D211" s="130">
        <v>3.4541185018636411</v>
      </c>
      <c r="E211" s="1499">
        <v>2.551600763700248</v>
      </c>
      <c r="F211" s="1499">
        <v>1.6105032874183152</v>
      </c>
      <c r="G211" s="1499">
        <v>1.3348026737521679</v>
      </c>
      <c r="H211" s="1499">
        <v>1.4526327234838641</v>
      </c>
      <c r="I211" s="1499">
        <v>3.1379414218507682</v>
      </c>
      <c r="J211" s="1499">
        <v>2.665125756422182</v>
      </c>
      <c r="K211" s="113">
        <v>1.0948647726391283</v>
      </c>
    </row>
    <row r="212" spans="2:11" x14ac:dyDescent="0.3">
      <c r="B212" s="115"/>
      <c r="C212" s="112" t="s">
        <v>1500</v>
      </c>
      <c r="D212" s="130">
        <v>3.3736915459446633</v>
      </c>
      <c r="E212" s="1499">
        <v>2.4711738077812702</v>
      </c>
      <c r="F212" s="1499">
        <v>1.5300763314993377</v>
      </c>
      <c r="G212" s="1499">
        <v>1.2543757178331905</v>
      </c>
      <c r="H212" s="1499">
        <v>1.3722057675648864</v>
      </c>
      <c r="I212" s="1499">
        <v>3.0575144659317903</v>
      </c>
      <c r="J212" s="1499">
        <v>2.5846988005032041</v>
      </c>
      <c r="K212" s="113">
        <v>1.0144378167201507</v>
      </c>
    </row>
    <row r="213" spans="2:11" x14ac:dyDescent="0.3">
      <c r="B213" s="115"/>
      <c r="C213" s="112" t="s">
        <v>1504</v>
      </c>
      <c r="D213" s="130">
        <v>3.4946859871940585</v>
      </c>
      <c r="E213" s="1499">
        <v>2.586505594916829</v>
      </c>
      <c r="F213" s="1499">
        <v>1.6453649088420166</v>
      </c>
      <c r="G213" s="1499">
        <v>1.378368115211914</v>
      </c>
      <c r="H213" s="1499">
        <v>1.483491689838256</v>
      </c>
      <c r="I213" s="1499">
        <v>3.1743634531347285</v>
      </c>
      <c r="J213" s="1499">
        <v>2.7012569148242402</v>
      </c>
      <c r="K213" s="113">
        <v>1.1358788261773489</v>
      </c>
    </row>
    <row r="214" spans="2:11" x14ac:dyDescent="0.3">
      <c r="B214" s="115"/>
      <c r="C214" s="112" t="s">
        <v>1508</v>
      </c>
      <c r="D214" s="130">
        <v>3.4505917109807993</v>
      </c>
      <c r="E214" s="1499">
        <v>2.5424113187035697</v>
      </c>
      <c r="F214" s="1499">
        <v>1.6012706326287576</v>
      </c>
      <c r="G214" s="1499">
        <v>1.334273838998655</v>
      </c>
      <c r="H214" s="1499">
        <v>1.439397413624997</v>
      </c>
      <c r="I214" s="1499">
        <v>3.1302691769214688</v>
      </c>
      <c r="J214" s="1499">
        <v>2.657162638610981</v>
      </c>
      <c r="K214" s="113">
        <v>1.0917845499640897</v>
      </c>
    </row>
    <row r="215" spans="2:11" x14ac:dyDescent="0.3">
      <c r="B215" s="115"/>
      <c r="C215" s="112" t="s">
        <v>1513</v>
      </c>
      <c r="D215" s="130">
        <v>3.3844502966609111</v>
      </c>
      <c r="E215" s="1499">
        <v>2.4762699043836811</v>
      </c>
      <c r="F215" s="1499">
        <v>1.5351292183088687</v>
      </c>
      <c r="G215" s="1499">
        <v>1.268132424678766</v>
      </c>
      <c r="H215" s="1499">
        <v>1.3732559993051079</v>
      </c>
      <c r="I215" s="1499">
        <v>3.0641277626015806</v>
      </c>
      <c r="J215" s="1499">
        <v>2.5910212242910924</v>
      </c>
      <c r="K215" s="113">
        <v>1.0256431356442011</v>
      </c>
    </row>
    <row r="216" spans="2:11" x14ac:dyDescent="0.3">
      <c r="B216" s="115"/>
      <c r="C216" s="112" t="s">
        <v>1517</v>
      </c>
      <c r="D216" s="130">
        <v>3.3183088823410221</v>
      </c>
      <c r="E216" s="1499">
        <v>2.4101284900637925</v>
      </c>
      <c r="F216" s="1499">
        <v>1.4689878039889801</v>
      </c>
      <c r="G216" s="1499">
        <v>1.2019910103588773</v>
      </c>
      <c r="H216" s="1499">
        <v>1.3071145849852193</v>
      </c>
      <c r="I216" s="1499">
        <v>2.9979863482816915</v>
      </c>
      <c r="J216" s="1499">
        <v>2.5248798099712038</v>
      </c>
      <c r="K216" s="113">
        <v>0.95950172132431233</v>
      </c>
    </row>
    <row r="217" spans="2:11" ht="14.5" thickBot="1" x14ac:dyDescent="0.35">
      <c r="B217" s="1233"/>
      <c r="C217" s="116" t="s">
        <v>1519</v>
      </c>
      <c r="D217" s="131">
        <v>3.5881634283952701</v>
      </c>
      <c r="E217" s="117">
        <v>2.685645690231877</v>
      </c>
      <c r="F217" s="117">
        <v>1.7445482139499446</v>
      </c>
      <c r="G217" s="117">
        <v>1.4688476002837973</v>
      </c>
      <c r="H217" s="117">
        <v>1.5866776500154935</v>
      </c>
      <c r="I217" s="117">
        <v>3.2719863483823972</v>
      </c>
      <c r="J217" s="117">
        <v>2.799170682953811</v>
      </c>
      <c r="K217" s="118">
        <v>1.2289096991707578</v>
      </c>
    </row>
    <row r="221" spans="2:11" ht="14.5" thickBot="1" x14ac:dyDescent="0.35"/>
    <row r="222" spans="2:11" x14ac:dyDescent="0.3">
      <c r="C222" s="132" t="s">
        <v>1995</v>
      </c>
      <c r="D222" s="132"/>
      <c r="E222" s="132"/>
      <c r="F222" s="132"/>
    </row>
    <row r="223" spans="2:11" x14ac:dyDescent="0.3">
      <c r="C223" s="1504" t="s">
        <v>1996</v>
      </c>
      <c r="D223" s="1504" t="s">
        <v>1997</v>
      </c>
      <c r="E223" s="1504" t="s">
        <v>1998</v>
      </c>
      <c r="F223" s="1504" t="s">
        <v>1999</v>
      </c>
    </row>
    <row r="224" spans="2:11" x14ac:dyDescent="0.3">
      <c r="C224" s="1498">
        <v>1</v>
      </c>
      <c r="D224" s="1505">
        <v>317.86158710147947</v>
      </c>
      <c r="E224" s="1506">
        <v>6.2168551526820298E-2</v>
      </c>
      <c r="F224" s="1507">
        <v>2.4867420610728117</v>
      </c>
      <c r="H224" s="134" t="s">
        <v>2000</v>
      </c>
    </row>
    <row r="225" spans="2:11" x14ac:dyDescent="0.3">
      <c r="C225" s="1498">
        <v>1.5</v>
      </c>
      <c r="D225" s="1505">
        <v>268.1901909521153</v>
      </c>
      <c r="E225" s="1506">
        <v>5.2453635109647227E-2</v>
      </c>
      <c r="F225" s="1507">
        <v>2.0981454043858894</v>
      </c>
      <c r="H225" s="134" t="s">
        <v>2001</v>
      </c>
    </row>
    <row r="226" spans="2:11" x14ac:dyDescent="0.3">
      <c r="C226" s="1498">
        <v>2</v>
      </c>
      <c r="D226" s="1505">
        <v>232.9477745269503</v>
      </c>
      <c r="E226" s="1506">
        <v>4.5560792217127319E-2</v>
      </c>
      <c r="F226" s="1507">
        <v>1.8224316886850931</v>
      </c>
    </row>
    <row r="227" spans="2:11" x14ac:dyDescent="0.3">
      <c r="C227" s="1498">
        <v>2.5</v>
      </c>
      <c r="D227" s="1505">
        <v>205.6116326152096</v>
      </c>
      <c r="E227" s="1506">
        <v>4.0214287902210016E-2</v>
      </c>
      <c r="F227" s="1507">
        <v>1.6085715160884009</v>
      </c>
    </row>
    <row r="228" spans="2:11" x14ac:dyDescent="0.3">
      <c r="B228" s="2"/>
      <c r="C228" s="1498">
        <v>3</v>
      </c>
      <c r="D228" s="1505">
        <v>183.27637837758616</v>
      </c>
      <c r="E228" s="1506">
        <v>3.5845875799954262E-2</v>
      </c>
      <c r="F228" s="1507">
        <v>1.4338350319981705</v>
      </c>
      <c r="I228" s="135"/>
      <c r="J228" s="135"/>
      <c r="K228" s="135"/>
    </row>
    <row r="229" spans="2:11" x14ac:dyDescent="0.3">
      <c r="B229" s="136"/>
      <c r="C229" s="1498">
        <v>3.5</v>
      </c>
      <c r="D229" s="1505">
        <v>164.39218999422729</v>
      </c>
      <c r="E229" s="1506">
        <v>3.2152435994098706E-2</v>
      </c>
      <c r="F229" s="1507">
        <v>1.2860974397639484</v>
      </c>
      <c r="I229" s="135"/>
      <c r="J229" s="135"/>
      <c r="K229" s="135"/>
    </row>
    <row r="230" spans="2:11" x14ac:dyDescent="0.3">
      <c r="B230" s="136"/>
      <c r="C230" s="1498">
        <v>4</v>
      </c>
      <c r="D230" s="1505">
        <v>148.03396195242115</v>
      </c>
      <c r="E230" s="1506">
        <v>2.895303290743436E-2</v>
      </c>
      <c r="F230" s="1507">
        <v>1.1581213162973742</v>
      </c>
      <c r="I230" s="135"/>
      <c r="J230" s="135"/>
      <c r="K230" s="135"/>
    </row>
    <row r="231" spans="2:11" x14ac:dyDescent="0.3">
      <c r="B231" s="137"/>
      <c r="C231" s="1498">
        <v>4.5</v>
      </c>
      <c r="D231" s="1505">
        <v>133.60498222822201</v>
      </c>
      <c r="E231" s="1506">
        <v>2.6130959382781201E-2</v>
      </c>
      <c r="F231" s="1507">
        <v>1.0452383753112482</v>
      </c>
      <c r="I231" s="135"/>
      <c r="J231" s="135"/>
      <c r="K231" s="135"/>
    </row>
    <row r="232" spans="2:11" x14ac:dyDescent="0.3">
      <c r="C232" s="1498">
        <v>5</v>
      </c>
      <c r="D232" s="1505">
        <v>120.69782004068043</v>
      </c>
      <c r="E232" s="1506">
        <v>2.3606528592517051E-2</v>
      </c>
      <c r="F232" s="1507">
        <v>0.94426114370068193</v>
      </c>
      <c r="I232" s="135"/>
      <c r="J232" s="135"/>
      <c r="K232" s="135"/>
    </row>
    <row r="233" spans="2:11" x14ac:dyDescent="0.3">
      <c r="C233" s="1498">
        <v>5.5</v>
      </c>
      <c r="D233" s="1505">
        <v>109.02187159664115</v>
      </c>
      <c r="E233" s="1506">
        <v>2.1322903165843479E-2</v>
      </c>
      <c r="F233" s="1507">
        <v>0.85291612663373917</v>
      </c>
      <c r="I233" s="135"/>
      <c r="J233" s="135"/>
      <c r="K233" s="135"/>
    </row>
    <row r="234" spans="2:11" x14ac:dyDescent="0.3">
      <c r="C234" s="1498">
        <v>6</v>
      </c>
      <c r="D234" s="1505">
        <v>98.362565803057038</v>
      </c>
      <c r="E234" s="1506">
        <v>1.9238116490261307E-2</v>
      </c>
      <c r="F234" s="1507">
        <v>0.76952465961045224</v>
      </c>
      <c r="I234" s="135"/>
      <c r="J234" s="135"/>
      <c r="K234" s="135"/>
    </row>
    <row r="235" spans="2:11" x14ac:dyDescent="0.3">
      <c r="C235" s="1498">
        <v>6.5</v>
      </c>
      <c r="D235" s="1505">
        <v>88.556955006432418</v>
      </c>
      <c r="E235" s="1506">
        <v>1.7320298657597922E-2</v>
      </c>
      <c r="F235" s="1507">
        <v>0.69281194630391696</v>
      </c>
      <c r="I235" s="135"/>
      <c r="J235" s="135"/>
      <c r="K235" s="135"/>
    </row>
    <row r="236" spans="2:11" x14ac:dyDescent="0.3">
      <c r="C236" s="1498">
        <v>7</v>
      </c>
      <c r="D236" s="1505">
        <v>79.478377419698162</v>
      </c>
      <c r="E236" s="1506">
        <v>1.5544676684405749E-2</v>
      </c>
      <c r="F236" s="1507">
        <v>0.62178706737622991</v>
      </c>
      <c r="I236" s="135"/>
      <c r="J236" s="135"/>
      <c r="K236" s="135"/>
    </row>
    <row r="237" spans="2:11" x14ac:dyDescent="0.3">
      <c r="C237" s="1498">
        <v>7.5</v>
      </c>
      <c r="D237" s="1505">
        <v>71.026423891316284</v>
      </c>
      <c r="E237" s="1506">
        <v>1.389161217534399E-2</v>
      </c>
      <c r="F237" s="1507">
        <v>0.55566448701375959</v>
      </c>
      <c r="I237" s="135"/>
      <c r="J237" s="135"/>
      <c r="K237" s="135"/>
    </row>
    <row r="238" spans="2:11" x14ac:dyDescent="0.3">
      <c r="B238" s="2"/>
      <c r="C238" s="1498">
        <v>8</v>
      </c>
      <c r="D238" s="1505">
        <v>63.120149377891991</v>
      </c>
      <c r="E238" s="1506">
        <v>1.2345273597741397E-2</v>
      </c>
      <c r="F238" s="1507">
        <v>0.49381094390965585</v>
      </c>
      <c r="I238" s="135"/>
      <c r="J238" s="135"/>
      <c r="K238" s="135"/>
    </row>
    <row r="239" spans="2:11" x14ac:dyDescent="0.3">
      <c r="B239" s="136"/>
      <c r="C239" s="1498">
        <v>8.5</v>
      </c>
      <c r="D239" s="1505">
        <v>55.69334606872485</v>
      </c>
      <c r="E239" s="1506">
        <v>1.089271178171387E-2</v>
      </c>
      <c r="F239" s="1507">
        <v>0.43570847126855478</v>
      </c>
      <c r="I239" s="135"/>
      <c r="J239" s="135"/>
      <c r="K239" s="135"/>
    </row>
    <row r="240" spans="2:11" x14ac:dyDescent="0.3">
      <c r="B240" s="136"/>
      <c r="C240" s="1498">
        <v>9</v>
      </c>
      <c r="D240" s="1505">
        <v>48.691169653692853</v>
      </c>
      <c r="E240" s="1506">
        <v>9.5232000730882376E-3</v>
      </c>
      <c r="F240" s="1507">
        <v>0.38092800292352952</v>
      </c>
      <c r="I240" s="135"/>
      <c r="J240" s="135"/>
      <c r="K240" s="135"/>
    </row>
    <row r="241" spans="2:11" x14ac:dyDescent="0.3">
      <c r="B241" s="137"/>
      <c r="C241" s="1498">
        <v>9.5</v>
      </c>
      <c r="D241" s="1505">
        <v>42.067678969274262</v>
      </c>
      <c r="E241" s="1506">
        <v>8.2277531282196528E-3</v>
      </c>
      <c r="F241" s="1507">
        <v>0.32911012512878612</v>
      </c>
      <c r="I241" s="135"/>
      <c r="J241" s="135"/>
      <c r="K241" s="135"/>
    </row>
    <row r="242" spans="2:11" x14ac:dyDescent="0.3">
      <c r="C242" s="1498">
        <v>10</v>
      </c>
      <c r="D242" s="1505">
        <v>35.784007466151202</v>
      </c>
      <c r="E242" s="1506">
        <v>6.9987692828240734E-3</v>
      </c>
      <c r="F242" s="1507">
        <v>0.27995077131296292</v>
      </c>
      <c r="I242" s="135"/>
      <c r="J242" s="135"/>
      <c r="K242" s="135"/>
    </row>
    <row r="243" spans="2:11" x14ac:dyDescent="0.3">
      <c r="I243" s="135"/>
      <c r="J243" s="135"/>
      <c r="K243" s="135"/>
    </row>
    <row r="244" spans="2:11" ht="14.5" thickBot="1" x14ac:dyDescent="0.35">
      <c r="I244" s="135"/>
      <c r="J244" s="135"/>
      <c r="K244" s="135"/>
    </row>
    <row r="245" spans="2:11" x14ac:dyDescent="0.3">
      <c r="C245" s="132" t="s">
        <v>2002</v>
      </c>
      <c r="D245" s="132"/>
      <c r="E245" s="132"/>
      <c r="F245" s="132"/>
      <c r="H245" s="134" t="s">
        <v>2003</v>
      </c>
      <c r="I245" s="135"/>
      <c r="J245" s="135"/>
      <c r="K245" s="135"/>
    </row>
    <row r="246" spans="2:11" x14ac:dyDescent="0.3">
      <c r="C246" s="1508" t="s">
        <v>1996</v>
      </c>
      <c r="D246" s="1508" t="s">
        <v>2004</v>
      </c>
      <c r="E246" s="1508" t="s">
        <v>2005</v>
      </c>
      <c r="F246" s="1508" t="s">
        <v>2006</v>
      </c>
      <c r="H246" s="134" t="s">
        <v>2007</v>
      </c>
      <c r="I246" s="135"/>
      <c r="J246" s="135"/>
      <c r="K246" s="135"/>
    </row>
    <row r="247" spans="2:11" x14ac:dyDescent="0.3">
      <c r="C247" s="1498" t="s">
        <v>376</v>
      </c>
      <c r="D247" s="1509">
        <v>378.65935440632762</v>
      </c>
      <c r="E247" s="1510">
        <v>7.4059605000357451E-2</v>
      </c>
      <c r="F247" s="1511">
        <v>2.9623842000142977</v>
      </c>
      <c r="I247" s="135"/>
      <c r="J247" s="135"/>
      <c r="K247" s="135"/>
    </row>
    <row r="248" spans="2:11" x14ac:dyDescent="0.3">
      <c r="B248" s="2"/>
      <c r="D248" s="135"/>
      <c r="E248" s="135"/>
      <c r="F248" s="135"/>
      <c r="G248" s="135"/>
      <c r="H248" s="135"/>
      <c r="I248" s="135"/>
      <c r="J248" s="135"/>
      <c r="K248" s="135"/>
    </row>
    <row r="249" spans="2:11" x14ac:dyDescent="0.3">
      <c r="B249" s="136"/>
      <c r="D249" s="135"/>
      <c r="E249" s="135"/>
      <c r="F249" s="135"/>
      <c r="G249" s="135"/>
      <c r="H249" s="135"/>
      <c r="I249" s="135"/>
      <c r="J249" s="135"/>
      <c r="K249" s="135"/>
    </row>
    <row r="250" spans="2:11" x14ac:dyDescent="0.3">
      <c r="B250" s="136"/>
      <c r="D250" s="135"/>
      <c r="E250" s="135"/>
      <c r="F250" s="135"/>
      <c r="G250" s="135"/>
      <c r="H250" s="135"/>
      <c r="I250" s="135"/>
      <c r="J250" s="135"/>
      <c r="K250" s="135"/>
    </row>
    <row r="251" spans="2:11" x14ac:dyDescent="0.3">
      <c r="B251" s="137"/>
      <c r="D251" s="135"/>
      <c r="E251" s="135"/>
      <c r="F251" s="135"/>
      <c r="G251" s="135"/>
      <c r="H251" s="135"/>
      <c r="I251" s="135"/>
      <c r="J251" s="135"/>
      <c r="K251" s="135"/>
    </row>
    <row r="252" spans="2:11" x14ac:dyDescent="0.3">
      <c r="D252" s="135"/>
      <c r="E252" s="135"/>
      <c r="F252" s="135"/>
      <c r="G252" s="135"/>
      <c r="H252" s="135"/>
      <c r="I252" s="135"/>
      <c r="J252" s="135"/>
      <c r="K252" s="135"/>
    </row>
    <row r="253" spans="2:11" x14ac:dyDescent="0.3">
      <c r="D253" s="135"/>
      <c r="E253" s="135"/>
      <c r="F253" s="135"/>
      <c r="G253" s="135"/>
      <c r="H253" s="135"/>
      <c r="I253" s="135"/>
      <c r="J253" s="135"/>
      <c r="K253" s="135"/>
    </row>
    <row r="254" spans="2:11" x14ac:dyDescent="0.3">
      <c r="D254" s="135"/>
      <c r="E254" s="135"/>
      <c r="F254" s="135"/>
      <c r="G254" s="135"/>
      <c r="H254" s="135"/>
      <c r="I254" s="135"/>
      <c r="J254" s="135"/>
      <c r="K254" s="135"/>
    </row>
    <row r="255" spans="2:11" x14ac:dyDescent="0.3">
      <c r="D255" s="135"/>
      <c r="E255" s="135"/>
      <c r="F255" s="135"/>
      <c r="G255" s="135"/>
      <c r="H255" s="135"/>
      <c r="I255" s="135"/>
      <c r="J255" s="135"/>
      <c r="K255" s="135"/>
    </row>
    <row r="256" spans="2:11" x14ac:dyDescent="0.3">
      <c r="D256" s="135"/>
      <c r="E256" s="135"/>
      <c r="F256" s="135"/>
      <c r="G256" s="135"/>
      <c r="H256" s="135"/>
      <c r="I256" s="135"/>
      <c r="J256" s="135"/>
      <c r="K256" s="135"/>
    </row>
    <row r="257" spans="4:11" x14ac:dyDescent="0.3">
      <c r="D257" s="135"/>
      <c r="E257" s="135"/>
      <c r="F257" s="135"/>
      <c r="G257" s="135"/>
      <c r="H257" s="135"/>
      <c r="I257" s="135"/>
      <c r="J257" s="135"/>
      <c r="K257" s="135"/>
    </row>
  </sheetData>
  <sheetProtection algorithmName="SHA-512" hashValue="6xYJAZeA5MMAZTAva3GXfYeMZsH+JrEJThdelXgLekmJfAVwVwG0LN/zBnT7A3jQlo61Y6X3/1eMb/n+ZhJD5A==" saltValue="XeMBx6A/qkiH9MSqfhXIfQ==" spinCount="100000" sheet="1" objects="1" scenarios="1" autoFilter="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1">
    <tabColor theme="8"/>
  </sheetPr>
  <dimension ref="A1:BR141"/>
  <sheetViews>
    <sheetView showGridLines="0" zoomScale="70" zoomScaleNormal="70" workbookViewId="0">
      <pane ySplit="6" topLeftCell="A7" activePane="bottomLeft" state="frozen"/>
      <selection activeCell="F38" sqref="F38"/>
      <selection pane="bottomLeft" activeCell="B34" sqref="B34"/>
    </sheetView>
  </sheetViews>
  <sheetFormatPr defaultRowHeight="14" x14ac:dyDescent="0.3"/>
  <cols>
    <col min="1" max="1" width="2.58203125" customWidth="1"/>
    <col min="2" max="2" width="42.5" customWidth="1"/>
    <col min="3" max="3" width="27.58203125" customWidth="1"/>
    <col min="4" max="4" width="15.08203125" customWidth="1"/>
    <col min="5" max="5" width="3.58203125" customWidth="1"/>
    <col min="6" max="6" width="66.25" bestFit="1" customWidth="1"/>
    <col min="7" max="7" width="6.58203125" customWidth="1"/>
    <col min="8" max="8" width="85.75" bestFit="1" customWidth="1"/>
    <col min="9" max="9" width="16.25" bestFit="1" customWidth="1"/>
    <col min="10" max="10" width="6.08203125" customWidth="1"/>
    <col min="11" max="11" width="15.58203125" customWidth="1"/>
    <col min="12" max="12" width="4" customWidth="1"/>
    <col min="14" max="14" width="5" customWidth="1"/>
    <col min="15" max="16" width="54" customWidth="1"/>
    <col min="17" max="17" width="5" customWidth="1"/>
    <col min="18" max="18" width="93.33203125" customWidth="1"/>
    <col min="19" max="19" width="72.08203125" customWidth="1"/>
    <col min="21" max="21" width="16.5" customWidth="1"/>
    <col min="23" max="23" width="23.33203125" customWidth="1"/>
    <col min="25" max="26" width="38" customWidth="1"/>
    <col min="29" max="29" width="38.58203125" customWidth="1"/>
    <col min="31" max="31" width="26.83203125" customWidth="1"/>
    <col min="33" max="33" width="32.08203125" customWidth="1"/>
    <col min="35" max="35" width="15.58203125" customWidth="1"/>
    <col min="36" max="36" width="24.58203125" customWidth="1"/>
    <col min="37" max="37" width="25.08203125" customWidth="1"/>
    <col min="38" max="38" width="42.33203125" customWidth="1"/>
    <col min="39" max="39" width="48.58203125" customWidth="1"/>
    <col min="43" max="51" width="9.08203125" customWidth="1"/>
    <col min="52" max="52" width="25.08203125" customWidth="1"/>
    <col min="54" max="58" width="9.33203125" customWidth="1"/>
  </cols>
  <sheetData>
    <row r="1" spans="1:70" x14ac:dyDescent="0.3">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row>
    <row r="2" spans="1:70" x14ac:dyDescent="0.3">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1:70"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1:70" x14ac:dyDescent="0.3">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1:70" x14ac:dyDescent="0.3">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1:70" x14ac:dyDescent="0.3">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row>
    <row r="7" spans="1:70" s="22" customFormat="1" x14ac:dyDescent="0.3">
      <c r="AQ7" s="22" t="s">
        <v>159</v>
      </c>
      <c r="BB7" s="22" t="s">
        <v>160</v>
      </c>
    </row>
    <row r="8" spans="1:70" s="22" customFormat="1" x14ac:dyDescent="0.3">
      <c r="B8" s="706" t="s">
        <v>161</v>
      </c>
      <c r="D8" s="706" t="s">
        <v>162</v>
      </c>
      <c r="F8" s="707" t="s">
        <v>21</v>
      </c>
      <c r="H8" s="1095" t="s">
        <v>46</v>
      </c>
      <c r="I8" s="1298"/>
      <c r="K8" s="707" t="s">
        <v>122</v>
      </c>
      <c r="M8" s="707" t="s">
        <v>163</v>
      </c>
      <c r="O8" s="1298" t="s">
        <v>164</v>
      </c>
      <c r="P8" s="1298"/>
      <c r="R8" s="711" t="s">
        <v>165</v>
      </c>
      <c r="S8" s="708" t="s">
        <v>58</v>
      </c>
      <c r="U8" s="707" t="s">
        <v>166</v>
      </c>
      <c r="W8" s="707" t="s">
        <v>167</v>
      </c>
      <c r="Y8" s="707" t="s">
        <v>41</v>
      </c>
      <c r="Z8" s="708" t="s">
        <v>168</v>
      </c>
      <c r="AA8" s="22" t="s">
        <v>169</v>
      </c>
      <c r="AC8" s="22" t="s">
        <v>13</v>
      </c>
      <c r="AE8" s="709" t="s">
        <v>170</v>
      </c>
      <c r="AG8" s="709" t="s">
        <v>171</v>
      </c>
      <c r="AI8" s="710" t="s">
        <v>162</v>
      </c>
      <c r="AJ8" s="711" t="s">
        <v>172</v>
      </c>
      <c r="AK8" s="712" t="s">
        <v>173</v>
      </c>
      <c r="AL8" s="712" t="s">
        <v>174</v>
      </c>
      <c r="AM8" s="708" t="s">
        <v>175</v>
      </c>
      <c r="AO8" s="713" t="s">
        <v>176</v>
      </c>
      <c r="AQ8" s="713" t="s">
        <v>177</v>
      </c>
      <c r="AR8" s="713" t="s">
        <v>178</v>
      </c>
      <c r="AS8" s="713" t="s">
        <v>179</v>
      </c>
      <c r="AT8" s="713" t="s">
        <v>180</v>
      </c>
      <c r="AU8" s="713" t="s">
        <v>181</v>
      </c>
      <c r="AV8" s="713" t="s">
        <v>182</v>
      </c>
      <c r="AW8" s="713" t="s">
        <v>183</v>
      </c>
      <c r="AX8" s="713" t="s">
        <v>184</v>
      </c>
      <c r="AZ8" s="22" t="s">
        <v>185</v>
      </c>
      <c r="BB8" s="713" t="s">
        <v>180</v>
      </c>
      <c r="BC8" s="713" t="s">
        <v>181</v>
      </c>
      <c r="BD8" s="713" t="s">
        <v>182</v>
      </c>
      <c r="BE8" s="713" t="s">
        <v>183</v>
      </c>
      <c r="BF8" s="713" t="s">
        <v>184</v>
      </c>
    </row>
    <row r="9" spans="1:70" s="22" customFormat="1" ht="14.5" x14ac:dyDescent="0.35">
      <c r="B9" s="22" t="s">
        <v>186</v>
      </c>
      <c r="D9" s="22">
        <v>1</v>
      </c>
      <c r="F9" s="1288" t="s">
        <v>187</v>
      </c>
      <c r="H9" s="1299" t="s">
        <v>188</v>
      </c>
      <c r="I9" s="1288"/>
      <c r="K9" s="1288" t="s">
        <v>189</v>
      </c>
      <c r="M9" s="1288" t="s">
        <v>190</v>
      </c>
      <c r="O9" s="1288" t="s">
        <v>191</v>
      </c>
      <c r="P9" s="1288"/>
      <c r="R9" s="22" t="s">
        <v>192</v>
      </c>
      <c r="S9" s="22" t="s">
        <v>193</v>
      </c>
      <c r="U9" s="1288" t="s">
        <v>72</v>
      </c>
      <c r="W9" s="1288" t="s">
        <v>194</v>
      </c>
      <c r="Y9" s="22" t="s">
        <v>195</v>
      </c>
      <c r="Z9" s="22" t="s">
        <v>196</v>
      </c>
      <c r="AA9" s="22">
        <v>1</v>
      </c>
      <c r="AC9" s="22" t="s">
        <v>197</v>
      </c>
      <c r="AE9" s="714" t="s">
        <v>198</v>
      </c>
      <c r="AG9" s="714" t="s">
        <v>199</v>
      </c>
      <c r="AI9" s="715">
        <v>1</v>
      </c>
      <c r="AJ9" s="716">
        <v>0.6</v>
      </c>
      <c r="AK9" s="717">
        <v>0.6</v>
      </c>
      <c r="AL9" s="22">
        <v>1</v>
      </c>
      <c r="AM9" s="22">
        <v>1.5</v>
      </c>
      <c r="AO9" s="1300" t="s">
        <v>200</v>
      </c>
      <c r="AQ9" s="1300" t="s">
        <v>201</v>
      </c>
      <c r="AR9" s="1300" t="s">
        <v>201</v>
      </c>
      <c r="AS9" s="1300" t="s">
        <v>201</v>
      </c>
      <c r="AT9" s="1300" t="s">
        <v>202</v>
      </c>
      <c r="AU9" s="1300" t="s">
        <v>202</v>
      </c>
      <c r="AV9" s="1300" t="s">
        <v>202</v>
      </c>
      <c r="AW9" s="1300" t="s">
        <v>202</v>
      </c>
      <c r="AX9" s="1300" t="s">
        <v>202</v>
      </c>
      <c r="AZ9" s="22" t="s">
        <v>203</v>
      </c>
      <c r="BB9" s="22">
        <v>0</v>
      </c>
      <c r="BC9" s="756">
        <v>0</v>
      </c>
      <c r="BD9" s="756">
        <v>0</v>
      </c>
      <c r="BE9" s="756">
        <v>0</v>
      </c>
      <c r="BF9" s="756">
        <v>0</v>
      </c>
    </row>
    <row r="10" spans="1:70" s="22" customFormat="1" x14ac:dyDescent="0.3">
      <c r="D10" s="22">
        <v>2</v>
      </c>
      <c r="F10" s="1093" t="s">
        <v>22</v>
      </c>
      <c r="H10" s="1299" t="s">
        <v>204</v>
      </c>
      <c r="I10" s="1288"/>
      <c r="K10" s="1288" t="s">
        <v>205</v>
      </c>
      <c r="M10" s="1288" t="s">
        <v>29</v>
      </c>
      <c r="O10" s="1288" t="s">
        <v>206</v>
      </c>
      <c r="P10" s="1288" t="s">
        <v>207</v>
      </c>
      <c r="R10" s="22" t="s">
        <v>145</v>
      </c>
      <c r="U10" s="1288" t="s">
        <v>73</v>
      </c>
      <c r="W10" s="1288" t="s">
        <v>208</v>
      </c>
      <c r="Y10" s="22" t="s">
        <v>209</v>
      </c>
      <c r="Z10" s="22" t="s">
        <v>210</v>
      </c>
      <c r="AA10" s="22">
        <v>2</v>
      </c>
      <c r="AC10" s="22" t="s">
        <v>211</v>
      </c>
      <c r="AE10" s="714" t="s">
        <v>212</v>
      </c>
      <c r="AG10" s="714" t="s">
        <v>213</v>
      </c>
      <c r="AI10" s="715">
        <v>2</v>
      </c>
      <c r="AJ10" s="716">
        <v>0.6</v>
      </c>
      <c r="AK10" s="717">
        <v>0.6</v>
      </c>
      <c r="AL10" s="22">
        <v>1</v>
      </c>
      <c r="AM10" s="22">
        <v>1</v>
      </c>
      <c r="AO10" s="1300" t="s">
        <v>214</v>
      </c>
      <c r="AQ10" s="868"/>
      <c r="AR10" s="868" t="s">
        <v>202</v>
      </c>
      <c r="AS10" s="868" t="s">
        <v>202</v>
      </c>
      <c r="AT10" s="868"/>
      <c r="AU10" s="868"/>
      <c r="AV10" s="868"/>
      <c r="AW10" s="868"/>
      <c r="AX10" s="868"/>
      <c r="AZ10" s="22" t="s">
        <v>215</v>
      </c>
      <c r="BB10" s="22">
        <v>0.5</v>
      </c>
      <c r="BC10" s="756">
        <v>0.5</v>
      </c>
      <c r="BD10" s="756">
        <v>0.5</v>
      </c>
      <c r="BE10" s="756">
        <v>1</v>
      </c>
      <c r="BF10" s="756">
        <v>1</v>
      </c>
    </row>
    <row r="11" spans="1:70" s="22" customFormat="1" x14ac:dyDescent="0.3">
      <c r="D11" s="22">
        <v>3</v>
      </c>
      <c r="H11" s="1299" t="s">
        <v>216</v>
      </c>
      <c r="I11" s="1288" t="s">
        <v>217</v>
      </c>
      <c r="O11" s="1288" t="s">
        <v>218</v>
      </c>
      <c r="P11" s="1288"/>
      <c r="R11" s="22" t="s">
        <v>146</v>
      </c>
      <c r="U11" s="1288" t="s">
        <v>219</v>
      </c>
      <c r="Y11" s="718" t="s">
        <v>220</v>
      </c>
      <c r="Z11" s="718" t="s">
        <v>196</v>
      </c>
      <c r="AA11" s="22">
        <v>3</v>
      </c>
      <c r="AC11" s="22" t="s">
        <v>221</v>
      </c>
      <c r="AG11" s="714" t="s">
        <v>222</v>
      </c>
      <c r="AI11" s="715">
        <v>3</v>
      </c>
      <c r="AJ11" s="716">
        <v>0.6</v>
      </c>
      <c r="AK11" s="717">
        <v>0.6</v>
      </c>
      <c r="AL11" s="22">
        <v>1</v>
      </c>
      <c r="AM11" s="22">
        <v>1.5</v>
      </c>
      <c r="AO11" s="1300" t="s">
        <v>223</v>
      </c>
      <c r="AZ11" s="22" t="s">
        <v>224</v>
      </c>
      <c r="BB11" s="22">
        <v>1</v>
      </c>
    </row>
    <row r="12" spans="1:70" s="22" customFormat="1" x14ac:dyDescent="0.3">
      <c r="D12" s="22">
        <v>4</v>
      </c>
      <c r="H12" s="1299" t="s">
        <v>225</v>
      </c>
      <c r="I12" s="1288" t="s">
        <v>226</v>
      </c>
      <c r="O12" s="1288" t="s">
        <v>227</v>
      </c>
      <c r="P12" s="1288" t="s">
        <v>228</v>
      </c>
      <c r="R12" s="22" t="s">
        <v>229</v>
      </c>
      <c r="AI12" s="715">
        <v>4</v>
      </c>
      <c r="AJ12" s="716">
        <v>0.9</v>
      </c>
      <c r="AK12" s="717">
        <v>1.3</v>
      </c>
      <c r="AL12" s="22">
        <v>1</v>
      </c>
      <c r="AM12" s="22">
        <v>1.5</v>
      </c>
      <c r="AO12" s="1300" t="s">
        <v>230</v>
      </c>
      <c r="AZ12" s="22" t="s">
        <v>231</v>
      </c>
      <c r="BB12" s="22">
        <v>1.5</v>
      </c>
    </row>
    <row r="13" spans="1:70" s="22" customFormat="1" x14ac:dyDescent="0.3">
      <c r="D13" s="22">
        <v>5</v>
      </c>
      <c r="H13" s="1299" t="s">
        <v>232</v>
      </c>
      <c r="I13" s="1288"/>
      <c r="O13" s="1288" t="s">
        <v>233</v>
      </c>
      <c r="P13" s="1288"/>
      <c r="AI13" s="715">
        <v>5</v>
      </c>
      <c r="AJ13" s="716">
        <v>0.6</v>
      </c>
      <c r="AK13" s="717">
        <v>0.6</v>
      </c>
      <c r="AL13" s="22">
        <v>1</v>
      </c>
      <c r="AM13" s="22">
        <v>1</v>
      </c>
      <c r="AO13" s="1300" t="s">
        <v>234</v>
      </c>
      <c r="AQ13" s="22" t="str" cm="1">
        <f t="array" aca="1" ref="AQ13" ca="1">IF(H28="Roofs constructed with insulated sandwich panels",INDIRECT(Heatflow_Options),"")</f>
        <v/>
      </c>
      <c r="AZ13" s="22" t="s">
        <v>235</v>
      </c>
      <c r="BB13" s="22">
        <v>2</v>
      </c>
    </row>
    <row r="14" spans="1:70" s="22" customFormat="1" x14ac:dyDescent="0.3">
      <c r="D14" s="22">
        <v>6</v>
      </c>
      <c r="O14" s="1288" t="s">
        <v>236</v>
      </c>
      <c r="P14" s="1288" t="s">
        <v>237</v>
      </c>
      <c r="Y14" s="719" t="s">
        <v>238</v>
      </c>
      <c r="Z14" s="719"/>
      <c r="AA14" s="1288">
        <f>Home!$B$31</f>
        <v>1</v>
      </c>
      <c r="AI14" s="715">
        <v>6</v>
      </c>
      <c r="AJ14" s="716">
        <v>0.9</v>
      </c>
      <c r="AK14" s="717">
        <v>1.3</v>
      </c>
      <c r="AL14" s="22">
        <v>1</v>
      </c>
      <c r="AM14" s="22">
        <v>1.5</v>
      </c>
      <c r="AO14" s="1300" t="s">
        <v>239</v>
      </c>
      <c r="AZ14"/>
      <c r="BB14"/>
      <c r="BC14"/>
      <c r="BD14"/>
      <c r="BE14"/>
      <c r="BF14"/>
    </row>
    <row r="15" spans="1:70" s="22" customFormat="1" x14ac:dyDescent="0.3">
      <c r="D15" s="22">
        <v>7</v>
      </c>
      <c r="O15" s="1288" t="s">
        <v>240</v>
      </c>
      <c r="P15" s="1288"/>
      <c r="AI15" s="720">
        <v>7</v>
      </c>
      <c r="AJ15" s="721">
        <v>0.9</v>
      </c>
      <c r="AK15" s="722">
        <v>1.3</v>
      </c>
      <c r="AL15" s="22">
        <v>1</v>
      </c>
      <c r="AM15" s="22">
        <v>1.5</v>
      </c>
      <c r="AO15" s="868" t="s">
        <v>241</v>
      </c>
      <c r="AZ15"/>
      <c r="BB15"/>
      <c r="BC15"/>
      <c r="BD15"/>
      <c r="BE15"/>
      <c r="BF15"/>
    </row>
    <row r="16" spans="1:70" s="22" customFormat="1" x14ac:dyDescent="0.3">
      <c r="D16" s="22">
        <v>8</v>
      </c>
      <c r="O16" s="1288" t="s">
        <v>242</v>
      </c>
      <c r="P16" s="1288"/>
      <c r="AI16" s="715">
        <v>8</v>
      </c>
      <c r="AJ16" s="716">
        <v>1.3</v>
      </c>
      <c r="AK16" s="717">
        <v>1.3</v>
      </c>
      <c r="AL16" s="22">
        <v>1.5</v>
      </c>
      <c r="AM16" s="22">
        <v>1.5</v>
      </c>
      <c r="AO16" s="868" t="s">
        <v>243</v>
      </c>
      <c r="AZ16"/>
      <c r="BB16"/>
      <c r="BC16"/>
      <c r="BD16"/>
      <c r="BE16"/>
      <c r="BF16"/>
    </row>
    <row r="17" spans="2:58" s="22" customFormat="1" x14ac:dyDescent="0.3">
      <c r="O17" s="1288" t="s">
        <v>244</v>
      </c>
      <c r="P17" s="1288" t="s">
        <v>228</v>
      </c>
      <c r="AZ17"/>
      <c r="BB17"/>
      <c r="BC17"/>
      <c r="BD17"/>
      <c r="BE17"/>
      <c r="BF17"/>
    </row>
    <row r="18" spans="2:58" s="22" customFormat="1" x14ac:dyDescent="0.3">
      <c r="AZ18"/>
      <c r="BB18"/>
      <c r="BC18"/>
      <c r="BD18"/>
      <c r="BE18"/>
      <c r="BF18"/>
    </row>
    <row r="19" spans="2:58" s="22" customFormat="1" x14ac:dyDescent="0.3">
      <c r="R19" s="711" t="s">
        <v>245</v>
      </c>
      <c r="AZ19"/>
      <c r="BB19"/>
      <c r="BC19"/>
      <c r="BD19"/>
      <c r="BE19"/>
      <c r="BF19"/>
    </row>
    <row r="20" spans="2:58" s="22" customFormat="1" x14ac:dyDescent="0.3">
      <c r="B20" s="723" t="s">
        <v>246</v>
      </c>
      <c r="D20" s="724" t="s">
        <v>126</v>
      </c>
      <c r="F20" s="724" t="s">
        <v>127</v>
      </c>
      <c r="H20" s="724" t="s">
        <v>247</v>
      </c>
      <c r="R20" s="22" t="s">
        <v>190</v>
      </c>
      <c r="BB20"/>
      <c r="BC20"/>
      <c r="BD20"/>
      <c r="BE20"/>
      <c r="BF20"/>
    </row>
    <row r="21" spans="2:58" s="22" customFormat="1" x14ac:dyDescent="0.3">
      <c r="B21" s="723">
        <v>4</v>
      </c>
      <c r="D21" s="725" t="s">
        <v>201</v>
      </c>
      <c r="F21" s="726" t="s">
        <v>248</v>
      </c>
      <c r="H21" s="726" t="s">
        <v>249</v>
      </c>
      <c r="I21" s="723"/>
      <c r="R21" s="22" t="s">
        <v>29</v>
      </c>
      <c r="BB21"/>
      <c r="BC21"/>
      <c r="BD21"/>
      <c r="BE21"/>
      <c r="BF21"/>
    </row>
    <row r="22" spans="2:58" s="22" customFormat="1" x14ac:dyDescent="0.3">
      <c r="B22" s="723">
        <v>6</v>
      </c>
      <c r="D22" s="726" t="s">
        <v>202</v>
      </c>
      <c r="F22" s="726" t="s">
        <v>250</v>
      </c>
      <c r="H22" s="726" t="s">
        <v>251</v>
      </c>
      <c r="I22" s="723"/>
      <c r="R22" s="22" t="s">
        <v>252</v>
      </c>
      <c r="BB22"/>
      <c r="BC22"/>
      <c r="BD22"/>
      <c r="BE22"/>
      <c r="BF22"/>
    </row>
    <row r="23" spans="2:58" s="22" customFormat="1" x14ac:dyDescent="0.3">
      <c r="B23" s="723">
        <v>7</v>
      </c>
      <c r="F23" s="726" t="s">
        <v>253</v>
      </c>
      <c r="H23" s="726" t="s">
        <v>254</v>
      </c>
      <c r="I23" s="723"/>
      <c r="BB23"/>
      <c r="BC23"/>
      <c r="BD23"/>
      <c r="BE23"/>
      <c r="BF23"/>
    </row>
    <row r="24" spans="2:58" s="22" customFormat="1" x14ac:dyDescent="0.3">
      <c r="F24" s="726" t="s">
        <v>255</v>
      </c>
      <c r="H24" s="726" t="s">
        <v>256</v>
      </c>
      <c r="I24" s="723"/>
      <c r="BB24"/>
      <c r="BC24"/>
      <c r="BD24"/>
      <c r="BE24"/>
      <c r="BF24"/>
    </row>
    <row r="25" spans="2:58" s="22" customFormat="1" ht="35.25" customHeight="1" x14ac:dyDescent="0.3">
      <c r="B25" s="727" t="s">
        <v>257</v>
      </c>
      <c r="H25" s="726" t="s">
        <v>258</v>
      </c>
      <c r="I25" s="723"/>
      <c r="BB25"/>
      <c r="BC25"/>
      <c r="BD25"/>
      <c r="BE25"/>
      <c r="BF25"/>
    </row>
    <row r="26" spans="2:58" s="22" customFormat="1" x14ac:dyDescent="0.3">
      <c r="H26" s="726" t="s">
        <v>259</v>
      </c>
      <c r="I26" s="723"/>
      <c r="BB26"/>
      <c r="BC26"/>
      <c r="BD26"/>
      <c r="BE26"/>
      <c r="BF26"/>
    </row>
    <row r="27" spans="2:58" s="22" customFormat="1" x14ac:dyDescent="0.3">
      <c r="H27" s="726" t="s">
        <v>260</v>
      </c>
      <c r="I27" s="723"/>
      <c r="BB27"/>
      <c r="BC27"/>
      <c r="BD27"/>
      <c r="BE27"/>
      <c r="BF27"/>
    </row>
    <row r="28" spans="2:58" s="22" customFormat="1" ht="28" x14ac:dyDescent="0.3">
      <c r="B28" s="728" t="s">
        <v>261</v>
      </c>
      <c r="F28" s="1093" t="s">
        <v>216</v>
      </c>
    </row>
    <row r="29" spans="2:58" s="22" customFormat="1" x14ac:dyDescent="0.3">
      <c r="B29" s="1301" t="b">
        <v>0</v>
      </c>
      <c r="F29" s="725" t="s">
        <v>248</v>
      </c>
      <c r="R29" s="22" t="s">
        <v>262</v>
      </c>
    </row>
    <row r="30" spans="2:58" s="22" customFormat="1" x14ac:dyDescent="0.3">
      <c r="H30" s="1094" t="s">
        <v>263</v>
      </c>
      <c r="R30" s="22" t="s">
        <v>264</v>
      </c>
    </row>
    <row r="31" spans="2:58" s="22" customFormat="1" x14ac:dyDescent="0.3">
      <c r="F31" s="1093" t="s">
        <v>225</v>
      </c>
      <c r="H31" s="1096" t="s">
        <v>249</v>
      </c>
      <c r="R31" s="22" t="s">
        <v>265</v>
      </c>
    </row>
    <row r="32" spans="2:58" s="22" customFormat="1" x14ac:dyDescent="0.3">
      <c r="B32" s="1302" t="s">
        <v>266</v>
      </c>
      <c r="C32" s="1302" t="s">
        <v>267</v>
      </c>
      <c r="F32" s="726" t="s">
        <v>250</v>
      </c>
      <c r="H32" s="1096" t="s">
        <v>251</v>
      </c>
      <c r="R32" s="22" t="s">
        <v>268</v>
      </c>
    </row>
    <row r="33" spans="2:18" s="22" customFormat="1" x14ac:dyDescent="0.3">
      <c r="B33" s="1303" t="str">
        <f>IF(OR(Select_State="NSW",Select_State="NT"),"NOT APPLICABLE","")</f>
        <v/>
      </c>
      <c r="C33" s="1288">
        <v>13.2</v>
      </c>
      <c r="F33" s="726" t="s">
        <v>253</v>
      </c>
      <c r="H33" s="866" t="s">
        <v>254</v>
      </c>
      <c r="R33" s="22" t="s">
        <v>192</v>
      </c>
    </row>
    <row r="34" spans="2:18" s="22" customFormat="1" x14ac:dyDescent="0.3">
      <c r="B34" s="1303" t="str">
        <f>IF(OR(Select_State="NSW",Select_State="NT"),"NOT APPLICABLE","")</f>
        <v/>
      </c>
      <c r="C34" s="1288">
        <v>13.3</v>
      </c>
      <c r="F34" s="725" t="s">
        <v>255</v>
      </c>
      <c r="R34" s="22" t="s">
        <v>229</v>
      </c>
    </row>
    <row r="35" spans="2:18" s="22" customFormat="1" x14ac:dyDescent="0.3">
      <c r="B35" s="1303" t="str">
        <f>IF(OR(Select_State="NSW",Select_State="NT"),"NOT APPLICABLE","")</f>
        <v/>
      </c>
      <c r="C35" s="1288">
        <v>13.4</v>
      </c>
      <c r="H35" s="1094" t="s">
        <v>269</v>
      </c>
    </row>
    <row r="36" spans="2:18" s="22" customFormat="1" x14ac:dyDescent="0.3">
      <c r="B36" s="1303" t="str">
        <f>IF(OR(Development_Type&lt;&gt;1,'13.5 Ceiling Fans'!B19=FALSE,Select_State="NSW",Select_State="NT"),"NOT APPLICABLE","")</f>
        <v>NOT APPLICABLE</v>
      </c>
      <c r="C36" s="1288">
        <v>13.5</v>
      </c>
      <c r="H36" s="1096" t="s">
        <v>256</v>
      </c>
    </row>
    <row r="37" spans="2:18" s="22" customFormat="1" x14ac:dyDescent="0.3">
      <c r="B37" s="1303" t="str">
        <f>IF(OR(Development_Type=3,Select_State="NSW",Select_State="NT"),"NOT APPLICABLE","")</f>
        <v/>
      </c>
      <c r="C37" s="1288">
        <v>13.6</v>
      </c>
      <c r="H37" s="866" t="s">
        <v>258</v>
      </c>
      <c r="R37" s="711" t="s">
        <v>270</v>
      </c>
    </row>
    <row r="38" spans="2:18" s="22" customFormat="1" x14ac:dyDescent="0.3">
      <c r="B38" s="1303" t="str">
        <f>IF(OR(Select_State="NSW",Select_State="NT"),"NOT APPLICABLE","")</f>
        <v/>
      </c>
      <c r="C38" s="1288">
        <v>13.7</v>
      </c>
      <c r="R38" s="22" t="s">
        <v>271</v>
      </c>
    </row>
    <row r="39" spans="2:18" s="22" customFormat="1" x14ac:dyDescent="0.3">
      <c r="B39" s="1303" t="str">
        <f>IF(OR(Development_Type=2,Select_State="NSW",Select_State="NT"),"NOT APPLICABLE","")</f>
        <v/>
      </c>
      <c r="C39" s="1288" t="s">
        <v>272</v>
      </c>
      <c r="R39" s="22" t="s">
        <v>273</v>
      </c>
    </row>
    <row r="40" spans="2:18" s="22" customFormat="1" x14ac:dyDescent="0.3">
      <c r="H40" s="1094" t="s">
        <v>274</v>
      </c>
    </row>
    <row r="41" spans="2:18" s="22" customFormat="1" x14ac:dyDescent="0.3">
      <c r="H41" s="1096" t="s">
        <v>259</v>
      </c>
    </row>
    <row r="42" spans="2:18" s="22" customFormat="1" x14ac:dyDescent="0.3">
      <c r="B42" s="724" t="s">
        <v>275</v>
      </c>
      <c r="C42" s="724"/>
      <c r="H42" s="866" t="s">
        <v>260</v>
      </c>
    </row>
    <row r="43" spans="2:18" s="22" customFormat="1" x14ac:dyDescent="0.3">
      <c r="B43" s="1304" t="s">
        <v>276</v>
      </c>
      <c r="C43" s="1288" t="s">
        <v>277</v>
      </c>
    </row>
    <row r="44" spans="2:18" s="22" customFormat="1" ht="28" x14ac:dyDescent="0.3">
      <c r="B44" s="1305" t="s">
        <v>278</v>
      </c>
      <c r="C44" s="1306" t="s">
        <v>279</v>
      </c>
    </row>
    <row r="45" spans="2:18" s="22" customFormat="1" ht="42" x14ac:dyDescent="0.3">
      <c r="B45" s="1305" t="s">
        <v>280</v>
      </c>
      <c r="C45" s="1306" t="s">
        <v>279</v>
      </c>
    </row>
    <row r="46" spans="2:18" s="22" customFormat="1" x14ac:dyDescent="0.3"/>
    <row r="47" spans="2:18" s="22" customFormat="1" ht="14.15" customHeight="1" x14ac:dyDescent="0.3">
      <c r="B47" s="1288" t="e">
        <f>INDEX($C$43:$C$45,MATCH('13.2 Building Fabric'!$R$83,$B$43:$B$45,0))</f>
        <v>#N/A</v>
      </c>
    </row>
    <row r="48" spans="2:18" s="22" customFormat="1" ht="14.15" customHeight="1" x14ac:dyDescent="0.3"/>
    <row r="49" spans="2:6" s="22" customFormat="1" x14ac:dyDescent="0.3"/>
    <row r="50" spans="2:6" s="22" customFormat="1" x14ac:dyDescent="0.3">
      <c r="B50" s="724" t="s">
        <v>281</v>
      </c>
    </row>
    <row r="51" spans="2:6" s="22" customFormat="1" ht="33.65" customHeight="1" x14ac:dyDescent="0.3">
      <c r="B51" s="1307" t="s">
        <v>282</v>
      </c>
      <c r="F51"/>
    </row>
    <row r="52" spans="2:6" s="22" customFormat="1" ht="28" x14ac:dyDescent="0.3">
      <c r="B52" s="1307" t="s">
        <v>283</v>
      </c>
      <c r="F52"/>
    </row>
    <row r="53" spans="2:6" s="22" customFormat="1" x14ac:dyDescent="0.3">
      <c r="F53"/>
    </row>
    <row r="54" spans="2:6" s="22" customFormat="1" x14ac:dyDescent="0.3">
      <c r="B54" s="724" t="s">
        <v>284</v>
      </c>
      <c r="F54"/>
    </row>
    <row r="55" spans="2:6" s="22" customFormat="1" x14ac:dyDescent="0.3">
      <c r="B55" s="1288" t="s">
        <v>285</v>
      </c>
      <c r="F55"/>
    </row>
    <row r="56" spans="2:6" s="22" customFormat="1" x14ac:dyDescent="0.3">
      <c r="B56" s="1288" t="s">
        <v>286</v>
      </c>
      <c r="F56"/>
    </row>
    <row r="57" spans="2:6" s="22" customFormat="1" x14ac:dyDescent="0.3">
      <c r="B57" s="1288" t="s">
        <v>287</v>
      </c>
      <c r="F57"/>
    </row>
    <row r="58" spans="2:6" s="22" customFormat="1" x14ac:dyDescent="0.3">
      <c r="F58"/>
    </row>
    <row r="59" spans="2:6" s="22" customFormat="1" x14ac:dyDescent="0.3">
      <c r="F59"/>
    </row>
    <row r="60" spans="2:6" s="22" customFormat="1" x14ac:dyDescent="0.3">
      <c r="F60"/>
    </row>
    <row r="61" spans="2:6" s="22" customFormat="1" x14ac:dyDescent="0.3">
      <c r="F61"/>
    </row>
    <row r="62" spans="2:6" s="22" customFormat="1" x14ac:dyDescent="0.3">
      <c r="F62"/>
    </row>
    <row r="63" spans="2:6" s="22" customFormat="1" x14ac:dyDescent="0.3">
      <c r="F63"/>
    </row>
    <row r="64" spans="2:6" s="22" customFormat="1" x14ac:dyDescent="0.3">
      <c r="F64"/>
    </row>
    <row r="65" spans="6:6" s="22" customFormat="1" x14ac:dyDescent="0.3">
      <c r="F65"/>
    </row>
    <row r="66" spans="6:6" s="22" customFormat="1" x14ac:dyDescent="0.3">
      <c r="F66"/>
    </row>
    <row r="67" spans="6:6" s="22" customFormat="1" x14ac:dyDescent="0.3">
      <c r="F67"/>
    </row>
    <row r="68" spans="6:6" s="22" customFormat="1" x14ac:dyDescent="0.3">
      <c r="F68"/>
    </row>
    <row r="69" spans="6:6" s="22" customFormat="1" x14ac:dyDescent="0.3">
      <c r="F69"/>
    </row>
    <row r="70" spans="6:6" s="22" customFormat="1" x14ac:dyDescent="0.3">
      <c r="F70"/>
    </row>
    <row r="71" spans="6:6" s="22" customFormat="1" x14ac:dyDescent="0.3">
      <c r="F71"/>
    </row>
    <row r="72" spans="6:6" s="22" customFormat="1" x14ac:dyDescent="0.3">
      <c r="F72"/>
    </row>
    <row r="73" spans="6:6" s="22" customFormat="1" x14ac:dyDescent="0.3">
      <c r="F73"/>
    </row>
    <row r="74" spans="6:6" s="22" customFormat="1" x14ac:dyDescent="0.3">
      <c r="F74"/>
    </row>
    <row r="75" spans="6:6" s="22" customFormat="1" x14ac:dyDescent="0.3">
      <c r="F75"/>
    </row>
    <row r="76" spans="6:6" s="22" customFormat="1" x14ac:dyDescent="0.3">
      <c r="F76"/>
    </row>
    <row r="77" spans="6:6" s="22" customFormat="1" x14ac:dyDescent="0.3">
      <c r="F77"/>
    </row>
    <row r="78" spans="6:6" s="22" customFormat="1" x14ac:dyDescent="0.3">
      <c r="F78"/>
    </row>
    <row r="79" spans="6:6" s="22" customFormat="1" x14ac:dyDescent="0.3">
      <c r="F79"/>
    </row>
    <row r="80" spans="6:6" s="22" customFormat="1" x14ac:dyDescent="0.3">
      <c r="F80"/>
    </row>
    <row r="81" spans="6:6" s="22" customFormat="1" x14ac:dyDescent="0.3">
      <c r="F81"/>
    </row>
    <row r="82" spans="6:6" s="22" customFormat="1" x14ac:dyDescent="0.3">
      <c r="F82"/>
    </row>
    <row r="83" spans="6:6" s="22" customFormat="1" x14ac:dyDescent="0.3">
      <c r="F83"/>
    </row>
    <row r="84" spans="6:6" s="22" customFormat="1" x14ac:dyDescent="0.3">
      <c r="F84"/>
    </row>
    <row r="85" spans="6:6" s="22" customFormat="1" x14ac:dyDescent="0.3">
      <c r="F85"/>
    </row>
    <row r="86" spans="6:6" s="22" customFormat="1" x14ac:dyDescent="0.3">
      <c r="F86"/>
    </row>
    <row r="87" spans="6:6" s="22" customFormat="1" x14ac:dyDescent="0.3">
      <c r="F87"/>
    </row>
    <row r="88" spans="6:6" s="22" customFormat="1" x14ac:dyDescent="0.3">
      <c r="F88"/>
    </row>
    <row r="89" spans="6:6" s="22" customFormat="1" x14ac:dyDescent="0.3">
      <c r="F89"/>
    </row>
    <row r="90" spans="6:6" s="22" customFormat="1" x14ac:dyDescent="0.3">
      <c r="F90"/>
    </row>
    <row r="91" spans="6:6" s="22" customFormat="1" x14ac:dyDescent="0.3">
      <c r="F91"/>
    </row>
    <row r="92" spans="6:6" s="22" customFormat="1" x14ac:dyDescent="0.3">
      <c r="F92"/>
    </row>
    <row r="93" spans="6:6" s="22" customFormat="1" x14ac:dyDescent="0.3">
      <c r="F93"/>
    </row>
    <row r="94" spans="6:6" s="22" customFormat="1" x14ac:dyDescent="0.3">
      <c r="F94"/>
    </row>
    <row r="95" spans="6:6" s="22" customFormat="1" x14ac:dyDescent="0.3">
      <c r="F95"/>
    </row>
    <row r="96" spans="6:6" s="22" customFormat="1" x14ac:dyDescent="0.3">
      <c r="F96"/>
    </row>
    <row r="97" spans="6:6" s="22" customFormat="1" x14ac:dyDescent="0.3">
      <c r="F97"/>
    </row>
    <row r="98" spans="6:6" s="22" customFormat="1" x14ac:dyDescent="0.3">
      <c r="F98"/>
    </row>
    <row r="99" spans="6:6" s="22" customFormat="1" x14ac:dyDescent="0.3">
      <c r="F99"/>
    </row>
    <row r="100" spans="6:6" s="22" customFormat="1" x14ac:dyDescent="0.3">
      <c r="F100"/>
    </row>
    <row r="101" spans="6:6" s="22" customFormat="1" x14ac:dyDescent="0.3">
      <c r="F101"/>
    </row>
    <row r="102" spans="6:6" s="22" customFormat="1" x14ac:dyDescent="0.3">
      <c r="F102"/>
    </row>
    <row r="103" spans="6:6" s="22" customFormat="1" x14ac:dyDescent="0.3">
      <c r="F103"/>
    </row>
    <row r="104" spans="6:6" s="22" customFormat="1" x14ac:dyDescent="0.3">
      <c r="F104"/>
    </row>
    <row r="105" spans="6:6" s="22" customFormat="1" x14ac:dyDescent="0.3">
      <c r="F105"/>
    </row>
    <row r="106" spans="6:6" s="22" customFormat="1" x14ac:dyDescent="0.3">
      <c r="F106"/>
    </row>
    <row r="107" spans="6:6" s="22" customFormat="1" x14ac:dyDescent="0.3">
      <c r="F107"/>
    </row>
    <row r="108" spans="6:6" s="22" customFormat="1" x14ac:dyDescent="0.3">
      <c r="F108"/>
    </row>
    <row r="109" spans="6:6" s="22" customFormat="1" x14ac:dyDescent="0.3">
      <c r="F109"/>
    </row>
    <row r="110" spans="6:6" s="22" customFormat="1" x14ac:dyDescent="0.3">
      <c r="F110"/>
    </row>
    <row r="111" spans="6:6" s="22" customFormat="1" x14ac:dyDescent="0.3">
      <c r="F111"/>
    </row>
    <row r="112" spans="6:6" s="22" customFormat="1" x14ac:dyDescent="0.3">
      <c r="F112"/>
    </row>
    <row r="113" spans="6:6" s="22" customFormat="1" x14ac:dyDescent="0.3">
      <c r="F113"/>
    </row>
    <row r="114" spans="6:6" s="22" customFormat="1" x14ac:dyDescent="0.3">
      <c r="F114"/>
    </row>
    <row r="115" spans="6:6" s="22" customFormat="1" x14ac:dyDescent="0.3">
      <c r="F115"/>
    </row>
    <row r="116" spans="6:6" s="22" customFormat="1" x14ac:dyDescent="0.3">
      <c r="F116"/>
    </row>
    <row r="117" spans="6:6" s="22" customFormat="1" x14ac:dyDescent="0.3">
      <c r="F117"/>
    </row>
    <row r="118" spans="6:6" s="22" customFormat="1" x14ac:dyDescent="0.3">
      <c r="F118"/>
    </row>
    <row r="119" spans="6:6" s="22" customFormat="1" x14ac:dyDescent="0.3">
      <c r="F119"/>
    </row>
    <row r="120" spans="6:6" s="22" customFormat="1" x14ac:dyDescent="0.3">
      <c r="F120"/>
    </row>
    <row r="121" spans="6:6" s="22" customFormat="1" x14ac:dyDescent="0.3">
      <c r="F121"/>
    </row>
    <row r="122" spans="6:6" s="22" customFormat="1" x14ac:dyDescent="0.3">
      <c r="F122"/>
    </row>
    <row r="123" spans="6:6" s="22" customFormat="1" x14ac:dyDescent="0.3">
      <c r="F123"/>
    </row>
    <row r="124" spans="6:6" s="22" customFormat="1" x14ac:dyDescent="0.3">
      <c r="F124"/>
    </row>
    <row r="125" spans="6:6" s="22" customFormat="1" x14ac:dyDescent="0.3">
      <c r="F125"/>
    </row>
    <row r="126" spans="6:6" s="22" customFormat="1" x14ac:dyDescent="0.3">
      <c r="F126"/>
    </row>
    <row r="127" spans="6:6" s="22" customFormat="1" x14ac:dyDescent="0.3">
      <c r="F127"/>
    </row>
    <row r="128" spans="6:6" s="22" customFormat="1" x14ac:dyDescent="0.3">
      <c r="F128"/>
    </row>
    <row r="129" spans="6:6" s="22" customFormat="1" x14ac:dyDescent="0.3">
      <c r="F129"/>
    </row>
    <row r="130" spans="6:6" s="22" customFormat="1" x14ac:dyDescent="0.3">
      <c r="F130"/>
    </row>
    <row r="131" spans="6:6" s="22" customFormat="1" x14ac:dyDescent="0.3">
      <c r="F131"/>
    </row>
    <row r="132" spans="6:6" s="22" customFormat="1" x14ac:dyDescent="0.3">
      <c r="F132"/>
    </row>
    <row r="133" spans="6:6" s="22" customFormat="1" x14ac:dyDescent="0.3">
      <c r="F133"/>
    </row>
    <row r="134" spans="6:6" s="22" customFormat="1" x14ac:dyDescent="0.3">
      <c r="F134"/>
    </row>
    <row r="135" spans="6:6" s="22" customFormat="1" x14ac:dyDescent="0.3">
      <c r="F135"/>
    </row>
    <row r="136" spans="6:6" s="22" customFormat="1" x14ac:dyDescent="0.3">
      <c r="F136"/>
    </row>
    <row r="137" spans="6:6" s="22" customFormat="1" x14ac:dyDescent="0.3">
      <c r="F137"/>
    </row>
    <row r="138" spans="6:6" s="22" customFormat="1" x14ac:dyDescent="0.3">
      <c r="F138"/>
    </row>
    <row r="139" spans="6:6" s="22" customFormat="1" x14ac:dyDescent="0.3">
      <c r="F139"/>
    </row>
    <row r="140" spans="6:6" s="22" customFormat="1" x14ac:dyDescent="0.3">
      <c r="F140"/>
    </row>
    <row r="141" spans="6:6" s="22" customFormat="1" x14ac:dyDescent="0.3">
      <c r="F141"/>
    </row>
  </sheetData>
  <sheetProtection autoFilter="0"/>
  <phoneticPr fontId="27" type="noConversion"/>
  <dataValidations disablePrompts="1" count="1">
    <dataValidation type="list" allowBlank="1" showInputMessage="1" showErrorMessage="1" sqref="AU12" xr:uid="{00000000-0002-0000-0400-000000000000}">
      <formula1>INDIRECT(Heatflow_Options)</formula1>
    </dataValidation>
  </dataValidations>
  <pageMargins left="0.7" right="0.7" top="0.75" bottom="0.75" header="0.3" footer="0.3"/>
  <drawing r:id="rId1"/>
  <tableParts count="28">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1"/>
  <dimension ref="B1:K257"/>
  <sheetViews>
    <sheetView topLeftCell="A199" workbookViewId="0">
      <selection activeCell="G9" sqref="G9"/>
    </sheetView>
  </sheetViews>
  <sheetFormatPr defaultColWidth="7.58203125" defaultRowHeight="14" x14ac:dyDescent="0.3"/>
  <sheetData>
    <row r="1" spans="2:11" ht="14.5" thickBot="1" x14ac:dyDescent="0.35"/>
    <row r="2" spans="2:11" ht="25.5" thickBot="1" x14ac:dyDescent="0.55000000000000004">
      <c r="B2" s="88" t="s">
        <v>1960</v>
      </c>
      <c r="C2" s="89"/>
      <c r="D2" s="90">
        <v>5</v>
      </c>
      <c r="E2" s="91" t="s">
        <v>1961</v>
      </c>
      <c r="F2" s="92"/>
      <c r="G2" s="92"/>
      <c r="H2" s="92"/>
      <c r="I2" s="93"/>
      <c r="J2" s="89" t="s">
        <v>176</v>
      </c>
      <c r="K2" s="94" t="s">
        <v>243</v>
      </c>
    </row>
    <row r="3" spans="2:11" ht="14.5" thickBot="1" x14ac:dyDescent="0.35">
      <c r="B3" s="95" t="s">
        <v>1962</v>
      </c>
      <c r="C3" s="96" t="s">
        <v>1963</v>
      </c>
      <c r="D3" s="95" t="s">
        <v>1964</v>
      </c>
      <c r="E3" s="97" t="s">
        <v>1965</v>
      </c>
      <c r="F3" s="97" t="s">
        <v>1966</v>
      </c>
      <c r="G3" s="97" t="s">
        <v>1967</v>
      </c>
      <c r="H3" s="97" t="s">
        <v>1968</v>
      </c>
      <c r="I3" s="97" t="s">
        <v>1969</v>
      </c>
      <c r="J3" s="97" t="s">
        <v>1970</v>
      </c>
      <c r="K3" s="98" t="s">
        <v>1971</v>
      </c>
    </row>
    <row r="4" spans="2:11" ht="18.5" thickBot="1" x14ac:dyDescent="0.45">
      <c r="B4" s="99" t="s">
        <v>34</v>
      </c>
      <c r="C4" s="100" t="s">
        <v>34</v>
      </c>
      <c r="D4" s="101" t="s">
        <v>34</v>
      </c>
      <c r="E4" s="944"/>
      <c r="F4" s="944"/>
      <c r="G4" s="944"/>
      <c r="H4" s="944"/>
      <c r="I4" s="944" t="s">
        <v>34</v>
      </c>
      <c r="J4" s="944" t="s">
        <v>34</v>
      </c>
      <c r="K4" s="102"/>
    </row>
    <row r="5" spans="2:11" ht="90.5" thickBot="1" x14ac:dyDescent="0.45">
      <c r="B5" s="103" t="s">
        <v>1972</v>
      </c>
      <c r="C5" s="104" t="s">
        <v>1973</v>
      </c>
      <c r="D5" s="105" t="s">
        <v>1974</v>
      </c>
      <c r="E5" s="105" t="s">
        <v>1525</v>
      </c>
      <c r="F5" s="105" t="s">
        <v>1527</v>
      </c>
      <c r="G5" s="105" t="s">
        <v>1975</v>
      </c>
      <c r="H5" s="105" t="s">
        <v>1976</v>
      </c>
      <c r="I5" s="105" t="s">
        <v>1445</v>
      </c>
      <c r="J5" s="105" t="s">
        <v>1538</v>
      </c>
      <c r="K5" s="106" t="s">
        <v>1541</v>
      </c>
    </row>
    <row r="6" spans="2:11" x14ac:dyDescent="0.3">
      <c r="B6" s="107" t="s">
        <v>1977</v>
      </c>
      <c r="C6" s="108" t="s">
        <v>1416</v>
      </c>
      <c r="D6" s="109">
        <v>4.8690344666472374</v>
      </c>
      <c r="E6" s="109">
        <v>3.724228318117941</v>
      </c>
      <c r="F6" s="109">
        <v>2.9293048153445218</v>
      </c>
      <c r="G6" s="109">
        <v>2.5973025017779947</v>
      </c>
      <c r="H6" s="109">
        <v>2.7313375401027562</v>
      </c>
      <c r="I6" s="109">
        <v>5.4637379889357831</v>
      </c>
      <c r="J6" s="109">
        <v>4.7758838429224015</v>
      </c>
      <c r="K6" s="110">
        <v>2.4028551525652633</v>
      </c>
    </row>
    <row r="7" spans="2:11" x14ac:dyDescent="0.3">
      <c r="B7" s="111" t="s">
        <v>1978</v>
      </c>
      <c r="C7" s="112" t="s">
        <v>1483</v>
      </c>
      <c r="D7" s="1499">
        <v>5.5551311774260883</v>
      </c>
      <c r="E7" s="1499">
        <v>4.4424208813958908</v>
      </c>
      <c r="F7" s="1499">
        <v>3.6360695877896894</v>
      </c>
      <c r="G7" s="1499">
        <v>3.3208298834540861</v>
      </c>
      <c r="H7" s="1499">
        <v>3.4372187949822872</v>
      </c>
      <c r="I7" s="1499">
        <v>6.1674698198399538</v>
      </c>
      <c r="J7" s="1499">
        <v>5.4889958443569249</v>
      </c>
      <c r="K7" s="113">
        <v>3.1257185293831884</v>
      </c>
    </row>
    <row r="8" spans="2:11" x14ac:dyDescent="0.3">
      <c r="B8" s="111" t="s">
        <v>1979</v>
      </c>
      <c r="C8" s="112" t="s">
        <v>1489</v>
      </c>
      <c r="D8" s="1499">
        <v>5.4788860191217825</v>
      </c>
      <c r="E8" s="1499">
        <v>4.366175723091585</v>
      </c>
      <c r="F8" s="1499">
        <v>3.5598244294853831</v>
      </c>
      <c r="G8" s="1499">
        <v>3.2445847251497799</v>
      </c>
      <c r="H8" s="1499">
        <v>3.360973636677981</v>
      </c>
      <c r="I8" s="1499">
        <v>6.091224661535648</v>
      </c>
      <c r="J8" s="1499">
        <v>5.4127506860526191</v>
      </c>
      <c r="K8" s="113">
        <v>3.0494733710788822</v>
      </c>
    </row>
    <row r="9" spans="2:11" x14ac:dyDescent="0.3">
      <c r="B9" s="114">
        <v>0</v>
      </c>
      <c r="C9" s="112" t="s">
        <v>1496</v>
      </c>
      <c r="D9" s="1499">
        <v>5.3645182816653234</v>
      </c>
      <c r="E9" s="1499">
        <v>4.2518079856351259</v>
      </c>
      <c r="F9" s="1499">
        <v>3.445456692028924</v>
      </c>
      <c r="G9" s="1499">
        <v>3.1302169876933208</v>
      </c>
      <c r="H9" s="1499">
        <v>3.2466058992215219</v>
      </c>
      <c r="I9" s="1499">
        <v>5.9768569240791889</v>
      </c>
      <c r="J9" s="1499">
        <v>5.29838294859616</v>
      </c>
      <c r="K9" s="113">
        <v>2.935105633622423</v>
      </c>
    </row>
    <row r="10" spans="2:11" x14ac:dyDescent="0.3">
      <c r="B10" s="115"/>
      <c r="C10" s="112" t="s">
        <v>1500</v>
      </c>
      <c r="D10" s="1499">
        <v>5.2501505442088643</v>
      </c>
      <c r="E10" s="1499">
        <v>4.1374402481786667</v>
      </c>
      <c r="F10" s="1499">
        <v>3.3310889545724649</v>
      </c>
      <c r="G10" s="1499">
        <v>3.0158492502368617</v>
      </c>
      <c r="H10" s="1499">
        <v>3.1322381617650628</v>
      </c>
      <c r="I10" s="1499">
        <v>5.8624891866227289</v>
      </c>
      <c r="J10" s="1499">
        <v>5.1840152111397009</v>
      </c>
      <c r="K10" s="113">
        <v>2.8207378961659639</v>
      </c>
    </row>
    <row r="11" spans="2:11" x14ac:dyDescent="0.3">
      <c r="B11" s="115"/>
      <c r="C11" s="112" t="s">
        <v>1504</v>
      </c>
      <c r="D11" s="1499">
        <v>5.4171990977608253</v>
      </c>
      <c r="E11" s="1499">
        <v>4.2979226968365847</v>
      </c>
      <c r="F11" s="1499">
        <v>3.4941434779754212</v>
      </c>
      <c r="G11" s="1499">
        <v>3.1727216369123981</v>
      </c>
      <c r="H11" s="1499">
        <v>3.2931087470052813</v>
      </c>
      <c r="I11" s="1499">
        <v>6.0239727862936734</v>
      </c>
      <c r="J11" s="1499">
        <v>5.344914713459624</v>
      </c>
      <c r="K11" s="113">
        <v>2.9775936299121541</v>
      </c>
    </row>
    <row r="12" spans="2:11" x14ac:dyDescent="0.3">
      <c r="B12" s="115"/>
      <c r="C12" s="112" t="s">
        <v>1508</v>
      </c>
      <c r="D12" s="1499">
        <v>5.3540701078930431</v>
      </c>
      <c r="E12" s="1499">
        <v>4.2347937069688015</v>
      </c>
      <c r="F12" s="1499">
        <v>3.431014488107639</v>
      </c>
      <c r="G12" s="1499">
        <v>3.1095926470446158</v>
      </c>
      <c r="H12" s="1499">
        <v>3.2299797571374986</v>
      </c>
      <c r="I12" s="1499">
        <v>5.9608437964258911</v>
      </c>
      <c r="J12" s="1499">
        <v>5.2817857235918426</v>
      </c>
      <c r="K12" s="113">
        <v>2.9144646400443719</v>
      </c>
    </row>
    <row r="13" spans="2:11" x14ac:dyDescent="0.3">
      <c r="B13" s="115"/>
      <c r="C13" s="112" t="s">
        <v>1513</v>
      </c>
      <c r="D13" s="1499">
        <v>5.2593766230913692</v>
      </c>
      <c r="E13" s="1499">
        <v>4.1401002221671277</v>
      </c>
      <c r="F13" s="1499">
        <v>3.3363210033059651</v>
      </c>
      <c r="G13" s="1499">
        <v>3.014899162242942</v>
      </c>
      <c r="H13" s="1499">
        <v>3.1352862723358248</v>
      </c>
      <c r="I13" s="1499">
        <v>5.8661503116242164</v>
      </c>
      <c r="J13" s="1499">
        <v>5.1870922387901679</v>
      </c>
      <c r="K13" s="113">
        <v>2.8197711552426976</v>
      </c>
    </row>
    <row r="14" spans="2:11" x14ac:dyDescent="0.3">
      <c r="B14" s="115"/>
      <c r="C14" s="112" t="s">
        <v>1517</v>
      </c>
      <c r="D14" s="1499">
        <v>5.1646831382896954</v>
      </c>
      <c r="E14" s="1499">
        <v>4.0454067373654539</v>
      </c>
      <c r="F14" s="1499">
        <v>3.2416275185042913</v>
      </c>
      <c r="G14" s="1499">
        <v>2.9202056774412677</v>
      </c>
      <c r="H14" s="1499">
        <v>3.040592787534151</v>
      </c>
      <c r="I14" s="1499">
        <v>5.7714568268225435</v>
      </c>
      <c r="J14" s="1499">
        <v>5.0923987539884941</v>
      </c>
      <c r="K14" s="113">
        <v>2.7250776704410238</v>
      </c>
    </row>
    <row r="15" spans="2:11" ht="14.5" thickBot="1" x14ac:dyDescent="0.35">
      <c r="B15" s="1233"/>
      <c r="C15" s="116" t="s">
        <v>1519</v>
      </c>
      <c r="D15" s="117">
        <v>5.5551311774260883</v>
      </c>
      <c r="E15" s="117">
        <v>4.4424208813958908</v>
      </c>
      <c r="F15" s="117">
        <v>3.6360695877896894</v>
      </c>
      <c r="G15" s="117">
        <v>3.3208298834540861</v>
      </c>
      <c r="H15" s="117">
        <v>3.4372187949822872</v>
      </c>
      <c r="I15" s="117">
        <v>6.1674698198399538</v>
      </c>
      <c r="J15" s="117">
        <v>5.4889958443569249</v>
      </c>
      <c r="K15" s="118">
        <v>3.1257185293831884</v>
      </c>
    </row>
    <row r="16" spans="2:11" x14ac:dyDescent="0.3">
      <c r="B16" s="107" t="s">
        <v>1977</v>
      </c>
      <c r="C16" s="108" t="s">
        <v>1416</v>
      </c>
      <c r="D16" s="109">
        <v>4.646397094441892</v>
      </c>
      <c r="E16" s="109">
        <v>3.5015909459125951</v>
      </c>
      <c r="F16" s="109">
        <v>2.706667443139176</v>
      </c>
      <c r="G16" s="109">
        <v>2.3746651295726489</v>
      </c>
      <c r="H16" s="109">
        <v>2.5087001678974103</v>
      </c>
      <c r="I16" s="109">
        <v>5.2411006167304377</v>
      </c>
      <c r="J16" s="109">
        <v>4.553246470717057</v>
      </c>
      <c r="K16" s="110">
        <v>2.1802177803599179</v>
      </c>
    </row>
    <row r="17" spans="2:11" x14ac:dyDescent="0.3">
      <c r="B17" s="111" t="s">
        <v>1978</v>
      </c>
      <c r="C17" s="112" t="s">
        <v>1483</v>
      </c>
      <c r="D17" s="1499">
        <v>5.3324938052207429</v>
      </c>
      <c r="E17" s="1499">
        <v>4.2197835091905453</v>
      </c>
      <c r="F17" s="1499">
        <v>3.4134322155843435</v>
      </c>
      <c r="G17" s="1499">
        <v>3.0981925112487403</v>
      </c>
      <c r="H17" s="1499">
        <v>3.2145814227769414</v>
      </c>
      <c r="I17" s="1499">
        <v>5.9448324476346075</v>
      </c>
      <c r="J17" s="1499">
        <v>5.2663584721515795</v>
      </c>
      <c r="K17" s="113">
        <v>2.9030811571778425</v>
      </c>
    </row>
    <row r="18" spans="2:11" x14ac:dyDescent="0.3">
      <c r="B18" s="111" t="s">
        <v>1980</v>
      </c>
      <c r="C18" s="112" t="s">
        <v>1489</v>
      </c>
      <c r="D18" s="1499">
        <v>5.2562486469164362</v>
      </c>
      <c r="E18" s="1499">
        <v>4.1435383508862396</v>
      </c>
      <c r="F18" s="1499">
        <v>3.3371870572800373</v>
      </c>
      <c r="G18" s="1499">
        <v>3.0219473529444341</v>
      </c>
      <c r="H18" s="1499">
        <v>3.1383362644726356</v>
      </c>
      <c r="I18" s="1499">
        <v>5.8685872893303017</v>
      </c>
      <c r="J18" s="1499">
        <v>5.1901133138472728</v>
      </c>
      <c r="K18" s="113">
        <v>2.8268359988735363</v>
      </c>
    </row>
    <row r="19" spans="2:11" x14ac:dyDescent="0.3">
      <c r="B19" s="114">
        <v>0</v>
      </c>
      <c r="C19" s="112" t="s">
        <v>1496</v>
      </c>
      <c r="D19" s="1499">
        <v>5.1418809094599771</v>
      </c>
      <c r="E19" s="1499">
        <v>4.0291706134297804</v>
      </c>
      <c r="F19" s="1499">
        <v>3.2228193198235782</v>
      </c>
      <c r="G19" s="1499">
        <v>2.9075796154879749</v>
      </c>
      <c r="H19" s="1499">
        <v>3.023968527016176</v>
      </c>
      <c r="I19" s="1499">
        <v>5.7542195518738426</v>
      </c>
      <c r="J19" s="1499">
        <v>5.0757455763908137</v>
      </c>
      <c r="K19" s="113">
        <v>2.7124682614170772</v>
      </c>
    </row>
    <row r="20" spans="2:11" x14ac:dyDescent="0.3">
      <c r="B20" s="115"/>
      <c r="C20" s="112" t="s">
        <v>1500</v>
      </c>
      <c r="D20" s="1499">
        <v>5.027513172003518</v>
      </c>
      <c r="E20" s="1499">
        <v>3.9148028759733209</v>
      </c>
      <c r="F20" s="1499">
        <v>3.108451582367119</v>
      </c>
      <c r="G20" s="1499">
        <v>2.7932118780315158</v>
      </c>
      <c r="H20" s="1499">
        <v>2.9096007895597169</v>
      </c>
      <c r="I20" s="1499">
        <v>5.6398518144173835</v>
      </c>
      <c r="J20" s="1499">
        <v>4.9613778389343546</v>
      </c>
      <c r="K20" s="113">
        <v>2.5981005239606181</v>
      </c>
    </row>
    <row r="21" spans="2:11" x14ac:dyDescent="0.3">
      <c r="B21" s="115"/>
      <c r="C21" s="112" t="s">
        <v>1504</v>
      </c>
      <c r="D21" s="1499">
        <v>5.1945617255554808</v>
      </c>
      <c r="E21" s="1499">
        <v>4.0752853246312384</v>
      </c>
      <c r="F21" s="1499">
        <v>3.2715061057700758</v>
      </c>
      <c r="G21" s="1499">
        <v>2.9500842647070522</v>
      </c>
      <c r="H21" s="1499">
        <v>3.0704713747999355</v>
      </c>
      <c r="I21" s="1499">
        <v>5.8013354140883289</v>
      </c>
      <c r="J21" s="1499">
        <v>5.1222773412542795</v>
      </c>
      <c r="K21" s="113">
        <v>2.7549562577068083</v>
      </c>
    </row>
    <row r="22" spans="2:11" x14ac:dyDescent="0.3">
      <c r="B22" s="115"/>
      <c r="C22" s="112" t="s">
        <v>1508</v>
      </c>
      <c r="D22" s="1499">
        <v>5.1314327356876976</v>
      </c>
      <c r="E22" s="1499">
        <v>4.0121563347634561</v>
      </c>
      <c r="F22" s="1499">
        <v>3.2083771159022931</v>
      </c>
      <c r="G22" s="1499">
        <v>2.8869552748392699</v>
      </c>
      <c r="H22" s="1499">
        <v>3.0073423849321528</v>
      </c>
      <c r="I22" s="1499">
        <v>5.7382064242205457</v>
      </c>
      <c r="J22" s="1499">
        <v>5.0591483513864963</v>
      </c>
      <c r="K22" s="113">
        <v>2.691827267839026</v>
      </c>
    </row>
    <row r="23" spans="2:11" x14ac:dyDescent="0.3">
      <c r="B23" s="115"/>
      <c r="C23" s="112" t="s">
        <v>1513</v>
      </c>
      <c r="D23" s="1499">
        <v>5.0367392508860238</v>
      </c>
      <c r="E23" s="1499">
        <v>3.9174628499617823</v>
      </c>
      <c r="F23" s="1499">
        <v>3.1136836311006193</v>
      </c>
      <c r="G23" s="1499">
        <v>2.7922617900375961</v>
      </c>
      <c r="H23" s="1499">
        <v>2.9126489001304789</v>
      </c>
      <c r="I23" s="1499">
        <v>5.6435129394188719</v>
      </c>
      <c r="J23" s="1499">
        <v>4.9644548665848234</v>
      </c>
      <c r="K23" s="113">
        <v>2.5971337830373518</v>
      </c>
    </row>
    <row r="24" spans="2:11" x14ac:dyDescent="0.3">
      <c r="B24" s="115"/>
      <c r="C24" s="112" t="s">
        <v>1517</v>
      </c>
      <c r="D24" s="1499">
        <v>4.94204576608435</v>
      </c>
      <c r="E24" s="1499">
        <v>3.822769365160108</v>
      </c>
      <c r="F24" s="1499">
        <v>3.0189901462989455</v>
      </c>
      <c r="G24" s="1499">
        <v>2.6975683052359218</v>
      </c>
      <c r="H24" s="1499">
        <v>2.8179554153288051</v>
      </c>
      <c r="I24" s="1499">
        <v>5.5488194546171981</v>
      </c>
      <c r="J24" s="1499">
        <v>4.8697613817831487</v>
      </c>
      <c r="K24" s="113">
        <v>2.5024402982356779</v>
      </c>
    </row>
    <row r="25" spans="2:11" ht="14.5" thickBot="1" x14ac:dyDescent="0.35">
      <c r="B25" s="1233"/>
      <c r="C25" s="116" t="s">
        <v>1519</v>
      </c>
      <c r="D25" s="117">
        <v>5.3324938052207429</v>
      </c>
      <c r="E25" s="117">
        <v>4.2197835091905453</v>
      </c>
      <c r="F25" s="117">
        <v>3.4134322155843435</v>
      </c>
      <c r="G25" s="117">
        <v>3.0981925112487403</v>
      </c>
      <c r="H25" s="117">
        <v>3.2145814227769414</v>
      </c>
      <c r="I25" s="117">
        <v>5.9448324476346075</v>
      </c>
      <c r="J25" s="117">
        <v>5.2663584721515795</v>
      </c>
      <c r="K25" s="118">
        <v>2.9030811571778425</v>
      </c>
    </row>
    <row r="26" spans="2:11" x14ac:dyDescent="0.3">
      <c r="B26" s="107" t="s">
        <v>1977</v>
      </c>
      <c r="C26" s="108" t="s">
        <v>1416</v>
      </c>
      <c r="D26" s="109">
        <v>4.3124410361338725</v>
      </c>
      <c r="E26" s="109">
        <v>3.1676348876045766</v>
      </c>
      <c r="F26" s="109">
        <v>2.3727113848311574</v>
      </c>
      <c r="G26" s="109">
        <v>2.0407090712646303</v>
      </c>
      <c r="H26" s="109">
        <v>2.1747441095893918</v>
      </c>
      <c r="I26" s="109">
        <v>4.9071445584224191</v>
      </c>
      <c r="J26" s="109">
        <v>4.2192904124090376</v>
      </c>
      <c r="K26" s="110">
        <v>1.8462617220518993</v>
      </c>
    </row>
    <row r="27" spans="2:11" x14ac:dyDescent="0.3">
      <c r="B27" s="111" t="s">
        <v>1978</v>
      </c>
      <c r="C27" s="112" t="s">
        <v>1483</v>
      </c>
      <c r="D27" s="1499">
        <v>4.9985377469127243</v>
      </c>
      <c r="E27" s="1499">
        <v>3.8858274508825268</v>
      </c>
      <c r="F27" s="1499">
        <v>3.079476157276325</v>
      </c>
      <c r="G27" s="1499">
        <v>2.7642364529407213</v>
      </c>
      <c r="H27" s="1499">
        <v>2.8806253644689228</v>
      </c>
      <c r="I27" s="1499">
        <v>5.6108763893265898</v>
      </c>
      <c r="J27" s="1499">
        <v>4.9324024138435609</v>
      </c>
      <c r="K27" s="113">
        <v>2.569125098869824</v>
      </c>
    </row>
    <row r="28" spans="2:11" x14ac:dyDescent="0.3">
      <c r="B28" s="111" t="s">
        <v>1981</v>
      </c>
      <c r="C28" s="112" t="s">
        <v>1489</v>
      </c>
      <c r="D28" s="1499">
        <v>4.9222925886084186</v>
      </c>
      <c r="E28" s="1499">
        <v>3.8095822925782206</v>
      </c>
      <c r="F28" s="1499">
        <v>3.0032309989720187</v>
      </c>
      <c r="G28" s="1499">
        <v>2.6879912946364155</v>
      </c>
      <c r="H28" s="1499">
        <v>2.8043802061646166</v>
      </c>
      <c r="I28" s="1499">
        <v>5.534631231022284</v>
      </c>
      <c r="J28" s="1499">
        <v>4.8561572555392551</v>
      </c>
      <c r="K28" s="113">
        <v>2.4928799405655178</v>
      </c>
    </row>
    <row r="29" spans="2:11" x14ac:dyDescent="0.3">
      <c r="B29" s="114">
        <v>0</v>
      </c>
      <c r="C29" s="112" t="s">
        <v>1496</v>
      </c>
      <c r="D29" s="1499">
        <v>4.8079248511519594</v>
      </c>
      <c r="E29" s="1499">
        <v>3.6952145551217614</v>
      </c>
      <c r="F29" s="1499">
        <v>2.8888632615155601</v>
      </c>
      <c r="G29" s="1499">
        <v>2.5736235571799568</v>
      </c>
      <c r="H29" s="1499">
        <v>2.6900124687081579</v>
      </c>
      <c r="I29" s="1499">
        <v>5.4202634935658249</v>
      </c>
      <c r="J29" s="1499">
        <v>4.741789518082796</v>
      </c>
      <c r="K29" s="113">
        <v>2.3785122031090586</v>
      </c>
    </row>
    <row r="30" spans="2:11" x14ac:dyDescent="0.3">
      <c r="B30" s="115"/>
      <c r="C30" s="112" t="s">
        <v>1500</v>
      </c>
      <c r="D30" s="1499">
        <v>4.6935571136955003</v>
      </c>
      <c r="E30" s="1499">
        <v>3.5808468176653023</v>
      </c>
      <c r="F30" s="1499">
        <v>2.7744955240591009</v>
      </c>
      <c r="G30" s="1499">
        <v>2.4592558197234977</v>
      </c>
      <c r="H30" s="1499">
        <v>2.5756447312516988</v>
      </c>
      <c r="I30" s="1499">
        <v>5.3058957561093649</v>
      </c>
      <c r="J30" s="1499">
        <v>4.6274217806263369</v>
      </c>
      <c r="K30" s="113">
        <v>2.2641444656525995</v>
      </c>
    </row>
    <row r="31" spans="2:11" x14ac:dyDescent="0.3">
      <c r="B31" s="115"/>
      <c r="C31" s="112" t="s">
        <v>1504</v>
      </c>
      <c r="D31" s="1499">
        <v>4.8606056672474613</v>
      </c>
      <c r="E31" s="1499">
        <v>3.7413292663232203</v>
      </c>
      <c r="F31" s="1499">
        <v>2.9375500474620573</v>
      </c>
      <c r="G31" s="1499">
        <v>2.6161282063990341</v>
      </c>
      <c r="H31" s="1499">
        <v>2.7365153164919174</v>
      </c>
      <c r="I31" s="1499">
        <v>5.4673793557803094</v>
      </c>
      <c r="J31" s="1499">
        <v>4.78832128294626</v>
      </c>
      <c r="K31" s="113">
        <v>2.4210001993987902</v>
      </c>
    </row>
    <row r="32" spans="2:11" x14ac:dyDescent="0.3">
      <c r="B32" s="115"/>
      <c r="C32" s="112" t="s">
        <v>1508</v>
      </c>
      <c r="D32" s="1499">
        <v>4.7974766773796791</v>
      </c>
      <c r="E32" s="1499">
        <v>3.6782002764554376</v>
      </c>
      <c r="F32" s="1499">
        <v>2.8744210575942746</v>
      </c>
      <c r="G32" s="1499">
        <v>2.5529992165312514</v>
      </c>
      <c r="H32" s="1499">
        <v>2.6733863266241342</v>
      </c>
      <c r="I32" s="1499">
        <v>5.4042503659125272</v>
      </c>
      <c r="J32" s="1499">
        <v>4.7251922930784787</v>
      </c>
      <c r="K32" s="113">
        <v>2.3578712095310075</v>
      </c>
    </row>
    <row r="33" spans="2:11" x14ac:dyDescent="0.3">
      <c r="B33" s="115"/>
      <c r="C33" s="112" t="s">
        <v>1513</v>
      </c>
      <c r="D33" s="1499">
        <v>4.7027831925780053</v>
      </c>
      <c r="E33" s="1499">
        <v>3.5835067916537642</v>
      </c>
      <c r="F33" s="1499">
        <v>2.7797275727926012</v>
      </c>
      <c r="G33" s="1499">
        <v>2.458305731729578</v>
      </c>
      <c r="H33" s="1499">
        <v>2.5786928418224608</v>
      </c>
      <c r="I33" s="1499">
        <v>5.3095568811108524</v>
      </c>
      <c r="J33" s="1499">
        <v>4.6304988082768039</v>
      </c>
      <c r="K33" s="113">
        <v>2.2631777247293337</v>
      </c>
    </row>
    <row r="34" spans="2:11" x14ac:dyDescent="0.3">
      <c r="B34" s="115"/>
      <c r="C34" s="112" t="s">
        <v>1517</v>
      </c>
      <c r="D34" s="1499">
        <v>4.6080897077763314</v>
      </c>
      <c r="E34" s="1499">
        <v>3.4888133068520899</v>
      </c>
      <c r="F34" s="1499">
        <v>2.6850340879909274</v>
      </c>
      <c r="G34" s="1499">
        <v>2.3636122469279037</v>
      </c>
      <c r="H34" s="1499">
        <v>2.483999357020787</v>
      </c>
      <c r="I34" s="1499">
        <v>5.2148633963091795</v>
      </c>
      <c r="J34" s="1499">
        <v>4.5358053234751301</v>
      </c>
      <c r="K34" s="113">
        <v>2.1684842399276598</v>
      </c>
    </row>
    <row r="35" spans="2:11" ht="14.5" thickBot="1" x14ac:dyDescent="0.35">
      <c r="B35" s="1233"/>
      <c r="C35" s="116" t="s">
        <v>1519</v>
      </c>
      <c r="D35" s="117">
        <v>4.9985377469127243</v>
      </c>
      <c r="E35" s="117">
        <v>3.8858274508825268</v>
      </c>
      <c r="F35" s="117">
        <v>3.079476157276325</v>
      </c>
      <c r="G35" s="117">
        <v>2.7642364529407213</v>
      </c>
      <c r="H35" s="117">
        <v>2.8806253644689228</v>
      </c>
      <c r="I35" s="117">
        <v>5.6108763893265898</v>
      </c>
      <c r="J35" s="117">
        <v>4.9324024138435609</v>
      </c>
      <c r="K35" s="118">
        <v>2.569125098869824</v>
      </c>
    </row>
    <row r="36" spans="2:11" x14ac:dyDescent="0.3">
      <c r="B36" s="107" t="s">
        <v>1977</v>
      </c>
      <c r="C36" s="108" t="s">
        <v>1416</v>
      </c>
      <c r="D36" s="109">
        <v>3.9784849778258549</v>
      </c>
      <c r="E36" s="109">
        <v>2.8336788292965585</v>
      </c>
      <c r="F36" s="109">
        <v>2.0387553265231393</v>
      </c>
      <c r="G36" s="109">
        <v>1.706753012956612</v>
      </c>
      <c r="H36" s="109">
        <v>1.8407880512813735</v>
      </c>
      <c r="I36" s="109">
        <v>4.5731885001144006</v>
      </c>
      <c r="J36" s="109">
        <v>3.8853343541010199</v>
      </c>
      <c r="K36" s="110">
        <v>1.5123056637438805</v>
      </c>
    </row>
    <row r="37" spans="2:11" x14ac:dyDescent="0.3">
      <c r="B37" s="111" t="s">
        <v>1978</v>
      </c>
      <c r="C37" s="112" t="s">
        <v>1483</v>
      </c>
      <c r="D37" s="1499">
        <v>4.6645816886047058</v>
      </c>
      <c r="E37" s="1499">
        <v>3.5518713925745087</v>
      </c>
      <c r="F37" s="1499">
        <v>2.7455200989683068</v>
      </c>
      <c r="G37" s="1499">
        <v>2.4302803946327032</v>
      </c>
      <c r="H37" s="1499">
        <v>2.5466693061609047</v>
      </c>
      <c r="I37" s="1499">
        <v>5.2769203310185704</v>
      </c>
      <c r="J37" s="1499">
        <v>4.5984463555355424</v>
      </c>
      <c r="K37" s="113">
        <v>2.2351690405618059</v>
      </c>
    </row>
    <row r="38" spans="2:11" x14ac:dyDescent="0.3">
      <c r="B38" s="111" t="s">
        <v>1982</v>
      </c>
      <c r="C38" s="112" t="s">
        <v>1489</v>
      </c>
      <c r="D38" s="1499">
        <v>4.5883365303004</v>
      </c>
      <c r="E38" s="1499">
        <v>3.4756262342702025</v>
      </c>
      <c r="F38" s="1499">
        <v>2.6692749406640006</v>
      </c>
      <c r="G38" s="1499">
        <v>2.3540352363283974</v>
      </c>
      <c r="H38" s="1499">
        <v>2.4704241478565985</v>
      </c>
      <c r="I38" s="1499">
        <v>5.2006751727142646</v>
      </c>
      <c r="J38" s="1499">
        <v>4.5222011972312366</v>
      </c>
      <c r="K38" s="113">
        <v>2.1589238822574996</v>
      </c>
    </row>
    <row r="39" spans="2:11" x14ac:dyDescent="0.3">
      <c r="B39" s="114">
        <v>0</v>
      </c>
      <c r="C39" s="112" t="s">
        <v>1496</v>
      </c>
      <c r="D39" s="1499">
        <v>4.4739687928439409</v>
      </c>
      <c r="E39" s="1499">
        <v>3.3612584968137433</v>
      </c>
      <c r="F39" s="1499">
        <v>2.5549072032075415</v>
      </c>
      <c r="G39" s="1499">
        <v>2.2396674988719378</v>
      </c>
      <c r="H39" s="1499">
        <v>2.3560564104001394</v>
      </c>
      <c r="I39" s="1499">
        <v>5.0863074352578055</v>
      </c>
      <c r="J39" s="1499">
        <v>4.4078334597747775</v>
      </c>
      <c r="K39" s="113">
        <v>2.0445561448010405</v>
      </c>
    </row>
    <row r="40" spans="2:11" x14ac:dyDescent="0.3">
      <c r="B40" s="115"/>
      <c r="C40" s="112" t="s">
        <v>1500</v>
      </c>
      <c r="D40" s="1499">
        <v>4.3596010553874818</v>
      </c>
      <c r="E40" s="1499">
        <v>3.2468907593572842</v>
      </c>
      <c r="F40" s="1499">
        <v>2.4405394657510824</v>
      </c>
      <c r="G40" s="1499">
        <v>2.1252997614154787</v>
      </c>
      <c r="H40" s="1499">
        <v>2.2416886729436802</v>
      </c>
      <c r="I40" s="1499">
        <v>4.9719396978013473</v>
      </c>
      <c r="J40" s="1499">
        <v>4.2934657223183184</v>
      </c>
      <c r="K40" s="113">
        <v>1.9301884073445812</v>
      </c>
    </row>
    <row r="41" spans="2:11" x14ac:dyDescent="0.3">
      <c r="B41" s="115"/>
      <c r="C41" s="112" t="s">
        <v>1504</v>
      </c>
      <c r="D41" s="1499">
        <v>4.5266496089394428</v>
      </c>
      <c r="E41" s="1499">
        <v>3.4073732080152017</v>
      </c>
      <c r="F41" s="1499">
        <v>2.6035939891540387</v>
      </c>
      <c r="G41" s="1499">
        <v>2.2821721480910155</v>
      </c>
      <c r="H41" s="1499">
        <v>2.4025592581838984</v>
      </c>
      <c r="I41" s="1499">
        <v>5.1334232974722909</v>
      </c>
      <c r="J41" s="1499">
        <v>4.4543652246382424</v>
      </c>
      <c r="K41" s="113">
        <v>2.0870441410907716</v>
      </c>
    </row>
    <row r="42" spans="2:11" x14ac:dyDescent="0.3">
      <c r="B42" s="115"/>
      <c r="C42" s="112" t="s">
        <v>1508</v>
      </c>
      <c r="D42" s="1499">
        <v>4.4635206190716605</v>
      </c>
      <c r="E42" s="1499">
        <v>3.3442442181474195</v>
      </c>
      <c r="F42" s="1499">
        <v>2.5404649992862565</v>
      </c>
      <c r="G42" s="1499">
        <v>2.2190431582232333</v>
      </c>
      <c r="H42" s="1499">
        <v>2.3394302683161161</v>
      </c>
      <c r="I42" s="1499">
        <v>5.0702943076045077</v>
      </c>
      <c r="J42" s="1499">
        <v>4.3912362347704592</v>
      </c>
      <c r="K42" s="113">
        <v>2.0239151512229889</v>
      </c>
    </row>
    <row r="43" spans="2:11" x14ac:dyDescent="0.3">
      <c r="B43" s="115"/>
      <c r="C43" s="112" t="s">
        <v>1513</v>
      </c>
      <c r="D43" s="1499">
        <v>4.3688271342699867</v>
      </c>
      <c r="E43" s="1499">
        <v>3.2495507333457452</v>
      </c>
      <c r="F43" s="1499">
        <v>2.4457715144845826</v>
      </c>
      <c r="G43" s="1499">
        <v>2.124349673421559</v>
      </c>
      <c r="H43" s="1499">
        <v>2.2447367835144423</v>
      </c>
      <c r="I43" s="1499">
        <v>4.9756008228028348</v>
      </c>
      <c r="J43" s="1499">
        <v>4.2965427499687854</v>
      </c>
      <c r="K43" s="113">
        <v>1.9292216664213151</v>
      </c>
    </row>
    <row r="44" spans="2:11" x14ac:dyDescent="0.3">
      <c r="B44" s="115"/>
      <c r="C44" s="112" t="s">
        <v>1517</v>
      </c>
      <c r="D44" s="1499">
        <v>4.2741336494683129</v>
      </c>
      <c r="E44" s="1499">
        <v>3.1548572485440713</v>
      </c>
      <c r="F44" s="1499">
        <v>2.3510780296829084</v>
      </c>
      <c r="G44" s="1499">
        <v>2.0296561886198852</v>
      </c>
      <c r="H44" s="1499">
        <v>2.150043298712768</v>
      </c>
      <c r="I44" s="1499">
        <v>4.8809073380011609</v>
      </c>
      <c r="J44" s="1499">
        <v>4.2018492651671115</v>
      </c>
      <c r="K44" s="113">
        <v>1.8345281816196413</v>
      </c>
    </row>
    <row r="45" spans="2:11" ht="14.5" thickBot="1" x14ac:dyDescent="0.35">
      <c r="B45" s="1233"/>
      <c r="C45" s="116" t="s">
        <v>1519</v>
      </c>
      <c r="D45" s="117">
        <v>4.6645816886047058</v>
      </c>
      <c r="E45" s="117">
        <v>3.5518713925745087</v>
      </c>
      <c r="F45" s="117">
        <v>2.7455200989683068</v>
      </c>
      <c r="G45" s="117">
        <v>2.4302803946327032</v>
      </c>
      <c r="H45" s="117">
        <v>2.5466693061609047</v>
      </c>
      <c r="I45" s="117">
        <v>5.2769203310185704</v>
      </c>
      <c r="J45" s="117">
        <v>4.5984463555355424</v>
      </c>
      <c r="K45" s="118">
        <v>2.2351690405618059</v>
      </c>
    </row>
    <row r="46" spans="2:11" x14ac:dyDescent="0.3">
      <c r="B46" s="119" t="s">
        <v>1983</v>
      </c>
      <c r="C46" s="108" t="s">
        <v>1416</v>
      </c>
      <c r="D46" s="109">
        <v>4.3122870035986285</v>
      </c>
      <c r="E46" s="109">
        <v>3.145547934493433</v>
      </c>
      <c r="F46" s="109">
        <v>2.3840027464141662</v>
      </c>
      <c r="G46" s="109">
        <v>2.0380051143669222</v>
      </c>
      <c r="H46" s="109">
        <v>2.1804198880089651</v>
      </c>
      <c r="I46" s="109">
        <v>4.863789932121553</v>
      </c>
      <c r="J46" s="109">
        <v>4.181505753332428</v>
      </c>
      <c r="K46" s="110">
        <v>1.8549130918934835</v>
      </c>
    </row>
    <row r="47" spans="2:11" x14ac:dyDescent="0.3">
      <c r="B47" s="111"/>
      <c r="C47" s="112" t="s">
        <v>1483</v>
      </c>
      <c r="D47" s="1499">
        <v>4.995627487448612</v>
      </c>
      <c r="E47" s="1499">
        <v>3.8669844770115991</v>
      </c>
      <c r="F47" s="1499">
        <v>3.0876930419222162</v>
      </c>
      <c r="G47" s="1499">
        <v>2.7640545777617058</v>
      </c>
      <c r="H47" s="1499">
        <v>2.8833238865201909</v>
      </c>
      <c r="I47" s="1499">
        <v>5.5761205892763144</v>
      </c>
      <c r="J47" s="1499">
        <v>4.9010306106592116</v>
      </c>
      <c r="K47" s="113">
        <v>2.5777951286999055</v>
      </c>
    </row>
    <row r="48" spans="2:11" x14ac:dyDescent="0.3">
      <c r="B48" s="111" t="s">
        <v>1979</v>
      </c>
      <c r="C48" s="112" t="s">
        <v>1489</v>
      </c>
      <c r="D48" s="1499">
        <v>4.9193823291443062</v>
      </c>
      <c r="E48" s="1499">
        <v>3.7907393187072929</v>
      </c>
      <c r="F48" s="1499">
        <v>3.0114478836179099</v>
      </c>
      <c r="G48" s="1499">
        <v>2.6878094194574</v>
      </c>
      <c r="H48" s="1499">
        <v>2.8070787282158847</v>
      </c>
      <c r="I48" s="1499">
        <v>5.4998754309720086</v>
      </c>
      <c r="J48" s="1499">
        <v>4.824785452354905</v>
      </c>
      <c r="K48" s="113">
        <v>2.5015499703955997</v>
      </c>
    </row>
    <row r="49" spans="2:11" x14ac:dyDescent="0.3">
      <c r="B49" s="114">
        <v>0</v>
      </c>
      <c r="C49" s="112" t="s">
        <v>1496</v>
      </c>
      <c r="D49" s="1499">
        <v>4.8050145916878471</v>
      </c>
      <c r="E49" s="1499">
        <v>3.6763715812508337</v>
      </c>
      <c r="F49" s="1499">
        <v>2.8970801461614508</v>
      </c>
      <c r="G49" s="1499">
        <v>2.5734416820009405</v>
      </c>
      <c r="H49" s="1499">
        <v>2.6927109907594255</v>
      </c>
      <c r="I49" s="1499">
        <v>5.3855076935155495</v>
      </c>
      <c r="J49" s="1499">
        <v>4.7104177148984459</v>
      </c>
      <c r="K49" s="113">
        <v>2.3871822329391406</v>
      </c>
    </row>
    <row r="50" spans="2:11" x14ac:dyDescent="0.3">
      <c r="B50" s="115"/>
      <c r="C50" s="112" t="s">
        <v>1500</v>
      </c>
      <c r="D50" s="1499">
        <v>4.6906468542313871</v>
      </c>
      <c r="E50" s="1499">
        <v>3.5620038437943746</v>
      </c>
      <c r="F50" s="1499">
        <v>2.7827124087049917</v>
      </c>
      <c r="G50" s="1499">
        <v>2.4590739445444814</v>
      </c>
      <c r="H50" s="1499">
        <v>2.5783432533029664</v>
      </c>
      <c r="I50" s="1499">
        <v>5.2711399560590904</v>
      </c>
      <c r="J50" s="1499">
        <v>4.5960499774419867</v>
      </c>
      <c r="K50" s="113">
        <v>2.2728144954826814</v>
      </c>
    </row>
    <row r="51" spans="2:11" x14ac:dyDescent="0.3">
      <c r="B51" s="115"/>
      <c r="C51" s="112" t="s">
        <v>1504</v>
      </c>
      <c r="D51" s="1499">
        <v>4.8590203614482235</v>
      </c>
      <c r="E51" s="1499">
        <v>3.7201415756370357</v>
      </c>
      <c r="F51" s="1499">
        <v>2.9411037305542225</v>
      </c>
      <c r="G51" s="1499">
        <v>2.617236075915792</v>
      </c>
      <c r="H51" s="1499">
        <v>2.74255174496763</v>
      </c>
      <c r="I51" s="1499">
        <v>5.4322824576985864</v>
      </c>
      <c r="J51" s="1499">
        <v>4.7565164425306481</v>
      </c>
      <c r="K51" s="113">
        <v>2.4288760089321033</v>
      </c>
    </row>
    <row r="52" spans="2:11" x14ac:dyDescent="0.3">
      <c r="B52" s="115"/>
      <c r="C52" s="112" t="s">
        <v>1508</v>
      </c>
      <c r="D52" s="1499">
        <v>4.7958913715804403</v>
      </c>
      <c r="E52" s="1499">
        <v>3.6570125857692535</v>
      </c>
      <c r="F52" s="1499">
        <v>2.8779747406864402</v>
      </c>
      <c r="G52" s="1499">
        <v>2.5541070860480097</v>
      </c>
      <c r="H52" s="1499">
        <v>2.6794227550998473</v>
      </c>
      <c r="I52" s="1499">
        <v>5.369153467830805</v>
      </c>
      <c r="J52" s="1499">
        <v>4.6933874526628649</v>
      </c>
      <c r="K52" s="113">
        <v>2.3657470190643211</v>
      </c>
    </row>
    <row r="53" spans="2:11" x14ac:dyDescent="0.3">
      <c r="B53" s="115"/>
      <c r="C53" s="112" t="s">
        <v>1513</v>
      </c>
      <c r="D53" s="1499">
        <v>4.7011978867787665</v>
      </c>
      <c r="E53" s="1499">
        <v>3.5623191009675792</v>
      </c>
      <c r="F53" s="1499">
        <v>2.7832812558847664</v>
      </c>
      <c r="G53" s="1499">
        <v>2.4594136012463359</v>
      </c>
      <c r="H53" s="1499">
        <v>2.5847292702981735</v>
      </c>
      <c r="I53" s="1499">
        <v>5.2744599830291303</v>
      </c>
      <c r="J53" s="1499">
        <v>4.5986939678611911</v>
      </c>
      <c r="K53" s="113">
        <v>2.2710535342626472</v>
      </c>
    </row>
    <row r="54" spans="2:11" x14ac:dyDescent="0.3">
      <c r="B54" s="115"/>
      <c r="C54" s="112" t="s">
        <v>1517</v>
      </c>
      <c r="D54" s="1499">
        <v>4.6065044019770935</v>
      </c>
      <c r="E54" s="1499">
        <v>3.4676256161659058</v>
      </c>
      <c r="F54" s="1499">
        <v>2.688587771083093</v>
      </c>
      <c r="G54" s="1499">
        <v>2.3647201164446625</v>
      </c>
      <c r="H54" s="1499">
        <v>2.4900357854965001</v>
      </c>
      <c r="I54" s="1499">
        <v>5.1797664982274565</v>
      </c>
      <c r="J54" s="1499">
        <v>4.5040004830595182</v>
      </c>
      <c r="K54" s="113">
        <v>2.1763600494609734</v>
      </c>
    </row>
    <row r="55" spans="2:11" ht="14.5" thickBot="1" x14ac:dyDescent="0.35">
      <c r="B55" s="1233"/>
      <c r="C55" s="116" t="s">
        <v>1519</v>
      </c>
      <c r="D55" s="117">
        <v>4.995627487448612</v>
      </c>
      <c r="E55" s="117">
        <v>3.8669844770115991</v>
      </c>
      <c r="F55" s="117">
        <v>3.0876930419222162</v>
      </c>
      <c r="G55" s="117">
        <v>2.7640545777617058</v>
      </c>
      <c r="H55" s="117">
        <v>2.8833238865201909</v>
      </c>
      <c r="I55" s="117">
        <v>5.5761205892763144</v>
      </c>
      <c r="J55" s="117">
        <v>4.9010306106592116</v>
      </c>
      <c r="K55" s="118">
        <v>2.5777951286999055</v>
      </c>
    </row>
    <row r="56" spans="2:11" x14ac:dyDescent="0.3">
      <c r="B56" s="119" t="s">
        <v>1983</v>
      </c>
      <c r="C56" s="108" t="s">
        <v>1416</v>
      </c>
      <c r="D56" s="109">
        <v>4.1983776168990605</v>
      </c>
      <c r="E56" s="109">
        <v>3.031638547793865</v>
      </c>
      <c r="F56" s="109">
        <v>2.2700933597145987</v>
      </c>
      <c r="G56" s="109">
        <v>1.9240957276673545</v>
      </c>
      <c r="H56" s="109">
        <v>2.0665105013093972</v>
      </c>
      <c r="I56" s="109">
        <v>4.749880545421985</v>
      </c>
      <c r="J56" s="109">
        <v>4.0675963666328601</v>
      </c>
      <c r="K56" s="110">
        <v>1.7410037051939156</v>
      </c>
    </row>
    <row r="57" spans="2:11" x14ac:dyDescent="0.3">
      <c r="B57" s="111"/>
      <c r="C57" s="112" t="s">
        <v>1483</v>
      </c>
      <c r="D57" s="1499">
        <v>4.881718100749044</v>
      </c>
      <c r="E57" s="1499">
        <v>3.7530750903120311</v>
      </c>
      <c r="F57" s="1499">
        <v>2.9737836552226482</v>
      </c>
      <c r="G57" s="1499">
        <v>2.6501451910621383</v>
      </c>
      <c r="H57" s="1499">
        <v>2.7694144998206229</v>
      </c>
      <c r="I57" s="1499">
        <v>5.4622112025767464</v>
      </c>
      <c r="J57" s="1499">
        <v>4.7871212239596428</v>
      </c>
      <c r="K57" s="113">
        <v>2.4638857420003379</v>
      </c>
    </row>
    <row r="58" spans="2:11" x14ac:dyDescent="0.3">
      <c r="B58" s="111" t="s">
        <v>1980</v>
      </c>
      <c r="C58" s="112" t="s">
        <v>1489</v>
      </c>
      <c r="D58" s="1499">
        <v>4.8054729424447382</v>
      </c>
      <c r="E58" s="1499">
        <v>3.6768299320077249</v>
      </c>
      <c r="F58" s="1499">
        <v>2.897538496918342</v>
      </c>
      <c r="G58" s="1499">
        <v>2.5739000327578321</v>
      </c>
      <c r="H58" s="1499">
        <v>2.6931693415163167</v>
      </c>
      <c r="I58" s="1499">
        <v>5.3859660442724406</v>
      </c>
      <c r="J58" s="1499">
        <v>4.7108760656553379</v>
      </c>
      <c r="K58" s="113">
        <v>2.3876405836960317</v>
      </c>
    </row>
    <row r="59" spans="2:11" x14ac:dyDescent="0.3">
      <c r="B59" s="114">
        <v>0</v>
      </c>
      <c r="C59" s="112" t="s">
        <v>1496</v>
      </c>
      <c r="D59" s="1499">
        <v>4.6911052049882791</v>
      </c>
      <c r="E59" s="1499">
        <v>3.5624621945512658</v>
      </c>
      <c r="F59" s="1499">
        <v>2.7831707594618829</v>
      </c>
      <c r="G59" s="1499">
        <v>2.459532295301373</v>
      </c>
      <c r="H59" s="1499">
        <v>2.5788016040598576</v>
      </c>
      <c r="I59" s="1499">
        <v>5.2715983068159815</v>
      </c>
      <c r="J59" s="1499">
        <v>4.5965083281988788</v>
      </c>
      <c r="K59" s="113">
        <v>2.2732728462395726</v>
      </c>
    </row>
    <row r="60" spans="2:11" x14ac:dyDescent="0.3">
      <c r="B60" s="115"/>
      <c r="C60" s="112" t="s">
        <v>1500</v>
      </c>
      <c r="D60" s="1499">
        <v>4.57673746753182</v>
      </c>
      <c r="E60" s="1499">
        <v>3.4480944570948067</v>
      </c>
      <c r="F60" s="1499">
        <v>2.6688030220054237</v>
      </c>
      <c r="G60" s="1499">
        <v>2.3451645578449138</v>
      </c>
      <c r="H60" s="1499">
        <v>2.4644338666033985</v>
      </c>
      <c r="I60" s="1499">
        <v>5.1572305693595224</v>
      </c>
      <c r="J60" s="1499">
        <v>4.4821405907424188</v>
      </c>
      <c r="K60" s="113">
        <v>2.1589051087831135</v>
      </c>
    </row>
    <row r="61" spans="2:11" x14ac:dyDescent="0.3">
      <c r="B61" s="115"/>
      <c r="C61" s="112" t="s">
        <v>1504</v>
      </c>
      <c r="D61" s="1499">
        <v>4.7451109747486555</v>
      </c>
      <c r="E61" s="1499">
        <v>3.6062321889374678</v>
      </c>
      <c r="F61" s="1499">
        <v>2.827194343854655</v>
      </c>
      <c r="G61" s="1499">
        <v>2.5033266892162245</v>
      </c>
      <c r="H61" s="1499">
        <v>2.628642358268062</v>
      </c>
      <c r="I61" s="1499">
        <v>5.3183730709990193</v>
      </c>
      <c r="J61" s="1499">
        <v>4.6426070558310801</v>
      </c>
      <c r="K61" s="113">
        <v>2.3149666222325354</v>
      </c>
    </row>
    <row r="62" spans="2:11" x14ac:dyDescent="0.3">
      <c r="B62" s="115"/>
      <c r="C62" s="112" t="s">
        <v>1508</v>
      </c>
      <c r="D62" s="1499">
        <v>4.6819819848808732</v>
      </c>
      <c r="E62" s="1499">
        <v>3.5431031990696855</v>
      </c>
      <c r="F62" s="1499">
        <v>2.7640653539868723</v>
      </c>
      <c r="G62" s="1499">
        <v>2.4401976993484418</v>
      </c>
      <c r="H62" s="1499">
        <v>2.5655133684002793</v>
      </c>
      <c r="I62" s="1499">
        <v>5.2552440811312362</v>
      </c>
      <c r="J62" s="1499">
        <v>4.5794780659632979</v>
      </c>
      <c r="K62" s="113">
        <v>2.2518376323647531</v>
      </c>
    </row>
    <row r="63" spans="2:11" x14ac:dyDescent="0.3">
      <c r="B63" s="115"/>
      <c r="C63" s="112" t="s">
        <v>1513</v>
      </c>
      <c r="D63" s="1499">
        <v>4.5872885000791985</v>
      </c>
      <c r="E63" s="1499">
        <v>3.4484097142680117</v>
      </c>
      <c r="F63" s="1499">
        <v>2.6693718691851984</v>
      </c>
      <c r="G63" s="1499">
        <v>2.3455042145467679</v>
      </c>
      <c r="H63" s="1499">
        <v>2.4708198835986055</v>
      </c>
      <c r="I63" s="1499">
        <v>5.1605505963295633</v>
      </c>
      <c r="J63" s="1499">
        <v>4.4847845811616232</v>
      </c>
      <c r="K63" s="113">
        <v>2.1571441475630793</v>
      </c>
    </row>
    <row r="64" spans="2:11" x14ac:dyDescent="0.3">
      <c r="B64" s="115"/>
      <c r="C64" s="112" t="s">
        <v>1517</v>
      </c>
      <c r="D64" s="1499">
        <v>4.4925950152775247</v>
      </c>
      <c r="E64" s="1499">
        <v>3.3537162294663374</v>
      </c>
      <c r="F64" s="1499">
        <v>2.5746783843835246</v>
      </c>
      <c r="G64" s="1499">
        <v>2.2508107297450941</v>
      </c>
      <c r="H64" s="1499">
        <v>2.3761263987969317</v>
      </c>
      <c r="I64" s="1499">
        <v>5.0658571115278885</v>
      </c>
      <c r="J64" s="1499">
        <v>4.3900910963599493</v>
      </c>
      <c r="K64" s="113">
        <v>2.0624506627614054</v>
      </c>
    </row>
    <row r="65" spans="2:11" ht="14.5" thickBot="1" x14ac:dyDescent="0.35">
      <c r="B65" s="1233"/>
      <c r="C65" s="116" t="s">
        <v>1519</v>
      </c>
      <c r="D65" s="117">
        <v>4.881718100749044</v>
      </c>
      <c r="E65" s="117">
        <v>3.7530750903120311</v>
      </c>
      <c r="F65" s="117">
        <v>2.9737836552226482</v>
      </c>
      <c r="G65" s="117">
        <v>2.6501451910621383</v>
      </c>
      <c r="H65" s="117">
        <v>2.7694144998206229</v>
      </c>
      <c r="I65" s="117">
        <v>5.4622112025767464</v>
      </c>
      <c r="J65" s="117">
        <v>4.7871212239596428</v>
      </c>
      <c r="K65" s="118">
        <v>2.4638857420003379</v>
      </c>
    </row>
    <row r="66" spans="2:11" x14ac:dyDescent="0.3">
      <c r="B66" s="119" t="s">
        <v>1983</v>
      </c>
      <c r="C66" s="108" t="s">
        <v>1416</v>
      </c>
      <c r="D66" s="109">
        <v>4.0275135368497086</v>
      </c>
      <c r="E66" s="109">
        <v>2.860774467744513</v>
      </c>
      <c r="F66" s="109">
        <v>2.0992292796652463</v>
      </c>
      <c r="G66" s="109">
        <v>1.7532316476180028</v>
      </c>
      <c r="H66" s="109">
        <v>1.8956464212600452</v>
      </c>
      <c r="I66" s="109">
        <v>4.5790164653726331</v>
      </c>
      <c r="J66" s="109">
        <v>3.8967322865835081</v>
      </c>
      <c r="K66" s="110">
        <v>1.5701396251445638</v>
      </c>
    </row>
    <row r="67" spans="2:11" x14ac:dyDescent="0.3">
      <c r="B67" s="111"/>
      <c r="C67" s="112" t="s">
        <v>1483</v>
      </c>
      <c r="D67" s="1499">
        <v>4.7108540206996921</v>
      </c>
      <c r="E67" s="1499">
        <v>3.5822110102626792</v>
      </c>
      <c r="F67" s="1499">
        <v>2.8029195751732963</v>
      </c>
      <c r="G67" s="1499">
        <v>2.4792811110127859</v>
      </c>
      <c r="H67" s="1499">
        <v>2.598550419771271</v>
      </c>
      <c r="I67" s="1499">
        <v>5.2913471225273954</v>
      </c>
      <c r="J67" s="1499">
        <v>4.6162571439102917</v>
      </c>
      <c r="K67" s="113">
        <v>2.2930216619509856</v>
      </c>
    </row>
    <row r="68" spans="2:11" x14ac:dyDescent="0.3">
      <c r="B68" s="111" t="s">
        <v>1981</v>
      </c>
      <c r="C68" s="112" t="s">
        <v>1489</v>
      </c>
      <c r="D68" s="1499">
        <v>4.6346088623953863</v>
      </c>
      <c r="E68" s="1499">
        <v>3.505965851958373</v>
      </c>
      <c r="F68" s="1499">
        <v>2.72667441686899</v>
      </c>
      <c r="G68" s="1499">
        <v>2.4030359527084801</v>
      </c>
      <c r="H68" s="1499">
        <v>2.5223052614669648</v>
      </c>
      <c r="I68" s="1499">
        <v>5.2151019642230887</v>
      </c>
      <c r="J68" s="1499">
        <v>4.5400119856059851</v>
      </c>
      <c r="K68" s="113">
        <v>2.2167765036466798</v>
      </c>
    </row>
    <row r="69" spans="2:11" x14ac:dyDescent="0.3">
      <c r="B69" s="114">
        <v>0</v>
      </c>
      <c r="C69" s="112" t="s">
        <v>1496</v>
      </c>
      <c r="D69" s="1499">
        <v>4.5202411249389263</v>
      </c>
      <c r="E69" s="1499">
        <v>3.3915981145019138</v>
      </c>
      <c r="F69" s="1499">
        <v>2.6123066794125309</v>
      </c>
      <c r="G69" s="1499">
        <v>2.288668215252021</v>
      </c>
      <c r="H69" s="1499">
        <v>2.4079375240105056</v>
      </c>
      <c r="I69" s="1499">
        <v>5.1007342267666296</v>
      </c>
      <c r="J69" s="1499">
        <v>4.4256442481495259</v>
      </c>
      <c r="K69" s="113">
        <v>2.1024087661902207</v>
      </c>
    </row>
    <row r="70" spans="2:11" x14ac:dyDescent="0.3">
      <c r="B70" s="115"/>
      <c r="C70" s="112" t="s">
        <v>1500</v>
      </c>
      <c r="D70" s="1499">
        <v>4.405873387482468</v>
      </c>
      <c r="E70" s="1499">
        <v>3.2772303770454547</v>
      </c>
      <c r="F70" s="1499">
        <v>2.4979389419560718</v>
      </c>
      <c r="G70" s="1499">
        <v>2.1743004777955619</v>
      </c>
      <c r="H70" s="1499">
        <v>2.2935697865540465</v>
      </c>
      <c r="I70" s="1499">
        <v>4.9863664893101705</v>
      </c>
      <c r="J70" s="1499">
        <v>4.3112765106930668</v>
      </c>
      <c r="K70" s="113">
        <v>1.9880410287337615</v>
      </c>
    </row>
    <row r="71" spans="2:11" x14ac:dyDescent="0.3">
      <c r="B71" s="115"/>
      <c r="C71" s="112" t="s">
        <v>1504</v>
      </c>
      <c r="D71" s="1499">
        <v>4.5742468946993036</v>
      </c>
      <c r="E71" s="1499">
        <v>3.4353681088881158</v>
      </c>
      <c r="F71" s="1499">
        <v>2.6563302638053026</v>
      </c>
      <c r="G71" s="1499">
        <v>2.3324626091668725</v>
      </c>
      <c r="H71" s="1499">
        <v>2.4577782782187101</v>
      </c>
      <c r="I71" s="1499">
        <v>5.1475089909496665</v>
      </c>
      <c r="J71" s="1499">
        <v>4.4717429757817282</v>
      </c>
      <c r="K71" s="113">
        <v>2.1441025421831839</v>
      </c>
    </row>
    <row r="72" spans="2:11" x14ac:dyDescent="0.3">
      <c r="B72" s="115"/>
      <c r="C72" s="112" t="s">
        <v>1508</v>
      </c>
      <c r="D72" s="1499">
        <v>4.5111179048315204</v>
      </c>
      <c r="E72" s="1499">
        <v>3.3722391190203336</v>
      </c>
      <c r="F72" s="1499">
        <v>2.5932012739375203</v>
      </c>
      <c r="G72" s="1499">
        <v>2.2693336192990898</v>
      </c>
      <c r="H72" s="1499">
        <v>2.3946492883509274</v>
      </c>
      <c r="I72" s="1499">
        <v>5.0843800010818851</v>
      </c>
      <c r="J72" s="1499">
        <v>4.408613985913945</v>
      </c>
      <c r="K72" s="113">
        <v>2.0809735523154012</v>
      </c>
    </row>
    <row r="73" spans="2:11" x14ac:dyDescent="0.3">
      <c r="B73" s="115"/>
      <c r="C73" s="112" t="s">
        <v>1513</v>
      </c>
      <c r="D73" s="1499">
        <v>4.4164244200298475</v>
      </c>
      <c r="E73" s="1499">
        <v>3.2775456342186593</v>
      </c>
      <c r="F73" s="1499">
        <v>2.4985077891358469</v>
      </c>
      <c r="G73" s="1499">
        <v>2.174640134497416</v>
      </c>
      <c r="H73" s="1499">
        <v>2.299955803549254</v>
      </c>
      <c r="I73" s="1499">
        <v>4.9896865162802104</v>
      </c>
      <c r="J73" s="1499">
        <v>4.3139205011122712</v>
      </c>
      <c r="K73" s="113">
        <v>1.9862800675137273</v>
      </c>
    </row>
    <row r="74" spans="2:11" x14ac:dyDescent="0.3">
      <c r="B74" s="115"/>
      <c r="C74" s="112" t="s">
        <v>1517</v>
      </c>
      <c r="D74" s="1499">
        <v>4.3217309352281736</v>
      </c>
      <c r="E74" s="1499">
        <v>3.1828521494169859</v>
      </c>
      <c r="F74" s="1499">
        <v>2.4038143043341731</v>
      </c>
      <c r="G74" s="1499">
        <v>2.0799466496957426</v>
      </c>
      <c r="H74" s="1499">
        <v>2.2052623187475802</v>
      </c>
      <c r="I74" s="1499">
        <v>4.8949930314785366</v>
      </c>
      <c r="J74" s="1499">
        <v>4.2192270163105983</v>
      </c>
      <c r="K74" s="113">
        <v>1.8915865827120537</v>
      </c>
    </row>
    <row r="75" spans="2:11" ht="14.5" thickBot="1" x14ac:dyDescent="0.35">
      <c r="B75" s="1233"/>
      <c r="C75" s="116" t="s">
        <v>1519</v>
      </c>
      <c r="D75" s="117">
        <v>4.7108540206996921</v>
      </c>
      <c r="E75" s="117">
        <v>3.5822110102626792</v>
      </c>
      <c r="F75" s="117">
        <v>2.8029195751732963</v>
      </c>
      <c r="G75" s="117">
        <v>2.4792811110127859</v>
      </c>
      <c r="H75" s="117">
        <v>2.598550419771271</v>
      </c>
      <c r="I75" s="117">
        <v>5.2913471225273954</v>
      </c>
      <c r="J75" s="117">
        <v>4.6162571439102917</v>
      </c>
      <c r="K75" s="118">
        <v>2.2930216619509856</v>
      </c>
    </row>
    <row r="76" spans="2:11" x14ac:dyDescent="0.3">
      <c r="B76" s="119" t="s">
        <v>1983</v>
      </c>
      <c r="C76" s="108" t="s">
        <v>1416</v>
      </c>
      <c r="D76" s="109">
        <v>3.8566494568003571</v>
      </c>
      <c r="E76" s="109">
        <v>2.6899103876951611</v>
      </c>
      <c r="F76" s="109">
        <v>1.9283651996158948</v>
      </c>
      <c r="G76" s="109">
        <v>1.5823675675686506</v>
      </c>
      <c r="H76" s="109">
        <v>1.7247823412106935</v>
      </c>
      <c r="I76" s="109">
        <v>4.4081523853232811</v>
      </c>
      <c r="J76" s="109">
        <v>3.7258682065341557</v>
      </c>
      <c r="K76" s="110">
        <v>1.3992755450952119</v>
      </c>
    </row>
    <row r="77" spans="2:11" x14ac:dyDescent="0.3">
      <c r="B77" s="111"/>
      <c r="C77" s="112" t="s">
        <v>1483</v>
      </c>
      <c r="D77" s="1499">
        <v>4.5399899406503401</v>
      </c>
      <c r="E77" s="1499">
        <v>3.4113469302133272</v>
      </c>
      <c r="F77" s="1499">
        <v>2.6320554951239443</v>
      </c>
      <c r="G77" s="1499">
        <v>2.3084170309634344</v>
      </c>
      <c r="H77" s="1499">
        <v>2.4276863397219191</v>
      </c>
      <c r="I77" s="1499">
        <v>5.1204830424780425</v>
      </c>
      <c r="J77" s="1499">
        <v>4.4453930638609398</v>
      </c>
      <c r="K77" s="113">
        <v>2.1221575819016341</v>
      </c>
    </row>
    <row r="78" spans="2:11" x14ac:dyDescent="0.3">
      <c r="B78" s="111" t="s">
        <v>1982</v>
      </c>
      <c r="C78" s="112" t="s">
        <v>1489</v>
      </c>
      <c r="D78" s="1499">
        <v>4.4637447823460334</v>
      </c>
      <c r="E78" s="1499">
        <v>3.3351017719090215</v>
      </c>
      <c r="F78" s="1499">
        <v>2.5558103368196385</v>
      </c>
      <c r="G78" s="1499">
        <v>2.2321718726591282</v>
      </c>
      <c r="H78" s="1499">
        <v>2.3514411814176128</v>
      </c>
      <c r="I78" s="1499">
        <v>5.0442378841737359</v>
      </c>
      <c r="J78" s="1499">
        <v>4.369147905556634</v>
      </c>
      <c r="K78" s="113">
        <v>2.0459124235973278</v>
      </c>
    </row>
    <row r="79" spans="2:11" x14ac:dyDescent="0.3">
      <c r="B79" s="114">
        <v>0</v>
      </c>
      <c r="C79" s="112" t="s">
        <v>1496</v>
      </c>
      <c r="D79" s="1499">
        <v>4.3493770448895752</v>
      </c>
      <c r="E79" s="1499">
        <v>3.2207340344525623</v>
      </c>
      <c r="F79" s="1499">
        <v>2.4414425993631794</v>
      </c>
      <c r="G79" s="1499">
        <v>2.1178041352026691</v>
      </c>
      <c r="H79" s="1499">
        <v>2.2370734439611537</v>
      </c>
      <c r="I79" s="1499">
        <v>4.9298701467172767</v>
      </c>
      <c r="J79" s="1499">
        <v>4.2547801681001749</v>
      </c>
      <c r="K79" s="113">
        <v>1.9315446861408687</v>
      </c>
    </row>
    <row r="80" spans="2:11" x14ac:dyDescent="0.3">
      <c r="B80" s="115"/>
      <c r="C80" s="112" t="s">
        <v>1500</v>
      </c>
      <c r="D80" s="1499">
        <v>4.2350093074331161</v>
      </c>
      <c r="E80" s="1499">
        <v>3.1063662969961032</v>
      </c>
      <c r="F80" s="1499">
        <v>2.3270748619067203</v>
      </c>
      <c r="G80" s="1499">
        <v>2.00343639774621</v>
      </c>
      <c r="H80" s="1499">
        <v>2.122705706504695</v>
      </c>
      <c r="I80" s="1499">
        <v>4.8155024092608176</v>
      </c>
      <c r="J80" s="1499">
        <v>4.1404124306437158</v>
      </c>
      <c r="K80" s="113">
        <v>1.8171769486844098</v>
      </c>
    </row>
    <row r="81" spans="2:11" x14ac:dyDescent="0.3">
      <c r="B81" s="115"/>
      <c r="C81" s="112" t="s">
        <v>1504</v>
      </c>
      <c r="D81" s="1499">
        <v>4.4033828146499516</v>
      </c>
      <c r="E81" s="1499">
        <v>3.2645040288387643</v>
      </c>
      <c r="F81" s="1499">
        <v>2.4854661837559511</v>
      </c>
      <c r="G81" s="1499">
        <v>2.1615985291175206</v>
      </c>
      <c r="H81" s="1499">
        <v>2.2869141981693581</v>
      </c>
      <c r="I81" s="1499">
        <v>4.9766449109003155</v>
      </c>
      <c r="J81" s="1499">
        <v>4.3008788957323763</v>
      </c>
      <c r="K81" s="113">
        <v>1.9732384621338317</v>
      </c>
    </row>
    <row r="82" spans="2:11" x14ac:dyDescent="0.3">
      <c r="B82" s="115"/>
      <c r="C82" s="112" t="s">
        <v>1508</v>
      </c>
      <c r="D82" s="1499">
        <v>4.3402538247821694</v>
      </c>
      <c r="E82" s="1499">
        <v>3.2013750389709812</v>
      </c>
      <c r="F82" s="1499">
        <v>2.4223371938881688</v>
      </c>
      <c r="G82" s="1499">
        <v>2.0984695392497379</v>
      </c>
      <c r="H82" s="1499">
        <v>2.2237852083015759</v>
      </c>
      <c r="I82" s="1499">
        <v>4.9135159210325323</v>
      </c>
      <c r="J82" s="1499">
        <v>4.2377499058645931</v>
      </c>
      <c r="K82" s="113">
        <v>1.9101094722660492</v>
      </c>
    </row>
    <row r="83" spans="2:11" x14ac:dyDescent="0.3">
      <c r="B83" s="115"/>
      <c r="C83" s="112" t="s">
        <v>1513</v>
      </c>
      <c r="D83" s="1499">
        <v>4.2455603399804955</v>
      </c>
      <c r="E83" s="1499">
        <v>3.1066815541693078</v>
      </c>
      <c r="F83" s="1499">
        <v>2.327643709086495</v>
      </c>
      <c r="G83" s="1499">
        <v>2.0037760544480645</v>
      </c>
      <c r="H83" s="1499">
        <v>2.1290917234999021</v>
      </c>
      <c r="I83" s="1499">
        <v>4.8188224362308585</v>
      </c>
      <c r="J83" s="1499">
        <v>4.1430564210629202</v>
      </c>
      <c r="K83" s="113">
        <v>1.8154159874643756</v>
      </c>
    </row>
    <row r="84" spans="2:11" x14ac:dyDescent="0.3">
      <c r="B84" s="115"/>
      <c r="C84" s="112" t="s">
        <v>1517</v>
      </c>
      <c r="D84" s="1499">
        <v>4.1508668551788217</v>
      </c>
      <c r="E84" s="1499">
        <v>3.011988069367634</v>
      </c>
      <c r="F84" s="1499">
        <v>2.2329502242848207</v>
      </c>
      <c r="G84" s="1499">
        <v>1.9090825696463904</v>
      </c>
      <c r="H84" s="1499">
        <v>2.0343982386982282</v>
      </c>
      <c r="I84" s="1499">
        <v>4.7241289514291847</v>
      </c>
      <c r="J84" s="1499">
        <v>4.0483629362612463</v>
      </c>
      <c r="K84" s="113">
        <v>1.7207225026627015</v>
      </c>
    </row>
    <row r="85" spans="2:11" ht="14.5" thickBot="1" x14ac:dyDescent="0.35">
      <c r="B85" s="1233"/>
      <c r="C85" s="116" t="s">
        <v>1519</v>
      </c>
      <c r="D85" s="117">
        <v>4.5399899406503401</v>
      </c>
      <c r="E85" s="117">
        <v>3.4113469302133272</v>
      </c>
      <c r="F85" s="117">
        <v>2.6320554951239443</v>
      </c>
      <c r="G85" s="117">
        <v>2.3084170309634344</v>
      </c>
      <c r="H85" s="117">
        <v>2.4276863397219191</v>
      </c>
      <c r="I85" s="117">
        <v>5.1204830424780425</v>
      </c>
      <c r="J85" s="117">
        <v>4.4453930638609398</v>
      </c>
      <c r="K85" s="118">
        <v>2.1221575819016341</v>
      </c>
    </row>
    <row r="87" spans="2:11" ht="14.5" thickBot="1" x14ac:dyDescent="0.35"/>
    <row r="88" spans="2:11" ht="25.5" thickBot="1" x14ac:dyDescent="0.55000000000000004">
      <c r="B88" s="88" t="s">
        <v>1960</v>
      </c>
      <c r="C88" s="89"/>
      <c r="D88" s="90">
        <v>5</v>
      </c>
      <c r="E88" s="91" t="s">
        <v>1984</v>
      </c>
      <c r="F88" s="92"/>
      <c r="G88" s="92"/>
      <c r="H88" s="92"/>
      <c r="I88" s="93"/>
      <c r="J88" s="89" t="s">
        <v>176</v>
      </c>
      <c r="K88" s="94" t="s">
        <v>243</v>
      </c>
    </row>
    <row r="89" spans="2:11" ht="14.5" thickBot="1" x14ac:dyDescent="0.35">
      <c r="B89" s="95" t="s">
        <v>1962</v>
      </c>
      <c r="C89" s="96" t="s">
        <v>1963</v>
      </c>
      <c r="D89" s="95" t="s">
        <v>1964</v>
      </c>
      <c r="E89" s="97" t="s">
        <v>1965</v>
      </c>
      <c r="F89" s="97" t="s">
        <v>1966</v>
      </c>
      <c r="G89" s="97" t="s">
        <v>1967</v>
      </c>
      <c r="H89" s="97" t="s">
        <v>1968</v>
      </c>
      <c r="I89" s="97" t="s">
        <v>1969</v>
      </c>
      <c r="J89" s="97" t="s">
        <v>1970</v>
      </c>
      <c r="K89" s="98" t="s">
        <v>1971</v>
      </c>
    </row>
    <row r="90" spans="2:11" ht="14.5" thickBot="1" x14ac:dyDescent="0.35">
      <c r="B90" s="99"/>
      <c r="C90" s="99"/>
      <c r="D90" s="100"/>
      <c r="E90" s="944"/>
      <c r="F90" s="944"/>
      <c r="G90" s="944"/>
      <c r="H90" s="944"/>
      <c r="I90" s="944"/>
      <c r="J90" s="944"/>
      <c r="K90" s="102"/>
    </row>
    <row r="91" spans="2:11" ht="90.5" thickBot="1" x14ac:dyDescent="0.45">
      <c r="B91" s="103" t="s">
        <v>1972</v>
      </c>
      <c r="C91" s="103" t="s">
        <v>1973</v>
      </c>
      <c r="D91" s="105" t="s">
        <v>1974</v>
      </c>
      <c r="E91" s="105" t="s">
        <v>1525</v>
      </c>
      <c r="F91" s="105" t="s">
        <v>1527</v>
      </c>
      <c r="G91" s="105" t="s">
        <v>1975</v>
      </c>
      <c r="H91" s="105" t="s">
        <v>1976</v>
      </c>
      <c r="I91" s="105" t="s">
        <v>1445</v>
      </c>
      <c r="J91" s="105" t="s">
        <v>1538</v>
      </c>
      <c r="K91" s="106" t="s">
        <v>1541</v>
      </c>
    </row>
    <row r="92" spans="2:11" x14ac:dyDescent="0.3">
      <c r="B92" s="107" t="s">
        <v>1985</v>
      </c>
      <c r="C92" s="108" t="s">
        <v>1416</v>
      </c>
      <c r="D92" s="109">
        <v>3.2964134196635215</v>
      </c>
      <c r="E92" s="109">
        <v>2.0335427612231896</v>
      </c>
      <c r="F92" s="109">
        <v>1.4514983117764708</v>
      </c>
      <c r="G92" s="109">
        <v>1.1028217370194386</v>
      </c>
      <c r="H92" s="109">
        <v>1.2778294950861584</v>
      </c>
      <c r="I92" s="109">
        <v>3.6226937586593544</v>
      </c>
      <c r="J92" s="109">
        <v>2.9844299840445445</v>
      </c>
      <c r="K92" s="110">
        <v>0.96209324767378801</v>
      </c>
    </row>
    <row r="93" spans="2:11" x14ac:dyDescent="0.3">
      <c r="B93" s="111"/>
      <c r="C93" s="112" t="s">
        <v>1483</v>
      </c>
      <c r="D93" s="1499">
        <v>3.9565945773459177</v>
      </c>
      <c r="E93" s="1499">
        <v>2.7405042432938291</v>
      </c>
      <c r="F93" s="1499">
        <v>2.1091331609749591</v>
      </c>
      <c r="G93" s="1499">
        <v>1.7605426628718137</v>
      </c>
      <c r="H93" s="1499">
        <v>1.9218698710362263</v>
      </c>
      <c r="I93" s="1499">
        <v>4.3359279496165852</v>
      </c>
      <c r="J93" s="1499">
        <v>3.6959273316718857</v>
      </c>
      <c r="K93" s="113">
        <v>1.5984848069106972</v>
      </c>
    </row>
    <row r="94" spans="2:11" x14ac:dyDescent="0.3">
      <c r="B94" s="111" t="s">
        <v>1986</v>
      </c>
      <c r="C94" s="112" t="s">
        <v>1489</v>
      </c>
      <c r="D94" s="1499">
        <v>3.8803494190416115</v>
      </c>
      <c r="E94" s="1499">
        <v>2.6642590849895234</v>
      </c>
      <c r="F94" s="1499">
        <v>2.0328880026706528</v>
      </c>
      <c r="G94" s="1499">
        <v>1.6842975045675079</v>
      </c>
      <c r="H94" s="1499">
        <v>1.8456247127319203</v>
      </c>
      <c r="I94" s="1499">
        <v>4.2596827913122794</v>
      </c>
      <c r="J94" s="1499">
        <v>3.6196821733675795</v>
      </c>
      <c r="K94" s="113">
        <v>1.5222396486063909</v>
      </c>
    </row>
    <row r="95" spans="2:11" x14ac:dyDescent="0.3">
      <c r="B95" s="114">
        <v>0</v>
      </c>
      <c r="C95" s="112" t="s">
        <v>1496</v>
      </c>
      <c r="D95" s="1499">
        <v>3.7659816815851523</v>
      </c>
      <c r="E95" s="1499">
        <v>2.5498913475330638</v>
      </c>
      <c r="F95" s="1499">
        <v>1.9185202652141937</v>
      </c>
      <c r="G95" s="1499">
        <v>1.5699297671110486</v>
      </c>
      <c r="H95" s="1499">
        <v>1.7312569752754612</v>
      </c>
      <c r="I95" s="1499">
        <v>4.1453150538558203</v>
      </c>
      <c r="J95" s="1499">
        <v>3.5053144359111204</v>
      </c>
      <c r="K95" s="113">
        <v>1.4078719111499318</v>
      </c>
    </row>
    <row r="96" spans="2:11" x14ac:dyDescent="0.3">
      <c r="B96" s="115"/>
      <c r="C96" s="112" t="s">
        <v>1500</v>
      </c>
      <c r="D96" s="1499">
        <v>3.6516139441286932</v>
      </c>
      <c r="E96" s="1499">
        <v>2.4355236100766047</v>
      </c>
      <c r="F96" s="1499">
        <v>1.8041525277577346</v>
      </c>
      <c r="G96" s="1499">
        <v>1.4555620296545895</v>
      </c>
      <c r="H96" s="1499">
        <v>1.6168892378190021</v>
      </c>
      <c r="I96" s="1499">
        <v>4.0309473163993603</v>
      </c>
      <c r="J96" s="1499">
        <v>3.3909466984546612</v>
      </c>
      <c r="K96" s="113">
        <v>1.2935041736934727</v>
      </c>
    </row>
    <row r="97" spans="2:11" x14ac:dyDescent="0.3">
      <c r="B97" s="115"/>
      <c r="C97" s="112" t="s">
        <v>1504</v>
      </c>
      <c r="D97" s="1499">
        <v>3.8218622409424543</v>
      </c>
      <c r="E97" s="1499">
        <v>2.5968428575073048</v>
      </c>
      <c r="F97" s="1499">
        <v>1.978705906116164</v>
      </c>
      <c r="G97" s="1499">
        <v>1.6171849778448728</v>
      </c>
      <c r="H97" s="1499">
        <v>1.7869397468876198</v>
      </c>
      <c r="I97" s="1499">
        <v>4.1924556750187758</v>
      </c>
      <c r="J97" s="1499">
        <v>3.5527706360176841</v>
      </c>
      <c r="K97" s="113">
        <v>1.4638932184876217</v>
      </c>
    </row>
    <row r="98" spans="2:11" x14ac:dyDescent="0.3">
      <c r="B98" s="115"/>
      <c r="C98" s="112" t="s">
        <v>1508</v>
      </c>
      <c r="D98" s="1499">
        <v>3.7587332510746716</v>
      </c>
      <c r="E98" s="1499">
        <v>2.5337138676395226</v>
      </c>
      <c r="F98" s="1499">
        <v>1.9155769162483816</v>
      </c>
      <c r="G98" s="1499">
        <v>1.5540559879770903</v>
      </c>
      <c r="H98" s="1499">
        <v>1.7238107570198373</v>
      </c>
      <c r="I98" s="1499">
        <v>4.1293266851509935</v>
      </c>
      <c r="J98" s="1499">
        <v>3.4896416461499018</v>
      </c>
      <c r="K98" s="113">
        <v>1.4007642286198394</v>
      </c>
    </row>
    <row r="99" spans="2:11" x14ac:dyDescent="0.3">
      <c r="B99" s="115"/>
      <c r="C99" s="112" t="s">
        <v>1513</v>
      </c>
      <c r="D99" s="1499">
        <v>3.6640397662729978</v>
      </c>
      <c r="E99" s="1499">
        <v>2.4390203828378487</v>
      </c>
      <c r="F99" s="1499">
        <v>1.8208834314467075</v>
      </c>
      <c r="G99" s="1499">
        <v>1.4593625031754163</v>
      </c>
      <c r="H99" s="1499">
        <v>1.6291172722181633</v>
      </c>
      <c r="I99" s="1499">
        <v>4.0346332003493197</v>
      </c>
      <c r="J99" s="1499">
        <v>3.394948161348228</v>
      </c>
      <c r="K99" s="113">
        <v>1.3060707438181653</v>
      </c>
    </row>
    <row r="100" spans="2:11" x14ac:dyDescent="0.3">
      <c r="B100" s="115"/>
      <c r="C100" s="112" t="s">
        <v>1517</v>
      </c>
      <c r="D100" s="1499">
        <v>3.5693462814713239</v>
      </c>
      <c r="E100" s="1499">
        <v>2.3443268980361749</v>
      </c>
      <c r="F100" s="1499">
        <v>1.7261899466450339</v>
      </c>
      <c r="G100" s="1499">
        <v>1.3646690183737424</v>
      </c>
      <c r="H100" s="1499">
        <v>1.5344237874164897</v>
      </c>
      <c r="I100" s="1499">
        <v>3.9399397155476459</v>
      </c>
      <c r="J100" s="1499">
        <v>3.3002546765465537</v>
      </c>
      <c r="K100" s="113">
        <v>1.2113772590164915</v>
      </c>
    </row>
    <row r="101" spans="2:11" ht="14.5" thickBot="1" x14ac:dyDescent="0.35">
      <c r="B101" s="115"/>
      <c r="C101" s="116" t="s">
        <v>1519</v>
      </c>
      <c r="D101" s="117">
        <v>3.9565945773459177</v>
      </c>
      <c r="E101" s="117">
        <v>2.7405042432938291</v>
      </c>
      <c r="F101" s="117">
        <v>2.1091331609749591</v>
      </c>
      <c r="G101" s="117">
        <v>1.7605426628718137</v>
      </c>
      <c r="H101" s="117">
        <v>1.9218698710362263</v>
      </c>
      <c r="I101" s="117">
        <v>4.3359279496165852</v>
      </c>
      <c r="J101" s="117">
        <v>3.6959273316718857</v>
      </c>
      <c r="K101" s="118">
        <v>1.5984848069106972</v>
      </c>
    </row>
    <row r="102" spans="2:11" x14ac:dyDescent="0.3">
      <c r="B102" s="120" t="s">
        <v>1985</v>
      </c>
      <c r="C102" s="1234" t="s">
        <v>1416</v>
      </c>
      <c r="D102" s="109">
        <v>3.2379988664695221</v>
      </c>
      <c r="E102" s="109">
        <v>1.9751282080291901</v>
      </c>
      <c r="F102" s="109">
        <v>1.3930837585824714</v>
      </c>
      <c r="G102" s="109">
        <v>1.0444071838254394</v>
      </c>
      <c r="H102" s="109">
        <v>1.2194149418921592</v>
      </c>
      <c r="I102" s="109">
        <v>3.5642792054653549</v>
      </c>
      <c r="J102" s="109">
        <v>2.9260154308505451</v>
      </c>
      <c r="K102" s="110">
        <v>0.90367869447978877</v>
      </c>
    </row>
    <row r="103" spans="2:11" x14ac:dyDescent="0.3">
      <c r="B103" s="121"/>
      <c r="C103" s="1500" t="s">
        <v>1483</v>
      </c>
      <c r="D103" s="1499">
        <v>3.8981800241519182</v>
      </c>
      <c r="E103" s="1499">
        <v>2.6820896900998301</v>
      </c>
      <c r="F103" s="1499">
        <v>2.0507186077809596</v>
      </c>
      <c r="G103" s="1499">
        <v>1.7021281096778145</v>
      </c>
      <c r="H103" s="1499">
        <v>1.8634553178422271</v>
      </c>
      <c r="I103" s="1499">
        <v>4.2775133964225862</v>
      </c>
      <c r="J103" s="1499">
        <v>3.6375127784778862</v>
      </c>
      <c r="K103" s="113">
        <v>1.5400702537166977</v>
      </c>
    </row>
    <row r="104" spans="2:11" x14ac:dyDescent="0.3">
      <c r="B104" s="111" t="s">
        <v>1987</v>
      </c>
      <c r="C104" s="1500" t="s">
        <v>1489</v>
      </c>
      <c r="D104" s="1499">
        <v>3.821934865847612</v>
      </c>
      <c r="E104" s="1499">
        <v>2.6058445317955239</v>
      </c>
      <c r="F104" s="1499">
        <v>1.9744734494766534</v>
      </c>
      <c r="G104" s="1499">
        <v>1.6258829513735085</v>
      </c>
      <c r="H104" s="1499">
        <v>1.7872101595379211</v>
      </c>
      <c r="I104" s="1499">
        <v>4.2012682381182795</v>
      </c>
      <c r="J104" s="1499">
        <v>3.56126762017358</v>
      </c>
      <c r="K104" s="113">
        <v>1.4638250954123917</v>
      </c>
    </row>
    <row r="105" spans="2:11" x14ac:dyDescent="0.3">
      <c r="B105" s="122">
        <v>0</v>
      </c>
      <c r="C105" s="1500" t="s">
        <v>1496</v>
      </c>
      <c r="D105" s="1499">
        <v>3.7075671283911529</v>
      </c>
      <c r="E105" s="1499">
        <v>2.4914767943390648</v>
      </c>
      <c r="F105" s="1499">
        <v>1.8601057120201943</v>
      </c>
      <c r="G105" s="1499">
        <v>1.5115152139170493</v>
      </c>
      <c r="H105" s="1499">
        <v>1.6728424220814619</v>
      </c>
      <c r="I105" s="1499">
        <v>4.0869005006618204</v>
      </c>
      <c r="J105" s="1499">
        <v>3.4468998827171209</v>
      </c>
      <c r="K105" s="113">
        <v>1.3494573579559324</v>
      </c>
    </row>
    <row r="106" spans="2:11" x14ac:dyDescent="0.3">
      <c r="B106" s="123"/>
      <c r="C106" s="1500" t="s">
        <v>1500</v>
      </c>
      <c r="D106" s="1499">
        <v>3.5931993909346938</v>
      </c>
      <c r="E106" s="1499">
        <v>2.3771090568826057</v>
      </c>
      <c r="F106" s="1499">
        <v>1.7457379745637351</v>
      </c>
      <c r="G106" s="1499">
        <v>1.3971474764605902</v>
      </c>
      <c r="H106" s="1499">
        <v>1.5584746846250026</v>
      </c>
      <c r="I106" s="1499">
        <v>3.9725327632053613</v>
      </c>
      <c r="J106" s="1499">
        <v>3.3325321452606618</v>
      </c>
      <c r="K106" s="113">
        <v>1.2350896204994732</v>
      </c>
    </row>
    <row r="107" spans="2:11" x14ac:dyDescent="0.3">
      <c r="B107" s="123"/>
      <c r="C107" s="1500" t="s">
        <v>1504</v>
      </c>
      <c r="D107" s="1499">
        <v>3.7634476877484548</v>
      </c>
      <c r="E107" s="1499">
        <v>2.5384283043133058</v>
      </c>
      <c r="F107" s="1499">
        <v>1.9202913529221646</v>
      </c>
      <c r="G107" s="1499">
        <v>1.5587704246508733</v>
      </c>
      <c r="H107" s="1499">
        <v>1.7285251936936203</v>
      </c>
      <c r="I107" s="1499">
        <v>4.1340411218247768</v>
      </c>
      <c r="J107" s="1499">
        <v>3.494356082823685</v>
      </c>
      <c r="K107" s="113">
        <v>1.4054786652936224</v>
      </c>
    </row>
    <row r="108" spans="2:11" x14ac:dyDescent="0.3">
      <c r="B108" s="123"/>
      <c r="C108" s="1500" t="s">
        <v>1508</v>
      </c>
      <c r="D108" s="1499">
        <v>3.7003186978806726</v>
      </c>
      <c r="E108" s="1499">
        <v>2.4752993144455231</v>
      </c>
      <c r="F108" s="1499">
        <v>1.8571623630543821</v>
      </c>
      <c r="G108" s="1499">
        <v>1.4956414347830909</v>
      </c>
      <c r="H108" s="1499">
        <v>1.6653962038258379</v>
      </c>
      <c r="I108" s="1499">
        <v>4.0709121319569945</v>
      </c>
      <c r="J108" s="1499">
        <v>3.4312270929559023</v>
      </c>
      <c r="K108" s="113">
        <v>1.3423496754258399</v>
      </c>
    </row>
    <row r="109" spans="2:11" x14ac:dyDescent="0.3">
      <c r="B109" s="123"/>
      <c r="C109" s="1500" t="s">
        <v>1513</v>
      </c>
      <c r="D109" s="1499">
        <v>3.6056252130789983</v>
      </c>
      <c r="E109" s="1499">
        <v>2.3806058296438493</v>
      </c>
      <c r="F109" s="1499">
        <v>1.7624688782527083</v>
      </c>
      <c r="G109" s="1499">
        <v>1.400947949981417</v>
      </c>
      <c r="H109" s="1499">
        <v>1.570702719024164</v>
      </c>
      <c r="I109" s="1499">
        <v>3.9762186471553203</v>
      </c>
      <c r="J109" s="1499">
        <v>3.3365336081542285</v>
      </c>
      <c r="K109" s="113">
        <v>1.2476561906241661</v>
      </c>
    </row>
    <row r="110" spans="2:11" x14ac:dyDescent="0.3">
      <c r="B110" s="123"/>
      <c r="C110" s="1500" t="s">
        <v>1517</v>
      </c>
      <c r="D110" s="1499">
        <v>3.5109317282773245</v>
      </c>
      <c r="E110" s="1499">
        <v>2.2859123448421754</v>
      </c>
      <c r="F110" s="1499">
        <v>1.6677753934510346</v>
      </c>
      <c r="G110" s="1499">
        <v>1.3062544651797432</v>
      </c>
      <c r="H110" s="1499">
        <v>1.4760092342224904</v>
      </c>
      <c r="I110" s="1499">
        <v>3.8815251623536464</v>
      </c>
      <c r="J110" s="1499">
        <v>3.2418401233525547</v>
      </c>
      <c r="K110" s="113">
        <v>1.1529627058224923</v>
      </c>
    </row>
    <row r="111" spans="2:11" ht="14.5" thickBot="1" x14ac:dyDescent="0.35">
      <c r="B111" s="124"/>
      <c r="C111" s="125" t="s">
        <v>1519</v>
      </c>
      <c r="D111" s="117">
        <v>3.8981800241519182</v>
      </c>
      <c r="E111" s="117">
        <v>2.6820896900998301</v>
      </c>
      <c r="F111" s="117">
        <v>2.0507186077809596</v>
      </c>
      <c r="G111" s="117">
        <v>1.7021281096778145</v>
      </c>
      <c r="H111" s="117">
        <v>1.8634553178422271</v>
      </c>
      <c r="I111" s="117">
        <v>4.2775133964225862</v>
      </c>
      <c r="J111" s="117">
        <v>3.6375127784778862</v>
      </c>
      <c r="K111" s="118">
        <v>1.5400702537166977</v>
      </c>
    </row>
    <row r="112" spans="2:11" x14ac:dyDescent="0.3">
      <c r="B112" s="119" t="s">
        <v>1985</v>
      </c>
      <c r="C112" s="108" t="s">
        <v>1416</v>
      </c>
      <c r="D112" s="109">
        <v>3.1503770366785235</v>
      </c>
      <c r="E112" s="109">
        <v>1.8875063782381913</v>
      </c>
      <c r="F112" s="109">
        <v>1.3054619287914726</v>
      </c>
      <c r="G112" s="109">
        <v>0.95678535403444054</v>
      </c>
      <c r="H112" s="109">
        <v>1.1317931121011602</v>
      </c>
      <c r="I112" s="109">
        <v>3.476657375674356</v>
      </c>
      <c r="J112" s="109">
        <v>2.8383936010595465</v>
      </c>
      <c r="K112" s="110">
        <v>0.81605686468878991</v>
      </c>
    </row>
    <row r="113" spans="2:11" x14ac:dyDescent="0.3">
      <c r="B113" s="111"/>
      <c r="C113" s="112" t="s">
        <v>1483</v>
      </c>
      <c r="D113" s="1499">
        <v>3.8105581943609197</v>
      </c>
      <c r="E113" s="1499">
        <v>2.5944678603088311</v>
      </c>
      <c r="F113" s="1499">
        <v>1.9630967779899604</v>
      </c>
      <c r="G113" s="1499">
        <v>1.6145062798868155</v>
      </c>
      <c r="H113" s="1499">
        <v>1.7758334880512281</v>
      </c>
      <c r="I113" s="1499">
        <v>4.1898915666315872</v>
      </c>
      <c r="J113" s="1499">
        <v>3.5498909486868873</v>
      </c>
      <c r="K113" s="113">
        <v>1.4524484239256987</v>
      </c>
    </row>
    <row r="114" spans="2:11" ht="14.5" thickBot="1" x14ac:dyDescent="0.35">
      <c r="B114" s="111" t="s">
        <v>1988</v>
      </c>
      <c r="C114" s="112" t="s">
        <v>1489</v>
      </c>
      <c r="D114" s="1499">
        <v>3.7343130360566135</v>
      </c>
      <c r="E114" s="1499">
        <v>2.5182227020045249</v>
      </c>
      <c r="F114" s="1501">
        <v>1.8868516196856546</v>
      </c>
      <c r="G114" s="1499">
        <v>1.5382611215825097</v>
      </c>
      <c r="H114" s="1499">
        <v>1.6995883297469223</v>
      </c>
      <c r="I114" s="1499">
        <v>4.1136464083272806</v>
      </c>
      <c r="J114" s="1499">
        <v>3.4736457903825815</v>
      </c>
      <c r="K114" s="113">
        <v>1.3762032656213927</v>
      </c>
    </row>
    <row r="115" spans="2:11" ht="14.5" thickBot="1" x14ac:dyDescent="0.35">
      <c r="B115" s="114">
        <v>0</v>
      </c>
      <c r="C115" s="112" t="s">
        <v>1496</v>
      </c>
      <c r="D115" s="1499">
        <v>3.6199452986001543</v>
      </c>
      <c r="E115" s="1502">
        <v>2.4038549645480658</v>
      </c>
      <c r="F115" s="126">
        <v>1.7724838822291955</v>
      </c>
      <c r="G115" s="1503">
        <v>1.4238933841260506</v>
      </c>
      <c r="H115" s="1499">
        <v>1.585220592290463</v>
      </c>
      <c r="I115" s="1499">
        <v>3.9992786708708219</v>
      </c>
      <c r="J115" s="1499">
        <v>3.3592780529261219</v>
      </c>
      <c r="K115" s="113">
        <v>1.2618355281649336</v>
      </c>
    </row>
    <row r="116" spans="2:11" x14ac:dyDescent="0.3">
      <c r="B116" s="115"/>
      <c r="C116" s="112" t="s">
        <v>1500</v>
      </c>
      <c r="D116" s="1499">
        <v>3.5055775611436952</v>
      </c>
      <c r="E116" s="1499">
        <v>2.2894872270916067</v>
      </c>
      <c r="F116" s="127">
        <v>1.6581161447727364</v>
      </c>
      <c r="G116" s="1499">
        <v>1.3095256466695913</v>
      </c>
      <c r="H116" s="1499">
        <v>1.4708528548340039</v>
      </c>
      <c r="I116" s="1499">
        <v>3.8849109334143628</v>
      </c>
      <c r="J116" s="1499">
        <v>3.2449103154696628</v>
      </c>
      <c r="K116" s="113">
        <v>1.1474677907084745</v>
      </c>
    </row>
    <row r="117" spans="2:11" x14ac:dyDescent="0.3">
      <c r="B117" s="115"/>
      <c r="C117" s="112" t="s">
        <v>1504</v>
      </c>
      <c r="D117" s="1499">
        <v>3.6758258579574559</v>
      </c>
      <c r="E117" s="1499">
        <v>2.4508064745223068</v>
      </c>
      <c r="F117" s="1499">
        <v>1.8326695231311658</v>
      </c>
      <c r="G117" s="1499">
        <v>1.4711485948598746</v>
      </c>
      <c r="H117" s="1499">
        <v>1.6409033639026216</v>
      </c>
      <c r="I117" s="1499">
        <v>4.0464192920337778</v>
      </c>
      <c r="J117" s="1499">
        <v>3.4067342530326861</v>
      </c>
      <c r="K117" s="113">
        <v>1.3178568355026237</v>
      </c>
    </row>
    <row r="118" spans="2:11" x14ac:dyDescent="0.3">
      <c r="B118" s="115"/>
      <c r="C118" s="112" t="s">
        <v>1508</v>
      </c>
      <c r="D118" s="1499">
        <v>3.6126968680896736</v>
      </c>
      <c r="E118" s="1499">
        <v>2.3876774846545246</v>
      </c>
      <c r="F118" s="1499">
        <v>1.7695405332633833</v>
      </c>
      <c r="G118" s="1499">
        <v>1.4080196049920921</v>
      </c>
      <c r="H118" s="1499">
        <v>1.5777743740348391</v>
      </c>
      <c r="I118" s="1499">
        <v>3.9832903021659956</v>
      </c>
      <c r="J118" s="1499">
        <v>3.3436052631649038</v>
      </c>
      <c r="K118" s="113">
        <v>1.2547278456348412</v>
      </c>
    </row>
    <row r="119" spans="2:11" x14ac:dyDescent="0.3">
      <c r="B119" s="115"/>
      <c r="C119" s="112" t="s">
        <v>1513</v>
      </c>
      <c r="D119" s="1499">
        <v>3.5180033832879998</v>
      </c>
      <c r="E119" s="1499">
        <v>2.2929839998528503</v>
      </c>
      <c r="F119" s="1499">
        <v>1.6748470484617095</v>
      </c>
      <c r="G119" s="1499">
        <v>1.3133261201904183</v>
      </c>
      <c r="H119" s="1499">
        <v>1.4830808892331653</v>
      </c>
      <c r="I119" s="1499">
        <v>3.8885968173643217</v>
      </c>
      <c r="J119" s="1499">
        <v>3.2489117783632295</v>
      </c>
      <c r="K119" s="113">
        <v>1.1600343608331671</v>
      </c>
    </row>
    <row r="120" spans="2:11" x14ac:dyDescent="0.3">
      <c r="B120" s="115"/>
      <c r="C120" s="112" t="s">
        <v>1517</v>
      </c>
      <c r="D120" s="1499">
        <v>3.4233098984863259</v>
      </c>
      <c r="E120" s="1499">
        <v>2.1982905150511765</v>
      </c>
      <c r="F120" s="1499">
        <v>1.5801535636600357</v>
      </c>
      <c r="G120" s="1499">
        <v>1.2186326353887442</v>
      </c>
      <c r="H120" s="1499">
        <v>1.3883874044314914</v>
      </c>
      <c r="I120" s="1499">
        <v>3.7939033325626474</v>
      </c>
      <c r="J120" s="1499">
        <v>3.1542182935615557</v>
      </c>
      <c r="K120" s="113">
        <v>1.0653408760314933</v>
      </c>
    </row>
    <row r="121" spans="2:11" ht="14.5" thickBot="1" x14ac:dyDescent="0.35">
      <c r="B121" s="1233"/>
      <c r="C121" s="116" t="s">
        <v>1519</v>
      </c>
      <c r="D121" s="117">
        <v>3.8105581943609197</v>
      </c>
      <c r="E121" s="117">
        <v>2.5944678603088311</v>
      </c>
      <c r="F121" s="117">
        <v>1.9630967779899604</v>
      </c>
      <c r="G121" s="117">
        <v>1.6145062798868155</v>
      </c>
      <c r="H121" s="117">
        <v>1.7758334880512281</v>
      </c>
      <c r="I121" s="117">
        <v>4.1898915666315872</v>
      </c>
      <c r="J121" s="117">
        <v>3.5498909486868873</v>
      </c>
      <c r="K121" s="118">
        <v>1.4524484239256987</v>
      </c>
    </row>
    <row r="122" spans="2:11" x14ac:dyDescent="0.3">
      <c r="B122" s="107" t="s">
        <v>1985</v>
      </c>
      <c r="C122" s="108" t="s">
        <v>1416</v>
      </c>
      <c r="D122" s="109">
        <v>3.0627552068875246</v>
      </c>
      <c r="E122" s="109">
        <v>1.7998845484471921</v>
      </c>
      <c r="F122" s="109">
        <v>1.2178400990004734</v>
      </c>
      <c r="G122" s="109">
        <v>0.86916352424344168</v>
      </c>
      <c r="H122" s="109">
        <v>1.0441712823101612</v>
      </c>
      <c r="I122" s="109">
        <v>3.3890355458833574</v>
      </c>
      <c r="J122" s="109">
        <v>2.7507717712685475</v>
      </c>
      <c r="K122" s="110">
        <v>0.72843503489779093</v>
      </c>
    </row>
    <row r="123" spans="2:11" x14ac:dyDescent="0.3">
      <c r="B123" s="111"/>
      <c r="C123" s="112" t="s">
        <v>1483</v>
      </c>
      <c r="D123" s="1499">
        <v>3.7229363645699207</v>
      </c>
      <c r="E123" s="1499">
        <v>2.5068460305178317</v>
      </c>
      <c r="F123" s="1499">
        <v>1.8754749481989617</v>
      </c>
      <c r="G123" s="1499">
        <v>1.5268844500958167</v>
      </c>
      <c r="H123" s="1499">
        <v>1.6882116582602293</v>
      </c>
      <c r="I123" s="1499">
        <v>4.1022697368405874</v>
      </c>
      <c r="J123" s="1499">
        <v>3.4622691188958883</v>
      </c>
      <c r="K123" s="113">
        <v>1.3648265941347</v>
      </c>
    </row>
    <row r="124" spans="2:11" x14ac:dyDescent="0.3">
      <c r="B124" s="111" t="s">
        <v>1989</v>
      </c>
      <c r="C124" s="112" t="s">
        <v>1489</v>
      </c>
      <c r="D124" s="1499">
        <v>3.6466912062656145</v>
      </c>
      <c r="E124" s="1499">
        <v>2.4306008722135264</v>
      </c>
      <c r="F124" s="1499">
        <v>1.7992297898946557</v>
      </c>
      <c r="G124" s="1499">
        <v>1.4506392917915105</v>
      </c>
      <c r="H124" s="1499">
        <v>1.6119664999559231</v>
      </c>
      <c r="I124" s="1499">
        <v>4.0260245785362825</v>
      </c>
      <c r="J124" s="1499">
        <v>3.3860239605915825</v>
      </c>
      <c r="K124" s="113">
        <v>1.2885814358303938</v>
      </c>
    </row>
    <row r="125" spans="2:11" x14ac:dyDescent="0.3">
      <c r="B125" s="114">
        <v>0</v>
      </c>
      <c r="C125" s="112" t="s">
        <v>1496</v>
      </c>
      <c r="D125" s="1499">
        <v>3.5323234688091554</v>
      </c>
      <c r="E125" s="1499">
        <v>2.3162331347570668</v>
      </c>
      <c r="F125" s="1499">
        <v>1.6848620524381965</v>
      </c>
      <c r="G125" s="1499">
        <v>1.3362715543350514</v>
      </c>
      <c r="H125" s="1499">
        <v>1.497598762499464</v>
      </c>
      <c r="I125" s="1499">
        <v>3.9116568410798229</v>
      </c>
      <c r="J125" s="1499">
        <v>3.2716562231351234</v>
      </c>
      <c r="K125" s="113">
        <v>1.1742136983739346</v>
      </c>
    </row>
    <row r="126" spans="2:11" x14ac:dyDescent="0.3">
      <c r="B126" s="115"/>
      <c r="C126" s="112" t="s">
        <v>1500</v>
      </c>
      <c r="D126" s="1499">
        <v>3.4179557313526963</v>
      </c>
      <c r="E126" s="1499">
        <v>2.2018653973006077</v>
      </c>
      <c r="F126" s="1499">
        <v>1.5704943149817376</v>
      </c>
      <c r="G126" s="1499">
        <v>1.2219038168785923</v>
      </c>
      <c r="H126" s="1499">
        <v>1.3832310250430049</v>
      </c>
      <c r="I126" s="1499">
        <v>3.7972891036233638</v>
      </c>
      <c r="J126" s="1499">
        <v>3.1572884856786643</v>
      </c>
      <c r="K126" s="113">
        <v>1.0598459609174755</v>
      </c>
    </row>
    <row r="127" spans="2:11" x14ac:dyDescent="0.3">
      <c r="B127" s="115"/>
      <c r="C127" s="112" t="s">
        <v>1504</v>
      </c>
      <c r="D127" s="1499">
        <v>3.5882040281664573</v>
      </c>
      <c r="E127" s="1499">
        <v>2.3631846447313083</v>
      </c>
      <c r="F127" s="1499">
        <v>1.7450476933401669</v>
      </c>
      <c r="G127" s="1499">
        <v>1.3835267650688758</v>
      </c>
      <c r="H127" s="1499">
        <v>1.5532815341116226</v>
      </c>
      <c r="I127" s="1499">
        <v>3.9587974622427793</v>
      </c>
      <c r="J127" s="1499">
        <v>3.3191124232416871</v>
      </c>
      <c r="K127" s="113">
        <v>1.2302350057116249</v>
      </c>
    </row>
    <row r="128" spans="2:11" x14ac:dyDescent="0.3">
      <c r="B128" s="115"/>
      <c r="C128" s="112" t="s">
        <v>1508</v>
      </c>
      <c r="D128" s="1499">
        <v>3.5250750382986746</v>
      </c>
      <c r="E128" s="1499">
        <v>2.3000556548635256</v>
      </c>
      <c r="F128" s="1499">
        <v>1.6819187034723844</v>
      </c>
      <c r="G128" s="1499">
        <v>1.3203977752010931</v>
      </c>
      <c r="H128" s="1499">
        <v>1.4901525442438401</v>
      </c>
      <c r="I128" s="1499">
        <v>3.8956684723749966</v>
      </c>
      <c r="J128" s="1499">
        <v>3.2559834333739048</v>
      </c>
      <c r="K128" s="113">
        <v>1.167106015843842</v>
      </c>
    </row>
    <row r="129" spans="2:11" x14ac:dyDescent="0.3">
      <c r="B129" s="115"/>
      <c r="C129" s="112" t="s">
        <v>1513</v>
      </c>
      <c r="D129" s="1499">
        <v>3.4303815534970008</v>
      </c>
      <c r="E129" s="1499">
        <v>2.2053621700618518</v>
      </c>
      <c r="F129" s="1499">
        <v>1.5872252186707103</v>
      </c>
      <c r="G129" s="1499">
        <v>1.2257042903994193</v>
      </c>
      <c r="H129" s="1499">
        <v>1.3954590594421661</v>
      </c>
      <c r="I129" s="1499">
        <v>3.8009749875733227</v>
      </c>
      <c r="J129" s="1499">
        <v>3.161289948572231</v>
      </c>
      <c r="K129" s="113">
        <v>1.0724125310421684</v>
      </c>
    </row>
    <row r="130" spans="2:11" x14ac:dyDescent="0.3">
      <c r="B130" s="115"/>
      <c r="C130" s="112" t="s">
        <v>1517</v>
      </c>
      <c r="D130" s="1499">
        <v>3.335688068695327</v>
      </c>
      <c r="E130" s="1499">
        <v>2.1106686852601779</v>
      </c>
      <c r="F130" s="1499">
        <v>1.4925317338690367</v>
      </c>
      <c r="G130" s="1499">
        <v>1.1310108055977455</v>
      </c>
      <c r="H130" s="1499">
        <v>1.3007655746404925</v>
      </c>
      <c r="I130" s="1499">
        <v>3.7062815027716489</v>
      </c>
      <c r="J130" s="1499">
        <v>3.0665964637705567</v>
      </c>
      <c r="K130" s="113">
        <v>0.97771904624049444</v>
      </c>
    </row>
    <row r="131" spans="2:11" ht="14.5" thickBot="1" x14ac:dyDescent="0.35">
      <c r="B131" s="1233"/>
      <c r="C131" s="116" t="s">
        <v>1519</v>
      </c>
      <c r="D131" s="117">
        <v>3.7229363645699207</v>
      </c>
      <c r="E131" s="117">
        <v>2.5068460305178317</v>
      </c>
      <c r="F131" s="117">
        <v>1.8754749481989617</v>
      </c>
      <c r="G131" s="117">
        <v>1.5268844500958167</v>
      </c>
      <c r="H131" s="117">
        <v>1.6882116582602293</v>
      </c>
      <c r="I131" s="117">
        <v>4.1022697368405874</v>
      </c>
      <c r="J131" s="117">
        <v>3.4622691188958883</v>
      </c>
      <c r="K131" s="118">
        <v>1.3648265941347</v>
      </c>
    </row>
    <row r="132" spans="2:11" x14ac:dyDescent="0.3">
      <c r="B132" s="120" t="s">
        <v>1990</v>
      </c>
      <c r="C132" s="108" t="s">
        <v>1416</v>
      </c>
      <c r="D132" s="109">
        <v>3.1876384414025507</v>
      </c>
      <c r="E132" s="109">
        <v>1.9203490383324546</v>
      </c>
      <c r="F132" s="109">
        <v>1.3593193901287099</v>
      </c>
      <c r="G132" s="109">
        <v>1.0030368712902684</v>
      </c>
      <c r="H132" s="109">
        <v>1.1853445414198747</v>
      </c>
      <c r="I132" s="109">
        <v>3.5040404882387155</v>
      </c>
      <c r="J132" s="109">
        <v>2.8649647808891836</v>
      </c>
      <c r="K132" s="110">
        <v>0.86203917226793481</v>
      </c>
    </row>
    <row r="133" spans="2:11" x14ac:dyDescent="0.3">
      <c r="B133" s="111"/>
      <c r="C133" s="112" t="s">
        <v>1483</v>
      </c>
      <c r="D133" s="1499">
        <v>3.8458741438925204</v>
      </c>
      <c r="E133" s="1499">
        <v>2.628228769311991</v>
      </c>
      <c r="F133" s="1499">
        <v>2.0086878412140718</v>
      </c>
      <c r="G133" s="1499">
        <v>1.6530094108214004</v>
      </c>
      <c r="H133" s="1499">
        <v>1.8180798897095434</v>
      </c>
      <c r="I133" s="1499">
        <v>4.2197428780465369</v>
      </c>
      <c r="J133" s="1499">
        <v>3.581078281285563</v>
      </c>
      <c r="K133" s="113">
        <v>1.4961172439106283</v>
      </c>
    </row>
    <row r="134" spans="2:11" x14ac:dyDescent="0.3">
      <c r="B134" s="111" t="s">
        <v>1986</v>
      </c>
      <c r="C134" s="112" t="s">
        <v>1489</v>
      </c>
      <c r="D134" s="1499">
        <v>3.769628985588215</v>
      </c>
      <c r="E134" s="1499">
        <v>2.5519836110076857</v>
      </c>
      <c r="F134" s="1499">
        <v>1.9324426829097658</v>
      </c>
      <c r="G134" s="1499">
        <v>1.5767642525170942</v>
      </c>
      <c r="H134" s="1499">
        <v>1.7418347314052371</v>
      </c>
      <c r="I134" s="1499">
        <v>4.1434977197422311</v>
      </c>
      <c r="J134" s="1499">
        <v>3.5048331229812577</v>
      </c>
      <c r="K134" s="113">
        <v>1.4198720856063223</v>
      </c>
    </row>
    <row r="135" spans="2:11" x14ac:dyDescent="0.3">
      <c r="B135" s="114">
        <v>0</v>
      </c>
      <c r="C135" s="112" t="s">
        <v>1496</v>
      </c>
      <c r="D135" s="1499">
        <v>3.6552612481317559</v>
      </c>
      <c r="E135" s="1499">
        <v>2.4376158735512266</v>
      </c>
      <c r="F135" s="1499">
        <v>1.8180749454533065</v>
      </c>
      <c r="G135" s="1499">
        <v>1.4623965150606351</v>
      </c>
      <c r="H135" s="1499">
        <v>1.627466993948778</v>
      </c>
      <c r="I135" s="1499">
        <v>4.029129982285772</v>
      </c>
      <c r="J135" s="1499">
        <v>3.3904653855247986</v>
      </c>
      <c r="K135" s="113">
        <v>1.3055043481498629</v>
      </c>
    </row>
    <row r="136" spans="2:11" x14ac:dyDescent="0.3">
      <c r="B136" s="115"/>
      <c r="C136" s="112" t="s">
        <v>1500</v>
      </c>
      <c r="D136" s="1499">
        <v>3.5408935106752968</v>
      </c>
      <c r="E136" s="1499">
        <v>2.323248136094767</v>
      </c>
      <c r="F136" s="1499">
        <v>1.7037072079968474</v>
      </c>
      <c r="G136" s="1499">
        <v>1.3480287776041759</v>
      </c>
      <c r="H136" s="1499">
        <v>1.5130992564923189</v>
      </c>
      <c r="I136" s="1499">
        <v>3.9147622448293125</v>
      </c>
      <c r="J136" s="1499">
        <v>3.2760976480683395</v>
      </c>
      <c r="K136" s="113">
        <v>1.1911366106934038</v>
      </c>
    </row>
    <row r="137" spans="2:11" x14ac:dyDescent="0.3">
      <c r="B137" s="115"/>
      <c r="C137" s="112" t="s">
        <v>1504</v>
      </c>
      <c r="D137" s="1499">
        <v>3.7102092629660968</v>
      </c>
      <c r="E137" s="1499">
        <v>2.4832932028091803</v>
      </c>
      <c r="F137" s="1499">
        <v>1.8769234119384279</v>
      </c>
      <c r="G137" s="1499">
        <v>1.5116541093501488</v>
      </c>
      <c r="H137" s="1499">
        <v>1.6814342001500302</v>
      </c>
      <c r="I137" s="1499">
        <v>4.0753483944644753</v>
      </c>
      <c r="J137" s="1499">
        <v>3.4364942037212134</v>
      </c>
      <c r="K137" s="113">
        <v>1.3698955861217896</v>
      </c>
    </row>
    <row r="138" spans="2:11" x14ac:dyDescent="0.3">
      <c r="B138" s="115"/>
      <c r="C138" s="112" t="s">
        <v>1508</v>
      </c>
      <c r="D138" s="1499">
        <v>3.6470802730983141</v>
      </c>
      <c r="E138" s="1499">
        <v>2.4201642129413976</v>
      </c>
      <c r="F138" s="1499">
        <v>1.8137944220706455</v>
      </c>
      <c r="G138" s="1499">
        <v>1.4485251194823665</v>
      </c>
      <c r="H138" s="1499">
        <v>1.6183052102822477</v>
      </c>
      <c r="I138" s="1499">
        <v>4.012219404596693</v>
      </c>
      <c r="J138" s="1499">
        <v>3.3733652138534311</v>
      </c>
      <c r="K138" s="113">
        <v>1.3067665962540072</v>
      </c>
    </row>
    <row r="139" spans="2:11" x14ac:dyDescent="0.3">
      <c r="B139" s="115"/>
      <c r="C139" s="112" t="s">
        <v>1513</v>
      </c>
      <c r="D139" s="1499">
        <v>3.5523867882966402</v>
      </c>
      <c r="E139" s="1499">
        <v>2.3254707281397233</v>
      </c>
      <c r="F139" s="1499">
        <v>1.7191009372689716</v>
      </c>
      <c r="G139" s="1499">
        <v>1.3538316346806925</v>
      </c>
      <c r="H139" s="1499">
        <v>1.5236117254805737</v>
      </c>
      <c r="I139" s="1499">
        <v>3.9175259197950187</v>
      </c>
      <c r="J139" s="1499">
        <v>3.2786717290517573</v>
      </c>
      <c r="K139" s="113">
        <v>1.2120731114523331</v>
      </c>
    </row>
    <row r="140" spans="2:11" x14ac:dyDescent="0.3">
      <c r="B140" s="115"/>
      <c r="C140" s="112" t="s">
        <v>1517</v>
      </c>
      <c r="D140" s="1499">
        <v>3.4576933034949664</v>
      </c>
      <c r="E140" s="1499">
        <v>2.2307772433380499</v>
      </c>
      <c r="F140" s="1499">
        <v>1.6244074524672978</v>
      </c>
      <c r="G140" s="1499">
        <v>1.2591381498790188</v>
      </c>
      <c r="H140" s="1499">
        <v>1.4289182406789001</v>
      </c>
      <c r="I140" s="1499">
        <v>3.8228324349933449</v>
      </c>
      <c r="J140" s="1499">
        <v>3.183978244250083</v>
      </c>
      <c r="K140" s="113">
        <v>1.1173796266506595</v>
      </c>
    </row>
    <row r="141" spans="2:11" ht="14.5" thickBot="1" x14ac:dyDescent="0.35">
      <c r="B141" s="1233"/>
      <c r="C141" s="116" t="s">
        <v>1519</v>
      </c>
      <c r="D141" s="117">
        <v>3.8458741438925204</v>
      </c>
      <c r="E141" s="117">
        <v>2.628228769311991</v>
      </c>
      <c r="F141" s="117">
        <v>2.0086878412140718</v>
      </c>
      <c r="G141" s="117">
        <v>1.6530094108214004</v>
      </c>
      <c r="H141" s="117">
        <v>1.8180798897095434</v>
      </c>
      <c r="I141" s="117">
        <v>4.2197428780465369</v>
      </c>
      <c r="J141" s="117">
        <v>3.581078281285563</v>
      </c>
      <c r="K141" s="118">
        <v>1.4961172439106283</v>
      </c>
    </row>
    <row r="142" spans="2:11" x14ac:dyDescent="0.3">
      <c r="B142" s="120" t="s">
        <v>1990</v>
      </c>
      <c r="C142" s="108" t="s">
        <v>1416</v>
      </c>
      <c r="D142" s="109">
        <v>3.1396566777003589</v>
      </c>
      <c r="E142" s="109">
        <v>1.8723672746302633</v>
      </c>
      <c r="F142" s="109">
        <v>1.3113376264265186</v>
      </c>
      <c r="G142" s="109">
        <v>0.95505510758807699</v>
      </c>
      <c r="H142" s="109">
        <v>1.1373627777176833</v>
      </c>
      <c r="I142" s="109">
        <v>3.4560587245365237</v>
      </c>
      <c r="J142" s="109">
        <v>2.8169830171869923</v>
      </c>
      <c r="K142" s="110">
        <v>0.81405740856574349</v>
      </c>
    </row>
    <row r="143" spans="2:11" x14ac:dyDescent="0.3">
      <c r="B143" s="111"/>
      <c r="C143" s="112" t="s">
        <v>1483</v>
      </c>
      <c r="D143" s="1499">
        <v>3.7978923801903295</v>
      </c>
      <c r="E143" s="1499">
        <v>2.5802470056098001</v>
      </c>
      <c r="F143" s="1499">
        <v>1.9607060775118805</v>
      </c>
      <c r="G143" s="1499">
        <v>1.6050276471192089</v>
      </c>
      <c r="H143" s="1499">
        <v>1.7700981260073518</v>
      </c>
      <c r="I143" s="1499">
        <v>4.1717611143443456</v>
      </c>
      <c r="J143" s="1499">
        <v>3.5330965175833722</v>
      </c>
      <c r="K143" s="113">
        <v>1.448135480208437</v>
      </c>
    </row>
    <row r="144" spans="2:11" x14ac:dyDescent="0.3">
      <c r="B144" s="111" t="s">
        <v>1987</v>
      </c>
      <c r="C144" s="112" t="s">
        <v>1489</v>
      </c>
      <c r="D144" s="1499">
        <v>3.7216472218860233</v>
      </c>
      <c r="E144" s="1499">
        <v>2.5040018473054939</v>
      </c>
      <c r="F144" s="1499">
        <v>1.8844609192075743</v>
      </c>
      <c r="G144" s="1499">
        <v>1.5287824888149029</v>
      </c>
      <c r="H144" s="1499">
        <v>1.6938529677030458</v>
      </c>
      <c r="I144" s="1499">
        <v>4.0955159560400389</v>
      </c>
      <c r="J144" s="1499">
        <v>3.4568513592790659</v>
      </c>
      <c r="K144" s="113">
        <v>1.3718903219041307</v>
      </c>
    </row>
    <row r="145" spans="2:11" x14ac:dyDescent="0.3">
      <c r="B145" s="114">
        <v>0</v>
      </c>
      <c r="C145" s="112" t="s">
        <v>1496</v>
      </c>
      <c r="D145" s="1499">
        <v>3.6072794844295641</v>
      </c>
      <c r="E145" s="1499">
        <v>2.3896341098490348</v>
      </c>
      <c r="F145" s="1499">
        <v>1.7700931817511152</v>
      </c>
      <c r="G145" s="1499">
        <v>1.4144147513584437</v>
      </c>
      <c r="H145" s="1499">
        <v>1.5794852302465867</v>
      </c>
      <c r="I145" s="1499">
        <v>3.9811482185835803</v>
      </c>
      <c r="J145" s="1499">
        <v>3.3424836218226068</v>
      </c>
      <c r="K145" s="113">
        <v>1.2575225844476716</v>
      </c>
    </row>
    <row r="146" spans="2:11" x14ac:dyDescent="0.3">
      <c r="B146" s="115"/>
      <c r="C146" s="112" t="s">
        <v>1500</v>
      </c>
      <c r="D146" s="1499">
        <v>3.492911746973105</v>
      </c>
      <c r="E146" s="1499">
        <v>2.2752663723925757</v>
      </c>
      <c r="F146" s="1499">
        <v>1.6557254442946561</v>
      </c>
      <c r="G146" s="1499">
        <v>1.3000470139019846</v>
      </c>
      <c r="H146" s="1499">
        <v>1.4651174927901276</v>
      </c>
      <c r="I146" s="1499">
        <v>3.8667804811271211</v>
      </c>
      <c r="J146" s="1499">
        <v>3.2281158843661477</v>
      </c>
      <c r="K146" s="113">
        <v>1.1431548469912127</v>
      </c>
    </row>
    <row r="147" spans="2:11" x14ac:dyDescent="0.3">
      <c r="B147" s="115"/>
      <c r="C147" s="112" t="s">
        <v>1504</v>
      </c>
      <c r="D147" s="1499">
        <v>3.662227499263905</v>
      </c>
      <c r="E147" s="1499">
        <v>2.4353114391069886</v>
      </c>
      <c r="F147" s="1499">
        <v>1.8289416482362366</v>
      </c>
      <c r="G147" s="1499">
        <v>1.4636723456479575</v>
      </c>
      <c r="H147" s="1499">
        <v>1.6334524364478389</v>
      </c>
      <c r="I147" s="1499">
        <v>4.027366630762284</v>
      </c>
      <c r="J147" s="1499">
        <v>3.3885124400190216</v>
      </c>
      <c r="K147" s="113">
        <v>1.3219138224195983</v>
      </c>
    </row>
    <row r="148" spans="2:11" x14ac:dyDescent="0.3">
      <c r="B148" s="115"/>
      <c r="C148" s="112" t="s">
        <v>1508</v>
      </c>
      <c r="D148" s="1499">
        <v>3.5990985093961223</v>
      </c>
      <c r="E148" s="1499">
        <v>2.3721824492392063</v>
      </c>
      <c r="F148" s="1499">
        <v>1.7658126583684541</v>
      </c>
      <c r="G148" s="1499">
        <v>1.400543355780175</v>
      </c>
      <c r="H148" s="1499">
        <v>1.5703234465800564</v>
      </c>
      <c r="I148" s="1499">
        <v>3.9642376408945013</v>
      </c>
      <c r="J148" s="1499">
        <v>3.3253834501512394</v>
      </c>
      <c r="K148" s="113">
        <v>1.2587848325518158</v>
      </c>
    </row>
    <row r="149" spans="2:11" x14ac:dyDescent="0.3">
      <c r="B149" s="115"/>
      <c r="C149" s="112" t="s">
        <v>1513</v>
      </c>
      <c r="D149" s="1499">
        <v>3.5044050245944485</v>
      </c>
      <c r="E149" s="1499">
        <v>2.277488964437532</v>
      </c>
      <c r="F149" s="1499">
        <v>1.6711191735667803</v>
      </c>
      <c r="G149" s="1499">
        <v>1.3058498709785011</v>
      </c>
      <c r="H149" s="1499">
        <v>1.4756299617783823</v>
      </c>
      <c r="I149" s="1499">
        <v>3.8695441560928274</v>
      </c>
      <c r="J149" s="1499">
        <v>3.2306899653495655</v>
      </c>
      <c r="K149" s="113">
        <v>1.164091347750142</v>
      </c>
    </row>
    <row r="150" spans="2:11" x14ac:dyDescent="0.3">
      <c r="B150" s="115"/>
      <c r="C150" s="112" t="s">
        <v>1517</v>
      </c>
      <c r="D150" s="1499">
        <v>3.4097115397927746</v>
      </c>
      <c r="E150" s="1499">
        <v>2.1827954796358586</v>
      </c>
      <c r="F150" s="1499">
        <v>1.5764256887651065</v>
      </c>
      <c r="G150" s="1499">
        <v>1.2111563861768275</v>
      </c>
      <c r="H150" s="1499">
        <v>1.3809364769767087</v>
      </c>
      <c r="I150" s="1499">
        <v>3.7748506712911536</v>
      </c>
      <c r="J150" s="1499">
        <v>3.1359964805478917</v>
      </c>
      <c r="K150" s="113">
        <v>1.0693978629484682</v>
      </c>
    </row>
    <row r="151" spans="2:11" ht="14.5" thickBot="1" x14ac:dyDescent="0.35">
      <c r="B151" s="1233"/>
      <c r="C151" s="116" t="s">
        <v>1519</v>
      </c>
      <c r="D151" s="117">
        <v>3.7978923801903295</v>
      </c>
      <c r="E151" s="117">
        <v>2.5802470056098001</v>
      </c>
      <c r="F151" s="117">
        <v>1.9607060775118805</v>
      </c>
      <c r="G151" s="117">
        <v>1.6050276471192089</v>
      </c>
      <c r="H151" s="117">
        <v>1.7700981260073518</v>
      </c>
      <c r="I151" s="117">
        <v>4.1717611143443456</v>
      </c>
      <c r="J151" s="117">
        <v>3.5330965175833722</v>
      </c>
      <c r="K151" s="118">
        <v>1.448135480208437</v>
      </c>
    </row>
    <row r="152" spans="2:11" x14ac:dyDescent="0.3">
      <c r="B152" s="120" t="s">
        <v>1990</v>
      </c>
      <c r="C152" s="108" t="s">
        <v>1416</v>
      </c>
      <c r="D152" s="109">
        <v>3.067684032147072</v>
      </c>
      <c r="E152" s="109">
        <v>1.8003946290769761</v>
      </c>
      <c r="F152" s="109">
        <v>1.2393649808732314</v>
      </c>
      <c r="G152" s="109">
        <v>0.88308246203478991</v>
      </c>
      <c r="H152" s="109">
        <v>1.0653901321643964</v>
      </c>
      <c r="I152" s="109">
        <v>3.3840860789832368</v>
      </c>
      <c r="J152" s="109">
        <v>2.7450103716337053</v>
      </c>
      <c r="K152" s="110">
        <v>0.74208476301245641</v>
      </c>
    </row>
    <row r="153" spans="2:11" x14ac:dyDescent="0.3">
      <c r="B153" s="111"/>
      <c r="C153" s="112" t="s">
        <v>1483</v>
      </c>
      <c r="D153" s="1499">
        <v>3.7259197346370425</v>
      </c>
      <c r="E153" s="1499">
        <v>2.5082743600565132</v>
      </c>
      <c r="F153" s="1499">
        <v>1.8887334319585933</v>
      </c>
      <c r="G153" s="1499">
        <v>1.5330550015659217</v>
      </c>
      <c r="H153" s="1499">
        <v>1.6981254804540646</v>
      </c>
      <c r="I153" s="1499">
        <v>4.0997884687910586</v>
      </c>
      <c r="J153" s="1499">
        <v>3.4611238720300852</v>
      </c>
      <c r="K153" s="113">
        <v>1.3761628346551498</v>
      </c>
    </row>
    <row r="154" spans="2:11" x14ac:dyDescent="0.3">
      <c r="B154" s="111" t="s">
        <v>1988</v>
      </c>
      <c r="C154" s="112" t="s">
        <v>1489</v>
      </c>
      <c r="D154" s="1499">
        <v>3.6496745763327363</v>
      </c>
      <c r="E154" s="1499">
        <v>2.4320292017522069</v>
      </c>
      <c r="F154" s="1499">
        <v>1.8124882736542871</v>
      </c>
      <c r="G154" s="1499">
        <v>1.4568098432616157</v>
      </c>
      <c r="H154" s="1499">
        <v>1.6218803221497586</v>
      </c>
      <c r="I154" s="1499">
        <v>4.0235433104867528</v>
      </c>
      <c r="J154" s="1499">
        <v>3.384878713725779</v>
      </c>
      <c r="K154" s="113">
        <v>1.2999176763508435</v>
      </c>
    </row>
    <row r="155" spans="2:11" x14ac:dyDescent="0.3">
      <c r="B155" s="114">
        <v>0</v>
      </c>
      <c r="C155" s="112" t="s">
        <v>1496</v>
      </c>
      <c r="D155" s="1499">
        <v>3.5353068388762772</v>
      </c>
      <c r="E155" s="1499">
        <v>2.3176614642957478</v>
      </c>
      <c r="F155" s="1499">
        <v>1.6981205361978282</v>
      </c>
      <c r="G155" s="1499">
        <v>1.3424421058051568</v>
      </c>
      <c r="H155" s="1499">
        <v>1.5075125846932997</v>
      </c>
      <c r="I155" s="1499">
        <v>3.9091755730302933</v>
      </c>
      <c r="J155" s="1499">
        <v>3.2705109762693199</v>
      </c>
      <c r="K155" s="113">
        <v>1.1855499388943846</v>
      </c>
    </row>
    <row r="156" spans="2:11" x14ac:dyDescent="0.3">
      <c r="B156" s="115"/>
      <c r="C156" s="112" t="s">
        <v>1500</v>
      </c>
      <c r="D156" s="1499">
        <v>3.4209391014198181</v>
      </c>
      <c r="E156" s="1499">
        <v>2.2032937268392887</v>
      </c>
      <c r="F156" s="1499">
        <v>1.5837527987413691</v>
      </c>
      <c r="G156" s="1499">
        <v>1.2280743683486977</v>
      </c>
      <c r="H156" s="1499">
        <v>1.3931448472368406</v>
      </c>
      <c r="I156" s="1499">
        <v>3.7948078355738342</v>
      </c>
      <c r="J156" s="1499">
        <v>3.1561432388128607</v>
      </c>
      <c r="K156" s="113">
        <v>1.0711822014379255</v>
      </c>
    </row>
    <row r="157" spans="2:11" x14ac:dyDescent="0.3">
      <c r="B157" s="115"/>
      <c r="C157" s="112" t="s">
        <v>1504</v>
      </c>
      <c r="D157" s="1499">
        <v>3.590254853710618</v>
      </c>
      <c r="E157" s="1499">
        <v>2.3633387935537016</v>
      </c>
      <c r="F157" s="1499">
        <v>1.7569690026829496</v>
      </c>
      <c r="G157" s="1499">
        <v>1.3916997000946705</v>
      </c>
      <c r="H157" s="1499">
        <v>1.5614797908945519</v>
      </c>
      <c r="I157" s="1499">
        <v>3.955393985208997</v>
      </c>
      <c r="J157" s="1499">
        <v>3.3165397944657351</v>
      </c>
      <c r="K157" s="113">
        <v>1.2499411768663113</v>
      </c>
    </row>
    <row r="158" spans="2:11" x14ac:dyDescent="0.3">
      <c r="B158" s="115"/>
      <c r="C158" s="112" t="s">
        <v>1508</v>
      </c>
      <c r="D158" s="1499">
        <v>3.5271258638428358</v>
      </c>
      <c r="E158" s="1499">
        <v>2.3002098036859189</v>
      </c>
      <c r="F158" s="1499">
        <v>1.6938400128151669</v>
      </c>
      <c r="G158" s="1499">
        <v>1.3285707102268878</v>
      </c>
      <c r="H158" s="1499">
        <v>1.4983508010267692</v>
      </c>
      <c r="I158" s="1499">
        <v>3.8922649953412143</v>
      </c>
      <c r="J158" s="1499">
        <v>3.2534108045979524</v>
      </c>
      <c r="K158" s="113">
        <v>1.1868121869985286</v>
      </c>
    </row>
    <row r="159" spans="2:11" x14ac:dyDescent="0.3">
      <c r="B159" s="115"/>
      <c r="C159" s="112" t="s">
        <v>1513</v>
      </c>
      <c r="D159" s="1499">
        <v>3.4324323790411615</v>
      </c>
      <c r="E159" s="1499">
        <v>2.205516318884245</v>
      </c>
      <c r="F159" s="1499">
        <v>1.5991465280134933</v>
      </c>
      <c r="G159" s="1499">
        <v>1.2338772254252142</v>
      </c>
      <c r="H159" s="1499">
        <v>1.4036573162250954</v>
      </c>
      <c r="I159" s="1499">
        <v>3.7975715105395405</v>
      </c>
      <c r="J159" s="1499">
        <v>3.1587173197962786</v>
      </c>
      <c r="K159" s="113">
        <v>1.0921187021968548</v>
      </c>
    </row>
    <row r="160" spans="2:11" x14ac:dyDescent="0.3">
      <c r="B160" s="115"/>
      <c r="C160" s="112" t="s">
        <v>1517</v>
      </c>
      <c r="D160" s="1499">
        <v>3.3377388942394877</v>
      </c>
      <c r="E160" s="1499">
        <v>2.1108228340825712</v>
      </c>
      <c r="F160" s="1499">
        <v>1.5044530432118193</v>
      </c>
      <c r="G160" s="1499">
        <v>1.1391837406235403</v>
      </c>
      <c r="H160" s="1499">
        <v>1.3089638314234215</v>
      </c>
      <c r="I160" s="1499">
        <v>3.7028780257378666</v>
      </c>
      <c r="J160" s="1499">
        <v>3.0640238349946047</v>
      </c>
      <c r="K160" s="113">
        <v>0.99742521739518097</v>
      </c>
    </row>
    <row r="161" spans="2:11" ht="14.5" thickBot="1" x14ac:dyDescent="0.35">
      <c r="B161" s="1233"/>
      <c r="C161" s="116" t="s">
        <v>1519</v>
      </c>
      <c r="D161" s="117">
        <v>3.7259197346370425</v>
      </c>
      <c r="E161" s="117">
        <v>2.5082743600565132</v>
      </c>
      <c r="F161" s="117">
        <v>1.8887334319585933</v>
      </c>
      <c r="G161" s="117">
        <v>1.5330550015659217</v>
      </c>
      <c r="H161" s="117">
        <v>1.6981254804540646</v>
      </c>
      <c r="I161" s="117">
        <v>4.0997884687910586</v>
      </c>
      <c r="J161" s="117">
        <v>3.4611238720300852</v>
      </c>
      <c r="K161" s="118">
        <v>1.3761628346551498</v>
      </c>
    </row>
    <row r="162" spans="2:11" x14ac:dyDescent="0.3">
      <c r="B162" s="120" t="s">
        <v>1990</v>
      </c>
      <c r="C162" s="108" t="s">
        <v>1416</v>
      </c>
      <c r="D162" s="109">
        <v>2.9957113865937846</v>
      </c>
      <c r="E162" s="109">
        <v>1.7284219835236891</v>
      </c>
      <c r="F162" s="109">
        <v>1.1673923353199445</v>
      </c>
      <c r="G162" s="109">
        <v>0.81110981648150293</v>
      </c>
      <c r="H162" s="109">
        <v>0.99341748661110918</v>
      </c>
      <c r="I162" s="109">
        <v>3.3121134334299493</v>
      </c>
      <c r="J162" s="109">
        <v>2.6730377260804179</v>
      </c>
      <c r="K162" s="110">
        <v>0.67011211745916943</v>
      </c>
    </row>
    <row r="163" spans="2:11" x14ac:dyDescent="0.3">
      <c r="B163" s="111"/>
      <c r="C163" s="112" t="s">
        <v>1483</v>
      </c>
      <c r="D163" s="1499">
        <v>3.6539470890837551</v>
      </c>
      <c r="E163" s="1499">
        <v>2.4363017145032257</v>
      </c>
      <c r="F163" s="1499">
        <v>1.8167607864053064</v>
      </c>
      <c r="G163" s="1499">
        <v>1.4610823560126349</v>
      </c>
      <c r="H163" s="1499">
        <v>1.6261528349007779</v>
      </c>
      <c r="I163" s="1499">
        <v>4.0278158232377708</v>
      </c>
      <c r="J163" s="1499">
        <v>3.3891512264767978</v>
      </c>
      <c r="K163" s="113">
        <v>1.3041901891018628</v>
      </c>
    </row>
    <row r="164" spans="2:11" x14ac:dyDescent="0.3">
      <c r="B164" s="111" t="s">
        <v>1989</v>
      </c>
      <c r="C164" s="112" t="s">
        <v>1489</v>
      </c>
      <c r="D164" s="1499">
        <v>3.5777019307794489</v>
      </c>
      <c r="E164" s="1499">
        <v>2.3600565561989195</v>
      </c>
      <c r="F164" s="1499">
        <v>1.7405156281010004</v>
      </c>
      <c r="G164" s="1499">
        <v>1.3848371977083287</v>
      </c>
      <c r="H164" s="1499">
        <v>1.5499076765964717</v>
      </c>
      <c r="I164" s="1499">
        <v>3.951570664933465</v>
      </c>
      <c r="J164" s="1499">
        <v>3.3129060681724916</v>
      </c>
      <c r="K164" s="113">
        <v>1.2279450307975568</v>
      </c>
    </row>
    <row r="165" spans="2:11" x14ac:dyDescent="0.3">
      <c r="B165" s="114">
        <v>0</v>
      </c>
      <c r="C165" s="112" t="s">
        <v>1496</v>
      </c>
      <c r="D165" s="1499">
        <v>3.4633341933229898</v>
      </c>
      <c r="E165" s="1499">
        <v>2.2456888187424608</v>
      </c>
      <c r="F165" s="1499">
        <v>1.626147890644541</v>
      </c>
      <c r="G165" s="1499">
        <v>1.2704694602518696</v>
      </c>
      <c r="H165" s="1499">
        <v>1.4355399391400125</v>
      </c>
      <c r="I165" s="1499">
        <v>3.8372029274770063</v>
      </c>
      <c r="J165" s="1499">
        <v>3.1985383307160329</v>
      </c>
      <c r="K165" s="113">
        <v>1.1135772933410977</v>
      </c>
    </row>
    <row r="166" spans="2:11" x14ac:dyDescent="0.3">
      <c r="B166" s="115"/>
      <c r="C166" s="112" t="s">
        <v>1500</v>
      </c>
      <c r="D166" s="1499">
        <v>3.3489664558665311</v>
      </c>
      <c r="E166" s="1499">
        <v>2.1313210812860013</v>
      </c>
      <c r="F166" s="1499">
        <v>1.5117801531880819</v>
      </c>
      <c r="G166" s="1499">
        <v>1.1561017227954105</v>
      </c>
      <c r="H166" s="1499">
        <v>1.3211722016835534</v>
      </c>
      <c r="I166" s="1499">
        <v>3.7228351900205472</v>
      </c>
      <c r="J166" s="1499">
        <v>3.0841705932595738</v>
      </c>
      <c r="K166" s="113">
        <v>0.99920955588463845</v>
      </c>
    </row>
    <row r="167" spans="2:11" x14ac:dyDescent="0.3">
      <c r="B167" s="115"/>
      <c r="C167" s="112" t="s">
        <v>1504</v>
      </c>
      <c r="D167" s="1499">
        <v>3.5182822081573311</v>
      </c>
      <c r="E167" s="1499">
        <v>2.2913661480004146</v>
      </c>
      <c r="F167" s="1499">
        <v>1.6849963571296624</v>
      </c>
      <c r="G167" s="1499">
        <v>1.3197270545413833</v>
      </c>
      <c r="H167" s="1499">
        <v>1.4895071453412647</v>
      </c>
      <c r="I167" s="1499">
        <v>3.88342133965571</v>
      </c>
      <c r="J167" s="1499">
        <v>3.2445671489124481</v>
      </c>
      <c r="K167" s="113">
        <v>1.1779685313130241</v>
      </c>
    </row>
    <row r="168" spans="2:11" x14ac:dyDescent="0.3">
      <c r="B168" s="115"/>
      <c r="C168" s="112" t="s">
        <v>1508</v>
      </c>
      <c r="D168" s="1499">
        <v>3.4551532182895479</v>
      </c>
      <c r="E168" s="1499">
        <v>2.2282371581326319</v>
      </c>
      <c r="F168" s="1499">
        <v>1.62186736726188</v>
      </c>
      <c r="G168" s="1499">
        <v>1.256598064673601</v>
      </c>
      <c r="H168" s="1499">
        <v>1.4263781554734822</v>
      </c>
      <c r="I168" s="1499">
        <v>3.8202923497879269</v>
      </c>
      <c r="J168" s="1499">
        <v>3.181438159044665</v>
      </c>
      <c r="K168" s="113">
        <v>1.1148395414452417</v>
      </c>
    </row>
    <row r="169" spans="2:11" x14ac:dyDescent="0.3">
      <c r="B169" s="115"/>
      <c r="C169" s="112" t="s">
        <v>1513</v>
      </c>
      <c r="D169" s="1499">
        <v>3.3604597334878745</v>
      </c>
      <c r="E169" s="1499">
        <v>2.1335436733309581</v>
      </c>
      <c r="F169" s="1499">
        <v>1.5271738824602061</v>
      </c>
      <c r="G169" s="1499">
        <v>1.161904579871927</v>
      </c>
      <c r="H169" s="1499">
        <v>1.3316846706718084</v>
      </c>
      <c r="I169" s="1499">
        <v>3.7255988649862535</v>
      </c>
      <c r="J169" s="1499">
        <v>3.0867446742429916</v>
      </c>
      <c r="K169" s="113">
        <v>1.0201460566435678</v>
      </c>
    </row>
    <row r="170" spans="2:11" x14ac:dyDescent="0.3">
      <c r="B170" s="115"/>
      <c r="C170" s="112" t="s">
        <v>1517</v>
      </c>
      <c r="D170" s="1499">
        <v>3.2657662486862007</v>
      </c>
      <c r="E170" s="1499">
        <v>2.0388501885292842</v>
      </c>
      <c r="F170" s="1499">
        <v>1.4324803976585325</v>
      </c>
      <c r="G170" s="1499">
        <v>1.0672110950702534</v>
      </c>
      <c r="H170" s="1499">
        <v>1.2369911858701346</v>
      </c>
      <c r="I170" s="1499">
        <v>3.6309053801845796</v>
      </c>
      <c r="J170" s="1499">
        <v>2.9920511894413178</v>
      </c>
      <c r="K170" s="113">
        <v>0.925452571841894</v>
      </c>
    </row>
    <row r="171" spans="2:11" ht="14.5" thickBot="1" x14ac:dyDescent="0.35">
      <c r="B171" s="1233"/>
      <c r="C171" s="116" t="s">
        <v>1519</v>
      </c>
      <c r="D171" s="117">
        <v>3.6539470890837551</v>
      </c>
      <c r="E171" s="117">
        <v>2.4363017145032257</v>
      </c>
      <c r="F171" s="117">
        <v>1.8167607864053064</v>
      </c>
      <c r="G171" s="117">
        <v>1.4610823560126349</v>
      </c>
      <c r="H171" s="117">
        <v>1.6261528349007779</v>
      </c>
      <c r="I171" s="117">
        <v>4.0278158232377708</v>
      </c>
      <c r="J171" s="117">
        <v>3.3891512264767978</v>
      </c>
      <c r="K171" s="118">
        <v>1.3041901891018628</v>
      </c>
    </row>
    <row r="173" spans="2:11" ht="14.5" thickBot="1" x14ac:dyDescent="0.35"/>
    <row r="174" spans="2:11" ht="25.5" thickBot="1" x14ac:dyDescent="0.55000000000000004">
      <c r="B174" s="88" t="s">
        <v>1960</v>
      </c>
      <c r="C174" s="89"/>
      <c r="D174" s="90">
        <v>5</v>
      </c>
      <c r="E174" s="91" t="s">
        <v>1991</v>
      </c>
      <c r="F174" s="92"/>
      <c r="G174" s="92"/>
      <c r="H174" s="92"/>
      <c r="I174" s="93"/>
      <c r="J174" s="89" t="s">
        <v>176</v>
      </c>
      <c r="K174" s="94" t="s">
        <v>243</v>
      </c>
    </row>
    <row r="175" spans="2:11" ht="14.5" thickBot="1" x14ac:dyDescent="0.35">
      <c r="B175" s="95" t="s">
        <v>1962</v>
      </c>
      <c r="C175" s="96" t="s">
        <v>1963</v>
      </c>
      <c r="D175" s="95" t="s">
        <v>1964</v>
      </c>
      <c r="E175" s="97" t="s">
        <v>1965</v>
      </c>
      <c r="F175" s="97" t="s">
        <v>1966</v>
      </c>
      <c r="G175" s="97" t="s">
        <v>1967</v>
      </c>
      <c r="H175" s="97" t="s">
        <v>1968</v>
      </c>
      <c r="I175" s="97" t="s">
        <v>1969</v>
      </c>
      <c r="J175" s="97" t="s">
        <v>1970</v>
      </c>
      <c r="K175" s="98" t="s">
        <v>1971</v>
      </c>
    </row>
    <row r="176" spans="2:11" ht="14.5" thickBot="1" x14ac:dyDescent="0.35">
      <c r="B176" s="99"/>
      <c r="C176" s="99"/>
      <c r="D176" s="100"/>
      <c r="E176" s="944"/>
      <c r="F176" s="944"/>
      <c r="G176" s="944"/>
      <c r="H176" s="944"/>
      <c r="I176" s="944"/>
      <c r="J176" s="944"/>
      <c r="K176" s="102"/>
    </row>
    <row r="177" spans="2:11" ht="90.5" thickBot="1" x14ac:dyDescent="0.45">
      <c r="B177" s="103" t="s">
        <v>1972</v>
      </c>
      <c r="C177" s="103" t="s">
        <v>1973</v>
      </c>
      <c r="D177" s="105" t="s">
        <v>1974</v>
      </c>
      <c r="E177" s="105" t="s">
        <v>1525</v>
      </c>
      <c r="F177" s="105" t="s">
        <v>1527</v>
      </c>
      <c r="G177" s="105" t="s">
        <v>1975</v>
      </c>
      <c r="H177" s="105" t="s">
        <v>1976</v>
      </c>
      <c r="I177" s="105" t="s">
        <v>1445</v>
      </c>
      <c r="J177" s="105" t="s">
        <v>1538</v>
      </c>
      <c r="K177" s="106" t="s">
        <v>1541</v>
      </c>
    </row>
    <row r="178" spans="2:11" x14ac:dyDescent="0.3">
      <c r="B178" s="120" t="s">
        <v>1992</v>
      </c>
      <c r="C178" s="108" t="s">
        <v>1416</v>
      </c>
      <c r="D178" s="109">
        <v>4.7571240681834919</v>
      </c>
      <c r="E178" s="109">
        <v>3.5644447709495086</v>
      </c>
      <c r="F178" s="109">
        <v>2.8562223311626185</v>
      </c>
      <c r="G178" s="109">
        <v>2.5109622030564553</v>
      </c>
      <c r="H178" s="109">
        <v>2.6697559494577852</v>
      </c>
      <c r="I178" s="109">
        <v>5.2077412393867517</v>
      </c>
      <c r="J178" s="109">
        <v>4.558982756833025</v>
      </c>
      <c r="K178" s="110">
        <v>2.3358273720457912</v>
      </c>
    </row>
    <row r="179" spans="2:11" x14ac:dyDescent="0.3">
      <c r="B179" s="128"/>
      <c r="C179" s="112" t="s">
        <v>1483</v>
      </c>
      <c r="D179" s="1499">
        <v>5.6217632502369606</v>
      </c>
      <c r="E179" s="1499">
        <v>4.4619803379102789</v>
      </c>
      <c r="F179" s="1499">
        <v>3.7370338842976332</v>
      </c>
      <c r="G179" s="1499">
        <v>3.4053702160976336</v>
      </c>
      <c r="H179" s="1499">
        <v>3.5474135885701603</v>
      </c>
      <c r="I179" s="1499">
        <v>6.0975774136509475</v>
      </c>
      <c r="J179" s="1499">
        <v>5.4546451265189528</v>
      </c>
      <c r="K179" s="113">
        <v>3.2294079826314759</v>
      </c>
    </row>
    <row r="180" spans="2:11" x14ac:dyDescent="0.3">
      <c r="B180" s="128"/>
      <c r="C180" s="112" t="s">
        <v>1489</v>
      </c>
      <c r="D180" s="1499">
        <v>5.5455180919326548</v>
      </c>
      <c r="E180" s="1499">
        <v>4.3857351796059723</v>
      </c>
      <c r="F180" s="1499">
        <v>3.6607887259933269</v>
      </c>
      <c r="G180" s="1499">
        <v>3.3291250577933278</v>
      </c>
      <c r="H180" s="1499">
        <v>3.4711684302658541</v>
      </c>
      <c r="I180" s="1499">
        <v>6.0213322553466408</v>
      </c>
      <c r="J180" s="1499">
        <v>5.3783999682146462</v>
      </c>
      <c r="K180" s="113">
        <v>3.1531628243271697</v>
      </c>
    </row>
    <row r="181" spans="2:11" x14ac:dyDescent="0.3">
      <c r="B181" s="122">
        <v>0</v>
      </c>
      <c r="C181" s="112" t="s">
        <v>1496</v>
      </c>
      <c r="D181" s="1499">
        <v>5.4311503544761957</v>
      </c>
      <c r="E181" s="1499">
        <v>4.2713674421495131</v>
      </c>
      <c r="F181" s="1499">
        <v>3.5464209885368678</v>
      </c>
      <c r="G181" s="1499">
        <v>3.2147573203368687</v>
      </c>
      <c r="H181" s="1499">
        <v>3.356800692809395</v>
      </c>
      <c r="I181" s="1499">
        <v>5.9069645178901817</v>
      </c>
      <c r="J181" s="1499">
        <v>5.264032230758187</v>
      </c>
      <c r="K181" s="113">
        <v>3.0387950868707105</v>
      </c>
    </row>
    <row r="182" spans="2:11" x14ac:dyDescent="0.3">
      <c r="B182" s="123"/>
      <c r="C182" s="112" t="s">
        <v>1500</v>
      </c>
      <c r="D182" s="1499">
        <v>5.3167826170197365</v>
      </c>
      <c r="E182" s="1499">
        <v>4.156999704693054</v>
      </c>
      <c r="F182" s="1499">
        <v>3.4320532510804087</v>
      </c>
      <c r="G182" s="1499">
        <v>3.1003895828804096</v>
      </c>
      <c r="H182" s="1499">
        <v>3.2424329553529359</v>
      </c>
      <c r="I182" s="1499">
        <v>5.7925967804337226</v>
      </c>
      <c r="J182" s="1499">
        <v>5.1496644933017279</v>
      </c>
      <c r="K182" s="113">
        <v>2.9244273494142514</v>
      </c>
    </row>
    <row r="183" spans="2:11" x14ac:dyDescent="0.3">
      <c r="B183" s="123"/>
      <c r="C183" s="112" t="s">
        <v>1504</v>
      </c>
      <c r="D183" s="1499">
        <v>5.4562690028819985</v>
      </c>
      <c r="E183" s="1499">
        <v>4.2883117919241576</v>
      </c>
      <c r="F183" s="1499">
        <v>3.5644608835772993</v>
      </c>
      <c r="G183" s="1499">
        <v>3.233007229412562</v>
      </c>
      <c r="H183" s="1499">
        <v>3.3791910607554105</v>
      </c>
      <c r="I183" s="1499">
        <v>5.9256720985896054</v>
      </c>
      <c r="J183" s="1499">
        <v>5.2820500029058657</v>
      </c>
      <c r="K183" s="113">
        <v>3.0552120800853402</v>
      </c>
    </row>
    <row r="184" spans="2:11" x14ac:dyDescent="0.3">
      <c r="B184" s="123"/>
      <c r="C184" s="112" t="s">
        <v>1508</v>
      </c>
      <c r="D184" s="1499">
        <v>5.3931400130142153</v>
      </c>
      <c r="E184" s="1499">
        <v>4.2251828020563753</v>
      </c>
      <c r="F184" s="1499">
        <v>3.501331893709517</v>
      </c>
      <c r="G184" s="1499">
        <v>3.1698782395447798</v>
      </c>
      <c r="H184" s="1499">
        <v>3.3160620708876278</v>
      </c>
      <c r="I184" s="1499">
        <v>5.8625431087218223</v>
      </c>
      <c r="J184" s="1499">
        <v>5.2189210130380825</v>
      </c>
      <c r="K184" s="113">
        <v>2.9920830902175579</v>
      </c>
    </row>
    <row r="185" spans="2:11" x14ac:dyDescent="0.3">
      <c r="B185" s="123"/>
      <c r="C185" s="112" t="s">
        <v>1513</v>
      </c>
      <c r="D185" s="1499">
        <v>5.2984465282125415</v>
      </c>
      <c r="E185" s="1499">
        <v>4.1304893172547015</v>
      </c>
      <c r="F185" s="1499">
        <v>3.4066384089078432</v>
      </c>
      <c r="G185" s="1499">
        <v>3.0751847547431059</v>
      </c>
      <c r="H185" s="1499">
        <v>3.221368586085954</v>
      </c>
      <c r="I185" s="1499">
        <v>5.7678496239201493</v>
      </c>
      <c r="J185" s="1499">
        <v>5.1242275282364087</v>
      </c>
      <c r="K185" s="113">
        <v>2.8973896054158841</v>
      </c>
    </row>
    <row r="186" spans="2:11" x14ac:dyDescent="0.3">
      <c r="B186" s="123"/>
      <c r="C186" s="112" t="s">
        <v>1517</v>
      </c>
      <c r="D186" s="1499">
        <v>5.2037530434108668</v>
      </c>
      <c r="E186" s="1499">
        <v>4.0357958324530276</v>
      </c>
      <c r="F186" s="1499">
        <v>3.3119449241061689</v>
      </c>
      <c r="G186" s="1499">
        <v>2.9804912699414317</v>
      </c>
      <c r="H186" s="1499">
        <v>3.1266751012842802</v>
      </c>
      <c r="I186" s="1499">
        <v>5.6731561391184746</v>
      </c>
      <c r="J186" s="1499">
        <v>5.0295340434347349</v>
      </c>
      <c r="K186" s="113">
        <v>2.8026961206142103</v>
      </c>
    </row>
    <row r="187" spans="2:11" ht="14.5" thickBot="1" x14ac:dyDescent="0.35">
      <c r="B187" s="124"/>
      <c r="C187" s="116" t="s">
        <v>1519</v>
      </c>
      <c r="D187" s="117">
        <v>5.6217632502369606</v>
      </c>
      <c r="E187" s="117">
        <v>4.4619803379102789</v>
      </c>
      <c r="F187" s="117">
        <v>3.7370338842976332</v>
      </c>
      <c r="G187" s="117">
        <v>3.4053702160976336</v>
      </c>
      <c r="H187" s="117">
        <v>3.5474135885701603</v>
      </c>
      <c r="I187" s="117">
        <v>6.0975774136509475</v>
      </c>
      <c r="J187" s="117">
        <v>5.4546451265189528</v>
      </c>
      <c r="K187" s="118">
        <v>3.2294079826314759</v>
      </c>
    </row>
    <row r="188" spans="2:11" x14ac:dyDescent="0.3">
      <c r="B188" s="120" t="s">
        <v>1993</v>
      </c>
      <c r="C188" s="1234" t="s">
        <v>1416</v>
      </c>
      <c r="D188" s="109">
        <v>3.4803304860013173</v>
      </c>
      <c r="E188" s="109">
        <v>2.2600573604996836</v>
      </c>
      <c r="F188" s="109">
        <v>1.5978830236784318</v>
      </c>
      <c r="G188" s="109">
        <v>1.233841133012892</v>
      </c>
      <c r="H188" s="109">
        <v>1.3889379718164143</v>
      </c>
      <c r="I188" s="109">
        <v>3.927931894460301</v>
      </c>
      <c r="J188" s="109">
        <v>3.2612947121607987</v>
      </c>
      <c r="K188" s="110">
        <v>1.0834536881987762</v>
      </c>
    </row>
    <row r="189" spans="2:11" x14ac:dyDescent="0.3">
      <c r="B189" s="121"/>
      <c r="C189" s="1500" t="s">
        <v>1483</v>
      </c>
      <c r="D189" s="1499">
        <v>4.3671170770109979</v>
      </c>
      <c r="E189" s="1499">
        <v>3.2128910655483969</v>
      </c>
      <c r="F189" s="1499">
        <v>2.4976423781706107</v>
      </c>
      <c r="G189" s="1499">
        <v>2.1597255630669534</v>
      </c>
      <c r="H189" s="1499">
        <v>2.2951965441879656</v>
      </c>
      <c r="I189" s="1499">
        <v>4.8729929577189468</v>
      </c>
      <c r="J189" s="1499">
        <v>4.2118810924539085</v>
      </c>
      <c r="K189" s="113">
        <v>1.9903764089675142</v>
      </c>
    </row>
    <row r="190" spans="2:11" x14ac:dyDescent="0.3">
      <c r="B190" s="128"/>
      <c r="C190" s="1500" t="s">
        <v>1489</v>
      </c>
      <c r="D190" s="1499">
        <v>4.2908719187066922</v>
      </c>
      <c r="E190" s="1499">
        <v>3.1366459072440906</v>
      </c>
      <c r="F190" s="1499">
        <v>2.4213972198663045</v>
      </c>
      <c r="G190" s="1499">
        <v>2.0834804047626472</v>
      </c>
      <c r="H190" s="1499">
        <v>2.2189513858836594</v>
      </c>
      <c r="I190" s="1499">
        <v>4.796747799414641</v>
      </c>
      <c r="J190" s="1499">
        <v>4.1356359341496027</v>
      </c>
      <c r="K190" s="113">
        <v>1.9141312506632082</v>
      </c>
    </row>
    <row r="191" spans="2:11" x14ac:dyDescent="0.3">
      <c r="B191" s="122">
        <v>0</v>
      </c>
      <c r="C191" s="1500" t="s">
        <v>1496</v>
      </c>
      <c r="D191" s="1499">
        <v>4.176504181250233</v>
      </c>
      <c r="E191" s="1499">
        <v>3.0222781697876315</v>
      </c>
      <c r="F191" s="1499">
        <v>2.3070294824098454</v>
      </c>
      <c r="G191" s="1499">
        <v>1.9691126673061883</v>
      </c>
      <c r="H191" s="1499">
        <v>2.1045836484272002</v>
      </c>
      <c r="I191" s="1499">
        <v>4.6823800619581819</v>
      </c>
      <c r="J191" s="1499">
        <v>4.0212681966931436</v>
      </c>
      <c r="K191" s="113">
        <v>1.7997635132067491</v>
      </c>
    </row>
    <row r="192" spans="2:11" x14ac:dyDescent="0.3">
      <c r="B192" s="123"/>
      <c r="C192" s="1500" t="s">
        <v>1500</v>
      </c>
      <c r="D192" s="1499">
        <v>4.0621364437937739</v>
      </c>
      <c r="E192" s="1499">
        <v>2.9079104323311724</v>
      </c>
      <c r="F192" s="1499">
        <v>2.1926617449533863</v>
      </c>
      <c r="G192" s="1499">
        <v>1.8547449298497289</v>
      </c>
      <c r="H192" s="1499">
        <v>1.9902159109707411</v>
      </c>
      <c r="I192" s="1499">
        <v>4.5680123245017228</v>
      </c>
      <c r="J192" s="1499">
        <v>3.9069004592366841</v>
      </c>
      <c r="K192" s="113">
        <v>1.68539577575029</v>
      </c>
    </row>
    <row r="193" spans="2:11" x14ac:dyDescent="0.3">
      <c r="B193" s="123"/>
      <c r="C193" s="1500" t="s">
        <v>1504</v>
      </c>
      <c r="D193" s="1499">
        <v>4.1950844281853934</v>
      </c>
      <c r="E193" s="1499">
        <v>3.0282527289832748</v>
      </c>
      <c r="F193" s="1499">
        <v>2.319259322628707</v>
      </c>
      <c r="G193" s="1499">
        <v>1.9824832712834448</v>
      </c>
      <c r="H193" s="1499">
        <v>2.1157009800870283</v>
      </c>
      <c r="I193" s="1499">
        <v>4.691876778868437</v>
      </c>
      <c r="J193" s="1499">
        <v>4.0297412651476021</v>
      </c>
      <c r="K193" s="113">
        <v>1.8125033137846316</v>
      </c>
    </row>
    <row r="194" spans="2:11" x14ac:dyDescent="0.3">
      <c r="B194" s="123"/>
      <c r="C194" s="1500" t="s">
        <v>1508</v>
      </c>
      <c r="D194" s="1499">
        <v>4.1319554383176111</v>
      </c>
      <c r="E194" s="1499">
        <v>2.9651237391154921</v>
      </c>
      <c r="F194" s="1499">
        <v>2.2561303327609243</v>
      </c>
      <c r="G194" s="1499">
        <v>1.9193542814156623</v>
      </c>
      <c r="H194" s="1499">
        <v>2.0525719902192456</v>
      </c>
      <c r="I194" s="1499">
        <v>4.6287477890006548</v>
      </c>
      <c r="J194" s="1499">
        <v>3.9666122752798199</v>
      </c>
      <c r="K194" s="113">
        <v>1.7493743239168491</v>
      </c>
    </row>
    <row r="195" spans="2:11" x14ac:dyDescent="0.3">
      <c r="B195" s="123"/>
      <c r="C195" s="1500" t="s">
        <v>1513</v>
      </c>
      <c r="D195" s="1499">
        <v>4.0372619535159373</v>
      </c>
      <c r="E195" s="1499">
        <v>2.8704302543138183</v>
      </c>
      <c r="F195" s="1499">
        <v>2.1614368479592505</v>
      </c>
      <c r="G195" s="1499">
        <v>1.8246607966139885</v>
      </c>
      <c r="H195" s="1499">
        <v>1.9578785054175718</v>
      </c>
      <c r="I195" s="1499">
        <v>4.53405430419898</v>
      </c>
      <c r="J195" s="1499">
        <v>3.871918790478146</v>
      </c>
      <c r="K195" s="113">
        <v>1.6546808391151753</v>
      </c>
    </row>
    <row r="196" spans="2:11" x14ac:dyDescent="0.3">
      <c r="B196" s="123"/>
      <c r="C196" s="1500" t="s">
        <v>1517</v>
      </c>
      <c r="D196" s="1499">
        <v>3.942568468714263</v>
      </c>
      <c r="E196" s="1499">
        <v>2.7757367695121444</v>
      </c>
      <c r="F196" s="1499">
        <v>2.0667433631575767</v>
      </c>
      <c r="G196" s="1499">
        <v>1.7299673118123147</v>
      </c>
      <c r="H196" s="1499">
        <v>1.8631850206158982</v>
      </c>
      <c r="I196" s="1499">
        <v>4.4393608193973062</v>
      </c>
      <c r="J196" s="1499">
        <v>3.7772253056764722</v>
      </c>
      <c r="K196" s="113">
        <v>1.5599873543135014</v>
      </c>
    </row>
    <row r="197" spans="2:11" ht="14.5" thickBot="1" x14ac:dyDescent="0.35">
      <c r="B197" s="124"/>
      <c r="C197" s="125" t="s">
        <v>1519</v>
      </c>
      <c r="D197" s="117">
        <v>4.3671170770109979</v>
      </c>
      <c r="E197" s="117">
        <v>3.2128910655483969</v>
      </c>
      <c r="F197" s="117">
        <v>2.4976423781706107</v>
      </c>
      <c r="G197" s="117">
        <v>2.1597255630669534</v>
      </c>
      <c r="H197" s="117">
        <v>2.2951965441879656</v>
      </c>
      <c r="I197" s="117">
        <v>4.8729929577189468</v>
      </c>
      <c r="J197" s="117">
        <v>4.2118810924539085</v>
      </c>
      <c r="K197" s="118">
        <v>1.9903764089675142</v>
      </c>
    </row>
    <row r="198" spans="2:11" x14ac:dyDescent="0.3">
      <c r="B198" s="119" t="s">
        <v>1994</v>
      </c>
      <c r="C198" s="108" t="s">
        <v>1416</v>
      </c>
      <c r="D198" s="109">
        <v>3.9716503093120208</v>
      </c>
      <c r="E198" s="109">
        <v>2.7889606411588956</v>
      </c>
      <c r="F198" s="109">
        <v>2.0449803782172804</v>
      </c>
      <c r="G198" s="109">
        <v>1.7006109985884048</v>
      </c>
      <c r="H198" s="109">
        <v>1.8520986476411967</v>
      </c>
      <c r="I198" s="109">
        <v>4.497909469536995</v>
      </c>
      <c r="J198" s="109">
        <v>3.8193060765594065</v>
      </c>
      <c r="K198" s="110">
        <v>1.516908179315491</v>
      </c>
    </row>
    <row r="199" spans="2:11" x14ac:dyDescent="0.3">
      <c r="B199" s="111"/>
      <c r="C199" s="112" t="s">
        <v>1483</v>
      </c>
      <c r="D199" s="1499">
        <v>4.864146815258259</v>
      </c>
      <c r="E199" s="1499">
        <v>3.7389297137228481</v>
      </c>
      <c r="F199" s="1499">
        <v>2.9724919237984233</v>
      </c>
      <c r="G199" s="1499">
        <v>2.6528577289835464</v>
      </c>
      <c r="H199" s="1499">
        <v>2.7690792386841312</v>
      </c>
      <c r="I199" s="1499">
        <v>5.43504449331712</v>
      </c>
      <c r="J199" s="1499">
        <v>4.76478951667705</v>
      </c>
      <c r="K199" s="113">
        <v>2.4693485097427716</v>
      </c>
    </row>
    <row r="200" spans="2:11" x14ac:dyDescent="0.3">
      <c r="B200" s="111"/>
      <c r="C200" s="112" t="s">
        <v>1489</v>
      </c>
      <c r="D200" s="1499">
        <v>4.7879016569539532</v>
      </c>
      <c r="E200" s="1499">
        <v>3.6626845554185419</v>
      </c>
      <c r="F200" s="1499">
        <v>2.8962467654941171</v>
      </c>
      <c r="G200" s="1499">
        <v>2.5766125706792402</v>
      </c>
      <c r="H200" s="1499">
        <v>2.692834080379825</v>
      </c>
      <c r="I200" s="1499">
        <v>5.3587993350128134</v>
      </c>
      <c r="J200" s="1499">
        <v>4.6885443583727442</v>
      </c>
      <c r="K200" s="113">
        <v>2.3931033514384654</v>
      </c>
    </row>
    <row r="201" spans="2:11" x14ac:dyDescent="0.3">
      <c r="B201" s="114">
        <v>0</v>
      </c>
      <c r="C201" s="112" t="s">
        <v>1496</v>
      </c>
      <c r="D201" s="1499">
        <v>4.6735339194974941</v>
      </c>
      <c r="E201" s="1499">
        <v>3.5483168179620828</v>
      </c>
      <c r="F201" s="1499">
        <v>2.781879028037658</v>
      </c>
      <c r="G201" s="1499">
        <v>2.4622448332227811</v>
      </c>
      <c r="H201" s="1499">
        <v>2.5784663429233659</v>
      </c>
      <c r="I201" s="1499">
        <v>5.2444315975563542</v>
      </c>
      <c r="J201" s="1499">
        <v>4.5741766209162851</v>
      </c>
      <c r="K201" s="113">
        <v>2.2787356139820063</v>
      </c>
    </row>
    <row r="202" spans="2:11" x14ac:dyDescent="0.3">
      <c r="B202" s="115"/>
      <c r="C202" s="112" t="s">
        <v>1500</v>
      </c>
      <c r="D202" s="1499">
        <v>4.559166182041035</v>
      </c>
      <c r="E202" s="1499">
        <v>3.4339490805056236</v>
      </c>
      <c r="F202" s="1499">
        <v>2.6675112905811988</v>
      </c>
      <c r="G202" s="1499">
        <v>2.347877095766322</v>
      </c>
      <c r="H202" s="1499">
        <v>2.4640986054669067</v>
      </c>
      <c r="I202" s="1499">
        <v>5.1300638600998951</v>
      </c>
      <c r="J202" s="1499">
        <v>4.459808883459826</v>
      </c>
      <c r="K202" s="113">
        <v>2.1643678765255472</v>
      </c>
    </row>
    <row r="203" spans="2:11" x14ac:dyDescent="0.3">
      <c r="B203" s="115"/>
      <c r="C203" s="112" t="s">
        <v>1504</v>
      </c>
      <c r="D203" s="1499">
        <v>4.6936921039188491</v>
      </c>
      <c r="E203" s="1499">
        <v>3.5549358622089149</v>
      </c>
      <c r="F203" s="1499">
        <v>2.790300826167512</v>
      </c>
      <c r="G203" s="1499">
        <v>2.4688620939770889</v>
      </c>
      <c r="H203" s="1499">
        <v>2.5925142831330481</v>
      </c>
      <c r="I203" s="1499">
        <v>5.2553920266567422</v>
      </c>
      <c r="J203" s="1499">
        <v>4.5837407734581213</v>
      </c>
      <c r="K203" s="113">
        <v>2.2831195393868735</v>
      </c>
    </row>
    <row r="204" spans="2:11" x14ac:dyDescent="0.3">
      <c r="B204" s="115"/>
      <c r="C204" s="112" t="s">
        <v>1508</v>
      </c>
      <c r="D204" s="1499">
        <v>4.6305631140510668</v>
      </c>
      <c r="E204" s="1499">
        <v>3.4918068723411322</v>
      </c>
      <c r="F204" s="1499">
        <v>2.7271718362997293</v>
      </c>
      <c r="G204" s="1499">
        <v>2.4057331041093066</v>
      </c>
      <c r="H204" s="1499">
        <v>2.5293852932652658</v>
      </c>
      <c r="I204" s="1499">
        <v>5.1922630367889591</v>
      </c>
      <c r="J204" s="1499">
        <v>4.520611783590339</v>
      </c>
      <c r="K204" s="113">
        <v>2.2199905495190912</v>
      </c>
    </row>
    <row r="205" spans="2:11" x14ac:dyDescent="0.3">
      <c r="B205" s="115"/>
      <c r="C205" s="112" t="s">
        <v>1513</v>
      </c>
      <c r="D205" s="1499">
        <v>4.535869629249393</v>
      </c>
      <c r="E205" s="1499">
        <v>3.3971133875394584</v>
      </c>
      <c r="F205" s="1499">
        <v>2.6324783514980554</v>
      </c>
      <c r="G205" s="1499">
        <v>2.3110396193076328</v>
      </c>
      <c r="H205" s="1499">
        <v>2.4346918084635916</v>
      </c>
      <c r="I205" s="1499">
        <v>5.0975695519872852</v>
      </c>
      <c r="J205" s="1499">
        <v>4.4259182987886652</v>
      </c>
      <c r="K205" s="113">
        <v>2.1252970647174174</v>
      </c>
    </row>
    <row r="206" spans="2:11" x14ac:dyDescent="0.3">
      <c r="B206" s="115"/>
      <c r="C206" s="112" t="s">
        <v>1517</v>
      </c>
      <c r="D206" s="1499">
        <v>4.4411761444477191</v>
      </c>
      <c r="E206" s="1499">
        <v>3.3024199027377845</v>
      </c>
      <c r="F206" s="1499">
        <v>2.5377848666963816</v>
      </c>
      <c r="G206" s="1499">
        <v>2.216346134505959</v>
      </c>
      <c r="H206" s="1499">
        <v>2.3399983236619182</v>
      </c>
      <c r="I206" s="1499">
        <v>5.0028760671856114</v>
      </c>
      <c r="J206" s="1499">
        <v>4.3312248139869904</v>
      </c>
      <c r="K206" s="113">
        <v>2.0306035799157436</v>
      </c>
    </row>
    <row r="207" spans="2:11" ht="14.5" thickBot="1" x14ac:dyDescent="0.35">
      <c r="B207" s="1233"/>
      <c r="C207" s="116" t="s">
        <v>1519</v>
      </c>
      <c r="D207" s="117">
        <v>4.864146815258259</v>
      </c>
      <c r="E207" s="117">
        <v>3.7389297137228481</v>
      </c>
      <c r="F207" s="117">
        <v>2.9724919237984233</v>
      </c>
      <c r="G207" s="117">
        <v>2.6528577289835464</v>
      </c>
      <c r="H207" s="117">
        <v>2.7690792386841312</v>
      </c>
      <c r="I207" s="117">
        <v>5.43504449331712</v>
      </c>
      <c r="J207" s="117">
        <v>4.76478951667705</v>
      </c>
      <c r="K207" s="118">
        <v>2.4693485097427716</v>
      </c>
    </row>
    <row r="208" spans="2:11" x14ac:dyDescent="0.3">
      <c r="B208" s="120" t="s">
        <v>1519</v>
      </c>
      <c r="C208" s="108" t="s">
        <v>1416</v>
      </c>
      <c r="D208" s="129">
        <v>3.2964134196635215</v>
      </c>
      <c r="E208" s="109">
        <v>2.0335427612231896</v>
      </c>
      <c r="F208" s="109">
        <v>1.4514983117764708</v>
      </c>
      <c r="G208" s="109">
        <v>1.1028217370194386</v>
      </c>
      <c r="H208" s="109">
        <v>1.2778294950861584</v>
      </c>
      <c r="I208" s="109">
        <v>3.6226937586593544</v>
      </c>
      <c r="J208" s="109">
        <v>2.9844299840445445</v>
      </c>
      <c r="K208" s="110">
        <v>0.96209324767378801</v>
      </c>
    </row>
    <row r="209" spans="2:11" x14ac:dyDescent="0.3">
      <c r="B209" s="111"/>
      <c r="C209" s="112" t="s">
        <v>1483</v>
      </c>
      <c r="D209" s="130">
        <v>3.9565945773459177</v>
      </c>
      <c r="E209" s="1499">
        <v>2.7405042432938291</v>
      </c>
      <c r="F209" s="1499">
        <v>2.1091331609749591</v>
      </c>
      <c r="G209" s="1499">
        <v>1.7605426628718137</v>
      </c>
      <c r="H209" s="1499">
        <v>1.9218698710362263</v>
      </c>
      <c r="I209" s="1499">
        <v>4.3359279496165852</v>
      </c>
      <c r="J209" s="1499">
        <v>3.6959273316718857</v>
      </c>
      <c r="K209" s="113">
        <v>1.5984848069106972</v>
      </c>
    </row>
    <row r="210" spans="2:11" x14ac:dyDescent="0.3">
      <c r="B210" s="111"/>
      <c r="C210" s="112" t="s">
        <v>1489</v>
      </c>
      <c r="D210" s="130">
        <v>3.8803494190416115</v>
      </c>
      <c r="E210" s="1499">
        <v>2.6642590849895234</v>
      </c>
      <c r="F210" s="1499">
        <v>2.0328880026706528</v>
      </c>
      <c r="G210" s="1499">
        <v>1.6842975045675079</v>
      </c>
      <c r="H210" s="1499">
        <v>1.8456247127319203</v>
      </c>
      <c r="I210" s="1499">
        <v>4.2596827913122794</v>
      </c>
      <c r="J210" s="1499">
        <v>3.6196821733675795</v>
      </c>
      <c r="K210" s="113">
        <v>1.5222396486063909</v>
      </c>
    </row>
    <row r="211" spans="2:11" x14ac:dyDescent="0.3">
      <c r="B211" s="114">
        <v>0</v>
      </c>
      <c r="C211" s="112" t="s">
        <v>1496</v>
      </c>
      <c r="D211" s="130">
        <v>3.7659816815851523</v>
      </c>
      <c r="E211" s="1499">
        <v>2.5498913475330638</v>
      </c>
      <c r="F211" s="1499">
        <v>1.9185202652141937</v>
      </c>
      <c r="G211" s="1499">
        <v>1.5699297671110486</v>
      </c>
      <c r="H211" s="1499">
        <v>1.7312569752754612</v>
      </c>
      <c r="I211" s="1499">
        <v>4.1453150538558203</v>
      </c>
      <c r="J211" s="1499">
        <v>3.5053144359111204</v>
      </c>
      <c r="K211" s="113">
        <v>1.4078719111499318</v>
      </c>
    </row>
    <row r="212" spans="2:11" x14ac:dyDescent="0.3">
      <c r="B212" s="115"/>
      <c r="C212" s="112" t="s">
        <v>1500</v>
      </c>
      <c r="D212" s="130">
        <v>3.6516139441286932</v>
      </c>
      <c r="E212" s="1499">
        <v>2.4355236100766047</v>
      </c>
      <c r="F212" s="1499">
        <v>1.8041525277577346</v>
      </c>
      <c r="G212" s="1499">
        <v>1.4555620296545895</v>
      </c>
      <c r="H212" s="1499">
        <v>1.6168892378190021</v>
      </c>
      <c r="I212" s="1499">
        <v>4.0309473163993603</v>
      </c>
      <c r="J212" s="1499">
        <v>3.3909466984546612</v>
      </c>
      <c r="K212" s="113">
        <v>1.2935041736934727</v>
      </c>
    </row>
    <row r="213" spans="2:11" x14ac:dyDescent="0.3">
      <c r="B213" s="115"/>
      <c r="C213" s="112" t="s">
        <v>1504</v>
      </c>
      <c r="D213" s="130">
        <v>3.8218622409424543</v>
      </c>
      <c r="E213" s="1499">
        <v>2.5968428575073048</v>
      </c>
      <c r="F213" s="1499">
        <v>1.978705906116164</v>
      </c>
      <c r="G213" s="1499">
        <v>1.6171849778448728</v>
      </c>
      <c r="H213" s="1499">
        <v>1.7869397468876198</v>
      </c>
      <c r="I213" s="1499">
        <v>4.1924556750187758</v>
      </c>
      <c r="J213" s="1499">
        <v>3.5527706360176841</v>
      </c>
      <c r="K213" s="113">
        <v>1.4638932184876217</v>
      </c>
    </row>
    <row r="214" spans="2:11" x14ac:dyDescent="0.3">
      <c r="B214" s="115"/>
      <c r="C214" s="112" t="s">
        <v>1508</v>
      </c>
      <c r="D214" s="130">
        <v>3.7587332510746716</v>
      </c>
      <c r="E214" s="1499">
        <v>2.5337138676395226</v>
      </c>
      <c r="F214" s="1499">
        <v>1.9155769162483816</v>
      </c>
      <c r="G214" s="1499">
        <v>1.5540559879770903</v>
      </c>
      <c r="H214" s="1499">
        <v>1.7238107570198373</v>
      </c>
      <c r="I214" s="1499">
        <v>4.1293266851509935</v>
      </c>
      <c r="J214" s="1499">
        <v>3.4896416461499018</v>
      </c>
      <c r="K214" s="113">
        <v>1.4007642286198394</v>
      </c>
    </row>
    <row r="215" spans="2:11" x14ac:dyDescent="0.3">
      <c r="B215" s="115"/>
      <c r="C215" s="112" t="s">
        <v>1513</v>
      </c>
      <c r="D215" s="130">
        <v>3.6640397662729978</v>
      </c>
      <c r="E215" s="1499">
        <v>2.4390203828378487</v>
      </c>
      <c r="F215" s="1499">
        <v>1.8208834314467075</v>
      </c>
      <c r="G215" s="1499">
        <v>1.4593625031754163</v>
      </c>
      <c r="H215" s="1499">
        <v>1.6291172722181633</v>
      </c>
      <c r="I215" s="1499">
        <v>4.0346332003493197</v>
      </c>
      <c r="J215" s="1499">
        <v>3.394948161348228</v>
      </c>
      <c r="K215" s="113">
        <v>1.3060707438181653</v>
      </c>
    </row>
    <row r="216" spans="2:11" x14ac:dyDescent="0.3">
      <c r="B216" s="115"/>
      <c r="C216" s="112" t="s">
        <v>1517</v>
      </c>
      <c r="D216" s="130">
        <v>3.5693462814713239</v>
      </c>
      <c r="E216" s="1499">
        <v>2.3443268980361749</v>
      </c>
      <c r="F216" s="1499">
        <v>1.7261899466450339</v>
      </c>
      <c r="G216" s="1499">
        <v>1.3646690183737424</v>
      </c>
      <c r="H216" s="1499">
        <v>1.5344237874164897</v>
      </c>
      <c r="I216" s="1499">
        <v>3.9399397155476459</v>
      </c>
      <c r="J216" s="1499">
        <v>3.3002546765465537</v>
      </c>
      <c r="K216" s="113">
        <v>1.2113772590164915</v>
      </c>
    </row>
    <row r="217" spans="2:11" ht="14.5" thickBot="1" x14ac:dyDescent="0.35">
      <c r="B217" s="1233"/>
      <c r="C217" s="116" t="s">
        <v>1519</v>
      </c>
      <c r="D217" s="131">
        <v>3.9565945773459177</v>
      </c>
      <c r="E217" s="117">
        <v>2.7405042432938291</v>
      </c>
      <c r="F217" s="117">
        <v>2.1091331609749591</v>
      </c>
      <c r="G217" s="117">
        <v>1.7605426628718137</v>
      </c>
      <c r="H217" s="117">
        <v>1.9218698710362263</v>
      </c>
      <c r="I217" s="117">
        <v>4.3359279496165852</v>
      </c>
      <c r="J217" s="117">
        <v>3.6959273316718857</v>
      </c>
      <c r="K217" s="118">
        <v>1.5984848069106972</v>
      </c>
    </row>
    <row r="221" spans="2:11" ht="14.5" thickBot="1" x14ac:dyDescent="0.35"/>
    <row r="222" spans="2:11" x14ac:dyDescent="0.3">
      <c r="C222" s="132" t="s">
        <v>1995</v>
      </c>
      <c r="D222" s="132"/>
      <c r="E222" s="132"/>
      <c r="F222" s="132"/>
    </row>
    <row r="223" spans="2:11" x14ac:dyDescent="0.3">
      <c r="C223" s="1504" t="s">
        <v>1996</v>
      </c>
      <c r="D223" s="1504" t="s">
        <v>1997</v>
      </c>
      <c r="E223" s="1504" t="s">
        <v>1998</v>
      </c>
      <c r="F223" s="1504" t="s">
        <v>1999</v>
      </c>
    </row>
    <row r="224" spans="2:11" x14ac:dyDescent="0.3">
      <c r="C224" s="1498">
        <v>1</v>
      </c>
      <c r="D224" s="1505">
        <v>362.27578292366707</v>
      </c>
      <c r="E224" s="1506">
        <v>6.6747694705827518E-2</v>
      </c>
      <c r="F224" s="1507">
        <v>2.6699077882331008</v>
      </c>
      <c r="H224" s="134" t="s">
        <v>2000</v>
      </c>
    </row>
    <row r="225" spans="2:11" x14ac:dyDescent="0.3">
      <c r="C225" s="1498">
        <v>1.5</v>
      </c>
      <c r="D225" s="1505">
        <v>305.90197403909201</v>
      </c>
      <c r="E225" s="1506">
        <v>5.636107224250618E-2</v>
      </c>
      <c r="F225" s="1507">
        <v>2.2544428897002473</v>
      </c>
      <c r="H225" s="134" t="s">
        <v>2001</v>
      </c>
    </row>
    <row r="226" spans="2:11" x14ac:dyDescent="0.3">
      <c r="C226" s="1498">
        <v>2</v>
      </c>
      <c r="D226" s="1505">
        <v>265.90412009899705</v>
      </c>
      <c r="E226" s="1506">
        <v>4.8991646325775032E-2</v>
      </c>
      <c r="F226" s="1507">
        <v>1.9596658530310014</v>
      </c>
    </row>
    <row r="227" spans="2:11" x14ac:dyDescent="0.3">
      <c r="C227" s="1498">
        <v>2.5</v>
      </c>
      <c r="D227" s="1505">
        <v>234.87937428472378</v>
      </c>
      <c r="E227" s="1506">
        <v>4.3275475498056895E-2</v>
      </c>
      <c r="F227" s="1507">
        <v>1.7310190199222761</v>
      </c>
    </row>
    <row r="228" spans="2:11" x14ac:dyDescent="0.3">
      <c r="B228" s="2"/>
      <c r="C228" s="1498">
        <v>3</v>
      </c>
      <c r="D228" s="1505">
        <v>209.53031121442194</v>
      </c>
      <c r="E228" s="1506">
        <v>3.8605023862453694E-2</v>
      </c>
      <c r="F228" s="1507">
        <v>1.5442009544981476</v>
      </c>
      <c r="I228" s="135"/>
      <c r="J228" s="135"/>
      <c r="K228" s="135"/>
    </row>
    <row r="229" spans="2:11" x14ac:dyDescent="0.3">
      <c r="B229" s="136"/>
      <c r="C229" s="1498">
        <v>3.5</v>
      </c>
      <c r="D229" s="1505">
        <v>188.09798377062384</v>
      </c>
      <c r="E229" s="1506">
        <v>3.4656213269846713E-2</v>
      </c>
      <c r="F229" s="1507">
        <v>1.3862485307938686</v>
      </c>
      <c r="I229" s="135"/>
      <c r="J229" s="135"/>
      <c r="K229" s="135"/>
    </row>
    <row r="230" spans="2:11" x14ac:dyDescent="0.3">
      <c r="B230" s="136"/>
      <c r="C230" s="1498">
        <v>4</v>
      </c>
      <c r="D230" s="1505">
        <v>169.53245727432699</v>
      </c>
      <c r="E230" s="1506">
        <v>3.1235597945722553E-2</v>
      </c>
      <c r="F230" s="1507">
        <v>1.2494239178289019</v>
      </c>
      <c r="I230" s="135"/>
      <c r="J230" s="135"/>
      <c r="K230" s="135"/>
    </row>
    <row r="231" spans="2:11" x14ac:dyDescent="0.3">
      <c r="B231" s="137"/>
      <c r="C231" s="1498">
        <v>4.5</v>
      </c>
      <c r="D231" s="1505">
        <v>153.15650232984686</v>
      </c>
      <c r="E231" s="1506">
        <v>2.821840139913236E-2</v>
      </c>
      <c r="F231" s="1507">
        <v>1.1287360559652946</v>
      </c>
      <c r="I231" s="135"/>
      <c r="J231" s="135"/>
      <c r="K231" s="135"/>
    </row>
    <row r="232" spans="2:11" x14ac:dyDescent="0.3">
      <c r="C232" s="1498">
        <v>5</v>
      </c>
      <c r="D232" s="1505">
        <v>138.50771146005371</v>
      </c>
      <c r="E232" s="1506">
        <v>2.5519427118004416E-2</v>
      </c>
      <c r="F232" s="1507">
        <v>1.0207770847201767</v>
      </c>
      <c r="I232" s="135"/>
      <c r="J232" s="135"/>
      <c r="K232" s="135"/>
    </row>
    <row r="233" spans="2:11" x14ac:dyDescent="0.3">
      <c r="C233" s="1498">
        <v>5.5</v>
      </c>
      <c r="D233" s="1505">
        <v>125.25626823202096</v>
      </c>
      <c r="E233" s="1506">
        <v>2.3077907897872875E-2</v>
      </c>
      <c r="F233" s="1507">
        <v>0.92311631591491505</v>
      </c>
      <c r="I233" s="135"/>
      <c r="J233" s="135"/>
      <c r="K233" s="135"/>
    </row>
    <row r="234" spans="2:11" x14ac:dyDescent="0.3">
      <c r="C234" s="1498">
        <v>6</v>
      </c>
      <c r="D234" s="1505">
        <v>113.15864838975192</v>
      </c>
      <c r="E234" s="1506">
        <v>2.0848975482401215E-2</v>
      </c>
      <c r="F234" s="1507">
        <v>0.83395901929604865</v>
      </c>
      <c r="I234" s="135"/>
      <c r="J234" s="135"/>
      <c r="K234" s="135"/>
    </row>
    <row r="235" spans="2:11" x14ac:dyDescent="0.3">
      <c r="C235" s="1498">
        <v>6.5</v>
      </c>
      <c r="D235" s="1505">
        <v>102.02991692862673</v>
      </c>
      <c r="E235" s="1506">
        <v>1.8798556423098998E-2</v>
      </c>
      <c r="F235" s="1507">
        <v>0.75194225692395977</v>
      </c>
      <c r="I235" s="135"/>
      <c r="J235" s="135"/>
      <c r="K235" s="135"/>
    </row>
    <row r="236" spans="2:11" x14ac:dyDescent="0.3">
      <c r="C236" s="1498">
        <v>7</v>
      </c>
      <c r="D236" s="1505">
        <v>91.726320945953802</v>
      </c>
      <c r="E236" s="1506">
        <v>1.6900164889794234E-2</v>
      </c>
      <c r="F236" s="1507">
        <v>0.67600659559176934</v>
      </c>
      <c r="I236" s="135"/>
      <c r="J236" s="135"/>
      <c r="K236" s="135"/>
    </row>
    <row r="237" spans="2:11" x14ac:dyDescent="0.3">
      <c r="C237" s="1498">
        <v>7.5</v>
      </c>
      <c r="D237" s="1505">
        <v>82.133902575478615</v>
      </c>
      <c r="E237" s="1506">
        <v>1.5132804654683082E-2</v>
      </c>
      <c r="F237" s="1507">
        <v>0.60531218618732319</v>
      </c>
      <c r="I237" s="135"/>
      <c r="J237" s="135"/>
      <c r="K237" s="135"/>
    </row>
    <row r="238" spans="2:11" x14ac:dyDescent="0.3">
      <c r="B238" s="2"/>
      <c r="C238" s="1498">
        <v>8</v>
      </c>
      <c r="D238" s="1505">
        <v>73.160794449656933</v>
      </c>
      <c r="E238" s="1506">
        <v>1.347954956567007E-2</v>
      </c>
      <c r="F238" s="1507">
        <v>0.53918198262680272</v>
      </c>
      <c r="I238" s="135"/>
      <c r="J238" s="135"/>
      <c r="K238" s="135"/>
    </row>
    <row r="239" spans="2:11" x14ac:dyDescent="0.3">
      <c r="B239" s="136"/>
      <c r="C239" s="1498">
        <v>8.5</v>
      </c>
      <c r="D239" s="1505">
        <v>64.731855002991551</v>
      </c>
      <c r="E239" s="1506">
        <v>1.1926555124972187E-2</v>
      </c>
      <c r="F239" s="1507">
        <v>0.47706220499888752</v>
      </c>
      <c r="I239" s="135"/>
      <c r="J239" s="135"/>
      <c r="K239" s="135"/>
    </row>
    <row r="240" spans="2:11" x14ac:dyDescent="0.3">
      <c r="B240" s="136"/>
      <c r="C240" s="1498">
        <v>9</v>
      </c>
      <c r="D240" s="1505">
        <v>56.784839505176798</v>
      </c>
      <c r="E240" s="1506">
        <v>1.0462353019079877E-2</v>
      </c>
      <c r="F240" s="1507">
        <v>0.41849412076319503</v>
      </c>
      <c r="I240" s="135"/>
      <c r="J240" s="135"/>
      <c r="K240" s="135"/>
    </row>
    <row r="241" spans="2:11" x14ac:dyDescent="0.3">
      <c r="B241" s="137"/>
      <c r="C241" s="1498">
        <v>9.5</v>
      </c>
      <c r="D241" s="1505">
        <v>49.267607719112824</v>
      </c>
      <c r="E241" s="1506">
        <v>9.0773366422196456E-3</v>
      </c>
      <c r="F241" s="1507">
        <v>0.36309346568878587</v>
      </c>
      <c r="I241" s="135"/>
      <c r="J241" s="135"/>
      <c r="K241" s="135"/>
    </row>
    <row r="242" spans="2:11" x14ac:dyDescent="0.3">
      <c r="C242" s="1498">
        <v>10</v>
      </c>
      <c r="D242" s="1505">
        <v>42.136048635383602</v>
      </c>
      <c r="E242" s="1506">
        <v>7.7633787379519266E-3</v>
      </c>
      <c r="F242" s="1507">
        <v>0.31053514951807704</v>
      </c>
      <c r="I242" s="135"/>
      <c r="J242" s="135"/>
      <c r="K242" s="135"/>
    </row>
    <row r="243" spans="2:11" x14ac:dyDescent="0.3">
      <c r="I243" s="135"/>
      <c r="J243" s="135"/>
      <c r="K243" s="135"/>
    </row>
    <row r="244" spans="2:11" ht="14.5" thickBot="1" x14ac:dyDescent="0.35">
      <c r="I244" s="135"/>
      <c r="J244" s="135"/>
      <c r="K244" s="135"/>
    </row>
    <row r="245" spans="2:11" x14ac:dyDescent="0.3">
      <c r="C245" s="132" t="s">
        <v>2002</v>
      </c>
      <c r="D245" s="132"/>
      <c r="E245" s="132"/>
      <c r="F245" s="132"/>
      <c r="H245" s="134" t="s">
        <v>2003</v>
      </c>
      <c r="I245" s="135"/>
      <c r="J245" s="135"/>
      <c r="K245" s="135"/>
    </row>
    <row r="246" spans="2:11" x14ac:dyDescent="0.3">
      <c r="C246" s="1508" t="s">
        <v>1996</v>
      </c>
      <c r="D246" s="1508" t="s">
        <v>2004</v>
      </c>
      <c r="E246" s="1508" t="s">
        <v>2005</v>
      </c>
      <c r="F246" s="1508" t="s">
        <v>2006</v>
      </c>
      <c r="H246" s="134" t="s">
        <v>2007</v>
      </c>
      <c r="I246" s="135"/>
      <c r="J246" s="135"/>
      <c r="K246" s="135"/>
    </row>
    <row r="247" spans="2:11" x14ac:dyDescent="0.3">
      <c r="C247" s="1498" t="s">
        <v>376</v>
      </c>
      <c r="D247" s="1509">
        <v>430.56774587553866</v>
      </c>
      <c r="E247" s="1510">
        <v>7.933018381726134E-2</v>
      </c>
      <c r="F247" s="1511">
        <v>3.1732073526904534</v>
      </c>
      <c r="I247" s="135"/>
      <c r="J247" s="135"/>
      <c r="K247" s="135"/>
    </row>
    <row r="248" spans="2:11" x14ac:dyDescent="0.3">
      <c r="B248" s="2"/>
      <c r="D248" s="135"/>
      <c r="E248" s="135"/>
      <c r="F248" s="135"/>
      <c r="G248" s="135"/>
      <c r="H248" s="135"/>
      <c r="I248" s="135"/>
      <c r="J248" s="135"/>
      <c r="K248" s="135"/>
    </row>
    <row r="249" spans="2:11" x14ac:dyDescent="0.3">
      <c r="B249" s="136"/>
      <c r="D249" s="135"/>
      <c r="E249" s="135"/>
      <c r="F249" s="135"/>
      <c r="G249" s="135"/>
      <c r="H249" s="135"/>
      <c r="I249" s="135"/>
      <c r="J249" s="135"/>
      <c r="K249" s="135"/>
    </row>
    <row r="250" spans="2:11" x14ac:dyDescent="0.3">
      <c r="B250" s="136"/>
      <c r="D250" s="135"/>
      <c r="E250" s="135"/>
      <c r="F250" s="135"/>
      <c r="G250" s="135"/>
      <c r="H250" s="135"/>
      <c r="I250" s="135"/>
      <c r="J250" s="135"/>
      <c r="K250" s="135"/>
    </row>
    <row r="251" spans="2:11" x14ac:dyDescent="0.3">
      <c r="B251" s="137"/>
      <c r="D251" s="135"/>
      <c r="E251" s="135"/>
      <c r="F251" s="135"/>
      <c r="G251" s="135"/>
      <c r="H251" s="135"/>
      <c r="I251" s="135"/>
      <c r="J251" s="135"/>
      <c r="K251" s="135"/>
    </row>
    <row r="252" spans="2:11" x14ac:dyDescent="0.3">
      <c r="D252" s="135"/>
      <c r="E252" s="135"/>
      <c r="F252" s="135"/>
      <c r="G252" s="135"/>
      <c r="H252" s="135"/>
      <c r="I252" s="135"/>
      <c r="J252" s="135"/>
      <c r="K252" s="135"/>
    </row>
    <row r="253" spans="2:11" x14ac:dyDescent="0.3">
      <c r="D253" s="135"/>
      <c r="E253" s="135"/>
      <c r="F253" s="135"/>
      <c r="G253" s="135"/>
      <c r="H253" s="135"/>
      <c r="I253" s="135"/>
      <c r="J253" s="135"/>
      <c r="K253" s="135"/>
    </row>
    <row r="254" spans="2:11" x14ac:dyDescent="0.3">
      <c r="D254" s="135"/>
      <c r="E254" s="135"/>
      <c r="F254" s="135"/>
      <c r="G254" s="135"/>
      <c r="H254" s="135"/>
      <c r="I254" s="135"/>
      <c r="J254" s="135"/>
      <c r="K254" s="135"/>
    </row>
    <row r="255" spans="2:11" x14ac:dyDescent="0.3">
      <c r="D255" s="135"/>
      <c r="E255" s="135"/>
      <c r="F255" s="135"/>
      <c r="G255" s="135"/>
      <c r="H255" s="135"/>
      <c r="I255" s="135"/>
      <c r="J255" s="135"/>
      <c r="K255" s="135"/>
    </row>
    <row r="256" spans="2:11" x14ac:dyDescent="0.3">
      <c r="D256" s="135"/>
      <c r="E256" s="135"/>
      <c r="F256" s="135"/>
      <c r="G256" s="135"/>
      <c r="H256" s="135"/>
      <c r="I256" s="135"/>
      <c r="J256" s="135"/>
      <c r="K256" s="135"/>
    </row>
    <row r="257" spans="4:11" x14ac:dyDescent="0.3">
      <c r="D257" s="135"/>
      <c r="E257" s="135"/>
      <c r="F257" s="135"/>
      <c r="G257" s="135"/>
      <c r="H257" s="135"/>
      <c r="I257" s="135"/>
      <c r="J257" s="135"/>
      <c r="K257" s="135"/>
    </row>
  </sheetData>
  <sheetProtection algorithmName="SHA-512" hashValue="k29/nL8FCsK2Yb2Km8ktL2htjKofUG7UWBRGqTUFj3SQoa3IaXe86LTXxpBzwSwVngEgSWFLJWaW5CvdEZ3qLA==" saltValue="m1kShFkx2MJ5LzK92/ZX3w==" spinCount="100000" sheet="1" objects="1" scenarios="1" autoFilter="0"/>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2"/>
  <dimension ref="B1:K257"/>
  <sheetViews>
    <sheetView topLeftCell="A202" workbookViewId="0">
      <selection activeCell="G9" sqref="G9"/>
    </sheetView>
  </sheetViews>
  <sheetFormatPr defaultColWidth="7.58203125" defaultRowHeight="14" x14ac:dyDescent="0.3"/>
  <sheetData>
    <row r="1" spans="2:11" ht="14.5" thickBot="1" x14ac:dyDescent="0.35"/>
    <row r="2" spans="2:11" ht="25.5" thickBot="1" x14ac:dyDescent="0.55000000000000004">
      <c r="B2" s="88" t="s">
        <v>1960</v>
      </c>
      <c r="C2" s="89"/>
      <c r="D2" s="90">
        <v>6</v>
      </c>
      <c r="E2" s="91" t="s">
        <v>1961</v>
      </c>
      <c r="F2" s="92"/>
      <c r="G2" s="92"/>
      <c r="H2" s="92"/>
      <c r="I2" s="93"/>
      <c r="J2" s="89" t="s">
        <v>176</v>
      </c>
      <c r="K2" s="94" t="s">
        <v>214</v>
      </c>
    </row>
    <row r="3" spans="2:11" ht="14.5" thickBot="1" x14ac:dyDescent="0.35">
      <c r="B3" s="95" t="s">
        <v>1962</v>
      </c>
      <c r="C3" s="96" t="s">
        <v>1963</v>
      </c>
      <c r="D3" s="95" t="s">
        <v>1964</v>
      </c>
      <c r="E3" s="97" t="s">
        <v>1965</v>
      </c>
      <c r="F3" s="97" t="s">
        <v>1966</v>
      </c>
      <c r="G3" s="97" t="s">
        <v>1967</v>
      </c>
      <c r="H3" s="97" t="s">
        <v>1968</v>
      </c>
      <c r="I3" s="97" t="s">
        <v>1969</v>
      </c>
      <c r="J3" s="97" t="s">
        <v>1970</v>
      </c>
      <c r="K3" s="98" t="s">
        <v>1971</v>
      </c>
    </row>
    <row r="4" spans="2:11" ht="18.5" thickBot="1" x14ac:dyDescent="0.45">
      <c r="B4" s="99" t="s">
        <v>34</v>
      </c>
      <c r="C4" s="100" t="s">
        <v>34</v>
      </c>
      <c r="D4" s="101" t="s">
        <v>34</v>
      </c>
      <c r="E4" s="944"/>
      <c r="F4" s="944"/>
      <c r="G4" s="944"/>
      <c r="H4" s="944"/>
      <c r="I4" s="944" t="s">
        <v>34</v>
      </c>
      <c r="J4" s="944" t="s">
        <v>34</v>
      </c>
      <c r="K4" s="102"/>
    </row>
    <row r="5" spans="2:11" ht="90.5" thickBot="1" x14ac:dyDescent="0.45">
      <c r="B5" s="103" t="s">
        <v>1972</v>
      </c>
      <c r="C5" s="104" t="s">
        <v>1973</v>
      </c>
      <c r="D5" s="105" t="s">
        <v>1974</v>
      </c>
      <c r="E5" s="105" t="s">
        <v>1525</v>
      </c>
      <c r="F5" s="105" t="s">
        <v>1527</v>
      </c>
      <c r="G5" s="105" t="s">
        <v>1975</v>
      </c>
      <c r="H5" s="105" t="s">
        <v>1976</v>
      </c>
      <c r="I5" s="105" t="s">
        <v>1445</v>
      </c>
      <c r="J5" s="105" t="s">
        <v>1538</v>
      </c>
      <c r="K5" s="106" t="s">
        <v>1541</v>
      </c>
    </row>
    <row r="6" spans="2:11" x14ac:dyDescent="0.3">
      <c r="B6" s="107" t="s">
        <v>1977</v>
      </c>
      <c r="C6" s="108" t="s">
        <v>1416</v>
      </c>
      <c r="D6" s="109">
        <v>6.7530688349261396</v>
      </c>
      <c r="E6" s="109">
        <v>5.6232482525663432</v>
      </c>
      <c r="F6" s="109">
        <v>4.589647680498925</v>
      </c>
      <c r="G6" s="109">
        <v>4.265279022933111</v>
      </c>
      <c r="H6" s="109">
        <v>5.0423679013372844</v>
      </c>
      <c r="I6" s="109">
        <v>6.7381037777891821</v>
      </c>
      <c r="J6" s="109">
        <v>6.1217723217860458</v>
      </c>
      <c r="K6" s="110">
        <v>4.3154178272025847</v>
      </c>
    </row>
    <row r="7" spans="2:11" x14ac:dyDescent="0.3">
      <c r="B7" s="111" t="s">
        <v>1978</v>
      </c>
      <c r="C7" s="112" t="s">
        <v>1483</v>
      </c>
      <c r="D7" s="1499">
        <v>7.0590500667670053</v>
      </c>
      <c r="E7" s="1499">
        <v>5.9382170107559284</v>
      </c>
      <c r="F7" s="1499">
        <v>4.9083896558151059</v>
      </c>
      <c r="G7" s="1499">
        <v>4.5892002786780877</v>
      </c>
      <c r="H7" s="1499">
        <v>5.3551905606401249</v>
      </c>
      <c r="I7" s="1499">
        <v>7.0428324001410196</v>
      </c>
      <c r="J7" s="1499">
        <v>6.433172943602516</v>
      </c>
      <c r="K7" s="113">
        <v>4.6394023235664372</v>
      </c>
    </row>
    <row r="8" spans="2:11" x14ac:dyDescent="0.3">
      <c r="B8" s="111" t="s">
        <v>1979</v>
      </c>
      <c r="C8" s="112" t="s">
        <v>1489</v>
      </c>
      <c r="D8" s="1499">
        <v>7.0228272574318593</v>
      </c>
      <c r="E8" s="1499">
        <v>5.9019942014207825</v>
      </c>
      <c r="F8" s="1499">
        <v>4.872166846479959</v>
      </c>
      <c r="G8" s="1499">
        <v>4.5529774693429408</v>
      </c>
      <c r="H8" s="1499">
        <v>5.3189677513049789</v>
      </c>
      <c r="I8" s="1499">
        <v>7.0066095908058736</v>
      </c>
      <c r="J8" s="1499">
        <v>6.3969501342673709</v>
      </c>
      <c r="K8" s="113">
        <v>4.6031795142312912</v>
      </c>
    </row>
    <row r="9" spans="2:11" x14ac:dyDescent="0.3">
      <c r="B9" s="114">
        <v>0</v>
      </c>
      <c r="C9" s="112" t="s">
        <v>1496</v>
      </c>
      <c r="D9" s="1499">
        <v>6.9684930434291408</v>
      </c>
      <c r="E9" s="1499">
        <v>5.8476599874180639</v>
      </c>
      <c r="F9" s="1499">
        <v>4.8178326324772414</v>
      </c>
      <c r="G9" s="1499">
        <v>4.4986432553402231</v>
      </c>
      <c r="H9" s="1499">
        <v>5.2646335373022604</v>
      </c>
      <c r="I9" s="1499">
        <v>6.9522753768031551</v>
      </c>
      <c r="J9" s="1499">
        <v>6.3426159202646515</v>
      </c>
      <c r="K9" s="113">
        <v>4.5488453002285727</v>
      </c>
    </row>
    <row r="10" spans="2:11" x14ac:dyDescent="0.3">
      <c r="B10" s="115"/>
      <c r="C10" s="112" t="s">
        <v>1500</v>
      </c>
      <c r="D10" s="1499">
        <v>6.9141588294264213</v>
      </c>
      <c r="E10" s="1499">
        <v>5.7933257734153445</v>
      </c>
      <c r="F10" s="1499">
        <v>4.7634984184745219</v>
      </c>
      <c r="G10" s="1499">
        <v>4.4443090413375037</v>
      </c>
      <c r="H10" s="1499">
        <v>5.2102993232995409</v>
      </c>
      <c r="I10" s="1499">
        <v>6.8979411628004357</v>
      </c>
      <c r="J10" s="1499">
        <v>6.2882817062619329</v>
      </c>
      <c r="K10" s="113">
        <v>4.4945110862258542</v>
      </c>
    </row>
    <row r="11" spans="2:11" x14ac:dyDescent="0.3">
      <c r="B11" s="115"/>
      <c r="C11" s="112" t="s">
        <v>1504</v>
      </c>
      <c r="D11" s="1499">
        <v>6.9973175752454004</v>
      </c>
      <c r="E11" s="1499">
        <v>5.8739268003626641</v>
      </c>
      <c r="F11" s="1499">
        <v>4.8450089135676455</v>
      </c>
      <c r="G11" s="1499">
        <v>4.5245582452123863</v>
      </c>
      <c r="H11" s="1499">
        <v>5.2923953977730118</v>
      </c>
      <c r="I11" s="1499">
        <v>6.9788295037620074</v>
      </c>
      <c r="J11" s="1499">
        <v>6.3688692970008631</v>
      </c>
      <c r="K11" s="113">
        <v>4.5748291271493446</v>
      </c>
    </row>
    <row r="12" spans="2:11" x14ac:dyDescent="0.3">
      <c r="B12" s="115"/>
      <c r="C12" s="112" t="s">
        <v>1508</v>
      </c>
      <c r="D12" s="1499">
        <v>6.9667296405549264</v>
      </c>
      <c r="E12" s="1499">
        <v>5.8433388656721892</v>
      </c>
      <c r="F12" s="1499">
        <v>4.8144209788771715</v>
      </c>
      <c r="G12" s="1499">
        <v>4.4939703105219122</v>
      </c>
      <c r="H12" s="1499">
        <v>5.2618074630825378</v>
      </c>
      <c r="I12" s="1499">
        <v>6.9482415690715342</v>
      </c>
      <c r="J12" s="1499">
        <v>6.3382813623103891</v>
      </c>
      <c r="K12" s="113">
        <v>4.5442411924588697</v>
      </c>
    </row>
    <row r="13" spans="2:11" x14ac:dyDescent="0.3">
      <c r="B13" s="115"/>
      <c r="C13" s="112" t="s">
        <v>1513</v>
      </c>
      <c r="D13" s="1499">
        <v>6.9208477385192149</v>
      </c>
      <c r="E13" s="1499">
        <v>5.7974569636364786</v>
      </c>
      <c r="F13" s="1499">
        <v>4.7685390768414599</v>
      </c>
      <c r="G13" s="1499">
        <v>4.4480884084862007</v>
      </c>
      <c r="H13" s="1499">
        <v>5.2159255610468263</v>
      </c>
      <c r="I13" s="1499">
        <v>6.9023596670358218</v>
      </c>
      <c r="J13" s="1499">
        <v>6.2923994602746776</v>
      </c>
      <c r="K13" s="113">
        <v>4.4983592904231591</v>
      </c>
    </row>
    <row r="14" spans="2:11" x14ac:dyDescent="0.3">
      <c r="B14" s="115"/>
      <c r="C14" s="112" t="s">
        <v>1517</v>
      </c>
      <c r="D14" s="1499">
        <v>6.8749658364835042</v>
      </c>
      <c r="E14" s="1499">
        <v>5.751575061600767</v>
      </c>
      <c r="F14" s="1499">
        <v>4.7226571748057484</v>
      </c>
      <c r="G14" s="1499">
        <v>4.4022065064504892</v>
      </c>
      <c r="H14" s="1499">
        <v>5.1700436590111147</v>
      </c>
      <c r="I14" s="1499">
        <v>6.8564777650001112</v>
      </c>
      <c r="J14" s="1499">
        <v>6.2465175582389669</v>
      </c>
      <c r="K14" s="113">
        <v>4.4524773883874476</v>
      </c>
    </row>
    <row r="15" spans="2:11" ht="14.5" thickBot="1" x14ac:dyDescent="0.35">
      <c r="B15" s="1233"/>
      <c r="C15" s="116" t="s">
        <v>1519</v>
      </c>
      <c r="D15" s="117">
        <v>7.0590500667670053</v>
      </c>
      <c r="E15" s="117">
        <v>5.9382170107559284</v>
      </c>
      <c r="F15" s="117">
        <v>4.9083896558151059</v>
      </c>
      <c r="G15" s="117">
        <v>4.5892002786780877</v>
      </c>
      <c r="H15" s="117">
        <v>5.3551905606401249</v>
      </c>
      <c r="I15" s="117">
        <v>7.0428324001410196</v>
      </c>
      <c r="J15" s="117">
        <v>6.433172943602516</v>
      </c>
      <c r="K15" s="118">
        <v>4.6394023235664372</v>
      </c>
    </row>
    <row r="16" spans="2:11" x14ac:dyDescent="0.3">
      <c r="B16" s="107" t="s">
        <v>1977</v>
      </c>
      <c r="C16" s="108" t="s">
        <v>1416</v>
      </c>
      <c r="D16" s="109">
        <v>6.3865330561154261</v>
      </c>
      <c r="E16" s="109">
        <v>5.2567124737556306</v>
      </c>
      <c r="F16" s="109">
        <v>4.2231119016882124</v>
      </c>
      <c r="G16" s="109">
        <v>3.8987432441223984</v>
      </c>
      <c r="H16" s="109">
        <v>4.6758321225265718</v>
      </c>
      <c r="I16" s="109">
        <v>6.3715679989784686</v>
      </c>
      <c r="J16" s="109">
        <v>5.7552365429753323</v>
      </c>
      <c r="K16" s="110">
        <v>3.9488820483918721</v>
      </c>
    </row>
    <row r="17" spans="2:11" x14ac:dyDescent="0.3">
      <c r="B17" s="111" t="s">
        <v>1978</v>
      </c>
      <c r="C17" s="112" t="s">
        <v>1483</v>
      </c>
      <c r="D17" s="1499">
        <v>6.6925142879562918</v>
      </c>
      <c r="E17" s="1499">
        <v>5.5716812319452158</v>
      </c>
      <c r="F17" s="1499">
        <v>4.5418538770043924</v>
      </c>
      <c r="G17" s="1499">
        <v>4.2226644998673741</v>
      </c>
      <c r="H17" s="1499">
        <v>4.9886547818294114</v>
      </c>
      <c r="I17" s="1499">
        <v>6.6762966213303061</v>
      </c>
      <c r="J17" s="1499">
        <v>6.0666371647918034</v>
      </c>
      <c r="K17" s="113">
        <v>4.2728665447557246</v>
      </c>
    </row>
    <row r="18" spans="2:11" x14ac:dyDescent="0.3">
      <c r="B18" s="111" t="s">
        <v>1980</v>
      </c>
      <c r="C18" s="112" t="s">
        <v>1489</v>
      </c>
      <c r="D18" s="1499">
        <v>6.6562914786211467</v>
      </c>
      <c r="E18" s="1499">
        <v>5.5354584226100698</v>
      </c>
      <c r="F18" s="1499">
        <v>4.5056310676692464</v>
      </c>
      <c r="G18" s="1499">
        <v>4.186441690532229</v>
      </c>
      <c r="H18" s="1499">
        <v>4.9524319724942663</v>
      </c>
      <c r="I18" s="1499">
        <v>6.640073811995161</v>
      </c>
      <c r="J18" s="1499">
        <v>6.0304143554566574</v>
      </c>
      <c r="K18" s="113">
        <v>4.2366437354205786</v>
      </c>
    </row>
    <row r="19" spans="2:11" x14ac:dyDescent="0.3">
      <c r="B19" s="114">
        <v>0</v>
      </c>
      <c r="C19" s="112" t="s">
        <v>1496</v>
      </c>
      <c r="D19" s="1499">
        <v>6.6019572646184272</v>
      </c>
      <c r="E19" s="1499">
        <v>5.4811242086073513</v>
      </c>
      <c r="F19" s="1499">
        <v>4.4512968536665278</v>
      </c>
      <c r="G19" s="1499">
        <v>4.1321074765295096</v>
      </c>
      <c r="H19" s="1499">
        <v>4.8980977584915468</v>
      </c>
      <c r="I19" s="1499">
        <v>6.5857395979924416</v>
      </c>
      <c r="J19" s="1499">
        <v>5.9760801414539388</v>
      </c>
      <c r="K19" s="113">
        <v>4.1823095214178601</v>
      </c>
    </row>
    <row r="20" spans="2:11" x14ac:dyDescent="0.3">
      <c r="B20" s="115"/>
      <c r="C20" s="112" t="s">
        <v>1500</v>
      </c>
      <c r="D20" s="1499">
        <v>6.5476230506157078</v>
      </c>
      <c r="E20" s="1499">
        <v>5.4267899946046327</v>
      </c>
      <c r="F20" s="1499">
        <v>4.3969626396638093</v>
      </c>
      <c r="G20" s="1499">
        <v>4.0777732625267911</v>
      </c>
      <c r="H20" s="1499">
        <v>4.8437635444888283</v>
      </c>
      <c r="I20" s="1499">
        <v>6.5314053839897221</v>
      </c>
      <c r="J20" s="1499">
        <v>5.9217459274512194</v>
      </c>
      <c r="K20" s="113">
        <v>4.1279753074151415</v>
      </c>
    </row>
    <row r="21" spans="2:11" x14ac:dyDescent="0.3">
      <c r="B21" s="115"/>
      <c r="C21" s="112" t="s">
        <v>1504</v>
      </c>
      <c r="D21" s="1499">
        <v>6.6307817964346878</v>
      </c>
      <c r="E21" s="1499">
        <v>5.5073910215519506</v>
      </c>
      <c r="F21" s="1499">
        <v>4.4784731347569329</v>
      </c>
      <c r="G21" s="1499">
        <v>4.1580224664016736</v>
      </c>
      <c r="H21" s="1499">
        <v>4.9258596189622992</v>
      </c>
      <c r="I21" s="1499">
        <v>6.6122937249512956</v>
      </c>
      <c r="J21" s="1499">
        <v>6.0023335181901505</v>
      </c>
      <c r="K21" s="113">
        <v>4.2082933483386311</v>
      </c>
    </row>
    <row r="22" spans="2:11" x14ac:dyDescent="0.3">
      <c r="B22" s="115"/>
      <c r="C22" s="112" t="s">
        <v>1508</v>
      </c>
      <c r="D22" s="1499">
        <v>6.6001938617442137</v>
      </c>
      <c r="E22" s="1499">
        <v>5.4768030868614774</v>
      </c>
      <c r="F22" s="1499">
        <v>4.4478852000664588</v>
      </c>
      <c r="G22" s="1499">
        <v>4.1274345317111996</v>
      </c>
      <c r="H22" s="1499">
        <v>4.8952716842718251</v>
      </c>
      <c r="I22" s="1499">
        <v>6.5817057902608207</v>
      </c>
      <c r="J22" s="1499">
        <v>5.9717455834996764</v>
      </c>
      <c r="K22" s="113">
        <v>4.1777054136481571</v>
      </c>
    </row>
    <row r="23" spans="2:11" x14ac:dyDescent="0.3">
      <c r="B23" s="115"/>
      <c r="C23" s="112" t="s">
        <v>1513</v>
      </c>
      <c r="D23" s="1499">
        <v>6.5543119597085013</v>
      </c>
      <c r="E23" s="1499">
        <v>5.4309211848257659</v>
      </c>
      <c r="F23" s="1499">
        <v>4.4020032980307473</v>
      </c>
      <c r="G23" s="1499">
        <v>4.081552629675488</v>
      </c>
      <c r="H23" s="1499">
        <v>4.8493897822361136</v>
      </c>
      <c r="I23" s="1499">
        <v>6.5358238882251083</v>
      </c>
      <c r="J23" s="1499">
        <v>5.925863681463964</v>
      </c>
      <c r="K23" s="113">
        <v>4.1318235116124464</v>
      </c>
    </row>
    <row r="24" spans="2:11" x14ac:dyDescent="0.3">
      <c r="B24" s="115"/>
      <c r="C24" s="112" t="s">
        <v>1517</v>
      </c>
      <c r="D24" s="1499">
        <v>6.5084300576727907</v>
      </c>
      <c r="E24" s="1499">
        <v>5.3850392827900544</v>
      </c>
      <c r="F24" s="1499">
        <v>4.3561213959950358</v>
      </c>
      <c r="G24" s="1499">
        <v>4.0356707276397765</v>
      </c>
      <c r="H24" s="1499">
        <v>4.8035078802004021</v>
      </c>
      <c r="I24" s="1499">
        <v>6.4899419861893977</v>
      </c>
      <c r="J24" s="1499">
        <v>5.8799817794282534</v>
      </c>
      <c r="K24" s="113">
        <v>4.0859416095767349</v>
      </c>
    </row>
    <row r="25" spans="2:11" ht="14.5" thickBot="1" x14ac:dyDescent="0.35">
      <c r="B25" s="1233"/>
      <c r="C25" s="116" t="s">
        <v>1519</v>
      </c>
      <c r="D25" s="117">
        <v>6.6925142879562918</v>
      </c>
      <c r="E25" s="117">
        <v>5.5716812319452158</v>
      </c>
      <c r="F25" s="117">
        <v>4.5418538770043924</v>
      </c>
      <c r="G25" s="117">
        <v>4.2226644998673741</v>
      </c>
      <c r="H25" s="117">
        <v>4.9886547818294114</v>
      </c>
      <c r="I25" s="117">
        <v>6.6762966213303061</v>
      </c>
      <c r="J25" s="117">
        <v>6.0666371647918034</v>
      </c>
      <c r="K25" s="118">
        <v>4.2728665447557246</v>
      </c>
    </row>
    <row r="26" spans="2:11" x14ac:dyDescent="0.3">
      <c r="B26" s="107" t="s">
        <v>1977</v>
      </c>
      <c r="C26" s="108" t="s">
        <v>1416</v>
      </c>
      <c r="D26" s="109">
        <v>5.8367293878993562</v>
      </c>
      <c r="E26" s="109">
        <v>4.7069088055395607</v>
      </c>
      <c r="F26" s="109">
        <v>3.6733082334721434</v>
      </c>
      <c r="G26" s="109">
        <v>3.3489395759063294</v>
      </c>
      <c r="H26" s="109">
        <v>4.1260284543105028</v>
      </c>
      <c r="I26" s="109">
        <v>5.8217643307624005</v>
      </c>
      <c r="J26" s="109">
        <v>5.2054328747592633</v>
      </c>
      <c r="K26" s="110">
        <v>3.3990783801758027</v>
      </c>
    </row>
    <row r="27" spans="2:11" x14ac:dyDescent="0.3">
      <c r="B27" s="111" t="s">
        <v>1978</v>
      </c>
      <c r="C27" s="112" t="s">
        <v>1483</v>
      </c>
      <c r="D27" s="1499">
        <v>6.1427106197402237</v>
      </c>
      <c r="E27" s="1499">
        <v>5.021877563729146</v>
      </c>
      <c r="F27" s="1499">
        <v>3.9920502087883234</v>
      </c>
      <c r="G27" s="1499">
        <v>3.6728608316513052</v>
      </c>
      <c r="H27" s="1499">
        <v>4.4388511136133424</v>
      </c>
      <c r="I27" s="1499">
        <v>6.126492953114238</v>
      </c>
      <c r="J27" s="1499">
        <v>5.5168334965757344</v>
      </c>
      <c r="K27" s="113">
        <v>3.7230628765396561</v>
      </c>
    </row>
    <row r="28" spans="2:11" x14ac:dyDescent="0.3">
      <c r="B28" s="111" t="s">
        <v>1981</v>
      </c>
      <c r="C28" s="112" t="s">
        <v>1489</v>
      </c>
      <c r="D28" s="1499">
        <v>6.1064878104050768</v>
      </c>
      <c r="E28" s="1499">
        <v>4.9856547543940009</v>
      </c>
      <c r="F28" s="1499">
        <v>3.9558273994531779</v>
      </c>
      <c r="G28" s="1499">
        <v>3.6366380223161596</v>
      </c>
      <c r="H28" s="1499">
        <v>4.4026283042781973</v>
      </c>
      <c r="I28" s="1499">
        <v>6.0902701437790911</v>
      </c>
      <c r="J28" s="1499">
        <v>5.4806106872405884</v>
      </c>
      <c r="K28" s="113">
        <v>3.6868400672045096</v>
      </c>
    </row>
    <row r="29" spans="2:11" x14ac:dyDescent="0.3">
      <c r="B29" s="114">
        <v>0</v>
      </c>
      <c r="C29" s="112" t="s">
        <v>1496</v>
      </c>
      <c r="D29" s="1499">
        <v>6.0521535964023592</v>
      </c>
      <c r="E29" s="1499">
        <v>4.9313205403912814</v>
      </c>
      <c r="F29" s="1499">
        <v>3.9014931854504584</v>
      </c>
      <c r="G29" s="1499">
        <v>3.5823038083134402</v>
      </c>
      <c r="H29" s="1499">
        <v>4.3482940902754779</v>
      </c>
      <c r="I29" s="1499">
        <v>6.0359359297763726</v>
      </c>
      <c r="J29" s="1499">
        <v>5.426276473237869</v>
      </c>
      <c r="K29" s="113">
        <v>3.6325058532017906</v>
      </c>
    </row>
    <row r="30" spans="2:11" x14ac:dyDescent="0.3">
      <c r="B30" s="115"/>
      <c r="C30" s="112" t="s">
        <v>1500</v>
      </c>
      <c r="D30" s="1499">
        <v>5.9978193823996397</v>
      </c>
      <c r="E30" s="1499">
        <v>4.8769863263885638</v>
      </c>
      <c r="F30" s="1499">
        <v>3.8471589714477403</v>
      </c>
      <c r="G30" s="1499">
        <v>3.5279695943107221</v>
      </c>
      <c r="H30" s="1499">
        <v>4.2939598762727593</v>
      </c>
      <c r="I30" s="1499">
        <v>5.9816017157736541</v>
      </c>
      <c r="J30" s="1499">
        <v>5.3719422592351513</v>
      </c>
      <c r="K30" s="113">
        <v>3.5781716391990721</v>
      </c>
    </row>
    <row r="31" spans="2:11" x14ac:dyDescent="0.3">
      <c r="B31" s="115"/>
      <c r="C31" s="112" t="s">
        <v>1504</v>
      </c>
      <c r="D31" s="1499">
        <v>6.0809781282186179</v>
      </c>
      <c r="E31" s="1499">
        <v>4.9575873533358816</v>
      </c>
      <c r="F31" s="1499">
        <v>3.9286694665408635</v>
      </c>
      <c r="G31" s="1499">
        <v>3.6082187981856042</v>
      </c>
      <c r="H31" s="1499">
        <v>4.3760559507462293</v>
      </c>
      <c r="I31" s="1499">
        <v>6.0624900567352258</v>
      </c>
      <c r="J31" s="1499">
        <v>5.4525298499740806</v>
      </c>
      <c r="K31" s="113">
        <v>3.6584896801225621</v>
      </c>
    </row>
    <row r="32" spans="2:11" x14ac:dyDescent="0.3">
      <c r="B32" s="115"/>
      <c r="C32" s="112" t="s">
        <v>1508</v>
      </c>
      <c r="D32" s="1499">
        <v>6.0503901935281439</v>
      </c>
      <c r="E32" s="1499">
        <v>4.9269994186454076</v>
      </c>
      <c r="F32" s="1499">
        <v>3.8980815318503894</v>
      </c>
      <c r="G32" s="1499">
        <v>3.5776308634951302</v>
      </c>
      <c r="H32" s="1499">
        <v>4.3454680160557562</v>
      </c>
      <c r="I32" s="1499">
        <v>6.0319021220447508</v>
      </c>
      <c r="J32" s="1499">
        <v>5.4219419152836075</v>
      </c>
      <c r="K32" s="113">
        <v>3.6279017454320881</v>
      </c>
    </row>
    <row r="33" spans="2:11" x14ac:dyDescent="0.3">
      <c r="B33" s="115"/>
      <c r="C33" s="112" t="s">
        <v>1513</v>
      </c>
      <c r="D33" s="1499">
        <v>6.0045082914924333</v>
      </c>
      <c r="E33" s="1499">
        <v>4.8811175166096969</v>
      </c>
      <c r="F33" s="1499">
        <v>3.8521996298146779</v>
      </c>
      <c r="G33" s="1499">
        <v>3.5317489614594186</v>
      </c>
      <c r="H33" s="1499">
        <v>4.2995861140200446</v>
      </c>
      <c r="I33" s="1499">
        <v>5.9860202200090402</v>
      </c>
      <c r="J33" s="1499">
        <v>5.376060013247896</v>
      </c>
      <c r="K33" s="113">
        <v>3.582019843396377</v>
      </c>
    </row>
    <row r="34" spans="2:11" x14ac:dyDescent="0.3">
      <c r="B34" s="115"/>
      <c r="C34" s="112" t="s">
        <v>1517</v>
      </c>
      <c r="D34" s="1499">
        <v>5.9586263894567226</v>
      </c>
      <c r="E34" s="1499">
        <v>4.8352356145739854</v>
      </c>
      <c r="F34" s="1499">
        <v>3.8063177277789668</v>
      </c>
      <c r="G34" s="1499">
        <v>3.4858670594237076</v>
      </c>
      <c r="H34" s="1499">
        <v>4.2537042119843331</v>
      </c>
      <c r="I34" s="1499">
        <v>5.9401383179733296</v>
      </c>
      <c r="J34" s="1499">
        <v>5.3301781112121844</v>
      </c>
      <c r="K34" s="113">
        <v>3.5361379413606655</v>
      </c>
    </row>
    <row r="35" spans="2:11" ht="14.5" thickBot="1" x14ac:dyDescent="0.35">
      <c r="B35" s="1233"/>
      <c r="C35" s="116" t="s">
        <v>1519</v>
      </c>
      <c r="D35" s="117">
        <v>6.1427106197402237</v>
      </c>
      <c r="E35" s="117">
        <v>5.021877563729146</v>
      </c>
      <c r="F35" s="117">
        <v>3.9920502087883234</v>
      </c>
      <c r="G35" s="117">
        <v>3.6728608316513052</v>
      </c>
      <c r="H35" s="117">
        <v>4.4388511136133424</v>
      </c>
      <c r="I35" s="117">
        <v>6.126492953114238</v>
      </c>
      <c r="J35" s="117">
        <v>5.5168334965757344</v>
      </c>
      <c r="K35" s="118">
        <v>3.7230628765396561</v>
      </c>
    </row>
    <row r="36" spans="2:11" x14ac:dyDescent="0.3">
      <c r="B36" s="107" t="s">
        <v>1977</v>
      </c>
      <c r="C36" s="108" t="s">
        <v>1416</v>
      </c>
      <c r="D36" s="109">
        <v>5.2869257196832882</v>
      </c>
      <c r="E36" s="109">
        <v>4.1571051373234917</v>
      </c>
      <c r="F36" s="109">
        <v>3.1235045652560745</v>
      </c>
      <c r="G36" s="109">
        <v>2.79913590769026</v>
      </c>
      <c r="H36" s="109">
        <v>3.5762247860944334</v>
      </c>
      <c r="I36" s="109">
        <v>5.2719606625463307</v>
      </c>
      <c r="J36" s="109">
        <v>4.6556292065431943</v>
      </c>
      <c r="K36" s="110">
        <v>2.8492747119597337</v>
      </c>
    </row>
    <row r="37" spans="2:11" x14ac:dyDescent="0.3">
      <c r="B37" s="111" t="s">
        <v>1978</v>
      </c>
      <c r="C37" s="112" t="s">
        <v>1483</v>
      </c>
      <c r="D37" s="1499">
        <v>5.5929069515241538</v>
      </c>
      <c r="E37" s="1499">
        <v>4.4720738955130779</v>
      </c>
      <c r="F37" s="1499">
        <v>3.4422465405722549</v>
      </c>
      <c r="G37" s="1499">
        <v>3.1230571634352366</v>
      </c>
      <c r="H37" s="1499">
        <v>3.8890474453972739</v>
      </c>
      <c r="I37" s="1499">
        <v>5.5766892848981682</v>
      </c>
      <c r="J37" s="1499">
        <v>4.9670298283596646</v>
      </c>
      <c r="K37" s="113">
        <v>3.1732592083235862</v>
      </c>
    </row>
    <row r="38" spans="2:11" x14ac:dyDescent="0.3">
      <c r="B38" s="111" t="s">
        <v>1982</v>
      </c>
      <c r="C38" s="112" t="s">
        <v>1489</v>
      </c>
      <c r="D38" s="1499">
        <v>5.5566841421890079</v>
      </c>
      <c r="E38" s="1499">
        <v>4.4358510861779319</v>
      </c>
      <c r="F38" s="1499">
        <v>3.4060237312371084</v>
      </c>
      <c r="G38" s="1499">
        <v>3.0868343541000902</v>
      </c>
      <c r="H38" s="1499">
        <v>3.8528246360621279</v>
      </c>
      <c r="I38" s="1499">
        <v>5.5404664755630222</v>
      </c>
      <c r="J38" s="1499">
        <v>4.9308070190245195</v>
      </c>
      <c r="K38" s="113">
        <v>3.1370363989884407</v>
      </c>
    </row>
    <row r="39" spans="2:11" x14ac:dyDescent="0.3">
      <c r="B39" s="114">
        <v>0</v>
      </c>
      <c r="C39" s="112" t="s">
        <v>1496</v>
      </c>
      <c r="D39" s="1499">
        <v>5.5023499281862893</v>
      </c>
      <c r="E39" s="1499">
        <v>4.3815168721752125</v>
      </c>
      <c r="F39" s="1499">
        <v>3.3516895172343895</v>
      </c>
      <c r="G39" s="1499">
        <v>3.0325001400973712</v>
      </c>
      <c r="H39" s="1499">
        <v>3.7984904220594089</v>
      </c>
      <c r="I39" s="1499">
        <v>5.4861322615603028</v>
      </c>
      <c r="J39" s="1499">
        <v>4.8764728050218</v>
      </c>
      <c r="K39" s="113">
        <v>3.0827021849857217</v>
      </c>
    </row>
    <row r="40" spans="2:11" x14ac:dyDescent="0.3">
      <c r="B40" s="115"/>
      <c r="C40" s="112" t="s">
        <v>1500</v>
      </c>
      <c r="D40" s="1499">
        <v>5.4480157141835699</v>
      </c>
      <c r="E40" s="1499">
        <v>4.3271826581724939</v>
      </c>
      <c r="F40" s="1499">
        <v>3.2973553032316709</v>
      </c>
      <c r="G40" s="1499">
        <v>2.9781659260946527</v>
      </c>
      <c r="H40" s="1499">
        <v>3.7441562080566904</v>
      </c>
      <c r="I40" s="1499">
        <v>5.4317980475575842</v>
      </c>
      <c r="J40" s="1499">
        <v>4.8221385910190815</v>
      </c>
      <c r="K40" s="113">
        <v>3.0283679709830023</v>
      </c>
    </row>
    <row r="41" spans="2:11" x14ac:dyDescent="0.3">
      <c r="B41" s="115"/>
      <c r="C41" s="112" t="s">
        <v>1504</v>
      </c>
      <c r="D41" s="1499">
        <v>5.531174460002549</v>
      </c>
      <c r="E41" s="1499">
        <v>4.4077836851198127</v>
      </c>
      <c r="F41" s="1499">
        <v>3.3788657983247941</v>
      </c>
      <c r="G41" s="1499">
        <v>3.0584151299695348</v>
      </c>
      <c r="H41" s="1499">
        <v>3.8262522825301608</v>
      </c>
      <c r="I41" s="1499">
        <v>5.5126863885191559</v>
      </c>
      <c r="J41" s="1499">
        <v>4.9027261817580117</v>
      </c>
      <c r="K41" s="113">
        <v>3.1086860119064932</v>
      </c>
    </row>
    <row r="42" spans="2:11" x14ac:dyDescent="0.3">
      <c r="B42" s="115"/>
      <c r="C42" s="112" t="s">
        <v>1508</v>
      </c>
      <c r="D42" s="1499">
        <v>5.5005865253120749</v>
      </c>
      <c r="E42" s="1499">
        <v>4.3771957504293386</v>
      </c>
      <c r="F42" s="1499">
        <v>3.34827786363432</v>
      </c>
      <c r="G42" s="1499">
        <v>3.0278271952790607</v>
      </c>
      <c r="H42" s="1499">
        <v>3.7956643478396868</v>
      </c>
      <c r="I42" s="1499">
        <v>5.4820984538286819</v>
      </c>
      <c r="J42" s="1499">
        <v>4.8721382470675376</v>
      </c>
      <c r="K42" s="113">
        <v>3.0780980772160191</v>
      </c>
    </row>
    <row r="43" spans="2:11" x14ac:dyDescent="0.3">
      <c r="B43" s="115"/>
      <c r="C43" s="112" t="s">
        <v>1513</v>
      </c>
      <c r="D43" s="1499">
        <v>5.4547046232763634</v>
      </c>
      <c r="E43" s="1499">
        <v>4.3313138483936271</v>
      </c>
      <c r="F43" s="1499">
        <v>3.3023959615986089</v>
      </c>
      <c r="G43" s="1499">
        <v>2.9819452932433497</v>
      </c>
      <c r="H43" s="1499">
        <v>3.7497824458039752</v>
      </c>
      <c r="I43" s="1499">
        <v>5.4362165517929713</v>
      </c>
      <c r="J43" s="1499">
        <v>4.826256345031827</v>
      </c>
      <c r="K43" s="113">
        <v>3.0322161751803076</v>
      </c>
    </row>
    <row r="44" spans="2:11" x14ac:dyDescent="0.3">
      <c r="B44" s="115"/>
      <c r="C44" s="112" t="s">
        <v>1517</v>
      </c>
      <c r="D44" s="1499">
        <v>5.4088227212406528</v>
      </c>
      <c r="E44" s="1499">
        <v>4.2854319463579165</v>
      </c>
      <c r="F44" s="1499">
        <v>3.2565140595628974</v>
      </c>
      <c r="G44" s="1499">
        <v>2.9360633912076382</v>
      </c>
      <c r="H44" s="1499">
        <v>3.7039005437682642</v>
      </c>
      <c r="I44" s="1499">
        <v>5.3903346497572597</v>
      </c>
      <c r="J44" s="1499">
        <v>4.7803744429961155</v>
      </c>
      <c r="K44" s="113">
        <v>2.9863342731445965</v>
      </c>
    </row>
    <row r="45" spans="2:11" ht="14.5" thickBot="1" x14ac:dyDescent="0.35">
      <c r="B45" s="1233"/>
      <c r="C45" s="116" t="s">
        <v>1519</v>
      </c>
      <c r="D45" s="117">
        <v>5.5929069515241538</v>
      </c>
      <c r="E45" s="117">
        <v>4.4720738955130779</v>
      </c>
      <c r="F45" s="117">
        <v>3.4422465405722549</v>
      </c>
      <c r="G45" s="117">
        <v>3.1230571634352366</v>
      </c>
      <c r="H45" s="117">
        <v>3.8890474453972739</v>
      </c>
      <c r="I45" s="117">
        <v>5.5766892848981682</v>
      </c>
      <c r="J45" s="117">
        <v>4.9670298283596646</v>
      </c>
      <c r="K45" s="118">
        <v>3.1732592083235862</v>
      </c>
    </row>
    <row r="46" spans="2:11" x14ac:dyDescent="0.3">
      <c r="B46" s="119" t="s">
        <v>1983</v>
      </c>
      <c r="C46" s="108" t="s">
        <v>1416</v>
      </c>
      <c r="D46" s="109">
        <v>5.8378634996270415</v>
      </c>
      <c r="E46" s="109">
        <v>4.6703035569074887</v>
      </c>
      <c r="F46" s="109">
        <v>3.6711980666118489</v>
      </c>
      <c r="G46" s="109">
        <v>3.3299492785233911</v>
      </c>
      <c r="H46" s="109">
        <v>4.1147172329730504</v>
      </c>
      <c r="I46" s="109">
        <v>5.77665753680688</v>
      </c>
      <c r="J46" s="109">
        <v>5.164100584052167</v>
      </c>
      <c r="K46" s="110">
        <v>3.3788584034360771</v>
      </c>
    </row>
    <row r="47" spans="2:11" x14ac:dyDescent="0.3">
      <c r="B47" s="111"/>
      <c r="C47" s="112" t="s">
        <v>1483</v>
      </c>
      <c r="D47" s="1499">
        <v>6.1461923505693212</v>
      </c>
      <c r="E47" s="1499">
        <v>4.9916851276134437</v>
      </c>
      <c r="F47" s="1499">
        <v>3.9913301582734819</v>
      </c>
      <c r="G47" s="1499">
        <v>3.6562097178848036</v>
      </c>
      <c r="H47" s="1499">
        <v>4.4296679487494277</v>
      </c>
      <c r="I47" s="1499">
        <v>6.0903265825631294</v>
      </c>
      <c r="J47" s="1499">
        <v>5.4832214093219456</v>
      </c>
      <c r="K47" s="113">
        <v>3.7054052227035346</v>
      </c>
    </row>
    <row r="48" spans="2:11" x14ac:dyDescent="0.3">
      <c r="B48" s="111" t="s">
        <v>1979</v>
      </c>
      <c r="C48" s="112" t="s">
        <v>1489</v>
      </c>
      <c r="D48" s="1499">
        <v>6.1099695412341752</v>
      </c>
      <c r="E48" s="1499">
        <v>4.9554623182782969</v>
      </c>
      <c r="F48" s="1499">
        <v>3.9551073489383359</v>
      </c>
      <c r="G48" s="1499">
        <v>3.6199869085496572</v>
      </c>
      <c r="H48" s="1499">
        <v>4.3934451394142817</v>
      </c>
      <c r="I48" s="1499">
        <v>6.0541037732279834</v>
      </c>
      <c r="J48" s="1499">
        <v>5.4469985999867996</v>
      </c>
      <c r="K48" s="113">
        <v>3.6691824133683881</v>
      </c>
    </row>
    <row r="49" spans="2:11" x14ac:dyDescent="0.3">
      <c r="B49" s="114">
        <v>0</v>
      </c>
      <c r="C49" s="112" t="s">
        <v>1496</v>
      </c>
      <c r="D49" s="1499">
        <v>6.0556353272314567</v>
      </c>
      <c r="E49" s="1499">
        <v>4.9011281042755783</v>
      </c>
      <c r="F49" s="1499">
        <v>3.9007731349356174</v>
      </c>
      <c r="G49" s="1499">
        <v>3.5656526945469387</v>
      </c>
      <c r="H49" s="1499">
        <v>4.3391109254115632</v>
      </c>
      <c r="I49" s="1499">
        <v>5.999769559225264</v>
      </c>
      <c r="J49" s="1499">
        <v>5.392664385984081</v>
      </c>
      <c r="K49" s="113">
        <v>3.6148481993656696</v>
      </c>
    </row>
    <row r="50" spans="2:11" x14ac:dyDescent="0.3">
      <c r="B50" s="115"/>
      <c r="C50" s="112" t="s">
        <v>1500</v>
      </c>
      <c r="D50" s="1499">
        <v>6.0013011132287373</v>
      </c>
      <c r="E50" s="1499">
        <v>4.8467938902728598</v>
      </c>
      <c r="F50" s="1499">
        <v>3.8464389209328984</v>
      </c>
      <c r="G50" s="1499">
        <v>3.5113184805442197</v>
      </c>
      <c r="H50" s="1499">
        <v>4.2847767114088438</v>
      </c>
      <c r="I50" s="1499">
        <v>5.9454353452225455</v>
      </c>
      <c r="J50" s="1499">
        <v>5.3383301719813625</v>
      </c>
      <c r="K50" s="113">
        <v>3.5605139853629506</v>
      </c>
    </row>
    <row r="51" spans="2:11" x14ac:dyDescent="0.3">
      <c r="B51" s="115"/>
      <c r="C51" s="112" t="s">
        <v>1504</v>
      </c>
      <c r="D51" s="1499">
        <v>6.0849000037534431</v>
      </c>
      <c r="E51" s="1499">
        <v>4.9269876994260526</v>
      </c>
      <c r="F51" s="1499">
        <v>3.9272848162462672</v>
      </c>
      <c r="G51" s="1499">
        <v>3.5901025813200813</v>
      </c>
      <c r="H51" s="1499">
        <v>4.3668444648527451</v>
      </c>
      <c r="I51" s="1499">
        <v>6.0258060593877509</v>
      </c>
      <c r="J51" s="1499">
        <v>5.4186775573535879</v>
      </c>
      <c r="K51" s="113">
        <v>3.6394197921583147</v>
      </c>
    </row>
    <row r="52" spans="2:11" x14ac:dyDescent="0.3">
      <c r="B52" s="115"/>
      <c r="C52" s="112" t="s">
        <v>1508</v>
      </c>
      <c r="D52" s="1499">
        <v>6.054312069062969</v>
      </c>
      <c r="E52" s="1499">
        <v>4.8963997647355786</v>
      </c>
      <c r="F52" s="1499">
        <v>3.8966968815557927</v>
      </c>
      <c r="G52" s="1499">
        <v>3.5595146466296068</v>
      </c>
      <c r="H52" s="1499">
        <v>4.3362565301622711</v>
      </c>
      <c r="I52" s="1499">
        <v>5.9952181246972778</v>
      </c>
      <c r="J52" s="1499">
        <v>5.388089622663113</v>
      </c>
      <c r="K52" s="113">
        <v>3.6088318574678402</v>
      </c>
    </row>
    <row r="53" spans="2:11" x14ac:dyDescent="0.3">
      <c r="B53" s="115"/>
      <c r="C53" s="112" t="s">
        <v>1513</v>
      </c>
      <c r="D53" s="1499">
        <v>6.0084301670272575</v>
      </c>
      <c r="E53" s="1499">
        <v>4.8505178626998671</v>
      </c>
      <c r="F53" s="1499">
        <v>3.8508149795200812</v>
      </c>
      <c r="G53" s="1499">
        <v>3.5136327445938957</v>
      </c>
      <c r="H53" s="1499">
        <v>4.2903746281265596</v>
      </c>
      <c r="I53" s="1499">
        <v>5.9493362226615663</v>
      </c>
      <c r="J53" s="1499">
        <v>5.3422077206274015</v>
      </c>
      <c r="K53" s="113">
        <v>3.5629499554321287</v>
      </c>
    </row>
    <row r="54" spans="2:11" x14ac:dyDescent="0.3">
      <c r="B54" s="115"/>
      <c r="C54" s="112" t="s">
        <v>1517</v>
      </c>
      <c r="D54" s="1499">
        <v>5.9625482649915469</v>
      </c>
      <c r="E54" s="1499">
        <v>4.8046359606641555</v>
      </c>
      <c r="F54" s="1499">
        <v>3.8049330774843702</v>
      </c>
      <c r="G54" s="1499">
        <v>3.4677508425581842</v>
      </c>
      <c r="H54" s="1499">
        <v>4.244492726090848</v>
      </c>
      <c r="I54" s="1499">
        <v>5.9034543206258556</v>
      </c>
      <c r="J54" s="1499">
        <v>5.2963258185916908</v>
      </c>
      <c r="K54" s="113">
        <v>3.5170680533964176</v>
      </c>
    </row>
    <row r="55" spans="2:11" ht="14.5" thickBot="1" x14ac:dyDescent="0.35">
      <c r="B55" s="1233"/>
      <c r="C55" s="116" t="s">
        <v>1519</v>
      </c>
      <c r="D55" s="117">
        <v>6.1461923505693212</v>
      </c>
      <c r="E55" s="117">
        <v>4.9916851276134437</v>
      </c>
      <c r="F55" s="117">
        <v>3.9913301582734819</v>
      </c>
      <c r="G55" s="117">
        <v>3.6562097178848036</v>
      </c>
      <c r="H55" s="117">
        <v>4.4296679487494277</v>
      </c>
      <c r="I55" s="117">
        <v>6.0903265825631294</v>
      </c>
      <c r="J55" s="117">
        <v>5.4832214093219456</v>
      </c>
      <c r="K55" s="118">
        <v>3.7054052227035346</v>
      </c>
    </row>
    <row r="56" spans="2:11" x14ac:dyDescent="0.3">
      <c r="B56" s="119" t="s">
        <v>1983</v>
      </c>
      <c r="C56" s="108" t="s">
        <v>1416</v>
      </c>
      <c r="D56" s="109">
        <v>5.6486773507356078</v>
      </c>
      <c r="E56" s="109">
        <v>4.4811174080160558</v>
      </c>
      <c r="F56" s="109">
        <v>3.4820119177204156</v>
      </c>
      <c r="G56" s="109">
        <v>3.1407631296319583</v>
      </c>
      <c r="H56" s="109">
        <v>3.9255310840816175</v>
      </c>
      <c r="I56" s="109">
        <v>5.5874713879154463</v>
      </c>
      <c r="J56" s="109">
        <v>4.9749144351607342</v>
      </c>
      <c r="K56" s="110">
        <v>3.1896722545446443</v>
      </c>
    </row>
    <row r="57" spans="2:11" x14ac:dyDescent="0.3">
      <c r="B57" s="111"/>
      <c r="C57" s="112" t="s">
        <v>1483</v>
      </c>
      <c r="D57" s="1499">
        <v>5.9570062016778875</v>
      </c>
      <c r="E57" s="1499">
        <v>4.80249897872201</v>
      </c>
      <c r="F57" s="1499">
        <v>3.8021440093820482</v>
      </c>
      <c r="G57" s="1499">
        <v>3.4670235689933699</v>
      </c>
      <c r="H57" s="1499">
        <v>4.240481799857994</v>
      </c>
      <c r="I57" s="1499">
        <v>5.9011404336716957</v>
      </c>
      <c r="J57" s="1499">
        <v>5.2940352604305119</v>
      </c>
      <c r="K57" s="113">
        <v>3.5162190738121009</v>
      </c>
    </row>
    <row r="58" spans="2:11" x14ac:dyDescent="0.3">
      <c r="B58" s="111" t="s">
        <v>1980</v>
      </c>
      <c r="C58" s="112" t="s">
        <v>1489</v>
      </c>
      <c r="D58" s="1499">
        <v>5.9207833923427415</v>
      </c>
      <c r="E58" s="1499">
        <v>4.766276169386864</v>
      </c>
      <c r="F58" s="1499">
        <v>3.7659212000469027</v>
      </c>
      <c r="G58" s="1499">
        <v>3.4308007596582244</v>
      </c>
      <c r="H58" s="1499">
        <v>4.2042589905228489</v>
      </c>
      <c r="I58" s="1499">
        <v>5.8649176243365497</v>
      </c>
      <c r="J58" s="1499">
        <v>5.2578124510953668</v>
      </c>
      <c r="K58" s="113">
        <v>3.4799962644769549</v>
      </c>
    </row>
    <row r="59" spans="2:11" x14ac:dyDescent="0.3">
      <c r="B59" s="114">
        <v>0</v>
      </c>
      <c r="C59" s="112" t="s">
        <v>1496</v>
      </c>
      <c r="D59" s="1499">
        <v>5.866449178340023</v>
      </c>
      <c r="E59" s="1499">
        <v>4.7119419553841446</v>
      </c>
      <c r="F59" s="1499">
        <v>3.7115869860441837</v>
      </c>
      <c r="G59" s="1499">
        <v>3.376466545655505</v>
      </c>
      <c r="H59" s="1499">
        <v>4.1499247765201295</v>
      </c>
      <c r="I59" s="1499">
        <v>5.8105834103338303</v>
      </c>
      <c r="J59" s="1499">
        <v>5.2034782370926473</v>
      </c>
      <c r="K59" s="113">
        <v>3.4256620504742359</v>
      </c>
    </row>
    <row r="60" spans="2:11" x14ac:dyDescent="0.3">
      <c r="B60" s="115"/>
      <c r="C60" s="112" t="s">
        <v>1500</v>
      </c>
      <c r="D60" s="1499">
        <v>5.8121149643373036</v>
      </c>
      <c r="E60" s="1499">
        <v>4.657607741381427</v>
      </c>
      <c r="F60" s="1499">
        <v>3.6572527720414651</v>
      </c>
      <c r="G60" s="1499">
        <v>3.3221323316527869</v>
      </c>
      <c r="H60" s="1499">
        <v>4.0955905625174109</v>
      </c>
      <c r="I60" s="1499">
        <v>5.7562491963311118</v>
      </c>
      <c r="J60" s="1499">
        <v>5.1491440230899288</v>
      </c>
      <c r="K60" s="113">
        <v>3.3713278364715178</v>
      </c>
    </row>
    <row r="61" spans="2:11" x14ac:dyDescent="0.3">
      <c r="B61" s="115"/>
      <c r="C61" s="112" t="s">
        <v>1504</v>
      </c>
      <c r="D61" s="1499">
        <v>5.8957138548620103</v>
      </c>
      <c r="E61" s="1499">
        <v>4.7378015505346189</v>
      </c>
      <c r="F61" s="1499">
        <v>3.7380986673548335</v>
      </c>
      <c r="G61" s="1499">
        <v>3.4009164324286481</v>
      </c>
      <c r="H61" s="1499">
        <v>4.1776583159613114</v>
      </c>
      <c r="I61" s="1499">
        <v>5.836619910496319</v>
      </c>
      <c r="J61" s="1499">
        <v>5.2294914084621542</v>
      </c>
      <c r="K61" s="113">
        <v>3.450233643266881</v>
      </c>
    </row>
    <row r="62" spans="2:11" x14ac:dyDescent="0.3">
      <c r="B62" s="115"/>
      <c r="C62" s="112" t="s">
        <v>1508</v>
      </c>
      <c r="D62" s="1499">
        <v>5.8651259201715353</v>
      </c>
      <c r="E62" s="1499">
        <v>4.7072136158441449</v>
      </c>
      <c r="F62" s="1499">
        <v>3.7075107326643595</v>
      </c>
      <c r="G62" s="1499">
        <v>3.370328497738174</v>
      </c>
      <c r="H62" s="1499">
        <v>4.1470703812708374</v>
      </c>
      <c r="I62" s="1499">
        <v>5.8060319758058441</v>
      </c>
      <c r="J62" s="1499">
        <v>5.1989034737716802</v>
      </c>
      <c r="K62" s="113">
        <v>3.4196457085764069</v>
      </c>
    </row>
    <row r="63" spans="2:11" x14ac:dyDescent="0.3">
      <c r="B63" s="115"/>
      <c r="C63" s="112" t="s">
        <v>1513</v>
      </c>
      <c r="D63" s="1499">
        <v>5.8192440181358238</v>
      </c>
      <c r="E63" s="1499">
        <v>4.6613317138084343</v>
      </c>
      <c r="F63" s="1499">
        <v>3.6616288306286484</v>
      </c>
      <c r="G63" s="1499">
        <v>3.3244465957024625</v>
      </c>
      <c r="H63" s="1499">
        <v>4.1011884792351259</v>
      </c>
      <c r="I63" s="1499">
        <v>5.7601500737701326</v>
      </c>
      <c r="J63" s="1499">
        <v>5.1530215717359686</v>
      </c>
      <c r="K63" s="113">
        <v>3.3737638065406959</v>
      </c>
    </row>
    <row r="64" spans="2:11" x14ac:dyDescent="0.3">
      <c r="B64" s="115"/>
      <c r="C64" s="112" t="s">
        <v>1517</v>
      </c>
      <c r="D64" s="1499">
        <v>5.7733621161001132</v>
      </c>
      <c r="E64" s="1499">
        <v>4.6154498117727227</v>
      </c>
      <c r="F64" s="1499">
        <v>3.6157469285929369</v>
      </c>
      <c r="G64" s="1499">
        <v>3.2785646936667514</v>
      </c>
      <c r="H64" s="1499">
        <v>4.0553065771994152</v>
      </c>
      <c r="I64" s="1499">
        <v>5.7142681717344219</v>
      </c>
      <c r="J64" s="1499">
        <v>5.1071396697002571</v>
      </c>
      <c r="K64" s="113">
        <v>3.3278819045049843</v>
      </c>
    </row>
    <row r="65" spans="2:11" ht="14.5" thickBot="1" x14ac:dyDescent="0.35">
      <c r="B65" s="1233"/>
      <c r="C65" s="116" t="s">
        <v>1519</v>
      </c>
      <c r="D65" s="117">
        <v>5.9570062016778875</v>
      </c>
      <c r="E65" s="117">
        <v>4.80249897872201</v>
      </c>
      <c r="F65" s="117">
        <v>3.8021440093820482</v>
      </c>
      <c r="G65" s="117">
        <v>3.4670235689933699</v>
      </c>
      <c r="H65" s="117">
        <v>4.240481799857994</v>
      </c>
      <c r="I65" s="117">
        <v>5.9011404336716957</v>
      </c>
      <c r="J65" s="117">
        <v>5.2940352604305119</v>
      </c>
      <c r="K65" s="118">
        <v>3.5162190738121009</v>
      </c>
    </row>
    <row r="66" spans="2:11" x14ac:dyDescent="0.3">
      <c r="B66" s="119" t="s">
        <v>1983</v>
      </c>
      <c r="C66" s="108" t="s">
        <v>1416</v>
      </c>
      <c r="D66" s="109">
        <v>5.3648981273984582</v>
      </c>
      <c r="E66" s="109">
        <v>4.1973381846789053</v>
      </c>
      <c r="F66" s="109">
        <v>3.198232694383266</v>
      </c>
      <c r="G66" s="109">
        <v>2.8569839062948081</v>
      </c>
      <c r="H66" s="109">
        <v>3.6417518607444679</v>
      </c>
      <c r="I66" s="109">
        <v>5.3036921645782966</v>
      </c>
      <c r="J66" s="109">
        <v>4.6911352118235845</v>
      </c>
      <c r="K66" s="110">
        <v>2.9058930312074942</v>
      </c>
    </row>
    <row r="67" spans="2:11" x14ac:dyDescent="0.3">
      <c r="B67" s="111"/>
      <c r="C67" s="112" t="s">
        <v>1483</v>
      </c>
      <c r="D67" s="1499">
        <v>5.6732269783407379</v>
      </c>
      <c r="E67" s="1499">
        <v>4.5187197553848595</v>
      </c>
      <c r="F67" s="1499">
        <v>3.5183647860448986</v>
      </c>
      <c r="G67" s="1499">
        <v>3.1832443456562198</v>
      </c>
      <c r="H67" s="1499">
        <v>3.9567025765208443</v>
      </c>
      <c r="I67" s="1499">
        <v>5.6173612103345452</v>
      </c>
      <c r="J67" s="1499">
        <v>5.0102560370933622</v>
      </c>
      <c r="K67" s="113">
        <v>3.2324398504749507</v>
      </c>
    </row>
    <row r="68" spans="2:11" x14ac:dyDescent="0.3">
      <c r="B68" s="111" t="s">
        <v>1981</v>
      </c>
      <c r="C68" s="112" t="s">
        <v>1489</v>
      </c>
      <c r="D68" s="1499">
        <v>5.6370041690055919</v>
      </c>
      <c r="E68" s="1499">
        <v>4.4824969460497144</v>
      </c>
      <c r="F68" s="1499">
        <v>3.482141976709753</v>
      </c>
      <c r="G68" s="1499">
        <v>3.1470215363210743</v>
      </c>
      <c r="H68" s="1499">
        <v>3.9204797671856988</v>
      </c>
      <c r="I68" s="1499">
        <v>5.5811384009994001</v>
      </c>
      <c r="J68" s="1499">
        <v>4.9740332277582171</v>
      </c>
      <c r="K68" s="113">
        <v>3.1962170411398052</v>
      </c>
    </row>
    <row r="69" spans="2:11" x14ac:dyDescent="0.3">
      <c r="B69" s="114">
        <v>0</v>
      </c>
      <c r="C69" s="112" t="s">
        <v>1496</v>
      </c>
      <c r="D69" s="1499">
        <v>5.5826699550028733</v>
      </c>
      <c r="E69" s="1499">
        <v>4.428162732046995</v>
      </c>
      <c r="F69" s="1499">
        <v>3.427807762707034</v>
      </c>
      <c r="G69" s="1499">
        <v>3.0926873223183553</v>
      </c>
      <c r="H69" s="1499">
        <v>3.8661455531829794</v>
      </c>
      <c r="I69" s="1499">
        <v>5.5268041869966806</v>
      </c>
      <c r="J69" s="1499">
        <v>4.9196990137554977</v>
      </c>
      <c r="K69" s="113">
        <v>3.1418828271370862</v>
      </c>
    </row>
    <row r="70" spans="2:11" x14ac:dyDescent="0.3">
      <c r="B70" s="115"/>
      <c r="C70" s="112" t="s">
        <v>1500</v>
      </c>
      <c r="D70" s="1499">
        <v>5.5283357410001548</v>
      </c>
      <c r="E70" s="1499">
        <v>4.3738285180442764</v>
      </c>
      <c r="F70" s="1499">
        <v>3.3734735487043155</v>
      </c>
      <c r="G70" s="1499">
        <v>3.0383531083156363</v>
      </c>
      <c r="H70" s="1499">
        <v>3.8118113391802604</v>
      </c>
      <c r="I70" s="1499">
        <v>5.4724699729939621</v>
      </c>
      <c r="J70" s="1499">
        <v>4.8653647997527782</v>
      </c>
      <c r="K70" s="113">
        <v>3.0875486131343677</v>
      </c>
    </row>
    <row r="71" spans="2:11" x14ac:dyDescent="0.3">
      <c r="B71" s="115"/>
      <c r="C71" s="112" t="s">
        <v>1504</v>
      </c>
      <c r="D71" s="1499">
        <v>5.6119346315248597</v>
      </c>
      <c r="E71" s="1499">
        <v>4.4540223271974693</v>
      </c>
      <c r="F71" s="1499">
        <v>3.4543194440176839</v>
      </c>
      <c r="G71" s="1499">
        <v>3.1171372090914979</v>
      </c>
      <c r="H71" s="1499">
        <v>3.8938790926241618</v>
      </c>
      <c r="I71" s="1499">
        <v>5.5528406871591685</v>
      </c>
      <c r="J71" s="1499">
        <v>4.9457121851250045</v>
      </c>
      <c r="K71" s="113">
        <v>3.1664544199297313</v>
      </c>
    </row>
    <row r="72" spans="2:11" x14ac:dyDescent="0.3">
      <c r="B72" s="115"/>
      <c r="C72" s="112" t="s">
        <v>1508</v>
      </c>
      <c r="D72" s="1499">
        <v>5.5813466968343857</v>
      </c>
      <c r="E72" s="1499">
        <v>4.4234343925069952</v>
      </c>
      <c r="F72" s="1499">
        <v>3.4237315093272098</v>
      </c>
      <c r="G72" s="1499">
        <v>3.0865492744010239</v>
      </c>
      <c r="H72" s="1499">
        <v>3.8632911579336877</v>
      </c>
      <c r="I72" s="1499">
        <v>5.5222527524686944</v>
      </c>
      <c r="J72" s="1499">
        <v>4.9151242504345305</v>
      </c>
      <c r="K72" s="113">
        <v>3.1358664852392573</v>
      </c>
    </row>
    <row r="73" spans="2:11" x14ac:dyDescent="0.3">
      <c r="B73" s="115"/>
      <c r="C73" s="112" t="s">
        <v>1513</v>
      </c>
      <c r="D73" s="1499">
        <v>5.5354647947986741</v>
      </c>
      <c r="E73" s="1499">
        <v>4.3775524904712837</v>
      </c>
      <c r="F73" s="1499">
        <v>3.3778496072914983</v>
      </c>
      <c r="G73" s="1499">
        <v>3.0406673723653128</v>
      </c>
      <c r="H73" s="1499">
        <v>3.8174092558979762</v>
      </c>
      <c r="I73" s="1499">
        <v>5.4763708504329829</v>
      </c>
      <c r="J73" s="1499">
        <v>4.869242348398819</v>
      </c>
      <c r="K73" s="113">
        <v>3.0899845832035457</v>
      </c>
    </row>
    <row r="74" spans="2:11" x14ac:dyDescent="0.3">
      <c r="B74" s="115"/>
      <c r="C74" s="112" t="s">
        <v>1517</v>
      </c>
      <c r="D74" s="1499">
        <v>5.4895828927629635</v>
      </c>
      <c r="E74" s="1499">
        <v>4.3316705884355731</v>
      </c>
      <c r="F74" s="1499">
        <v>3.3319677052557872</v>
      </c>
      <c r="G74" s="1499">
        <v>2.9947854703296013</v>
      </c>
      <c r="H74" s="1499">
        <v>3.7715273538622651</v>
      </c>
      <c r="I74" s="1499">
        <v>5.4304889483972714</v>
      </c>
      <c r="J74" s="1499">
        <v>4.8233604463631075</v>
      </c>
      <c r="K74" s="113">
        <v>3.0441026811678347</v>
      </c>
    </row>
    <row r="75" spans="2:11" ht="14.5" thickBot="1" x14ac:dyDescent="0.35">
      <c r="B75" s="1233"/>
      <c r="C75" s="116" t="s">
        <v>1519</v>
      </c>
      <c r="D75" s="117">
        <v>5.6732269783407379</v>
      </c>
      <c r="E75" s="117">
        <v>4.5187197553848595</v>
      </c>
      <c r="F75" s="117">
        <v>3.5183647860448986</v>
      </c>
      <c r="G75" s="117">
        <v>3.1832443456562198</v>
      </c>
      <c r="H75" s="117">
        <v>3.9567025765208443</v>
      </c>
      <c r="I75" s="117">
        <v>5.6173612103345452</v>
      </c>
      <c r="J75" s="117">
        <v>5.0102560370933622</v>
      </c>
      <c r="K75" s="118">
        <v>3.2324398504749507</v>
      </c>
    </row>
    <row r="76" spans="2:11" x14ac:dyDescent="0.3">
      <c r="B76" s="119" t="s">
        <v>1983</v>
      </c>
      <c r="C76" s="108" t="s">
        <v>1416</v>
      </c>
      <c r="D76" s="109">
        <v>5.0811189040613085</v>
      </c>
      <c r="E76" s="109">
        <v>3.9135589613417556</v>
      </c>
      <c r="F76" s="109">
        <v>2.9144534710461159</v>
      </c>
      <c r="G76" s="109">
        <v>2.5732046829576585</v>
      </c>
      <c r="H76" s="109">
        <v>3.3579726374073178</v>
      </c>
      <c r="I76" s="109">
        <v>5.019912941241147</v>
      </c>
      <c r="J76" s="109">
        <v>4.407355988486434</v>
      </c>
      <c r="K76" s="110">
        <v>2.6221138078703441</v>
      </c>
    </row>
    <row r="77" spans="2:11" x14ac:dyDescent="0.3">
      <c r="B77" s="111"/>
      <c r="C77" s="112" t="s">
        <v>1483</v>
      </c>
      <c r="D77" s="1499">
        <v>5.3894477550035873</v>
      </c>
      <c r="E77" s="1499">
        <v>4.2349405320477098</v>
      </c>
      <c r="F77" s="1499">
        <v>3.2345855627077484</v>
      </c>
      <c r="G77" s="1499">
        <v>2.8994651223190702</v>
      </c>
      <c r="H77" s="1499">
        <v>3.6729233531836942</v>
      </c>
      <c r="I77" s="1499">
        <v>5.3335819869973955</v>
      </c>
      <c r="J77" s="1499">
        <v>4.7264768137562125</v>
      </c>
      <c r="K77" s="113">
        <v>2.9486606271378011</v>
      </c>
    </row>
    <row r="78" spans="2:11" x14ac:dyDescent="0.3">
      <c r="B78" s="111" t="s">
        <v>1982</v>
      </c>
      <c r="C78" s="112" t="s">
        <v>1489</v>
      </c>
      <c r="D78" s="1499">
        <v>5.3532249456684422</v>
      </c>
      <c r="E78" s="1499">
        <v>4.1987177227125647</v>
      </c>
      <c r="F78" s="1499">
        <v>3.1983627533726029</v>
      </c>
      <c r="G78" s="1499">
        <v>2.8632423129839246</v>
      </c>
      <c r="H78" s="1499">
        <v>3.6367005438485487</v>
      </c>
      <c r="I78" s="1499">
        <v>5.2973591776622504</v>
      </c>
      <c r="J78" s="1499">
        <v>4.6902540044210665</v>
      </c>
      <c r="K78" s="113">
        <v>2.9124378178026551</v>
      </c>
    </row>
    <row r="79" spans="2:11" x14ac:dyDescent="0.3">
      <c r="B79" s="114">
        <v>0</v>
      </c>
      <c r="C79" s="112" t="s">
        <v>1496</v>
      </c>
      <c r="D79" s="1499">
        <v>5.2988907316657228</v>
      </c>
      <c r="E79" s="1499">
        <v>4.1443835087098453</v>
      </c>
      <c r="F79" s="1499">
        <v>3.1440285393698839</v>
      </c>
      <c r="G79" s="1499">
        <v>2.8089080989812052</v>
      </c>
      <c r="H79" s="1499">
        <v>3.5823663298458297</v>
      </c>
      <c r="I79" s="1499">
        <v>5.243024963659531</v>
      </c>
      <c r="J79" s="1499">
        <v>4.635919790418348</v>
      </c>
      <c r="K79" s="113">
        <v>2.8581036037999361</v>
      </c>
    </row>
    <row r="80" spans="2:11" x14ac:dyDescent="0.3">
      <c r="B80" s="115"/>
      <c r="C80" s="112" t="s">
        <v>1500</v>
      </c>
      <c r="D80" s="1499">
        <v>5.2445565176630042</v>
      </c>
      <c r="E80" s="1499">
        <v>4.0900492947071259</v>
      </c>
      <c r="F80" s="1499">
        <v>3.0896943253671649</v>
      </c>
      <c r="G80" s="1499">
        <v>2.7545738849784867</v>
      </c>
      <c r="H80" s="1499">
        <v>3.5280321158431107</v>
      </c>
      <c r="I80" s="1499">
        <v>5.1886907496568115</v>
      </c>
      <c r="J80" s="1499">
        <v>4.5815855764156286</v>
      </c>
      <c r="K80" s="113">
        <v>2.8037693897972176</v>
      </c>
    </row>
    <row r="81" spans="2:11" x14ac:dyDescent="0.3">
      <c r="B81" s="115"/>
      <c r="C81" s="112" t="s">
        <v>1504</v>
      </c>
      <c r="D81" s="1499">
        <v>5.3281554081877101</v>
      </c>
      <c r="E81" s="1499">
        <v>4.1702431038603196</v>
      </c>
      <c r="F81" s="1499">
        <v>3.1705402206805338</v>
      </c>
      <c r="G81" s="1499">
        <v>2.8333579857543483</v>
      </c>
      <c r="H81" s="1499">
        <v>3.6100998692870117</v>
      </c>
      <c r="I81" s="1499">
        <v>5.2690614638220188</v>
      </c>
      <c r="J81" s="1499">
        <v>4.661932961787854</v>
      </c>
      <c r="K81" s="113">
        <v>2.8826751965925812</v>
      </c>
    </row>
    <row r="82" spans="2:11" x14ac:dyDescent="0.3">
      <c r="B82" s="115"/>
      <c r="C82" s="112" t="s">
        <v>1508</v>
      </c>
      <c r="D82" s="1499">
        <v>5.297567473497236</v>
      </c>
      <c r="E82" s="1499">
        <v>4.1396551691698455</v>
      </c>
      <c r="F82" s="1499">
        <v>3.1399522859900597</v>
      </c>
      <c r="G82" s="1499">
        <v>2.8027700510638742</v>
      </c>
      <c r="H82" s="1499">
        <v>3.5795119345965376</v>
      </c>
      <c r="I82" s="1499">
        <v>5.2384735291315447</v>
      </c>
      <c r="J82" s="1499">
        <v>4.6313450270973799</v>
      </c>
      <c r="K82" s="113">
        <v>2.8520872619021072</v>
      </c>
    </row>
    <row r="83" spans="2:11" x14ac:dyDescent="0.3">
      <c r="B83" s="115"/>
      <c r="C83" s="112" t="s">
        <v>1513</v>
      </c>
      <c r="D83" s="1499">
        <v>5.2516855714615245</v>
      </c>
      <c r="E83" s="1499">
        <v>4.093773267134134</v>
      </c>
      <c r="F83" s="1499">
        <v>3.0940703839543486</v>
      </c>
      <c r="G83" s="1499">
        <v>2.7568881490281627</v>
      </c>
      <c r="H83" s="1499">
        <v>3.5336300325608265</v>
      </c>
      <c r="I83" s="1499">
        <v>5.1925916270958332</v>
      </c>
      <c r="J83" s="1499">
        <v>4.5854631250616693</v>
      </c>
      <c r="K83" s="113">
        <v>2.8062053598663961</v>
      </c>
    </row>
    <row r="84" spans="2:11" x14ac:dyDescent="0.3">
      <c r="B84" s="115"/>
      <c r="C84" s="112" t="s">
        <v>1517</v>
      </c>
      <c r="D84" s="1499">
        <v>5.205803669425813</v>
      </c>
      <c r="E84" s="1499">
        <v>4.0478913650984225</v>
      </c>
      <c r="F84" s="1499">
        <v>3.0481884819186371</v>
      </c>
      <c r="G84" s="1499">
        <v>2.7110062469924516</v>
      </c>
      <c r="H84" s="1499">
        <v>3.487748130525115</v>
      </c>
      <c r="I84" s="1499">
        <v>5.1467097250601217</v>
      </c>
      <c r="J84" s="1499">
        <v>4.5395812230259578</v>
      </c>
      <c r="K84" s="113">
        <v>2.7603234578306846</v>
      </c>
    </row>
    <row r="85" spans="2:11" ht="14.5" thickBot="1" x14ac:dyDescent="0.35">
      <c r="B85" s="1233"/>
      <c r="C85" s="116" t="s">
        <v>1519</v>
      </c>
      <c r="D85" s="117">
        <v>5.3894477550035873</v>
      </c>
      <c r="E85" s="117">
        <v>4.2349405320477098</v>
      </c>
      <c r="F85" s="117">
        <v>3.2345855627077484</v>
      </c>
      <c r="G85" s="117">
        <v>2.8994651223190702</v>
      </c>
      <c r="H85" s="117">
        <v>3.6729233531836942</v>
      </c>
      <c r="I85" s="117">
        <v>5.3335819869973955</v>
      </c>
      <c r="J85" s="117">
        <v>4.7264768137562125</v>
      </c>
      <c r="K85" s="118">
        <v>2.9486606271378011</v>
      </c>
    </row>
    <row r="87" spans="2:11" ht="14.5" thickBot="1" x14ac:dyDescent="0.35"/>
    <row r="88" spans="2:11" ht="25.5" thickBot="1" x14ac:dyDescent="0.55000000000000004">
      <c r="B88" s="88" t="s">
        <v>1960</v>
      </c>
      <c r="C88" s="89"/>
      <c r="D88" s="90">
        <v>6</v>
      </c>
      <c r="E88" s="91" t="s">
        <v>1984</v>
      </c>
      <c r="F88" s="92"/>
      <c r="G88" s="92"/>
      <c r="H88" s="92"/>
      <c r="I88" s="93"/>
      <c r="J88" s="89" t="s">
        <v>176</v>
      </c>
      <c r="K88" s="94" t="s">
        <v>214</v>
      </c>
    </row>
    <row r="89" spans="2:11" ht="14.5" thickBot="1" x14ac:dyDescent="0.35">
      <c r="B89" s="95" t="s">
        <v>1962</v>
      </c>
      <c r="C89" s="96" t="s">
        <v>1963</v>
      </c>
      <c r="D89" s="95" t="s">
        <v>1964</v>
      </c>
      <c r="E89" s="97" t="s">
        <v>1965</v>
      </c>
      <c r="F89" s="97" t="s">
        <v>1966</v>
      </c>
      <c r="G89" s="97" t="s">
        <v>1967</v>
      </c>
      <c r="H89" s="97" t="s">
        <v>1968</v>
      </c>
      <c r="I89" s="97" t="s">
        <v>1969</v>
      </c>
      <c r="J89" s="97" t="s">
        <v>1970</v>
      </c>
      <c r="K89" s="98" t="s">
        <v>1971</v>
      </c>
    </row>
    <row r="90" spans="2:11" ht="14.5" thickBot="1" x14ac:dyDescent="0.35">
      <c r="B90" s="99"/>
      <c r="C90" s="99"/>
      <c r="D90" s="100"/>
      <c r="E90" s="944"/>
      <c r="F90" s="944"/>
      <c r="G90" s="944"/>
      <c r="H90" s="944"/>
      <c r="I90" s="944"/>
      <c r="J90" s="944"/>
      <c r="K90" s="102"/>
    </row>
    <row r="91" spans="2:11" ht="90.5" thickBot="1" x14ac:dyDescent="0.45">
      <c r="B91" s="103" t="s">
        <v>1972</v>
      </c>
      <c r="C91" s="103" t="s">
        <v>1973</v>
      </c>
      <c r="D91" s="105" t="s">
        <v>1974</v>
      </c>
      <c r="E91" s="105" t="s">
        <v>1525</v>
      </c>
      <c r="F91" s="105" t="s">
        <v>1527</v>
      </c>
      <c r="G91" s="105" t="s">
        <v>1975</v>
      </c>
      <c r="H91" s="105" t="s">
        <v>1976</v>
      </c>
      <c r="I91" s="105" t="s">
        <v>1445</v>
      </c>
      <c r="J91" s="105" t="s">
        <v>1538</v>
      </c>
      <c r="K91" s="106" t="s">
        <v>1541</v>
      </c>
    </row>
    <row r="92" spans="2:11" x14ac:dyDescent="0.3">
      <c r="B92" s="107" t="s">
        <v>1985</v>
      </c>
      <c r="C92" s="108" t="s">
        <v>1416</v>
      </c>
      <c r="D92" s="109">
        <v>4.3553204807378156</v>
      </c>
      <c r="E92" s="109">
        <v>3.0447505501013357</v>
      </c>
      <c r="F92" s="109">
        <v>2.2306501541234134</v>
      </c>
      <c r="G92" s="109">
        <v>1.834916859015348</v>
      </c>
      <c r="H92" s="109">
        <v>2.6398491784150524</v>
      </c>
      <c r="I92" s="109">
        <v>4.072138926437292</v>
      </c>
      <c r="J92" s="109">
        <v>3.4978784040724897</v>
      </c>
      <c r="K92" s="110">
        <v>1.8784536091925252</v>
      </c>
    </row>
    <row r="93" spans="2:11" x14ac:dyDescent="0.3">
      <c r="B93" s="111"/>
      <c r="C93" s="112" t="s">
        <v>1483</v>
      </c>
      <c r="D93" s="1499">
        <v>4.6569759269098379</v>
      </c>
      <c r="E93" s="1499">
        <v>3.3645720667595773</v>
      </c>
      <c r="F93" s="1499">
        <v>2.5418156090625805</v>
      </c>
      <c r="G93" s="1499">
        <v>2.1464458116740062</v>
      </c>
      <c r="H93" s="1499">
        <v>2.9398569755017721</v>
      </c>
      <c r="I93" s="1499">
        <v>4.3907167467063442</v>
      </c>
      <c r="J93" s="1499">
        <v>3.8186152929412995</v>
      </c>
      <c r="K93" s="113">
        <v>2.1877261843280364</v>
      </c>
    </row>
    <row r="94" spans="2:11" x14ac:dyDescent="0.3">
      <c r="B94" s="111" t="s">
        <v>1986</v>
      </c>
      <c r="C94" s="112" t="s">
        <v>1489</v>
      </c>
      <c r="D94" s="1499">
        <v>4.6207531175746928</v>
      </c>
      <c r="E94" s="1499">
        <v>3.3283492574244318</v>
      </c>
      <c r="F94" s="1499">
        <v>2.5055927997274345</v>
      </c>
      <c r="G94" s="1499">
        <v>2.1102230023388602</v>
      </c>
      <c r="H94" s="1499">
        <v>2.9036341661666261</v>
      </c>
      <c r="I94" s="1499">
        <v>4.3544939373711982</v>
      </c>
      <c r="J94" s="1499">
        <v>3.782392483606154</v>
      </c>
      <c r="K94" s="113">
        <v>2.1515033749928905</v>
      </c>
    </row>
    <row r="95" spans="2:11" x14ac:dyDescent="0.3">
      <c r="B95" s="114">
        <v>0</v>
      </c>
      <c r="C95" s="112" t="s">
        <v>1496</v>
      </c>
      <c r="D95" s="1499">
        <v>4.5664189035719733</v>
      </c>
      <c r="E95" s="1499">
        <v>3.2740150434217128</v>
      </c>
      <c r="F95" s="1499">
        <v>2.451258585724716</v>
      </c>
      <c r="G95" s="1499">
        <v>2.0558887883361416</v>
      </c>
      <c r="H95" s="1499">
        <v>2.8492999521639071</v>
      </c>
      <c r="I95" s="1499">
        <v>4.3001597233684796</v>
      </c>
      <c r="J95" s="1499">
        <v>3.728058269603435</v>
      </c>
      <c r="K95" s="113">
        <v>2.0971691609901719</v>
      </c>
    </row>
    <row r="96" spans="2:11" x14ac:dyDescent="0.3">
      <c r="B96" s="115"/>
      <c r="C96" s="112" t="s">
        <v>1500</v>
      </c>
      <c r="D96" s="1499">
        <v>4.5120846895692548</v>
      </c>
      <c r="E96" s="1499">
        <v>3.2196808294189938</v>
      </c>
      <c r="F96" s="1499">
        <v>2.396924371721997</v>
      </c>
      <c r="G96" s="1499">
        <v>2.0015545743334227</v>
      </c>
      <c r="H96" s="1499">
        <v>2.7949657381611881</v>
      </c>
      <c r="I96" s="1499">
        <v>4.2458255093657602</v>
      </c>
      <c r="J96" s="1499">
        <v>3.673724055600716</v>
      </c>
      <c r="K96" s="113">
        <v>2.0428349469874529</v>
      </c>
    </row>
    <row r="97" spans="2:11" x14ac:dyDescent="0.3">
      <c r="B97" s="115"/>
      <c r="C97" s="112" t="s">
        <v>1504</v>
      </c>
      <c r="D97" s="1499">
        <v>4.5969796429056684</v>
      </c>
      <c r="E97" s="1499">
        <v>3.3001449676236638</v>
      </c>
      <c r="F97" s="1499">
        <v>2.479439920331076</v>
      </c>
      <c r="G97" s="1499">
        <v>2.0841443774704906</v>
      </c>
      <c r="H97" s="1499">
        <v>2.8771094844456817</v>
      </c>
      <c r="I97" s="1499">
        <v>4.3268981932724735</v>
      </c>
      <c r="J97" s="1499">
        <v>3.7540756441756264</v>
      </c>
      <c r="K97" s="113">
        <v>2.1259086014627164</v>
      </c>
    </row>
    <row r="98" spans="2:11" x14ac:dyDescent="0.3">
      <c r="B98" s="115"/>
      <c r="C98" s="112" t="s">
        <v>1508</v>
      </c>
      <c r="D98" s="1499">
        <v>4.5663917082151944</v>
      </c>
      <c r="E98" s="1499">
        <v>3.2695570329331898</v>
      </c>
      <c r="F98" s="1499">
        <v>2.4488519856406015</v>
      </c>
      <c r="G98" s="1499">
        <v>2.0535564427800166</v>
      </c>
      <c r="H98" s="1499">
        <v>2.8465215497552077</v>
      </c>
      <c r="I98" s="1499">
        <v>4.2963102585819994</v>
      </c>
      <c r="J98" s="1499">
        <v>3.7234877094851524</v>
      </c>
      <c r="K98" s="113">
        <v>2.0953206667722419</v>
      </c>
    </row>
    <row r="99" spans="2:11" x14ac:dyDescent="0.3">
      <c r="B99" s="115"/>
      <c r="C99" s="112" t="s">
        <v>1513</v>
      </c>
      <c r="D99" s="1499">
        <v>4.5205098061794837</v>
      </c>
      <c r="E99" s="1499">
        <v>3.2236751308974783</v>
      </c>
      <c r="F99" s="1499">
        <v>2.4029700836048904</v>
      </c>
      <c r="G99" s="1499">
        <v>2.0076745407443051</v>
      </c>
      <c r="H99" s="1499">
        <v>2.8006396477194961</v>
      </c>
      <c r="I99" s="1499">
        <v>4.2504283565462879</v>
      </c>
      <c r="J99" s="1499">
        <v>3.6776058074494409</v>
      </c>
      <c r="K99" s="113">
        <v>2.0494387647365309</v>
      </c>
    </row>
    <row r="100" spans="2:11" x14ac:dyDescent="0.3">
      <c r="B100" s="115"/>
      <c r="C100" s="112" t="s">
        <v>1517</v>
      </c>
      <c r="D100" s="1499">
        <v>4.4746279041437722</v>
      </c>
      <c r="E100" s="1499">
        <v>3.1777932288617672</v>
      </c>
      <c r="F100" s="1499">
        <v>2.3570881815691789</v>
      </c>
      <c r="G100" s="1499">
        <v>1.9617926387085938</v>
      </c>
      <c r="H100" s="1499">
        <v>2.7547577456837851</v>
      </c>
      <c r="I100" s="1499">
        <v>4.2045464545105773</v>
      </c>
      <c r="J100" s="1499">
        <v>3.6317239054137298</v>
      </c>
      <c r="K100" s="113">
        <v>2.0035568627008193</v>
      </c>
    </row>
    <row r="101" spans="2:11" ht="14.5" thickBot="1" x14ac:dyDescent="0.35">
      <c r="B101" s="115"/>
      <c r="C101" s="116" t="s">
        <v>1519</v>
      </c>
      <c r="D101" s="117">
        <v>4.6569759269098379</v>
      </c>
      <c r="E101" s="117">
        <v>3.3645720667595773</v>
      </c>
      <c r="F101" s="117">
        <v>2.5418156090625805</v>
      </c>
      <c r="G101" s="117">
        <v>2.1464458116740062</v>
      </c>
      <c r="H101" s="117">
        <v>2.9398569755017721</v>
      </c>
      <c r="I101" s="117">
        <v>4.3907167467063442</v>
      </c>
      <c r="J101" s="117">
        <v>3.8186152929412995</v>
      </c>
      <c r="K101" s="118">
        <v>2.1877261843280364</v>
      </c>
    </row>
    <row r="102" spans="2:11" x14ac:dyDescent="0.3">
      <c r="B102" s="120" t="s">
        <v>1985</v>
      </c>
      <c r="C102" s="1234" t="s">
        <v>1416</v>
      </c>
      <c r="D102" s="109">
        <v>4.2366375583592388</v>
      </c>
      <c r="E102" s="109">
        <v>2.9260676277227584</v>
      </c>
      <c r="F102" s="109">
        <v>2.1119672317448361</v>
      </c>
      <c r="G102" s="109">
        <v>1.7162339366367709</v>
      </c>
      <c r="H102" s="109">
        <v>2.5211662560364752</v>
      </c>
      <c r="I102" s="109">
        <v>3.9534560040587143</v>
      </c>
      <c r="J102" s="109">
        <v>3.379195481693912</v>
      </c>
      <c r="K102" s="110">
        <v>1.759770686813948</v>
      </c>
    </row>
    <row r="103" spans="2:11" x14ac:dyDescent="0.3">
      <c r="B103" s="121"/>
      <c r="C103" s="1500" t="s">
        <v>1483</v>
      </c>
      <c r="D103" s="1499">
        <v>4.5382930045312611</v>
      </c>
      <c r="E103" s="1499">
        <v>3.2458891443810001</v>
      </c>
      <c r="F103" s="1499">
        <v>2.4231326866840033</v>
      </c>
      <c r="G103" s="1499">
        <v>2.0277628892954294</v>
      </c>
      <c r="H103" s="1499">
        <v>2.8211740531231948</v>
      </c>
      <c r="I103" s="1499">
        <v>4.2720338243277665</v>
      </c>
      <c r="J103" s="1499">
        <v>3.6999323705627223</v>
      </c>
      <c r="K103" s="113">
        <v>2.0690432619494592</v>
      </c>
    </row>
    <row r="104" spans="2:11" x14ac:dyDescent="0.3">
      <c r="B104" s="111" t="s">
        <v>1987</v>
      </c>
      <c r="C104" s="1500" t="s">
        <v>1489</v>
      </c>
      <c r="D104" s="1499">
        <v>4.5020701951961151</v>
      </c>
      <c r="E104" s="1499">
        <v>3.2096663350458545</v>
      </c>
      <c r="F104" s="1499">
        <v>2.3869098773488577</v>
      </c>
      <c r="G104" s="1499">
        <v>1.9915400799602834</v>
      </c>
      <c r="H104" s="1499">
        <v>2.7849512437880488</v>
      </c>
      <c r="I104" s="1499">
        <v>4.2358110149926214</v>
      </c>
      <c r="J104" s="1499">
        <v>3.6637095612275767</v>
      </c>
      <c r="K104" s="113">
        <v>2.0328204526143137</v>
      </c>
    </row>
    <row r="105" spans="2:11" x14ac:dyDescent="0.3">
      <c r="B105" s="122">
        <v>0</v>
      </c>
      <c r="C105" s="1500" t="s">
        <v>1496</v>
      </c>
      <c r="D105" s="1499">
        <v>4.4477359811933965</v>
      </c>
      <c r="E105" s="1499">
        <v>3.1553321210431355</v>
      </c>
      <c r="F105" s="1499">
        <v>2.3325756633461388</v>
      </c>
      <c r="G105" s="1499">
        <v>1.9372058659575646</v>
      </c>
      <c r="H105" s="1499">
        <v>2.7306170297853303</v>
      </c>
      <c r="I105" s="1499">
        <v>4.1814768009899019</v>
      </c>
      <c r="J105" s="1499">
        <v>3.6093753472248573</v>
      </c>
      <c r="K105" s="113">
        <v>1.9784862386115947</v>
      </c>
    </row>
    <row r="106" spans="2:11" x14ac:dyDescent="0.3">
      <c r="B106" s="123"/>
      <c r="C106" s="1500" t="s">
        <v>1500</v>
      </c>
      <c r="D106" s="1499">
        <v>4.393401767190678</v>
      </c>
      <c r="E106" s="1499">
        <v>3.100997907040417</v>
      </c>
      <c r="F106" s="1499">
        <v>2.2782414493434198</v>
      </c>
      <c r="G106" s="1499">
        <v>1.8828716519548456</v>
      </c>
      <c r="H106" s="1499">
        <v>2.6762828157826113</v>
      </c>
      <c r="I106" s="1499">
        <v>4.1271425869871834</v>
      </c>
      <c r="J106" s="1499">
        <v>3.5550411332221392</v>
      </c>
      <c r="K106" s="113">
        <v>1.9241520246088757</v>
      </c>
    </row>
    <row r="107" spans="2:11" x14ac:dyDescent="0.3">
      <c r="B107" s="123"/>
      <c r="C107" s="1500" t="s">
        <v>1504</v>
      </c>
      <c r="D107" s="1499">
        <v>4.4782967205270916</v>
      </c>
      <c r="E107" s="1499">
        <v>3.1814620452450861</v>
      </c>
      <c r="F107" s="1499">
        <v>2.3607569979524987</v>
      </c>
      <c r="G107" s="1499">
        <v>1.9654614550919136</v>
      </c>
      <c r="H107" s="1499">
        <v>2.7584265620671049</v>
      </c>
      <c r="I107" s="1499">
        <v>4.2082152708938967</v>
      </c>
      <c r="J107" s="1499">
        <v>3.6353927217970488</v>
      </c>
      <c r="K107" s="113">
        <v>2.0072256790841392</v>
      </c>
    </row>
    <row r="108" spans="2:11" x14ac:dyDescent="0.3">
      <c r="B108" s="123"/>
      <c r="C108" s="1500" t="s">
        <v>1508</v>
      </c>
      <c r="D108" s="1499">
        <v>4.4477087858366176</v>
      </c>
      <c r="E108" s="1499">
        <v>3.1508741105546125</v>
      </c>
      <c r="F108" s="1499">
        <v>2.3301690632620247</v>
      </c>
      <c r="G108" s="1499">
        <v>1.9348735204014393</v>
      </c>
      <c r="H108" s="1499">
        <v>2.7278386273766304</v>
      </c>
      <c r="I108" s="1499">
        <v>4.1776273362034226</v>
      </c>
      <c r="J108" s="1499">
        <v>3.6048047871065751</v>
      </c>
      <c r="K108" s="113">
        <v>1.9766377443936649</v>
      </c>
    </row>
    <row r="109" spans="2:11" x14ac:dyDescent="0.3">
      <c r="B109" s="123"/>
      <c r="C109" s="1500" t="s">
        <v>1513</v>
      </c>
      <c r="D109" s="1499">
        <v>4.401826883800906</v>
      </c>
      <c r="E109" s="1499">
        <v>3.104992208518901</v>
      </c>
      <c r="F109" s="1499">
        <v>2.2842871612263131</v>
      </c>
      <c r="G109" s="1499">
        <v>1.888991618365728</v>
      </c>
      <c r="H109" s="1499">
        <v>2.6819567253409193</v>
      </c>
      <c r="I109" s="1499">
        <v>4.1317454341677111</v>
      </c>
      <c r="J109" s="1499">
        <v>3.5589228850708636</v>
      </c>
      <c r="K109" s="113">
        <v>1.9307558423579536</v>
      </c>
    </row>
    <row r="110" spans="2:11" x14ac:dyDescent="0.3">
      <c r="B110" s="123"/>
      <c r="C110" s="1500" t="s">
        <v>1517</v>
      </c>
      <c r="D110" s="1499">
        <v>4.3559449817651945</v>
      </c>
      <c r="E110" s="1499">
        <v>3.0591103064831895</v>
      </c>
      <c r="F110" s="1499">
        <v>2.2384052591906021</v>
      </c>
      <c r="G110" s="1499">
        <v>1.8431097163300167</v>
      </c>
      <c r="H110" s="1499">
        <v>2.6360748233052078</v>
      </c>
      <c r="I110" s="1499">
        <v>4.0858635321319996</v>
      </c>
      <c r="J110" s="1499">
        <v>3.5130409830351521</v>
      </c>
      <c r="K110" s="113">
        <v>1.8848739403222423</v>
      </c>
    </row>
    <row r="111" spans="2:11" ht="14.5" thickBot="1" x14ac:dyDescent="0.35">
      <c r="B111" s="124"/>
      <c r="C111" s="125" t="s">
        <v>1519</v>
      </c>
      <c r="D111" s="117">
        <v>4.5382930045312611</v>
      </c>
      <c r="E111" s="117">
        <v>3.2458891443810001</v>
      </c>
      <c r="F111" s="117">
        <v>2.4231326866840033</v>
      </c>
      <c r="G111" s="117">
        <v>2.0277628892954294</v>
      </c>
      <c r="H111" s="117">
        <v>2.8211740531231948</v>
      </c>
      <c r="I111" s="117">
        <v>4.2720338243277665</v>
      </c>
      <c r="J111" s="117">
        <v>3.6999323705627223</v>
      </c>
      <c r="K111" s="118">
        <v>2.0690432619494592</v>
      </c>
    </row>
    <row r="112" spans="2:11" x14ac:dyDescent="0.3">
      <c r="B112" s="119" t="s">
        <v>1985</v>
      </c>
      <c r="C112" s="108" t="s">
        <v>1416</v>
      </c>
      <c r="D112" s="109">
        <v>4.0586131747913727</v>
      </c>
      <c r="E112" s="109">
        <v>2.7480432441548923</v>
      </c>
      <c r="F112" s="109">
        <v>1.9339428481769705</v>
      </c>
      <c r="G112" s="109">
        <v>1.5382095530689051</v>
      </c>
      <c r="H112" s="109">
        <v>2.3431418724686095</v>
      </c>
      <c r="I112" s="109">
        <v>3.7754316204908487</v>
      </c>
      <c r="J112" s="109">
        <v>3.2011710981260464</v>
      </c>
      <c r="K112" s="110">
        <v>1.5817463032460823</v>
      </c>
    </row>
    <row r="113" spans="2:11" x14ac:dyDescent="0.3">
      <c r="B113" s="111"/>
      <c r="C113" s="112" t="s">
        <v>1483</v>
      </c>
      <c r="D113" s="1499">
        <v>4.3602686209633958</v>
      </c>
      <c r="E113" s="1499">
        <v>3.0678647608131349</v>
      </c>
      <c r="F113" s="1499">
        <v>2.2451083031161376</v>
      </c>
      <c r="G113" s="1499">
        <v>1.8497385057275635</v>
      </c>
      <c r="H113" s="1499">
        <v>2.6431496695553292</v>
      </c>
      <c r="I113" s="1499">
        <v>4.0940094407599013</v>
      </c>
      <c r="J113" s="1499">
        <v>3.5219079869948571</v>
      </c>
      <c r="K113" s="113">
        <v>1.8910188783815935</v>
      </c>
    </row>
    <row r="114" spans="2:11" ht="14.5" thickBot="1" x14ac:dyDescent="0.35">
      <c r="B114" s="111" t="s">
        <v>1988</v>
      </c>
      <c r="C114" s="112" t="s">
        <v>1489</v>
      </c>
      <c r="D114" s="1499">
        <v>4.324045811628249</v>
      </c>
      <c r="E114" s="1499">
        <v>3.0316419514779889</v>
      </c>
      <c r="F114" s="1501">
        <v>2.2088854937809916</v>
      </c>
      <c r="G114" s="1499">
        <v>1.8135156963924175</v>
      </c>
      <c r="H114" s="1499">
        <v>2.6069268602201832</v>
      </c>
      <c r="I114" s="1499">
        <v>4.0577866314247553</v>
      </c>
      <c r="J114" s="1499">
        <v>3.4856851776597106</v>
      </c>
      <c r="K114" s="113">
        <v>1.8547960690464478</v>
      </c>
    </row>
    <row r="115" spans="2:11" ht="14.5" thickBot="1" x14ac:dyDescent="0.35">
      <c r="B115" s="114">
        <v>0</v>
      </c>
      <c r="C115" s="112" t="s">
        <v>1496</v>
      </c>
      <c r="D115" s="1499">
        <v>4.2697115976255304</v>
      </c>
      <c r="E115" s="1502">
        <v>2.9773077374752699</v>
      </c>
      <c r="F115" s="126">
        <v>2.1545512797782731</v>
      </c>
      <c r="G115" s="1503">
        <v>1.759181482389699</v>
      </c>
      <c r="H115" s="1499">
        <v>2.5525926462174646</v>
      </c>
      <c r="I115" s="1499">
        <v>4.0034524174220358</v>
      </c>
      <c r="J115" s="1499">
        <v>3.4313509636569917</v>
      </c>
      <c r="K115" s="113">
        <v>1.800461855043729</v>
      </c>
    </row>
    <row r="116" spans="2:11" x14ac:dyDescent="0.3">
      <c r="B116" s="115"/>
      <c r="C116" s="112" t="s">
        <v>1500</v>
      </c>
      <c r="D116" s="1499">
        <v>4.2153773836228119</v>
      </c>
      <c r="E116" s="1499">
        <v>2.9229735234725513</v>
      </c>
      <c r="F116" s="127">
        <v>2.1002170657755541</v>
      </c>
      <c r="G116" s="1499">
        <v>1.7048472683869802</v>
      </c>
      <c r="H116" s="1499">
        <v>2.4982584322147456</v>
      </c>
      <c r="I116" s="1499">
        <v>3.9491182034193177</v>
      </c>
      <c r="J116" s="1499">
        <v>3.3770167496542736</v>
      </c>
      <c r="K116" s="113">
        <v>1.74612764104101</v>
      </c>
    </row>
    <row r="117" spans="2:11" x14ac:dyDescent="0.3">
      <c r="B117" s="115"/>
      <c r="C117" s="112" t="s">
        <v>1504</v>
      </c>
      <c r="D117" s="1499">
        <v>4.3002723369592255</v>
      </c>
      <c r="E117" s="1499">
        <v>3.0034376616772205</v>
      </c>
      <c r="F117" s="1499">
        <v>2.1827326143846331</v>
      </c>
      <c r="G117" s="1499">
        <v>1.787437071524048</v>
      </c>
      <c r="H117" s="1499">
        <v>2.5804021784992388</v>
      </c>
      <c r="I117" s="1499">
        <v>4.0301908873260306</v>
      </c>
      <c r="J117" s="1499">
        <v>3.4573683382291831</v>
      </c>
      <c r="K117" s="113">
        <v>1.8292012955162735</v>
      </c>
    </row>
    <row r="118" spans="2:11" x14ac:dyDescent="0.3">
      <c r="B118" s="115"/>
      <c r="C118" s="112" t="s">
        <v>1508</v>
      </c>
      <c r="D118" s="1499">
        <v>4.2696844022687515</v>
      </c>
      <c r="E118" s="1499">
        <v>2.9728497269867464</v>
      </c>
      <c r="F118" s="1499">
        <v>2.152144679694159</v>
      </c>
      <c r="G118" s="1499">
        <v>1.7568491368335737</v>
      </c>
      <c r="H118" s="1499">
        <v>2.5498142438087648</v>
      </c>
      <c r="I118" s="1499">
        <v>3.9996029526355565</v>
      </c>
      <c r="J118" s="1499">
        <v>3.4267804035387091</v>
      </c>
      <c r="K118" s="113">
        <v>1.7986133608257993</v>
      </c>
    </row>
    <row r="119" spans="2:11" x14ac:dyDescent="0.3">
      <c r="B119" s="115"/>
      <c r="C119" s="112" t="s">
        <v>1513</v>
      </c>
      <c r="D119" s="1499">
        <v>4.2238025002330399</v>
      </c>
      <c r="E119" s="1499">
        <v>2.9269678249510354</v>
      </c>
      <c r="F119" s="1499">
        <v>2.1062627776584475</v>
      </c>
      <c r="G119" s="1499">
        <v>1.7109672347978624</v>
      </c>
      <c r="H119" s="1499">
        <v>2.5039323417730532</v>
      </c>
      <c r="I119" s="1499">
        <v>3.953721050599845</v>
      </c>
      <c r="J119" s="1499">
        <v>3.380898501502998</v>
      </c>
      <c r="K119" s="113">
        <v>1.752731458790088</v>
      </c>
    </row>
    <row r="120" spans="2:11" x14ac:dyDescent="0.3">
      <c r="B120" s="115"/>
      <c r="C120" s="112" t="s">
        <v>1517</v>
      </c>
      <c r="D120" s="1499">
        <v>4.1779205981973293</v>
      </c>
      <c r="E120" s="1499">
        <v>2.8810859229153238</v>
      </c>
      <c r="F120" s="1499">
        <v>2.0603808756227364</v>
      </c>
      <c r="G120" s="1499">
        <v>1.6650853327621509</v>
      </c>
      <c r="H120" s="1499">
        <v>2.4580504397373422</v>
      </c>
      <c r="I120" s="1499">
        <v>3.9078391485641339</v>
      </c>
      <c r="J120" s="1499">
        <v>3.3350165994672865</v>
      </c>
      <c r="K120" s="113">
        <v>1.7068495567543767</v>
      </c>
    </row>
    <row r="121" spans="2:11" ht="14.5" thickBot="1" x14ac:dyDescent="0.35">
      <c r="B121" s="1233"/>
      <c r="C121" s="116" t="s">
        <v>1519</v>
      </c>
      <c r="D121" s="117">
        <v>4.3602686209633958</v>
      </c>
      <c r="E121" s="117">
        <v>3.0678647608131349</v>
      </c>
      <c r="F121" s="117">
        <v>2.2451083031161376</v>
      </c>
      <c r="G121" s="117">
        <v>1.8497385057275635</v>
      </c>
      <c r="H121" s="117">
        <v>2.6431496695553292</v>
      </c>
      <c r="I121" s="117">
        <v>4.0940094407599013</v>
      </c>
      <c r="J121" s="117">
        <v>3.5219079869948571</v>
      </c>
      <c r="K121" s="118">
        <v>1.8910188783815935</v>
      </c>
    </row>
    <row r="122" spans="2:11" x14ac:dyDescent="0.3">
      <c r="B122" s="107" t="s">
        <v>1985</v>
      </c>
      <c r="C122" s="108" t="s">
        <v>1416</v>
      </c>
      <c r="D122" s="109">
        <v>3.8805887912235071</v>
      </c>
      <c r="E122" s="109">
        <v>2.5700188605870267</v>
      </c>
      <c r="F122" s="109">
        <v>1.7559184646091048</v>
      </c>
      <c r="G122" s="109">
        <v>1.3601851695010396</v>
      </c>
      <c r="H122" s="109">
        <v>2.1651174889007438</v>
      </c>
      <c r="I122" s="109">
        <v>3.597407236922983</v>
      </c>
      <c r="J122" s="109">
        <v>3.0231467145581807</v>
      </c>
      <c r="K122" s="110">
        <v>1.4037219196782167</v>
      </c>
    </row>
    <row r="123" spans="2:11" x14ac:dyDescent="0.3">
      <c r="B123" s="111"/>
      <c r="C123" s="112" t="s">
        <v>1483</v>
      </c>
      <c r="D123" s="1499">
        <v>4.1822442373955298</v>
      </c>
      <c r="E123" s="1499">
        <v>2.8898403772452692</v>
      </c>
      <c r="F123" s="1499">
        <v>2.067083919548272</v>
      </c>
      <c r="G123" s="1499">
        <v>1.6717141221596981</v>
      </c>
      <c r="H123" s="1499">
        <v>2.4651252859874635</v>
      </c>
      <c r="I123" s="1499">
        <v>3.9159850571920356</v>
      </c>
      <c r="J123" s="1499">
        <v>3.3438836034269914</v>
      </c>
      <c r="K123" s="113">
        <v>1.7129944948137279</v>
      </c>
    </row>
    <row r="124" spans="2:11" x14ac:dyDescent="0.3">
      <c r="B124" s="111" t="s">
        <v>1989</v>
      </c>
      <c r="C124" s="112" t="s">
        <v>1489</v>
      </c>
      <c r="D124" s="1499">
        <v>4.1460214280603838</v>
      </c>
      <c r="E124" s="1499">
        <v>2.8536175679101228</v>
      </c>
      <c r="F124" s="1499">
        <v>2.0308611102131264</v>
      </c>
      <c r="G124" s="1499">
        <v>1.6354913128245518</v>
      </c>
      <c r="H124" s="1499">
        <v>2.428902476652318</v>
      </c>
      <c r="I124" s="1499">
        <v>3.8797622478568896</v>
      </c>
      <c r="J124" s="1499">
        <v>3.307660794091845</v>
      </c>
      <c r="K124" s="113">
        <v>1.6767716854785824</v>
      </c>
    </row>
    <row r="125" spans="2:11" x14ac:dyDescent="0.3">
      <c r="B125" s="114">
        <v>0</v>
      </c>
      <c r="C125" s="112" t="s">
        <v>1496</v>
      </c>
      <c r="D125" s="1499">
        <v>4.0916872140576652</v>
      </c>
      <c r="E125" s="1499">
        <v>2.7992833539074042</v>
      </c>
      <c r="F125" s="1499">
        <v>1.9765268962104074</v>
      </c>
      <c r="G125" s="1499">
        <v>1.5811570988218331</v>
      </c>
      <c r="H125" s="1499">
        <v>2.3745682626495985</v>
      </c>
      <c r="I125" s="1499">
        <v>3.8254280338541711</v>
      </c>
      <c r="J125" s="1499">
        <v>3.253326580089126</v>
      </c>
      <c r="K125" s="113">
        <v>1.6224374714758631</v>
      </c>
    </row>
    <row r="126" spans="2:11" x14ac:dyDescent="0.3">
      <c r="B126" s="115"/>
      <c r="C126" s="112" t="s">
        <v>1500</v>
      </c>
      <c r="D126" s="1499">
        <v>4.0373530000549458</v>
      </c>
      <c r="E126" s="1499">
        <v>2.7449491399046857</v>
      </c>
      <c r="F126" s="1499">
        <v>1.9221926822076887</v>
      </c>
      <c r="G126" s="1499">
        <v>1.5268228848191143</v>
      </c>
      <c r="H126" s="1499">
        <v>2.32023404864688</v>
      </c>
      <c r="I126" s="1499">
        <v>3.7710938198514521</v>
      </c>
      <c r="J126" s="1499">
        <v>3.1989923660864075</v>
      </c>
      <c r="K126" s="113">
        <v>1.5681032574731446</v>
      </c>
    </row>
    <row r="127" spans="2:11" x14ac:dyDescent="0.3">
      <c r="B127" s="115"/>
      <c r="C127" s="112" t="s">
        <v>1504</v>
      </c>
      <c r="D127" s="1499">
        <v>4.1222479533913603</v>
      </c>
      <c r="E127" s="1499">
        <v>2.8254132781093553</v>
      </c>
      <c r="F127" s="1499">
        <v>2.0047082308167674</v>
      </c>
      <c r="G127" s="1499">
        <v>1.6094126879561821</v>
      </c>
      <c r="H127" s="1499">
        <v>2.4023777949313732</v>
      </c>
      <c r="I127" s="1499">
        <v>3.8521665037581654</v>
      </c>
      <c r="J127" s="1499">
        <v>3.2793439546613179</v>
      </c>
      <c r="K127" s="113">
        <v>1.6511769119484079</v>
      </c>
    </row>
    <row r="128" spans="2:11" x14ac:dyDescent="0.3">
      <c r="B128" s="115"/>
      <c r="C128" s="112" t="s">
        <v>1508</v>
      </c>
      <c r="D128" s="1499">
        <v>4.0916600187008854</v>
      </c>
      <c r="E128" s="1499">
        <v>2.7948253434188808</v>
      </c>
      <c r="F128" s="1499">
        <v>1.9741202961262934</v>
      </c>
      <c r="G128" s="1499">
        <v>1.5788247532657078</v>
      </c>
      <c r="H128" s="1499">
        <v>2.3717898602408991</v>
      </c>
      <c r="I128" s="1499">
        <v>3.8215785690676909</v>
      </c>
      <c r="J128" s="1499">
        <v>3.2487560199708434</v>
      </c>
      <c r="K128" s="113">
        <v>1.6205889772579336</v>
      </c>
    </row>
    <row r="129" spans="2:11" x14ac:dyDescent="0.3">
      <c r="B129" s="115"/>
      <c r="C129" s="112" t="s">
        <v>1513</v>
      </c>
      <c r="D129" s="1499">
        <v>4.0457781166651747</v>
      </c>
      <c r="E129" s="1499">
        <v>2.7489434413831697</v>
      </c>
      <c r="F129" s="1499">
        <v>1.9282383940905821</v>
      </c>
      <c r="G129" s="1499">
        <v>1.5329428512299965</v>
      </c>
      <c r="H129" s="1499">
        <v>2.3259079582051876</v>
      </c>
      <c r="I129" s="1499">
        <v>3.7756966670319794</v>
      </c>
      <c r="J129" s="1499">
        <v>3.2028741179351323</v>
      </c>
      <c r="K129" s="113">
        <v>1.5747070752222221</v>
      </c>
    </row>
    <row r="130" spans="2:11" x14ac:dyDescent="0.3">
      <c r="B130" s="115"/>
      <c r="C130" s="112" t="s">
        <v>1517</v>
      </c>
      <c r="D130" s="1499">
        <v>3.9998962146294632</v>
      </c>
      <c r="E130" s="1499">
        <v>2.7030615393474582</v>
      </c>
      <c r="F130" s="1499">
        <v>1.8823564920548708</v>
      </c>
      <c r="G130" s="1499">
        <v>1.4870609491942852</v>
      </c>
      <c r="H130" s="1499">
        <v>2.2800260561694765</v>
      </c>
      <c r="I130" s="1499">
        <v>3.7298147649962683</v>
      </c>
      <c r="J130" s="1499">
        <v>3.1569922158994208</v>
      </c>
      <c r="K130" s="113">
        <v>1.5288251731865108</v>
      </c>
    </row>
    <row r="131" spans="2:11" ht="14.5" thickBot="1" x14ac:dyDescent="0.35">
      <c r="B131" s="1233"/>
      <c r="C131" s="116" t="s">
        <v>1519</v>
      </c>
      <c r="D131" s="117">
        <v>4.1822442373955298</v>
      </c>
      <c r="E131" s="117">
        <v>2.8898403772452692</v>
      </c>
      <c r="F131" s="117">
        <v>2.067083919548272</v>
      </c>
      <c r="G131" s="117">
        <v>1.6717141221596981</v>
      </c>
      <c r="H131" s="117">
        <v>2.4651252859874635</v>
      </c>
      <c r="I131" s="117">
        <v>3.9159850571920356</v>
      </c>
      <c r="J131" s="117">
        <v>3.3438836034269914</v>
      </c>
      <c r="K131" s="118">
        <v>1.7129944948137279</v>
      </c>
    </row>
    <row r="132" spans="2:11" x14ac:dyDescent="0.3">
      <c r="B132" s="120" t="s">
        <v>1990</v>
      </c>
      <c r="C132" s="108" t="s">
        <v>1416</v>
      </c>
      <c r="D132" s="109">
        <v>4.1491622865032385</v>
      </c>
      <c r="E132" s="109">
        <v>2.8285713706536293</v>
      </c>
      <c r="F132" s="109">
        <v>2.0373900134573906</v>
      </c>
      <c r="G132" s="109">
        <v>1.6316428163585723</v>
      </c>
      <c r="H132" s="109">
        <v>2.4364764227177855</v>
      </c>
      <c r="I132" s="109">
        <v>3.8531721863084738</v>
      </c>
      <c r="J132" s="109">
        <v>3.2822657819694716</v>
      </c>
      <c r="K132" s="110">
        <v>1.6758920861130393</v>
      </c>
    </row>
    <row r="133" spans="2:11" x14ac:dyDescent="0.3">
      <c r="B133" s="111"/>
      <c r="C133" s="112" t="s">
        <v>1483</v>
      </c>
      <c r="D133" s="1499">
        <v>4.4511574350223686</v>
      </c>
      <c r="E133" s="1499">
        <v>3.1511604963244899</v>
      </c>
      <c r="F133" s="1499">
        <v>2.3419753199129403</v>
      </c>
      <c r="G133" s="1499">
        <v>1.9509298904037395</v>
      </c>
      <c r="H133" s="1499">
        <v>2.7386324496757259</v>
      </c>
      <c r="I133" s="1499">
        <v>4.1728740019985286</v>
      </c>
      <c r="J133" s="1499">
        <v>3.6010351716037423</v>
      </c>
      <c r="K133" s="113">
        <v>1.99292314708444</v>
      </c>
    </row>
    <row r="134" spans="2:11" x14ac:dyDescent="0.3">
      <c r="B134" s="111" t="s">
        <v>1986</v>
      </c>
      <c r="C134" s="112" t="s">
        <v>1489</v>
      </c>
      <c r="D134" s="1499">
        <v>4.4149346256872226</v>
      </c>
      <c r="E134" s="1499">
        <v>3.1149376869893435</v>
      </c>
      <c r="F134" s="1499">
        <v>2.3057525105777943</v>
      </c>
      <c r="G134" s="1499">
        <v>1.9147070810685938</v>
      </c>
      <c r="H134" s="1499">
        <v>2.70240964034058</v>
      </c>
      <c r="I134" s="1499">
        <v>4.1366511926633827</v>
      </c>
      <c r="J134" s="1499">
        <v>3.5648123622685959</v>
      </c>
      <c r="K134" s="113">
        <v>1.956700337749294</v>
      </c>
    </row>
    <row r="135" spans="2:11" x14ac:dyDescent="0.3">
      <c r="B135" s="114">
        <v>0</v>
      </c>
      <c r="C135" s="112" t="s">
        <v>1496</v>
      </c>
      <c r="D135" s="1499">
        <v>4.3606004116845041</v>
      </c>
      <c r="E135" s="1499">
        <v>3.0606034729866245</v>
      </c>
      <c r="F135" s="1499">
        <v>2.2514182965750758</v>
      </c>
      <c r="G135" s="1499">
        <v>1.860372867065875</v>
      </c>
      <c r="H135" s="1499">
        <v>2.6480754263378614</v>
      </c>
      <c r="I135" s="1499">
        <v>4.0823169786606632</v>
      </c>
      <c r="J135" s="1499">
        <v>3.5104781482658769</v>
      </c>
      <c r="K135" s="113">
        <v>1.9023661237465752</v>
      </c>
    </row>
    <row r="136" spans="2:11" x14ac:dyDescent="0.3">
      <c r="B136" s="115"/>
      <c r="C136" s="112" t="s">
        <v>1500</v>
      </c>
      <c r="D136" s="1499">
        <v>4.3062661976817855</v>
      </c>
      <c r="E136" s="1499">
        <v>3.006269258983906</v>
      </c>
      <c r="F136" s="1499">
        <v>2.1970840825723568</v>
      </c>
      <c r="G136" s="1499">
        <v>1.806038653063156</v>
      </c>
      <c r="H136" s="1499">
        <v>2.5937412123351424</v>
      </c>
      <c r="I136" s="1499">
        <v>4.0279827646579456</v>
      </c>
      <c r="J136" s="1499">
        <v>3.4561439342631588</v>
      </c>
      <c r="K136" s="113">
        <v>1.8480319097438562</v>
      </c>
    </row>
    <row r="137" spans="2:11" x14ac:dyDescent="0.3">
      <c r="B137" s="115"/>
      <c r="C137" s="112" t="s">
        <v>1504</v>
      </c>
      <c r="D137" s="1499">
        <v>4.3904167685057027</v>
      </c>
      <c r="E137" s="1499">
        <v>3.0856210381987301</v>
      </c>
      <c r="F137" s="1499">
        <v>2.2785209061223219</v>
      </c>
      <c r="G137" s="1499">
        <v>1.8869292741813308</v>
      </c>
      <c r="H137" s="1499">
        <v>2.6777489223297612</v>
      </c>
      <c r="I137" s="1499">
        <v>4.1092920551083614</v>
      </c>
      <c r="J137" s="1499">
        <v>3.5367655430738303</v>
      </c>
      <c r="K137" s="113">
        <v>1.9294106281136738</v>
      </c>
    </row>
    <row r="138" spans="2:11" x14ac:dyDescent="0.3">
      <c r="B138" s="115"/>
      <c r="C138" s="112" t="s">
        <v>1508</v>
      </c>
      <c r="D138" s="1499">
        <v>4.3598288338152287</v>
      </c>
      <c r="E138" s="1499">
        <v>3.0550331035082561</v>
      </c>
      <c r="F138" s="1499">
        <v>2.2479329714318479</v>
      </c>
      <c r="G138" s="1499">
        <v>1.8563413394908566</v>
      </c>
      <c r="H138" s="1499">
        <v>2.6471609876392872</v>
      </c>
      <c r="I138" s="1499">
        <v>4.0787041204178873</v>
      </c>
      <c r="J138" s="1499">
        <v>3.5061776083833567</v>
      </c>
      <c r="K138" s="113">
        <v>1.8988226934231995</v>
      </c>
    </row>
    <row r="139" spans="2:11" x14ac:dyDescent="0.3">
      <c r="B139" s="115"/>
      <c r="C139" s="112" t="s">
        <v>1513</v>
      </c>
      <c r="D139" s="1499">
        <v>4.3139469317795172</v>
      </c>
      <c r="E139" s="1499">
        <v>3.009151201472545</v>
      </c>
      <c r="F139" s="1499">
        <v>2.2020510693961364</v>
      </c>
      <c r="G139" s="1499">
        <v>1.8104594374551453</v>
      </c>
      <c r="H139" s="1499">
        <v>2.6012790856035757</v>
      </c>
      <c r="I139" s="1499">
        <v>4.0328222183821767</v>
      </c>
      <c r="J139" s="1499">
        <v>3.4602957063476452</v>
      </c>
      <c r="K139" s="113">
        <v>1.8529407913874882</v>
      </c>
    </row>
    <row r="140" spans="2:11" x14ac:dyDescent="0.3">
      <c r="B140" s="115"/>
      <c r="C140" s="112" t="s">
        <v>1517</v>
      </c>
      <c r="D140" s="1499">
        <v>4.2680650297438065</v>
      </c>
      <c r="E140" s="1499">
        <v>2.9632692994368335</v>
      </c>
      <c r="F140" s="1499">
        <v>2.1561691673604249</v>
      </c>
      <c r="G140" s="1499">
        <v>1.7645775354194337</v>
      </c>
      <c r="H140" s="1499">
        <v>2.5553971835678646</v>
      </c>
      <c r="I140" s="1499">
        <v>3.9869403163464652</v>
      </c>
      <c r="J140" s="1499">
        <v>3.4144138043119341</v>
      </c>
      <c r="K140" s="113">
        <v>1.8070588893517769</v>
      </c>
    </row>
    <row r="141" spans="2:11" ht="14.5" thickBot="1" x14ac:dyDescent="0.35">
      <c r="B141" s="1233"/>
      <c r="C141" s="116" t="s">
        <v>1519</v>
      </c>
      <c r="D141" s="117">
        <v>4.4511574350223686</v>
      </c>
      <c r="E141" s="117">
        <v>3.1511604963244899</v>
      </c>
      <c r="F141" s="117">
        <v>2.3419753199129403</v>
      </c>
      <c r="G141" s="117">
        <v>1.9509298904037395</v>
      </c>
      <c r="H141" s="117">
        <v>2.7386324496757259</v>
      </c>
      <c r="I141" s="117">
        <v>4.1728740019985286</v>
      </c>
      <c r="J141" s="117">
        <v>3.6010351716037423</v>
      </c>
      <c r="K141" s="118">
        <v>1.99292314708444</v>
      </c>
    </row>
    <row r="142" spans="2:11" x14ac:dyDescent="0.3">
      <c r="B142" s="120" t="s">
        <v>1990</v>
      </c>
      <c r="C142" s="108" t="s">
        <v>1416</v>
      </c>
      <c r="D142" s="109">
        <v>4.050261914451605</v>
      </c>
      <c r="E142" s="109">
        <v>2.7296709986019954</v>
      </c>
      <c r="F142" s="109">
        <v>1.9384896414057566</v>
      </c>
      <c r="G142" s="109">
        <v>1.5327424443069382</v>
      </c>
      <c r="H142" s="109">
        <v>2.3375760506661516</v>
      </c>
      <c r="I142" s="109">
        <v>3.7542718142568394</v>
      </c>
      <c r="J142" s="109">
        <v>3.1833654099178377</v>
      </c>
      <c r="K142" s="110">
        <v>1.5769917140614051</v>
      </c>
    </row>
    <row r="143" spans="2:11" x14ac:dyDescent="0.3">
      <c r="B143" s="111"/>
      <c r="C143" s="112" t="s">
        <v>1483</v>
      </c>
      <c r="D143" s="1499">
        <v>4.3522570629707342</v>
      </c>
      <c r="E143" s="1499">
        <v>3.0522601242728551</v>
      </c>
      <c r="F143" s="1499">
        <v>2.2430749478613063</v>
      </c>
      <c r="G143" s="1499">
        <v>1.8520295183521056</v>
      </c>
      <c r="H143" s="1499">
        <v>2.639732077624092</v>
      </c>
      <c r="I143" s="1499">
        <v>4.0739736299468943</v>
      </c>
      <c r="J143" s="1499">
        <v>3.5021347995521075</v>
      </c>
      <c r="K143" s="113">
        <v>1.8940227750328058</v>
      </c>
    </row>
    <row r="144" spans="2:11" x14ac:dyDescent="0.3">
      <c r="B144" s="111" t="s">
        <v>1987</v>
      </c>
      <c r="C144" s="112" t="s">
        <v>1489</v>
      </c>
      <c r="D144" s="1499">
        <v>4.3160342536355882</v>
      </c>
      <c r="E144" s="1499">
        <v>3.0160373149377095</v>
      </c>
      <c r="F144" s="1499">
        <v>2.2068521385261604</v>
      </c>
      <c r="G144" s="1499">
        <v>1.8158067090169596</v>
      </c>
      <c r="H144" s="1499">
        <v>2.603509268288946</v>
      </c>
      <c r="I144" s="1499">
        <v>4.0377508206117483</v>
      </c>
      <c r="J144" s="1499">
        <v>3.4659119902169619</v>
      </c>
      <c r="K144" s="113">
        <v>1.85779996569766</v>
      </c>
    </row>
    <row r="145" spans="2:11" x14ac:dyDescent="0.3">
      <c r="B145" s="114">
        <v>0</v>
      </c>
      <c r="C145" s="112" t="s">
        <v>1496</v>
      </c>
      <c r="D145" s="1499">
        <v>4.2617000396328697</v>
      </c>
      <c r="E145" s="1499">
        <v>2.9617031009349906</v>
      </c>
      <c r="F145" s="1499">
        <v>2.1525179245234418</v>
      </c>
      <c r="G145" s="1499">
        <v>1.7614724950142409</v>
      </c>
      <c r="H145" s="1499">
        <v>2.549175054286227</v>
      </c>
      <c r="I145" s="1499">
        <v>3.9834166066090297</v>
      </c>
      <c r="J145" s="1499">
        <v>3.411577776214243</v>
      </c>
      <c r="K145" s="113">
        <v>1.8034657516949413</v>
      </c>
    </row>
    <row r="146" spans="2:11" x14ac:dyDescent="0.3">
      <c r="B146" s="115"/>
      <c r="C146" s="112" t="s">
        <v>1500</v>
      </c>
      <c r="D146" s="1499">
        <v>4.2073658256301512</v>
      </c>
      <c r="E146" s="1499">
        <v>2.907368886932272</v>
      </c>
      <c r="F146" s="1499">
        <v>2.0981837105207228</v>
      </c>
      <c r="G146" s="1499">
        <v>1.7071382810115219</v>
      </c>
      <c r="H146" s="1499">
        <v>2.4948408402835081</v>
      </c>
      <c r="I146" s="1499">
        <v>3.9290823926063112</v>
      </c>
      <c r="J146" s="1499">
        <v>3.3572435622115244</v>
      </c>
      <c r="K146" s="113">
        <v>1.7491315376922223</v>
      </c>
    </row>
    <row r="147" spans="2:11" x14ac:dyDescent="0.3">
      <c r="B147" s="115"/>
      <c r="C147" s="112" t="s">
        <v>1504</v>
      </c>
      <c r="D147" s="1499">
        <v>4.2915163964540692</v>
      </c>
      <c r="E147" s="1499">
        <v>2.9867206661470962</v>
      </c>
      <c r="F147" s="1499">
        <v>2.179620534070688</v>
      </c>
      <c r="G147" s="1499">
        <v>1.7880289021296967</v>
      </c>
      <c r="H147" s="1499">
        <v>2.5788485502781273</v>
      </c>
      <c r="I147" s="1499">
        <v>4.0103916830567279</v>
      </c>
      <c r="J147" s="1499">
        <v>3.4378651710221964</v>
      </c>
      <c r="K147" s="113">
        <v>1.8305102560620399</v>
      </c>
    </row>
    <row r="148" spans="2:11" x14ac:dyDescent="0.3">
      <c r="B148" s="115"/>
      <c r="C148" s="112" t="s">
        <v>1508</v>
      </c>
      <c r="D148" s="1499">
        <v>4.2609284617635952</v>
      </c>
      <c r="E148" s="1499">
        <v>2.9561327314566221</v>
      </c>
      <c r="F148" s="1499">
        <v>2.1490325993802135</v>
      </c>
      <c r="G148" s="1499">
        <v>1.7574409674392224</v>
      </c>
      <c r="H148" s="1499">
        <v>2.5482606155876528</v>
      </c>
      <c r="I148" s="1499">
        <v>3.9798037483662538</v>
      </c>
      <c r="J148" s="1499">
        <v>3.4072772363317223</v>
      </c>
      <c r="K148" s="113">
        <v>1.7999223213715656</v>
      </c>
    </row>
    <row r="149" spans="2:11" x14ac:dyDescent="0.3">
      <c r="B149" s="115"/>
      <c r="C149" s="112" t="s">
        <v>1513</v>
      </c>
      <c r="D149" s="1499">
        <v>4.2150465597278837</v>
      </c>
      <c r="E149" s="1499">
        <v>2.9102508294209111</v>
      </c>
      <c r="F149" s="1499">
        <v>2.1031506973445024</v>
      </c>
      <c r="G149" s="1499">
        <v>1.7115590654035111</v>
      </c>
      <c r="H149" s="1499">
        <v>2.5023787135519417</v>
      </c>
      <c r="I149" s="1499">
        <v>3.9339218463305423</v>
      </c>
      <c r="J149" s="1499">
        <v>3.3613953342960112</v>
      </c>
      <c r="K149" s="113">
        <v>1.7540404193358543</v>
      </c>
    </row>
    <row r="150" spans="2:11" x14ac:dyDescent="0.3">
      <c r="B150" s="115"/>
      <c r="C150" s="112" t="s">
        <v>1517</v>
      </c>
      <c r="D150" s="1499">
        <v>4.1691646576921721</v>
      </c>
      <c r="E150" s="1499">
        <v>2.8643689273851995</v>
      </c>
      <c r="F150" s="1499">
        <v>2.0572687953087909</v>
      </c>
      <c r="G150" s="1499">
        <v>1.6656771633677998</v>
      </c>
      <c r="H150" s="1499">
        <v>2.4564968115162302</v>
      </c>
      <c r="I150" s="1499">
        <v>3.8880399442948312</v>
      </c>
      <c r="J150" s="1499">
        <v>3.3155134322602997</v>
      </c>
      <c r="K150" s="113">
        <v>1.7081585173001428</v>
      </c>
    </row>
    <row r="151" spans="2:11" ht="14.5" thickBot="1" x14ac:dyDescent="0.35">
      <c r="B151" s="1233"/>
      <c r="C151" s="116" t="s">
        <v>1519</v>
      </c>
      <c r="D151" s="117">
        <v>4.3522570629707342</v>
      </c>
      <c r="E151" s="117">
        <v>3.0522601242728551</v>
      </c>
      <c r="F151" s="117">
        <v>2.2430749478613063</v>
      </c>
      <c r="G151" s="117">
        <v>1.8520295183521056</v>
      </c>
      <c r="H151" s="117">
        <v>2.639732077624092</v>
      </c>
      <c r="I151" s="117">
        <v>4.0739736299468943</v>
      </c>
      <c r="J151" s="117">
        <v>3.5021347995521075</v>
      </c>
      <c r="K151" s="118">
        <v>1.8940227750328058</v>
      </c>
    </row>
    <row r="152" spans="2:11" x14ac:dyDescent="0.3">
      <c r="B152" s="120" t="s">
        <v>1990</v>
      </c>
      <c r="C152" s="108" t="s">
        <v>1416</v>
      </c>
      <c r="D152" s="109">
        <v>3.9019113563741534</v>
      </c>
      <c r="E152" s="109">
        <v>2.5813204405245442</v>
      </c>
      <c r="F152" s="109">
        <v>1.7901390833283055</v>
      </c>
      <c r="G152" s="109">
        <v>1.3843918862294873</v>
      </c>
      <c r="H152" s="109">
        <v>2.1892254925887005</v>
      </c>
      <c r="I152" s="109">
        <v>3.6059212561793883</v>
      </c>
      <c r="J152" s="109">
        <v>3.0350148518403866</v>
      </c>
      <c r="K152" s="110">
        <v>1.4286411559839542</v>
      </c>
    </row>
    <row r="153" spans="2:11" x14ac:dyDescent="0.3">
      <c r="B153" s="111"/>
      <c r="C153" s="112" t="s">
        <v>1483</v>
      </c>
      <c r="D153" s="1499">
        <v>4.2039065048932835</v>
      </c>
      <c r="E153" s="1499">
        <v>2.9039095661954044</v>
      </c>
      <c r="F153" s="1499">
        <v>2.0947243897838552</v>
      </c>
      <c r="G153" s="1499">
        <v>1.7036789602746545</v>
      </c>
      <c r="H153" s="1499">
        <v>2.4913815195466409</v>
      </c>
      <c r="I153" s="1499">
        <v>3.9256230718694436</v>
      </c>
      <c r="J153" s="1499">
        <v>3.3537842414746568</v>
      </c>
      <c r="K153" s="113">
        <v>1.7456722169553549</v>
      </c>
    </row>
    <row r="154" spans="2:11" x14ac:dyDescent="0.3">
      <c r="B154" s="111" t="s">
        <v>1988</v>
      </c>
      <c r="C154" s="112" t="s">
        <v>1489</v>
      </c>
      <c r="D154" s="1499">
        <v>4.1676836955581376</v>
      </c>
      <c r="E154" s="1499">
        <v>2.867686756860258</v>
      </c>
      <c r="F154" s="1499">
        <v>2.0585015804487092</v>
      </c>
      <c r="G154" s="1499">
        <v>1.6674561509395087</v>
      </c>
      <c r="H154" s="1499">
        <v>2.4551587102114949</v>
      </c>
      <c r="I154" s="1499">
        <v>3.8894002625342972</v>
      </c>
      <c r="J154" s="1499">
        <v>3.3175614321395108</v>
      </c>
      <c r="K154" s="113">
        <v>1.7094494076202089</v>
      </c>
    </row>
    <row r="155" spans="2:11" x14ac:dyDescent="0.3">
      <c r="B155" s="114">
        <v>0</v>
      </c>
      <c r="C155" s="112" t="s">
        <v>1496</v>
      </c>
      <c r="D155" s="1499">
        <v>4.113349481555419</v>
      </c>
      <c r="E155" s="1499">
        <v>2.8133525428575394</v>
      </c>
      <c r="F155" s="1499">
        <v>2.0041673664459903</v>
      </c>
      <c r="G155" s="1499">
        <v>1.6131219369367897</v>
      </c>
      <c r="H155" s="1499">
        <v>2.4008244962087759</v>
      </c>
      <c r="I155" s="1499">
        <v>3.8350660485315791</v>
      </c>
      <c r="J155" s="1499">
        <v>3.2632272181367923</v>
      </c>
      <c r="K155" s="113">
        <v>1.6551151936174899</v>
      </c>
    </row>
    <row r="156" spans="2:11" x14ac:dyDescent="0.3">
      <c r="B156" s="115"/>
      <c r="C156" s="112" t="s">
        <v>1500</v>
      </c>
      <c r="D156" s="1499">
        <v>4.0590152675526996</v>
      </c>
      <c r="E156" s="1499">
        <v>2.7590183288548209</v>
      </c>
      <c r="F156" s="1499">
        <v>1.9498331524432717</v>
      </c>
      <c r="G156" s="1499">
        <v>1.558787722934071</v>
      </c>
      <c r="H156" s="1499">
        <v>2.3464902822060574</v>
      </c>
      <c r="I156" s="1499">
        <v>3.7807318345288601</v>
      </c>
      <c r="J156" s="1499">
        <v>3.2088930041340733</v>
      </c>
      <c r="K156" s="113">
        <v>1.6007809796147712</v>
      </c>
    </row>
    <row r="157" spans="2:11" x14ac:dyDescent="0.3">
      <c r="B157" s="115"/>
      <c r="C157" s="112" t="s">
        <v>1504</v>
      </c>
      <c r="D157" s="1499">
        <v>4.1431658383766186</v>
      </c>
      <c r="E157" s="1499">
        <v>2.8383701080696455</v>
      </c>
      <c r="F157" s="1499">
        <v>2.0312699759932369</v>
      </c>
      <c r="G157" s="1499">
        <v>1.6396783440522456</v>
      </c>
      <c r="H157" s="1499">
        <v>2.4304979922006762</v>
      </c>
      <c r="I157" s="1499">
        <v>3.8620411249792772</v>
      </c>
      <c r="J157" s="1499">
        <v>3.2895146129447457</v>
      </c>
      <c r="K157" s="113">
        <v>1.6821596979845885</v>
      </c>
    </row>
    <row r="158" spans="2:11" x14ac:dyDescent="0.3">
      <c r="B158" s="115"/>
      <c r="C158" s="112" t="s">
        <v>1508</v>
      </c>
      <c r="D158" s="1499">
        <v>4.1125779036861436</v>
      </c>
      <c r="E158" s="1499">
        <v>2.807782173379171</v>
      </c>
      <c r="F158" s="1499">
        <v>2.0006820413027628</v>
      </c>
      <c r="G158" s="1499">
        <v>1.6090904093617715</v>
      </c>
      <c r="H158" s="1499">
        <v>2.3999100575102021</v>
      </c>
      <c r="I158" s="1499">
        <v>3.8314531902888023</v>
      </c>
      <c r="J158" s="1499">
        <v>3.2589266782542712</v>
      </c>
      <c r="K158" s="113">
        <v>1.6515717632941145</v>
      </c>
    </row>
    <row r="159" spans="2:11" x14ac:dyDescent="0.3">
      <c r="B159" s="115"/>
      <c r="C159" s="112" t="s">
        <v>1513</v>
      </c>
      <c r="D159" s="1499">
        <v>4.0666960016504321</v>
      </c>
      <c r="E159" s="1499">
        <v>2.7619002713434599</v>
      </c>
      <c r="F159" s="1499">
        <v>1.9548001392670513</v>
      </c>
      <c r="G159" s="1499">
        <v>1.5632085073260602</v>
      </c>
      <c r="H159" s="1499">
        <v>2.3540281554744906</v>
      </c>
      <c r="I159" s="1499">
        <v>3.7855712882530912</v>
      </c>
      <c r="J159" s="1499">
        <v>3.2130447762185597</v>
      </c>
      <c r="K159" s="113">
        <v>1.6056898612584032</v>
      </c>
    </row>
    <row r="160" spans="2:11" x14ac:dyDescent="0.3">
      <c r="B160" s="115"/>
      <c r="C160" s="112" t="s">
        <v>1517</v>
      </c>
      <c r="D160" s="1499">
        <v>4.0208140996147206</v>
      </c>
      <c r="E160" s="1499">
        <v>2.7160183693077484</v>
      </c>
      <c r="F160" s="1499">
        <v>1.90891823723134</v>
      </c>
      <c r="G160" s="1499">
        <v>1.5173266052903489</v>
      </c>
      <c r="H160" s="1499">
        <v>2.3081462534387795</v>
      </c>
      <c r="I160" s="1499">
        <v>3.7396893862173797</v>
      </c>
      <c r="J160" s="1499">
        <v>3.1671628741828486</v>
      </c>
      <c r="K160" s="113">
        <v>1.5598079592226919</v>
      </c>
    </row>
    <row r="161" spans="2:11" ht="14.5" thickBot="1" x14ac:dyDescent="0.35">
      <c r="B161" s="1233"/>
      <c r="C161" s="116" t="s">
        <v>1519</v>
      </c>
      <c r="D161" s="117">
        <v>4.2039065048932835</v>
      </c>
      <c r="E161" s="117">
        <v>2.9039095661954044</v>
      </c>
      <c r="F161" s="117">
        <v>2.0947243897838552</v>
      </c>
      <c r="G161" s="117">
        <v>1.7036789602746545</v>
      </c>
      <c r="H161" s="117">
        <v>2.4913815195466409</v>
      </c>
      <c r="I161" s="117">
        <v>3.9256230718694436</v>
      </c>
      <c r="J161" s="117">
        <v>3.3537842414746568</v>
      </c>
      <c r="K161" s="118">
        <v>1.7456722169553549</v>
      </c>
    </row>
    <row r="162" spans="2:11" x14ac:dyDescent="0.3">
      <c r="B162" s="120" t="s">
        <v>1990</v>
      </c>
      <c r="C162" s="108" t="s">
        <v>1416</v>
      </c>
      <c r="D162" s="109">
        <v>3.7535607982967027</v>
      </c>
      <c r="E162" s="109">
        <v>2.4329698824470931</v>
      </c>
      <c r="F162" s="109">
        <v>1.6417885252508544</v>
      </c>
      <c r="G162" s="109">
        <v>1.2360413281520362</v>
      </c>
      <c r="H162" s="109">
        <v>2.0408749345112489</v>
      </c>
      <c r="I162" s="109">
        <v>3.4575706981019376</v>
      </c>
      <c r="J162" s="109">
        <v>2.8866642937629354</v>
      </c>
      <c r="K162" s="110">
        <v>1.2802905979065031</v>
      </c>
    </row>
    <row r="163" spans="2:11" x14ac:dyDescent="0.3">
      <c r="B163" s="111"/>
      <c r="C163" s="112" t="s">
        <v>1483</v>
      </c>
      <c r="D163" s="1499">
        <v>4.055555946815832</v>
      </c>
      <c r="E163" s="1499">
        <v>2.7555590081179533</v>
      </c>
      <c r="F163" s="1499">
        <v>1.9463738317064039</v>
      </c>
      <c r="G163" s="1499">
        <v>1.5553284021972034</v>
      </c>
      <c r="H163" s="1499">
        <v>2.3430309614691898</v>
      </c>
      <c r="I163" s="1499">
        <v>3.7772725137919925</v>
      </c>
      <c r="J163" s="1499">
        <v>3.2054336833972057</v>
      </c>
      <c r="K163" s="113">
        <v>1.5973216588779038</v>
      </c>
    </row>
    <row r="164" spans="2:11" x14ac:dyDescent="0.3">
      <c r="B164" s="111" t="s">
        <v>1989</v>
      </c>
      <c r="C164" s="112" t="s">
        <v>1489</v>
      </c>
      <c r="D164" s="1499">
        <v>4.0193331374806869</v>
      </c>
      <c r="E164" s="1499">
        <v>2.7193361987828073</v>
      </c>
      <c r="F164" s="1499">
        <v>1.9101510223712583</v>
      </c>
      <c r="G164" s="1499">
        <v>1.5191055928620576</v>
      </c>
      <c r="H164" s="1499">
        <v>2.3068081521340438</v>
      </c>
      <c r="I164" s="1499">
        <v>3.7410497044568465</v>
      </c>
      <c r="J164" s="1499">
        <v>3.1692108740620601</v>
      </c>
      <c r="K164" s="113">
        <v>1.5610988495427576</v>
      </c>
    </row>
    <row r="165" spans="2:11" x14ac:dyDescent="0.3">
      <c r="B165" s="114">
        <v>0</v>
      </c>
      <c r="C165" s="112" t="s">
        <v>1496</v>
      </c>
      <c r="D165" s="1499">
        <v>3.9649989234779675</v>
      </c>
      <c r="E165" s="1499">
        <v>2.6650019847800883</v>
      </c>
      <c r="F165" s="1499">
        <v>1.8558168083685394</v>
      </c>
      <c r="G165" s="1499">
        <v>1.4647713788593386</v>
      </c>
      <c r="H165" s="1499">
        <v>2.2524739381313248</v>
      </c>
      <c r="I165" s="1499">
        <v>3.6867154904541275</v>
      </c>
      <c r="J165" s="1499">
        <v>3.1148766600593412</v>
      </c>
      <c r="K165" s="113">
        <v>1.5067646355400388</v>
      </c>
    </row>
    <row r="166" spans="2:11" x14ac:dyDescent="0.3">
      <c r="B166" s="115"/>
      <c r="C166" s="112" t="s">
        <v>1500</v>
      </c>
      <c r="D166" s="1499">
        <v>3.9106647094752485</v>
      </c>
      <c r="E166" s="1499">
        <v>2.6106677707773698</v>
      </c>
      <c r="F166" s="1499">
        <v>1.8014825943658206</v>
      </c>
      <c r="G166" s="1499">
        <v>1.4104371648566199</v>
      </c>
      <c r="H166" s="1499">
        <v>2.1981397241286063</v>
      </c>
      <c r="I166" s="1499">
        <v>3.6323812764514085</v>
      </c>
      <c r="J166" s="1499">
        <v>3.0605424460566217</v>
      </c>
      <c r="K166" s="113">
        <v>1.4524304215373203</v>
      </c>
    </row>
    <row r="167" spans="2:11" x14ac:dyDescent="0.3">
      <c r="B167" s="115"/>
      <c r="C167" s="112" t="s">
        <v>1504</v>
      </c>
      <c r="D167" s="1499">
        <v>3.994815280299167</v>
      </c>
      <c r="E167" s="1499">
        <v>2.6900195499921944</v>
      </c>
      <c r="F167" s="1499">
        <v>1.8829194179157858</v>
      </c>
      <c r="G167" s="1499">
        <v>1.4913277859747944</v>
      </c>
      <c r="H167" s="1499">
        <v>2.2821474341232251</v>
      </c>
      <c r="I167" s="1499">
        <v>3.7136905669018256</v>
      </c>
      <c r="J167" s="1499">
        <v>3.1411640548672946</v>
      </c>
      <c r="K167" s="113">
        <v>1.5338091399071374</v>
      </c>
    </row>
    <row r="168" spans="2:11" x14ac:dyDescent="0.3">
      <c r="B168" s="115"/>
      <c r="C168" s="112" t="s">
        <v>1508</v>
      </c>
      <c r="D168" s="1499">
        <v>3.9642273456086929</v>
      </c>
      <c r="E168" s="1499">
        <v>2.6594316153017203</v>
      </c>
      <c r="F168" s="1499">
        <v>1.8523314832253117</v>
      </c>
      <c r="G168" s="1499">
        <v>1.4607398512843202</v>
      </c>
      <c r="H168" s="1499">
        <v>2.251559499432751</v>
      </c>
      <c r="I168" s="1499">
        <v>3.6831026322113516</v>
      </c>
      <c r="J168" s="1499">
        <v>3.1105761201768205</v>
      </c>
      <c r="K168" s="113">
        <v>1.5032212052166631</v>
      </c>
    </row>
    <row r="169" spans="2:11" x14ac:dyDescent="0.3">
      <c r="B169" s="115"/>
      <c r="C169" s="112" t="s">
        <v>1513</v>
      </c>
      <c r="D169" s="1499">
        <v>3.9183454435729814</v>
      </c>
      <c r="E169" s="1499">
        <v>2.6135497132660088</v>
      </c>
      <c r="F169" s="1499">
        <v>1.8064495811896004</v>
      </c>
      <c r="G169" s="1499">
        <v>1.4148579492486091</v>
      </c>
      <c r="H169" s="1499">
        <v>2.2056775973970395</v>
      </c>
      <c r="I169" s="1499">
        <v>3.6372207301756405</v>
      </c>
      <c r="J169" s="1499">
        <v>3.064694218141109</v>
      </c>
      <c r="K169" s="113">
        <v>1.4573393031809518</v>
      </c>
    </row>
    <row r="170" spans="2:11" x14ac:dyDescent="0.3">
      <c r="B170" s="115"/>
      <c r="C170" s="112" t="s">
        <v>1517</v>
      </c>
      <c r="D170" s="1499">
        <v>3.8724635415372703</v>
      </c>
      <c r="E170" s="1499">
        <v>2.5676678112302977</v>
      </c>
      <c r="F170" s="1499">
        <v>1.7605676791538891</v>
      </c>
      <c r="G170" s="1499">
        <v>1.3689760472128976</v>
      </c>
      <c r="H170" s="1499">
        <v>2.1597956953613284</v>
      </c>
      <c r="I170" s="1499">
        <v>3.591338828139929</v>
      </c>
      <c r="J170" s="1499">
        <v>3.0188123161053979</v>
      </c>
      <c r="K170" s="113">
        <v>1.4114574011452408</v>
      </c>
    </row>
    <row r="171" spans="2:11" ht="14.5" thickBot="1" x14ac:dyDescent="0.35">
      <c r="B171" s="1233"/>
      <c r="C171" s="116" t="s">
        <v>1519</v>
      </c>
      <c r="D171" s="117">
        <v>4.055555946815832</v>
      </c>
      <c r="E171" s="117">
        <v>2.7555590081179533</v>
      </c>
      <c r="F171" s="117">
        <v>1.9463738317064039</v>
      </c>
      <c r="G171" s="117">
        <v>1.5553284021972034</v>
      </c>
      <c r="H171" s="117">
        <v>2.3430309614691898</v>
      </c>
      <c r="I171" s="117">
        <v>3.7772725137919925</v>
      </c>
      <c r="J171" s="117">
        <v>3.2054336833972057</v>
      </c>
      <c r="K171" s="118">
        <v>1.5973216588779038</v>
      </c>
    </row>
    <row r="173" spans="2:11" ht="14.5" thickBot="1" x14ac:dyDescent="0.35"/>
    <row r="174" spans="2:11" ht="25.5" thickBot="1" x14ac:dyDescent="0.55000000000000004">
      <c r="B174" s="88" t="s">
        <v>1960</v>
      </c>
      <c r="C174" s="89"/>
      <c r="D174" s="90">
        <v>6</v>
      </c>
      <c r="E174" s="91" t="s">
        <v>1991</v>
      </c>
      <c r="F174" s="92"/>
      <c r="G174" s="92"/>
      <c r="H174" s="92"/>
      <c r="I174" s="93"/>
      <c r="J174" s="89" t="s">
        <v>176</v>
      </c>
      <c r="K174" s="94" t="s">
        <v>214</v>
      </c>
    </row>
    <row r="175" spans="2:11" ht="14.5" thickBot="1" x14ac:dyDescent="0.35">
      <c r="B175" s="95" t="s">
        <v>1962</v>
      </c>
      <c r="C175" s="96" t="s">
        <v>1963</v>
      </c>
      <c r="D175" s="95" t="s">
        <v>1964</v>
      </c>
      <c r="E175" s="97" t="s">
        <v>1965</v>
      </c>
      <c r="F175" s="97" t="s">
        <v>1966</v>
      </c>
      <c r="G175" s="97" t="s">
        <v>1967</v>
      </c>
      <c r="H175" s="97" t="s">
        <v>1968</v>
      </c>
      <c r="I175" s="97" t="s">
        <v>1969</v>
      </c>
      <c r="J175" s="97" t="s">
        <v>1970</v>
      </c>
      <c r="K175" s="98" t="s">
        <v>1971</v>
      </c>
    </row>
    <row r="176" spans="2:11" ht="14.5" thickBot="1" x14ac:dyDescent="0.35">
      <c r="B176" s="99"/>
      <c r="C176" s="99"/>
      <c r="D176" s="100"/>
      <c r="E176" s="944"/>
      <c r="F176" s="944"/>
      <c r="G176" s="944"/>
      <c r="H176" s="944"/>
      <c r="I176" s="944"/>
      <c r="J176" s="944"/>
      <c r="K176" s="102"/>
    </row>
    <row r="177" spans="2:11" ht="90.5" thickBot="1" x14ac:dyDescent="0.45">
      <c r="B177" s="103" t="s">
        <v>1972</v>
      </c>
      <c r="C177" s="103" t="s">
        <v>1973</v>
      </c>
      <c r="D177" s="105" t="s">
        <v>1974</v>
      </c>
      <c r="E177" s="105" t="s">
        <v>1525</v>
      </c>
      <c r="F177" s="105" t="s">
        <v>1527</v>
      </c>
      <c r="G177" s="105" t="s">
        <v>1975</v>
      </c>
      <c r="H177" s="105" t="s">
        <v>1976</v>
      </c>
      <c r="I177" s="105" t="s">
        <v>1445</v>
      </c>
      <c r="J177" s="105" t="s">
        <v>1538</v>
      </c>
      <c r="K177" s="106" t="s">
        <v>1541</v>
      </c>
    </row>
    <row r="178" spans="2:11" x14ac:dyDescent="0.3">
      <c r="B178" s="120" t="s">
        <v>1992</v>
      </c>
      <c r="C178" s="108" t="s">
        <v>1416</v>
      </c>
      <c r="D178" s="109">
        <v>7.0542043580180858</v>
      </c>
      <c r="E178" s="109">
        <v>5.8633036338131763</v>
      </c>
      <c r="F178" s="109">
        <v>4.9081205129059526</v>
      </c>
      <c r="G178" s="109">
        <v>4.5604254978081231</v>
      </c>
      <c r="H178" s="109">
        <v>5.3664649763197039</v>
      </c>
      <c r="I178" s="109">
        <v>6.9233597102708861</v>
      </c>
      <c r="J178" s="109">
        <v>6.3363615372914346</v>
      </c>
      <c r="K178" s="110">
        <v>4.6093379201939992</v>
      </c>
    </row>
    <row r="179" spans="2:11" x14ac:dyDescent="0.3">
      <c r="B179" s="128"/>
      <c r="C179" s="112" t="s">
        <v>1483</v>
      </c>
      <c r="D179" s="1499">
        <v>7.4329663440843898</v>
      </c>
      <c r="E179" s="1499">
        <v>6.2538922256755436</v>
      </c>
      <c r="F179" s="1499">
        <v>5.3034224279013618</v>
      </c>
      <c r="G179" s="1499">
        <v>4.9587627221048232</v>
      </c>
      <c r="H179" s="1499">
        <v>5.7551373312230591</v>
      </c>
      <c r="I179" s="1499">
        <v>7.3037423574546372</v>
      </c>
      <c r="J179" s="1499">
        <v>6.7245375176523403</v>
      </c>
      <c r="K179" s="113">
        <v>5.0078921498298117</v>
      </c>
    </row>
    <row r="180" spans="2:11" x14ac:dyDescent="0.3">
      <c r="B180" s="128"/>
      <c r="C180" s="112" t="s">
        <v>1489</v>
      </c>
      <c r="D180" s="1499">
        <v>7.3967435347492438</v>
      </c>
      <c r="E180" s="1499">
        <v>6.2176694163403976</v>
      </c>
      <c r="F180" s="1499">
        <v>5.2671996185662167</v>
      </c>
      <c r="G180" s="1499">
        <v>4.9225399127696781</v>
      </c>
      <c r="H180" s="1499">
        <v>5.718914521887914</v>
      </c>
      <c r="I180" s="1499">
        <v>7.2675195481194912</v>
      </c>
      <c r="J180" s="1499">
        <v>6.6883147083171952</v>
      </c>
      <c r="K180" s="113">
        <v>4.9716693404946666</v>
      </c>
    </row>
    <row r="181" spans="2:11" x14ac:dyDescent="0.3">
      <c r="B181" s="122">
        <v>0</v>
      </c>
      <c r="C181" s="112" t="s">
        <v>1496</v>
      </c>
      <c r="D181" s="1499">
        <v>7.3424093207465253</v>
      </c>
      <c r="E181" s="1499">
        <v>6.1633352023376791</v>
      </c>
      <c r="F181" s="1499">
        <v>5.2128654045634972</v>
      </c>
      <c r="G181" s="1499">
        <v>4.8682056987669586</v>
      </c>
      <c r="H181" s="1499">
        <v>5.6645803078851946</v>
      </c>
      <c r="I181" s="1499">
        <v>7.2131853341167727</v>
      </c>
      <c r="J181" s="1499">
        <v>6.6339804943144758</v>
      </c>
      <c r="K181" s="113">
        <v>4.9173351264919472</v>
      </c>
    </row>
    <row r="182" spans="2:11" x14ac:dyDescent="0.3">
      <c r="B182" s="123"/>
      <c r="C182" s="112" t="s">
        <v>1500</v>
      </c>
      <c r="D182" s="1499">
        <v>7.2880751067438059</v>
      </c>
      <c r="E182" s="1499">
        <v>6.1090009883349596</v>
      </c>
      <c r="F182" s="1499">
        <v>5.1585311905607787</v>
      </c>
      <c r="G182" s="1499">
        <v>4.8138714847642401</v>
      </c>
      <c r="H182" s="1499">
        <v>5.610246093882477</v>
      </c>
      <c r="I182" s="1499">
        <v>7.1588511201140532</v>
      </c>
      <c r="J182" s="1499">
        <v>6.5796462803117572</v>
      </c>
      <c r="K182" s="113">
        <v>4.8630009124892286</v>
      </c>
    </row>
    <row r="183" spans="2:11" x14ac:dyDescent="0.3">
      <c r="B183" s="123"/>
      <c r="C183" s="112" t="s">
        <v>1504</v>
      </c>
      <c r="D183" s="1499">
        <v>7.3605159691245792</v>
      </c>
      <c r="E183" s="1499">
        <v>6.1775376259192605</v>
      </c>
      <c r="F183" s="1499">
        <v>5.2284976860375192</v>
      </c>
      <c r="G183" s="1499">
        <v>4.88244282942523</v>
      </c>
      <c r="H183" s="1499">
        <v>5.6802079756260966</v>
      </c>
      <c r="I183" s="1499">
        <v>7.2279164275675196</v>
      </c>
      <c r="J183" s="1499">
        <v>6.6482971589236755</v>
      </c>
      <c r="K183" s="113">
        <v>4.9315531539446624</v>
      </c>
    </row>
    <row r="184" spans="2:11" x14ac:dyDescent="0.3">
      <c r="B184" s="123"/>
      <c r="C184" s="112" t="s">
        <v>1508</v>
      </c>
      <c r="D184" s="1499">
        <v>7.3299280344341042</v>
      </c>
      <c r="E184" s="1499">
        <v>6.1469496912287855</v>
      </c>
      <c r="F184" s="1499">
        <v>5.1979097513470451</v>
      </c>
      <c r="G184" s="1499">
        <v>4.851854894734756</v>
      </c>
      <c r="H184" s="1499">
        <v>5.6496200409356225</v>
      </c>
      <c r="I184" s="1499">
        <v>7.1973284928770447</v>
      </c>
      <c r="J184" s="1499">
        <v>6.6177092242332005</v>
      </c>
      <c r="K184" s="113">
        <v>4.9009652192541884</v>
      </c>
    </row>
    <row r="185" spans="2:11" x14ac:dyDescent="0.3">
      <c r="B185" s="123"/>
      <c r="C185" s="112" t="s">
        <v>1513</v>
      </c>
      <c r="D185" s="1499">
        <v>7.2840461323983927</v>
      </c>
      <c r="E185" s="1499">
        <v>6.101067789193074</v>
      </c>
      <c r="F185" s="1499">
        <v>5.1520278493113336</v>
      </c>
      <c r="G185" s="1499">
        <v>4.8059729926990444</v>
      </c>
      <c r="H185" s="1499">
        <v>5.6037381388999119</v>
      </c>
      <c r="I185" s="1499">
        <v>7.1514465908413332</v>
      </c>
      <c r="J185" s="1499">
        <v>6.571827322197489</v>
      </c>
      <c r="K185" s="113">
        <v>4.8550833172184769</v>
      </c>
    </row>
    <row r="186" spans="2:11" x14ac:dyDescent="0.3">
      <c r="B186" s="123"/>
      <c r="C186" s="112" t="s">
        <v>1517</v>
      </c>
      <c r="D186" s="1499">
        <v>7.2381642303626821</v>
      </c>
      <c r="E186" s="1499">
        <v>6.0551858871573634</v>
      </c>
      <c r="F186" s="1499">
        <v>5.1061459472756221</v>
      </c>
      <c r="G186" s="1499">
        <v>4.7600910906633329</v>
      </c>
      <c r="H186" s="1499">
        <v>5.5578562368642004</v>
      </c>
      <c r="I186" s="1499">
        <v>7.1055646888056225</v>
      </c>
      <c r="J186" s="1499">
        <v>6.5259454201617784</v>
      </c>
      <c r="K186" s="113">
        <v>4.8092014151827653</v>
      </c>
    </row>
    <row r="187" spans="2:11" ht="14.5" thickBot="1" x14ac:dyDescent="0.35">
      <c r="B187" s="124"/>
      <c r="C187" s="116" t="s">
        <v>1519</v>
      </c>
      <c r="D187" s="117">
        <v>7.4329663440843898</v>
      </c>
      <c r="E187" s="117">
        <v>6.2538922256755436</v>
      </c>
      <c r="F187" s="117">
        <v>5.3034224279013618</v>
      </c>
      <c r="G187" s="117">
        <v>4.9587627221048232</v>
      </c>
      <c r="H187" s="117">
        <v>5.7551373312230591</v>
      </c>
      <c r="I187" s="117">
        <v>7.3037423574546372</v>
      </c>
      <c r="J187" s="117">
        <v>6.7245375176523403</v>
      </c>
      <c r="K187" s="118">
        <v>5.0078921498298117</v>
      </c>
    </row>
    <row r="188" spans="2:11" x14ac:dyDescent="0.3">
      <c r="B188" s="120" t="s">
        <v>1993</v>
      </c>
      <c r="C188" s="1234" t="s">
        <v>1416</v>
      </c>
      <c r="D188" s="109">
        <v>4.7373008030513555</v>
      </c>
      <c r="E188" s="109">
        <v>3.5014748343874178</v>
      </c>
      <c r="F188" s="109">
        <v>2.580427583015668</v>
      </c>
      <c r="G188" s="109">
        <v>2.2042359911848868</v>
      </c>
      <c r="H188" s="109">
        <v>3.0038587237194259</v>
      </c>
      <c r="I188" s="109">
        <v>4.5863314262892025</v>
      </c>
      <c r="J188" s="109">
        <v>3.983843736967644</v>
      </c>
      <c r="K188" s="110">
        <v>2.2511706419501456</v>
      </c>
    </row>
    <row r="189" spans="2:11" x14ac:dyDescent="0.3">
      <c r="B189" s="121"/>
      <c r="C189" s="1500" t="s">
        <v>1483</v>
      </c>
      <c r="D189" s="1499">
        <v>5.1400810136799819</v>
      </c>
      <c r="E189" s="1499">
        <v>3.9302905976418789</v>
      </c>
      <c r="F189" s="1499">
        <v>2.9985482066441791</v>
      </c>
      <c r="G189" s="1499">
        <v>2.6385245527823162</v>
      </c>
      <c r="H189" s="1499">
        <v>3.4146059802425861</v>
      </c>
      <c r="I189" s="1499">
        <v>5.0079601270338037</v>
      </c>
      <c r="J189" s="1499">
        <v>4.4100163313981193</v>
      </c>
      <c r="K189" s="113">
        <v>2.6839460814773117</v>
      </c>
    </row>
    <row r="190" spans="2:11" x14ac:dyDescent="0.3">
      <c r="B190" s="128"/>
      <c r="C190" s="1500" t="s">
        <v>1489</v>
      </c>
      <c r="D190" s="1499">
        <v>5.1038582043448359</v>
      </c>
      <c r="E190" s="1499">
        <v>3.8940677883067334</v>
      </c>
      <c r="F190" s="1499">
        <v>2.9623253973090335</v>
      </c>
      <c r="G190" s="1499">
        <v>2.6023017434471702</v>
      </c>
      <c r="H190" s="1499">
        <v>3.3783831709074406</v>
      </c>
      <c r="I190" s="1499">
        <v>4.9717373176986586</v>
      </c>
      <c r="J190" s="1499">
        <v>4.3737935220629733</v>
      </c>
      <c r="K190" s="113">
        <v>2.6477232721421662</v>
      </c>
    </row>
    <row r="191" spans="2:11" x14ac:dyDescent="0.3">
      <c r="B191" s="122">
        <v>0</v>
      </c>
      <c r="C191" s="1500" t="s">
        <v>1496</v>
      </c>
      <c r="D191" s="1499">
        <v>5.0495239903421174</v>
      </c>
      <c r="E191" s="1499">
        <v>3.8397335743040144</v>
      </c>
      <c r="F191" s="1499">
        <v>2.9079911833063146</v>
      </c>
      <c r="G191" s="1499">
        <v>2.5479675294444513</v>
      </c>
      <c r="H191" s="1499">
        <v>3.3240489569047216</v>
      </c>
      <c r="I191" s="1499">
        <v>4.9174031036959391</v>
      </c>
      <c r="J191" s="1499">
        <v>4.3194593080602539</v>
      </c>
      <c r="K191" s="113">
        <v>2.5933890581394472</v>
      </c>
    </row>
    <row r="192" spans="2:11" x14ac:dyDescent="0.3">
      <c r="B192" s="123"/>
      <c r="C192" s="1500" t="s">
        <v>1500</v>
      </c>
      <c r="D192" s="1499">
        <v>4.9951897763393989</v>
      </c>
      <c r="E192" s="1499">
        <v>3.7853993603012959</v>
      </c>
      <c r="F192" s="1499">
        <v>2.853656969303596</v>
      </c>
      <c r="G192" s="1499">
        <v>2.4936333154417323</v>
      </c>
      <c r="H192" s="1499">
        <v>3.269714742902003</v>
      </c>
      <c r="I192" s="1499">
        <v>4.8630688896932206</v>
      </c>
      <c r="J192" s="1499">
        <v>4.2651250940575363</v>
      </c>
      <c r="K192" s="113">
        <v>2.5390548441367282</v>
      </c>
    </row>
    <row r="193" spans="2:11" x14ac:dyDescent="0.3">
      <c r="B193" s="123"/>
      <c r="C193" s="1500" t="s">
        <v>1504</v>
      </c>
      <c r="D193" s="1499">
        <v>5.0634356181152231</v>
      </c>
      <c r="E193" s="1499">
        <v>3.848281769133262</v>
      </c>
      <c r="F193" s="1499">
        <v>2.9168701084434123</v>
      </c>
      <c r="G193" s="1499">
        <v>2.5553554928245856</v>
      </c>
      <c r="H193" s="1499">
        <v>3.3356643163216773</v>
      </c>
      <c r="I193" s="1499">
        <v>4.9274005517427293</v>
      </c>
      <c r="J193" s="1499">
        <v>4.3283946598715328</v>
      </c>
      <c r="K193" s="113">
        <v>2.6010795878178707</v>
      </c>
    </row>
    <row r="194" spans="2:11" x14ac:dyDescent="0.3">
      <c r="B194" s="123"/>
      <c r="C194" s="1500" t="s">
        <v>1508</v>
      </c>
      <c r="D194" s="1499">
        <v>5.0328476834247491</v>
      </c>
      <c r="E194" s="1499">
        <v>3.817693834442788</v>
      </c>
      <c r="F194" s="1499">
        <v>2.8862821737529383</v>
      </c>
      <c r="G194" s="1499">
        <v>2.5247675581341116</v>
      </c>
      <c r="H194" s="1499">
        <v>3.3050763816312032</v>
      </c>
      <c r="I194" s="1499">
        <v>4.8968126170522552</v>
      </c>
      <c r="J194" s="1499">
        <v>4.2978067251810588</v>
      </c>
      <c r="K194" s="113">
        <v>2.5704916531273967</v>
      </c>
    </row>
    <row r="195" spans="2:11" x14ac:dyDescent="0.3">
      <c r="B195" s="123"/>
      <c r="C195" s="1500" t="s">
        <v>1513</v>
      </c>
      <c r="D195" s="1499">
        <v>4.9869657813890376</v>
      </c>
      <c r="E195" s="1499">
        <v>3.7718119324070769</v>
      </c>
      <c r="F195" s="1499">
        <v>2.8404002717172272</v>
      </c>
      <c r="G195" s="1499">
        <v>2.4788856560984001</v>
      </c>
      <c r="H195" s="1499">
        <v>3.2591944795954921</v>
      </c>
      <c r="I195" s="1499">
        <v>4.8509307150165437</v>
      </c>
      <c r="J195" s="1499">
        <v>4.2519248231453473</v>
      </c>
      <c r="K195" s="113">
        <v>2.5246097510916852</v>
      </c>
    </row>
    <row r="196" spans="2:11" x14ac:dyDescent="0.3">
      <c r="B196" s="123"/>
      <c r="C196" s="1500" t="s">
        <v>1517</v>
      </c>
      <c r="D196" s="1499">
        <v>4.941083879353326</v>
      </c>
      <c r="E196" s="1499">
        <v>3.7259300303713654</v>
      </c>
      <c r="F196" s="1499">
        <v>2.7945183696815157</v>
      </c>
      <c r="G196" s="1499">
        <v>2.4330037540626885</v>
      </c>
      <c r="H196" s="1499">
        <v>3.2133125775597806</v>
      </c>
      <c r="I196" s="1499">
        <v>4.8050488129808322</v>
      </c>
      <c r="J196" s="1499">
        <v>4.2060429211096357</v>
      </c>
      <c r="K196" s="113">
        <v>2.4787278490559741</v>
      </c>
    </row>
    <row r="197" spans="2:11" ht="14.5" thickBot="1" x14ac:dyDescent="0.35">
      <c r="B197" s="124"/>
      <c r="C197" s="125" t="s">
        <v>1519</v>
      </c>
      <c r="D197" s="117">
        <v>5.1400810136799819</v>
      </c>
      <c r="E197" s="117">
        <v>3.9302905976418789</v>
      </c>
      <c r="F197" s="117">
        <v>2.9985482066441791</v>
      </c>
      <c r="G197" s="117">
        <v>2.6385245527823162</v>
      </c>
      <c r="H197" s="117">
        <v>3.4146059802425861</v>
      </c>
      <c r="I197" s="117">
        <v>5.0079601270338037</v>
      </c>
      <c r="J197" s="117">
        <v>4.4100163313981193</v>
      </c>
      <c r="K197" s="118">
        <v>2.6839460814773117</v>
      </c>
    </row>
    <row r="198" spans="2:11" x14ac:dyDescent="0.3">
      <c r="B198" s="119" t="s">
        <v>1994</v>
      </c>
      <c r="C198" s="108" t="s">
        <v>1416</v>
      </c>
      <c r="D198" s="109">
        <v>5.9754690157740411</v>
      </c>
      <c r="E198" s="109">
        <v>4.8322741727362448</v>
      </c>
      <c r="F198" s="109">
        <v>3.8114320911644759</v>
      </c>
      <c r="G198" s="109">
        <v>3.4805267446155699</v>
      </c>
      <c r="H198" s="109">
        <v>4.2570832299891661</v>
      </c>
      <c r="I198" s="109">
        <v>5.9456035377305749</v>
      </c>
      <c r="J198" s="109">
        <v>5.3300016943045012</v>
      </c>
      <c r="K198" s="110">
        <v>3.5301097141870952</v>
      </c>
    </row>
    <row r="199" spans="2:11" x14ac:dyDescent="0.3">
      <c r="B199" s="111"/>
      <c r="C199" s="112" t="s">
        <v>1483</v>
      </c>
      <c r="D199" s="1499">
        <v>6.3773139330848263</v>
      </c>
      <c r="E199" s="1499">
        <v>5.2508365492960305</v>
      </c>
      <c r="F199" s="1499">
        <v>4.2296564870695956</v>
      </c>
      <c r="G199" s="1499">
        <v>3.9091312195491352</v>
      </c>
      <c r="H199" s="1499">
        <v>4.66866905926332</v>
      </c>
      <c r="I199" s="1499">
        <v>6.3540018887261915</v>
      </c>
      <c r="J199" s="1499">
        <v>5.7451193112325356</v>
      </c>
      <c r="K199" s="113">
        <v>3.958307402866525</v>
      </c>
    </row>
    <row r="200" spans="2:11" x14ac:dyDescent="0.3">
      <c r="B200" s="111"/>
      <c r="C200" s="112" t="s">
        <v>1489</v>
      </c>
      <c r="D200" s="1499">
        <v>6.3410911237496803</v>
      </c>
      <c r="E200" s="1499">
        <v>5.2146137399608845</v>
      </c>
      <c r="F200" s="1499">
        <v>4.1934336777344505</v>
      </c>
      <c r="G200" s="1499">
        <v>3.8729084102139897</v>
      </c>
      <c r="H200" s="1499">
        <v>4.632446249928174</v>
      </c>
      <c r="I200" s="1499">
        <v>6.3177790793910464</v>
      </c>
      <c r="J200" s="1499">
        <v>5.7088965018973896</v>
      </c>
      <c r="K200" s="113">
        <v>3.9220845935313795</v>
      </c>
    </row>
    <row r="201" spans="2:11" x14ac:dyDescent="0.3">
      <c r="B201" s="114">
        <v>0</v>
      </c>
      <c r="C201" s="112" t="s">
        <v>1496</v>
      </c>
      <c r="D201" s="1499">
        <v>6.2867569097469609</v>
      </c>
      <c r="E201" s="1499">
        <v>5.1602795259581651</v>
      </c>
      <c r="F201" s="1499">
        <v>4.1390994637317311</v>
      </c>
      <c r="G201" s="1499">
        <v>3.8185741962112707</v>
      </c>
      <c r="H201" s="1499">
        <v>4.5781120359254555</v>
      </c>
      <c r="I201" s="1499">
        <v>6.263444865388327</v>
      </c>
      <c r="J201" s="1499">
        <v>5.6545622878946702</v>
      </c>
      <c r="K201" s="113">
        <v>3.8677503795286605</v>
      </c>
    </row>
    <row r="202" spans="2:11" x14ac:dyDescent="0.3">
      <c r="B202" s="115"/>
      <c r="C202" s="112" t="s">
        <v>1500</v>
      </c>
      <c r="D202" s="1499">
        <v>6.2324226957442423</v>
      </c>
      <c r="E202" s="1499">
        <v>5.1059453119554474</v>
      </c>
      <c r="F202" s="1499">
        <v>4.0847652497290126</v>
      </c>
      <c r="G202" s="1499">
        <v>3.7642399822085522</v>
      </c>
      <c r="H202" s="1499">
        <v>4.5237778219227369</v>
      </c>
      <c r="I202" s="1499">
        <v>6.2091106513856085</v>
      </c>
      <c r="J202" s="1499">
        <v>5.6002280738919525</v>
      </c>
      <c r="K202" s="113">
        <v>3.813416165525942</v>
      </c>
    </row>
    <row r="203" spans="2:11" x14ac:dyDescent="0.3">
      <c r="B203" s="115"/>
      <c r="C203" s="112" t="s">
        <v>1504</v>
      </c>
      <c r="D203" s="1499">
        <v>6.3009910871114752</v>
      </c>
      <c r="E203" s="1499">
        <v>5.1708381539243211</v>
      </c>
      <c r="F203" s="1499">
        <v>4.1493057739483286</v>
      </c>
      <c r="G203" s="1499">
        <v>3.8270678077002369</v>
      </c>
      <c r="H203" s="1499">
        <v>4.5905757757917485</v>
      </c>
      <c r="I203" s="1499">
        <v>6.2742686759676234</v>
      </c>
      <c r="J203" s="1499">
        <v>5.6650801909474575</v>
      </c>
      <c r="K203" s="113">
        <v>3.8764284309352925</v>
      </c>
    </row>
    <row r="204" spans="2:11" x14ac:dyDescent="0.3">
      <c r="B204" s="115"/>
      <c r="C204" s="112" t="s">
        <v>1508</v>
      </c>
      <c r="D204" s="1499">
        <v>6.2704031524210002</v>
      </c>
      <c r="E204" s="1499">
        <v>5.1402502192338471</v>
      </c>
      <c r="F204" s="1499">
        <v>4.1187178392578545</v>
      </c>
      <c r="G204" s="1499">
        <v>3.7964798730097629</v>
      </c>
      <c r="H204" s="1499">
        <v>4.5599878411012744</v>
      </c>
      <c r="I204" s="1499">
        <v>6.2436807412771484</v>
      </c>
      <c r="J204" s="1499">
        <v>5.6344922562569826</v>
      </c>
      <c r="K204" s="113">
        <v>3.8458404962448189</v>
      </c>
    </row>
    <row r="205" spans="2:11" x14ac:dyDescent="0.3">
      <c r="B205" s="115"/>
      <c r="C205" s="112" t="s">
        <v>1513</v>
      </c>
      <c r="D205" s="1499">
        <v>6.2245212503852887</v>
      </c>
      <c r="E205" s="1499">
        <v>5.0943683171981355</v>
      </c>
      <c r="F205" s="1499">
        <v>4.072835937222143</v>
      </c>
      <c r="G205" s="1499">
        <v>3.7505979709740518</v>
      </c>
      <c r="H205" s="1499">
        <v>4.5141059390655629</v>
      </c>
      <c r="I205" s="1499">
        <v>6.1977988392414369</v>
      </c>
      <c r="J205" s="1499">
        <v>5.5886103542212719</v>
      </c>
      <c r="K205" s="113">
        <v>3.7999585942091074</v>
      </c>
    </row>
    <row r="206" spans="2:11" x14ac:dyDescent="0.3">
      <c r="B206" s="115"/>
      <c r="C206" s="112" t="s">
        <v>1517</v>
      </c>
      <c r="D206" s="1499">
        <v>6.1786393483495772</v>
      </c>
      <c r="E206" s="1499">
        <v>5.0484864151624249</v>
      </c>
      <c r="F206" s="1499">
        <v>4.0269540351864315</v>
      </c>
      <c r="G206" s="1499">
        <v>3.7047160689383403</v>
      </c>
      <c r="H206" s="1499">
        <v>4.4682240370298514</v>
      </c>
      <c r="I206" s="1499">
        <v>6.1519169372057263</v>
      </c>
      <c r="J206" s="1499">
        <v>5.5427284521855604</v>
      </c>
      <c r="K206" s="113">
        <v>3.7540766921733963</v>
      </c>
    </row>
    <row r="207" spans="2:11" ht="14.5" thickBot="1" x14ac:dyDescent="0.35">
      <c r="B207" s="1233"/>
      <c r="C207" s="116" t="s">
        <v>1519</v>
      </c>
      <c r="D207" s="117">
        <v>6.3773139330848263</v>
      </c>
      <c r="E207" s="117">
        <v>5.2508365492960305</v>
      </c>
      <c r="F207" s="117">
        <v>4.2296564870695956</v>
      </c>
      <c r="G207" s="117">
        <v>3.9091312195491352</v>
      </c>
      <c r="H207" s="117">
        <v>4.66866905926332</v>
      </c>
      <c r="I207" s="117">
        <v>6.3540018887261915</v>
      </c>
      <c r="J207" s="117">
        <v>5.7451193112325356</v>
      </c>
      <c r="K207" s="118">
        <v>3.958307402866525</v>
      </c>
    </row>
    <row r="208" spans="2:11" x14ac:dyDescent="0.3">
      <c r="B208" s="120" t="s">
        <v>1519</v>
      </c>
      <c r="C208" s="108" t="s">
        <v>1416</v>
      </c>
      <c r="D208" s="129">
        <v>4.3553204807378156</v>
      </c>
      <c r="E208" s="109">
        <v>3.0447505501013357</v>
      </c>
      <c r="F208" s="109">
        <v>2.2306501541234134</v>
      </c>
      <c r="G208" s="109">
        <v>1.834916859015348</v>
      </c>
      <c r="H208" s="109">
        <v>2.6398491784150524</v>
      </c>
      <c r="I208" s="109">
        <v>4.072138926437292</v>
      </c>
      <c r="J208" s="109">
        <v>3.4978784040724897</v>
      </c>
      <c r="K208" s="110">
        <v>1.8784536091925252</v>
      </c>
    </row>
    <row r="209" spans="2:11" x14ac:dyDescent="0.3">
      <c r="B209" s="111"/>
      <c r="C209" s="112" t="s">
        <v>1483</v>
      </c>
      <c r="D209" s="130">
        <v>4.6569759269098379</v>
      </c>
      <c r="E209" s="1499">
        <v>3.3645720667595773</v>
      </c>
      <c r="F209" s="1499">
        <v>2.5418156090625805</v>
      </c>
      <c r="G209" s="1499">
        <v>2.1464458116740062</v>
      </c>
      <c r="H209" s="1499">
        <v>2.9398569755017721</v>
      </c>
      <c r="I209" s="1499">
        <v>4.3907167467063442</v>
      </c>
      <c r="J209" s="1499">
        <v>3.8186152929412995</v>
      </c>
      <c r="K209" s="113">
        <v>2.1877261843280364</v>
      </c>
    </row>
    <row r="210" spans="2:11" x14ac:dyDescent="0.3">
      <c r="B210" s="111"/>
      <c r="C210" s="112" t="s">
        <v>1489</v>
      </c>
      <c r="D210" s="130">
        <v>4.6207531175746928</v>
      </c>
      <c r="E210" s="1499">
        <v>3.3283492574244318</v>
      </c>
      <c r="F210" s="1499">
        <v>2.5055927997274345</v>
      </c>
      <c r="G210" s="1499">
        <v>2.1102230023388602</v>
      </c>
      <c r="H210" s="1499">
        <v>2.9036341661666261</v>
      </c>
      <c r="I210" s="1499">
        <v>4.3544939373711982</v>
      </c>
      <c r="J210" s="1499">
        <v>3.782392483606154</v>
      </c>
      <c r="K210" s="113">
        <v>2.1515033749928905</v>
      </c>
    </row>
    <row r="211" spans="2:11" x14ac:dyDescent="0.3">
      <c r="B211" s="114">
        <v>0</v>
      </c>
      <c r="C211" s="112" t="s">
        <v>1496</v>
      </c>
      <c r="D211" s="130">
        <v>4.5664189035719733</v>
      </c>
      <c r="E211" s="1499">
        <v>3.2740150434217128</v>
      </c>
      <c r="F211" s="1499">
        <v>2.451258585724716</v>
      </c>
      <c r="G211" s="1499">
        <v>2.0558887883361416</v>
      </c>
      <c r="H211" s="1499">
        <v>2.8492999521639071</v>
      </c>
      <c r="I211" s="1499">
        <v>4.3001597233684796</v>
      </c>
      <c r="J211" s="1499">
        <v>3.728058269603435</v>
      </c>
      <c r="K211" s="113">
        <v>2.0971691609901719</v>
      </c>
    </row>
    <row r="212" spans="2:11" x14ac:dyDescent="0.3">
      <c r="B212" s="115"/>
      <c r="C212" s="112" t="s">
        <v>1500</v>
      </c>
      <c r="D212" s="130">
        <v>4.5120846895692548</v>
      </c>
      <c r="E212" s="1499">
        <v>3.2196808294189938</v>
      </c>
      <c r="F212" s="1499">
        <v>2.396924371721997</v>
      </c>
      <c r="G212" s="1499">
        <v>2.0015545743334227</v>
      </c>
      <c r="H212" s="1499">
        <v>2.7949657381611881</v>
      </c>
      <c r="I212" s="1499">
        <v>4.2458255093657602</v>
      </c>
      <c r="J212" s="1499">
        <v>3.673724055600716</v>
      </c>
      <c r="K212" s="113">
        <v>2.0428349469874529</v>
      </c>
    </row>
    <row r="213" spans="2:11" x14ac:dyDescent="0.3">
      <c r="B213" s="115"/>
      <c r="C213" s="112" t="s">
        <v>1504</v>
      </c>
      <c r="D213" s="130">
        <v>4.5969796429056684</v>
      </c>
      <c r="E213" s="1499">
        <v>3.3001449676236638</v>
      </c>
      <c r="F213" s="1499">
        <v>2.479439920331076</v>
      </c>
      <c r="G213" s="1499">
        <v>2.0841443774704906</v>
      </c>
      <c r="H213" s="1499">
        <v>2.8771094844456817</v>
      </c>
      <c r="I213" s="1499">
        <v>4.3268981932724735</v>
      </c>
      <c r="J213" s="1499">
        <v>3.7540756441756264</v>
      </c>
      <c r="K213" s="113">
        <v>2.1259086014627164</v>
      </c>
    </row>
    <row r="214" spans="2:11" x14ac:dyDescent="0.3">
      <c r="B214" s="115"/>
      <c r="C214" s="112" t="s">
        <v>1508</v>
      </c>
      <c r="D214" s="130">
        <v>4.5663917082151944</v>
      </c>
      <c r="E214" s="1499">
        <v>3.2695570329331898</v>
      </c>
      <c r="F214" s="1499">
        <v>2.4488519856406015</v>
      </c>
      <c r="G214" s="1499">
        <v>2.0535564427800166</v>
      </c>
      <c r="H214" s="1499">
        <v>2.8465215497552077</v>
      </c>
      <c r="I214" s="1499">
        <v>4.2963102585819994</v>
      </c>
      <c r="J214" s="1499">
        <v>3.7234877094851524</v>
      </c>
      <c r="K214" s="113">
        <v>2.0953206667722419</v>
      </c>
    </row>
    <row r="215" spans="2:11" x14ac:dyDescent="0.3">
      <c r="B215" s="115"/>
      <c r="C215" s="112" t="s">
        <v>1513</v>
      </c>
      <c r="D215" s="130">
        <v>4.5205098061794837</v>
      </c>
      <c r="E215" s="1499">
        <v>3.2236751308974783</v>
      </c>
      <c r="F215" s="1499">
        <v>2.4029700836048904</v>
      </c>
      <c r="G215" s="1499">
        <v>2.0076745407443051</v>
      </c>
      <c r="H215" s="1499">
        <v>2.8006396477194961</v>
      </c>
      <c r="I215" s="1499">
        <v>4.2504283565462879</v>
      </c>
      <c r="J215" s="1499">
        <v>3.6776058074494409</v>
      </c>
      <c r="K215" s="113">
        <v>2.0494387647365309</v>
      </c>
    </row>
    <row r="216" spans="2:11" x14ac:dyDescent="0.3">
      <c r="B216" s="115"/>
      <c r="C216" s="112" t="s">
        <v>1517</v>
      </c>
      <c r="D216" s="130">
        <v>4.4746279041437722</v>
      </c>
      <c r="E216" s="1499">
        <v>3.1777932288617672</v>
      </c>
      <c r="F216" s="1499">
        <v>2.3570881815691789</v>
      </c>
      <c r="G216" s="1499">
        <v>1.9617926387085938</v>
      </c>
      <c r="H216" s="1499">
        <v>2.7547577456837851</v>
      </c>
      <c r="I216" s="1499">
        <v>4.2045464545105773</v>
      </c>
      <c r="J216" s="1499">
        <v>3.6317239054137298</v>
      </c>
      <c r="K216" s="113">
        <v>2.0035568627008193</v>
      </c>
    </row>
    <row r="217" spans="2:11" ht="14.5" thickBot="1" x14ac:dyDescent="0.35">
      <c r="B217" s="1233"/>
      <c r="C217" s="116" t="s">
        <v>1519</v>
      </c>
      <c r="D217" s="131">
        <v>4.6569759269098379</v>
      </c>
      <c r="E217" s="117">
        <v>3.3645720667595773</v>
      </c>
      <c r="F217" s="117">
        <v>2.5418156090625805</v>
      </c>
      <c r="G217" s="117">
        <v>2.1464458116740062</v>
      </c>
      <c r="H217" s="117">
        <v>2.9398569755017721</v>
      </c>
      <c r="I217" s="117">
        <v>4.3907167467063442</v>
      </c>
      <c r="J217" s="117">
        <v>3.8186152929412995</v>
      </c>
      <c r="K217" s="118">
        <v>2.1877261843280364</v>
      </c>
    </row>
    <row r="221" spans="2:11" ht="14.5" thickBot="1" x14ac:dyDescent="0.35"/>
    <row r="222" spans="2:11" x14ac:dyDescent="0.3">
      <c r="C222" s="132" t="s">
        <v>1995</v>
      </c>
      <c r="D222" s="132"/>
      <c r="E222" s="132"/>
      <c r="F222" s="132"/>
    </row>
    <row r="223" spans="2:11" x14ac:dyDescent="0.3">
      <c r="C223" s="1504" t="s">
        <v>1996</v>
      </c>
      <c r="D223" s="1504" t="s">
        <v>1997</v>
      </c>
      <c r="E223" s="1504" t="s">
        <v>1998</v>
      </c>
      <c r="F223" s="1504" t="s">
        <v>1999</v>
      </c>
    </row>
    <row r="224" spans="2:11" x14ac:dyDescent="0.3">
      <c r="C224" s="1498">
        <v>1</v>
      </c>
      <c r="D224" s="1505">
        <v>304.83246091194928</v>
      </c>
      <c r="E224" s="1506">
        <v>6.7403529223206041E-2</v>
      </c>
      <c r="F224" s="1507">
        <v>2.6961411689282415</v>
      </c>
      <c r="H224" s="134" t="s">
        <v>2000</v>
      </c>
    </row>
    <row r="225" spans="2:11" x14ac:dyDescent="0.3">
      <c r="C225" s="1498">
        <v>1.5</v>
      </c>
      <c r="D225" s="1505">
        <v>257.39713962635295</v>
      </c>
      <c r="E225" s="1506">
        <v>5.6914790409364951E-2</v>
      </c>
      <c r="F225" s="1507">
        <v>2.2765916163745978</v>
      </c>
      <c r="H225" s="134" t="s">
        <v>2001</v>
      </c>
    </row>
    <row r="226" spans="2:11" x14ac:dyDescent="0.3">
      <c r="C226" s="1498">
        <v>2</v>
      </c>
      <c r="D226" s="1505">
        <v>223.74124356533835</v>
      </c>
      <c r="E226" s="1506">
        <v>4.9472911788908419E-2</v>
      </c>
      <c r="F226" s="1507">
        <v>1.978916471556337</v>
      </c>
    </row>
    <row r="227" spans="2:11" x14ac:dyDescent="0.3">
      <c r="C227" s="1498">
        <v>2.5</v>
      </c>
      <c r="D227" s="1505">
        <v>197.63570245284683</v>
      </c>
      <c r="E227" s="1506">
        <v>4.3700542278130868E-2</v>
      </c>
      <c r="F227" s="1507">
        <v>1.7480216911252349</v>
      </c>
    </row>
    <row r="228" spans="2:11" x14ac:dyDescent="0.3">
      <c r="B228" s="2"/>
      <c r="C228" s="1498">
        <v>3</v>
      </c>
      <c r="D228" s="1505">
        <v>176.30592227974199</v>
      </c>
      <c r="E228" s="1506">
        <v>3.898417297506733E-2</v>
      </c>
      <c r="F228" s="1507">
        <v>1.5593669190026929</v>
      </c>
      <c r="I228" s="135"/>
      <c r="J228" s="135"/>
      <c r="K228" s="135"/>
    </row>
    <row r="229" spans="2:11" x14ac:dyDescent="0.3">
      <c r="B229" s="136"/>
      <c r="C229" s="1498">
        <v>3.5</v>
      </c>
      <c r="D229" s="1505">
        <v>158.27185010490899</v>
      </c>
      <c r="E229" s="1506">
        <v>3.499653954779635E-2</v>
      </c>
      <c r="F229" s="1507">
        <v>1.3998615819118543</v>
      </c>
      <c r="I229" s="135"/>
      <c r="J229" s="135"/>
      <c r="K229" s="135"/>
    </row>
    <row r="230" spans="2:11" x14ac:dyDescent="0.3">
      <c r="B230" s="136"/>
      <c r="C230" s="1498">
        <v>4</v>
      </c>
      <c r="D230" s="1505">
        <v>142.65002621872736</v>
      </c>
      <c r="E230" s="1506">
        <v>3.1542294354610798E-2</v>
      </c>
      <c r="F230" s="1507">
        <v>1.2616917741844325</v>
      </c>
      <c r="I230" s="135"/>
      <c r="J230" s="135"/>
      <c r="K230" s="135"/>
    </row>
    <row r="231" spans="2:11" x14ac:dyDescent="0.3">
      <c r="B231" s="137"/>
      <c r="C231" s="1498">
        <v>4.5</v>
      </c>
      <c r="D231" s="1505">
        <v>128.87060099414563</v>
      </c>
      <c r="E231" s="1506">
        <v>2.8495434161226234E-2</v>
      </c>
      <c r="F231" s="1507">
        <v>1.1398173664490492</v>
      </c>
      <c r="I231" s="135"/>
      <c r="J231" s="135"/>
      <c r="K231" s="135"/>
    </row>
    <row r="232" spans="2:11" x14ac:dyDescent="0.3">
      <c r="C232" s="1498">
        <v>5</v>
      </c>
      <c r="D232" s="1505">
        <v>116.5444851062359</v>
      </c>
      <c r="E232" s="1506">
        <v>2.5769924843833253E-2</v>
      </c>
      <c r="F232" s="1507">
        <v>1.0307969937533301</v>
      </c>
      <c r="I232" s="135"/>
      <c r="J232" s="135"/>
      <c r="K232" s="135"/>
    </row>
    <row r="233" spans="2:11" x14ac:dyDescent="0.3">
      <c r="C233" s="1498">
        <v>5.5</v>
      </c>
      <c r="D233" s="1505">
        <v>105.39415697590503</v>
      </c>
      <c r="E233" s="1506">
        <v>2.3304401763605313E-2</v>
      </c>
      <c r="F233" s="1507">
        <v>0.93217607054421237</v>
      </c>
      <c r="I233" s="135"/>
      <c r="J233" s="135"/>
      <c r="K233" s="135"/>
    </row>
    <row r="234" spans="2:11" x14ac:dyDescent="0.3">
      <c r="C234" s="1498">
        <v>6</v>
      </c>
      <c r="D234" s="1505">
        <v>95.214704933131031</v>
      </c>
      <c r="E234" s="1506">
        <v>2.1053555540769712E-2</v>
      </c>
      <c r="F234" s="1507">
        <v>0.84214222163078867</v>
      </c>
      <c r="I234" s="135"/>
      <c r="J234" s="135"/>
      <c r="K234" s="135"/>
    </row>
    <row r="235" spans="2:11" x14ac:dyDescent="0.3">
      <c r="C235" s="1498">
        <v>6.5</v>
      </c>
      <c r="D235" s="1505">
        <v>85.850516796749176</v>
      </c>
      <c r="E235" s="1506">
        <v>1.8982977732835637E-2</v>
      </c>
      <c r="F235" s="1507">
        <v>0.7593191093134255</v>
      </c>
      <c r="I235" s="135"/>
      <c r="J235" s="135"/>
      <c r="K235" s="135"/>
    </row>
    <row r="236" spans="2:11" x14ac:dyDescent="0.3">
      <c r="C236" s="1498">
        <v>7</v>
      </c>
      <c r="D236" s="1505">
        <v>77.18063275829806</v>
      </c>
      <c r="E236" s="1506">
        <v>1.7065922113498742E-2</v>
      </c>
      <c r="F236" s="1507">
        <v>0.68263688453994964</v>
      </c>
      <c r="I236" s="135"/>
      <c r="J236" s="135"/>
      <c r="K236" s="135"/>
    </row>
    <row r="237" spans="2:11" x14ac:dyDescent="0.3">
      <c r="C237" s="1498">
        <v>7.5</v>
      </c>
      <c r="D237" s="1505">
        <v>69.109163820639566</v>
      </c>
      <c r="E237" s="1506">
        <v>1.5281186029992164E-2</v>
      </c>
      <c r="F237" s="1507">
        <v>0.61124744119968644</v>
      </c>
      <c r="I237" s="135"/>
      <c r="J237" s="135"/>
      <c r="K237" s="135"/>
    </row>
    <row r="238" spans="2:11" x14ac:dyDescent="0.3">
      <c r="B238" s="2"/>
      <c r="C238" s="1498">
        <v>8</v>
      </c>
      <c r="D238" s="1505">
        <v>61.55880887211643</v>
      </c>
      <c r="E238" s="1506">
        <v>1.3611676920313197E-2</v>
      </c>
      <c r="F238" s="1507">
        <v>0.54446707681252793</v>
      </c>
      <c r="I238" s="135"/>
      <c r="J238" s="135"/>
      <c r="K238" s="135"/>
    </row>
    <row r="239" spans="2:11" x14ac:dyDescent="0.3">
      <c r="B239" s="136"/>
      <c r="C239" s="1498">
        <v>8.5</v>
      </c>
      <c r="D239" s="1505">
        <v>54.466340602533009</v>
      </c>
      <c r="E239" s="1506">
        <v>1.2043414174136652E-2</v>
      </c>
      <c r="F239" s="1507">
        <v>0.48173656696546607</v>
      </c>
      <c r="I239" s="135"/>
      <c r="J239" s="135"/>
      <c r="K239" s="135"/>
    </row>
    <row r="240" spans="2:11" x14ac:dyDescent="0.3">
      <c r="B240" s="136"/>
      <c r="C240" s="1498">
        <v>9</v>
      </c>
      <c r="D240" s="1505">
        <v>47.779383647534672</v>
      </c>
      <c r="E240" s="1506">
        <v>1.0564816726928616E-2</v>
      </c>
      <c r="F240" s="1507">
        <v>0.42259266907714466</v>
      </c>
      <c r="I240" s="135"/>
      <c r="J240" s="135"/>
      <c r="K240" s="135"/>
    </row>
    <row r="241" spans="2:11" x14ac:dyDescent="0.3">
      <c r="B241" s="137"/>
      <c r="C241" s="1498">
        <v>9.5</v>
      </c>
      <c r="D241" s="1505">
        <v>41.454064993257788</v>
      </c>
      <c r="E241" s="1506">
        <v>9.1661835253195757E-3</v>
      </c>
      <c r="F241" s="1507">
        <v>0.36664734101278301</v>
      </c>
      <c r="I241" s="135"/>
      <c r="J241" s="135"/>
      <c r="K241" s="135"/>
    </row>
    <row r="242" spans="2:11" x14ac:dyDescent="0.3">
      <c r="C242" s="1498">
        <v>10</v>
      </c>
      <c r="D242" s="1505">
        <v>35.453267759624893</v>
      </c>
      <c r="E242" s="1506">
        <v>7.8393074095356313E-3</v>
      </c>
      <c r="F242" s="1507">
        <v>0.31357229638142525</v>
      </c>
      <c r="I242" s="135"/>
      <c r="J242" s="135"/>
      <c r="K242" s="135"/>
    </row>
    <row r="243" spans="2:11" x14ac:dyDescent="0.3">
      <c r="I243" s="135"/>
      <c r="J243" s="135"/>
      <c r="K243" s="135"/>
    </row>
    <row r="244" spans="2:11" ht="14.5" thickBot="1" x14ac:dyDescent="0.35">
      <c r="I244" s="135"/>
      <c r="J244" s="135"/>
      <c r="K244" s="135"/>
    </row>
    <row r="245" spans="2:11" x14ac:dyDescent="0.3">
      <c r="C245" s="132" t="s">
        <v>2002</v>
      </c>
      <c r="D245" s="132"/>
      <c r="E245" s="132"/>
      <c r="F245" s="132"/>
      <c r="H245" s="134" t="s">
        <v>2003</v>
      </c>
      <c r="I245" s="135"/>
      <c r="J245" s="135"/>
      <c r="K245" s="135"/>
    </row>
    <row r="246" spans="2:11" x14ac:dyDescent="0.3">
      <c r="C246" s="1508" t="s">
        <v>1996</v>
      </c>
      <c r="D246" s="1508" t="s">
        <v>2004</v>
      </c>
      <c r="E246" s="1508" t="s">
        <v>2005</v>
      </c>
      <c r="F246" s="1508" t="s">
        <v>2006</v>
      </c>
      <c r="H246" s="134" t="s">
        <v>2007</v>
      </c>
      <c r="I246" s="135"/>
      <c r="J246" s="135"/>
      <c r="K246" s="135"/>
    </row>
    <row r="247" spans="2:11" x14ac:dyDescent="0.3">
      <c r="C247" s="1498" t="s">
        <v>376</v>
      </c>
      <c r="D247" s="1509">
        <v>361.63881547373342</v>
      </c>
      <c r="E247" s="1510">
        <v>7.9964359419288755E-2</v>
      </c>
      <c r="F247" s="1511">
        <v>3.1985743767715502</v>
      </c>
      <c r="I247" s="135"/>
      <c r="J247" s="135"/>
      <c r="K247" s="135"/>
    </row>
    <row r="248" spans="2:11" x14ac:dyDescent="0.3">
      <c r="B248" s="2"/>
      <c r="D248" s="135"/>
      <c r="E248" s="135"/>
      <c r="F248" s="135"/>
      <c r="G248" s="135"/>
      <c r="H248" s="135"/>
      <c r="I248" s="135"/>
      <c r="J248" s="135"/>
      <c r="K248" s="135"/>
    </row>
    <row r="249" spans="2:11" x14ac:dyDescent="0.3">
      <c r="B249" s="136"/>
      <c r="D249" s="135"/>
      <c r="E249" s="135"/>
      <c r="F249" s="135"/>
      <c r="G249" s="135"/>
      <c r="H249" s="135"/>
      <c r="I249" s="135"/>
      <c r="J249" s="135"/>
      <c r="K249" s="135"/>
    </row>
    <row r="250" spans="2:11" x14ac:dyDescent="0.3">
      <c r="B250" s="136"/>
      <c r="D250" s="135"/>
      <c r="E250" s="135"/>
      <c r="F250" s="135"/>
      <c r="G250" s="135"/>
      <c r="H250" s="135"/>
      <c r="I250" s="135"/>
      <c r="J250" s="135"/>
      <c r="K250" s="135"/>
    </row>
    <row r="251" spans="2:11" x14ac:dyDescent="0.3">
      <c r="B251" s="137"/>
      <c r="D251" s="135"/>
      <c r="E251" s="135"/>
      <c r="F251" s="135"/>
      <c r="G251" s="135"/>
      <c r="H251" s="135"/>
      <c r="I251" s="135"/>
      <c r="J251" s="135"/>
      <c r="K251" s="135"/>
    </row>
    <row r="252" spans="2:11" x14ac:dyDescent="0.3">
      <c r="D252" s="135"/>
      <c r="E252" s="135"/>
      <c r="F252" s="135"/>
      <c r="G252" s="135"/>
      <c r="H252" s="135"/>
      <c r="I252" s="135"/>
      <c r="J252" s="135"/>
      <c r="K252" s="135"/>
    </row>
    <row r="253" spans="2:11" x14ac:dyDescent="0.3">
      <c r="D253" s="135"/>
      <c r="E253" s="135"/>
      <c r="F253" s="135"/>
      <c r="G253" s="135"/>
      <c r="H253" s="135"/>
      <c r="I253" s="135"/>
      <c r="J253" s="135"/>
      <c r="K253" s="135"/>
    </row>
    <row r="254" spans="2:11" x14ac:dyDescent="0.3">
      <c r="D254" s="135"/>
      <c r="E254" s="135"/>
      <c r="F254" s="135"/>
      <c r="G254" s="135"/>
      <c r="H254" s="135"/>
      <c r="I254" s="135"/>
      <c r="J254" s="135"/>
      <c r="K254" s="135"/>
    </row>
    <row r="255" spans="2:11" x14ac:dyDescent="0.3">
      <c r="D255" s="135"/>
      <c r="E255" s="135"/>
      <c r="F255" s="135"/>
      <c r="G255" s="135"/>
      <c r="H255" s="135"/>
      <c r="I255" s="135"/>
      <c r="J255" s="135"/>
      <c r="K255" s="135"/>
    </row>
    <row r="256" spans="2:11" x14ac:dyDescent="0.3">
      <c r="D256" s="135"/>
      <c r="E256" s="135"/>
      <c r="F256" s="135"/>
      <c r="G256" s="135"/>
      <c r="H256" s="135"/>
      <c r="I256" s="135"/>
      <c r="J256" s="135"/>
      <c r="K256" s="135"/>
    </row>
    <row r="257" spans="4:11" x14ac:dyDescent="0.3">
      <c r="D257" s="135"/>
      <c r="E257" s="135"/>
      <c r="F257" s="135"/>
      <c r="G257" s="135"/>
      <c r="H257" s="135"/>
      <c r="I257" s="135"/>
      <c r="J257" s="135"/>
      <c r="K257" s="135"/>
    </row>
  </sheetData>
  <sheetProtection algorithmName="SHA-512" hashValue="BFzRvMggIzTzDDI7ZTSjQo6US5jPsvSlC0QHm2El2acEBrO4QN3raXp1yAq0uKj1f3DqrepMm/rzfErHeaU3pg==" saltValue="I0N1U4EmjBcI6UV4ovP7Rg==" spinCount="100000" sheet="1" objects="1" scenarios="1" autoFilter="0"/>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dimension ref="B1:K257"/>
  <sheetViews>
    <sheetView topLeftCell="A205" workbookViewId="0">
      <selection activeCell="G9" sqref="G9"/>
    </sheetView>
  </sheetViews>
  <sheetFormatPr defaultColWidth="7.58203125" defaultRowHeight="14" x14ac:dyDescent="0.3"/>
  <sheetData>
    <row r="1" spans="2:11" ht="14.5" thickBot="1" x14ac:dyDescent="0.35"/>
    <row r="2" spans="2:11" ht="25.5" thickBot="1" x14ac:dyDescent="0.55000000000000004">
      <c r="B2" s="88" t="s">
        <v>1960</v>
      </c>
      <c r="C2" s="89"/>
      <c r="D2" s="90">
        <v>6</v>
      </c>
      <c r="E2" s="91" t="s">
        <v>1961</v>
      </c>
      <c r="F2" s="92"/>
      <c r="G2" s="92"/>
      <c r="H2" s="92"/>
      <c r="I2" s="93"/>
      <c r="J2" s="89" t="s">
        <v>176</v>
      </c>
      <c r="K2" s="94" t="s">
        <v>241</v>
      </c>
    </row>
    <row r="3" spans="2:11" ht="14.5" thickBot="1" x14ac:dyDescent="0.35">
      <c r="B3" s="95" t="s">
        <v>1962</v>
      </c>
      <c r="C3" s="96" t="s">
        <v>1963</v>
      </c>
      <c r="D3" s="95" t="s">
        <v>1964</v>
      </c>
      <c r="E3" s="97" t="s">
        <v>1965</v>
      </c>
      <c r="F3" s="97" t="s">
        <v>1966</v>
      </c>
      <c r="G3" s="97" t="s">
        <v>1967</v>
      </c>
      <c r="H3" s="97" t="s">
        <v>1968</v>
      </c>
      <c r="I3" s="97" t="s">
        <v>1969</v>
      </c>
      <c r="J3" s="97" t="s">
        <v>1970</v>
      </c>
      <c r="K3" s="98" t="s">
        <v>1971</v>
      </c>
    </row>
    <row r="4" spans="2:11" ht="18.5" thickBot="1" x14ac:dyDescent="0.45">
      <c r="B4" s="99" t="s">
        <v>34</v>
      </c>
      <c r="C4" s="100" t="s">
        <v>34</v>
      </c>
      <c r="D4" s="101" t="s">
        <v>34</v>
      </c>
      <c r="E4" s="944"/>
      <c r="F4" s="944"/>
      <c r="G4" s="944"/>
      <c r="H4" s="944"/>
      <c r="I4" s="944" t="s">
        <v>34</v>
      </c>
      <c r="J4" s="944" t="s">
        <v>34</v>
      </c>
      <c r="K4" s="102"/>
    </row>
    <row r="5" spans="2:11" ht="90.5" thickBot="1" x14ac:dyDescent="0.45">
      <c r="B5" s="103" t="s">
        <v>1972</v>
      </c>
      <c r="C5" s="104" t="s">
        <v>1973</v>
      </c>
      <c r="D5" s="105" t="s">
        <v>1974</v>
      </c>
      <c r="E5" s="105" t="s">
        <v>1525</v>
      </c>
      <c r="F5" s="105" t="s">
        <v>1527</v>
      </c>
      <c r="G5" s="105" t="s">
        <v>1975</v>
      </c>
      <c r="H5" s="105" t="s">
        <v>1976</v>
      </c>
      <c r="I5" s="105" t="s">
        <v>1445</v>
      </c>
      <c r="J5" s="105" t="s">
        <v>1538</v>
      </c>
      <c r="K5" s="106" t="s">
        <v>1541</v>
      </c>
    </row>
    <row r="6" spans="2:11" x14ac:dyDescent="0.3">
      <c r="B6" s="107" t="s">
        <v>1977</v>
      </c>
      <c r="C6" s="108" t="s">
        <v>1416</v>
      </c>
      <c r="D6" s="109">
        <v>4.7082708810291125</v>
      </c>
      <c r="E6" s="109">
        <v>4.3340831840228802</v>
      </c>
      <c r="F6" s="109">
        <v>2.9340914654421995</v>
      </c>
      <c r="G6" s="109">
        <v>2.8443467155632698</v>
      </c>
      <c r="H6" s="109">
        <v>3.2599493004180351</v>
      </c>
      <c r="I6" s="109">
        <v>3.7557218797876453</v>
      </c>
      <c r="J6" s="109">
        <v>3.452495541431011</v>
      </c>
      <c r="K6" s="110">
        <v>2.5033738934376872</v>
      </c>
    </row>
    <row r="7" spans="2:11" x14ac:dyDescent="0.3">
      <c r="B7" s="111" t="s">
        <v>1978</v>
      </c>
      <c r="C7" s="112" t="s">
        <v>1483</v>
      </c>
      <c r="D7" s="1499">
        <v>4.9614203507712871</v>
      </c>
      <c r="E7" s="1499">
        <v>4.5958861172323937</v>
      </c>
      <c r="F7" s="1499">
        <v>3.1967095131762155</v>
      </c>
      <c r="G7" s="1499">
        <v>3.1108323445135007</v>
      </c>
      <c r="H7" s="1499">
        <v>3.5176043740491298</v>
      </c>
      <c r="I7" s="1499">
        <v>4.0205404937815787</v>
      </c>
      <c r="J7" s="1499">
        <v>3.7172025849417252</v>
      </c>
      <c r="K7" s="113">
        <v>2.7705803519237024</v>
      </c>
    </row>
    <row r="8" spans="2:11" x14ac:dyDescent="0.3">
      <c r="B8" s="111" t="s">
        <v>1979</v>
      </c>
      <c r="C8" s="112" t="s">
        <v>1489</v>
      </c>
      <c r="D8" s="1499">
        <v>4.9316217966431388</v>
      </c>
      <c r="E8" s="1499">
        <v>4.5660875631042455</v>
      </c>
      <c r="F8" s="1499">
        <v>3.1669109590480669</v>
      </c>
      <c r="G8" s="1499">
        <v>3.081033790385352</v>
      </c>
      <c r="H8" s="1499">
        <v>3.4878058199209812</v>
      </c>
      <c r="I8" s="1499">
        <v>3.9907419396534296</v>
      </c>
      <c r="J8" s="1499">
        <v>3.6874040308135765</v>
      </c>
      <c r="K8" s="113">
        <v>2.7407817977955538</v>
      </c>
    </row>
    <row r="9" spans="2:11" x14ac:dyDescent="0.3">
      <c r="B9" s="114">
        <v>0</v>
      </c>
      <c r="C9" s="112" t="s">
        <v>1496</v>
      </c>
      <c r="D9" s="1499">
        <v>4.8869239654509151</v>
      </c>
      <c r="E9" s="1499">
        <v>4.5213897319120226</v>
      </c>
      <c r="F9" s="1499">
        <v>3.1222131278558436</v>
      </c>
      <c r="G9" s="1499">
        <v>3.0363359591931292</v>
      </c>
      <c r="H9" s="1499">
        <v>3.4431079887287579</v>
      </c>
      <c r="I9" s="1499">
        <v>3.9460441084612068</v>
      </c>
      <c r="J9" s="1499">
        <v>3.6427061996213532</v>
      </c>
      <c r="K9" s="113">
        <v>2.6960839666033301</v>
      </c>
    </row>
    <row r="10" spans="2:11" x14ac:dyDescent="0.3">
      <c r="B10" s="115"/>
      <c r="C10" s="112" t="s">
        <v>1500</v>
      </c>
      <c r="D10" s="1499">
        <v>4.8422261342586914</v>
      </c>
      <c r="E10" s="1499">
        <v>4.4766919007197989</v>
      </c>
      <c r="F10" s="1499">
        <v>3.0775152966636199</v>
      </c>
      <c r="G10" s="1499">
        <v>2.9916381280009054</v>
      </c>
      <c r="H10" s="1499">
        <v>3.3984101575365342</v>
      </c>
      <c r="I10" s="1499">
        <v>3.9013462772689831</v>
      </c>
      <c r="J10" s="1499">
        <v>3.5980083684291295</v>
      </c>
      <c r="K10" s="113">
        <v>2.6513861354111072</v>
      </c>
    </row>
    <row r="11" spans="2:11" x14ac:dyDescent="0.3">
      <c r="B11" s="115"/>
      <c r="C11" s="112" t="s">
        <v>1504</v>
      </c>
      <c r="D11" s="1499">
        <v>4.9106922563513713</v>
      </c>
      <c r="E11" s="1499">
        <v>4.543305382443112</v>
      </c>
      <c r="F11" s="1499">
        <v>3.1432712801049107</v>
      </c>
      <c r="G11" s="1499">
        <v>3.0565130148542177</v>
      </c>
      <c r="H11" s="1499">
        <v>3.4656212337281045</v>
      </c>
      <c r="I11" s="1499">
        <v>3.9673686965095656</v>
      </c>
      <c r="J11" s="1499">
        <v>3.6636112791173647</v>
      </c>
      <c r="K11" s="113">
        <v>2.7163434131133086</v>
      </c>
    </row>
    <row r="12" spans="2:11" x14ac:dyDescent="0.3">
      <c r="B12" s="115"/>
      <c r="C12" s="112" t="s">
        <v>1508</v>
      </c>
      <c r="D12" s="1499">
        <v>4.8860800762772723</v>
      </c>
      <c r="E12" s="1499">
        <v>4.518693202369013</v>
      </c>
      <c r="F12" s="1499">
        <v>3.1186591000308117</v>
      </c>
      <c r="G12" s="1499">
        <v>3.0319008347801186</v>
      </c>
      <c r="H12" s="1499">
        <v>3.441009053654005</v>
      </c>
      <c r="I12" s="1499">
        <v>3.9427565164354665</v>
      </c>
      <c r="J12" s="1499">
        <v>3.6389990990432657</v>
      </c>
      <c r="K12" s="113">
        <v>2.69173123303921</v>
      </c>
    </row>
    <row r="13" spans="2:11" x14ac:dyDescent="0.3">
      <c r="B13" s="115"/>
      <c r="C13" s="112" t="s">
        <v>1513</v>
      </c>
      <c r="D13" s="1499">
        <v>4.8491618061661228</v>
      </c>
      <c r="E13" s="1499">
        <v>4.4817749322578635</v>
      </c>
      <c r="F13" s="1499">
        <v>3.0817408299196627</v>
      </c>
      <c r="G13" s="1499">
        <v>2.9949825646689696</v>
      </c>
      <c r="H13" s="1499">
        <v>3.4040907835428564</v>
      </c>
      <c r="I13" s="1499">
        <v>3.9058382463243175</v>
      </c>
      <c r="J13" s="1499">
        <v>3.6020808289321167</v>
      </c>
      <c r="K13" s="113">
        <v>2.654812962928061</v>
      </c>
    </row>
    <row r="14" spans="2:11" x14ac:dyDescent="0.3">
      <c r="B14" s="115"/>
      <c r="C14" s="112" t="s">
        <v>1517</v>
      </c>
      <c r="D14" s="1499">
        <v>4.8122435360549742</v>
      </c>
      <c r="E14" s="1499">
        <v>4.4448566621467158</v>
      </c>
      <c r="F14" s="1499">
        <v>3.0448225598085146</v>
      </c>
      <c r="G14" s="1499">
        <v>2.9580642945578215</v>
      </c>
      <c r="H14" s="1499">
        <v>3.3671725134317074</v>
      </c>
      <c r="I14" s="1499">
        <v>3.8689199762131694</v>
      </c>
      <c r="J14" s="1499">
        <v>3.5651625588209686</v>
      </c>
      <c r="K14" s="113">
        <v>2.6178946928169124</v>
      </c>
    </row>
    <row r="15" spans="2:11" ht="14.5" thickBot="1" x14ac:dyDescent="0.35">
      <c r="B15" s="1233"/>
      <c r="C15" s="116" t="s">
        <v>1519</v>
      </c>
      <c r="D15" s="117">
        <v>4.9614203507712871</v>
      </c>
      <c r="E15" s="117">
        <v>4.5958861172323937</v>
      </c>
      <c r="F15" s="117">
        <v>3.1967095131762155</v>
      </c>
      <c r="G15" s="117">
        <v>3.1108323445135007</v>
      </c>
      <c r="H15" s="117">
        <v>3.5176043740491298</v>
      </c>
      <c r="I15" s="117">
        <v>4.0205404937815787</v>
      </c>
      <c r="J15" s="117">
        <v>3.7172025849417252</v>
      </c>
      <c r="K15" s="118">
        <v>2.7705803519237024</v>
      </c>
    </row>
    <row r="16" spans="2:11" x14ac:dyDescent="0.3">
      <c r="B16" s="107" t="s">
        <v>1977</v>
      </c>
      <c r="C16" s="108" t="s">
        <v>1416</v>
      </c>
      <c r="D16" s="109">
        <v>4.5107196643238279</v>
      </c>
      <c r="E16" s="109">
        <v>4.1365319673175955</v>
      </c>
      <c r="F16" s="109">
        <v>2.7365402487369148</v>
      </c>
      <c r="G16" s="109">
        <v>2.6467954988579852</v>
      </c>
      <c r="H16" s="109">
        <v>3.0623980837127505</v>
      </c>
      <c r="I16" s="109">
        <v>3.5581706630823606</v>
      </c>
      <c r="J16" s="109">
        <v>3.2549443247257259</v>
      </c>
      <c r="K16" s="110">
        <v>2.3058226767324026</v>
      </c>
    </row>
    <row r="17" spans="2:11" x14ac:dyDescent="0.3">
      <c r="B17" s="111" t="s">
        <v>1978</v>
      </c>
      <c r="C17" s="112" t="s">
        <v>1483</v>
      </c>
      <c r="D17" s="1499">
        <v>4.7638691340660024</v>
      </c>
      <c r="E17" s="1499">
        <v>4.3983349005271091</v>
      </c>
      <c r="F17" s="1499">
        <v>2.9991582964709309</v>
      </c>
      <c r="G17" s="1499">
        <v>2.913281127808216</v>
      </c>
      <c r="H17" s="1499">
        <v>3.3200531573438452</v>
      </c>
      <c r="I17" s="1499">
        <v>3.8229892770762937</v>
      </c>
      <c r="J17" s="1499">
        <v>3.5196513682364401</v>
      </c>
      <c r="K17" s="113">
        <v>2.5730291352184178</v>
      </c>
    </row>
    <row r="18" spans="2:11" x14ac:dyDescent="0.3">
      <c r="B18" s="111" t="s">
        <v>1980</v>
      </c>
      <c r="C18" s="112" t="s">
        <v>1489</v>
      </c>
      <c r="D18" s="1499">
        <v>4.7340705799378542</v>
      </c>
      <c r="E18" s="1499">
        <v>4.3685363463989608</v>
      </c>
      <c r="F18" s="1499">
        <v>2.9693597423427822</v>
      </c>
      <c r="G18" s="1499">
        <v>2.8834825736800673</v>
      </c>
      <c r="H18" s="1499">
        <v>3.2902546032156965</v>
      </c>
      <c r="I18" s="1499">
        <v>3.793190722948145</v>
      </c>
      <c r="J18" s="1499">
        <v>3.4898528141082914</v>
      </c>
      <c r="K18" s="113">
        <v>2.5432305810902691</v>
      </c>
    </row>
    <row r="19" spans="2:11" x14ac:dyDescent="0.3">
      <c r="B19" s="114">
        <v>0</v>
      </c>
      <c r="C19" s="112" t="s">
        <v>1496</v>
      </c>
      <c r="D19" s="1499">
        <v>4.6893727487456305</v>
      </c>
      <c r="E19" s="1499">
        <v>4.323838515206738</v>
      </c>
      <c r="F19" s="1499">
        <v>2.924661911150559</v>
      </c>
      <c r="G19" s="1499">
        <v>2.8387847424878445</v>
      </c>
      <c r="H19" s="1499">
        <v>3.2455567720234733</v>
      </c>
      <c r="I19" s="1499">
        <v>3.7484928917559222</v>
      </c>
      <c r="J19" s="1499">
        <v>3.4451549829160686</v>
      </c>
      <c r="K19" s="113">
        <v>2.4985327498980454</v>
      </c>
    </row>
    <row r="20" spans="2:11" x14ac:dyDescent="0.3">
      <c r="B20" s="115"/>
      <c r="C20" s="112" t="s">
        <v>1500</v>
      </c>
      <c r="D20" s="1499">
        <v>4.6446749175534068</v>
      </c>
      <c r="E20" s="1499">
        <v>4.2791406840145143</v>
      </c>
      <c r="F20" s="1499">
        <v>2.8799640799583353</v>
      </c>
      <c r="G20" s="1499">
        <v>2.7940869112956208</v>
      </c>
      <c r="H20" s="1499">
        <v>3.2008589408312496</v>
      </c>
      <c r="I20" s="1499">
        <v>3.7037950605636984</v>
      </c>
      <c r="J20" s="1499">
        <v>3.4004571517238449</v>
      </c>
      <c r="K20" s="113">
        <v>2.4538349187058226</v>
      </c>
    </row>
    <row r="21" spans="2:11" x14ac:dyDescent="0.3">
      <c r="B21" s="115"/>
      <c r="C21" s="112" t="s">
        <v>1504</v>
      </c>
      <c r="D21" s="1499">
        <v>4.7131410396460867</v>
      </c>
      <c r="E21" s="1499">
        <v>4.3457541657378274</v>
      </c>
      <c r="F21" s="1499">
        <v>2.9457200633996261</v>
      </c>
      <c r="G21" s="1499">
        <v>2.858961798148933</v>
      </c>
      <c r="H21" s="1499">
        <v>3.2680700170228199</v>
      </c>
      <c r="I21" s="1499">
        <v>3.7698174798042809</v>
      </c>
      <c r="J21" s="1499">
        <v>3.4660600624120801</v>
      </c>
      <c r="K21" s="113">
        <v>2.5187921964080244</v>
      </c>
    </row>
    <row r="22" spans="2:11" x14ac:dyDescent="0.3">
      <c r="B22" s="115"/>
      <c r="C22" s="112" t="s">
        <v>1508</v>
      </c>
      <c r="D22" s="1499">
        <v>4.6885288595719876</v>
      </c>
      <c r="E22" s="1499">
        <v>4.3211419856637274</v>
      </c>
      <c r="F22" s="1499">
        <v>2.9211078833255266</v>
      </c>
      <c r="G22" s="1499">
        <v>2.834349618074834</v>
      </c>
      <c r="H22" s="1499">
        <v>3.2434578369487204</v>
      </c>
      <c r="I22" s="1499">
        <v>3.7452052997301819</v>
      </c>
      <c r="J22" s="1499">
        <v>3.441447882337981</v>
      </c>
      <c r="K22" s="113">
        <v>2.4941800163339254</v>
      </c>
    </row>
    <row r="23" spans="2:11" x14ac:dyDescent="0.3">
      <c r="B23" s="115"/>
      <c r="C23" s="112" t="s">
        <v>1513</v>
      </c>
      <c r="D23" s="1499">
        <v>4.6516105894608382</v>
      </c>
      <c r="E23" s="1499">
        <v>4.2842237155525789</v>
      </c>
      <c r="F23" s="1499">
        <v>2.8841896132143781</v>
      </c>
      <c r="G23" s="1499">
        <v>2.7974313479636854</v>
      </c>
      <c r="H23" s="1499">
        <v>3.2065395668375718</v>
      </c>
      <c r="I23" s="1499">
        <v>3.7082870296190329</v>
      </c>
      <c r="J23" s="1499">
        <v>3.404529612226832</v>
      </c>
      <c r="K23" s="113">
        <v>2.4572617462227768</v>
      </c>
    </row>
    <row r="24" spans="2:11" x14ac:dyDescent="0.3">
      <c r="B24" s="115"/>
      <c r="C24" s="112" t="s">
        <v>1517</v>
      </c>
      <c r="D24" s="1499">
        <v>4.6146923193496905</v>
      </c>
      <c r="E24" s="1499">
        <v>4.2473054454414312</v>
      </c>
      <c r="F24" s="1499">
        <v>2.8472713431032299</v>
      </c>
      <c r="G24" s="1499">
        <v>2.7605130778525364</v>
      </c>
      <c r="H24" s="1499">
        <v>3.1696212967264232</v>
      </c>
      <c r="I24" s="1499">
        <v>3.6713687595078848</v>
      </c>
      <c r="J24" s="1499">
        <v>3.3676113421156839</v>
      </c>
      <c r="K24" s="113">
        <v>2.4203434761116278</v>
      </c>
    </row>
    <row r="25" spans="2:11" ht="14.5" thickBot="1" x14ac:dyDescent="0.35">
      <c r="B25" s="1233"/>
      <c r="C25" s="116" t="s">
        <v>1519</v>
      </c>
      <c r="D25" s="117">
        <v>4.7638691340660024</v>
      </c>
      <c r="E25" s="117">
        <v>4.3983349005271091</v>
      </c>
      <c r="F25" s="117">
        <v>2.9991582964709309</v>
      </c>
      <c r="G25" s="117">
        <v>2.913281127808216</v>
      </c>
      <c r="H25" s="117">
        <v>3.3200531573438452</v>
      </c>
      <c r="I25" s="117">
        <v>3.8229892770762937</v>
      </c>
      <c r="J25" s="117">
        <v>3.5196513682364401</v>
      </c>
      <c r="K25" s="118">
        <v>2.5730291352184178</v>
      </c>
    </row>
    <row r="26" spans="2:11" x14ac:dyDescent="0.3">
      <c r="B26" s="107" t="s">
        <v>1977</v>
      </c>
      <c r="C26" s="108" t="s">
        <v>1416</v>
      </c>
      <c r="D26" s="109">
        <v>4.2143928392659014</v>
      </c>
      <c r="E26" s="109">
        <v>3.8402051422596686</v>
      </c>
      <c r="F26" s="109">
        <v>2.4402134236789879</v>
      </c>
      <c r="G26" s="109">
        <v>2.3504686738000582</v>
      </c>
      <c r="H26" s="109">
        <v>2.7660712586548235</v>
      </c>
      <c r="I26" s="109">
        <v>3.2618438380244337</v>
      </c>
      <c r="J26" s="109">
        <v>2.9586174996677994</v>
      </c>
      <c r="K26" s="110">
        <v>2.0094958516744756</v>
      </c>
    </row>
    <row r="27" spans="2:11" x14ac:dyDescent="0.3">
      <c r="B27" s="111" t="s">
        <v>1978</v>
      </c>
      <c r="C27" s="112" t="s">
        <v>1483</v>
      </c>
      <c r="D27" s="1499">
        <v>4.4675423090080759</v>
      </c>
      <c r="E27" s="1499">
        <v>4.1020080754691826</v>
      </c>
      <c r="F27" s="1499">
        <v>2.7028314714130039</v>
      </c>
      <c r="G27" s="1499">
        <v>2.6169543027502895</v>
      </c>
      <c r="H27" s="1499">
        <v>3.0237263322859187</v>
      </c>
      <c r="I27" s="1499">
        <v>3.5266624520183671</v>
      </c>
      <c r="J27" s="1499">
        <v>3.2233245431785136</v>
      </c>
      <c r="K27" s="113">
        <v>2.2767023101604908</v>
      </c>
    </row>
    <row r="28" spans="2:11" x14ac:dyDescent="0.3">
      <c r="B28" s="111" t="s">
        <v>1981</v>
      </c>
      <c r="C28" s="112" t="s">
        <v>1489</v>
      </c>
      <c r="D28" s="1499">
        <v>4.4377437548799268</v>
      </c>
      <c r="E28" s="1499">
        <v>4.0722095213410343</v>
      </c>
      <c r="F28" s="1499">
        <v>2.6730329172848553</v>
      </c>
      <c r="G28" s="1499">
        <v>2.5871557486221404</v>
      </c>
      <c r="H28" s="1499">
        <v>2.99392777815777</v>
      </c>
      <c r="I28" s="1499">
        <v>3.4968638978902185</v>
      </c>
      <c r="J28" s="1499">
        <v>3.1935259890503649</v>
      </c>
      <c r="K28" s="113">
        <v>2.2469037560323422</v>
      </c>
    </row>
    <row r="29" spans="2:11" x14ac:dyDescent="0.3">
      <c r="B29" s="114">
        <v>0</v>
      </c>
      <c r="C29" s="112" t="s">
        <v>1496</v>
      </c>
      <c r="D29" s="1499">
        <v>4.3930459236877031</v>
      </c>
      <c r="E29" s="1499">
        <v>4.0275116901488106</v>
      </c>
      <c r="F29" s="1499">
        <v>2.628335086092632</v>
      </c>
      <c r="G29" s="1499">
        <v>2.5424579174299176</v>
      </c>
      <c r="H29" s="1499">
        <v>2.9492299469655463</v>
      </c>
      <c r="I29" s="1499">
        <v>3.4521660666979948</v>
      </c>
      <c r="J29" s="1499">
        <v>3.1488281578581412</v>
      </c>
      <c r="K29" s="113">
        <v>2.2022059248401189</v>
      </c>
    </row>
    <row r="30" spans="2:11" x14ac:dyDescent="0.3">
      <c r="B30" s="115"/>
      <c r="C30" s="112" t="s">
        <v>1500</v>
      </c>
      <c r="D30" s="1499">
        <v>4.3483480924954803</v>
      </c>
      <c r="E30" s="1499">
        <v>3.9828138589565873</v>
      </c>
      <c r="F30" s="1499">
        <v>2.5836372549004087</v>
      </c>
      <c r="G30" s="1499">
        <v>2.4977600862376939</v>
      </c>
      <c r="H30" s="1499">
        <v>2.904532115773323</v>
      </c>
      <c r="I30" s="1499">
        <v>3.4074682355057715</v>
      </c>
      <c r="J30" s="1499">
        <v>3.1041303266659179</v>
      </c>
      <c r="K30" s="113">
        <v>2.1575080936478956</v>
      </c>
    </row>
    <row r="31" spans="2:11" x14ac:dyDescent="0.3">
      <c r="B31" s="115"/>
      <c r="C31" s="112" t="s">
        <v>1504</v>
      </c>
      <c r="D31" s="1499">
        <v>4.4168142145881601</v>
      </c>
      <c r="E31" s="1499">
        <v>4.0494273406799</v>
      </c>
      <c r="F31" s="1499">
        <v>2.6493932383416992</v>
      </c>
      <c r="G31" s="1499">
        <v>2.5626349730910061</v>
      </c>
      <c r="H31" s="1499">
        <v>2.9717431919648929</v>
      </c>
      <c r="I31" s="1499">
        <v>3.473490654746354</v>
      </c>
      <c r="J31" s="1499">
        <v>3.1697332373541527</v>
      </c>
      <c r="K31" s="113">
        <v>2.2224653713500975</v>
      </c>
    </row>
    <row r="32" spans="2:11" x14ac:dyDescent="0.3">
      <c r="B32" s="115"/>
      <c r="C32" s="112" t="s">
        <v>1508</v>
      </c>
      <c r="D32" s="1499">
        <v>4.3922020345140602</v>
      </c>
      <c r="E32" s="1499">
        <v>4.0248151606058009</v>
      </c>
      <c r="F32" s="1499">
        <v>2.6247810582675997</v>
      </c>
      <c r="G32" s="1499">
        <v>2.5380227930169066</v>
      </c>
      <c r="H32" s="1499">
        <v>2.9471310118907939</v>
      </c>
      <c r="I32" s="1499">
        <v>3.4488784746722549</v>
      </c>
      <c r="J32" s="1499">
        <v>3.1451210572800541</v>
      </c>
      <c r="K32" s="113">
        <v>2.197853191275998</v>
      </c>
    </row>
    <row r="33" spans="2:11" x14ac:dyDescent="0.3">
      <c r="B33" s="115"/>
      <c r="C33" s="112" t="s">
        <v>1513</v>
      </c>
      <c r="D33" s="1499">
        <v>4.3552837644029117</v>
      </c>
      <c r="E33" s="1499">
        <v>3.9878968904946523</v>
      </c>
      <c r="F33" s="1499">
        <v>2.5878627881564511</v>
      </c>
      <c r="G33" s="1499">
        <v>2.501104522905758</v>
      </c>
      <c r="H33" s="1499">
        <v>2.9102127417796448</v>
      </c>
      <c r="I33" s="1499">
        <v>3.4119602045611064</v>
      </c>
      <c r="J33" s="1499">
        <v>3.1082027871689051</v>
      </c>
      <c r="K33" s="113">
        <v>2.1609349211648494</v>
      </c>
    </row>
    <row r="34" spans="2:11" x14ac:dyDescent="0.3">
      <c r="B34" s="115"/>
      <c r="C34" s="112" t="s">
        <v>1517</v>
      </c>
      <c r="D34" s="1499">
        <v>4.3183654942917631</v>
      </c>
      <c r="E34" s="1499">
        <v>3.9509786203835033</v>
      </c>
      <c r="F34" s="1499">
        <v>2.5509445180453025</v>
      </c>
      <c r="G34" s="1499">
        <v>2.4641862527946095</v>
      </c>
      <c r="H34" s="1499">
        <v>2.8732944716684958</v>
      </c>
      <c r="I34" s="1499">
        <v>3.3750419344499574</v>
      </c>
      <c r="J34" s="1499">
        <v>3.0712845170577565</v>
      </c>
      <c r="K34" s="113">
        <v>2.1240166510537009</v>
      </c>
    </row>
    <row r="35" spans="2:11" ht="14.5" thickBot="1" x14ac:dyDescent="0.35">
      <c r="B35" s="1233"/>
      <c r="C35" s="116" t="s">
        <v>1519</v>
      </c>
      <c r="D35" s="117">
        <v>4.4675423090080759</v>
      </c>
      <c r="E35" s="117">
        <v>4.1020080754691826</v>
      </c>
      <c r="F35" s="117">
        <v>2.7028314714130039</v>
      </c>
      <c r="G35" s="117">
        <v>2.6169543027502895</v>
      </c>
      <c r="H35" s="117">
        <v>3.0237263322859187</v>
      </c>
      <c r="I35" s="117">
        <v>3.5266624520183671</v>
      </c>
      <c r="J35" s="117">
        <v>3.2233245431785136</v>
      </c>
      <c r="K35" s="118">
        <v>2.2767023101604908</v>
      </c>
    </row>
    <row r="36" spans="2:11" x14ac:dyDescent="0.3">
      <c r="B36" s="107" t="s">
        <v>1977</v>
      </c>
      <c r="C36" s="108" t="s">
        <v>1416</v>
      </c>
      <c r="D36" s="109">
        <v>3.918066014207974</v>
      </c>
      <c r="E36" s="109">
        <v>3.5438783172017412</v>
      </c>
      <c r="F36" s="109">
        <v>2.1438865986210609</v>
      </c>
      <c r="G36" s="109">
        <v>2.0541418487421312</v>
      </c>
      <c r="H36" s="109">
        <v>2.4697444335968965</v>
      </c>
      <c r="I36" s="109">
        <v>2.9655170129665067</v>
      </c>
      <c r="J36" s="109">
        <v>2.6622906746098725</v>
      </c>
      <c r="K36" s="110">
        <v>1.7131690266165489</v>
      </c>
    </row>
    <row r="37" spans="2:11" x14ac:dyDescent="0.3">
      <c r="B37" s="111" t="s">
        <v>1978</v>
      </c>
      <c r="C37" s="112" t="s">
        <v>1483</v>
      </c>
      <c r="D37" s="1499">
        <v>4.1712154839501494</v>
      </c>
      <c r="E37" s="1499">
        <v>3.805681250411256</v>
      </c>
      <c r="F37" s="1499">
        <v>2.406504646355077</v>
      </c>
      <c r="G37" s="1499">
        <v>2.3206274776923626</v>
      </c>
      <c r="H37" s="1499">
        <v>2.7273995072279917</v>
      </c>
      <c r="I37" s="1499">
        <v>3.2303356269604402</v>
      </c>
      <c r="J37" s="1499">
        <v>2.9269977181205871</v>
      </c>
      <c r="K37" s="113">
        <v>1.9803754851025639</v>
      </c>
    </row>
    <row r="38" spans="2:11" x14ac:dyDescent="0.3">
      <c r="B38" s="111" t="s">
        <v>1982</v>
      </c>
      <c r="C38" s="112" t="s">
        <v>1489</v>
      </c>
      <c r="D38" s="1499">
        <v>4.1414169298219994</v>
      </c>
      <c r="E38" s="1499">
        <v>3.7758826962831065</v>
      </c>
      <c r="F38" s="1499">
        <v>2.3767060922269283</v>
      </c>
      <c r="G38" s="1499">
        <v>2.2908289235642139</v>
      </c>
      <c r="H38" s="1499">
        <v>2.6976009530998426</v>
      </c>
      <c r="I38" s="1499">
        <v>3.2005370728322911</v>
      </c>
      <c r="J38" s="1499">
        <v>2.8971991639924375</v>
      </c>
      <c r="K38" s="113">
        <v>1.9505769309744152</v>
      </c>
    </row>
    <row r="39" spans="2:11" x14ac:dyDescent="0.3">
      <c r="B39" s="114">
        <v>0</v>
      </c>
      <c r="C39" s="112" t="s">
        <v>1496</v>
      </c>
      <c r="D39" s="1499">
        <v>4.0967190986297766</v>
      </c>
      <c r="E39" s="1499">
        <v>3.7311848650908837</v>
      </c>
      <c r="F39" s="1499">
        <v>2.332008261034705</v>
      </c>
      <c r="G39" s="1499">
        <v>2.2461310923719902</v>
      </c>
      <c r="H39" s="1499">
        <v>2.6529031219076193</v>
      </c>
      <c r="I39" s="1499">
        <v>3.1558392416400678</v>
      </c>
      <c r="J39" s="1499">
        <v>2.8525013328002147</v>
      </c>
      <c r="K39" s="113">
        <v>1.9058790997821919</v>
      </c>
    </row>
    <row r="40" spans="2:11" x14ac:dyDescent="0.3">
      <c r="B40" s="115"/>
      <c r="C40" s="112" t="s">
        <v>1500</v>
      </c>
      <c r="D40" s="1499">
        <v>4.0520212674375538</v>
      </c>
      <c r="E40" s="1499">
        <v>3.6864870338986604</v>
      </c>
      <c r="F40" s="1499">
        <v>2.2873104298424818</v>
      </c>
      <c r="G40" s="1499">
        <v>2.2014332611797673</v>
      </c>
      <c r="H40" s="1499">
        <v>2.6082052907153965</v>
      </c>
      <c r="I40" s="1499">
        <v>3.111141410447845</v>
      </c>
      <c r="J40" s="1499">
        <v>2.8078035016079914</v>
      </c>
      <c r="K40" s="113">
        <v>1.8611812685899685</v>
      </c>
    </row>
    <row r="41" spans="2:11" x14ac:dyDescent="0.3">
      <c r="B41" s="115"/>
      <c r="C41" s="112" t="s">
        <v>1504</v>
      </c>
      <c r="D41" s="1499">
        <v>4.1204873895302327</v>
      </c>
      <c r="E41" s="1499">
        <v>3.753100515621973</v>
      </c>
      <c r="F41" s="1499">
        <v>2.3530664132837722</v>
      </c>
      <c r="G41" s="1499">
        <v>2.2663081480330791</v>
      </c>
      <c r="H41" s="1499">
        <v>2.6754163669069655</v>
      </c>
      <c r="I41" s="1499">
        <v>3.177163829688427</v>
      </c>
      <c r="J41" s="1499">
        <v>2.8734064122962262</v>
      </c>
      <c r="K41" s="113">
        <v>1.9261385462921703</v>
      </c>
    </row>
    <row r="42" spans="2:11" x14ac:dyDescent="0.3">
      <c r="B42" s="115"/>
      <c r="C42" s="112" t="s">
        <v>1508</v>
      </c>
      <c r="D42" s="1499">
        <v>4.0958752094561328</v>
      </c>
      <c r="E42" s="1499">
        <v>3.728488335547874</v>
      </c>
      <c r="F42" s="1499">
        <v>2.3284542332096732</v>
      </c>
      <c r="G42" s="1499">
        <v>2.2416959679589801</v>
      </c>
      <c r="H42" s="1499">
        <v>2.6508041868328669</v>
      </c>
      <c r="I42" s="1499">
        <v>3.152551649614328</v>
      </c>
      <c r="J42" s="1499">
        <v>2.8487942322221267</v>
      </c>
      <c r="K42" s="113">
        <v>1.9015263662180715</v>
      </c>
    </row>
    <row r="43" spans="2:11" x14ac:dyDescent="0.3">
      <c r="B43" s="115"/>
      <c r="C43" s="112" t="s">
        <v>1513</v>
      </c>
      <c r="D43" s="1499">
        <v>4.0589569393449851</v>
      </c>
      <c r="E43" s="1499">
        <v>3.6915700654367254</v>
      </c>
      <c r="F43" s="1499">
        <v>2.2915359630985246</v>
      </c>
      <c r="G43" s="1499">
        <v>2.2047776978478315</v>
      </c>
      <c r="H43" s="1499">
        <v>2.6138859167217183</v>
      </c>
      <c r="I43" s="1499">
        <v>3.1156333795031794</v>
      </c>
      <c r="J43" s="1499">
        <v>2.8118759621109786</v>
      </c>
      <c r="K43" s="113">
        <v>1.8646080961069229</v>
      </c>
    </row>
    <row r="44" spans="2:11" x14ac:dyDescent="0.3">
      <c r="B44" s="115"/>
      <c r="C44" s="112" t="s">
        <v>1517</v>
      </c>
      <c r="D44" s="1499">
        <v>4.0220386692338366</v>
      </c>
      <c r="E44" s="1499">
        <v>3.6546517953255768</v>
      </c>
      <c r="F44" s="1499">
        <v>2.2546176929873756</v>
      </c>
      <c r="G44" s="1499">
        <v>2.1678594277366825</v>
      </c>
      <c r="H44" s="1499">
        <v>2.5769676466105693</v>
      </c>
      <c r="I44" s="1499">
        <v>3.0787151093920309</v>
      </c>
      <c r="J44" s="1499">
        <v>2.7749576919998296</v>
      </c>
      <c r="K44" s="113">
        <v>1.8276898259957741</v>
      </c>
    </row>
    <row r="45" spans="2:11" ht="14.5" thickBot="1" x14ac:dyDescent="0.35">
      <c r="B45" s="1233"/>
      <c r="C45" s="116" t="s">
        <v>1519</v>
      </c>
      <c r="D45" s="117">
        <v>4.1712154839501494</v>
      </c>
      <c r="E45" s="117">
        <v>3.805681250411256</v>
      </c>
      <c r="F45" s="117">
        <v>2.406504646355077</v>
      </c>
      <c r="G45" s="117">
        <v>2.3206274776923626</v>
      </c>
      <c r="H45" s="117">
        <v>2.7273995072279917</v>
      </c>
      <c r="I45" s="117">
        <v>3.2303356269604402</v>
      </c>
      <c r="J45" s="117">
        <v>2.9269977181205871</v>
      </c>
      <c r="K45" s="118">
        <v>1.9803754851025639</v>
      </c>
    </row>
    <row r="46" spans="2:11" x14ac:dyDescent="0.3">
      <c r="B46" s="119" t="s">
        <v>1983</v>
      </c>
      <c r="C46" s="108" t="s">
        <v>1416</v>
      </c>
      <c r="D46" s="109">
        <v>4.1901398087900823</v>
      </c>
      <c r="E46" s="109">
        <v>3.7949507904387771</v>
      </c>
      <c r="F46" s="109">
        <v>2.4207408338383631</v>
      </c>
      <c r="G46" s="109">
        <v>2.3174622103420464</v>
      </c>
      <c r="H46" s="109">
        <v>2.7384413143226398</v>
      </c>
      <c r="I46" s="109">
        <v>3.2188213020012659</v>
      </c>
      <c r="J46" s="109">
        <v>2.9175129793397394</v>
      </c>
      <c r="K46" s="110">
        <v>1.9819989795982997</v>
      </c>
    </row>
    <row r="47" spans="2:11" x14ac:dyDescent="0.3">
      <c r="B47" s="111"/>
      <c r="C47" s="112" t="s">
        <v>1483</v>
      </c>
      <c r="D47" s="1499">
        <v>4.4453994707020419</v>
      </c>
      <c r="E47" s="1499">
        <v>4.058211666027483</v>
      </c>
      <c r="F47" s="1499">
        <v>2.6830811486395092</v>
      </c>
      <c r="G47" s="1499">
        <v>2.5866561467581661</v>
      </c>
      <c r="H47" s="1499">
        <v>2.9974350930288547</v>
      </c>
      <c r="I47" s="1499">
        <v>3.4840169931759495</v>
      </c>
      <c r="J47" s="1499">
        <v>3.185357661038807</v>
      </c>
      <c r="K47" s="113">
        <v>2.250084988059406</v>
      </c>
    </row>
    <row r="48" spans="2:11" x14ac:dyDescent="0.3">
      <c r="B48" s="111" t="s">
        <v>1979</v>
      </c>
      <c r="C48" s="112" t="s">
        <v>1489</v>
      </c>
      <c r="D48" s="1499">
        <v>4.4156009165738928</v>
      </c>
      <c r="E48" s="1499">
        <v>4.0284131118993347</v>
      </c>
      <c r="F48" s="1499">
        <v>2.6532825945113605</v>
      </c>
      <c r="G48" s="1499">
        <v>2.556857592630017</v>
      </c>
      <c r="H48" s="1499">
        <v>2.967636538900706</v>
      </c>
      <c r="I48" s="1499">
        <v>3.4542184390478008</v>
      </c>
      <c r="J48" s="1499">
        <v>3.1555591069106579</v>
      </c>
      <c r="K48" s="113">
        <v>2.2202864339312569</v>
      </c>
    </row>
    <row r="49" spans="2:11" x14ac:dyDescent="0.3">
      <c r="B49" s="114">
        <v>0</v>
      </c>
      <c r="C49" s="112" t="s">
        <v>1496</v>
      </c>
      <c r="D49" s="1499">
        <v>4.3709030853816691</v>
      </c>
      <c r="E49" s="1499">
        <v>3.9837152807071106</v>
      </c>
      <c r="F49" s="1499">
        <v>2.6085847633191372</v>
      </c>
      <c r="G49" s="1499">
        <v>2.5121597614377937</v>
      </c>
      <c r="H49" s="1499">
        <v>2.9229387077084819</v>
      </c>
      <c r="I49" s="1499">
        <v>3.4095206078555771</v>
      </c>
      <c r="J49" s="1499">
        <v>3.1108612757184342</v>
      </c>
      <c r="K49" s="113">
        <v>2.1755886027390337</v>
      </c>
    </row>
    <row r="50" spans="2:11" x14ac:dyDescent="0.3">
      <c r="B50" s="115"/>
      <c r="C50" s="112" t="s">
        <v>1500</v>
      </c>
      <c r="D50" s="1499">
        <v>4.3262052541894462</v>
      </c>
      <c r="E50" s="1499">
        <v>3.9390174495148873</v>
      </c>
      <c r="F50" s="1499">
        <v>2.563886932126914</v>
      </c>
      <c r="G50" s="1499">
        <v>2.4674619302455705</v>
      </c>
      <c r="H50" s="1499">
        <v>2.878240876516259</v>
      </c>
      <c r="I50" s="1499">
        <v>3.3648227766633538</v>
      </c>
      <c r="J50" s="1499">
        <v>3.0661634445262114</v>
      </c>
      <c r="K50" s="113">
        <v>2.1308907715468104</v>
      </c>
    </row>
    <row r="51" spans="2:11" x14ac:dyDescent="0.3">
      <c r="B51" s="115"/>
      <c r="C51" s="112" t="s">
        <v>1504</v>
      </c>
      <c r="D51" s="1499">
        <v>4.3939905821994696</v>
      </c>
      <c r="E51" s="1499">
        <v>4.0054543856141569</v>
      </c>
      <c r="F51" s="1499">
        <v>2.6300793095196968</v>
      </c>
      <c r="G51" s="1499">
        <v>2.5320367175613923</v>
      </c>
      <c r="H51" s="1499">
        <v>2.9443111743418493</v>
      </c>
      <c r="I51" s="1499">
        <v>3.430526979230327</v>
      </c>
      <c r="J51" s="1499">
        <v>3.1310501918699614</v>
      </c>
      <c r="K51" s="113">
        <v>2.1949878697793452</v>
      </c>
    </row>
    <row r="52" spans="2:11" x14ac:dyDescent="0.3">
      <c r="B52" s="115"/>
      <c r="C52" s="112" t="s">
        <v>1508</v>
      </c>
      <c r="D52" s="1499">
        <v>4.3693784021253705</v>
      </c>
      <c r="E52" s="1499">
        <v>3.9808422055400583</v>
      </c>
      <c r="F52" s="1499">
        <v>2.6054671294455973</v>
      </c>
      <c r="G52" s="1499">
        <v>2.5074245374872928</v>
      </c>
      <c r="H52" s="1499">
        <v>2.9196989942677507</v>
      </c>
      <c r="I52" s="1499">
        <v>3.4059147991562284</v>
      </c>
      <c r="J52" s="1499">
        <v>3.1064380117958628</v>
      </c>
      <c r="K52" s="113">
        <v>2.1703756897052457</v>
      </c>
    </row>
    <row r="53" spans="2:11" x14ac:dyDescent="0.3">
      <c r="B53" s="115"/>
      <c r="C53" s="112" t="s">
        <v>1513</v>
      </c>
      <c r="D53" s="1499">
        <v>4.332460132014222</v>
      </c>
      <c r="E53" s="1499">
        <v>3.9439239354289093</v>
      </c>
      <c r="F53" s="1499">
        <v>2.5685488593344488</v>
      </c>
      <c r="G53" s="1499">
        <v>2.4705062673761442</v>
      </c>
      <c r="H53" s="1499">
        <v>2.8827807241566017</v>
      </c>
      <c r="I53" s="1499">
        <v>3.3689965290450798</v>
      </c>
      <c r="J53" s="1499">
        <v>3.0695197416847142</v>
      </c>
      <c r="K53" s="113">
        <v>2.1334574195940972</v>
      </c>
    </row>
    <row r="54" spans="2:11" x14ac:dyDescent="0.3">
      <c r="B54" s="115"/>
      <c r="C54" s="112" t="s">
        <v>1517</v>
      </c>
      <c r="D54" s="1499">
        <v>4.2955418619030734</v>
      </c>
      <c r="E54" s="1499">
        <v>3.9070056653177607</v>
      </c>
      <c r="F54" s="1499">
        <v>2.5316305892233002</v>
      </c>
      <c r="G54" s="1499">
        <v>2.4335879972649956</v>
      </c>
      <c r="H54" s="1499">
        <v>2.8458624540454527</v>
      </c>
      <c r="I54" s="1499">
        <v>3.3320782589339308</v>
      </c>
      <c r="J54" s="1499">
        <v>3.0326014715735652</v>
      </c>
      <c r="K54" s="113">
        <v>2.0965391494829486</v>
      </c>
    </row>
    <row r="55" spans="2:11" ht="14.5" thickBot="1" x14ac:dyDescent="0.35">
      <c r="B55" s="1233"/>
      <c r="C55" s="116" t="s">
        <v>1519</v>
      </c>
      <c r="D55" s="117">
        <v>4.4453994707020419</v>
      </c>
      <c r="E55" s="117">
        <v>4.058211666027483</v>
      </c>
      <c r="F55" s="117">
        <v>2.6830811486395092</v>
      </c>
      <c r="G55" s="117">
        <v>2.5866561467581661</v>
      </c>
      <c r="H55" s="117">
        <v>2.9974350930288547</v>
      </c>
      <c r="I55" s="117">
        <v>3.4840169931759495</v>
      </c>
      <c r="J55" s="117">
        <v>3.185357661038807</v>
      </c>
      <c r="K55" s="118">
        <v>2.250084988059406</v>
      </c>
    </row>
    <row r="56" spans="2:11" x14ac:dyDescent="0.3">
      <c r="B56" s="119" t="s">
        <v>1983</v>
      </c>
      <c r="C56" s="108" t="s">
        <v>1416</v>
      </c>
      <c r="D56" s="109">
        <v>4.089384058796008</v>
      </c>
      <c r="E56" s="109">
        <v>3.6941950404447028</v>
      </c>
      <c r="F56" s="109">
        <v>2.3199850838442893</v>
      </c>
      <c r="G56" s="109">
        <v>2.2167064603479725</v>
      </c>
      <c r="H56" s="109">
        <v>2.6376855643285659</v>
      </c>
      <c r="I56" s="109">
        <v>3.118065552007192</v>
      </c>
      <c r="J56" s="109">
        <v>2.8167572293456651</v>
      </c>
      <c r="K56" s="110">
        <v>1.8812432296042256</v>
      </c>
    </row>
    <row r="57" spans="2:11" x14ac:dyDescent="0.3">
      <c r="B57" s="111"/>
      <c r="C57" s="112" t="s">
        <v>1483</v>
      </c>
      <c r="D57" s="1499">
        <v>4.3446437207079676</v>
      </c>
      <c r="E57" s="1499">
        <v>3.9574559160334086</v>
      </c>
      <c r="F57" s="1499">
        <v>2.5823253986454353</v>
      </c>
      <c r="G57" s="1499">
        <v>2.4859003967640918</v>
      </c>
      <c r="H57" s="1499">
        <v>2.8966793430347804</v>
      </c>
      <c r="I57" s="1499">
        <v>3.3832612431818752</v>
      </c>
      <c r="J57" s="1499">
        <v>3.0846019110447327</v>
      </c>
      <c r="K57" s="113">
        <v>2.1493292380653317</v>
      </c>
    </row>
    <row r="58" spans="2:11" x14ac:dyDescent="0.3">
      <c r="B58" s="111" t="s">
        <v>1980</v>
      </c>
      <c r="C58" s="112" t="s">
        <v>1489</v>
      </c>
      <c r="D58" s="1499">
        <v>4.3148451665798184</v>
      </c>
      <c r="E58" s="1499">
        <v>3.9276573619052599</v>
      </c>
      <c r="F58" s="1499">
        <v>2.5525268445172866</v>
      </c>
      <c r="G58" s="1499">
        <v>2.4561018426359431</v>
      </c>
      <c r="H58" s="1499">
        <v>2.8668807889066317</v>
      </c>
      <c r="I58" s="1499">
        <v>3.3534626890537265</v>
      </c>
      <c r="J58" s="1499">
        <v>3.054803356916584</v>
      </c>
      <c r="K58" s="113">
        <v>2.119530683937183</v>
      </c>
    </row>
    <row r="59" spans="2:11" x14ac:dyDescent="0.3">
      <c r="B59" s="114">
        <v>0</v>
      </c>
      <c r="C59" s="112" t="s">
        <v>1496</v>
      </c>
      <c r="D59" s="1499">
        <v>4.2701473353875956</v>
      </c>
      <c r="E59" s="1499">
        <v>3.8829595307130371</v>
      </c>
      <c r="F59" s="1499">
        <v>2.5078290133250629</v>
      </c>
      <c r="G59" s="1499">
        <v>2.4114040114437199</v>
      </c>
      <c r="H59" s="1499">
        <v>2.822182957714408</v>
      </c>
      <c r="I59" s="1499">
        <v>3.3087648578615036</v>
      </c>
      <c r="J59" s="1499">
        <v>3.0101055257243607</v>
      </c>
      <c r="K59" s="113">
        <v>2.0748328527449598</v>
      </c>
    </row>
    <row r="60" spans="2:11" x14ac:dyDescent="0.3">
      <c r="B60" s="115"/>
      <c r="C60" s="112" t="s">
        <v>1500</v>
      </c>
      <c r="D60" s="1499">
        <v>4.2254495041953719</v>
      </c>
      <c r="E60" s="1499">
        <v>3.8382616995208134</v>
      </c>
      <c r="F60" s="1499">
        <v>2.4631311821328401</v>
      </c>
      <c r="G60" s="1499">
        <v>2.3667061802514966</v>
      </c>
      <c r="H60" s="1499">
        <v>2.7774851265221852</v>
      </c>
      <c r="I60" s="1499">
        <v>3.2640670266692799</v>
      </c>
      <c r="J60" s="1499">
        <v>2.965407694532137</v>
      </c>
      <c r="K60" s="113">
        <v>2.0301350215527365</v>
      </c>
    </row>
    <row r="61" spans="2:11" x14ac:dyDescent="0.3">
      <c r="B61" s="115"/>
      <c r="C61" s="112" t="s">
        <v>1504</v>
      </c>
      <c r="D61" s="1499">
        <v>4.2932348322053961</v>
      </c>
      <c r="E61" s="1499">
        <v>3.9046986356200835</v>
      </c>
      <c r="F61" s="1499">
        <v>2.5293235595256229</v>
      </c>
      <c r="G61" s="1499">
        <v>2.4312809675673184</v>
      </c>
      <c r="H61" s="1499">
        <v>2.8435554243477754</v>
      </c>
      <c r="I61" s="1499">
        <v>3.3297712292362536</v>
      </c>
      <c r="J61" s="1499">
        <v>3.0302944418758879</v>
      </c>
      <c r="K61" s="113">
        <v>2.0942321197852714</v>
      </c>
    </row>
    <row r="62" spans="2:11" x14ac:dyDescent="0.3">
      <c r="B62" s="115"/>
      <c r="C62" s="112" t="s">
        <v>1508</v>
      </c>
      <c r="D62" s="1499">
        <v>4.2686226521312962</v>
      </c>
      <c r="E62" s="1499">
        <v>3.880086455545984</v>
      </c>
      <c r="F62" s="1499">
        <v>2.5047113794515234</v>
      </c>
      <c r="G62" s="1499">
        <v>2.4066687874932189</v>
      </c>
      <c r="H62" s="1499">
        <v>2.8189432442736764</v>
      </c>
      <c r="I62" s="1499">
        <v>3.3051590491621541</v>
      </c>
      <c r="J62" s="1499">
        <v>3.0056822618017889</v>
      </c>
      <c r="K62" s="113">
        <v>2.0696199397111719</v>
      </c>
    </row>
    <row r="63" spans="2:11" x14ac:dyDescent="0.3">
      <c r="B63" s="115"/>
      <c r="C63" s="112" t="s">
        <v>1513</v>
      </c>
      <c r="D63" s="1499">
        <v>4.2317043820201476</v>
      </c>
      <c r="E63" s="1499">
        <v>3.8431681854348354</v>
      </c>
      <c r="F63" s="1499">
        <v>2.4677931093403749</v>
      </c>
      <c r="G63" s="1499">
        <v>2.3697505173820703</v>
      </c>
      <c r="H63" s="1499">
        <v>2.7820249741625278</v>
      </c>
      <c r="I63" s="1499">
        <v>3.2682407790510055</v>
      </c>
      <c r="J63" s="1499">
        <v>2.9687639916906399</v>
      </c>
      <c r="K63" s="113">
        <v>2.0327016696000233</v>
      </c>
    </row>
    <row r="64" spans="2:11" x14ac:dyDescent="0.3">
      <c r="B64" s="115"/>
      <c r="C64" s="112" t="s">
        <v>1517</v>
      </c>
      <c r="D64" s="1499">
        <v>4.194786111909</v>
      </c>
      <c r="E64" s="1499">
        <v>3.8062499153236868</v>
      </c>
      <c r="F64" s="1499">
        <v>2.4308748392292263</v>
      </c>
      <c r="G64" s="1499">
        <v>2.3328322472709218</v>
      </c>
      <c r="H64" s="1499">
        <v>2.7451067040513788</v>
      </c>
      <c r="I64" s="1499">
        <v>3.2313225089398574</v>
      </c>
      <c r="J64" s="1499">
        <v>2.9318457215794917</v>
      </c>
      <c r="K64" s="113">
        <v>1.9957833994888745</v>
      </c>
    </row>
    <row r="65" spans="2:11" ht="14.5" thickBot="1" x14ac:dyDescent="0.35">
      <c r="B65" s="1233"/>
      <c r="C65" s="116" t="s">
        <v>1519</v>
      </c>
      <c r="D65" s="117">
        <v>4.3446437207079676</v>
      </c>
      <c r="E65" s="117">
        <v>3.9574559160334086</v>
      </c>
      <c r="F65" s="117">
        <v>2.5823253986454353</v>
      </c>
      <c r="G65" s="117">
        <v>2.4859003967640918</v>
      </c>
      <c r="H65" s="117">
        <v>2.8966793430347804</v>
      </c>
      <c r="I65" s="117">
        <v>3.3832612431818752</v>
      </c>
      <c r="J65" s="117">
        <v>3.0846019110447327</v>
      </c>
      <c r="K65" s="118">
        <v>2.1493292380653317</v>
      </c>
    </row>
    <row r="66" spans="2:11" x14ac:dyDescent="0.3">
      <c r="B66" s="119" t="s">
        <v>1983</v>
      </c>
      <c r="C66" s="108" t="s">
        <v>1416</v>
      </c>
      <c r="D66" s="109">
        <v>3.9382504338048969</v>
      </c>
      <c r="E66" s="109">
        <v>3.5430614154535918</v>
      </c>
      <c r="F66" s="109">
        <v>2.1688514588531782</v>
      </c>
      <c r="G66" s="109">
        <v>2.0655728353568614</v>
      </c>
      <c r="H66" s="109">
        <v>2.4865519393374549</v>
      </c>
      <c r="I66" s="109">
        <v>2.966931927016081</v>
      </c>
      <c r="J66" s="109">
        <v>2.665623604354554</v>
      </c>
      <c r="K66" s="110">
        <v>1.7301096046131148</v>
      </c>
    </row>
    <row r="67" spans="2:11" x14ac:dyDescent="0.3">
      <c r="B67" s="111"/>
      <c r="C67" s="112" t="s">
        <v>1483</v>
      </c>
      <c r="D67" s="1499">
        <v>4.1935100957168565</v>
      </c>
      <c r="E67" s="1499">
        <v>3.806322291042298</v>
      </c>
      <c r="F67" s="1499">
        <v>2.4311917736543243</v>
      </c>
      <c r="G67" s="1499">
        <v>2.3347667717729808</v>
      </c>
      <c r="H67" s="1499">
        <v>2.7455457180436693</v>
      </c>
      <c r="I67" s="1499">
        <v>3.2321276181907641</v>
      </c>
      <c r="J67" s="1499">
        <v>2.9334682860536216</v>
      </c>
      <c r="K67" s="113">
        <v>1.9981956130742207</v>
      </c>
    </row>
    <row r="68" spans="2:11" x14ac:dyDescent="0.3">
      <c r="B68" s="111" t="s">
        <v>1981</v>
      </c>
      <c r="C68" s="112" t="s">
        <v>1489</v>
      </c>
      <c r="D68" s="1499">
        <v>4.1637115415887074</v>
      </c>
      <c r="E68" s="1499">
        <v>3.7765237369141489</v>
      </c>
      <c r="F68" s="1499">
        <v>2.4013932195261756</v>
      </c>
      <c r="G68" s="1499">
        <v>2.3049682176448321</v>
      </c>
      <c r="H68" s="1499">
        <v>2.7157471639155206</v>
      </c>
      <c r="I68" s="1499">
        <v>3.2023290640626154</v>
      </c>
      <c r="J68" s="1499">
        <v>2.903669731925473</v>
      </c>
      <c r="K68" s="113">
        <v>1.968397058946072</v>
      </c>
    </row>
    <row r="69" spans="2:11" x14ac:dyDescent="0.3">
      <c r="B69" s="114">
        <v>0</v>
      </c>
      <c r="C69" s="112" t="s">
        <v>1496</v>
      </c>
      <c r="D69" s="1499">
        <v>4.1190137103964846</v>
      </c>
      <c r="E69" s="1499">
        <v>3.7318259057219261</v>
      </c>
      <c r="F69" s="1499">
        <v>2.3566953883339519</v>
      </c>
      <c r="G69" s="1499">
        <v>2.2602703864526088</v>
      </c>
      <c r="H69" s="1499">
        <v>2.6710493327232974</v>
      </c>
      <c r="I69" s="1499">
        <v>3.1576312328703926</v>
      </c>
      <c r="J69" s="1499">
        <v>2.8589719007332497</v>
      </c>
      <c r="K69" s="113">
        <v>1.9236992277538485</v>
      </c>
    </row>
    <row r="70" spans="2:11" x14ac:dyDescent="0.3">
      <c r="B70" s="115"/>
      <c r="C70" s="112" t="s">
        <v>1500</v>
      </c>
      <c r="D70" s="1499">
        <v>4.0743158792042609</v>
      </c>
      <c r="E70" s="1499">
        <v>3.6871280745297024</v>
      </c>
      <c r="F70" s="1499">
        <v>2.3119975571417291</v>
      </c>
      <c r="G70" s="1499">
        <v>2.2155725552603855</v>
      </c>
      <c r="H70" s="1499">
        <v>2.6263515015310741</v>
      </c>
      <c r="I70" s="1499">
        <v>3.1129334016781689</v>
      </c>
      <c r="J70" s="1499">
        <v>2.8142740695410264</v>
      </c>
      <c r="K70" s="113">
        <v>1.8790013965616255</v>
      </c>
    </row>
    <row r="71" spans="2:11" x14ac:dyDescent="0.3">
      <c r="B71" s="115"/>
      <c r="C71" s="112" t="s">
        <v>1504</v>
      </c>
      <c r="D71" s="1499">
        <v>4.1421012072142851</v>
      </c>
      <c r="E71" s="1499">
        <v>3.7535650106289724</v>
      </c>
      <c r="F71" s="1499">
        <v>2.3781899345345119</v>
      </c>
      <c r="G71" s="1499">
        <v>2.2801473425762069</v>
      </c>
      <c r="H71" s="1499">
        <v>2.6924217993566644</v>
      </c>
      <c r="I71" s="1499">
        <v>3.1786376042451425</v>
      </c>
      <c r="J71" s="1499">
        <v>2.8791608168847769</v>
      </c>
      <c r="K71" s="113">
        <v>1.9430984947941599</v>
      </c>
    </row>
    <row r="72" spans="2:11" x14ac:dyDescent="0.3">
      <c r="B72" s="115"/>
      <c r="C72" s="112" t="s">
        <v>1508</v>
      </c>
      <c r="D72" s="1499">
        <v>4.1174890271401861</v>
      </c>
      <c r="E72" s="1499">
        <v>3.7289528305548729</v>
      </c>
      <c r="F72" s="1499">
        <v>2.3535777544604124</v>
      </c>
      <c r="G72" s="1499">
        <v>2.2555351625021078</v>
      </c>
      <c r="H72" s="1499">
        <v>2.6678096192825653</v>
      </c>
      <c r="I72" s="1499">
        <v>3.1540254241710435</v>
      </c>
      <c r="J72" s="1499">
        <v>2.8545486368106778</v>
      </c>
      <c r="K72" s="113">
        <v>1.918486314720061</v>
      </c>
    </row>
    <row r="73" spans="2:11" x14ac:dyDescent="0.3">
      <c r="B73" s="115"/>
      <c r="C73" s="112" t="s">
        <v>1513</v>
      </c>
      <c r="D73" s="1499">
        <v>4.0805707570290366</v>
      </c>
      <c r="E73" s="1499">
        <v>3.6920345604437244</v>
      </c>
      <c r="F73" s="1499">
        <v>2.3166594843492638</v>
      </c>
      <c r="G73" s="1499">
        <v>2.2186168923909593</v>
      </c>
      <c r="H73" s="1499">
        <v>2.6308913491714163</v>
      </c>
      <c r="I73" s="1499">
        <v>3.1171071540598945</v>
      </c>
      <c r="J73" s="1499">
        <v>2.8176303666995288</v>
      </c>
      <c r="K73" s="113">
        <v>1.8815680446089125</v>
      </c>
    </row>
    <row r="74" spans="2:11" x14ac:dyDescent="0.3">
      <c r="B74" s="115"/>
      <c r="C74" s="112" t="s">
        <v>1517</v>
      </c>
      <c r="D74" s="1499">
        <v>4.0436524869178889</v>
      </c>
      <c r="E74" s="1499">
        <v>3.6551162903325762</v>
      </c>
      <c r="F74" s="1499">
        <v>2.2797412142381153</v>
      </c>
      <c r="G74" s="1499">
        <v>2.1816986222798107</v>
      </c>
      <c r="H74" s="1499">
        <v>2.5939730790602678</v>
      </c>
      <c r="I74" s="1499">
        <v>3.0801888839487463</v>
      </c>
      <c r="J74" s="1499">
        <v>2.7807120965883803</v>
      </c>
      <c r="K74" s="113">
        <v>1.8446497744977635</v>
      </c>
    </row>
    <row r="75" spans="2:11" ht="14.5" thickBot="1" x14ac:dyDescent="0.35">
      <c r="B75" s="1233"/>
      <c r="C75" s="116" t="s">
        <v>1519</v>
      </c>
      <c r="D75" s="117">
        <v>4.1935100957168565</v>
      </c>
      <c r="E75" s="117">
        <v>3.806322291042298</v>
      </c>
      <c r="F75" s="117">
        <v>2.4311917736543243</v>
      </c>
      <c r="G75" s="117">
        <v>2.3347667717729808</v>
      </c>
      <c r="H75" s="117">
        <v>2.7455457180436693</v>
      </c>
      <c r="I75" s="117">
        <v>3.2321276181907641</v>
      </c>
      <c r="J75" s="117">
        <v>2.9334682860536216</v>
      </c>
      <c r="K75" s="118">
        <v>1.9981956130742207</v>
      </c>
    </row>
    <row r="76" spans="2:11" x14ac:dyDescent="0.3">
      <c r="B76" s="119" t="s">
        <v>1983</v>
      </c>
      <c r="C76" s="108" t="s">
        <v>1416</v>
      </c>
      <c r="D76" s="109">
        <v>3.7871168088137859</v>
      </c>
      <c r="E76" s="109">
        <v>3.3919277904624807</v>
      </c>
      <c r="F76" s="109">
        <v>2.0177178338620672</v>
      </c>
      <c r="G76" s="109">
        <v>1.9144392103657506</v>
      </c>
      <c r="H76" s="109">
        <v>2.3354183143463438</v>
      </c>
      <c r="I76" s="109">
        <v>2.8157983020249699</v>
      </c>
      <c r="J76" s="109">
        <v>2.514489979363443</v>
      </c>
      <c r="K76" s="110">
        <v>1.5789759796220038</v>
      </c>
    </row>
    <row r="77" spans="2:11" x14ac:dyDescent="0.3">
      <c r="B77" s="111"/>
      <c r="C77" s="112" t="s">
        <v>1483</v>
      </c>
      <c r="D77" s="1499">
        <v>4.0423764707257455</v>
      </c>
      <c r="E77" s="1499">
        <v>3.655188666051187</v>
      </c>
      <c r="F77" s="1499">
        <v>2.2800581486632132</v>
      </c>
      <c r="G77" s="1499">
        <v>2.1836331467818697</v>
      </c>
      <c r="H77" s="1499">
        <v>2.5944120930525583</v>
      </c>
      <c r="I77" s="1499">
        <v>3.0809939931996531</v>
      </c>
      <c r="J77" s="1499">
        <v>2.7823346610625106</v>
      </c>
      <c r="K77" s="113">
        <v>1.8470619880831096</v>
      </c>
    </row>
    <row r="78" spans="2:11" x14ac:dyDescent="0.3">
      <c r="B78" s="111" t="s">
        <v>1982</v>
      </c>
      <c r="C78" s="112" t="s">
        <v>1489</v>
      </c>
      <c r="D78" s="1499">
        <v>4.0125779165975963</v>
      </c>
      <c r="E78" s="1499">
        <v>3.6253901119230383</v>
      </c>
      <c r="F78" s="1499">
        <v>2.2502595945350645</v>
      </c>
      <c r="G78" s="1499">
        <v>2.153834592653721</v>
      </c>
      <c r="H78" s="1499">
        <v>2.5646135389244096</v>
      </c>
      <c r="I78" s="1499">
        <v>3.0511954390715044</v>
      </c>
      <c r="J78" s="1499">
        <v>2.7525361069343619</v>
      </c>
      <c r="K78" s="113">
        <v>1.8172634339549609</v>
      </c>
    </row>
    <row r="79" spans="2:11" x14ac:dyDescent="0.3">
      <c r="B79" s="114">
        <v>0</v>
      </c>
      <c r="C79" s="112" t="s">
        <v>1496</v>
      </c>
      <c r="D79" s="1499">
        <v>3.9678800854053735</v>
      </c>
      <c r="E79" s="1499">
        <v>3.580692280730815</v>
      </c>
      <c r="F79" s="1499">
        <v>2.2055617633428413</v>
      </c>
      <c r="G79" s="1499">
        <v>2.1091367614614978</v>
      </c>
      <c r="H79" s="1499">
        <v>2.5199157077321863</v>
      </c>
      <c r="I79" s="1499">
        <v>3.0064976078792816</v>
      </c>
      <c r="J79" s="1499">
        <v>2.7078382757421386</v>
      </c>
      <c r="K79" s="113">
        <v>1.7725656027627377</v>
      </c>
    </row>
    <row r="80" spans="2:11" x14ac:dyDescent="0.3">
      <c r="B80" s="115"/>
      <c r="C80" s="112" t="s">
        <v>1500</v>
      </c>
      <c r="D80" s="1499">
        <v>3.9231822542131498</v>
      </c>
      <c r="E80" s="1499">
        <v>3.5359944495385913</v>
      </c>
      <c r="F80" s="1499">
        <v>2.160863932150618</v>
      </c>
      <c r="G80" s="1499">
        <v>2.0644389302692745</v>
      </c>
      <c r="H80" s="1499">
        <v>2.4752178765399631</v>
      </c>
      <c r="I80" s="1499">
        <v>2.9617997766870579</v>
      </c>
      <c r="J80" s="1499">
        <v>2.6631404445499154</v>
      </c>
      <c r="K80" s="113">
        <v>1.7278677715705144</v>
      </c>
    </row>
    <row r="81" spans="2:11" x14ac:dyDescent="0.3">
      <c r="B81" s="115"/>
      <c r="C81" s="112" t="s">
        <v>1504</v>
      </c>
      <c r="D81" s="1499">
        <v>3.990967582223174</v>
      </c>
      <c r="E81" s="1499">
        <v>3.6024313856378614</v>
      </c>
      <c r="F81" s="1499">
        <v>2.2270563095434008</v>
      </c>
      <c r="G81" s="1499">
        <v>2.1290137175850958</v>
      </c>
      <c r="H81" s="1499">
        <v>2.5412881743655533</v>
      </c>
      <c r="I81" s="1499">
        <v>3.0275039792540315</v>
      </c>
      <c r="J81" s="1499">
        <v>2.7280271918936658</v>
      </c>
      <c r="K81" s="113">
        <v>1.7919648698030488</v>
      </c>
    </row>
    <row r="82" spans="2:11" x14ac:dyDescent="0.3">
      <c r="B82" s="115"/>
      <c r="C82" s="112" t="s">
        <v>1508</v>
      </c>
      <c r="D82" s="1499">
        <v>3.9663554021490746</v>
      </c>
      <c r="E82" s="1499">
        <v>3.5778192055637623</v>
      </c>
      <c r="F82" s="1499">
        <v>2.2024441294693013</v>
      </c>
      <c r="G82" s="1499">
        <v>2.1044015375109968</v>
      </c>
      <c r="H82" s="1499">
        <v>2.5166759942914543</v>
      </c>
      <c r="I82" s="1499">
        <v>3.0028917991799324</v>
      </c>
      <c r="J82" s="1499">
        <v>2.7034150118195668</v>
      </c>
      <c r="K82" s="113">
        <v>1.76735268972895</v>
      </c>
    </row>
    <row r="83" spans="2:11" x14ac:dyDescent="0.3">
      <c r="B83" s="115"/>
      <c r="C83" s="112" t="s">
        <v>1513</v>
      </c>
      <c r="D83" s="1499">
        <v>3.9294371320379256</v>
      </c>
      <c r="E83" s="1499">
        <v>3.5409009354526133</v>
      </c>
      <c r="F83" s="1499">
        <v>2.1655258593581528</v>
      </c>
      <c r="G83" s="1499">
        <v>2.0674832673998487</v>
      </c>
      <c r="H83" s="1499">
        <v>2.4797577241803053</v>
      </c>
      <c r="I83" s="1499">
        <v>2.9659735290687834</v>
      </c>
      <c r="J83" s="1499">
        <v>2.6664967417084178</v>
      </c>
      <c r="K83" s="113">
        <v>1.7304344196178014</v>
      </c>
    </row>
    <row r="84" spans="2:11" x14ac:dyDescent="0.3">
      <c r="B84" s="115"/>
      <c r="C84" s="112" t="s">
        <v>1517</v>
      </c>
      <c r="D84" s="1499">
        <v>3.892518861926777</v>
      </c>
      <c r="E84" s="1499">
        <v>3.5039826653414643</v>
      </c>
      <c r="F84" s="1499">
        <v>2.1286075892470042</v>
      </c>
      <c r="G84" s="1499">
        <v>2.0305649972886997</v>
      </c>
      <c r="H84" s="1499">
        <v>2.4428394540691567</v>
      </c>
      <c r="I84" s="1499">
        <v>2.9290552589576353</v>
      </c>
      <c r="J84" s="1499">
        <v>2.6295784715972692</v>
      </c>
      <c r="K84" s="113">
        <v>1.6935161495066526</v>
      </c>
    </row>
    <row r="85" spans="2:11" ht="14.5" thickBot="1" x14ac:dyDescent="0.35">
      <c r="B85" s="1233"/>
      <c r="C85" s="116" t="s">
        <v>1519</v>
      </c>
      <c r="D85" s="117">
        <v>4.0423764707257455</v>
      </c>
      <c r="E85" s="117">
        <v>3.655188666051187</v>
      </c>
      <c r="F85" s="117">
        <v>2.2800581486632132</v>
      </c>
      <c r="G85" s="117">
        <v>2.1836331467818697</v>
      </c>
      <c r="H85" s="117">
        <v>2.5944120930525583</v>
      </c>
      <c r="I85" s="117">
        <v>3.0809939931996531</v>
      </c>
      <c r="J85" s="117">
        <v>2.7823346610625106</v>
      </c>
      <c r="K85" s="118">
        <v>1.8470619880831096</v>
      </c>
    </row>
    <row r="87" spans="2:11" ht="14.5" thickBot="1" x14ac:dyDescent="0.35"/>
    <row r="88" spans="2:11" ht="25.5" thickBot="1" x14ac:dyDescent="0.55000000000000004">
      <c r="B88" s="88" t="s">
        <v>1960</v>
      </c>
      <c r="C88" s="89"/>
      <c r="D88" s="90">
        <v>6</v>
      </c>
      <c r="E88" s="91" t="s">
        <v>1984</v>
      </c>
      <c r="F88" s="92"/>
      <c r="G88" s="92"/>
      <c r="H88" s="92"/>
      <c r="I88" s="93"/>
      <c r="J88" s="89" t="s">
        <v>176</v>
      </c>
      <c r="K88" s="94" t="s">
        <v>241</v>
      </c>
    </row>
    <row r="89" spans="2:11" ht="14.5" thickBot="1" x14ac:dyDescent="0.35">
      <c r="B89" s="95" t="s">
        <v>1962</v>
      </c>
      <c r="C89" s="96" t="s">
        <v>1963</v>
      </c>
      <c r="D89" s="95" t="s">
        <v>1964</v>
      </c>
      <c r="E89" s="97" t="s">
        <v>1965</v>
      </c>
      <c r="F89" s="97" t="s">
        <v>1966</v>
      </c>
      <c r="G89" s="97" t="s">
        <v>1967</v>
      </c>
      <c r="H89" s="97" t="s">
        <v>1968</v>
      </c>
      <c r="I89" s="97" t="s">
        <v>1969</v>
      </c>
      <c r="J89" s="97" t="s">
        <v>1970</v>
      </c>
      <c r="K89" s="98" t="s">
        <v>1971</v>
      </c>
    </row>
    <row r="90" spans="2:11" ht="14.5" thickBot="1" x14ac:dyDescent="0.35">
      <c r="B90" s="99"/>
      <c r="C90" s="99"/>
      <c r="D90" s="100"/>
      <c r="E90" s="944"/>
      <c r="F90" s="944"/>
      <c r="G90" s="944"/>
      <c r="H90" s="944"/>
      <c r="I90" s="944"/>
      <c r="J90" s="944"/>
      <c r="K90" s="102"/>
    </row>
    <row r="91" spans="2:11" ht="90.5" thickBot="1" x14ac:dyDescent="0.45">
      <c r="B91" s="103" t="s">
        <v>1972</v>
      </c>
      <c r="C91" s="103" t="s">
        <v>1973</v>
      </c>
      <c r="D91" s="105" t="s">
        <v>1974</v>
      </c>
      <c r="E91" s="105" t="s">
        <v>1525</v>
      </c>
      <c r="F91" s="105" t="s">
        <v>1527</v>
      </c>
      <c r="G91" s="105" t="s">
        <v>1975</v>
      </c>
      <c r="H91" s="105" t="s">
        <v>1976</v>
      </c>
      <c r="I91" s="105" t="s">
        <v>1445</v>
      </c>
      <c r="J91" s="105" t="s">
        <v>1538</v>
      </c>
      <c r="K91" s="106" t="s">
        <v>1541</v>
      </c>
    </row>
    <row r="92" spans="2:11" x14ac:dyDescent="0.3">
      <c r="B92" s="107" t="s">
        <v>1985</v>
      </c>
      <c r="C92" s="108" t="s">
        <v>1416</v>
      </c>
      <c r="D92" s="109">
        <v>3.6797867960578778</v>
      </c>
      <c r="E92" s="109">
        <v>3.2138875550616812</v>
      </c>
      <c r="F92" s="109">
        <v>1.9320155880044736</v>
      </c>
      <c r="G92" s="109">
        <v>1.7970136566395067</v>
      </c>
      <c r="H92" s="109">
        <v>2.2366685829943318</v>
      </c>
      <c r="I92" s="109">
        <v>2.6482764018149414</v>
      </c>
      <c r="J92" s="109">
        <v>2.363165789389206</v>
      </c>
      <c r="K92" s="110">
        <v>1.47812650215033</v>
      </c>
    </row>
    <row r="93" spans="2:11" x14ac:dyDescent="0.3">
      <c r="B93" s="111"/>
      <c r="C93" s="112" t="s">
        <v>1483</v>
      </c>
      <c r="D93" s="1499">
        <v>3.9316570024459438</v>
      </c>
      <c r="E93" s="1499">
        <v>3.4735090123302692</v>
      </c>
      <c r="F93" s="1499">
        <v>2.1833956522661397</v>
      </c>
      <c r="G93" s="1499">
        <v>2.0572442615317845</v>
      </c>
      <c r="H93" s="1499">
        <v>2.4927572928477093</v>
      </c>
      <c r="I93" s="1499">
        <v>2.9096793837832404</v>
      </c>
      <c r="J93" s="1499">
        <v>2.6265720245470567</v>
      </c>
      <c r="K93" s="113">
        <v>1.7441505952412677</v>
      </c>
    </row>
    <row r="94" spans="2:11" x14ac:dyDescent="0.3">
      <c r="B94" s="111" t="s">
        <v>1986</v>
      </c>
      <c r="C94" s="112" t="s">
        <v>1489</v>
      </c>
      <c r="D94" s="1499">
        <v>3.9018584483177952</v>
      </c>
      <c r="E94" s="1499">
        <v>3.4437104582021205</v>
      </c>
      <c r="F94" s="1499">
        <v>2.1535970981379911</v>
      </c>
      <c r="G94" s="1499">
        <v>2.0274457074036354</v>
      </c>
      <c r="H94" s="1499">
        <v>2.4629587387195602</v>
      </c>
      <c r="I94" s="1499">
        <v>2.8798808296550913</v>
      </c>
      <c r="J94" s="1499">
        <v>2.5967734704189076</v>
      </c>
      <c r="K94" s="113">
        <v>1.7143520411131188</v>
      </c>
    </row>
    <row r="95" spans="2:11" x14ac:dyDescent="0.3">
      <c r="B95" s="114">
        <v>0</v>
      </c>
      <c r="C95" s="112" t="s">
        <v>1496</v>
      </c>
      <c r="D95" s="1499">
        <v>3.8571606171255715</v>
      </c>
      <c r="E95" s="1499">
        <v>3.3990126270098968</v>
      </c>
      <c r="F95" s="1499">
        <v>2.1088992669457678</v>
      </c>
      <c r="G95" s="1499">
        <v>1.9827478762114126</v>
      </c>
      <c r="H95" s="1499">
        <v>2.4182609075273374</v>
      </c>
      <c r="I95" s="1499">
        <v>2.8351829984628676</v>
      </c>
      <c r="J95" s="1499">
        <v>2.5520756392266843</v>
      </c>
      <c r="K95" s="113">
        <v>1.6696542099208955</v>
      </c>
    </row>
    <row r="96" spans="2:11" x14ac:dyDescent="0.3">
      <c r="B96" s="115"/>
      <c r="C96" s="112" t="s">
        <v>1500</v>
      </c>
      <c r="D96" s="1499">
        <v>3.8124627859333482</v>
      </c>
      <c r="E96" s="1499">
        <v>3.3543147958176736</v>
      </c>
      <c r="F96" s="1499">
        <v>2.0642014357535445</v>
      </c>
      <c r="G96" s="1499">
        <v>1.9380500450191891</v>
      </c>
      <c r="H96" s="1499">
        <v>2.3735630763351137</v>
      </c>
      <c r="I96" s="1499">
        <v>2.7904851672706448</v>
      </c>
      <c r="J96" s="1499">
        <v>2.5073778080344611</v>
      </c>
      <c r="K96" s="113">
        <v>1.6249563787286723</v>
      </c>
    </row>
    <row r="97" spans="2:11" x14ac:dyDescent="0.3">
      <c r="B97" s="115"/>
      <c r="C97" s="112" t="s">
        <v>1504</v>
      </c>
      <c r="D97" s="1499">
        <v>3.8809742008668837</v>
      </c>
      <c r="E97" s="1499">
        <v>3.421127053840491</v>
      </c>
      <c r="F97" s="1499">
        <v>2.1310539984611694</v>
      </c>
      <c r="G97" s="1499">
        <v>2.0047851902616838</v>
      </c>
      <c r="H97" s="1499">
        <v>2.440892897897907</v>
      </c>
      <c r="I97" s="1499">
        <v>2.8556729442589881</v>
      </c>
      <c r="J97" s="1499">
        <v>2.5731497344762015</v>
      </c>
      <c r="K97" s="113">
        <v>1.6902731051434474</v>
      </c>
    </row>
    <row r="98" spans="2:11" x14ac:dyDescent="0.3">
      <c r="B98" s="115"/>
      <c r="C98" s="112" t="s">
        <v>1508</v>
      </c>
      <c r="D98" s="1499">
        <v>3.8563620207927851</v>
      </c>
      <c r="E98" s="1499">
        <v>3.3965148737663924</v>
      </c>
      <c r="F98" s="1499">
        <v>2.1064418183870703</v>
      </c>
      <c r="G98" s="1499">
        <v>1.9801730101875843</v>
      </c>
      <c r="H98" s="1499">
        <v>2.4162807178238075</v>
      </c>
      <c r="I98" s="1499">
        <v>2.8310607641848895</v>
      </c>
      <c r="J98" s="1499">
        <v>2.5485375544021021</v>
      </c>
      <c r="K98" s="113">
        <v>1.6656609250693482</v>
      </c>
    </row>
    <row r="99" spans="2:11" x14ac:dyDescent="0.3">
      <c r="B99" s="115"/>
      <c r="C99" s="112" t="s">
        <v>1513</v>
      </c>
      <c r="D99" s="1499">
        <v>3.8194437506816366</v>
      </c>
      <c r="E99" s="1499">
        <v>3.3595966036552438</v>
      </c>
      <c r="F99" s="1499">
        <v>2.0695235482759218</v>
      </c>
      <c r="G99" s="1499">
        <v>1.9432547400764359</v>
      </c>
      <c r="H99" s="1499">
        <v>2.3793624477126589</v>
      </c>
      <c r="I99" s="1499">
        <v>2.7941424940737409</v>
      </c>
      <c r="J99" s="1499">
        <v>2.5116192842909539</v>
      </c>
      <c r="K99" s="113">
        <v>1.6287426549581996</v>
      </c>
    </row>
    <row r="100" spans="2:11" x14ac:dyDescent="0.3">
      <c r="B100" s="115"/>
      <c r="C100" s="112" t="s">
        <v>1517</v>
      </c>
      <c r="D100" s="1499">
        <v>3.7825254805704875</v>
      </c>
      <c r="E100" s="1499">
        <v>3.3226783335440948</v>
      </c>
      <c r="F100" s="1499">
        <v>2.0326052781647728</v>
      </c>
      <c r="G100" s="1499">
        <v>1.9063364699652869</v>
      </c>
      <c r="H100" s="1499">
        <v>2.3424441776015104</v>
      </c>
      <c r="I100" s="1499">
        <v>2.7572242239625919</v>
      </c>
      <c r="J100" s="1499">
        <v>2.4747010141798049</v>
      </c>
      <c r="K100" s="113">
        <v>1.5918243848470508</v>
      </c>
    </row>
    <row r="101" spans="2:11" ht="14.5" thickBot="1" x14ac:dyDescent="0.35">
      <c r="B101" s="115"/>
      <c r="C101" s="116" t="s">
        <v>1519</v>
      </c>
      <c r="D101" s="117">
        <v>3.9316570024459438</v>
      </c>
      <c r="E101" s="117">
        <v>3.4735090123302692</v>
      </c>
      <c r="F101" s="117">
        <v>2.1833956522661397</v>
      </c>
      <c r="G101" s="117">
        <v>2.0572442615317845</v>
      </c>
      <c r="H101" s="117">
        <v>2.4927572928477093</v>
      </c>
      <c r="I101" s="117">
        <v>2.9096793837832404</v>
      </c>
      <c r="J101" s="117">
        <v>2.6265720245470567</v>
      </c>
      <c r="K101" s="118">
        <v>1.7441505952412677</v>
      </c>
    </row>
    <row r="102" spans="2:11" x14ac:dyDescent="0.3">
      <c r="B102" s="120" t="s">
        <v>1985</v>
      </c>
      <c r="C102" s="1234" t="s">
        <v>1416</v>
      </c>
      <c r="D102" s="109">
        <v>3.5879879656535838</v>
      </c>
      <c r="E102" s="109">
        <v>3.1220887246573867</v>
      </c>
      <c r="F102" s="109">
        <v>1.8402167576001796</v>
      </c>
      <c r="G102" s="109">
        <v>1.7052148262352127</v>
      </c>
      <c r="H102" s="109">
        <v>2.1448697525900378</v>
      </c>
      <c r="I102" s="109">
        <v>2.5564775714106474</v>
      </c>
      <c r="J102" s="109">
        <v>2.2713669589849119</v>
      </c>
      <c r="K102" s="110">
        <v>1.3863276717460358</v>
      </c>
    </row>
    <row r="103" spans="2:11" x14ac:dyDescent="0.3">
      <c r="B103" s="121"/>
      <c r="C103" s="1500" t="s">
        <v>1483</v>
      </c>
      <c r="D103" s="1499">
        <v>3.8398581720416494</v>
      </c>
      <c r="E103" s="1499">
        <v>3.3817101819259747</v>
      </c>
      <c r="F103" s="1499">
        <v>2.0915968218618457</v>
      </c>
      <c r="G103" s="1499">
        <v>1.9654454311274903</v>
      </c>
      <c r="H103" s="1499">
        <v>2.4009584624434148</v>
      </c>
      <c r="I103" s="1499">
        <v>2.8178805533789459</v>
      </c>
      <c r="J103" s="1499">
        <v>2.5347731941427623</v>
      </c>
      <c r="K103" s="113">
        <v>1.6523517648369734</v>
      </c>
    </row>
    <row r="104" spans="2:11" x14ac:dyDescent="0.3">
      <c r="B104" s="111" t="s">
        <v>1987</v>
      </c>
      <c r="C104" s="1500" t="s">
        <v>1489</v>
      </c>
      <c r="D104" s="1499">
        <v>3.8100596179135007</v>
      </c>
      <c r="E104" s="1499">
        <v>3.351911627797826</v>
      </c>
      <c r="F104" s="1499">
        <v>2.061798267733697</v>
      </c>
      <c r="G104" s="1499">
        <v>1.9356468769993416</v>
      </c>
      <c r="H104" s="1499">
        <v>2.3711599083152661</v>
      </c>
      <c r="I104" s="1499">
        <v>2.7880819992507972</v>
      </c>
      <c r="J104" s="1499">
        <v>2.5049746400146136</v>
      </c>
      <c r="K104" s="113">
        <v>1.6225532107088245</v>
      </c>
    </row>
    <row r="105" spans="2:11" x14ac:dyDescent="0.3">
      <c r="B105" s="122">
        <v>0</v>
      </c>
      <c r="C105" s="1500" t="s">
        <v>1496</v>
      </c>
      <c r="D105" s="1499">
        <v>3.7653617867212779</v>
      </c>
      <c r="E105" s="1499">
        <v>3.3072137966056028</v>
      </c>
      <c r="F105" s="1499">
        <v>2.0171004365414733</v>
      </c>
      <c r="G105" s="1499">
        <v>1.8909490458071181</v>
      </c>
      <c r="H105" s="1499">
        <v>2.3264620771230429</v>
      </c>
      <c r="I105" s="1499">
        <v>2.7433841680585735</v>
      </c>
      <c r="J105" s="1499">
        <v>2.4602768088223899</v>
      </c>
      <c r="K105" s="113">
        <v>1.5778553795166013</v>
      </c>
    </row>
    <row r="106" spans="2:11" x14ac:dyDescent="0.3">
      <c r="B106" s="123"/>
      <c r="C106" s="1500" t="s">
        <v>1500</v>
      </c>
      <c r="D106" s="1499">
        <v>3.7206639555290542</v>
      </c>
      <c r="E106" s="1499">
        <v>3.2625159654133791</v>
      </c>
      <c r="F106" s="1499">
        <v>1.9724026053492505</v>
      </c>
      <c r="G106" s="1499">
        <v>1.8462512146148951</v>
      </c>
      <c r="H106" s="1499">
        <v>2.2817642459308196</v>
      </c>
      <c r="I106" s="1499">
        <v>2.6986863368663507</v>
      </c>
      <c r="J106" s="1499">
        <v>2.415578977630167</v>
      </c>
      <c r="K106" s="113">
        <v>1.5331575483243782</v>
      </c>
    </row>
    <row r="107" spans="2:11" x14ac:dyDescent="0.3">
      <c r="B107" s="123"/>
      <c r="C107" s="1500" t="s">
        <v>1504</v>
      </c>
      <c r="D107" s="1499">
        <v>3.7891753704625901</v>
      </c>
      <c r="E107" s="1499">
        <v>3.3293282234361974</v>
      </c>
      <c r="F107" s="1499">
        <v>2.0392551680568753</v>
      </c>
      <c r="G107" s="1499">
        <v>1.9129863598573895</v>
      </c>
      <c r="H107" s="1499">
        <v>2.3490940674936129</v>
      </c>
      <c r="I107" s="1499">
        <v>2.7638741138546945</v>
      </c>
      <c r="J107" s="1499">
        <v>2.4813509040719075</v>
      </c>
      <c r="K107" s="113">
        <v>1.5984742747391534</v>
      </c>
    </row>
    <row r="108" spans="2:11" x14ac:dyDescent="0.3">
      <c r="B108" s="123"/>
      <c r="C108" s="1500" t="s">
        <v>1508</v>
      </c>
      <c r="D108" s="1499">
        <v>3.7645631903884911</v>
      </c>
      <c r="E108" s="1499">
        <v>3.3047160433620979</v>
      </c>
      <c r="F108" s="1499">
        <v>2.0146429879827759</v>
      </c>
      <c r="G108" s="1499">
        <v>1.8883741797832903</v>
      </c>
      <c r="H108" s="1499">
        <v>2.3244818874195134</v>
      </c>
      <c r="I108" s="1499">
        <v>2.7392619337805955</v>
      </c>
      <c r="J108" s="1499">
        <v>2.456738723997808</v>
      </c>
      <c r="K108" s="113">
        <v>1.5738620946650541</v>
      </c>
    </row>
    <row r="109" spans="2:11" x14ac:dyDescent="0.3">
      <c r="B109" s="123"/>
      <c r="C109" s="1500" t="s">
        <v>1513</v>
      </c>
      <c r="D109" s="1499">
        <v>3.7276449202773421</v>
      </c>
      <c r="E109" s="1499">
        <v>3.2677977732509493</v>
      </c>
      <c r="F109" s="1499">
        <v>1.9777247178716275</v>
      </c>
      <c r="G109" s="1499">
        <v>1.8514559096721417</v>
      </c>
      <c r="H109" s="1499">
        <v>2.2875636173083649</v>
      </c>
      <c r="I109" s="1499">
        <v>2.7023436636694469</v>
      </c>
      <c r="J109" s="1499">
        <v>2.4198204538866595</v>
      </c>
      <c r="K109" s="113">
        <v>1.5369438245539055</v>
      </c>
    </row>
    <row r="110" spans="2:11" x14ac:dyDescent="0.3">
      <c r="B110" s="123"/>
      <c r="C110" s="1500" t="s">
        <v>1517</v>
      </c>
      <c r="D110" s="1499">
        <v>3.6907266501661939</v>
      </c>
      <c r="E110" s="1499">
        <v>3.2308795031398008</v>
      </c>
      <c r="F110" s="1499">
        <v>1.9408064477604787</v>
      </c>
      <c r="G110" s="1499">
        <v>1.8145376395609929</v>
      </c>
      <c r="H110" s="1499">
        <v>2.2506453471972163</v>
      </c>
      <c r="I110" s="1499">
        <v>2.6654253935582979</v>
      </c>
      <c r="J110" s="1499">
        <v>2.3829021837755109</v>
      </c>
      <c r="K110" s="113">
        <v>1.5000255544427565</v>
      </c>
    </row>
    <row r="111" spans="2:11" ht="14.5" thickBot="1" x14ac:dyDescent="0.35">
      <c r="B111" s="124"/>
      <c r="C111" s="125" t="s">
        <v>1519</v>
      </c>
      <c r="D111" s="117">
        <v>3.8398581720416494</v>
      </c>
      <c r="E111" s="117">
        <v>3.3817101819259747</v>
      </c>
      <c r="F111" s="117">
        <v>2.0915968218618457</v>
      </c>
      <c r="G111" s="117">
        <v>1.9654454311274903</v>
      </c>
      <c r="H111" s="117">
        <v>2.4009584624434148</v>
      </c>
      <c r="I111" s="117">
        <v>2.8178805533789459</v>
      </c>
      <c r="J111" s="117">
        <v>2.5347731941427623</v>
      </c>
      <c r="K111" s="118">
        <v>1.6523517648369734</v>
      </c>
    </row>
    <row r="112" spans="2:11" x14ac:dyDescent="0.3">
      <c r="B112" s="119" t="s">
        <v>1985</v>
      </c>
      <c r="C112" s="108" t="s">
        <v>1416</v>
      </c>
      <c r="D112" s="109">
        <v>3.4502897200471425</v>
      </c>
      <c r="E112" s="109">
        <v>2.9843904790509459</v>
      </c>
      <c r="F112" s="109">
        <v>1.7025185119937383</v>
      </c>
      <c r="G112" s="109">
        <v>1.5675165806287714</v>
      </c>
      <c r="H112" s="109">
        <v>2.0071715069835965</v>
      </c>
      <c r="I112" s="109">
        <v>2.4187793258042061</v>
      </c>
      <c r="J112" s="109">
        <v>2.1336687133784706</v>
      </c>
      <c r="K112" s="110">
        <v>1.2486294261395945</v>
      </c>
    </row>
    <row r="113" spans="2:11" x14ac:dyDescent="0.3">
      <c r="B113" s="111"/>
      <c r="C113" s="112" t="s">
        <v>1483</v>
      </c>
      <c r="D113" s="1499">
        <v>3.7021599264352085</v>
      </c>
      <c r="E113" s="1499">
        <v>3.2440119363195339</v>
      </c>
      <c r="F113" s="1499">
        <v>1.9538985762554046</v>
      </c>
      <c r="G113" s="1499">
        <v>1.8277471855210492</v>
      </c>
      <c r="H113" s="1499">
        <v>2.263260216836974</v>
      </c>
      <c r="I113" s="1499">
        <v>2.6801823077725047</v>
      </c>
      <c r="J113" s="1499">
        <v>2.3970749485363214</v>
      </c>
      <c r="K113" s="113">
        <v>1.5146535192305324</v>
      </c>
    </row>
    <row r="114" spans="2:11" ht="14.5" thickBot="1" x14ac:dyDescent="0.35">
      <c r="B114" s="111" t="s">
        <v>1988</v>
      </c>
      <c r="C114" s="112" t="s">
        <v>1489</v>
      </c>
      <c r="D114" s="1499">
        <v>3.6723613723070598</v>
      </c>
      <c r="E114" s="1499">
        <v>3.2142133821913852</v>
      </c>
      <c r="F114" s="1501">
        <v>1.9241000221272557</v>
      </c>
      <c r="G114" s="1499">
        <v>1.7979486313929003</v>
      </c>
      <c r="H114" s="1499">
        <v>2.2334616627088248</v>
      </c>
      <c r="I114" s="1499">
        <v>2.650383753644356</v>
      </c>
      <c r="J114" s="1499">
        <v>2.3672763944081723</v>
      </c>
      <c r="K114" s="113">
        <v>1.4848549651023832</v>
      </c>
    </row>
    <row r="115" spans="2:11" ht="14.5" thickBot="1" x14ac:dyDescent="0.35">
      <c r="B115" s="114">
        <v>0</v>
      </c>
      <c r="C115" s="112" t="s">
        <v>1496</v>
      </c>
      <c r="D115" s="1499">
        <v>3.6276635411148361</v>
      </c>
      <c r="E115" s="1502">
        <v>3.1695155509991615</v>
      </c>
      <c r="F115" s="126">
        <v>1.8794021909350325</v>
      </c>
      <c r="G115" s="1503">
        <v>1.7532508002006773</v>
      </c>
      <c r="H115" s="1499">
        <v>2.1887638315166016</v>
      </c>
      <c r="I115" s="1499">
        <v>2.6056859224521327</v>
      </c>
      <c r="J115" s="1499">
        <v>2.322578563215949</v>
      </c>
      <c r="K115" s="113">
        <v>1.4401571339101602</v>
      </c>
    </row>
    <row r="116" spans="2:11" x14ac:dyDescent="0.3">
      <c r="B116" s="115"/>
      <c r="C116" s="112" t="s">
        <v>1500</v>
      </c>
      <c r="D116" s="1499">
        <v>3.5829657099226129</v>
      </c>
      <c r="E116" s="1499">
        <v>3.1248177198069382</v>
      </c>
      <c r="F116" s="127">
        <v>1.8347043597428092</v>
      </c>
      <c r="G116" s="1499">
        <v>1.7085529690084538</v>
      </c>
      <c r="H116" s="1499">
        <v>2.1440660003243783</v>
      </c>
      <c r="I116" s="1499">
        <v>2.5609880912599094</v>
      </c>
      <c r="J116" s="1499">
        <v>2.2778807320237258</v>
      </c>
      <c r="K116" s="113">
        <v>1.3954593027179369</v>
      </c>
    </row>
    <row r="117" spans="2:11" x14ac:dyDescent="0.3">
      <c r="B117" s="115"/>
      <c r="C117" s="112" t="s">
        <v>1504</v>
      </c>
      <c r="D117" s="1499">
        <v>3.6514771248561484</v>
      </c>
      <c r="E117" s="1499">
        <v>3.1916299778297557</v>
      </c>
      <c r="F117" s="1499">
        <v>1.9015569224504341</v>
      </c>
      <c r="G117" s="1499">
        <v>1.7752881142509482</v>
      </c>
      <c r="H117" s="1499">
        <v>2.2113958218871717</v>
      </c>
      <c r="I117" s="1499">
        <v>2.6261758682482532</v>
      </c>
      <c r="J117" s="1499">
        <v>2.3436526584654662</v>
      </c>
      <c r="K117" s="113">
        <v>1.4607760291327121</v>
      </c>
    </row>
    <row r="118" spans="2:11" x14ac:dyDescent="0.3">
      <c r="B118" s="115"/>
      <c r="C118" s="112" t="s">
        <v>1508</v>
      </c>
      <c r="D118" s="1499">
        <v>3.6268649447820498</v>
      </c>
      <c r="E118" s="1499">
        <v>3.1670177977556571</v>
      </c>
      <c r="F118" s="1499">
        <v>1.8769447423763348</v>
      </c>
      <c r="G118" s="1499">
        <v>1.750675934176849</v>
      </c>
      <c r="H118" s="1499">
        <v>2.1867836418130722</v>
      </c>
      <c r="I118" s="1499">
        <v>2.6015636881741542</v>
      </c>
      <c r="J118" s="1499">
        <v>2.3190404783913667</v>
      </c>
      <c r="K118" s="113">
        <v>1.4361638490586128</v>
      </c>
    </row>
    <row r="119" spans="2:11" x14ac:dyDescent="0.3">
      <c r="B119" s="115"/>
      <c r="C119" s="112" t="s">
        <v>1513</v>
      </c>
      <c r="D119" s="1499">
        <v>3.5899466746709012</v>
      </c>
      <c r="E119" s="1499">
        <v>3.1300995276445081</v>
      </c>
      <c r="F119" s="1499">
        <v>1.8400264722651862</v>
      </c>
      <c r="G119" s="1499">
        <v>1.7137576640657004</v>
      </c>
      <c r="H119" s="1499">
        <v>2.1498653717019236</v>
      </c>
      <c r="I119" s="1499">
        <v>2.5646454180630056</v>
      </c>
      <c r="J119" s="1499">
        <v>2.2821222082802182</v>
      </c>
      <c r="K119" s="113">
        <v>1.3992455789474643</v>
      </c>
    </row>
    <row r="120" spans="2:11" x14ac:dyDescent="0.3">
      <c r="B120" s="115"/>
      <c r="C120" s="112" t="s">
        <v>1517</v>
      </c>
      <c r="D120" s="1499">
        <v>3.5530284045597522</v>
      </c>
      <c r="E120" s="1499">
        <v>3.0931812575333595</v>
      </c>
      <c r="F120" s="1499">
        <v>1.8031082021540377</v>
      </c>
      <c r="G120" s="1499">
        <v>1.6768393939545516</v>
      </c>
      <c r="H120" s="1499">
        <v>2.112947101590775</v>
      </c>
      <c r="I120" s="1499">
        <v>2.5277271479518566</v>
      </c>
      <c r="J120" s="1499">
        <v>2.2452039381690696</v>
      </c>
      <c r="K120" s="113">
        <v>1.3623273088363155</v>
      </c>
    </row>
    <row r="121" spans="2:11" ht="14.5" thickBot="1" x14ac:dyDescent="0.35">
      <c r="B121" s="1233"/>
      <c r="C121" s="116" t="s">
        <v>1519</v>
      </c>
      <c r="D121" s="117">
        <v>3.7021599264352085</v>
      </c>
      <c r="E121" s="117">
        <v>3.2440119363195339</v>
      </c>
      <c r="F121" s="117">
        <v>1.9538985762554046</v>
      </c>
      <c r="G121" s="117">
        <v>1.8277471855210492</v>
      </c>
      <c r="H121" s="117">
        <v>2.263260216836974</v>
      </c>
      <c r="I121" s="117">
        <v>2.6801823077725047</v>
      </c>
      <c r="J121" s="117">
        <v>2.3970749485363214</v>
      </c>
      <c r="K121" s="118">
        <v>1.5146535192305324</v>
      </c>
    </row>
    <row r="122" spans="2:11" x14ac:dyDescent="0.3">
      <c r="B122" s="107" t="s">
        <v>1985</v>
      </c>
      <c r="C122" s="108" t="s">
        <v>1416</v>
      </c>
      <c r="D122" s="109">
        <v>3.3125914744407012</v>
      </c>
      <c r="E122" s="109">
        <v>2.8466922334445042</v>
      </c>
      <c r="F122" s="109">
        <v>1.5648202663872972</v>
      </c>
      <c r="G122" s="109">
        <v>1.4298183350223304</v>
      </c>
      <c r="H122" s="109">
        <v>1.8694732613771554</v>
      </c>
      <c r="I122" s="109">
        <v>2.2810810801977648</v>
      </c>
      <c r="J122" s="109">
        <v>1.9959704677720294</v>
      </c>
      <c r="K122" s="110">
        <v>1.1109311805331534</v>
      </c>
    </row>
    <row r="123" spans="2:11" x14ac:dyDescent="0.3">
      <c r="B123" s="111"/>
      <c r="C123" s="112" t="s">
        <v>1483</v>
      </c>
      <c r="D123" s="1499">
        <v>3.5644616808287677</v>
      </c>
      <c r="E123" s="1499">
        <v>3.1063136907130922</v>
      </c>
      <c r="F123" s="1499">
        <v>1.8162003306489634</v>
      </c>
      <c r="G123" s="1499">
        <v>1.6900489399146079</v>
      </c>
      <c r="H123" s="1499">
        <v>2.1255619712305327</v>
      </c>
      <c r="I123" s="1499">
        <v>2.5424840621660634</v>
      </c>
      <c r="J123" s="1499">
        <v>2.2593767029298801</v>
      </c>
      <c r="K123" s="113">
        <v>1.3769552736240911</v>
      </c>
    </row>
    <row r="124" spans="2:11" x14ac:dyDescent="0.3">
      <c r="B124" s="111" t="s">
        <v>1989</v>
      </c>
      <c r="C124" s="112" t="s">
        <v>1489</v>
      </c>
      <c r="D124" s="1499">
        <v>3.5346631267006181</v>
      </c>
      <c r="E124" s="1499">
        <v>3.0765151365849435</v>
      </c>
      <c r="F124" s="1499">
        <v>1.7864017765208147</v>
      </c>
      <c r="G124" s="1499">
        <v>1.6602503857864592</v>
      </c>
      <c r="H124" s="1499">
        <v>2.095763417102384</v>
      </c>
      <c r="I124" s="1499">
        <v>2.5126855080379147</v>
      </c>
      <c r="J124" s="1499">
        <v>2.2295781488017314</v>
      </c>
      <c r="K124" s="113">
        <v>1.3471567194959422</v>
      </c>
    </row>
    <row r="125" spans="2:11" x14ac:dyDescent="0.3">
      <c r="B125" s="114">
        <v>0</v>
      </c>
      <c r="C125" s="112" t="s">
        <v>1496</v>
      </c>
      <c r="D125" s="1499">
        <v>3.4899652955083953</v>
      </c>
      <c r="E125" s="1499">
        <v>3.0318173053927202</v>
      </c>
      <c r="F125" s="1499">
        <v>1.7417039453285912</v>
      </c>
      <c r="G125" s="1499">
        <v>1.615552554594236</v>
      </c>
      <c r="H125" s="1499">
        <v>2.0510655859101603</v>
      </c>
      <c r="I125" s="1499">
        <v>2.4679876768456914</v>
      </c>
      <c r="J125" s="1499">
        <v>2.1848803176095077</v>
      </c>
      <c r="K125" s="113">
        <v>1.3024588883037189</v>
      </c>
    </row>
    <row r="126" spans="2:11" x14ac:dyDescent="0.3">
      <c r="B126" s="115"/>
      <c r="C126" s="112" t="s">
        <v>1500</v>
      </c>
      <c r="D126" s="1499">
        <v>3.445267464316172</v>
      </c>
      <c r="E126" s="1499">
        <v>2.9871194742004974</v>
      </c>
      <c r="F126" s="1499">
        <v>1.6970061141363679</v>
      </c>
      <c r="G126" s="1499">
        <v>1.5708547234020125</v>
      </c>
      <c r="H126" s="1499">
        <v>2.0063677547179375</v>
      </c>
      <c r="I126" s="1499">
        <v>2.4232898456534682</v>
      </c>
      <c r="J126" s="1499">
        <v>2.1401824864172849</v>
      </c>
      <c r="K126" s="113">
        <v>1.2577610571114957</v>
      </c>
    </row>
    <row r="127" spans="2:11" x14ac:dyDescent="0.3">
      <c r="B127" s="115"/>
      <c r="C127" s="112" t="s">
        <v>1504</v>
      </c>
      <c r="D127" s="1499">
        <v>3.5137788792497076</v>
      </c>
      <c r="E127" s="1499">
        <v>3.0539317322233148</v>
      </c>
      <c r="F127" s="1499">
        <v>1.7638586768439928</v>
      </c>
      <c r="G127" s="1499">
        <v>1.637589868644507</v>
      </c>
      <c r="H127" s="1499">
        <v>2.0736975762807304</v>
      </c>
      <c r="I127" s="1499">
        <v>2.4884776226418119</v>
      </c>
      <c r="J127" s="1499">
        <v>2.2059544128590249</v>
      </c>
      <c r="K127" s="113">
        <v>1.3230777835262708</v>
      </c>
    </row>
    <row r="128" spans="2:11" x14ac:dyDescent="0.3">
      <c r="B128" s="115"/>
      <c r="C128" s="112" t="s">
        <v>1508</v>
      </c>
      <c r="D128" s="1499">
        <v>3.4891666991756085</v>
      </c>
      <c r="E128" s="1499">
        <v>3.0293195521492153</v>
      </c>
      <c r="F128" s="1499">
        <v>1.7392464967698937</v>
      </c>
      <c r="G128" s="1499">
        <v>1.6129776885704081</v>
      </c>
      <c r="H128" s="1499">
        <v>2.0490853962066313</v>
      </c>
      <c r="I128" s="1499">
        <v>2.4638654425677129</v>
      </c>
      <c r="J128" s="1499">
        <v>2.1813422327849259</v>
      </c>
      <c r="K128" s="113">
        <v>1.2984656034521715</v>
      </c>
    </row>
    <row r="129" spans="2:11" x14ac:dyDescent="0.3">
      <c r="B129" s="115"/>
      <c r="C129" s="112" t="s">
        <v>1513</v>
      </c>
      <c r="D129" s="1499">
        <v>3.4522484290644599</v>
      </c>
      <c r="E129" s="1499">
        <v>2.9924012820380672</v>
      </c>
      <c r="F129" s="1499">
        <v>1.7023282266587449</v>
      </c>
      <c r="G129" s="1499">
        <v>1.5760594184592591</v>
      </c>
      <c r="H129" s="1499">
        <v>2.0121671260954823</v>
      </c>
      <c r="I129" s="1499">
        <v>2.4269471724565643</v>
      </c>
      <c r="J129" s="1499">
        <v>2.1444239626737769</v>
      </c>
      <c r="K129" s="113">
        <v>1.261547333341023</v>
      </c>
    </row>
    <row r="130" spans="2:11" x14ac:dyDescent="0.3">
      <c r="B130" s="115"/>
      <c r="C130" s="112" t="s">
        <v>1517</v>
      </c>
      <c r="D130" s="1499">
        <v>3.4153301589533114</v>
      </c>
      <c r="E130" s="1499">
        <v>2.9554830119269182</v>
      </c>
      <c r="F130" s="1499">
        <v>1.6654099565475964</v>
      </c>
      <c r="G130" s="1499">
        <v>1.5391411483481106</v>
      </c>
      <c r="H130" s="1499">
        <v>1.975248855984334</v>
      </c>
      <c r="I130" s="1499">
        <v>2.3900289023454158</v>
      </c>
      <c r="J130" s="1499">
        <v>2.1075056925626283</v>
      </c>
      <c r="K130" s="113">
        <v>1.2246290632298744</v>
      </c>
    </row>
    <row r="131" spans="2:11" ht="14.5" thickBot="1" x14ac:dyDescent="0.35">
      <c r="B131" s="1233"/>
      <c r="C131" s="116" t="s">
        <v>1519</v>
      </c>
      <c r="D131" s="117">
        <v>3.5644616808287677</v>
      </c>
      <c r="E131" s="117">
        <v>3.1063136907130922</v>
      </c>
      <c r="F131" s="117">
        <v>1.8162003306489634</v>
      </c>
      <c r="G131" s="117">
        <v>1.6900489399146079</v>
      </c>
      <c r="H131" s="117">
        <v>2.1255619712305327</v>
      </c>
      <c r="I131" s="117">
        <v>2.5424840621660634</v>
      </c>
      <c r="J131" s="117">
        <v>2.2593767029298801</v>
      </c>
      <c r="K131" s="118">
        <v>1.3769552736240911</v>
      </c>
    </row>
    <row r="132" spans="2:11" x14ac:dyDescent="0.3">
      <c r="B132" s="120" t="s">
        <v>1990</v>
      </c>
      <c r="C132" s="108" t="s">
        <v>1416</v>
      </c>
      <c r="D132" s="109">
        <v>3.5187905266271118</v>
      </c>
      <c r="E132" s="109">
        <v>3.047660031661338</v>
      </c>
      <c r="F132" s="109">
        <v>1.7787636175340096</v>
      </c>
      <c r="G132" s="109">
        <v>1.63656349516297</v>
      </c>
      <c r="H132" s="109">
        <v>2.0784209603484283</v>
      </c>
      <c r="I132" s="109">
        <v>2.4836664110781621</v>
      </c>
      <c r="J132" s="109">
        <v>2.197851315580222</v>
      </c>
      <c r="K132" s="110">
        <v>1.328887835290248</v>
      </c>
    </row>
    <row r="133" spans="2:11" x14ac:dyDescent="0.3">
      <c r="B133" s="111"/>
      <c r="C133" s="112" t="s">
        <v>1483</v>
      </c>
      <c r="D133" s="1499">
        <v>3.7725228337316841</v>
      </c>
      <c r="E133" s="1499">
        <v>3.309303687396608</v>
      </c>
      <c r="F133" s="1499">
        <v>2.0310509214406247</v>
      </c>
      <c r="G133" s="1499">
        <v>1.9009324646979417</v>
      </c>
      <c r="H133" s="1499">
        <v>2.3337762540784404</v>
      </c>
      <c r="I133" s="1499">
        <v>2.7464393770052284</v>
      </c>
      <c r="J133" s="1499">
        <v>2.464314303463583</v>
      </c>
      <c r="K133" s="113">
        <v>1.5865590955690898</v>
      </c>
    </row>
    <row r="134" spans="2:11" x14ac:dyDescent="0.3">
      <c r="B134" s="111" t="s">
        <v>1986</v>
      </c>
      <c r="C134" s="112" t="s">
        <v>1489</v>
      </c>
      <c r="D134" s="1499">
        <v>3.7427242796035354</v>
      </c>
      <c r="E134" s="1499">
        <v>3.2795051332684593</v>
      </c>
      <c r="F134" s="1499">
        <v>2.001252367312476</v>
      </c>
      <c r="G134" s="1499">
        <v>1.8711339105697931</v>
      </c>
      <c r="H134" s="1499">
        <v>2.3039776999502917</v>
      </c>
      <c r="I134" s="1499">
        <v>2.7166408228770798</v>
      </c>
      <c r="J134" s="1499">
        <v>2.4345157493354344</v>
      </c>
      <c r="K134" s="113">
        <v>1.5567605414409411</v>
      </c>
    </row>
    <row r="135" spans="2:11" x14ac:dyDescent="0.3">
      <c r="B135" s="114">
        <v>0</v>
      </c>
      <c r="C135" s="112" t="s">
        <v>1496</v>
      </c>
      <c r="D135" s="1499">
        <v>3.6980264484113121</v>
      </c>
      <c r="E135" s="1499">
        <v>3.234807302076236</v>
      </c>
      <c r="F135" s="1499">
        <v>1.9565545361202525</v>
      </c>
      <c r="G135" s="1499">
        <v>1.8264360793775696</v>
      </c>
      <c r="H135" s="1499">
        <v>2.259279868758068</v>
      </c>
      <c r="I135" s="1499">
        <v>2.6719429916848561</v>
      </c>
      <c r="J135" s="1499">
        <v>2.3898179181432111</v>
      </c>
      <c r="K135" s="113">
        <v>1.5120627102487179</v>
      </c>
    </row>
    <row r="136" spans="2:11" x14ac:dyDescent="0.3">
      <c r="B136" s="115"/>
      <c r="C136" s="112" t="s">
        <v>1500</v>
      </c>
      <c r="D136" s="1499">
        <v>3.6533286172190884</v>
      </c>
      <c r="E136" s="1499">
        <v>3.1901094708840123</v>
      </c>
      <c r="F136" s="1499">
        <v>1.9118567049280295</v>
      </c>
      <c r="G136" s="1499">
        <v>1.7817382481853465</v>
      </c>
      <c r="H136" s="1499">
        <v>2.2145820375658452</v>
      </c>
      <c r="I136" s="1499">
        <v>2.6272451604926332</v>
      </c>
      <c r="J136" s="1499">
        <v>2.3451200869509878</v>
      </c>
      <c r="K136" s="113">
        <v>1.4673648790564946</v>
      </c>
    </row>
    <row r="137" spans="2:11" x14ac:dyDescent="0.3">
      <c r="B137" s="115"/>
      <c r="C137" s="112" t="s">
        <v>1504</v>
      </c>
      <c r="D137" s="1499">
        <v>3.7214328233939131</v>
      </c>
      <c r="E137" s="1499">
        <v>3.2563651045819948</v>
      </c>
      <c r="F137" s="1499">
        <v>1.980390840419217</v>
      </c>
      <c r="G137" s="1499">
        <v>1.8475766520498478</v>
      </c>
      <c r="H137" s="1499">
        <v>2.2813909475738652</v>
      </c>
      <c r="I137" s="1499">
        <v>2.6931152775747695</v>
      </c>
      <c r="J137" s="1499">
        <v>2.4102903943201563</v>
      </c>
      <c r="K137" s="113">
        <v>1.5317600591540195</v>
      </c>
    </row>
    <row r="138" spans="2:11" x14ac:dyDescent="0.3">
      <c r="B138" s="115"/>
      <c r="C138" s="112" t="s">
        <v>1508</v>
      </c>
      <c r="D138" s="1499">
        <v>3.6968206433198141</v>
      </c>
      <c r="E138" s="1499">
        <v>3.2317529245078953</v>
      </c>
      <c r="F138" s="1499">
        <v>1.9557786603451179</v>
      </c>
      <c r="G138" s="1499">
        <v>1.8229644719757487</v>
      </c>
      <c r="H138" s="1499">
        <v>2.2567787674997666</v>
      </c>
      <c r="I138" s="1499">
        <v>2.6685030975006705</v>
      </c>
      <c r="J138" s="1499">
        <v>2.3856782142460573</v>
      </c>
      <c r="K138" s="113">
        <v>1.5071478790799206</v>
      </c>
    </row>
    <row r="139" spans="2:11" x14ac:dyDescent="0.3">
      <c r="B139" s="115"/>
      <c r="C139" s="112" t="s">
        <v>1513</v>
      </c>
      <c r="D139" s="1499">
        <v>3.6599023732086651</v>
      </c>
      <c r="E139" s="1499">
        <v>3.1948346543967467</v>
      </c>
      <c r="F139" s="1499">
        <v>1.9188603902339691</v>
      </c>
      <c r="G139" s="1499">
        <v>1.7860462018645999</v>
      </c>
      <c r="H139" s="1499">
        <v>2.2198604973886176</v>
      </c>
      <c r="I139" s="1499">
        <v>2.6315848273895215</v>
      </c>
      <c r="J139" s="1499">
        <v>2.3487599441349087</v>
      </c>
      <c r="K139" s="113">
        <v>1.4702296089687716</v>
      </c>
    </row>
    <row r="140" spans="2:11" x14ac:dyDescent="0.3">
      <c r="B140" s="115"/>
      <c r="C140" s="112" t="s">
        <v>1517</v>
      </c>
      <c r="D140" s="1499">
        <v>3.622984103097517</v>
      </c>
      <c r="E140" s="1499">
        <v>3.1579163842855982</v>
      </c>
      <c r="F140" s="1499">
        <v>1.8819421201228206</v>
      </c>
      <c r="G140" s="1499">
        <v>1.7491279317534514</v>
      </c>
      <c r="H140" s="1499">
        <v>2.182942227277469</v>
      </c>
      <c r="I140" s="1499">
        <v>2.5946665572783734</v>
      </c>
      <c r="J140" s="1499">
        <v>2.3118416740237602</v>
      </c>
      <c r="K140" s="113">
        <v>1.4333113388576233</v>
      </c>
    </row>
    <row r="141" spans="2:11" ht="14.5" thickBot="1" x14ac:dyDescent="0.35">
      <c r="B141" s="1233"/>
      <c r="C141" s="116" t="s">
        <v>1519</v>
      </c>
      <c r="D141" s="117">
        <v>3.7725228337316841</v>
      </c>
      <c r="E141" s="117">
        <v>3.309303687396608</v>
      </c>
      <c r="F141" s="117">
        <v>2.0310509214406247</v>
      </c>
      <c r="G141" s="117">
        <v>1.9009324646979417</v>
      </c>
      <c r="H141" s="117">
        <v>2.3337762540784404</v>
      </c>
      <c r="I141" s="117">
        <v>2.7464393770052284</v>
      </c>
      <c r="J141" s="117">
        <v>2.464314303463583</v>
      </c>
      <c r="K141" s="118">
        <v>1.5865590955690898</v>
      </c>
    </row>
    <row r="142" spans="2:11" x14ac:dyDescent="0.3">
      <c r="B142" s="120" t="s">
        <v>1990</v>
      </c>
      <c r="C142" s="108" t="s">
        <v>1416</v>
      </c>
      <c r="D142" s="109">
        <v>3.4414881733083953</v>
      </c>
      <c r="E142" s="109">
        <v>2.9703576783426215</v>
      </c>
      <c r="F142" s="109">
        <v>1.7014612642152931</v>
      </c>
      <c r="G142" s="109">
        <v>1.5592611418442535</v>
      </c>
      <c r="H142" s="109">
        <v>2.0011186070297118</v>
      </c>
      <c r="I142" s="109">
        <v>2.4063640577594452</v>
      </c>
      <c r="J142" s="109">
        <v>2.120548962261505</v>
      </c>
      <c r="K142" s="110">
        <v>1.2515854819715315</v>
      </c>
    </row>
    <row r="143" spans="2:11" x14ac:dyDescent="0.3">
      <c r="B143" s="111"/>
      <c r="C143" s="112" t="s">
        <v>1483</v>
      </c>
      <c r="D143" s="1499">
        <v>3.6952204804129676</v>
      </c>
      <c r="E143" s="1499">
        <v>3.2320013340778915</v>
      </c>
      <c r="F143" s="1499">
        <v>1.953748568121908</v>
      </c>
      <c r="G143" s="1499">
        <v>1.823630111379225</v>
      </c>
      <c r="H143" s="1499">
        <v>2.2564739007597239</v>
      </c>
      <c r="I143" s="1499">
        <v>2.669137023686512</v>
      </c>
      <c r="J143" s="1499">
        <v>2.3870119501448666</v>
      </c>
      <c r="K143" s="113">
        <v>1.5092567422503733</v>
      </c>
    </row>
    <row r="144" spans="2:11" x14ac:dyDescent="0.3">
      <c r="B144" s="111" t="s">
        <v>1987</v>
      </c>
      <c r="C144" s="112" t="s">
        <v>1489</v>
      </c>
      <c r="D144" s="1499">
        <v>3.6654219262848189</v>
      </c>
      <c r="E144" s="1499">
        <v>3.2022027799497428</v>
      </c>
      <c r="F144" s="1499">
        <v>1.9239500139937593</v>
      </c>
      <c r="G144" s="1499">
        <v>1.7938315572510763</v>
      </c>
      <c r="H144" s="1499">
        <v>2.2266753466315752</v>
      </c>
      <c r="I144" s="1499">
        <v>2.6393384695583633</v>
      </c>
      <c r="J144" s="1499">
        <v>2.3572133960167179</v>
      </c>
      <c r="K144" s="113">
        <v>1.4794581881222246</v>
      </c>
    </row>
    <row r="145" spans="2:11" x14ac:dyDescent="0.3">
      <c r="B145" s="114">
        <v>0</v>
      </c>
      <c r="C145" s="112" t="s">
        <v>1496</v>
      </c>
      <c r="D145" s="1499">
        <v>3.6207240950925956</v>
      </c>
      <c r="E145" s="1499">
        <v>3.1575049487575195</v>
      </c>
      <c r="F145" s="1499">
        <v>1.8792521828015358</v>
      </c>
      <c r="G145" s="1499">
        <v>1.7491337260588531</v>
      </c>
      <c r="H145" s="1499">
        <v>2.1819775154393515</v>
      </c>
      <c r="I145" s="1499">
        <v>2.5946406383661396</v>
      </c>
      <c r="J145" s="1499">
        <v>2.3125155648244942</v>
      </c>
      <c r="K145" s="113">
        <v>1.4347603569300011</v>
      </c>
    </row>
    <row r="146" spans="2:11" x14ac:dyDescent="0.3">
      <c r="B146" s="115"/>
      <c r="C146" s="112" t="s">
        <v>1500</v>
      </c>
      <c r="D146" s="1499">
        <v>3.5760262639003719</v>
      </c>
      <c r="E146" s="1499">
        <v>3.1128071175652958</v>
      </c>
      <c r="F146" s="1499">
        <v>1.8345543516093128</v>
      </c>
      <c r="G146" s="1499">
        <v>1.7044358948666298</v>
      </c>
      <c r="H146" s="1499">
        <v>2.1372796842471287</v>
      </c>
      <c r="I146" s="1499">
        <v>2.5499428071739167</v>
      </c>
      <c r="J146" s="1499">
        <v>2.2678177336322713</v>
      </c>
      <c r="K146" s="113">
        <v>1.3900625257377781</v>
      </c>
    </row>
    <row r="147" spans="2:11" x14ac:dyDescent="0.3">
      <c r="B147" s="115"/>
      <c r="C147" s="112" t="s">
        <v>1504</v>
      </c>
      <c r="D147" s="1499">
        <v>3.6441304700751966</v>
      </c>
      <c r="E147" s="1499">
        <v>3.1790627512632783</v>
      </c>
      <c r="F147" s="1499">
        <v>1.9030884871005007</v>
      </c>
      <c r="G147" s="1499">
        <v>1.7702742987311315</v>
      </c>
      <c r="H147" s="1499">
        <v>2.2040885942551491</v>
      </c>
      <c r="I147" s="1499">
        <v>2.6158129242560531</v>
      </c>
      <c r="J147" s="1499">
        <v>2.3329880410014403</v>
      </c>
      <c r="K147" s="113">
        <v>1.4544577058353032</v>
      </c>
    </row>
    <row r="148" spans="2:11" x14ac:dyDescent="0.3">
      <c r="B148" s="115"/>
      <c r="C148" s="112" t="s">
        <v>1508</v>
      </c>
      <c r="D148" s="1499">
        <v>3.6195182900010976</v>
      </c>
      <c r="E148" s="1499">
        <v>3.1544505711891788</v>
      </c>
      <c r="F148" s="1499">
        <v>1.8784763070264014</v>
      </c>
      <c r="G148" s="1499">
        <v>1.7456621186570322</v>
      </c>
      <c r="H148" s="1499">
        <v>2.1794764141810496</v>
      </c>
      <c r="I148" s="1499">
        <v>2.591200744181954</v>
      </c>
      <c r="J148" s="1499">
        <v>2.3083758609273408</v>
      </c>
      <c r="K148" s="113">
        <v>1.4298455257612039</v>
      </c>
    </row>
    <row r="149" spans="2:11" x14ac:dyDescent="0.3">
      <c r="B149" s="115"/>
      <c r="C149" s="112" t="s">
        <v>1513</v>
      </c>
      <c r="D149" s="1499">
        <v>3.5826000198899486</v>
      </c>
      <c r="E149" s="1499">
        <v>3.1175323010780298</v>
      </c>
      <c r="F149" s="1499">
        <v>1.8415580369152529</v>
      </c>
      <c r="G149" s="1499">
        <v>1.7087438485458837</v>
      </c>
      <c r="H149" s="1499">
        <v>2.1425581440699011</v>
      </c>
      <c r="I149" s="1499">
        <v>2.5542824740708054</v>
      </c>
      <c r="J149" s="1499">
        <v>2.2714575908161923</v>
      </c>
      <c r="K149" s="113">
        <v>1.3929272556500554</v>
      </c>
    </row>
    <row r="150" spans="2:11" x14ac:dyDescent="0.3">
      <c r="B150" s="115"/>
      <c r="C150" s="112" t="s">
        <v>1517</v>
      </c>
      <c r="D150" s="1499">
        <v>3.5456817497788005</v>
      </c>
      <c r="E150" s="1499">
        <v>3.0806140309668817</v>
      </c>
      <c r="F150" s="1499">
        <v>1.8046397668041041</v>
      </c>
      <c r="G150" s="1499">
        <v>1.6718255784347347</v>
      </c>
      <c r="H150" s="1499">
        <v>2.1056398739587525</v>
      </c>
      <c r="I150" s="1499">
        <v>2.5173642039596564</v>
      </c>
      <c r="J150" s="1499">
        <v>2.2345393207050437</v>
      </c>
      <c r="K150" s="113">
        <v>1.3560089855389066</v>
      </c>
    </row>
    <row r="151" spans="2:11" ht="14.5" thickBot="1" x14ac:dyDescent="0.35">
      <c r="B151" s="1233"/>
      <c r="C151" s="116" t="s">
        <v>1519</v>
      </c>
      <c r="D151" s="117">
        <v>3.6952204804129676</v>
      </c>
      <c r="E151" s="117">
        <v>3.2320013340778915</v>
      </c>
      <c r="F151" s="117">
        <v>1.953748568121908</v>
      </c>
      <c r="G151" s="117">
        <v>1.823630111379225</v>
      </c>
      <c r="H151" s="117">
        <v>2.2564739007597239</v>
      </c>
      <c r="I151" s="117">
        <v>2.669137023686512</v>
      </c>
      <c r="J151" s="117">
        <v>2.3870119501448666</v>
      </c>
      <c r="K151" s="118">
        <v>1.5092567422503733</v>
      </c>
    </row>
    <row r="152" spans="2:11" x14ac:dyDescent="0.3">
      <c r="B152" s="120" t="s">
        <v>1990</v>
      </c>
      <c r="C152" s="108" t="s">
        <v>1416</v>
      </c>
      <c r="D152" s="109">
        <v>3.3255346433303203</v>
      </c>
      <c r="E152" s="109">
        <v>2.8544041483645466</v>
      </c>
      <c r="F152" s="109">
        <v>1.5855077342372181</v>
      </c>
      <c r="G152" s="109">
        <v>1.4433076118661785</v>
      </c>
      <c r="H152" s="109">
        <v>1.8851650770516368</v>
      </c>
      <c r="I152" s="109">
        <v>2.2904105277813702</v>
      </c>
      <c r="J152" s="109">
        <v>2.0045954322834305</v>
      </c>
      <c r="K152" s="110">
        <v>1.1356319519934568</v>
      </c>
    </row>
    <row r="153" spans="2:11" x14ac:dyDescent="0.3">
      <c r="B153" s="111"/>
      <c r="C153" s="112" t="s">
        <v>1483</v>
      </c>
      <c r="D153" s="1499">
        <v>3.5792669504348926</v>
      </c>
      <c r="E153" s="1499">
        <v>3.1160478040998165</v>
      </c>
      <c r="F153" s="1499">
        <v>1.8377950381438335</v>
      </c>
      <c r="G153" s="1499">
        <v>1.7076765814011505</v>
      </c>
      <c r="H153" s="1499">
        <v>2.1405203707816489</v>
      </c>
      <c r="I153" s="1499">
        <v>2.553183493708437</v>
      </c>
      <c r="J153" s="1499">
        <v>2.271058420166792</v>
      </c>
      <c r="K153" s="113">
        <v>1.3933032122722986</v>
      </c>
    </row>
    <row r="154" spans="2:11" x14ac:dyDescent="0.3">
      <c r="B154" s="111" t="s">
        <v>1988</v>
      </c>
      <c r="C154" s="112" t="s">
        <v>1489</v>
      </c>
      <c r="D154" s="1499">
        <v>3.5494683963067439</v>
      </c>
      <c r="E154" s="1499">
        <v>3.0862492499716678</v>
      </c>
      <c r="F154" s="1499">
        <v>1.8079964840156844</v>
      </c>
      <c r="G154" s="1499">
        <v>1.6778780272730016</v>
      </c>
      <c r="H154" s="1499">
        <v>2.1107218166535002</v>
      </c>
      <c r="I154" s="1499">
        <v>2.5233849395802883</v>
      </c>
      <c r="J154" s="1499">
        <v>2.2412598660386429</v>
      </c>
      <c r="K154" s="113">
        <v>1.3635046581441497</v>
      </c>
    </row>
    <row r="155" spans="2:11" x14ac:dyDescent="0.3">
      <c r="B155" s="114">
        <v>0</v>
      </c>
      <c r="C155" s="112" t="s">
        <v>1496</v>
      </c>
      <c r="D155" s="1499">
        <v>3.5047705651145207</v>
      </c>
      <c r="E155" s="1499">
        <v>3.0415514187794446</v>
      </c>
      <c r="F155" s="1499">
        <v>1.7632986528234613</v>
      </c>
      <c r="G155" s="1499">
        <v>1.6331801960807784</v>
      </c>
      <c r="H155" s="1499">
        <v>2.066023985461277</v>
      </c>
      <c r="I155" s="1499">
        <v>2.4786871083880651</v>
      </c>
      <c r="J155" s="1499">
        <v>2.1965620348464197</v>
      </c>
      <c r="K155" s="113">
        <v>1.3188068269519264</v>
      </c>
    </row>
    <row r="156" spans="2:11" x14ac:dyDescent="0.3">
      <c r="B156" s="115"/>
      <c r="C156" s="112" t="s">
        <v>1500</v>
      </c>
      <c r="D156" s="1499">
        <v>3.460072733922297</v>
      </c>
      <c r="E156" s="1499">
        <v>2.9968535875872209</v>
      </c>
      <c r="F156" s="1499">
        <v>1.7186008216312381</v>
      </c>
      <c r="G156" s="1499">
        <v>1.5884823648885551</v>
      </c>
      <c r="H156" s="1499">
        <v>2.0213261542690537</v>
      </c>
      <c r="I156" s="1499">
        <v>2.4339892771958418</v>
      </c>
      <c r="J156" s="1499">
        <v>2.1518642036541964</v>
      </c>
      <c r="K156" s="113">
        <v>1.2741089957597032</v>
      </c>
    </row>
    <row r="157" spans="2:11" x14ac:dyDescent="0.3">
      <c r="B157" s="115"/>
      <c r="C157" s="112" t="s">
        <v>1504</v>
      </c>
      <c r="D157" s="1499">
        <v>3.5281769400971217</v>
      </c>
      <c r="E157" s="1499">
        <v>3.0631092212852034</v>
      </c>
      <c r="F157" s="1499">
        <v>1.7871349571224258</v>
      </c>
      <c r="G157" s="1499">
        <v>1.6543207687530566</v>
      </c>
      <c r="H157" s="1499">
        <v>2.0881350642770742</v>
      </c>
      <c r="I157" s="1499">
        <v>2.4998593942779785</v>
      </c>
      <c r="J157" s="1499">
        <v>2.2170345110233654</v>
      </c>
      <c r="K157" s="113">
        <v>1.3385041758572285</v>
      </c>
    </row>
    <row r="158" spans="2:11" x14ac:dyDescent="0.3">
      <c r="B158" s="115"/>
      <c r="C158" s="112" t="s">
        <v>1508</v>
      </c>
      <c r="D158" s="1499">
        <v>3.5035647600230226</v>
      </c>
      <c r="E158" s="1499">
        <v>3.0384970412111039</v>
      </c>
      <c r="F158" s="1499">
        <v>1.7625227770483265</v>
      </c>
      <c r="G158" s="1499">
        <v>1.6297085886789573</v>
      </c>
      <c r="H158" s="1499">
        <v>2.0635228842029747</v>
      </c>
      <c r="I158" s="1499">
        <v>2.4752472142038791</v>
      </c>
      <c r="J158" s="1499">
        <v>2.1924223309492659</v>
      </c>
      <c r="K158" s="113">
        <v>1.3138919957831292</v>
      </c>
    </row>
    <row r="159" spans="2:11" x14ac:dyDescent="0.3">
      <c r="B159" s="115"/>
      <c r="C159" s="112" t="s">
        <v>1513</v>
      </c>
      <c r="D159" s="1499">
        <v>3.4666464899118736</v>
      </c>
      <c r="E159" s="1499">
        <v>3.0015787710999553</v>
      </c>
      <c r="F159" s="1499">
        <v>1.7256045069371779</v>
      </c>
      <c r="G159" s="1499">
        <v>1.5927903185678087</v>
      </c>
      <c r="H159" s="1499">
        <v>2.0266046140918266</v>
      </c>
      <c r="I159" s="1499">
        <v>2.4383289440927305</v>
      </c>
      <c r="J159" s="1499">
        <v>2.1555040608381173</v>
      </c>
      <c r="K159" s="113">
        <v>1.2769737256719806</v>
      </c>
    </row>
    <row r="160" spans="2:11" x14ac:dyDescent="0.3">
      <c r="B160" s="115"/>
      <c r="C160" s="112" t="s">
        <v>1517</v>
      </c>
      <c r="D160" s="1499">
        <v>3.4297282198007255</v>
      </c>
      <c r="E160" s="1499">
        <v>2.9646605009888067</v>
      </c>
      <c r="F160" s="1499">
        <v>1.6886862368260291</v>
      </c>
      <c r="G160" s="1499">
        <v>1.5558720484566602</v>
      </c>
      <c r="H160" s="1499">
        <v>1.9896863439806778</v>
      </c>
      <c r="I160" s="1499">
        <v>2.4014106739815819</v>
      </c>
      <c r="J160" s="1499">
        <v>2.1185857907269687</v>
      </c>
      <c r="K160" s="113">
        <v>1.2400554555608319</v>
      </c>
    </row>
    <row r="161" spans="2:11" ht="14.5" thickBot="1" x14ac:dyDescent="0.35">
      <c r="B161" s="1233"/>
      <c r="C161" s="116" t="s">
        <v>1519</v>
      </c>
      <c r="D161" s="117">
        <v>3.5792669504348926</v>
      </c>
      <c r="E161" s="117">
        <v>3.1160478040998165</v>
      </c>
      <c r="F161" s="117">
        <v>1.8377950381438335</v>
      </c>
      <c r="G161" s="117">
        <v>1.7076765814011505</v>
      </c>
      <c r="H161" s="117">
        <v>2.1405203707816489</v>
      </c>
      <c r="I161" s="117">
        <v>2.553183493708437</v>
      </c>
      <c r="J161" s="117">
        <v>2.271058420166792</v>
      </c>
      <c r="K161" s="118">
        <v>1.3933032122722986</v>
      </c>
    </row>
    <row r="162" spans="2:11" x14ac:dyDescent="0.3">
      <c r="B162" s="120" t="s">
        <v>1990</v>
      </c>
      <c r="C162" s="108" t="s">
        <v>1416</v>
      </c>
      <c r="D162" s="109">
        <v>3.2095811133522454</v>
      </c>
      <c r="E162" s="109">
        <v>2.7384506183864716</v>
      </c>
      <c r="F162" s="109">
        <v>1.4695542042591432</v>
      </c>
      <c r="G162" s="109">
        <v>1.3273540818881038</v>
      </c>
      <c r="H162" s="109">
        <v>1.7692115470735621</v>
      </c>
      <c r="I162" s="109">
        <v>2.1744569978032957</v>
      </c>
      <c r="J162" s="109">
        <v>1.8886419023053556</v>
      </c>
      <c r="K162" s="110">
        <v>1.0196784220153818</v>
      </c>
    </row>
    <row r="163" spans="2:11" x14ac:dyDescent="0.3">
      <c r="B163" s="111"/>
      <c r="C163" s="112" t="s">
        <v>1483</v>
      </c>
      <c r="D163" s="1499">
        <v>3.4633134204568177</v>
      </c>
      <c r="E163" s="1499">
        <v>3.0000942741217416</v>
      </c>
      <c r="F163" s="1499">
        <v>1.7218415081657585</v>
      </c>
      <c r="G163" s="1499">
        <v>1.5917230514230756</v>
      </c>
      <c r="H163" s="1499">
        <v>2.0245668408035744</v>
      </c>
      <c r="I163" s="1499">
        <v>2.4372299637303625</v>
      </c>
      <c r="J163" s="1499">
        <v>2.1551048901887171</v>
      </c>
      <c r="K163" s="113">
        <v>1.2773496822942239</v>
      </c>
    </row>
    <row r="164" spans="2:11" x14ac:dyDescent="0.3">
      <c r="B164" s="111" t="s">
        <v>1989</v>
      </c>
      <c r="C164" s="112" t="s">
        <v>1489</v>
      </c>
      <c r="D164" s="1499">
        <v>3.433514866328669</v>
      </c>
      <c r="E164" s="1499">
        <v>2.9702957199935929</v>
      </c>
      <c r="F164" s="1499">
        <v>1.6920429540376098</v>
      </c>
      <c r="G164" s="1499">
        <v>1.5619244972949269</v>
      </c>
      <c r="H164" s="1499">
        <v>1.9947682866754253</v>
      </c>
      <c r="I164" s="1499">
        <v>2.4074314096022134</v>
      </c>
      <c r="J164" s="1499">
        <v>2.125306336060568</v>
      </c>
      <c r="K164" s="113">
        <v>1.2475511281660749</v>
      </c>
    </row>
    <row r="165" spans="2:11" x14ac:dyDescent="0.3">
      <c r="B165" s="114">
        <v>0</v>
      </c>
      <c r="C165" s="112" t="s">
        <v>1496</v>
      </c>
      <c r="D165" s="1499">
        <v>3.3888170351364462</v>
      </c>
      <c r="E165" s="1499">
        <v>2.9255978888013696</v>
      </c>
      <c r="F165" s="1499">
        <v>1.6473451228453866</v>
      </c>
      <c r="G165" s="1499">
        <v>1.5172266661027036</v>
      </c>
      <c r="H165" s="1499">
        <v>1.9500704554832022</v>
      </c>
      <c r="I165" s="1499">
        <v>2.3627335784099901</v>
      </c>
      <c r="J165" s="1499">
        <v>2.0806085048683451</v>
      </c>
      <c r="K165" s="113">
        <v>1.2028532969738517</v>
      </c>
    </row>
    <row r="166" spans="2:11" x14ac:dyDescent="0.3">
      <c r="B166" s="115"/>
      <c r="C166" s="112" t="s">
        <v>1500</v>
      </c>
      <c r="D166" s="1499">
        <v>3.3441192039442229</v>
      </c>
      <c r="E166" s="1499">
        <v>2.8809000576091468</v>
      </c>
      <c r="F166" s="1499">
        <v>1.6026472916531631</v>
      </c>
      <c r="G166" s="1499">
        <v>1.4725288349104801</v>
      </c>
      <c r="H166" s="1499">
        <v>1.9053726242909788</v>
      </c>
      <c r="I166" s="1499">
        <v>2.3180357472177668</v>
      </c>
      <c r="J166" s="1499">
        <v>2.0359106736761214</v>
      </c>
      <c r="K166" s="113">
        <v>1.1581554657816284</v>
      </c>
    </row>
    <row r="167" spans="2:11" x14ac:dyDescent="0.3">
      <c r="B167" s="115"/>
      <c r="C167" s="112" t="s">
        <v>1504</v>
      </c>
      <c r="D167" s="1499">
        <v>3.4122234101190472</v>
      </c>
      <c r="E167" s="1499">
        <v>2.9471556913071284</v>
      </c>
      <c r="F167" s="1499">
        <v>1.671181427144351</v>
      </c>
      <c r="G167" s="1499">
        <v>1.5383672387749816</v>
      </c>
      <c r="H167" s="1499">
        <v>1.9721815342989992</v>
      </c>
      <c r="I167" s="1499">
        <v>2.3839058642999036</v>
      </c>
      <c r="J167" s="1499">
        <v>2.1010809810452904</v>
      </c>
      <c r="K167" s="113">
        <v>1.2225506458791535</v>
      </c>
    </row>
    <row r="168" spans="2:11" x14ac:dyDescent="0.3">
      <c r="B168" s="115"/>
      <c r="C168" s="112" t="s">
        <v>1508</v>
      </c>
      <c r="D168" s="1499">
        <v>3.3876112300449477</v>
      </c>
      <c r="E168" s="1499">
        <v>2.9225435112330294</v>
      </c>
      <c r="F168" s="1499">
        <v>1.646569247070252</v>
      </c>
      <c r="G168" s="1499">
        <v>1.5137550587008823</v>
      </c>
      <c r="H168" s="1499">
        <v>1.9475693542249</v>
      </c>
      <c r="I168" s="1499">
        <v>2.3592936842258041</v>
      </c>
      <c r="J168" s="1499">
        <v>2.0764688009711914</v>
      </c>
      <c r="K168" s="113">
        <v>1.1979384658050545</v>
      </c>
    </row>
    <row r="169" spans="2:11" x14ac:dyDescent="0.3">
      <c r="B169" s="115"/>
      <c r="C169" s="112" t="s">
        <v>1513</v>
      </c>
      <c r="D169" s="1499">
        <v>3.3506929599337996</v>
      </c>
      <c r="E169" s="1499">
        <v>2.8856252411218808</v>
      </c>
      <c r="F169" s="1499">
        <v>1.6096509769591032</v>
      </c>
      <c r="G169" s="1499">
        <v>1.476836788589734</v>
      </c>
      <c r="H169" s="1499">
        <v>1.9106510841137514</v>
      </c>
      <c r="I169" s="1499">
        <v>2.3223754141146555</v>
      </c>
      <c r="J169" s="1499">
        <v>2.0395505308600428</v>
      </c>
      <c r="K169" s="113">
        <v>1.1610201956939057</v>
      </c>
    </row>
    <row r="170" spans="2:11" x14ac:dyDescent="0.3">
      <c r="B170" s="115"/>
      <c r="C170" s="112" t="s">
        <v>1517</v>
      </c>
      <c r="D170" s="1499">
        <v>3.3137746898226506</v>
      </c>
      <c r="E170" s="1499">
        <v>2.8487069710107322</v>
      </c>
      <c r="F170" s="1499">
        <v>1.5727327068479546</v>
      </c>
      <c r="G170" s="1499">
        <v>1.4399185184785854</v>
      </c>
      <c r="H170" s="1499">
        <v>1.8737328140026031</v>
      </c>
      <c r="I170" s="1499">
        <v>2.285457144003507</v>
      </c>
      <c r="J170" s="1499">
        <v>2.0026322607488942</v>
      </c>
      <c r="K170" s="113">
        <v>1.1241019255827571</v>
      </c>
    </row>
    <row r="171" spans="2:11" ht="14.5" thickBot="1" x14ac:dyDescent="0.35">
      <c r="B171" s="1233"/>
      <c r="C171" s="116" t="s">
        <v>1519</v>
      </c>
      <c r="D171" s="117">
        <v>3.4633134204568177</v>
      </c>
      <c r="E171" s="117">
        <v>3.0000942741217416</v>
      </c>
      <c r="F171" s="117">
        <v>1.7218415081657585</v>
      </c>
      <c r="G171" s="117">
        <v>1.5917230514230756</v>
      </c>
      <c r="H171" s="117">
        <v>2.0245668408035744</v>
      </c>
      <c r="I171" s="117">
        <v>2.4372299637303625</v>
      </c>
      <c r="J171" s="117">
        <v>2.1551048901887171</v>
      </c>
      <c r="K171" s="118">
        <v>1.2773496822942239</v>
      </c>
    </row>
    <row r="173" spans="2:11" ht="14.5" thickBot="1" x14ac:dyDescent="0.35"/>
    <row r="174" spans="2:11" ht="25.5" thickBot="1" x14ac:dyDescent="0.55000000000000004">
      <c r="B174" s="88" t="s">
        <v>1960</v>
      </c>
      <c r="C174" s="89"/>
      <c r="D174" s="90">
        <v>6</v>
      </c>
      <c r="E174" s="91" t="s">
        <v>1991</v>
      </c>
      <c r="F174" s="92"/>
      <c r="G174" s="92"/>
      <c r="H174" s="92"/>
      <c r="I174" s="93"/>
      <c r="J174" s="89" t="s">
        <v>176</v>
      </c>
      <c r="K174" s="94" t="s">
        <v>241</v>
      </c>
    </row>
    <row r="175" spans="2:11" ht="14.5" thickBot="1" x14ac:dyDescent="0.35">
      <c r="B175" s="95" t="s">
        <v>1962</v>
      </c>
      <c r="C175" s="96" t="s">
        <v>1963</v>
      </c>
      <c r="D175" s="95" t="s">
        <v>1964</v>
      </c>
      <c r="E175" s="97" t="s">
        <v>1965</v>
      </c>
      <c r="F175" s="97" t="s">
        <v>1966</v>
      </c>
      <c r="G175" s="97" t="s">
        <v>1967</v>
      </c>
      <c r="H175" s="97" t="s">
        <v>1968</v>
      </c>
      <c r="I175" s="97" t="s">
        <v>1969</v>
      </c>
      <c r="J175" s="97" t="s">
        <v>1970</v>
      </c>
      <c r="K175" s="98" t="s">
        <v>1971</v>
      </c>
    </row>
    <row r="176" spans="2:11" ht="14.5" thickBot="1" x14ac:dyDescent="0.35">
      <c r="B176" s="99"/>
      <c r="C176" s="99"/>
      <c r="D176" s="100"/>
      <c r="E176" s="944"/>
      <c r="F176" s="944"/>
      <c r="G176" s="944"/>
      <c r="H176" s="944"/>
      <c r="I176" s="944"/>
      <c r="J176" s="944"/>
      <c r="K176" s="102"/>
    </row>
    <row r="177" spans="2:11" ht="90.5" thickBot="1" x14ac:dyDescent="0.45">
      <c r="B177" s="103" t="s">
        <v>1972</v>
      </c>
      <c r="C177" s="103" t="s">
        <v>1973</v>
      </c>
      <c r="D177" s="105" t="s">
        <v>1974</v>
      </c>
      <c r="E177" s="105" t="s">
        <v>1525</v>
      </c>
      <c r="F177" s="105" t="s">
        <v>1527</v>
      </c>
      <c r="G177" s="105" t="s">
        <v>1975</v>
      </c>
      <c r="H177" s="105" t="s">
        <v>1976</v>
      </c>
      <c r="I177" s="105" t="s">
        <v>1445</v>
      </c>
      <c r="J177" s="105" t="s">
        <v>1538</v>
      </c>
      <c r="K177" s="106" t="s">
        <v>1541</v>
      </c>
    </row>
    <row r="178" spans="2:11" x14ac:dyDescent="0.3">
      <c r="B178" s="120" t="s">
        <v>1992</v>
      </c>
      <c r="C178" s="108" t="s">
        <v>1416</v>
      </c>
      <c r="D178" s="109">
        <v>5.755044891545964</v>
      </c>
      <c r="E178" s="109">
        <v>5.3718977022552776</v>
      </c>
      <c r="F178" s="109">
        <v>3.9923431855640019</v>
      </c>
      <c r="G178" s="109">
        <v>3.9055819835910159</v>
      </c>
      <c r="H178" s="109">
        <v>4.3310315707481255</v>
      </c>
      <c r="I178" s="109">
        <v>4.8004510965937106</v>
      </c>
      <c r="J178" s="109">
        <v>4.5041404709870543</v>
      </c>
      <c r="K178" s="110">
        <v>3.5675551296880528</v>
      </c>
    </row>
    <row r="179" spans="2:11" x14ac:dyDescent="0.3">
      <c r="B179" s="128"/>
      <c r="C179" s="112" t="s">
        <v>1483</v>
      </c>
      <c r="D179" s="1499">
        <v>6.0767529596092844</v>
      </c>
      <c r="E179" s="1499">
        <v>5.6970712876818119</v>
      </c>
      <c r="F179" s="1499">
        <v>4.3210363828981944</v>
      </c>
      <c r="G179" s="1499">
        <v>4.2359158174044955</v>
      </c>
      <c r="H179" s="1499">
        <v>4.6551621006821611</v>
      </c>
      <c r="I179" s="1499">
        <v>5.1291457987529343</v>
      </c>
      <c r="J179" s="1499">
        <v>4.8329106892224205</v>
      </c>
      <c r="K179" s="113">
        <v>3.8989245144650684</v>
      </c>
    </row>
    <row r="180" spans="2:11" x14ac:dyDescent="0.3">
      <c r="B180" s="128"/>
      <c r="C180" s="112" t="s">
        <v>1489</v>
      </c>
      <c r="D180" s="1499">
        <v>6.0469544054811362</v>
      </c>
      <c r="E180" s="1499">
        <v>5.6672727335536628</v>
      </c>
      <c r="F180" s="1499">
        <v>4.2912378287700452</v>
      </c>
      <c r="G180" s="1499">
        <v>4.2061172632763464</v>
      </c>
      <c r="H180" s="1499">
        <v>4.6253635465540119</v>
      </c>
      <c r="I180" s="1499">
        <v>5.0993472446247852</v>
      </c>
      <c r="J180" s="1499">
        <v>4.8031121350942723</v>
      </c>
      <c r="K180" s="113">
        <v>3.8691259603369197</v>
      </c>
    </row>
    <row r="181" spans="2:11" x14ac:dyDescent="0.3">
      <c r="B181" s="122">
        <v>0</v>
      </c>
      <c r="C181" s="112" t="s">
        <v>1496</v>
      </c>
      <c r="D181" s="1499">
        <v>6.0022565742889133</v>
      </c>
      <c r="E181" s="1499">
        <v>5.62257490236144</v>
      </c>
      <c r="F181" s="1499">
        <v>4.2465399975778224</v>
      </c>
      <c r="G181" s="1499">
        <v>4.1614194320841236</v>
      </c>
      <c r="H181" s="1499">
        <v>4.5806657153617891</v>
      </c>
      <c r="I181" s="1499">
        <v>5.0546494134325624</v>
      </c>
      <c r="J181" s="1499">
        <v>4.7584143039020486</v>
      </c>
      <c r="K181" s="113">
        <v>3.8244281291446964</v>
      </c>
    </row>
    <row r="182" spans="2:11" x14ac:dyDescent="0.3">
      <c r="B182" s="123"/>
      <c r="C182" s="112" t="s">
        <v>1500</v>
      </c>
      <c r="D182" s="1499">
        <v>5.9575587430966896</v>
      </c>
      <c r="E182" s="1499">
        <v>5.5778770711692163</v>
      </c>
      <c r="F182" s="1499">
        <v>4.2018421663855987</v>
      </c>
      <c r="G182" s="1499">
        <v>4.1167216008918999</v>
      </c>
      <c r="H182" s="1499">
        <v>4.5359678841695654</v>
      </c>
      <c r="I182" s="1499">
        <v>5.0099515822403387</v>
      </c>
      <c r="J182" s="1499">
        <v>4.7137164727098249</v>
      </c>
      <c r="K182" s="113">
        <v>3.7797302979524727</v>
      </c>
    </row>
    <row r="183" spans="2:11" x14ac:dyDescent="0.3">
      <c r="B183" s="123"/>
      <c r="C183" s="112" t="s">
        <v>1504</v>
      </c>
      <c r="D183" s="1499">
        <v>6.0156833595997767</v>
      </c>
      <c r="E183" s="1499">
        <v>5.6343115060671529</v>
      </c>
      <c r="F183" s="1499">
        <v>4.2582281879838311</v>
      </c>
      <c r="G183" s="1499">
        <v>4.172487790121826</v>
      </c>
      <c r="H183" s="1499">
        <v>4.5934382098508113</v>
      </c>
      <c r="I183" s="1499">
        <v>5.0662234243123399</v>
      </c>
      <c r="J183" s="1499">
        <v>4.769891495130107</v>
      </c>
      <c r="K183" s="113">
        <v>3.835404872159569</v>
      </c>
    </row>
    <row r="184" spans="2:11" x14ac:dyDescent="0.3">
      <c r="B184" s="123"/>
      <c r="C184" s="112" t="s">
        <v>1508</v>
      </c>
      <c r="D184" s="1499">
        <v>5.9910711795256768</v>
      </c>
      <c r="E184" s="1499">
        <v>5.6096993259930539</v>
      </c>
      <c r="F184" s="1499">
        <v>4.233616007909732</v>
      </c>
      <c r="G184" s="1499">
        <v>4.147875610047727</v>
      </c>
      <c r="H184" s="1499">
        <v>4.5688260297767123</v>
      </c>
      <c r="I184" s="1499">
        <v>5.0416112442382408</v>
      </c>
      <c r="J184" s="1499">
        <v>4.7452793150560071</v>
      </c>
      <c r="K184" s="113">
        <v>3.8107926920854696</v>
      </c>
    </row>
    <row r="185" spans="2:11" x14ac:dyDescent="0.3">
      <c r="B185" s="123"/>
      <c r="C185" s="112" t="s">
        <v>1513</v>
      </c>
      <c r="D185" s="1499">
        <v>5.9541529094145291</v>
      </c>
      <c r="E185" s="1499">
        <v>5.5727810558819044</v>
      </c>
      <c r="F185" s="1499">
        <v>4.1966977377985826</v>
      </c>
      <c r="G185" s="1499">
        <v>4.1109573399365784</v>
      </c>
      <c r="H185" s="1499">
        <v>4.5319077596655628</v>
      </c>
      <c r="I185" s="1499">
        <v>5.0046929741270922</v>
      </c>
      <c r="J185" s="1499">
        <v>4.7083610449448585</v>
      </c>
      <c r="K185" s="113">
        <v>3.773874421974321</v>
      </c>
    </row>
    <row r="186" spans="2:11" x14ac:dyDescent="0.3">
      <c r="B186" s="123"/>
      <c r="C186" s="112" t="s">
        <v>1517</v>
      </c>
      <c r="D186" s="1499">
        <v>5.9172346393033797</v>
      </c>
      <c r="E186" s="1499">
        <v>5.5358627857707567</v>
      </c>
      <c r="F186" s="1499">
        <v>4.1597794676874349</v>
      </c>
      <c r="G186" s="1499">
        <v>4.0740390698254298</v>
      </c>
      <c r="H186" s="1499">
        <v>4.4949894895544151</v>
      </c>
      <c r="I186" s="1499">
        <v>4.9677747040159437</v>
      </c>
      <c r="J186" s="1499">
        <v>4.6714427748337108</v>
      </c>
      <c r="K186" s="113">
        <v>3.7369561518631729</v>
      </c>
    </row>
    <row r="187" spans="2:11" ht="14.5" thickBot="1" x14ac:dyDescent="0.35">
      <c r="B187" s="124"/>
      <c r="C187" s="116" t="s">
        <v>1519</v>
      </c>
      <c r="D187" s="117">
        <v>6.0767529596092844</v>
      </c>
      <c r="E187" s="117">
        <v>5.6970712876818119</v>
      </c>
      <c r="F187" s="117">
        <v>4.3210363828981944</v>
      </c>
      <c r="G187" s="117">
        <v>4.2359158174044955</v>
      </c>
      <c r="H187" s="117">
        <v>4.6551621006821611</v>
      </c>
      <c r="I187" s="117">
        <v>5.1291457987529343</v>
      </c>
      <c r="J187" s="117">
        <v>4.8329106892224205</v>
      </c>
      <c r="K187" s="118">
        <v>3.8989245144650684</v>
      </c>
    </row>
    <row r="188" spans="2:11" x14ac:dyDescent="0.3">
      <c r="B188" s="120" t="s">
        <v>1993</v>
      </c>
      <c r="C188" s="1234" t="s">
        <v>1416</v>
      </c>
      <c r="D188" s="109">
        <v>3.9876822741509326</v>
      </c>
      <c r="E188" s="109">
        <v>3.5837658530881988</v>
      </c>
      <c r="F188" s="109">
        <v>2.2178988080741537</v>
      </c>
      <c r="G188" s="109">
        <v>2.110271303212945</v>
      </c>
      <c r="H188" s="109">
        <v>2.5361877240168011</v>
      </c>
      <c r="I188" s="109">
        <v>3.0085713569729902</v>
      </c>
      <c r="J188" s="109">
        <v>2.7082737736035543</v>
      </c>
      <c r="K188" s="110">
        <v>1.7789976021920966</v>
      </c>
    </row>
    <row r="189" spans="2:11" x14ac:dyDescent="0.3">
      <c r="B189" s="121"/>
      <c r="C189" s="1500" t="s">
        <v>1483</v>
      </c>
      <c r="D189" s="1499">
        <v>4.3201757413527488</v>
      </c>
      <c r="E189" s="1499">
        <v>3.9287910879465548</v>
      </c>
      <c r="F189" s="1499">
        <v>2.5625946276941773</v>
      </c>
      <c r="G189" s="1499">
        <v>2.4648021522443644</v>
      </c>
      <c r="H189" s="1499">
        <v>2.8743684199464328</v>
      </c>
      <c r="I189" s="1499">
        <v>3.3570408361591073</v>
      </c>
      <c r="J189" s="1499">
        <v>3.0599589737149078</v>
      </c>
      <c r="K189" s="113">
        <v>2.1304350052695695</v>
      </c>
    </row>
    <row r="190" spans="2:11" x14ac:dyDescent="0.3">
      <c r="B190" s="128"/>
      <c r="C190" s="1500" t="s">
        <v>1489</v>
      </c>
      <c r="D190" s="1499">
        <v>4.2903771872245997</v>
      </c>
      <c r="E190" s="1499">
        <v>3.8989925338184062</v>
      </c>
      <c r="F190" s="1499">
        <v>2.5327960735660286</v>
      </c>
      <c r="G190" s="1499">
        <v>2.4350035981162157</v>
      </c>
      <c r="H190" s="1499">
        <v>2.8445698658182841</v>
      </c>
      <c r="I190" s="1499">
        <v>3.3272422820309586</v>
      </c>
      <c r="J190" s="1499">
        <v>3.0301604195867591</v>
      </c>
      <c r="K190" s="113">
        <v>2.1006364511414208</v>
      </c>
    </row>
    <row r="191" spans="2:11" x14ac:dyDescent="0.3">
      <c r="B191" s="122">
        <v>0</v>
      </c>
      <c r="C191" s="1500" t="s">
        <v>1496</v>
      </c>
      <c r="D191" s="1499">
        <v>4.2456793560323769</v>
      </c>
      <c r="E191" s="1499">
        <v>3.8542947026261829</v>
      </c>
      <c r="F191" s="1499">
        <v>2.4880982423738049</v>
      </c>
      <c r="G191" s="1499">
        <v>2.3903057669239924</v>
      </c>
      <c r="H191" s="1499">
        <v>2.7998720346260604</v>
      </c>
      <c r="I191" s="1499">
        <v>3.2825444508387358</v>
      </c>
      <c r="J191" s="1499">
        <v>2.9854625883945358</v>
      </c>
      <c r="K191" s="113">
        <v>2.0559386199491976</v>
      </c>
    </row>
    <row r="192" spans="2:11" x14ac:dyDescent="0.3">
      <c r="B192" s="123"/>
      <c r="C192" s="1500" t="s">
        <v>1500</v>
      </c>
      <c r="D192" s="1499">
        <v>4.2009815248401532</v>
      </c>
      <c r="E192" s="1499">
        <v>3.8095968714339592</v>
      </c>
      <c r="F192" s="1499">
        <v>2.4434004111815821</v>
      </c>
      <c r="G192" s="1499">
        <v>2.3456079357317692</v>
      </c>
      <c r="H192" s="1499">
        <v>2.7551742034338376</v>
      </c>
      <c r="I192" s="1499">
        <v>3.2378466196465121</v>
      </c>
      <c r="J192" s="1499">
        <v>2.9407647572023121</v>
      </c>
      <c r="K192" s="113">
        <v>2.0112407887569743</v>
      </c>
    </row>
    <row r="193" spans="2:11" x14ac:dyDescent="0.3">
      <c r="B193" s="123"/>
      <c r="C193" s="1500" t="s">
        <v>1504</v>
      </c>
      <c r="D193" s="1499">
        <v>4.2560118199108627</v>
      </c>
      <c r="E193" s="1499">
        <v>3.8626477555401619</v>
      </c>
      <c r="F193" s="1499">
        <v>2.496703774680761</v>
      </c>
      <c r="G193" s="1499">
        <v>2.3966441841861337</v>
      </c>
      <c r="H193" s="1499">
        <v>2.8083931131979334</v>
      </c>
      <c r="I193" s="1499">
        <v>3.2899928014842614</v>
      </c>
      <c r="J193" s="1499">
        <v>2.9920195501064768</v>
      </c>
      <c r="K193" s="113">
        <v>2.061545258153251</v>
      </c>
    </row>
    <row r="194" spans="2:11" x14ac:dyDescent="0.3">
      <c r="B194" s="123"/>
      <c r="C194" s="1500" t="s">
        <v>1508</v>
      </c>
      <c r="D194" s="1499">
        <v>4.2313996398367637</v>
      </c>
      <c r="E194" s="1499">
        <v>3.8380355754660629</v>
      </c>
      <c r="F194" s="1499">
        <v>2.4720915946066619</v>
      </c>
      <c r="G194" s="1499">
        <v>2.3720320041120346</v>
      </c>
      <c r="H194" s="1499">
        <v>2.7837809331238339</v>
      </c>
      <c r="I194" s="1499">
        <v>3.2653806214101619</v>
      </c>
      <c r="J194" s="1499">
        <v>2.9674073700323773</v>
      </c>
      <c r="K194" s="113">
        <v>2.0369330780791515</v>
      </c>
    </row>
    <row r="195" spans="2:11" x14ac:dyDescent="0.3">
      <c r="B195" s="123"/>
      <c r="C195" s="1500" t="s">
        <v>1513</v>
      </c>
      <c r="D195" s="1499">
        <v>4.1944813697256151</v>
      </c>
      <c r="E195" s="1499">
        <v>3.8011173053549139</v>
      </c>
      <c r="F195" s="1499">
        <v>2.4351733244955134</v>
      </c>
      <c r="G195" s="1499">
        <v>2.3351137340008861</v>
      </c>
      <c r="H195" s="1499">
        <v>2.7468626630126853</v>
      </c>
      <c r="I195" s="1499">
        <v>3.2284623512990134</v>
      </c>
      <c r="J195" s="1499">
        <v>2.9304890999212287</v>
      </c>
      <c r="K195" s="113">
        <v>2.0000148079680029</v>
      </c>
    </row>
    <row r="196" spans="2:11" x14ac:dyDescent="0.3">
      <c r="B196" s="123"/>
      <c r="C196" s="1500" t="s">
        <v>1517</v>
      </c>
      <c r="D196" s="1499">
        <v>4.1575630996144666</v>
      </c>
      <c r="E196" s="1499">
        <v>3.7641990352437658</v>
      </c>
      <c r="F196" s="1499">
        <v>2.3982550543843644</v>
      </c>
      <c r="G196" s="1499">
        <v>2.2981954638897371</v>
      </c>
      <c r="H196" s="1499">
        <v>2.7099443929015368</v>
      </c>
      <c r="I196" s="1499">
        <v>3.1915440811878648</v>
      </c>
      <c r="J196" s="1499">
        <v>2.8935708298100806</v>
      </c>
      <c r="K196" s="113">
        <v>1.9630965378568541</v>
      </c>
    </row>
    <row r="197" spans="2:11" ht="14.5" thickBot="1" x14ac:dyDescent="0.35">
      <c r="B197" s="124"/>
      <c r="C197" s="125" t="s">
        <v>1519</v>
      </c>
      <c r="D197" s="117">
        <v>4.3201757413527488</v>
      </c>
      <c r="E197" s="117">
        <v>3.9287910879465548</v>
      </c>
      <c r="F197" s="117">
        <v>2.5625946276941773</v>
      </c>
      <c r="G197" s="117">
        <v>2.4648021522443644</v>
      </c>
      <c r="H197" s="117">
        <v>2.8743684199464328</v>
      </c>
      <c r="I197" s="117">
        <v>3.3570408361591073</v>
      </c>
      <c r="J197" s="117">
        <v>3.0599589737149078</v>
      </c>
      <c r="K197" s="118">
        <v>2.1304350052695695</v>
      </c>
    </row>
    <row r="198" spans="2:11" x14ac:dyDescent="0.3">
      <c r="B198" s="119" t="s">
        <v>1994</v>
      </c>
      <c r="C198" s="108" t="s">
        <v>1416</v>
      </c>
      <c r="D198" s="109">
        <v>6.0688821079275668</v>
      </c>
      <c r="E198" s="109">
        <v>5.7861988311285693</v>
      </c>
      <c r="F198" s="109">
        <v>4.3099127025512001</v>
      </c>
      <c r="G198" s="109">
        <v>4.2643141556541151</v>
      </c>
      <c r="H198" s="109">
        <v>4.644505248004382</v>
      </c>
      <c r="I198" s="109">
        <v>5.205542625077288</v>
      </c>
      <c r="J198" s="109">
        <v>4.8923499763465781</v>
      </c>
      <c r="K198" s="110">
        <v>3.9098094950271345</v>
      </c>
    </row>
    <row r="199" spans="2:11" x14ac:dyDescent="0.3">
      <c r="B199" s="111"/>
      <c r="C199" s="112" t="s">
        <v>1483</v>
      </c>
      <c r="D199" s="1499">
        <v>6.3996210657550767</v>
      </c>
      <c r="E199" s="1499">
        <v>6.1179486667224934</v>
      </c>
      <c r="F199" s="1499">
        <v>4.6493700319236329</v>
      </c>
      <c r="G199" s="1499">
        <v>4.6056897495577012</v>
      </c>
      <c r="H199" s="1499">
        <v>4.9793752564736504</v>
      </c>
      <c r="I199" s="1499">
        <v>5.5423615730236362</v>
      </c>
      <c r="J199" s="1499">
        <v>5.2310112816869188</v>
      </c>
      <c r="K199" s="113">
        <v>4.2537338387167445</v>
      </c>
    </row>
    <row r="200" spans="2:11" x14ac:dyDescent="0.3">
      <c r="B200" s="111"/>
      <c r="C200" s="112" t="s">
        <v>1489</v>
      </c>
      <c r="D200" s="1499">
        <v>6.3698225116269276</v>
      </c>
      <c r="E200" s="1499">
        <v>6.0881501125943442</v>
      </c>
      <c r="F200" s="1499">
        <v>4.6195714777954837</v>
      </c>
      <c r="G200" s="1499">
        <v>4.5758911954295529</v>
      </c>
      <c r="H200" s="1499">
        <v>4.9495767023455022</v>
      </c>
      <c r="I200" s="1499">
        <v>5.5125630188954871</v>
      </c>
      <c r="J200" s="1499">
        <v>5.2012127275587696</v>
      </c>
      <c r="K200" s="113">
        <v>4.2239352845885954</v>
      </c>
    </row>
    <row r="201" spans="2:11" x14ac:dyDescent="0.3">
      <c r="B201" s="114">
        <v>0</v>
      </c>
      <c r="C201" s="112" t="s">
        <v>1496</v>
      </c>
      <c r="D201" s="1499">
        <v>6.3251246804347048</v>
      </c>
      <c r="E201" s="1499">
        <v>6.0434522814021214</v>
      </c>
      <c r="F201" s="1499">
        <v>4.5748736466032609</v>
      </c>
      <c r="G201" s="1499">
        <v>4.5311933642373292</v>
      </c>
      <c r="H201" s="1499">
        <v>4.9048788711532794</v>
      </c>
      <c r="I201" s="1499">
        <v>5.4678651877032642</v>
      </c>
      <c r="J201" s="1499">
        <v>5.1565148963665468</v>
      </c>
      <c r="K201" s="113">
        <v>4.1792374533963725</v>
      </c>
    </row>
    <row r="202" spans="2:11" x14ac:dyDescent="0.3">
      <c r="B202" s="115"/>
      <c r="C202" s="112" t="s">
        <v>1500</v>
      </c>
      <c r="D202" s="1499">
        <v>6.2804268492424811</v>
      </c>
      <c r="E202" s="1499">
        <v>5.9987544502098977</v>
      </c>
      <c r="F202" s="1499">
        <v>4.5301758154110372</v>
      </c>
      <c r="G202" s="1499">
        <v>4.4864955330451055</v>
      </c>
      <c r="H202" s="1499">
        <v>4.8601810399610557</v>
      </c>
      <c r="I202" s="1499">
        <v>5.4231673565110405</v>
      </c>
      <c r="J202" s="1499">
        <v>5.1118170651743231</v>
      </c>
      <c r="K202" s="113">
        <v>4.1345396222041488</v>
      </c>
    </row>
    <row r="203" spans="2:11" x14ac:dyDescent="0.3">
      <c r="B203" s="115"/>
      <c r="C203" s="112" t="s">
        <v>1504</v>
      </c>
      <c r="D203" s="1499">
        <v>6.3366873366164862</v>
      </c>
      <c r="E203" s="1499">
        <v>6.0534968352182617</v>
      </c>
      <c r="F203" s="1499">
        <v>4.5847179158442</v>
      </c>
      <c r="G203" s="1499">
        <v>4.5405402541914786</v>
      </c>
      <c r="H203" s="1499">
        <v>4.9154634466499294</v>
      </c>
      <c r="I203" s="1499">
        <v>5.4775304027919143</v>
      </c>
      <c r="J203" s="1499">
        <v>5.1661304304778248</v>
      </c>
      <c r="K203" s="113">
        <v>4.1879046140650473</v>
      </c>
    </row>
    <row r="204" spans="2:11" x14ac:dyDescent="0.3">
      <c r="B204" s="115"/>
      <c r="C204" s="112" t="s">
        <v>1508</v>
      </c>
      <c r="D204" s="1499">
        <v>6.3120751565423872</v>
      </c>
      <c r="E204" s="1499">
        <v>6.0288846551441626</v>
      </c>
      <c r="F204" s="1499">
        <v>4.5601057357701009</v>
      </c>
      <c r="G204" s="1499">
        <v>4.5159280741173795</v>
      </c>
      <c r="H204" s="1499">
        <v>4.8908512665758304</v>
      </c>
      <c r="I204" s="1499">
        <v>5.4529182227178143</v>
      </c>
      <c r="J204" s="1499">
        <v>5.1415182504037249</v>
      </c>
      <c r="K204" s="113">
        <v>4.1632924339909483</v>
      </c>
    </row>
    <row r="205" spans="2:11" x14ac:dyDescent="0.3">
      <c r="B205" s="115"/>
      <c r="C205" s="112" t="s">
        <v>1513</v>
      </c>
      <c r="D205" s="1499">
        <v>6.2751568864312386</v>
      </c>
      <c r="E205" s="1499">
        <v>5.991966385033014</v>
      </c>
      <c r="F205" s="1499">
        <v>4.5231874656589515</v>
      </c>
      <c r="G205" s="1499">
        <v>4.4790098040062301</v>
      </c>
      <c r="H205" s="1499">
        <v>4.8539329964646818</v>
      </c>
      <c r="I205" s="1499">
        <v>5.4159999526066658</v>
      </c>
      <c r="J205" s="1499">
        <v>5.1045999802925763</v>
      </c>
      <c r="K205" s="113">
        <v>4.1263741638797988</v>
      </c>
    </row>
    <row r="206" spans="2:11" x14ac:dyDescent="0.3">
      <c r="B206" s="115"/>
      <c r="C206" s="112" t="s">
        <v>1517</v>
      </c>
      <c r="D206" s="1499">
        <v>6.2382386163200891</v>
      </c>
      <c r="E206" s="1499">
        <v>5.9550481149218646</v>
      </c>
      <c r="F206" s="1499">
        <v>4.4862691955478038</v>
      </c>
      <c r="G206" s="1499">
        <v>4.4420915338950824</v>
      </c>
      <c r="H206" s="1499">
        <v>4.8170147263535332</v>
      </c>
      <c r="I206" s="1499">
        <v>5.3790816824955181</v>
      </c>
      <c r="J206" s="1499">
        <v>5.0676817101814278</v>
      </c>
      <c r="K206" s="113">
        <v>4.0894558937686512</v>
      </c>
    </row>
    <row r="207" spans="2:11" ht="14.5" thickBot="1" x14ac:dyDescent="0.35">
      <c r="B207" s="1233"/>
      <c r="C207" s="116" t="s">
        <v>1519</v>
      </c>
      <c r="D207" s="117">
        <v>6.3996210657550767</v>
      </c>
      <c r="E207" s="117">
        <v>6.1179486667224934</v>
      </c>
      <c r="F207" s="117">
        <v>4.6493700319236329</v>
      </c>
      <c r="G207" s="117">
        <v>4.6056897495577012</v>
      </c>
      <c r="H207" s="117">
        <v>4.9793752564736504</v>
      </c>
      <c r="I207" s="117">
        <v>5.5423615730236362</v>
      </c>
      <c r="J207" s="117">
        <v>5.2310112816869188</v>
      </c>
      <c r="K207" s="118">
        <v>4.2537338387167445</v>
      </c>
    </row>
    <row r="208" spans="2:11" x14ac:dyDescent="0.3">
      <c r="B208" s="120" t="s">
        <v>1519</v>
      </c>
      <c r="C208" s="108" t="s">
        <v>1416</v>
      </c>
      <c r="D208" s="129">
        <v>3.6797867960578778</v>
      </c>
      <c r="E208" s="109">
        <v>3.2138875550616812</v>
      </c>
      <c r="F208" s="109">
        <v>1.9320155880044736</v>
      </c>
      <c r="G208" s="109">
        <v>1.7970136566395067</v>
      </c>
      <c r="H208" s="109">
        <v>2.2366685829943318</v>
      </c>
      <c r="I208" s="109">
        <v>2.6482764018149414</v>
      </c>
      <c r="J208" s="109">
        <v>2.363165789389206</v>
      </c>
      <c r="K208" s="110">
        <v>1.47812650215033</v>
      </c>
    </row>
    <row r="209" spans="2:11" x14ac:dyDescent="0.3">
      <c r="B209" s="111"/>
      <c r="C209" s="112" t="s">
        <v>1483</v>
      </c>
      <c r="D209" s="130">
        <v>3.9316570024459438</v>
      </c>
      <c r="E209" s="1499">
        <v>3.4735090123302692</v>
      </c>
      <c r="F209" s="1499">
        <v>2.1833956522661397</v>
      </c>
      <c r="G209" s="1499">
        <v>2.0572442615317845</v>
      </c>
      <c r="H209" s="1499">
        <v>2.4927572928477093</v>
      </c>
      <c r="I209" s="1499">
        <v>2.9096793837832404</v>
      </c>
      <c r="J209" s="1499">
        <v>2.6265720245470567</v>
      </c>
      <c r="K209" s="113">
        <v>1.7441505952412677</v>
      </c>
    </row>
    <row r="210" spans="2:11" x14ac:dyDescent="0.3">
      <c r="B210" s="111"/>
      <c r="C210" s="112" t="s">
        <v>1489</v>
      </c>
      <c r="D210" s="130">
        <v>3.9018584483177952</v>
      </c>
      <c r="E210" s="1499">
        <v>3.4437104582021205</v>
      </c>
      <c r="F210" s="1499">
        <v>2.1535970981379911</v>
      </c>
      <c r="G210" s="1499">
        <v>2.0274457074036354</v>
      </c>
      <c r="H210" s="1499">
        <v>2.4629587387195602</v>
      </c>
      <c r="I210" s="1499">
        <v>2.8798808296550913</v>
      </c>
      <c r="J210" s="1499">
        <v>2.5967734704189076</v>
      </c>
      <c r="K210" s="113">
        <v>1.7143520411131188</v>
      </c>
    </row>
    <row r="211" spans="2:11" x14ac:dyDescent="0.3">
      <c r="B211" s="114">
        <v>0</v>
      </c>
      <c r="C211" s="112" t="s">
        <v>1496</v>
      </c>
      <c r="D211" s="130">
        <v>3.8571606171255715</v>
      </c>
      <c r="E211" s="1499">
        <v>3.3990126270098968</v>
      </c>
      <c r="F211" s="1499">
        <v>2.1088992669457678</v>
      </c>
      <c r="G211" s="1499">
        <v>1.9827478762114126</v>
      </c>
      <c r="H211" s="1499">
        <v>2.4182609075273374</v>
      </c>
      <c r="I211" s="1499">
        <v>2.8351829984628676</v>
      </c>
      <c r="J211" s="1499">
        <v>2.5520756392266843</v>
      </c>
      <c r="K211" s="113">
        <v>1.6696542099208955</v>
      </c>
    </row>
    <row r="212" spans="2:11" x14ac:dyDescent="0.3">
      <c r="B212" s="115"/>
      <c r="C212" s="112" t="s">
        <v>1500</v>
      </c>
      <c r="D212" s="130">
        <v>3.8124627859333482</v>
      </c>
      <c r="E212" s="1499">
        <v>3.3543147958176736</v>
      </c>
      <c r="F212" s="1499">
        <v>2.0642014357535445</v>
      </c>
      <c r="G212" s="1499">
        <v>1.9380500450191891</v>
      </c>
      <c r="H212" s="1499">
        <v>2.3735630763351137</v>
      </c>
      <c r="I212" s="1499">
        <v>2.7904851672706448</v>
      </c>
      <c r="J212" s="1499">
        <v>2.5073778080344611</v>
      </c>
      <c r="K212" s="113">
        <v>1.6249563787286723</v>
      </c>
    </row>
    <row r="213" spans="2:11" x14ac:dyDescent="0.3">
      <c r="B213" s="115"/>
      <c r="C213" s="112" t="s">
        <v>1504</v>
      </c>
      <c r="D213" s="130">
        <v>3.8809742008668837</v>
      </c>
      <c r="E213" s="1499">
        <v>3.421127053840491</v>
      </c>
      <c r="F213" s="1499">
        <v>2.1310539984611694</v>
      </c>
      <c r="G213" s="1499">
        <v>2.0047851902616838</v>
      </c>
      <c r="H213" s="1499">
        <v>2.440892897897907</v>
      </c>
      <c r="I213" s="1499">
        <v>2.8556729442589881</v>
      </c>
      <c r="J213" s="1499">
        <v>2.5731497344762015</v>
      </c>
      <c r="K213" s="113">
        <v>1.6902731051434474</v>
      </c>
    </row>
    <row r="214" spans="2:11" x14ac:dyDescent="0.3">
      <c r="B214" s="115"/>
      <c r="C214" s="112" t="s">
        <v>1508</v>
      </c>
      <c r="D214" s="130">
        <v>3.8563620207927851</v>
      </c>
      <c r="E214" s="1499">
        <v>3.3965148737663924</v>
      </c>
      <c r="F214" s="1499">
        <v>2.1064418183870703</v>
      </c>
      <c r="G214" s="1499">
        <v>1.9801730101875843</v>
      </c>
      <c r="H214" s="1499">
        <v>2.4162807178238075</v>
      </c>
      <c r="I214" s="1499">
        <v>2.8310607641848895</v>
      </c>
      <c r="J214" s="1499">
        <v>2.5485375544021021</v>
      </c>
      <c r="K214" s="113">
        <v>1.6656609250693482</v>
      </c>
    </row>
    <row r="215" spans="2:11" x14ac:dyDescent="0.3">
      <c r="B215" s="115"/>
      <c r="C215" s="112" t="s">
        <v>1513</v>
      </c>
      <c r="D215" s="130">
        <v>3.8194437506816366</v>
      </c>
      <c r="E215" s="1499">
        <v>3.3595966036552438</v>
      </c>
      <c r="F215" s="1499">
        <v>2.0695235482759218</v>
      </c>
      <c r="G215" s="1499">
        <v>1.9432547400764359</v>
      </c>
      <c r="H215" s="1499">
        <v>2.3793624477126589</v>
      </c>
      <c r="I215" s="1499">
        <v>2.7941424940737409</v>
      </c>
      <c r="J215" s="1499">
        <v>2.5116192842909539</v>
      </c>
      <c r="K215" s="113">
        <v>1.6287426549581996</v>
      </c>
    </row>
    <row r="216" spans="2:11" x14ac:dyDescent="0.3">
      <c r="B216" s="115"/>
      <c r="C216" s="112" t="s">
        <v>1517</v>
      </c>
      <c r="D216" s="130">
        <v>3.7825254805704875</v>
      </c>
      <c r="E216" s="1499">
        <v>3.3226783335440948</v>
      </c>
      <c r="F216" s="1499">
        <v>2.0326052781647728</v>
      </c>
      <c r="G216" s="1499">
        <v>1.9063364699652869</v>
      </c>
      <c r="H216" s="1499">
        <v>2.3424441776015104</v>
      </c>
      <c r="I216" s="1499">
        <v>2.7572242239625919</v>
      </c>
      <c r="J216" s="1499">
        <v>2.4747010141798049</v>
      </c>
      <c r="K216" s="113">
        <v>1.5918243848470508</v>
      </c>
    </row>
    <row r="217" spans="2:11" ht="14.5" thickBot="1" x14ac:dyDescent="0.35">
      <c r="B217" s="1233"/>
      <c r="C217" s="116" t="s">
        <v>1519</v>
      </c>
      <c r="D217" s="131">
        <v>3.9316570024459438</v>
      </c>
      <c r="E217" s="117">
        <v>3.4735090123302692</v>
      </c>
      <c r="F217" s="117">
        <v>2.1833956522661397</v>
      </c>
      <c r="G217" s="117">
        <v>2.0572442615317845</v>
      </c>
      <c r="H217" s="117">
        <v>2.4927572928477093</v>
      </c>
      <c r="I217" s="117">
        <v>2.9096793837832404</v>
      </c>
      <c r="J217" s="117">
        <v>2.6265720245470567</v>
      </c>
      <c r="K217" s="118">
        <v>1.7441505952412677</v>
      </c>
    </row>
    <row r="221" spans="2:11" ht="14.5" thickBot="1" x14ac:dyDescent="0.35"/>
    <row r="222" spans="2:11" x14ac:dyDescent="0.3">
      <c r="C222" s="132" t="s">
        <v>1995</v>
      </c>
      <c r="D222" s="132"/>
      <c r="E222" s="132"/>
      <c r="F222" s="132"/>
    </row>
    <row r="223" spans="2:11" x14ac:dyDescent="0.3">
      <c r="C223" s="1504" t="s">
        <v>1996</v>
      </c>
      <c r="D223" s="1504" t="s">
        <v>1997</v>
      </c>
      <c r="E223" s="1504" t="s">
        <v>1998</v>
      </c>
      <c r="F223" s="1504" t="s">
        <v>1999</v>
      </c>
    </row>
    <row r="224" spans="2:11" x14ac:dyDescent="0.3">
      <c r="C224" s="1498">
        <v>1</v>
      </c>
      <c r="D224" s="1505">
        <v>248.19851412066339</v>
      </c>
      <c r="E224" s="1506">
        <v>5.4880821253878026E-2</v>
      </c>
      <c r="F224" s="1507">
        <v>2.1952328501551208</v>
      </c>
      <c r="H224" s="134" t="s">
        <v>2000</v>
      </c>
    </row>
    <row r="225" spans="2:11" x14ac:dyDescent="0.3">
      <c r="C225" s="1498">
        <v>1.5</v>
      </c>
      <c r="D225" s="1505">
        <v>209.59456779338689</v>
      </c>
      <c r="E225" s="1506">
        <v>4.6344846388808605E-2</v>
      </c>
      <c r="F225" s="1507">
        <v>1.8537938555523439</v>
      </c>
      <c r="H225" s="134" t="s">
        <v>2001</v>
      </c>
    </row>
    <row r="226" spans="2:11" x14ac:dyDescent="0.3">
      <c r="C226" s="1498">
        <v>2</v>
      </c>
      <c r="D226" s="1505">
        <v>182.20463198345874</v>
      </c>
      <c r="E226" s="1506">
        <v>4.0288475839349636E-2</v>
      </c>
      <c r="F226" s="1507">
        <v>1.6115390335739854</v>
      </c>
    </row>
    <row r="227" spans="2:11" x14ac:dyDescent="0.3">
      <c r="C227" s="1498">
        <v>2.5</v>
      </c>
      <c r="D227" s="1505">
        <v>160.95934723280732</v>
      </c>
      <c r="E227" s="1506">
        <v>3.5590789880112175E-2</v>
      </c>
      <c r="F227" s="1507">
        <v>1.4236315952044869</v>
      </c>
    </row>
    <row r="228" spans="2:11" x14ac:dyDescent="0.3">
      <c r="B228" s="2"/>
      <c r="C228" s="1498">
        <v>3</v>
      </c>
      <c r="D228" s="1505">
        <v>143.60068565618226</v>
      </c>
      <c r="E228" s="1506">
        <v>3.1752500974280215E-2</v>
      </c>
      <c r="F228" s="1507">
        <v>1.2701000389712085</v>
      </c>
      <c r="I228" s="135"/>
      <c r="J228" s="135"/>
      <c r="K228" s="135"/>
    </row>
    <row r="229" spans="2:11" x14ac:dyDescent="0.3">
      <c r="B229" s="136"/>
      <c r="C229" s="1498">
        <v>3.5</v>
      </c>
      <c r="D229" s="1505">
        <v>128.92414641429718</v>
      </c>
      <c r="E229" s="1506">
        <v>2.8507273944565429E-2</v>
      </c>
      <c r="F229" s="1507">
        <v>1.1402909577826172</v>
      </c>
      <c r="I229" s="135"/>
      <c r="J229" s="135"/>
      <c r="K229" s="135"/>
    </row>
    <row r="230" spans="2:11" x14ac:dyDescent="0.3">
      <c r="B230" s="136"/>
      <c r="C230" s="1498">
        <v>4</v>
      </c>
      <c r="D230" s="1505">
        <v>116.21074984625409</v>
      </c>
      <c r="E230" s="1506">
        <v>2.5696130424821245E-2</v>
      </c>
      <c r="F230" s="1507">
        <v>1.02784521699285</v>
      </c>
      <c r="I230" s="135"/>
      <c r="J230" s="135"/>
      <c r="K230" s="135"/>
    </row>
    <row r="231" spans="2:11" x14ac:dyDescent="0.3">
      <c r="B231" s="137"/>
      <c r="C231" s="1498">
        <v>4.5</v>
      </c>
      <c r="D231" s="1505">
        <v>104.99673932890579</v>
      </c>
      <c r="E231" s="1506">
        <v>2.3216526109210787E-2</v>
      </c>
      <c r="F231" s="1507">
        <v>0.92866104436843155</v>
      </c>
      <c r="I231" s="135"/>
      <c r="J231" s="135"/>
      <c r="K231" s="135"/>
    </row>
    <row r="232" spans="2:11" x14ac:dyDescent="0.3">
      <c r="C232" s="1498">
        <v>5</v>
      </c>
      <c r="D232" s="1505">
        <v>94.965465095602667</v>
      </c>
      <c r="E232" s="1506">
        <v>2.0998444465583785E-2</v>
      </c>
      <c r="F232" s="1507">
        <v>0.83993777862335139</v>
      </c>
      <c r="I232" s="135"/>
      <c r="J232" s="135"/>
      <c r="K232" s="135"/>
    </row>
    <row r="233" spans="2:11" x14ac:dyDescent="0.3">
      <c r="C233" s="1498">
        <v>5.5</v>
      </c>
      <c r="D233" s="1505">
        <v>85.891073755799127</v>
      </c>
      <c r="E233" s="1506">
        <v>1.8991945551309924E-2</v>
      </c>
      <c r="F233" s="1507">
        <v>0.75967782205239698</v>
      </c>
      <c r="I233" s="135"/>
      <c r="J233" s="135"/>
      <c r="K233" s="135"/>
    </row>
    <row r="234" spans="2:11" x14ac:dyDescent="0.3">
      <c r="C234" s="1498">
        <v>6</v>
      </c>
      <c r="D234" s="1505">
        <v>77.606803518977628</v>
      </c>
      <c r="E234" s="1506">
        <v>1.7160155559751825E-2</v>
      </c>
      <c r="F234" s="1507">
        <v>0.68640622239007287</v>
      </c>
      <c r="I234" s="135"/>
      <c r="J234" s="135"/>
      <c r="K234" s="135"/>
    </row>
    <row r="235" spans="2:11" x14ac:dyDescent="0.3">
      <c r="C235" s="1498">
        <v>6.5</v>
      </c>
      <c r="D235" s="1505">
        <v>69.986013643033999</v>
      </c>
      <c r="E235" s="1506">
        <v>1.5475072115651523E-2</v>
      </c>
      <c r="F235" s="1507">
        <v>0.6190028846260609</v>
      </c>
      <c r="I235" s="135"/>
      <c r="J235" s="135"/>
      <c r="K235" s="135"/>
    </row>
    <row r="236" spans="2:11" x14ac:dyDescent="0.3">
      <c r="C236" s="1498">
        <v>7</v>
      </c>
      <c r="D236" s="1505">
        <v>62.930264277092533</v>
      </c>
      <c r="E236" s="1506">
        <v>1.3914928530037042E-2</v>
      </c>
      <c r="F236" s="1507">
        <v>0.55659714120148163</v>
      </c>
      <c r="I236" s="135"/>
      <c r="J236" s="135"/>
      <c r="K236" s="135"/>
    </row>
    <row r="237" spans="2:11" x14ac:dyDescent="0.3">
      <c r="C237" s="1498">
        <v>7.5</v>
      </c>
      <c r="D237" s="1505">
        <v>56.361518768326192</v>
      </c>
      <c r="E237" s="1506">
        <v>1.2462469600514357E-2</v>
      </c>
      <c r="F237" s="1507">
        <v>0.49849878402057446</v>
      </c>
      <c r="I237" s="135"/>
      <c r="J237" s="135"/>
      <c r="K237" s="135"/>
    </row>
    <row r="238" spans="2:11" x14ac:dyDescent="0.3">
      <c r="B238" s="2"/>
      <c r="C238" s="1498">
        <v>8</v>
      </c>
      <c r="D238" s="1505">
        <v>50.216867709049453</v>
      </c>
      <c r="E238" s="1506">
        <v>1.110378501029286E-2</v>
      </c>
      <c r="F238" s="1507">
        <v>0.44415140041171436</v>
      </c>
      <c r="I238" s="135"/>
      <c r="J238" s="135"/>
      <c r="K238" s="135"/>
    </row>
    <row r="239" spans="2:11" x14ac:dyDescent="0.3">
      <c r="B239" s="136"/>
      <c r="C239" s="1498">
        <v>8.5</v>
      </c>
      <c r="D239" s="1505">
        <v>44.4448552721895</v>
      </c>
      <c r="E239" s="1506">
        <v>9.8274970198318403E-3</v>
      </c>
      <c r="F239" s="1507">
        <v>0.39309988079327363</v>
      </c>
      <c r="I239" s="135"/>
      <c r="J239" s="135"/>
      <c r="K239" s="135"/>
    </row>
    <row r="240" spans="2:11" x14ac:dyDescent="0.3">
      <c r="B240" s="136"/>
      <c r="C240" s="1498">
        <v>9</v>
      </c>
      <c r="D240" s="1505">
        <v>39.002857191701132</v>
      </c>
      <c r="E240" s="1506">
        <v>8.6241806946823953E-3</v>
      </c>
      <c r="F240" s="1507">
        <v>0.34496722778729577</v>
      </c>
      <c r="I240" s="135"/>
      <c r="J240" s="135"/>
      <c r="K240" s="135"/>
    </row>
    <row r="241" spans="2:11" x14ac:dyDescent="0.3">
      <c r="B241" s="137"/>
      <c r="C241" s="1498">
        <v>9.5</v>
      </c>
      <c r="D241" s="1505">
        <v>33.855168608283222</v>
      </c>
      <c r="E241" s="1506">
        <v>7.485941096358922E-3</v>
      </c>
      <c r="F241" s="1507">
        <v>0.29943764385435678</v>
      </c>
      <c r="I241" s="135"/>
      <c r="J241" s="135"/>
      <c r="K241" s="135"/>
    </row>
    <row r="242" spans="2:11" x14ac:dyDescent="0.3">
      <c r="C242" s="1498">
        <v>10</v>
      </c>
      <c r="D242" s="1505">
        <v>28.971582958397995</v>
      </c>
      <c r="E242" s="1506">
        <v>6.4060990510553875E-3</v>
      </c>
      <c r="F242" s="1507">
        <v>0.25624396204221556</v>
      </c>
      <c r="I242" s="135"/>
      <c r="J242" s="135"/>
      <c r="K242" s="135"/>
    </row>
    <row r="243" spans="2:11" x14ac:dyDescent="0.3">
      <c r="I243" s="135"/>
      <c r="J243" s="135"/>
      <c r="K243" s="135"/>
    </row>
    <row r="244" spans="2:11" ht="14.5" thickBot="1" x14ac:dyDescent="0.35">
      <c r="I244" s="135"/>
      <c r="J244" s="135"/>
      <c r="K244" s="135"/>
    </row>
    <row r="245" spans="2:11" x14ac:dyDescent="0.3">
      <c r="C245" s="132" t="s">
        <v>2002</v>
      </c>
      <c r="D245" s="132"/>
      <c r="E245" s="132"/>
      <c r="F245" s="132"/>
      <c r="H245" s="134" t="s">
        <v>2003</v>
      </c>
      <c r="I245" s="135"/>
      <c r="J245" s="135"/>
      <c r="K245" s="135"/>
    </row>
    <row r="246" spans="2:11" x14ac:dyDescent="0.3">
      <c r="C246" s="1508" t="s">
        <v>1996</v>
      </c>
      <c r="D246" s="1508" t="s">
        <v>2004</v>
      </c>
      <c r="E246" s="1508" t="s">
        <v>2005</v>
      </c>
      <c r="F246" s="1508" t="s">
        <v>2006</v>
      </c>
      <c r="H246" s="134" t="s">
        <v>2007</v>
      </c>
      <c r="I246" s="135"/>
      <c r="J246" s="135"/>
      <c r="K246" s="135"/>
    </row>
    <row r="247" spans="2:11" x14ac:dyDescent="0.3">
      <c r="C247" s="1498" t="s">
        <v>376</v>
      </c>
      <c r="D247" s="1509">
        <v>294.45532868138042</v>
      </c>
      <c r="E247" s="1510">
        <v>6.5108972621642988E-2</v>
      </c>
      <c r="F247" s="1511">
        <v>2.6043589048657196</v>
      </c>
      <c r="I247" s="135"/>
      <c r="J247" s="135"/>
      <c r="K247" s="135"/>
    </row>
    <row r="248" spans="2:11" x14ac:dyDescent="0.3">
      <c r="B248" s="2"/>
      <c r="D248" s="135"/>
      <c r="E248" s="135"/>
      <c r="F248" s="135"/>
      <c r="G248" s="135"/>
      <c r="H248" s="135"/>
      <c r="I248" s="135"/>
      <c r="J248" s="135"/>
      <c r="K248" s="135"/>
    </row>
    <row r="249" spans="2:11" x14ac:dyDescent="0.3">
      <c r="B249" s="136"/>
      <c r="D249" s="135"/>
      <c r="E249" s="135"/>
      <c r="F249" s="135"/>
      <c r="G249" s="135"/>
      <c r="H249" s="135"/>
      <c r="I249" s="135"/>
      <c r="J249" s="135"/>
      <c r="K249" s="135"/>
    </row>
    <row r="250" spans="2:11" x14ac:dyDescent="0.3">
      <c r="B250" s="136"/>
      <c r="D250" s="135"/>
      <c r="E250" s="135"/>
      <c r="F250" s="135"/>
      <c r="G250" s="135"/>
      <c r="H250" s="135"/>
      <c r="I250" s="135"/>
      <c r="J250" s="135"/>
      <c r="K250" s="135"/>
    </row>
    <row r="251" spans="2:11" x14ac:dyDescent="0.3">
      <c r="B251" s="137"/>
      <c r="D251" s="135"/>
      <c r="E251" s="135"/>
      <c r="F251" s="135"/>
      <c r="G251" s="135"/>
      <c r="H251" s="135"/>
      <c r="I251" s="135"/>
      <c r="J251" s="135"/>
      <c r="K251" s="135"/>
    </row>
    <row r="252" spans="2:11" x14ac:dyDescent="0.3">
      <c r="D252" s="135"/>
      <c r="E252" s="135"/>
      <c r="F252" s="135"/>
      <c r="G252" s="135"/>
      <c r="H252" s="135"/>
      <c r="I252" s="135"/>
      <c r="J252" s="135"/>
      <c r="K252" s="135"/>
    </row>
    <row r="253" spans="2:11" x14ac:dyDescent="0.3">
      <c r="D253" s="135"/>
      <c r="E253" s="135"/>
      <c r="F253" s="135"/>
      <c r="G253" s="135"/>
      <c r="H253" s="135"/>
      <c r="I253" s="135"/>
      <c r="J253" s="135"/>
      <c r="K253" s="135"/>
    </row>
    <row r="254" spans="2:11" x14ac:dyDescent="0.3">
      <c r="D254" s="135"/>
      <c r="E254" s="135"/>
      <c r="F254" s="135"/>
      <c r="G254" s="135"/>
      <c r="H254" s="135"/>
      <c r="I254" s="135"/>
      <c r="J254" s="135"/>
      <c r="K254" s="135"/>
    </row>
    <row r="255" spans="2:11" x14ac:dyDescent="0.3">
      <c r="D255" s="135"/>
      <c r="E255" s="135"/>
      <c r="F255" s="135"/>
      <c r="G255" s="135"/>
      <c r="H255" s="135"/>
      <c r="I255" s="135"/>
      <c r="J255" s="135"/>
      <c r="K255" s="135"/>
    </row>
    <row r="256" spans="2:11" x14ac:dyDescent="0.3">
      <c r="D256" s="135"/>
      <c r="E256" s="135"/>
      <c r="F256" s="135"/>
      <c r="G256" s="135"/>
      <c r="H256" s="135"/>
      <c r="I256" s="135"/>
      <c r="J256" s="135"/>
      <c r="K256" s="135"/>
    </row>
    <row r="257" spans="4:11" x14ac:dyDescent="0.3">
      <c r="D257" s="135"/>
      <c r="E257" s="135"/>
      <c r="F257" s="135"/>
      <c r="G257" s="135"/>
      <c r="H257" s="135"/>
      <c r="I257" s="135"/>
      <c r="J257" s="135"/>
      <c r="K257" s="135"/>
    </row>
  </sheetData>
  <sheetProtection algorithmName="SHA-512" hashValue="lL928XkQ7j0uJyzNyJNH2Y4SZSHgsBPI7aaV6vC2rr7eHlevyxf5BZM/87FxQn5CowgcxD/JJ2Bv152KoXi7rA==" saltValue="wYQlp6vCrIImmNxF+Gwuxw==" spinCount="100000" sheet="1" objects="1" scenarios="1" autoFilter="0"/>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4"/>
  <dimension ref="B1:K257"/>
  <sheetViews>
    <sheetView topLeftCell="A202" workbookViewId="0">
      <selection activeCell="G9" sqref="G9"/>
    </sheetView>
  </sheetViews>
  <sheetFormatPr defaultColWidth="7.58203125" defaultRowHeight="14" x14ac:dyDescent="0.3"/>
  <sheetData>
    <row r="1" spans="2:11" ht="14.5" thickBot="1" x14ac:dyDescent="0.35"/>
    <row r="2" spans="2:11" ht="25.5" thickBot="1" x14ac:dyDescent="0.55000000000000004">
      <c r="B2" s="88" t="s">
        <v>1960</v>
      </c>
      <c r="C2" s="89"/>
      <c r="D2" s="90">
        <v>6</v>
      </c>
      <c r="E2" s="91" t="s">
        <v>1961</v>
      </c>
      <c r="F2" s="92"/>
      <c r="G2" s="92"/>
      <c r="H2" s="92"/>
      <c r="I2" s="93"/>
      <c r="J2" s="89" t="s">
        <v>176</v>
      </c>
      <c r="K2" s="94" t="s">
        <v>234</v>
      </c>
    </row>
    <row r="3" spans="2:11" ht="14.5" thickBot="1" x14ac:dyDescent="0.35">
      <c r="B3" s="95" t="s">
        <v>1962</v>
      </c>
      <c r="C3" s="96" t="s">
        <v>1963</v>
      </c>
      <c r="D3" s="95" t="s">
        <v>1964</v>
      </c>
      <c r="E3" s="97" t="s">
        <v>1965</v>
      </c>
      <c r="F3" s="97" t="s">
        <v>1966</v>
      </c>
      <c r="G3" s="97" t="s">
        <v>1967</v>
      </c>
      <c r="H3" s="97" t="s">
        <v>1968</v>
      </c>
      <c r="I3" s="97" t="s">
        <v>1969</v>
      </c>
      <c r="J3" s="97" t="s">
        <v>1970</v>
      </c>
      <c r="K3" s="98" t="s">
        <v>1971</v>
      </c>
    </row>
    <row r="4" spans="2:11" ht="18.5" thickBot="1" x14ac:dyDescent="0.45">
      <c r="B4" s="99" t="s">
        <v>34</v>
      </c>
      <c r="C4" s="100" t="s">
        <v>34</v>
      </c>
      <c r="D4" s="101" t="s">
        <v>34</v>
      </c>
      <c r="E4" s="944"/>
      <c r="F4" s="944"/>
      <c r="G4" s="944"/>
      <c r="H4" s="944"/>
      <c r="I4" s="944" t="s">
        <v>34</v>
      </c>
      <c r="J4" s="944" t="s">
        <v>34</v>
      </c>
      <c r="K4" s="102"/>
    </row>
    <row r="5" spans="2:11" ht="90.5" thickBot="1" x14ac:dyDescent="0.45">
      <c r="B5" s="103" t="s">
        <v>1972</v>
      </c>
      <c r="C5" s="104" t="s">
        <v>1973</v>
      </c>
      <c r="D5" s="105" t="s">
        <v>1974</v>
      </c>
      <c r="E5" s="105" t="s">
        <v>1525</v>
      </c>
      <c r="F5" s="105" t="s">
        <v>1527</v>
      </c>
      <c r="G5" s="105" t="s">
        <v>1975</v>
      </c>
      <c r="H5" s="105" t="s">
        <v>1976</v>
      </c>
      <c r="I5" s="105" t="s">
        <v>1445</v>
      </c>
      <c r="J5" s="105" t="s">
        <v>1538</v>
      </c>
      <c r="K5" s="106" t="s">
        <v>1541</v>
      </c>
    </row>
    <row r="6" spans="2:11" x14ac:dyDescent="0.3">
      <c r="B6" s="107" t="s">
        <v>1977</v>
      </c>
      <c r="C6" s="108" t="s">
        <v>1416</v>
      </c>
      <c r="D6" s="109">
        <v>7.1017736582115596</v>
      </c>
      <c r="E6" s="109">
        <v>6.24680304483139</v>
      </c>
      <c r="F6" s="109">
        <v>4.7831935321225281</v>
      </c>
      <c r="G6" s="109">
        <v>4.5508282820643311</v>
      </c>
      <c r="H6" s="109">
        <v>5.2842429980549044</v>
      </c>
      <c r="I6" s="109">
        <v>7.0526359218504266</v>
      </c>
      <c r="J6" s="109">
        <v>6.3980720442338743</v>
      </c>
      <c r="K6" s="110">
        <v>4.4807093104821893</v>
      </c>
    </row>
    <row r="7" spans="2:11" x14ac:dyDescent="0.3">
      <c r="B7" s="111" t="s">
        <v>1978</v>
      </c>
      <c r="C7" s="112" t="s">
        <v>1483</v>
      </c>
      <c r="D7" s="1499">
        <v>7.4257557716490634</v>
      </c>
      <c r="E7" s="1499">
        <v>6.5788156074586848</v>
      </c>
      <c r="F7" s="1499">
        <v>5.1245198018137454</v>
      </c>
      <c r="G7" s="1499">
        <v>4.898657021188793</v>
      </c>
      <c r="H7" s="1499">
        <v>5.6186683108260116</v>
      </c>
      <c r="I7" s="1499">
        <v>7.3759783455305925</v>
      </c>
      <c r="J7" s="1499">
        <v>6.7303225645424014</v>
      </c>
      <c r="K7" s="113">
        <v>4.8293314597782055</v>
      </c>
    </row>
    <row r="8" spans="2:11" x14ac:dyDescent="0.3">
      <c r="B8" s="111" t="s">
        <v>1979</v>
      </c>
      <c r="C8" s="112" t="s">
        <v>1489</v>
      </c>
      <c r="D8" s="1499">
        <v>7.387180942615994</v>
      </c>
      <c r="E8" s="1499">
        <v>6.5402407784256154</v>
      </c>
      <c r="F8" s="1499">
        <v>5.0859449727806769</v>
      </c>
      <c r="G8" s="1499">
        <v>4.8600821921557236</v>
      </c>
      <c r="H8" s="1499">
        <v>5.5800934817929422</v>
      </c>
      <c r="I8" s="1499">
        <v>7.3374035164975231</v>
      </c>
      <c r="J8" s="1499">
        <v>6.691747735509332</v>
      </c>
      <c r="K8" s="113">
        <v>4.7907566307451361</v>
      </c>
    </row>
    <row r="9" spans="2:11" x14ac:dyDescent="0.3">
      <c r="B9" s="114">
        <v>0</v>
      </c>
      <c r="C9" s="112" t="s">
        <v>1496</v>
      </c>
      <c r="D9" s="1499">
        <v>7.3293186990663894</v>
      </c>
      <c r="E9" s="1499">
        <v>6.4823785348760108</v>
      </c>
      <c r="F9" s="1499">
        <v>5.0280827292310724</v>
      </c>
      <c r="G9" s="1499">
        <v>4.802219948606119</v>
      </c>
      <c r="H9" s="1499">
        <v>5.5222312382433376</v>
      </c>
      <c r="I9" s="1499">
        <v>7.2795412729479185</v>
      </c>
      <c r="J9" s="1499">
        <v>6.6338854919597274</v>
      </c>
      <c r="K9" s="113">
        <v>4.7328943871955316</v>
      </c>
    </row>
    <row r="10" spans="2:11" x14ac:dyDescent="0.3">
      <c r="B10" s="115"/>
      <c r="C10" s="112" t="s">
        <v>1500</v>
      </c>
      <c r="D10" s="1499">
        <v>7.2714564555167849</v>
      </c>
      <c r="E10" s="1499">
        <v>6.4245162913264062</v>
      </c>
      <c r="F10" s="1499">
        <v>4.9702204856814678</v>
      </c>
      <c r="G10" s="1499">
        <v>4.7443577050565144</v>
      </c>
      <c r="H10" s="1499">
        <v>5.4643689946937339</v>
      </c>
      <c r="I10" s="1499">
        <v>7.221679029398314</v>
      </c>
      <c r="J10" s="1499">
        <v>6.5760232484101229</v>
      </c>
      <c r="K10" s="113">
        <v>4.675032143645927</v>
      </c>
    </row>
    <row r="11" spans="2:11" x14ac:dyDescent="0.3">
      <c r="B11" s="115"/>
      <c r="C11" s="112" t="s">
        <v>1504</v>
      </c>
      <c r="D11" s="1499">
        <v>7.3596073152539727</v>
      </c>
      <c r="E11" s="1499">
        <v>6.5095437484668599</v>
      </c>
      <c r="F11" s="1499">
        <v>5.0565897571411007</v>
      </c>
      <c r="G11" s="1499">
        <v>4.8289229675942353</v>
      </c>
      <c r="H11" s="1499">
        <v>5.5508986861264322</v>
      </c>
      <c r="I11" s="1499">
        <v>7.3071084767689856</v>
      </c>
      <c r="J11" s="1499">
        <v>6.6608802893376486</v>
      </c>
      <c r="K11" s="113">
        <v>4.7594441245589882</v>
      </c>
    </row>
    <row r="12" spans="2:11" x14ac:dyDescent="0.3">
      <c r="B12" s="115"/>
      <c r="C12" s="112" t="s">
        <v>1508</v>
      </c>
      <c r="D12" s="1499">
        <v>7.3270688435200517</v>
      </c>
      <c r="E12" s="1499">
        <v>6.4770052767329398</v>
      </c>
      <c r="F12" s="1499">
        <v>5.0240512854071815</v>
      </c>
      <c r="G12" s="1499">
        <v>4.7963844958603152</v>
      </c>
      <c r="H12" s="1499">
        <v>5.518360214392513</v>
      </c>
      <c r="I12" s="1499">
        <v>7.2745700050350646</v>
      </c>
      <c r="J12" s="1499">
        <v>6.6283418176037285</v>
      </c>
      <c r="K12" s="113">
        <v>4.7269056528250681</v>
      </c>
    </row>
    <row r="13" spans="2:11" x14ac:dyDescent="0.3">
      <c r="B13" s="115"/>
      <c r="C13" s="112" t="s">
        <v>1513</v>
      </c>
      <c r="D13" s="1499">
        <v>7.2782611359191707</v>
      </c>
      <c r="E13" s="1499">
        <v>6.4281975691320588</v>
      </c>
      <c r="F13" s="1499">
        <v>4.9752435778063013</v>
      </c>
      <c r="G13" s="1499">
        <v>4.7475767882594342</v>
      </c>
      <c r="H13" s="1499">
        <v>5.4695525067916329</v>
      </c>
      <c r="I13" s="1499">
        <v>7.2257622974341844</v>
      </c>
      <c r="J13" s="1499">
        <v>6.5795341100028475</v>
      </c>
      <c r="K13" s="113">
        <v>4.6780979452241871</v>
      </c>
    </row>
    <row r="14" spans="2:11" x14ac:dyDescent="0.3">
      <c r="B14" s="115"/>
      <c r="C14" s="112" t="s">
        <v>1517</v>
      </c>
      <c r="D14" s="1499">
        <v>7.2294534283182914</v>
      </c>
      <c r="E14" s="1499">
        <v>6.3793898615311795</v>
      </c>
      <c r="F14" s="1499">
        <v>4.9264358702054203</v>
      </c>
      <c r="G14" s="1499">
        <v>4.698769080658554</v>
      </c>
      <c r="H14" s="1499">
        <v>5.4207447991907518</v>
      </c>
      <c r="I14" s="1499">
        <v>7.1769545898333043</v>
      </c>
      <c r="J14" s="1499">
        <v>6.5307264024019673</v>
      </c>
      <c r="K14" s="113">
        <v>4.6292902376233069</v>
      </c>
    </row>
    <row r="15" spans="2:11" ht="14.5" thickBot="1" x14ac:dyDescent="0.35">
      <c r="B15" s="1233"/>
      <c r="C15" s="116" t="s">
        <v>1519</v>
      </c>
      <c r="D15" s="117">
        <v>7.4257557716490634</v>
      </c>
      <c r="E15" s="117">
        <v>6.5788156074586848</v>
      </c>
      <c r="F15" s="117">
        <v>5.1245198018137454</v>
      </c>
      <c r="G15" s="117">
        <v>4.898657021188793</v>
      </c>
      <c r="H15" s="117">
        <v>5.6186683108260116</v>
      </c>
      <c r="I15" s="117">
        <v>7.3759783455305925</v>
      </c>
      <c r="J15" s="117">
        <v>6.7303225645424014</v>
      </c>
      <c r="K15" s="118">
        <v>4.8293314597782055</v>
      </c>
    </row>
    <row r="16" spans="2:11" x14ac:dyDescent="0.3">
      <c r="B16" s="107" t="s">
        <v>1977</v>
      </c>
      <c r="C16" s="108" t="s">
        <v>1416</v>
      </c>
      <c r="D16" s="109">
        <v>6.7126869125305095</v>
      </c>
      <c r="E16" s="109">
        <v>5.85771629915034</v>
      </c>
      <c r="F16" s="109">
        <v>4.394106786441478</v>
      </c>
      <c r="G16" s="109">
        <v>4.161741536383281</v>
      </c>
      <c r="H16" s="109">
        <v>4.8951562523738543</v>
      </c>
      <c r="I16" s="109">
        <v>6.6635491761693766</v>
      </c>
      <c r="J16" s="109">
        <v>6.0089852985528234</v>
      </c>
      <c r="K16" s="110">
        <v>4.0916225648011384</v>
      </c>
    </row>
    <row r="17" spans="2:11" x14ac:dyDescent="0.3">
      <c r="B17" s="111" t="s">
        <v>1978</v>
      </c>
      <c r="C17" s="112" t="s">
        <v>1483</v>
      </c>
      <c r="D17" s="1499">
        <v>7.0366690259680125</v>
      </c>
      <c r="E17" s="1499">
        <v>6.1897288617776347</v>
      </c>
      <c r="F17" s="1499">
        <v>4.7354330561326963</v>
      </c>
      <c r="G17" s="1499">
        <v>4.5095702755077429</v>
      </c>
      <c r="H17" s="1499">
        <v>5.2295815651449615</v>
      </c>
      <c r="I17" s="1499">
        <v>6.9868915998495416</v>
      </c>
      <c r="J17" s="1499">
        <v>6.3412358188613505</v>
      </c>
      <c r="K17" s="113">
        <v>4.4402447140971555</v>
      </c>
    </row>
    <row r="18" spans="2:11" x14ac:dyDescent="0.3">
      <c r="B18" s="111" t="s">
        <v>1980</v>
      </c>
      <c r="C18" s="112" t="s">
        <v>1489</v>
      </c>
      <c r="D18" s="1499">
        <v>6.9980941969349439</v>
      </c>
      <c r="E18" s="1499">
        <v>6.1511540327445653</v>
      </c>
      <c r="F18" s="1499">
        <v>4.696858227099626</v>
      </c>
      <c r="G18" s="1499">
        <v>4.4709954464746726</v>
      </c>
      <c r="H18" s="1499">
        <v>5.1910067361118921</v>
      </c>
      <c r="I18" s="1499">
        <v>6.948316770816473</v>
      </c>
      <c r="J18" s="1499">
        <v>6.3026609898282819</v>
      </c>
      <c r="K18" s="113">
        <v>4.4016698850640861</v>
      </c>
    </row>
    <row r="19" spans="2:11" x14ac:dyDescent="0.3">
      <c r="B19" s="114">
        <v>0</v>
      </c>
      <c r="C19" s="112" t="s">
        <v>1496</v>
      </c>
      <c r="D19" s="1499">
        <v>6.9402319533853394</v>
      </c>
      <c r="E19" s="1499">
        <v>6.0932917891949607</v>
      </c>
      <c r="F19" s="1499">
        <v>4.6389959835500214</v>
      </c>
      <c r="G19" s="1499">
        <v>4.4131332029250689</v>
      </c>
      <c r="H19" s="1499">
        <v>5.1331444925622876</v>
      </c>
      <c r="I19" s="1499">
        <v>6.8904545272668685</v>
      </c>
      <c r="J19" s="1499">
        <v>6.2447987462786774</v>
      </c>
      <c r="K19" s="113">
        <v>4.3438076415144815</v>
      </c>
    </row>
    <row r="20" spans="2:11" x14ac:dyDescent="0.3">
      <c r="B20" s="115"/>
      <c r="C20" s="112" t="s">
        <v>1500</v>
      </c>
      <c r="D20" s="1499">
        <v>6.8823697098357348</v>
      </c>
      <c r="E20" s="1499">
        <v>6.0354295456453562</v>
      </c>
      <c r="F20" s="1499">
        <v>4.5811337400004168</v>
      </c>
      <c r="G20" s="1499">
        <v>4.3552709593754644</v>
      </c>
      <c r="H20" s="1499">
        <v>5.075282249012683</v>
      </c>
      <c r="I20" s="1499">
        <v>6.8325922837172639</v>
      </c>
      <c r="J20" s="1499">
        <v>6.1869365027290728</v>
      </c>
      <c r="K20" s="113">
        <v>4.2859453979648769</v>
      </c>
    </row>
    <row r="21" spans="2:11" x14ac:dyDescent="0.3">
      <c r="B21" s="115"/>
      <c r="C21" s="112" t="s">
        <v>1504</v>
      </c>
      <c r="D21" s="1499">
        <v>6.9705205695729218</v>
      </c>
      <c r="E21" s="1499">
        <v>6.1204570027858098</v>
      </c>
      <c r="F21" s="1499">
        <v>4.6675030114600515</v>
      </c>
      <c r="G21" s="1499">
        <v>4.4398362219131853</v>
      </c>
      <c r="H21" s="1499">
        <v>5.1618119404453831</v>
      </c>
      <c r="I21" s="1499">
        <v>6.9180217310879346</v>
      </c>
      <c r="J21" s="1499">
        <v>6.2717935436565986</v>
      </c>
      <c r="K21" s="113">
        <v>4.3703573788779382</v>
      </c>
    </row>
    <row r="22" spans="2:11" x14ac:dyDescent="0.3">
      <c r="B22" s="115"/>
      <c r="C22" s="112" t="s">
        <v>1508</v>
      </c>
      <c r="D22" s="1499">
        <v>6.9379820978390017</v>
      </c>
      <c r="E22" s="1499">
        <v>6.0879185310518888</v>
      </c>
      <c r="F22" s="1499">
        <v>4.6349645397261305</v>
      </c>
      <c r="G22" s="1499">
        <v>4.4072977501792643</v>
      </c>
      <c r="H22" s="1499">
        <v>5.1292734687114621</v>
      </c>
      <c r="I22" s="1499">
        <v>6.8854832593540145</v>
      </c>
      <c r="J22" s="1499">
        <v>6.2392550719226776</v>
      </c>
      <c r="K22" s="113">
        <v>4.3378189071440172</v>
      </c>
    </row>
    <row r="23" spans="2:11" x14ac:dyDescent="0.3">
      <c r="B23" s="115"/>
      <c r="C23" s="112" t="s">
        <v>1513</v>
      </c>
      <c r="D23" s="1499">
        <v>6.8891743902381206</v>
      </c>
      <c r="E23" s="1499">
        <v>6.0391108234510078</v>
      </c>
      <c r="F23" s="1499">
        <v>4.5861568321252504</v>
      </c>
      <c r="G23" s="1499">
        <v>4.3584900425783841</v>
      </c>
      <c r="H23" s="1499">
        <v>5.0804657611105819</v>
      </c>
      <c r="I23" s="1499">
        <v>6.8366755517531335</v>
      </c>
      <c r="J23" s="1499">
        <v>6.1904473643217965</v>
      </c>
      <c r="K23" s="113">
        <v>4.289011199543137</v>
      </c>
    </row>
    <row r="24" spans="2:11" x14ac:dyDescent="0.3">
      <c r="B24" s="115"/>
      <c r="C24" s="112" t="s">
        <v>1517</v>
      </c>
      <c r="D24" s="1499">
        <v>6.8403666826372413</v>
      </c>
      <c r="E24" s="1499">
        <v>5.9903031158501285</v>
      </c>
      <c r="F24" s="1499">
        <v>4.5373491245243693</v>
      </c>
      <c r="G24" s="1499">
        <v>4.309682334977504</v>
      </c>
      <c r="H24" s="1499">
        <v>5.0316580535097009</v>
      </c>
      <c r="I24" s="1499">
        <v>6.7878678441522542</v>
      </c>
      <c r="J24" s="1499">
        <v>6.1416396567209173</v>
      </c>
      <c r="K24" s="113">
        <v>4.2402034919422569</v>
      </c>
    </row>
    <row r="25" spans="2:11" ht="14.5" thickBot="1" x14ac:dyDescent="0.35">
      <c r="B25" s="1233"/>
      <c r="C25" s="116" t="s">
        <v>1519</v>
      </c>
      <c r="D25" s="117">
        <v>7.0366690259680125</v>
      </c>
      <c r="E25" s="117">
        <v>6.1897288617776347</v>
      </c>
      <c r="F25" s="117">
        <v>4.7354330561326963</v>
      </c>
      <c r="G25" s="117">
        <v>4.5095702755077429</v>
      </c>
      <c r="H25" s="117">
        <v>5.2295815651449615</v>
      </c>
      <c r="I25" s="117">
        <v>6.9868915998495416</v>
      </c>
      <c r="J25" s="117">
        <v>6.3412358188613505</v>
      </c>
      <c r="K25" s="118">
        <v>4.4402447140971555</v>
      </c>
    </row>
    <row r="26" spans="2:11" x14ac:dyDescent="0.3">
      <c r="B26" s="107" t="s">
        <v>1977</v>
      </c>
      <c r="C26" s="108" t="s">
        <v>1416</v>
      </c>
      <c r="D26" s="109">
        <v>6.1290567940089344</v>
      </c>
      <c r="E26" s="109">
        <v>5.274086180628764</v>
      </c>
      <c r="F26" s="109">
        <v>3.8104766679199025</v>
      </c>
      <c r="G26" s="109">
        <v>3.5781114178617055</v>
      </c>
      <c r="H26" s="109">
        <v>4.3115261338522783</v>
      </c>
      <c r="I26" s="109">
        <v>6.0799190576478015</v>
      </c>
      <c r="J26" s="109">
        <v>5.4253551800312483</v>
      </c>
      <c r="K26" s="110">
        <v>3.5079924462795633</v>
      </c>
    </row>
    <row r="27" spans="2:11" x14ac:dyDescent="0.3">
      <c r="B27" s="111" t="s">
        <v>1978</v>
      </c>
      <c r="C27" s="112" t="s">
        <v>1483</v>
      </c>
      <c r="D27" s="1499">
        <v>6.4530389074464383</v>
      </c>
      <c r="E27" s="1499">
        <v>5.6060987432560596</v>
      </c>
      <c r="F27" s="1499">
        <v>4.1518029376111203</v>
      </c>
      <c r="G27" s="1499">
        <v>3.9259401569861674</v>
      </c>
      <c r="H27" s="1499">
        <v>4.6459514466233864</v>
      </c>
      <c r="I27" s="1499">
        <v>6.4032614813279665</v>
      </c>
      <c r="J27" s="1499">
        <v>5.7576057003397754</v>
      </c>
      <c r="K27" s="113">
        <v>3.85661459557558</v>
      </c>
    </row>
    <row r="28" spans="2:11" x14ac:dyDescent="0.3">
      <c r="B28" s="111" t="s">
        <v>1981</v>
      </c>
      <c r="C28" s="112" t="s">
        <v>1489</v>
      </c>
      <c r="D28" s="1499">
        <v>6.4144640784133689</v>
      </c>
      <c r="E28" s="1499">
        <v>5.5675239142229893</v>
      </c>
      <c r="F28" s="1499">
        <v>4.1132281085780509</v>
      </c>
      <c r="G28" s="1499">
        <v>3.8873653279530975</v>
      </c>
      <c r="H28" s="1499">
        <v>4.6073766175903161</v>
      </c>
      <c r="I28" s="1499">
        <v>6.3646866522948979</v>
      </c>
      <c r="J28" s="1499">
        <v>5.7190308713067068</v>
      </c>
      <c r="K28" s="113">
        <v>3.8180397665425101</v>
      </c>
    </row>
    <row r="29" spans="2:11" x14ac:dyDescent="0.3">
      <c r="B29" s="114">
        <v>0</v>
      </c>
      <c r="C29" s="112" t="s">
        <v>1496</v>
      </c>
      <c r="D29" s="1499">
        <v>6.3566018348637643</v>
      </c>
      <c r="E29" s="1499">
        <v>5.5096616706733847</v>
      </c>
      <c r="F29" s="1499">
        <v>4.0553658650284463</v>
      </c>
      <c r="G29" s="1499">
        <v>3.829503084403493</v>
      </c>
      <c r="H29" s="1499">
        <v>4.5495143740407125</v>
      </c>
      <c r="I29" s="1499">
        <v>6.3068244087452934</v>
      </c>
      <c r="J29" s="1499">
        <v>5.6611686277571023</v>
      </c>
      <c r="K29" s="113">
        <v>3.760177522992906</v>
      </c>
    </row>
    <row r="30" spans="2:11" x14ac:dyDescent="0.3">
      <c r="B30" s="115"/>
      <c r="C30" s="112" t="s">
        <v>1500</v>
      </c>
      <c r="D30" s="1499">
        <v>6.2987395913141597</v>
      </c>
      <c r="E30" s="1499">
        <v>5.4517994271237811</v>
      </c>
      <c r="F30" s="1499">
        <v>3.9975036214788422</v>
      </c>
      <c r="G30" s="1499">
        <v>3.7716408408538884</v>
      </c>
      <c r="H30" s="1499">
        <v>4.4916521304911079</v>
      </c>
      <c r="I30" s="1499">
        <v>6.2489621651956888</v>
      </c>
      <c r="J30" s="1499">
        <v>5.6033063842074977</v>
      </c>
      <c r="K30" s="113">
        <v>3.7023152794433019</v>
      </c>
    </row>
    <row r="31" spans="2:11" x14ac:dyDescent="0.3">
      <c r="B31" s="115"/>
      <c r="C31" s="112" t="s">
        <v>1504</v>
      </c>
      <c r="D31" s="1499">
        <v>6.3868904510513458</v>
      </c>
      <c r="E31" s="1499">
        <v>5.5368268842642339</v>
      </c>
      <c r="F31" s="1499">
        <v>4.0838728929384756</v>
      </c>
      <c r="G31" s="1499">
        <v>3.8562061033916097</v>
      </c>
      <c r="H31" s="1499">
        <v>4.5781818219238071</v>
      </c>
      <c r="I31" s="1499">
        <v>6.3343916125663586</v>
      </c>
      <c r="J31" s="1499">
        <v>5.6881634251350217</v>
      </c>
      <c r="K31" s="113">
        <v>3.7867272603563626</v>
      </c>
    </row>
    <row r="32" spans="2:11" x14ac:dyDescent="0.3">
      <c r="B32" s="115"/>
      <c r="C32" s="112" t="s">
        <v>1508</v>
      </c>
      <c r="D32" s="1499">
        <v>6.3543519793174266</v>
      </c>
      <c r="E32" s="1499">
        <v>5.5042884125303138</v>
      </c>
      <c r="F32" s="1499">
        <v>4.0513344212045554</v>
      </c>
      <c r="G32" s="1499">
        <v>3.8236676316576892</v>
      </c>
      <c r="H32" s="1499">
        <v>4.545643350189887</v>
      </c>
      <c r="I32" s="1499">
        <v>6.3018531408324394</v>
      </c>
      <c r="J32" s="1499">
        <v>5.6556249534011025</v>
      </c>
      <c r="K32" s="113">
        <v>3.7541887886224421</v>
      </c>
    </row>
    <row r="33" spans="2:11" x14ac:dyDescent="0.3">
      <c r="B33" s="115"/>
      <c r="C33" s="112" t="s">
        <v>1513</v>
      </c>
      <c r="D33" s="1499">
        <v>6.3055442717165455</v>
      </c>
      <c r="E33" s="1499">
        <v>5.4554807049294336</v>
      </c>
      <c r="F33" s="1499">
        <v>4.0025267136036753</v>
      </c>
      <c r="G33" s="1499">
        <v>3.774859924056809</v>
      </c>
      <c r="H33" s="1499">
        <v>4.4968356425890068</v>
      </c>
      <c r="I33" s="1499">
        <v>6.2530454332315584</v>
      </c>
      <c r="J33" s="1499">
        <v>5.6068172458002223</v>
      </c>
      <c r="K33" s="113">
        <v>3.7053810810215619</v>
      </c>
    </row>
    <row r="34" spans="2:11" x14ac:dyDescent="0.3">
      <c r="B34" s="115"/>
      <c r="C34" s="112" t="s">
        <v>1517</v>
      </c>
      <c r="D34" s="1499">
        <v>6.2567365641156645</v>
      </c>
      <c r="E34" s="1499">
        <v>5.4066729973285534</v>
      </c>
      <c r="F34" s="1499">
        <v>3.9537190060027947</v>
      </c>
      <c r="G34" s="1499">
        <v>3.7260522164559289</v>
      </c>
      <c r="H34" s="1499">
        <v>4.4480279349881267</v>
      </c>
      <c r="I34" s="1499">
        <v>6.2042377256306782</v>
      </c>
      <c r="J34" s="1499">
        <v>5.5580095381993422</v>
      </c>
      <c r="K34" s="113">
        <v>3.6565733734206818</v>
      </c>
    </row>
    <row r="35" spans="2:11" ht="14.5" thickBot="1" x14ac:dyDescent="0.35">
      <c r="B35" s="1233"/>
      <c r="C35" s="116" t="s">
        <v>1519</v>
      </c>
      <c r="D35" s="117">
        <v>6.4530389074464383</v>
      </c>
      <c r="E35" s="117">
        <v>5.6060987432560596</v>
      </c>
      <c r="F35" s="117">
        <v>4.1518029376111203</v>
      </c>
      <c r="G35" s="117">
        <v>3.9259401569861674</v>
      </c>
      <c r="H35" s="117">
        <v>4.6459514466233864</v>
      </c>
      <c r="I35" s="117">
        <v>6.4032614813279665</v>
      </c>
      <c r="J35" s="117">
        <v>5.7576057003397754</v>
      </c>
      <c r="K35" s="118">
        <v>3.85661459557558</v>
      </c>
    </row>
    <row r="36" spans="2:11" x14ac:dyDescent="0.3">
      <c r="B36" s="107" t="s">
        <v>1977</v>
      </c>
      <c r="C36" s="108" t="s">
        <v>1416</v>
      </c>
      <c r="D36" s="109">
        <v>5.5454266754873585</v>
      </c>
      <c r="E36" s="109">
        <v>4.6904560621071889</v>
      </c>
      <c r="F36" s="109">
        <v>3.2268465493983274</v>
      </c>
      <c r="G36" s="109">
        <v>2.9944812993401304</v>
      </c>
      <c r="H36" s="109">
        <v>3.7278960153307032</v>
      </c>
      <c r="I36" s="109">
        <v>5.4962889391262255</v>
      </c>
      <c r="J36" s="109">
        <v>4.8417250615096732</v>
      </c>
      <c r="K36" s="110">
        <v>2.9243623277579882</v>
      </c>
    </row>
    <row r="37" spans="2:11" x14ac:dyDescent="0.3">
      <c r="B37" s="111" t="s">
        <v>1978</v>
      </c>
      <c r="C37" s="112" t="s">
        <v>1483</v>
      </c>
      <c r="D37" s="1499">
        <v>5.8694087889248632</v>
      </c>
      <c r="E37" s="1499">
        <v>5.0224686247344845</v>
      </c>
      <c r="F37" s="1499">
        <v>3.5681728190895456</v>
      </c>
      <c r="G37" s="1499">
        <v>3.3423100384645918</v>
      </c>
      <c r="H37" s="1499">
        <v>4.0623213281018113</v>
      </c>
      <c r="I37" s="1499">
        <v>5.8196313628063923</v>
      </c>
      <c r="J37" s="1499">
        <v>5.1739755818182012</v>
      </c>
      <c r="K37" s="113">
        <v>3.2729844770540053</v>
      </c>
    </row>
    <row r="38" spans="2:11" x14ac:dyDescent="0.3">
      <c r="B38" s="111" t="s">
        <v>1982</v>
      </c>
      <c r="C38" s="112" t="s">
        <v>1489</v>
      </c>
      <c r="D38" s="1499">
        <v>5.8308339598917929</v>
      </c>
      <c r="E38" s="1499">
        <v>4.9838937957014151</v>
      </c>
      <c r="F38" s="1499">
        <v>3.5295979900564758</v>
      </c>
      <c r="G38" s="1499">
        <v>3.3037352094315224</v>
      </c>
      <c r="H38" s="1499">
        <v>4.0237464990687419</v>
      </c>
      <c r="I38" s="1499">
        <v>5.7810565337733211</v>
      </c>
      <c r="J38" s="1499">
        <v>5.1354007527851309</v>
      </c>
      <c r="K38" s="113">
        <v>3.2344096480209354</v>
      </c>
    </row>
    <row r="39" spans="2:11" x14ac:dyDescent="0.3">
      <c r="B39" s="114">
        <v>0</v>
      </c>
      <c r="C39" s="112" t="s">
        <v>1496</v>
      </c>
      <c r="D39" s="1499">
        <v>5.7729717163421883</v>
      </c>
      <c r="E39" s="1499">
        <v>4.9260315521518105</v>
      </c>
      <c r="F39" s="1499">
        <v>3.4717357465068712</v>
      </c>
      <c r="G39" s="1499">
        <v>3.2458729658819179</v>
      </c>
      <c r="H39" s="1499">
        <v>3.9658842555191369</v>
      </c>
      <c r="I39" s="1499">
        <v>5.7231942902237174</v>
      </c>
      <c r="J39" s="1499">
        <v>5.0775385092355263</v>
      </c>
      <c r="K39" s="113">
        <v>3.1765474044713309</v>
      </c>
    </row>
    <row r="40" spans="2:11" x14ac:dyDescent="0.3">
      <c r="B40" s="115"/>
      <c r="C40" s="112" t="s">
        <v>1500</v>
      </c>
      <c r="D40" s="1499">
        <v>5.7151094727925837</v>
      </c>
      <c r="E40" s="1499">
        <v>4.868169308602206</v>
      </c>
      <c r="F40" s="1499">
        <v>3.4138735029572667</v>
      </c>
      <c r="G40" s="1499">
        <v>3.1880107223323138</v>
      </c>
      <c r="H40" s="1499">
        <v>3.9080220119695328</v>
      </c>
      <c r="I40" s="1499">
        <v>5.6653320466741128</v>
      </c>
      <c r="J40" s="1499">
        <v>5.0196762656859217</v>
      </c>
      <c r="K40" s="113">
        <v>3.1186851609217263</v>
      </c>
    </row>
    <row r="41" spans="2:11" x14ac:dyDescent="0.3">
      <c r="B41" s="115"/>
      <c r="C41" s="112" t="s">
        <v>1504</v>
      </c>
      <c r="D41" s="1499">
        <v>5.8032603325297707</v>
      </c>
      <c r="E41" s="1499">
        <v>4.9531967657426588</v>
      </c>
      <c r="F41" s="1499">
        <v>3.5002427744169</v>
      </c>
      <c r="G41" s="1499">
        <v>3.2725759848700342</v>
      </c>
      <c r="H41" s="1499">
        <v>3.9945517034022315</v>
      </c>
      <c r="I41" s="1499">
        <v>5.7507614940447835</v>
      </c>
      <c r="J41" s="1499">
        <v>5.1045333066134475</v>
      </c>
      <c r="K41" s="113">
        <v>3.2030971418347871</v>
      </c>
    </row>
    <row r="42" spans="2:11" x14ac:dyDescent="0.3">
      <c r="B42" s="115"/>
      <c r="C42" s="112" t="s">
        <v>1508</v>
      </c>
      <c r="D42" s="1499">
        <v>5.7707218607958506</v>
      </c>
      <c r="E42" s="1499">
        <v>4.9206582940087387</v>
      </c>
      <c r="F42" s="1499">
        <v>3.4677043026829804</v>
      </c>
      <c r="G42" s="1499">
        <v>3.2400375131361141</v>
      </c>
      <c r="H42" s="1499">
        <v>3.9620132316683119</v>
      </c>
      <c r="I42" s="1499">
        <v>5.7182230223108634</v>
      </c>
      <c r="J42" s="1499">
        <v>5.0719948348795274</v>
      </c>
      <c r="K42" s="113">
        <v>3.170558670100867</v>
      </c>
    </row>
    <row r="43" spans="2:11" x14ac:dyDescent="0.3">
      <c r="B43" s="115"/>
      <c r="C43" s="112" t="s">
        <v>1513</v>
      </c>
      <c r="D43" s="1499">
        <v>5.7219141531949704</v>
      </c>
      <c r="E43" s="1499">
        <v>4.8718505864078585</v>
      </c>
      <c r="F43" s="1499">
        <v>3.4188965950820993</v>
      </c>
      <c r="G43" s="1499">
        <v>3.1912298055352339</v>
      </c>
      <c r="H43" s="1499">
        <v>3.9132055240674308</v>
      </c>
      <c r="I43" s="1499">
        <v>5.6694153147099842</v>
      </c>
      <c r="J43" s="1499">
        <v>5.0231871272786472</v>
      </c>
      <c r="K43" s="113">
        <v>3.1217509624999868</v>
      </c>
    </row>
    <row r="44" spans="2:11" x14ac:dyDescent="0.3">
      <c r="B44" s="115"/>
      <c r="C44" s="112" t="s">
        <v>1517</v>
      </c>
      <c r="D44" s="1499">
        <v>5.6731064455940903</v>
      </c>
      <c r="E44" s="1499">
        <v>4.8230428788069775</v>
      </c>
      <c r="F44" s="1499">
        <v>3.3700888874812192</v>
      </c>
      <c r="G44" s="1499">
        <v>3.1424220979343533</v>
      </c>
      <c r="H44" s="1499">
        <v>3.8643978164665507</v>
      </c>
      <c r="I44" s="1499">
        <v>5.6206076071091031</v>
      </c>
      <c r="J44" s="1499">
        <v>4.9743794196777662</v>
      </c>
      <c r="K44" s="113">
        <v>3.0729432548991062</v>
      </c>
    </row>
    <row r="45" spans="2:11" ht="14.5" thickBot="1" x14ac:dyDescent="0.35">
      <c r="B45" s="1233"/>
      <c r="C45" s="116" t="s">
        <v>1519</v>
      </c>
      <c r="D45" s="117">
        <v>5.8694087889248632</v>
      </c>
      <c r="E45" s="117">
        <v>5.0224686247344845</v>
      </c>
      <c r="F45" s="117">
        <v>3.5681728190895456</v>
      </c>
      <c r="G45" s="117">
        <v>3.3423100384645918</v>
      </c>
      <c r="H45" s="117">
        <v>4.0623213281018113</v>
      </c>
      <c r="I45" s="117">
        <v>5.8196313628063923</v>
      </c>
      <c r="J45" s="117">
        <v>5.1739755818182012</v>
      </c>
      <c r="K45" s="118">
        <v>3.2729844770540053</v>
      </c>
    </row>
    <row r="46" spans="2:11" x14ac:dyDescent="0.3">
      <c r="B46" s="119" t="s">
        <v>1983</v>
      </c>
      <c r="C46" s="108" t="s">
        <v>1416</v>
      </c>
      <c r="D46" s="109">
        <v>6.1292228097796349</v>
      </c>
      <c r="E46" s="109">
        <v>5.2299723478594675</v>
      </c>
      <c r="F46" s="109">
        <v>3.8081576429213326</v>
      </c>
      <c r="G46" s="109">
        <v>3.5531555008701785</v>
      </c>
      <c r="H46" s="109">
        <v>4.2970716130015765</v>
      </c>
      <c r="I46" s="109">
        <v>6.0277428752535354</v>
      </c>
      <c r="J46" s="109">
        <v>5.3774082944201798</v>
      </c>
      <c r="K46" s="110">
        <v>3.4842686190505012</v>
      </c>
    </row>
    <row r="47" spans="2:11" x14ac:dyDescent="0.3">
      <c r="B47" s="111"/>
      <c r="C47" s="112" t="s">
        <v>1483</v>
      </c>
      <c r="D47" s="1499">
        <v>6.4579647413436341</v>
      </c>
      <c r="E47" s="1499">
        <v>5.5712442345239586</v>
      </c>
      <c r="F47" s="1499">
        <v>4.1508428587740696</v>
      </c>
      <c r="G47" s="1499">
        <v>3.9058574303777727</v>
      </c>
      <c r="H47" s="1499">
        <v>4.6359369221852429</v>
      </c>
      <c r="I47" s="1499">
        <v>6.3623574063166819</v>
      </c>
      <c r="J47" s="1499">
        <v>5.7190110658976616</v>
      </c>
      <c r="K47" s="113">
        <v>3.8365618246378883</v>
      </c>
    </row>
    <row r="48" spans="2:11" x14ac:dyDescent="0.3">
      <c r="B48" s="111" t="s">
        <v>1979</v>
      </c>
      <c r="C48" s="112" t="s">
        <v>1489</v>
      </c>
      <c r="D48" s="1499">
        <v>6.4193899123105655</v>
      </c>
      <c r="E48" s="1499">
        <v>5.5326694054908891</v>
      </c>
      <c r="F48" s="1499">
        <v>4.1122680297409993</v>
      </c>
      <c r="G48" s="1499">
        <v>3.8672826013447028</v>
      </c>
      <c r="H48" s="1499">
        <v>4.5973620931521726</v>
      </c>
      <c r="I48" s="1499">
        <v>6.3237825772836134</v>
      </c>
      <c r="J48" s="1499">
        <v>5.6804362368645913</v>
      </c>
      <c r="K48" s="113">
        <v>3.7979869956048184</v>
      </c>
    </row>
    <row r="49" spans="2:11" x14ac:dyDescent="0.3">
      <c r="B49" s="114">
        <v>0</v>
      </c>
      <c r="C49" s="112" t="s">
        <v>1496</v>
      </c>
      <c r="D49" s="1499">
        <v>6.361527668760961</v>
      </c>
      <c r="E49" s="1499">
        <v>5.4748071619412846</v>
      </c>
      <c r="F49" s="1499">
        <v>4.0544057861913956</v>
      </c>
      <c r="G49" s="1499">
        <v>3.8094203577950987</v>
      </c>
      <c r="H49" s="1499">
        <v>4.539499849602568</v>
      </c>
      <c r="I49" s="1499">
        <v>6.2659203337340088</v>
      </c>
      <c r="J49" s="1499">
        <v>5.6225739933149868</v>
      </c>
      <c r="K49" s="113">
        <v>3.7401247520552139</v>
      </c>
    </row>
    <row r="50" spans="2:11" x14ac:dyDescent="0.3">
      <c r="B50" s="115"/>
      <c r="C50" s="112" t="s">
        <v>1500</v>
      </c>
      <c r="D50" s="1499">
        <v>6.3036654252113564</v>
      </c>
      <c r="E50" s="1499">
        <v>5.41694491839168</v>
      </c>
      <c r="F50" s="1499">
        <v>3.9965435426417906</v>
      </c>
      <c r="G50" s="1499">
        <v>3.7515581142454941</v>
      </c>
      <c r="H50" s="1499">
        <v>4.4816376060529635</v>
      </c>
      <c r="I50" s="1499">
        <v>6.2080580901844042</v>
      </c>
      <c r="J50" s="1499">
        <v>5.5647117497653831</v>
      </c>
      <c r="K50" s="113">
        <v>3.6822625085056093</v>
      </c>
    </row>
    <row r="51" spans="2:11" x14ac:dyDescent="0.3">
      <c r="B51" s="115"/>
      <c r="C51" s="112" t="s">
        <v>1504</v>
      </c>
      <c r="D51" s="1499">
        <v>6.3918339770090293</v>
      </c>
      <c r="E51" s="1499">
        <v>5.5018766746122898</v>
      </c>
      <c r="F51" s="1499">
        <v>4.082510936983506</v>
      </c>
      <c r="G51" s="1499">
        <v>3.83484409983657</v>
      </c>
      <c r="H51" s="1499">
        <v>4.5681752080304348</v>
      </c>
      <c r="I51" s="1499">
        <v>6.2926501553329839</v>
      </c>
      <c r="J51" s="1499">
        <v>5.649159747232984</v>
      </c>
      <c r="K51" s="113">
        <v>3.7652945693352118</v>
      </c>
    </row>
    <row r="52" spans="2:11" x14ac:dyDescent="0.3">
      <c r="B52" s="115"/>
      <c r="C52" s="112" t="s">
        <v>1508</v>
      </c>
      <c r="D52" s="1499">
        <v>6.3592955052751101</v>
      </c>
      <c r="E52" s="1499">
        <v>5.4693382028783697</v>
      </c>
      <c r="F52" s="1499">
        <v>4.049972465249585</v>
      </c>
      <c r="G52" s="1499">
        <v>3.8023056281026495</v>
      </c>
      <c r="H52" s="1499">
        <v>4.5356367362965138</v>
      </c>
      <c r="I52" s="1499">
        <v>6.2601116835990647</v>
      </c>
      <c r="J52" s="1499">
        <v>5.616621275499063</v>
      </c>
      <c r="K52" s="113">
        <v>3.7327560976012912</v>
      </c>
    </row>
    <row r="53" spans="2:11" x14ac:dyDescent="0.3">
      <c r="B53" s="115"/>
      <c r="C53" s="112" t="s">
        <v>1513</v>
      </c>
      <c r="D53" s="1499">
        <v>6.3104877976742291</v>
      </c>
      <c r="E53" s="1499">
        <v>5.4205304952774886</v>
      </c>
      <c r="F53" s="1499">
        <v>4.0011647576487048</v>
      </c>
      <c r="G53" s="1499">
        <v>3.7534979205017693</v>
      </c>
      <c r="H53" s="1499">
        <v>4.4868290286956336</v>
      </c>
      <c r="I53" s="1499">
        <v>6.2113039759981836</v>
      </c>
      <c r="J53" s="1499">
        <v>5.5678135678981828</v>
      </c>
      <c r="K53" s="113">
        <v>3.6839483900004111</v>
      </c>
    </row>
    <row r="54" spans="2:11" x14ac:dyDescent="0.3">
      <c r="B54" s="115"/>
      <c r="C54" s="112" t="s">
        <v>1517</v>
      </c>
      <c r="D54" s="1499">
        <v>6.261680090073348</v>
      </c>
      <c r="E54" s="1499">
        <v>5.3717227876766085</v>
      </c>
      <c r="F54" s="1499">
        <v>3.9523570500478247</v>
      </c>
      <c r="G54" s="1499">
        <v>3.7046902129008887</v>
      </c>
      <c r="H54" s="1499">
        <v>4.4380213210947534</v>
      </c>
      <c r="I54" s="1499">
        <v>6.1624962683973026</v>
      </c>
      <c r="J54" s="1499">
        <v>5.5190058602973027</v>
      </c>
      <c r="K54" s="113">
        <v>3.6351406823995305</v>
      </c>
    </row>
    <row r="55" spans="2:11" ht="14.5" thickBot="1" x14ac:dyDescent="0.35">
      <c r="B55" s="1233"/>
      <c r="C55" s="116" t="s">
        <v>1519</v>
      </c>
      <c r="D55" s="117">
        <v>6.4579647413436341</v>
      </c>
      <c r="E55" s="117">
        <v>5.5712442345239586</v>
      </c>
      <c r="F55" s="117">
        <v>4.1508428587740696</v>
      </c>
      <c r="G55" s="117">
        <v>3.9058574303777727</v>
      </c>
      <c r="H55" s="117">
        <v>4.6359369221852429</v>
      </c>
      <c r="I55" s="117">
        <v>6.3623574063166819</v>
      </c>
      <c r="J55" s="117">
        <v>5.7190110658976616</v>
      </c>
      <c r="K55" s="118">
        <v>3.8365618246378883</v>
      </c>
    </row>
    <row r="56" spans="2:11" x14ac:dyDescent="0.3">
      <c r="B56" s="119" t="s">
        <v>1983</v>
      </c>
      <c r="C56" s="108" t="s">
        <v>1416</v>
      </c>
      <c r="D56" s="109">
        <v>5.928664718751909</v>
      </c>
      <c r="E56" s="109">
        <v>5.0294142568317426</v>
      </c>
      <c r="F56" s="109">
        <v>3.6075995518936081</v>
      </c>
      <c r="G56" s="109">
        <v>3.352597409842454</v>
      </c>
      <c r="H56" s="109">
        <v>4.0965135219738524</v>
      </c>
      <c r="I56" s="109">
        <v>5.8271847842258095</v>
      </c>
      <c r="J56" s="109">
        <v>5.1768502033924557</v>
      </c>
      <c r="K56" s="110">
        <v>3.2837105280227772</v>
      </c>
    </row>
    <row r="57" spans="2:11" x14ac:dyDescent="0.3">
      <c r="B57" s="111"/>
      <c r="C57" s="112" t="s">
        <v>1483</v>
      </c>
      <c r="D57" s="1499">
        <v>6.2574066503159091</v>
      </c>
      <c r="E57" s="1499">
        <v>5.3706861434962345</v>
      </c>
      <c r="F57" s="1499">
        <v>3.9502847677463451</v>
      </c>
      <c r="G57" s="1499">
        <v>3.7052993393500482</v>
      </c>
      <c r="H57" s="1499">
        <v>4.435378831157518</v>
      </c>
      <c r="I57" s="1499">
        <v>6.161799315288957</v>
      </c>
      <c r="J57" s="1499">
        <v>5.5184529748699367</v>
      </c>
      <c r="K57" s="113">
        <v>3.6360037336101638</v>
      </c>
    </row>
    <row r="58" spans="2:11" x14ac:dyDescent="0.3">
      <c r="B58" s="111" t="s">
        <v>1980</v>
      </c>
      <c r="C58" s="112" t="s">
        <v>1489</v>
      </c>
      <c r="D58" s="1499">
        <v>6.2188318212828397</v>
      </c>
      <c r="E58" s="1499">
        <v>5.3321113144631642</v>
      </c>
      <c r="F58" s="1499">
        <v>3.9117099387132752</v>
      </c>
      <c r="G58" s="1499">
        <v>3.6667245103169783</v>
      </c>
      <c r="H58" s="1499">
        <v>4.3968040021244486</v>
      </c>
      <c r="I58" s="1499">
        <v>6.1232244862558876</v>
      </c>
      <c r="J58" s="1499">
        <v>5.4798781458368673</v>
      </c>
      <c r="K58" s="113">
        <v>3.597428904577094</v>
      </c>
    </row>
    <row r="59" spans="2:11" x14ac:dyDescent="0.3">
      <c r="B59" s="114">
        <v>0</v>
      </c>
      <c r="C59" s="112" t="s">
        <v>1496</v>
      </c>
      <c r="D59" s="1499">
        <v>6.1609695777332361</v>
      </c>
      <c r="E59" s="1499">
        <v>5.2742490709135605</v>
      </c>
      <c r="F59" s="1499">
        <v>3.8538476951636707</v>
      </c>
      <c r="G59" s="1499">
        <v>3.6088622667673742</v>
      </c>
      <c r="H59" s="1499">
        <v>4.338941758574844</v>
      </c>
      <c r="I59" s="1499">
        <v>6.0653622427062839</v>
      </c>
      <c r="J59" s="1499">
        <v>5.4220159022872627</v>
      </c>
      <c r="K59" s="113">
        <v>3.5395666610274894</v>
      </c>
    </row>
    <row r="60" spans="2:11" x14ac:dyDescent="0.3">
      <c r="B60" s="115"/>
      <c r="C60" s="112" t="s">
        <v>1500</v>
      </c>
      <c r="D60" s="1499">
        <v>6.1031073341836315</v>
      </c>
      <c r="E60" s="1499">
        <v>5.216386827363956</v>
      </c>
      <c r="F60" s="1499">
        <v>3.7959854516140665</v>
      </c>
      <c r="G60" s="1499">
        <v>3.5510000232177696</v>
      </c>
      <c r="H60" s="1499">
        <v>4.2810795150252394</v>
      </c>
      <c r="I60" s="1499">
        <v>6.0074999991566793</v>
      </c>
      <c r="J60" s="1499">
        <v>5.3641536587376581</v>
      </c>
      <c r="K60" s="113">
        <v>3.4817044174778848</v>
      </c>
    </row>
    <row r="61" spans="2:11" x14ac:dyDescent="0.3">
      <c r="B61" s="115"/>
      <c r="C61" s="112" t="s">
        <v>1504</v>
      </c>
      <c r="D61" s="1499">
        <v>6.1912758859813053</v>
      </c>
      <c r="E61" s="1499">
        <v>5.3013185835845658</v>
      </c>
      <c r="F61" s="1499">
        <v>3.8819528459557811</v>
      </c>
      <c r="G61" s="1499">
        <v>3.6342860088088456</v>
      </c>
      <c r="H61" s="1499">
        <v>4.3676171170027098</v>
      </c>
      <c r="I61" s="1499">
        <v>6.0920920643052598</v>
      </c>
      <c r="J61" s="1499">
        <v>5.4486016562052599</v>
      </c>
      <c r="K61" s="113">
        <v>3.5647364783074873</v>
      </c>
    </row>
    <row r="62" spans="2:11" x14ac:dyDescent="0.3">
      <c r="B62" s="115"/>
      <c r="C62" s="112" t="s">
        <v>1508</v>
      </c>
      <c r="D62" s="1499">
        <v>6.1587374142473843</v>
      </c>
      <c r="E62" s="1499">
        <v>5.2687801118506448</v>
      </c>
      <c r="F62" s="1499">
        <v>3.8494143742218605</v>
      </c>
      <c r="G62" s="1499">
        <v>3.601747537074925</v>
      </c>
      <c r="H62" s="1499">
        <v>4.3350786452687897</v>
      </c>
      <c r="I62" s="1499">
        <v>6.0595535925713389</v>
      </c>
      <c r="J62" s="1499">
        <v>5.4160631844713389</v>
      </c>
      <c r="K62" s="113">
        <v>3.5321980065735668</v>
      </c>
    </row>
    <row r="63" spans="2:11" x14ac:dyDescent="0.3">
      <c r="B63" s="115"/>
      <c r="C63" s="112" t="s">
        <v>1513</v>
      </c>
      <c r="D63" s="1499">
        <v>6.1099297066465041</v>
      </c>
      <c r="E63" s="1499">
        <v>5.2199724042497646</v>
      </c>
      <c r="F63" s="1499">
        <v>3.8006066666209803</v>
      </c>
      <c r="G63" s="1499">
        <v>3.5529398294740449</v>
      </c>
      <c r="H63" s="1499">
        <v>4.2862709376679096</v>
      </c>
      <c r="I63" s="1499">
        <v>6.0107458849704587</v>
      </c>
      <c r="J63" s="1499">
        <v>5.3672554768704588</v>
      </c>
      <c r="K63" s="113">
        <v>3.4833902989726866</v>
      </c>
    </row>
    <row r="64" spans="2:11" x14ac:dyDescent="0.3">
      <c r="B64" s="115"/>
      <c r="C64" s="112" t="s">
        <v>1517</v>
      </c>
      <c r="D64" s="1499">
        <v>6.061121999045624</v>
      </c>
      <c r="E64" s="1499">
        <v>5.1711646966488836</v>
      </c>
      <c r="F64" s="1499">
        <v>3.7517989590200997</v>
      </c>
      <c r="G64" s="1499">
        <v>3.5041321218731638</v>
      </c>
      <c r="H64" s="1499">
        <v>4.2374632300670285</v>
      </c>
      <c r="I64" s="1499">
        <v>5.9619381773695785</v>
      </c>
      <c r="J64" s="1499">
        <v>5.3184477692695777</v>
      </c>
      <c r="K64" s="113">
        <v>3.4345825913718055</v>
      </c>
    </row>
    <row r="65" spans="2:11" ht="14.5" thickBot="1" x14ac:dyDescent="0.35">
      <c r="B65" s="1233"/>
      <c r="C65" s="116" t="s">
        <v>1519</v>
      </c>
      <c r="D65" s="117">
        <v>6.2574066503159091</v>
      </c>
      <c r="E65" s="117">
        <v>5.3706861434962345</v>
      </c>
      <c r="F65" s="117">
        <v>3.9502847677463451</v>
      </c>
      <c r="G65" s="117">
        <v>3.7052993393500482</v>
      </c>
      <c r="H65" s="117">
        <v>4.435378831157518</v>
      </c>
      <c r="I65" s="117">
        <v>6.161799315288957</v>
      </c>
      <c r="J65" s="117">
        <v>5.5184529748699367</v>
      </c>
      <c r="K65" s="118">
        <v>3.6360037336101638</v>
      </c>
    </row>
    <row r="66" spans="2:11" x14ac:dyDescent="0.3">
      <c r="B66" s="119" t="s">
        <v>1983</v>
      </c>
      <c r="C66" s="108" t="s">
        <v>1416</v>
      </c>
      <c r="D66" s="109">
        <v>5.6278275822103225</v>
      </c>
      <c r="E66" s="109">
        <v>4.7285771202901561</v>
      </c>
      <c r="F66" s="109">
        <v>3.3067624153520212</v>
      </c>
      <c r="G66" s="109">
        <v>3.0517602733008671</v>
      </c>
      <c r="H66" s="109">
        <v>3.795676385432265</v>
      </c>
      <c r="I66" s="109">
        <v>5.526347647684223</v>
      </c>
      <c r="J66" s="109">
        <v>4.8760130668508683</v>
      </c>
      <c r="K66" s="110">
        <v>2.9828733914811902</v>
      </c>
    </row>
    <row r="67" spans="2:11" x14ac:dyDescent="0.3">
      <c r="B67" s="111"/>
      <c r="C67" s="112" t="s">
        <v>1483</v>
      </c>
      <c r="D67" s="1499">
        <v>5.9565695137743226</v>
      </c>
      <c r="E67" s="1499">
        <v>5.0698490069546471</v>
      </c>
      <c r="F67" s="1499">
        <v>3.6494476312047581</v>
      </c>
      <c r="G67" s="1499">
        <v>3.4044622028084612</v>
      </c>
      <c r="H67" s="1499">
        <v>4.1345416946159315</v>
      </c>
      <c r="I67" s="1499">
        <v>5.8609621787473705</v>
      </c>
      <c r="J67" s="1499">
        <v>5.2176158383283502</v>
      </c>
      <c r="K67" s="113">
        <v>3.3351665970685769</v>
      </c>
    </row>
    <row r="68" spans="2:11" x14ac:dyDescent="0.3">
      <c r="B68" s="111" t="s">
        <v>1981</v>
      </c>
      <c r="C68" s="112" t="s">
        <v>1489</v>
      </c>
      <c r="D68" s="1499">
        <v>5.9179946847412523</v>
      </c>
      <c r="E68" s="1499">
        <v>5.0312741779215777</v>
      </c>
      <c r="F68" s="1499">
        <v>3.6108728021716883</v>
      </c>
      <c r="G68" s="1499">
        <v>3.3658873737753914</v>
      </c>
      <c r="H68" s="1499">
        <v>4.0959668655828612</v>
      </c>
      <c r="I68" s="1499">
        <v>5.8223873497143002</v>
      </c>
      <c r="J68" s="1499">
        <v>5.1790410092952799</v>
      </c>
      <c r="K68" s="113">
        <v>3.296591768035507</v>
      </c>
    </row>
    <row r="69" spans="2:11" x14ac:dyDescent="0.3">
      <c r="B69" s="114">
        <v>0</v>
      </c>
      <c r="C69" s="112" t="s">
        <v>1496</v>
      </c>
      <c r="D69" s="1499">
        <v>5.8601324411916496</v>
      </c>
      <c r="E69" s="1499">
        <v>4.9734119343719732</v>
      </c>
      <c r="F69" s="1499">
        <v>3.5530105586220837</v>
      </c>
      <c r="G69" s="1499">
        <v>3.3080251302257873</v>
      </c>
      <c r="H69" s="1499">
        <v>4.0381046220332566</v>
      </c>
      <c r="I69" s="1499">
        <v>5.7645251061646956</v>
      </c>
      <c r="J69" s="1499">
        <v>5.1211787657456753</v>
      </c>
      <c r="K69" s="113">
        <v>3.2387295244859025</v>
      </c>
    </row>
    <row r="70" spans="2:11" x14ac:dyDescent="0.3">
      <c r="B70" s="115"/>
      <c r="C70" s="112" t="s">
        <v>1500</v>
      </c>
      <c r="D70" s="1499">
        <v>5.8022701976420432</v>
      </c>
      <c r="E70" s="1499">
        <v>4.9155496908223686</v>
      </c>
      <c r="F70" s="1499">
        <v>3.4951483150724796</v>
      </c>
      <c r="G70" s="1499">
        <v>3.2501628866761827</v>
      </c>
      <c r="H70" s="1499">
        <v>3.9802423784836525</v>
      </c>
      <c r="I70" s="1499">
        <v>5.7066628626150928</v>
      </c>
      <c r="J70" s="1499">
        <v>5.0633165221960716</v>
      </c>
      <c r="K70" s="113">
        <v>3.1808672809362979</v>
      </c>
    </row>
    <row r="71" spans="2:11" x14ac:dyDescent="0.3">
      <c r="B71" s="115"/>
      <c r="C71" s="112" t="s">
        <v>1504</v>
      </c>
      <c r="D71" s="1499">
        <v>5.8904387494397179</v>
      </c>
      <c r="E71" s="1499">
        <v>5.0004814470429775</v>
      </c>
      <c r="F71" s="1499">
        <v>3.5811157094141937</v>
      </c>
      <c r="G71" s="1499">
        <v>3.3334488722672577</v>
      </c>
      <c r="H71" s="1499">
        <v>4.0667799804611224</v>
      </c>
      <c r="I71" s="1499">
        <v>5.7912549277636725</v>
      </c>
      <c r="J71" s="1499">
        <v>5.1477645196636717</v>
      </c>
      <c r="K71" s="113">
        <v>3.2638993417658995</v>
      </c>
    </row>
    <row r="72" spans="2:11" x14ac:dyDescent="0.3">
      <c r="B72" s="115"/>
      <c r="C72" s="112" t="s">
        <v>1508</v>
      </c>
      <c r="D72" s="1499">
        <v>5.8579002777057969</v>
      </c>
      <c r="E72" s="1499">
        <v>4.9679429753090583</v>
      </c>
      <c r="F72" s="1499">
        <v>3.5485772376802736</v>
      </c>
      <c r="G72" s="1499">
        <v>3.3009104005333381</v>
      </c>
      <c r="H72" s="1499">
        <v>4.0342415087272023</v>
      </c>
      <c r="I72" s="1499">
        <v>5.7587164560297515</v>
      </c>
      <c r="J72" s="1499">
        <v>5.1152260479297524</v>
      </c>
      <c r="K72" s="113">
        <v>3.2313608700319798</v>
      </c>
    </row>
    <row r="73" spans="2:11" x14ac:dyDescent="0.3">
      <c r="B73" s="115"/>
      <c r="C73" s="112" t="s">
        <v>1513</v>
      </c>
      <c r="D73" s="1499">
        <v>5.8090925701049176</v>
      </c>
      <c r="E73" s="1499">
        <v>4.9191352677081781</v>
      </c>
      <c r="F73" s="1499">
        <v>3.4997695300793934</v>
      </c>
      <c r="G73" s="1499">
        <v>3.2521026929324579</v>
      </c>
      <c r="H73" s="1499">
        <v>3.9854338011263222</v>
      </c>
      <c r="I73" s="1499">
        <v>5.7099087484288722</v>
      </c>
      <c r="J73" s="1499">
        <v>5.0664183403288714</v>
      </c>
      <c r="K73" s="113">
        <v>3.1825531624310996</v>
      </c>
    </row>
    <row r="74" spans="2:11" x14ac:dyDescent="0.3">
      <c r="B74" s="115"/>
      <c r="C74" s="112" t="s">
        <v>1517</v>
      </c>
      <c r="D74" s="1499">
        <v>5.7602848625040366</v>
      </c>
      <c r="E74" s="1499">
        <v>4.8703275601072971</v>
      </c>
      <c r="F74" s="1499">
        <v>3.4509618224785128</v>
      </c>
      <c r="G74" s="1499">
        <v>3.2032949853315769</v>
      </c>
      <c r="H74" s="1499">
        <v>3.9366260935254416</v>
      </c>
      <c r="I74" s="1499">
        <v>5.6611010408279911</v>
      </c>
      <c r="J74" s="1499">
        <v>5.0176106327279912</v>
      </c>
      <c r="K74" s="113">
        <v>3.1337454548302186</v>
      </c>
    </row>
    <row r="75" spans="2:11" ht="14.5" thickBot="1" x14ac:dyDescent="0.35">
      <c r="B75" s="1233"/>
      <c r="C75" s="116" t="s">
        <v>1519</v>
      </c>
      <c r="D75" s="117">
        <v>5.9565695137743226</v>
      </c>
      <c r="E75" s="117">
        <v>5.0698490069546471</v>
      </c>
      <c r="F75" s="117">
        <v>3.6494476312047581</v>
      </c>
      <c r="G75" s="117">
        <v>3.4044622028084612</v>
      </c>
      <c r="H75" s="117">
        <v>4.1345416946159315</v>
      </c>
      <c r="I75" s="117">
        <v>5.8609621787473705</v>
      </c>
      <c r="J75" s="117">
        <v>5.2176158383283502</v>
      </c>
      <c r="K75" s="118">
        <v>3.3351665970685769</v>
      </c>
    </row>
    <row r="76" spans="2:11" x14ac:dyDescent="0.3">
      <c r="B76" s="119" t="s">
        <v>1983</v>
      </c>
      <c r="C76" s="108" t="s">
        <v>1416</v>
      </c>
      <c r="D76" s="109">
        <v>5.3269904456687351</v>
      </c>
      <c r="E76" s="109">
        <v>4.4277399837485687</v>
      </c>
      <c r="F76" s="109">
        <v>3.0059252788104343</v>
      </c>
      <c r="G76" s="109">
        <v>2.7509231367592801</v>
      </c>
      <c r="H76" s="109">
        <v>3.4948392488906781</v>
      </c>
      <c r="I76" s="109">
        <v>5.2255105111426357</v>
      </c>
      <c r="J76" s="109">
        <v>4.5751759303092818</v>
      </c>
      <c r="K76" s="110">
        <v>2.6820362549396033</v>
      </c>
    </row>
    <row r="77" spans="2:11" x14ac:dyDescent="0.3">
      <c r="B77" s="111"/>
      <c r="C77" s="112" t="s">
        <v>1483</v>
      </c>
      <c r="D77" s="1499">
        <v>5.6557323772327353</v>
      </c>
      <c r="E77" s="1499">
        <v>4.7690118704130606</v>
      </c>
      <c r="F77" s="1499">
        <v>3.3486104946631712</v>
      </c>
      <c r="G77" s="1499">
        <v>3.1036250662668743</v>
      </c>
      <c r="H77" s="1499">
        <v>3.8337045580743436</v>
      </c>
      <c r="I77" s="1499">
        <v>5.5601250422057831</v>
      </c>
      <c r="J77" s="1499">
        <v>4.9167787017867628</v>
      </c>
      <c r="K77" s="113">
        <v>3.0343294605269899</v>
      </c>
    </row>
    <row r="78" spans="2:11" x14ac:dyDescent="0.3">
      <c r="B78" s="111" t="s">
        <v>1982</v>
      </c>
      <c r="C78" s="112" t="s">
        <v>1489</v>
      </c>
      <c r="D78" s="1499">
        <v>5.6171575481996658</v>
      </c>
      <c r="E78" s="1499">
        <v>4.7304370413799903</v>
      </c>
      <c r="F78" s="1499">
        <v>3.3100356656301013</v>
      </c>
      <c r="G78" s="1499">
        <v>3.0650502372338044</v>
      </c>
      <c r="H78" s="1499">
        <v>3.7951297290412742</v>
      </c>
      <c r="I78" s="1499">
        <v>5.5215502131727137</v>
      </c>
      <c r="J78" s="1499">
        <v>4.8782038727536934</v>
      </c>
      <c r="K78" s="113">
        <v>2.9957546314939201</v>
      </c>
    </row>
    <row r="79" spans="2:11" x14ac:dyDescent="0.3">
      <c r="B79" s="114">
        <v>0</v>
      </c>
      <c r="C79" s="112" t="s">
        <v>1496</v>
      </c>
      <c r="D79" s="1499">
        <v>5.5592953046500622</v>
      </c>
      <c r="E79" s="1499">
        <v>4.6725747978303867</v>
      </c>
      <c r="F79" s="1499">
        <v>3.2521734220804968</v>
      </c>
      <c r="G79" s="1499">
        <v>3.0071879936842003</v>
      </c>
      <c r="H79" s="1499">
        <v>3.7372674854916701</v>
      </c>
      <c r="I79" s="1499">
        <v>5.46368796962311</v>
      </c>
      <c r="J79" s="1499">
        <v>4.8203416292040888</v>
      </c>
      <c r="K79" s="113">
        <v>2.9378923879443155</v>
      </c>
    </row>
    <row r="80" spans="2:11" x14ac:dyDescent="0.3">
      <c r="B80" s="115"/>
      <c r="C80" s="112" t="s">
        <v>1500</v>
      </c>
      <c r="D80" s="1499">
        <v>5.5014330611004576</v>
      </c>
      <c r="E80" s="1499">
        <v>4.6147125542807821</v>
      </c>
      <c r="F80" s="1499">
        <v>3.1943111785308926</v>
      </c>
      <c r="G80" s="1499">
        <v>2.9493257501345957</v>
      </c>
      <c r="H80" s="1499">
        <v>3.6794052419420655</v>
      </c>
      <c r="I80" s="1499">
        <v>5.4058257260735054</v>
      </c>
      <c r="J80" s="1499">
        <v>4.7624793856544843</v>
      </c>
      <c r="K80" s="113">
        <v>2.8800301443947109</v>
      </c>
    </row>
    <row r="81" spans="2:11" x14ac:dyDescent="0.3">
      <c r="B81" s="115"/>
      <c r="C81" s="112" t="s">
        <v>1504</v>
      </c>
      <c r="D81" s="1499">
        <v>5.5896016128981305</v>
      </c>
      <c r="E81" s="1499">
        <v>4.699644310501391</v>
      </c>
      <c r="F81" s="1499">
        <v>3.2802785728726067</v>
      </c>
      <c r="G81" s="1499">
        <v>3.0326117357256708</v>
      </c>
      <c r="H81" s="1499">
        <v>3.7659428439195355</v>
      </c>
      <c r="I81" s="1499">
        <v>5.4904177912220851</v>
      </c>
      <c r="J81" s="1499">
        <v>4.8469273831220852</v>
      </c>
      <c r="K81" s="113">
        <v>2.9630622052243125</v>
      </c>
    </row>
    <row r="82" spans="2:11" x14ac:dyDescent="0.3">
      <c r="B82" s="115"/>
      <c r="C82" s="112" t="s">
        <v>1508</v>
      </c>
      <c r="D82" s="1499">
        <v>5.5570631411642104</v>
      </c>
      <c r="E82" s="1499">
        <v>4.6671058387674709</v>
      </c>
      <c r="F82" s="1499">
        <v>3.2477401011386866</v>
      </c>
      <c r="G82" s="1499">
        <v>3.0000732639917511</v>
      </c>
      <c r="H82" s="1499">
        <v>3.7334043721856154</v>
      </c>
      <c r="I82" s="1499">
        <v>5.457879319488165</v>
      </c>
      <c r="J82" s="1499">
        <v>4.814388911388165</v>
      </c>
      <c r="K82" s="113">
        <v>2.9305237334903929</v>
      </c>
    </row>
    <row r="83" spans="2:11" x14ac:dyDescent="0.3">
      <c r="B83" s="115"/>
      <c r="C83" s="112" t="s">
        <v>1513</v>
      </c>
      <c r="D83" s="1499">
        <v>5.5082554335633303</v>
      </c>
      <c r="E83" s="1499">
        <v>4.6182981311665907</v>
      </c>
      <c r="F83" s="1499">
        <v>3.1989323935378065</v>
      </c>
      <c r="G83" s="1499">
        <v>2.951265556390871</v>
      </c>
      <c r="H83" s="1499">
        <v>3.6845966645847352</v>
      </c>
      <c r="I83" s="1499">
        <v>5.4090716118872848</v>
      </c>
      <c r="J83" s="1499">
        <v>4.7655812037872849</v>
      </c>
      <c r="K83" s="113">
        <v>2.8817160258895127</v>
      </c>
    </row>
    <row r="84" spans="2:11" x14ac:dyDescent="0.3">
      <c r="B84" s="115"/>
      <c r="C84" s="112" t="s">
        <v>1517</v>
      </c>
      <c r="D84" s="1499">
        <v>5.4594477259624501</v>
      </c>
      <c r="E84" s="1499">
        <v>4.5694904235657097</v>
      </c>
      <c r="F84" s="1499">
        <v>3.1501246859369259</v>
      </c>
      <c r="G84" s="1499">
        <v>2.9024578487899899</v>
      </c>
      <c r="H84" s="1499">
        <v>3.6357889569838546</v>
      </c>
      <c r="I84" s="1499">
        <v>5.3602639042864046</v>
      </c>
      <c r="J84" s="1499">
        <v>4.7167734961864038</v>
      </c>
      <c r="K84" s="113">
        <v>2.8329083182886317</v>
      </c>
    </row>
    <row r="85" spans="2:11" ht="14.5" thickBot="1" x14ac:dyDescent="0.35">
      <c r="B85" s="1233"/>
      <c r="C85" s="116" t="s">
        <v>1519</v>
      </c>
      <c r="D85" s="117">
        <v>5.6557323772327353</v>
      </c>
      <c r="E85" s="117">
        <v>4.7690118704130606</v>
      </c>
      <c r="F85" s="117">
        <v>3.3486104946631712</v>
      </c>
      <c r="G85" s="117">
        <v>3.1036250662668743</v>
      </c>
      <c r="H85" s="117">
        <v>3.8337045580743436</v>
      </c>
      <c r="I85" s="117">
        <v>5.5601250422057831</v>
      </c>
      <c r="J85" s="117">
        <v>4.9167787017867628</v>
      </c>
      <c r="K85" s="118">
        <v>3.0343294605269899</v>
      </c>
    </row>
    <row r="87" spans="2:11" ht="14.5" thickBot="1" x14ac:dyDescent="0.35"/>
    <row r="88" spans="2:11" ht="25.5" thickBot="1" x14ac:dyDescent="0.55000000000000004">
      <c r="B88" s="88" t="s">
        <v>1960</v>
      </c>
      <c r="C88" s="89"/>
      <c r="D88" s="90">
        <v>6</v>
      </c>
      <c r="E88" s="91" t="s">
        <v>1984</v>
      </c>
      <c r="F88" s="92"/>
      <c r="G88" s="92"/>
      <c r="H88" s="92"/>
      <c r="I88" s="93"/>
      <c r="J88" s="89" t="s">
        <v>176</v>
      </c>
      <c r="K88" s="94" t="s">
        <v>234</v>
      </c>
    </row>
    <row r="89" spans="2:11" ht="14.5" thickBot="1" x14ac:dyDescent="0.35">
      <c r="B89" s="95" t="s">
        <v>1962</v>
      </c>
      <c r="C89" s="96" t="s">
        <v>1963</v>
      </c>
      <c r="D89" s="95" t="s">
        <v>1964</v>
      </c>
      <c r="E89" s="97" t="s">
        <v>1965</v>
      </c>
      <c r="F89" s="97" t="s">
        <v>1966</v>
      </c>
      <c r="G89" s="97" t="s">
        <v>1967</v>
      </c>
      <c r="H89" s="97" t="s">
        <v>1968</v>
      </c>
      <c r="I89" s="97" t="s">
        <v>1969</v>
      </c>
      <c r="J89" s="97" t="s">
        <v>1970</v>
      </c>
      <c r="K89" s="98" t="s">
        <v>1971</v>
      </c>
    </row>
    <row r="90" spans="2:11" ht="14.5" thickBot="1" x14ac:dyDescent="0.35">
      <c r="B90" s="99"/>
      <c r="C90" s="99"/>
      <c r="D90" s="100"/>
      <c r="E90" s="944"/>
      <c r="F90" s="944"/>
      <c r="G90" s="944"/>
      <c r="H90" s="944"/>
      <c r="I90" s="944"/>
      <c r="J90" s="944"/>
      <c r="K90" s="102"/>
    </row>
    <row r="91" spans="2:11" ht="90.5" thickBot="1" x14ac:dyDescent="0.45">
      <c r="B91" s="103" t="s">
        <v>1972</v>
      </c>
      <c r="C91" s="103" t="s">
        <v>1973</v>
      </c>
      <c r="D91" s="105" t="s">
        <v>1974</v>
      </c>
      <c r="E91" s="105" t="s">
        <v>1525</v>
      </c>
      <c r="F91" s="105" t="s">
        <v>1527</v>
      </c>
      <c r="G91" s="105" t="s">
        <v>1975</v>
      </c>
      <c r="H91" s="105" t="s">
        <v>1976</v>
      </c>
      <c r="I91" s="105" t="s">
        <v>1445</v>
      </c>
      <c r="J91" s="105" t="s">
        <v>1538</v>
      </c>
      <c r="K91" s="106" t="s">
        <v>1541</v>
      </c>
    </row>
    <row r="92" spans="2:11" x14ac:dyDescent="0.3">
      <c r="B92" s="107" t="s">
        <v>1985</v>
      </c>
      <c r="C92" s="108" t="s">
        <v>1416</v>
      </c>
      <c r="D92" s="109">
        <v>4.6130849666962037</v>
      </c>
      <c r="E92" s="109">
        <v>3.5343398733328879</v>
      </c>
      <c r="F92" s="109">
        <v>2.3463271706362976</v>
      </c>
      <c r="G92" s="109">
        <v>2.0163712178806348</v>
      </c>
      <c r="H92" s="109">
        <v>2.7888416252635437</v>
      </c>
      <c r="I92" s="109">
        <v>4.262257482331905</v>
      </c>
      <c r="J92" s="109">
        <v>3.6569091202954862</v>
      </c>
      <c r="K92" s="110">
        <v>1.955656655750301</v>
      </c>
    </row>
    <row r="93" spans="2:11" x14ac:dyDescent="0.3">
      <c r="B93" s="111"/>
      <c r="C93" s="112" t="s">
        <v>1483</v>
      </c>
      <c r="D93" s="1499">
        <v>4.9314138045447615</v>
      </c>
      <c r="E93" s="1499">
        <v>3.8773538770431726</v>
      </c>
      <c r="F93" s="1499">
        <v>2.6745188776542075</v>
      </c>
      <c r="G93" s="1499">
        <v>2.3522305009235995</v>
      </c>
      <c r="H93" s="1499">
        <v>3.1144068713599458</v>
      </c>
      <c r="I93" s="1499">
        <v>4.6055149037802039</v>
      </c>
      <c r="J93" s="1499">
        <v>4.0014627198060913</v>
      </c>
      <c r="K93" s="113">
        <v>2.2874470525126434</v>
      </c>
    </row>
    <row r="94" spans="2:11" x14ac:dyDescent="0.3">
      <c r="B94" s="111" t="s">
        <v>1986</v>
      </c>
      <c r="C94" s="112" t="s">
        <v>1489</v>
      </c>
      <c r="D94" s="1499">
        <v>4.8928389755116921</v>
      </c>
      <c r="E94" s="1499">
        <v>3.8387790480101032</v>
      </c>
      <c r="F94" s="1499">
        <v>2.6359440486211381</v>
      </c>
      <c r="G94" s="1499">
        <v>2.3136556718905301</v>
      </c>
      <c r="H94" s="1499">
        <v>3.0758320423268763</v>
      </c>
      <c r="I94" s="1499">
        <v>4.5669400747471345</v>
      </c>
      <c r="J94" s="1499">
        <v>3.9628878907730218</v>
      </c>
      <c r="K94" s="113">
        <v>2.2488722234795739</v>
      </c>
    </row>
    <row r="95" spans="2:11" x14ac:dyDescent="0.3">
      <c r="B95" s="114">
        <v>0</v>
      </c>
      <c r="C95" s="112" t="s">
        <v>1496</v>
      </c>
      <c r="D95" s="1499">
        <v>4.8349767319620875</v>
      </c>
      <c r="E95" s="1499">
        <v>3.780916804460499</v>
      </c>
      <c r="F95" s="1499">
        <v>2.5780818050715335</v>
      </c>
      <c r="G95" s="1499">
        <v>2.2557934283409256</v>
      </c>
      <c r="H95" s="1499">
        <v>3.0179697987772718</v>
      </c>
      <c r="I95" s="1499">
        <v>4.5090778311975299</v>
      </c>
      <c r="J95" s="1499">
        <v>3.9050256472234173</v>
      </c>
      <c r="K95" s="113">
        <v>2.1910099799299694</v>
      </c>
    </row>
    <row r="96" spans="2:11" x14ac:dyDescent="0.3">
      <c r="B96" s="115"/>
      <c r="C96" s="112" t="s">
        <v>1500</v>
      </c>
      <c r="D96" s="1499">
        <v>4.7771144884124839</v>
      </c>
      <c r="E96" s="1499">
        <v>3.7230545609108945</v>
      </c>
      <c r="F96" s="1499">
        <v>2.5202195615219289</v>
      </c>
      <c r="G96" s="1499">
        <v>2.197931184791321</v>
      </c>
      <c r="H96" s="1499">
        <v>2.9601075552276677</v>
      </c>
      <c r="I96" s="1499">
        <v>4.4512155876479254</v>
      </c>
      <c r="J96" s="1499">
        <v>3.8471634036738127</v>
      </c>
      <c r="K96" s="113">
        <v>2.1331477363803648</v>
      </c>
    </row>
    <row r="97" spans="2:11" x14ac:dyDescent="0.3">
      <c r="B97" s="115"/>
      <c r="C97" s="112" t="s">
        <v>1504</v>
      </c>
      <c r="D97" s="1499">
        <v>4.8683086564976801</v>
      </c>
      <c r="E97" s="1499">
        <v>3.8083115111727914</v>
      </c>
      <c r="F97" s="1499">
        <v>2.6086010573474097</v>
      </c>
      <c r="G97" s="1499">
        <v>2.2813443444037005</v>
      </c>
      <c r="H97" s="1499">
        <v>3.0472846791369634</v>
      </c>
      <c r="I97" s="1499">
        <v>4.5369430649460689</v>
      </c>
      <c r="J97" s="1499">
        <v>3.9325530105062647</v>
      </c>
      <c r="K97" s="113">
        <v>2.2168624958811067</v>
      </c>
    </row>
    <row r="98" spans="2:11" x14ac:dyDescent="0.3">
      <c r="B98" s="115"/>
      <c r="C98" s="112" t="s">
        <v>1508</v>
      </c>
      <c r="D98" s="1499">
        <v>4.8357701847637609</v>
      </c>
      <c r="E98" s="1499">
        <v>3.7757730394388713</v>
      </c>
      <c r="F98" s="1499">
        <v>2.5760625856134896</v>
      </c>
      <c r="G98" s="1499">
        <v>2.2488058726697804</v>
      </c>
      <c r="H98" s="1499">
        <v>3.0147462074030438</v>
      </c>
      <c r="I98" s="1499">
        <v>4.5044045932121488</v>
      </c>
      <c r="J98" s="1499">
        <v>3.9000145387723451</v>
      </c>
      <c r="K98" s="113">
        <v>2.1843240241471866</v>
      </c>
    </row>
    <row r="99" spans="2:11" x14ac:dyDescent="0.3">
      <c r="B99" s="115"/>
      <c r="C99" s="112" t="s">
        <v>1513</v>
      </c>
      <c r="D99" s="1499">
        <v>4.7869624771628798</v>
      </c>
      <c r="E99" s="1499">
        <v>3.7269653318379907</v>
      </c>
      <c r="F99" s="1499">
        <v>2.5272548780126094</v>
      </c>
      <c r="G99" s="1499">
        <v>2.1999981650689002</v>
      </c>
      <c r="H99" s="1499">
        <v>2.9659384998021627</v>
      </c>
      <c r="I99" s="1499">
        <v>4.4555968856112678</v>
      </c>
      <c r="J99" s="1499">
        <v>3.851206831171464</v>
      </c>
      <c r="K99" s="113">
        <v>2.1355163165463065</v>
      </c>
    </row>
    <row r="100" spans="2:11" x14ac:dyDescent="0.3">
      <c r="B100" s="115"/>
      <c r="C100" s="112" t="s">
        <v>1517</v>
      </c>
      <c r="D100" s="1499">
        <v>4.7381547695619997</v>
      </c>
      <c r="E100" s="1499">
        <v>3.6781576242371101</v>
      </c>
      <c r="F100" s="1499">
        <v>2.4784471704117288</v>
      </c>
      <c r="G100" s="1499">
        <v>2.1511904574680196</v>
      </c>
      <c r="H100" s="1499">
        <v>2.9171307922012826</v>
      </c>
      <c r="I100" s="1499">
        <v>4.4067891780103876</v>
      </c>
      <c r="J100" s="1499">
        <v>3.8023991235705838</v>
      </c>
      <c r="K100" s="113">
        <v>2.0867086089454259</v>
      </c>
    </row>
    <row r="101" spans="2:11" ht="14.5" thickBot="1" x14ac:dyDescent="0.35">
      <c r="B101" s="115"/>
      <c r="C101" s="116" t="s">
        <v>1519</v>
      </c>
      <c r="D101" s="117">
        <v>4.9314138045447615</v>
      </c>
      <c r="E101" s="117">
        <v>3.8773538770431726</v>
      </c>
      <c r="F101" s="117">
        <v>2.6745188776542075</v>
      </c>
      <c r="G101" s="117">
        <v>2.3522305009235995</v>
      </c>
      <c r="H101" s="117">
        <v>3.1144068713599458</v>
      </c>
      <c r="I101" s="117">
        <v>4.6055149037802039</v>
      </c>
      <c r="J101" s="117">
        <v>4.0014627198060913</v>
      </c>
      <c r="K101" s="118">
        <v>2.2874470525126434</v>
      </c>
    </row>
    <row r="102" spans="2:11" x14ac:dyDescent="0.3">
      <c r="B102" s="120" t="s">
        <v>1985</v>
      </c>
      <c r="C102" s="1234" t="s">
        <v>1416</v>
      </c>
      <c r="D102" s="109">
        <v>4.4835272806096809</v>
      </c>
      <c r="E102" s="109">
        <v>3.4047821872463655</v>
      </c>
      <c r="F102" s="109">
        <v>2.2167694845497761</v>
      </c>
      <c r="G102" s="109">
        <v>1.886813531794113</v>
      </c>
      <c r="H102" s="109">
        <v>2.6592839391770218</v>
      </c>
      <c r="I102" s="109">
        <v>4.1326997962453831</v>
      </c>
      <c r="J102" s="109">
        <v>3.5273514342089642</v>
      </c>
      <c r="K102" s="110">
        <v>1.8260989696637793</v>
      </c>
    </row>
    <row r="103" spans="2:11" x14ac:dyDescent="0.3">
      <c r="B103" s="121"/>
      <c r="C103" s="1500" t="s">
        <v>1483</v>
      </c>
      <c r="D103" s="1499">
        <v>4.8018561184582405</v>
      </c>
      <c r="E103" s="1499">
        <v>3.7477961909566511</v>
      </c>
      <c r="F103" s="1499">
        <v>2.544961191567686</v>
      </c>
      <c r="G103" s="1499">
        <v>2.2226728148370776</v>
      </c>
      <c r="H103" s="1499">
        <v>2.9848491852734242</v>
      </c>
      <c r="I103" s="1499">
        <v>4.4759572176936819</v>
      </c>
      <c r="J103" s="1499">
        <v>3.8719050337195697</v>
      </c>
      <c r="K103" s="113">
        <v>2.1578893664261214</v>
      </c>
    </row>
    <row r="104" spans="2:11" x14ac:dyDescent="0.3">
      <c r="B104" s="111" t="s">
        <v>1987</v>
      </c>
      <c r="C104" s="1500" t="s">
        <v>1489</v>
      </c>
      <c r="D104" s="1499">
        <v>4.7632812894251702</v>
      </c>
      <c r="E104" s="1499">
        <v>3.7092213619235812</v>
      </c>
      <c r="F104" s="1499">
        <v>2.5063863625346161</v>
      </c>
      <c r="G104" s="1499">
        <v>2.1840979858040082</v>
      </c>
      <c r="H104" s="1499">
        <v>2.9462743562403544</v>
      </c>
      <c r="I104" s="1499">
        <v>4.4373823886606125</v>
      </c>
      <c r="J104" s="1499">
        <v>3.8333302046864999</v>
      </c>
      <c r="K104" s="113">
        <v>2.119314537393052</v>
      </c>
    </row>
    <row r="105" spans="2:11" x14ac:dyDescent="0.3">
      <c r="B105" s="122">
        <v>0</v>
      </c>
      <c r="C105" s="1500" t="s">
        <v>1496</v>
      </c>
      <c r="D105" s="1499">
        <v>4.7054190458755656</v>
      </c>
      <c r="E105" s="1499">
        <v>3.6513591183739771</v>
      </c>
      <c r="F105" s="1499">
        <v>2.448524118985012</v>
      </c>
      <c r="G105" s="1499">
        <v>2.1262357422544036</v>
      </c>
      <c r="H105" s="1499">
        <v>2.8884121126907498</v>
      </c>
      <c r="I105" s="1499">
        <v>4.379520145111008</v>
      </c>
      <c r="J105" s="1499">
        <v>3.7754679611368953</v>
      </c>
      <c r="K105" s="113">
        <v>2.0614522938434474</v>
      </c>
    </row>
    <row r="106" spans="2:11" x14ac:dyDescent="0.3">
      <c r="B106" s="123"/>
      <c r="C106" s="1500" t="s">
        <v>1500</v>
      </c>
      <c r="D106" s="1499">
        <v>4.647556802325961</v>
      </c>
      <c r="E106" s="1499">
        <v>3.5934968748243725</v>
      </c>
      <c r="F106" s="1499">
        <v>2.3906618754354074</v>
      </c>
      <c r="G106" s="1499">
        <v>2.0683734987047995</v>
      </c>
      <c r="H106" s="1499">
        <v>2.8305498691411457</v>
      </c>
      <c r="I106" s="1499">
        <v>4.3216579015614034</v>
      </c>
      <c r="J106" s="1499">
        <v>3.7176057175872907</v>
      </c>
      <c r="K106" s="113">
        <v>2.0035900502938433</v>
      </c>
    </row>
    <row r="107" spans="2:11" x14ac:dyDescent="0.3">
      <c r="B107" s="123"/>
      <c r="C107" s="1500" t="s">
        <v>1504</v>
      </c>
      <c r="D107" s="1499">
        <v>4.738750970411159</v>
      </c>
      <c r="E107" s="1499">
        <v>3.6787538250862699</v>
      </c>
      <c r="F107" s="1499">
        <v>2.4790433712608881</v>
      </c>
      <c r="G107" s="1499">
        <v>2.151786658317179</v>
      </c>
      <c r="H107" s="1499">
        <v>2.9177269930504419</v>
      </c>
      <c r="I107" s="1499">
        <v>4.407385378859547</v>
      </c>
      <c r="J107" s="1499">
        <v>3.8029953244197432</v>
      </c>
      <c r="K107" s="113">
        <v>2.0873048097945848</v>
      </c>
    </row>
    <row r="108" spans="2:11" x14ac:dyDescent="0.3">
      <c r="B108" s="123"/>
      <c r="C108" s="1500" t="s">
        <v>1508</v>
      </c>
      <c r="D108" s="1499">
        <v>4.7062124986772389</v>
      </c>
      <c r="E108" s="1499">
        <v>3.6462153533523494</v>
      </c>
      <c r="F108" s="1499">
        <v>2.4465048995269676</v>
      </c>
      <c r="G108" s="1499">
        <v>2.1192481865832589</v>
      </c>
      <c r="H108" s="1499">
        <v>2.8851885213165214</v>
      </c>
      <c r="I108" s="1499">
        <v>4.3748469071256268</v>
      </c>
      <c r="J108" s="1499">
        <v>3.7704568526858226</v>
      </c>
      <c r="K108" s="113">
        <v>2.0547663380606647</v>
      </c>
    </row>
    <row r="109" spans="2:11" x14ac:dyDescent="0.3">
      <c r="B109" s="123"/>
      <c r="C109" s="1500" t="s">
        <v>1513</v>
      </c>
      <c r="D109" s="1499">
        <v>4.6574047910763587</v>
      </c>
      <c r="E109" s="1499">
        <v>3.5974076457514692</v>
      </c>
      <c r="F109" s="1499">
        <v>2.3976971919260874</v>
      </c>
      <c r="G109" s="1499">
        <v>2.0704404789823783</v>
      </c>
      <c r="H109" s="1499">
        <v>2.8363808137156412</v>
      </c>
      <c r="I109" s="1499">
        <v>4.3260391995247467</v>
      </c>
      <c r="J109" s="1499">
        <v>3.7216491450849425</v>
      </c>
      <c r="K109" s="113">
        <v>2.0059586304597841</v>
      </c>
    </row>
    <row r="110" spans="2:11" x14ac:dyDescent="0.3">
      <c r="B110" s="123"/>
      <c r="C110" s="1500" t="s">
        <v>1517</v>
      </c>
      <c r="D110" s="1499">
        <v>4.6085970834754777</v>
      </c>
      <c r="E110" s="1499">
        <v>3.5485999381505882</v>
      </c>
      <c r="F110" s="1499">
        <v>2.3488894843252073</v>
      </c>
      <c r="G110" s="1499">
        <v>2.0216327713814981</v>
      </c>
      <c r="H110" s="1499">
        <v>2.7875731061147611</v>
      </c>
      <c r="I110" s="1499">
        <v>4.2772314919238656</v>
      </c>
      <c r="J110" s="1499">
        <v>3.6728414374840619</v>
      </c>
      <c r="K110" s="113">
        <v>1.9571509228589039</v>
      </c>
    </row>
    <row r="111" spans="2:11" ht="14.5" thickBot="1" x14ac:dyDescent="0.35">
      <c r="B111" s="124"/>
      <c r="C111" s="125" t="s">
        <v>1519</v>
      </c>
      <c r="D111" s="117">
        <v>4.8018561184582405</v>
      </c>
      <c r="E111" s="117">
        <v>3.7477961909566511</v>
      </c>
      <c r="F111" s="117">
        <v>2.544961191567686</v>
      </c>
      <c r="G111" s="117">
        <v>2.2226728148370776</v>
      </c>
      <c r="H111" s="117">
        <v>2.9848491852734242</v>
      </c>
      <c r="I111" s="117">
        <v>4.4759572176936819</v>
      </c>
      <c r="J111" s="117">
        <v>3.8719050337195697</v>
      </c>
      <c r="K111" s="118">
        <v>2.1578893664261214</v>
      </c>
    </row>
    <row r="112" spans="2:11" x14ac:dyDescent="0.3">
      <c r="B112" s="119" t="s">
        <v>1985</v>
      </c>
      <c r="C112" s="108" t="s">
        <v>1416</v>
      </c>
      <c r="D112" s="109">
        <v>4.2891907514798984</v>
      </c>
      <c r="E112" s="109">
        <v>3.2104456581165834</v>
      </c>
      <c r="F112" s="109">
        <v>2.0224329554199931</v>
      </c>
      <c r="G112" s="109">
        <v>1.6924770026643303</v>
      </c>
      <c r="H112" s="109">
        <v>2.4649474100472393</v>
      </c>
      <c r="I112" s="109">
        <v>3.9383632671156006</v>
      </c>
      <c r="J112" s="109">
        <v>3.3330149050791817</v>
      </c>
      <c r="K112" s="110">
        <v>1.6317624405339965</v>
      </c>
    </row>
    <row r="113" spans="2:11" x14ac:dyDescent="0.3">
      <c r="B113" s="111"/>
      <c r="C113" s="112" t="s">
        <v>1483</v>
      </c>
      <c r="D113" s="1499">
        <v>4.6075195893284571</v>
      </c>
      <c r="E113" s="1499">
        <v>3.5534596618268681</v>
      </c>
      <c r="F113" s="1499">
        <v>2.350624662437903</v>
      </c>
      <c r="G113" s="1499">
        <v>2.0283362857072951</v>
      </c>
      <c r="H113" s="1499">
        <v>2.7905126561436413</v>
      </c>
      <c r="I113" s="1499">
        <v>4.2816206885638994</v>
      </c>
      <c r="J113" s="1499">
        <v>3.6775685045897863</v>
      </c>
      <c r="K113" s="113">
        <v>1.9635528372963389</v>
      </c>
    </row>
    <row r="114" spans="2:11" ht="14.5" thickBot="1" x14ac:dyDescent="0.35">
      <c r="B114" s="111" t="s">
        <v>1988</v>
      </c>
      <c r="C114" s="112" t="s">
        <v>1489</v>
      </c>
      <c r="D114" s="1499">
        <v>4.5689447602953877</v>
      </c>
      <c r="E114" s="1499">
        <v>3.5148848327937987</v>
      </c>
      <c r="F114" s="1501">
        <v>2.3120498334048336</v>
      </c>
      <c r="G114" s="1499">
        <v>1.9897614566742254</v>
      </c>
      <c r="H114" s="1499">
        <v>2.7519378271105714</v>
      </c>
      <c r="I114" s="1499">
        <v>4.24304585953083</v>
      </c>
      <c r="J114" s="1499">
        <v>3.6389936755567174</v>
      </c>
      <c r="K114" s="113">
        <v>1.9249780082632693</v>
      </c>
    </row>
    <row r="115" spans="2:11" ht="14.5" thickBot="1" x14ac:dyDescent="0.35">
      <c r="B115" s="114">
        <v>0</v>
      </c>
      <c r="C115" s="112" t="s">
        <v>1496</v>
      </c>
      <c r="D115" s="1499">
        <v>4.5110825167457831</v>
      </c>
      <c r="E115" s="1502">
        <v>3.4570225892441946</v>
      </c>
      <c r="F115" s="126">
        <v>2.254187589855229</v>
      </c>
      <c r="G115" s="1503">
        <v>1.9318992131246211</v>
      </c>
      <c r="H115" s="1499">
        <v>2.6940755835609673</v>
      </c>
      <c r="I115" s="1499">
        <v>4.1851836159812255</v>
      </c>
      <c r="J115" s="1499">
        <v>3.5811314320071128</v>
      </c>
      <c r="K115" s="113">
        <v>1.8671157647136649</v>
      </c>
    </row>
    <row r="116" spans="2:11" x14ac:dyDescent="0.3">
      <c r="B116" s="115"/>
      <c r="C116" s="112" t="s">
        <v>1500</v>
      </c>
      <c r="D116" s="1499">
        <v>4.4532202731961785</v>
      </c>
      <c r="E116" s="1499">
        <v>3.39916034569459</v>
      </c>
      <c r="F116" s="127">
        <v>2.1963253463056249</v>
      </c>
      <c r="G116" s="1499">
        <v>1.874036969575017</v>
      </c>
      <c r="H116" s="1499">
        <v>2.6362133400113632</v>
      </c>
      <c r="I116" s="1499">
        <v>4.1273213724316209</v>
      </c>
      <c r="J116" s="1499">
        <v>3.5232691884575082</v>
      </c>
      <c r="K116" s="113">
        <v>1.8092535211640608</v>
      </c>
    </row>
    <row r="117" spans="2:11" x14ac:dyDescent="0.3">
      <c r="B117" s="115"/>
      <c r="C117" s="112" t="s">
        <v>1504</v>
      </c>
      <c r="D117" s="1499">
        <v>4.5444144412813756</v>
      </c>
      <c r="E117" s="1499">
        <v>3.484417295956487</v>
      </c>
      <c r="F117" s="1499">
        <v>2.2847068421311052</v>
      </c>
      <c r="G117" s="1499">
        <v>1.9574501291873962</v>
      </c>
      <c r="H117" s="1499">
        <v>2.723390463920659</v>
      </c>
      <c r="I117" s="1499">
        <v>4.2130488497297645</v>
      </c>
      <c r="J117" s="1499">
        <v>3.6086587952899603</v>
      </c>
      <c r="K117" s="113">
        <v>1.8929682806648023</v>
      </c>
    </row>
    <row r="118" spans="2:11" x14ac:dyDescent="0.3">
      <c r="B118" s="115"/>
      <c r="C118" s="112" t="s">
        <v>1508</v>
      </c>
      <c r="D118" s="1499">
        <v>4.5118759695474564</v>
      </c>
      <c r="E118" s="1499">
        <v>3.4518788242225669</v>
      </c>
      <c r="F118" s="1499">
        <v>2.2521683703971851</v>
      </c>
      <c r="G118" s="1499">
        <v>1.9249116574534759</v>
      </c>
      <c r="H118" s="1499">
        <v>2.6908519921867389</v>
      </c>
      <c r="I118" s="1499">
        <v>4.1805103779958444</v>
      </c>
      <c r="J118" s="1499">
        <v>3.5761203235560401</v>
      </c>
      <c r="K118" s="113">
        <v>1.8604298089308819</v>
      </c>
    </row>
    <row r="119" spans="2:11" x14ac:dyDescent="0.3">
      <c r="B119" s="115"/>
      <c r="C119" s="112" t="s">
        <v>1513</v>
      </c>
      <c r="D119" s="1499">
        <v>4.4630682619465754</v>
      </c>
      <c r="E119" s="1499">
        <v>3.4030711166216858</v>
      </c>
      <c r="F119" s="1499">
        <v>2.2033606627963049</v>
      </c>
      <c r="G119" s="1499">
        <v>1.8761039498525958</v>
      </c>
      <c r="H119" s="1499">
        <v>2.6420442845858587</v>
      </c>
      <c r="I119" s="1499">
        <v>4.1317026703949633</v>
      </c>
      <c r="J119" s="1499">
        <v>3.5273126159551595</v>
      </c>
      <c r="K119" s="113">
        <v>1.8116221013300018</v>
      </c>
    </row>
    <row r="120" spans="2:11" x14ac:dyDescent="0.3">
      <c r="B120" s="115"/>
      <c r="C120" s="112" t="s">
        <v>1517</v>
      </c>
      <c r="D120" s="1499">
        <v>4.4142605543456952</v>
      </c>
      <c r="E120" s="1499">
        <v>3.3542634090208057</v>
      </c>
      <c r="F120" s="1499">
        <v>2.1545529551954243</v>
      </c>
      <c r="G120" s="1499">
        <v>1.8272962422517152</v>
      </c>
      <c r="H120" s="1499">
        <v>2.5932365769849781</v>
      </c>
      <c r="I120" s="1499">
        <v>4.0828949627940831</v>
      </c>
      <c r="J120" s="1499">
        <v>3.4785049083542794</v>
      </c>
      <c r="K120" s="113">
        <v>1.7628143937291212</v>
      </c>
    </row>
    <row r="121" spans="2:11" ht="14.5" thickBot="1" x14ac:dyDescent="0.35">
      <c r="B121" s="1233"/>
      <c r="C121" s="116" t="s">
        <v>1519</v>
      </c>
      <c r="D121" s="117">
        <v>4.6075195893284571</v>
      </c>
      <c r="E121" s="117">
        <v>3.5534596618268681</v>
      </c>
      <c r="F121" s="117">
        <v>2.350624662437903</v>
      </c>
      <c r="G121" s="117">
        <v>2.0283362857072951</v>
      </c>
      <c r="H121" s="117">
        <v>2.7905126561436413</v>
      </c>
      <c r="I121" s="117">
        <v>4.2816206885638994</v>
      </c>
      <c r="J121" s="117">
        <v>3.6775685045897863</v>
      </c>
      <c r="K121" s="118">
        <v>1.9635528372963389</v>
      </c>
    </row>
    <row r="122" spans="2:11" x14ac:dyDescent="0.3">
      <c r="B122" s="107" t="s">
        <v>1985</v>
      </c>
      <c r="C122" s="108" t="s">
        <v>1416</v>
      </c>
      <c r="D122" s="109">
        <v>4.0948542223501159</v>
      </c>
      <c r="E122" s="109">
        <v>3.0161091289868001</v>
      </c>
      <c r="F122" s="109">
        <v>1.8280964262902104</v>
      </c>
      <c r="G122" s="109">
        <v>1.4981404735345478</v>
      </c>
      <c r="H122" s="109">
        <v>2.2706108809174563</v>
      </c>
      <c r="I122" s="109">
        <v>3.7440267379858176</v>
      </c>
      <c r="J122" s="109">
        <v>3.1386783759493988</v>
      </c>
      <c r="K122" s="110">
        <v>1.4374259114042138</v>
      </c>
    </row>
    <row r="123" spans="2:11" x14ac:dyDescent="0.3">
      <c r="B123" s="111"/>
      <c r="C123" s="112" t="s">
        <v>1483</v>
      </c>
      <c r="D123" s="1499">
        <v>4.4131830601986746</v>
      </c>
      <c r="E123" s="1499">
        <v>3.3591231326970856</v>
      </c>
      <c r="F123" s="1499">
        <v>2.1562881333081205</v>
      </c>
      <c r="G123" s="1499">
        <v>1.8339997565775126</v>
      </c>
      <c r="H123" s="1499">
        <v>2.5961761270138588</v>
      </c>
      <c r="I123" s="1499">
        <v>4.0872841594341169</v>
      </c>
      <c r="J123" s="1499">
        <v>3.4832319754600038</v>
      </c>
      <c r="K123" s="113">
        <v>1.7692163081665564</v>
      </c>
    </row>
    <row r="124" spans="2:11" x14ac:dyDescent="0.3">
      <c r="B124" s="111" t="s">
        <v>1989</v>
      </c>
      <c r="C124" s="112" t="s">
        <v>1489</v>
      </c>
      <c r="D124" s="1499">
        <v>4.3746082311656052</v>
      </c>
      <c r="E124" s="1499">
        <v>3.3205483036640158</v>
      </c>
      <c r="F124" s="1499">
        <v>2.1177133042750507</v>
      </c>
      <c r="G124" s="1499">
        <v>1.7954249275444427</v>
      </c>
      <c r="H124" s="1499">
        <v>2.5576012979807889</v>
      </c>
      <c r="I124" s="1499">
        <v>4.0487093304010466</v>
      </c>
      <c r="J124" s="1499">
        <v>3.444657146426934</v>
      </c>
      <c r="K124" s="113">
        <v>1.7306414791334865</v>
      </c>
    </row>
    <row r="125" spans="2:11" x14ac:dyDescent="0.3">
      <c r="B125" s="114">
        <v>0</v>
      </c>
      <c r="C125" s="112" t="s">
        <v>1496</v>
      </c>
      <c r="D125" s="1499">
        <v>4.3167459876160006</v>
      </c>
      <c r="E125" s="1499">
        <v>3.2626860601144112</v>
      </c>
      <c r="F125" s="1499">
        <v>2.0598510607254461</v>
      </c>
      <c r="G125" s="1499">
        <v>1.7375626839948382</v>
      </c>
      <c r="H125" s="1499">
        <v>2.4997390544311844</v>
      </c>
      <c r="I125" s="1499">
        <v>3.9908470868514421</v>
      </c>
      <c r="J125" s="1499">
        <v>3.3867949028773299</v>
      </c>
      <c r="K125" s="113">
        <v>1.6727792355838822</v>
      </c>
    </row>
    <row r="126" spans="2:11" x14ac:dyDescent="0.3">
      <c r="B126" s="115"/>
      <c r="C126" s="112" t="s">
        <v>1500</v>
      </c>
      <c r="D126" s="1499">
        <v>4.258883744066396</v>
      </c>
      <c r="E126" s="1499">
        <v>3.2048238165648071</v>
      </c>
      <c r="F126" s="1499">
        <v>2.001988817175842</v>
      </c>
      <c r="G126" s="1499">
        <v>1.679700440445234</v>
      </c>
      <c r="H126" s="1499">
        <v>2.4418768108815803</v>
      </c>
      <c r="I126" s="1499">
        <v>3.932984843301838</v>
      </c>
      <c r="J126" s="1499">
        <v>3.3289326593277253</v>
      </c>
      <c r="K126" s="113">
        <v>1.6149169920342779</v>
      </c>
    </row>
    <row r="127" spans="2:11" x14ac:dyDescent="0.3">
      <c r="B127" s="115"/>
      <c r="C127" s="112" t="s">
        <v>1504</v>
      </c>
      <c r="D127" s="1499">
        <v>4.3500779121515931</v>
      </c>
      <c r="E127" s="1499">
        <v>3.2900807668267045</v>
      </c>
      <c r="F127" s="1499">
        <v>2.0903703130013227</v>
      </c>
      <c r="G127" s="1499">
        <v>1.7631136000576138</v>
      </c>
      <c r="H127" s="1499">
        <v>2.5290539347908765</v>
      </c>
      <c r="I127" s="1499">
        <v>4.018712320599982</v>
      </c>
      <c r="J127" s="1499">
        <v>3.4143222661601778</v>
      </c>
      <c r="K127" s="113">
        <v>1.6986317515350198</v>
      </c>
    </row>
    <row r="128" spans="2:11" x14ac:dyDescent="0.3">
      <c r="B128" s="115"/>
      <c r="C128" s="112" t="s">
        <v>1508</v>
      </c>
      <c r="D128" s="1499">
        <v>4.317539440417673</v>
      </c>
      <c r="E128" s="1499">
        <v>3.2575422950927839</v>
      </c>
      <c r="F128" s="1499">
        <v>2.0578318412674022</v>
      </c>
      <c r="G128" s="1499">
        <v>1.7305751283236932</v>
      </c>
      <c r="H128" s="1499">
        <v>2.4965154630569559</v>
      </c>
      <c r="I128" s="1499">
        <v>3.986173848866061</v>
      </c>
      <c r="J128" s="1499">
        <v>3.3817837944262572</v>
      </c>
      <c r="K128" s="113">
        <v>1.6660932798010992</v>
      </c>
    </row>
    <row r="129" spans="2:11" x14ac:dyDescent="0.3">
      <c r="B129" s="115"/>
      <c r="C129" s="112" t="s">
        <v>1513</v>
      </c>
      <c r="D129" s="1499">
        <v>4.2687317328167929</v>
      </c>
      <c r="E129" s="1499">
        <v>3.2087345874919038</v>
      </c>
      <c r="F129" s="1499">
        <v>2.009024133666522</v>
      </c>
      <c r="G129" s="1499">
        <v>1.681767420722813</v>
      </c>
      <c r="H129" s="1499">
        <v>2.4477077554560758</v>
      </c>
      <c r="I129" s="1499">
        <v>3.9373661412651808</v>
      </c>
      <c r="J129" s="1499">
        <v>3.332976086825377</v>
      </c>
      <c r="K129" s="113">
        <v>1.6172855722002191</v>
      </c>
    </row>
    <row r="130" spans="2:11" x14ac:dyDescent="0.3">
      <c r="B130" s="115"/>
      <c r="C130" s="112" t="s">
        <v>1517</v>
      </c>
      <c r="D130" s="1499">
        <v>4.2199240252159127</v>
      </c>
      <c r="E130" s="1499">
        <v>3.1599268798910232</v>
      </c>
      <c r="F130" s="1499">
        <v>1.9602164260656418</v>
      </c>
      <c r="G130" s="1499">
        <v>1.6329597131219327</v>
      </c>
      <c r="H130" s="1499">
        <v>2.3989000478551956</v>
      </c>
      <c r="I130" s="1499">
        <v>3.8885584336643007</v>
      </c>
      <c r="J130" s="1499">
        <v>3.2841683792244969</v>
      </c>
      <c r="K130" s="113">
        <v>1.5684778645993387</v>
      </c>
    </row>
    <row r="131" spans="2:11" ht="14.5" thickBot="1" x14ac:dyDescent="0.35">
      <c r="B131" s="1233"/>
      <c r="C131" s="116" t="s">
        <v>1519</v>
      </c>
      <c r="D131" s="117">
        <v>4.4131830601986746</v>
      </c>
      <c r="E131" s="117">
        <v>3.3591231326970856</v>
      </c>
      <c r="F131" s="117">
        <v>2.1562881333081205</v>
      </c>
      <c r="G131" s="117">
        <v>1.8339997565775126</v>
      </c>
      <c r="H131" s="117">
        <v>2.5961761270138588</v>
      </c>
      <c r="I131" s="117">
        <v>4.0872841594341169</v>
      </c>
      <c r="J131" s="117">
        <v>3.4832319754600038</v>
      </c>
      <c r="K131" s="118">
        <v>1.7692163081665564</v>
      </c>
    </row>
    <row r="132" spans="2:11" x14ac:dyDescent="0.3">
      <c r="B132" s="120" t="s">
        <v>1990</v>
      </c>
      <c r="C132" s="108" t="s">
        <v>1416</v>
      </c>
      <c r="D132" s="109">
        <v>4.3892323967412192</v>
      </c>
      <c r="E132" s="109">
        <v>3.3004180499548199</v>
      </c>
      <c r="F132" s="109">
        <v>2.130401950561287</v>
      </c>
      <c r="G132" s="109">
        <v>1.7996439919385874</v>
      </c>
      <c r="H132" s="109">
        <v>2.5711551278003397</v>
      </c>
      <c r="I132" s="109">
        <v>4.0237444557530937</v>
      </c>
      <c r="J132" s="109">
        <v>3.4208413382006708</v>
      </c>
      <c r="K132" s="110">
        <v>1.7387834878463699</v>
      </c>
    </row>
    <row r="133" spans="2:11" x14ac:dyDescent="0.3">
      <c r="B133" s="111"/>
      <c r="C133" s="112" t="s">
        <v>1483</v>
      </c>
      <c r="D133" s="1499">
        <v>4.7107368624663781</v>
      </c>
      <c r="E133" s="1499">
        <v>3.6413729949221696</v>
      </c>
      <c r="F133" s="1499">
        <v>2.4610740062119496</v>
      </c>
      <c r="G133" s="1499">
        <v>2.1334699042528964</v>
      </c>
      <c r="H133" s="1499">
        <v>2.8889778682124367</v>
      </c>
      <c r="I133" s="1499">
        <v>4.3672608138534388</v>
      </c>
      <c r="J133" s="1499">
        <v>3.7654989970022119</v>
      </c>
      <c r="K133" s="113">
        <v>2.0740962701407613</v>
      </c>
    </row>
    <row r="134" spans="2:11" x14ac:dyDescent="0.3">
      <c r="B134" s="111" t="s">
        <v>1986</v>
      </c>
      <c r="C134" s="112" t="s">
        <v>1489</v>
      </c>
      <c r="D134" s="1499">
        <v>4.6721620334333087</v>
      </c>
      <c r="E134" s="1499">
        <v>3.6027981658890997</v>
      </c>
      <c r="F134" s="1499">
        <v>2.4224991771788802</v>
      </c>
      <c r="G134" s="1499">
        <v>2.094895075219827</v>
      </c>
      <c r="H134" s="1499">
        <v>2.8504030391793669</v>
      </c>
      <c r="I134" s="1499">
        <v>4.3286859848203694</v>
      </c>
      <c r="J134" s="1499">
        <v>3.7269241679691421</v>
      </c>
      <c r="K134" s="113">
        <v>2.0355214411076918</v>
      </c>
    </row>
    <row r="135" spans="2:11" x14ac:dyDescent="0.3">
      <c r="B135" s="114">
        <v>0</v>
      </c>
      <c r="C135" s="112" t="s">
        <v>1496</v>
      </c>
      <c r="D135" s="1499">
        <v>4.6142997898837042</v>
      </c>
      <c r="E135" s="1499">
        <v>3.5449359223394952</v>
      </c>
      <c r="F135" s="1499">
        <v>2.3646369336292756</v>
      </c>
      <c r="G135" s="1499">
        <v>2.0370328316702224</v>
      </c>
      <c r="H135" s="1499">
        <v>2.7925407956297623</v>
      </c>
      <c r="I135" s="1499">
        <v>4.2708237412707648</v>
      </c>
      <c r="J135" s="1499">
        <v>3.6690619244195375</v>
      </c>
      <c r="K135" s="113">
        <v>1.9776591975580873</v>
      </c>
    </row>
    <row r="136" spans="2:11" x14ac:dyDescent="0.3">
      <c r="B136" s="115"/>
      <c r="C136" s="112" t="s">
        <v>1500</v>
      </c>
      <c r="D136" s="1499">
        <v>4.5564375463340996</v>
      </c>
      <c r="E136" s="1499">
        <v>3.4870736787898906</v>
      </c>
      <c r="F136" s="1499">
        <v>2.3067746900796711</v>
      </c>
      <c r="G136" s="1499">
        <v>1.9791705881206181</v>
      </c>
      <c r="H136" s="1499">
        <v>2.7346785520801578</v>
      </c>
      <c r="I136" s="1499">
        <v>4.2129614977211611</v>
      </c>
      <c r="J136" s="1499">
        <v>3.6111996808699329</v>
      </c>
      <c r="K136" s="113">
        <v>1.9197969540084827</v>
      </c>
    </row>
    <row r="137" spans="2:11" x14ac:dyDescent="0.3">
      <c r="B137" s="115"/>
      <c r="C137" s="112" t="s">
        <v>1504</v>
      </c>
      <c r="D137" s="1499">
        <v>4.6467408170571103</v>
      </c>
      <c r="E137" s="1499">
        <v>3.5724148768689576</v>
      </c>
      <c r="F137" s="1499">
        <v>2.3938711549115523</v>
      </c>
      <c r="G137" s="1499">
        <v>2.0666369005750629</v>
      </c>
      <c r="H137" s="1499">
        <v>2.8246874315453456</v>
      </c>
      <c r="I137" s="1499">
        <v>4.2983997197023607</v>
      </c>
      <c r="J137" s="1499">
        <v>3.6954829968182503</v>
      </c>
      <c r="K137" s="113">
        <v>2.0069167021720431</v>
      </c>
    </row>
    <row r="138" spans="2:11" x14ac:dyDescent="0.3">
      <c r="B138" s="115"/>
      <c r="C138" s="112" t="s">
        <v>1508</v>
      </c>
      <c r="D138" s="1499">
        <v>4.6142023453231893</v>
      </c>
      <c r="E138" s="1499">
        <v>3.5398764051350371</v>
      </c>
      <c r="F138" s="1499">
        <v>2.3613326831776322</v>
      </c>
      <c r="G138" s="1499">
        <v>2.0340984288411428</v>
      </c>
      <c r="H138" s="1499">
        <v>2.7921489598114255</v>
      </c>
      <c r="I138" s="1499">
        <v>4.2658612479684406</v>
      </c>
      <c r="J138" s="1499">
        <v>3.6629445250843298</v>
      </c>
      <c r="K138" s="113">
        <v>1.974378230438123</v>
      </c>
    </row>
    <row r="139" spans="2:11" x14ac:dyDescent="0.3">
      <c r="B139" s="115"/>
      <c r="C139" s="112" t="s">
        <v>1513</v>
      </c>
      <c r="D139" s="1499">
        <v>4.5653946377223091</v>
      </c>
      <c r="E139" s="1499">
        <v>3.4910686975341569</v>
      </c>
      <c r="F139" s="1499">
        <v>2.3125249755767516</v>
      </c>
      <c r="G139" s="1499">
        <v>1.9852907212402622</v>
      </c>
      <c r="H139" s="1499">
        <v>2.7433412522105449</v>
      </c>
      <c r="I139" s="1499">
        <v>4.2170535403675604</v>
      </c>
      <c r="J139" s="1499">
        <v>3.6141368174834496</v>
      </c>
      <c r="K139" s="113">
        <v>1.9255705228372426</v>
      </c>
    </row>
    <row r="140" spans="2:11" x14ac:dyDescent="0.3">
      <c r="B140" s="115"/>
      <c r="C140" s="112" t="s">
        <v>1517</v>
      </c>
      <c r="D140" s="1499">
        <v>4.516586930121429</v>
      </c>
      <c r="E140" s="1499">
        <v>3.4422609899332763</v>
      </c>
      <c r="F140" s="1499">
        <v>2.2637172679758715</v>
      </c>
      <c r="G140" s="1499">
        <v>1.936483013639382</v>
      </c>
      <c r="H140" s="1499">
        <v>2.6945335446096648</v>
      </c>
      <c r="I140" s="1499">
        <v>4.1682458327666803</v>
      </c>
      <c r="J140" s="1499">
        <v>3.5653291098825695</v>
      </c>
      <c r="K140" s="113">
        <v>1.8767628152363622</v>
      </c>
    </row>
    <row r="141" spans="2:11" ht="14.5" thickBot="1" x14ac:dyDescent="0.35">
      <c r="B141" s="1233"/>
      <c r="C141" s="116" t="s">
        <v>1519</v>
      </c>
      <c r="D141" s="117">
        <v>4.7107368624663781</v>
      </c>
      <c r="E141" s="117">
        <v>3.6413729949221696</v>
      </c>
      <c r="F141" s="117">
        <v>2.4610740062119496</v>
      </c>
      <c r="G141" s="117">
        <v>2.1334699042528964</v>
      </c>
      <c r="H141" s="117">
        <v>2.8889778682124367</v>
      </c>
      <c r="I141" s="117">
        <v>4.3672608138534388</v>
      </c>
      <c r="J141" s="117">
        <v>3.7654989970022119</v>
      </c>
      <c r="K141" s="118">
        <v>2.0740962701407613</v>
      </c>
    </row>
    <row r="142" spans="2:11" x14ac:dyDescent="0.3">
      <c r="B142" s="120" t="s">
        <v>1990</v>
      </c>
      <c r="C142" s="108" t="s">
        <v>1416</v>
      </c>
      <c r="D142" s="109">
        <v>4.2808723177731789</v>
      </c>
      <c r="E142" s="109">
        <v>3.1920579709867796</v>
      </c>
      <c r="F142" s="109">
        <v>2.0220418715932462</v>
      </c>
      <c r="G142" s="109">
        <v>1.6912839129705466</v>
      </c>
      <c r="H142" s="109">
        <v>2.4627950488322989</v>
      </c>
      <c r="I142" s="109">
        <v>3.9153843767850534</v>
      </c>
      <c r="J142" s="109">
        <v>3.31248125923263</v>
      </c>
      <c r="K142" s="110">
        <v>1.6304234088783292</v>
      </c>
    </row>
    <row r="143" spans="2:11" x14ac:dyDescent="0.3">
      <c r="B143" s="111"/>
      <c r="C143" s="112" t="s">
        <v>1483</v>
      </c>
      <c r="D143" s="1499">
        <v>4.6023767834983378</v>
      </c>
      <c r="E143" s="1499">
        <v>3.5330129159541293</v>
      </c>
      <c r="F143" s="1499">
        <v>2.3527139272439088</v>
      </c>
      <c r="G143" s="1499">
        <v>2.0251098252848556</v>
      </c>
      <c r="H143" s="1499">
        <v>2.7806177892443955</v>
      </c>
      <c r="I143" s="1499">
        <v>4.2589007348853984</v>
      </c>
      <c r="J143" s="1499">
        <v>3.6571389180341711</v>
      </c>
      <c r="K143" s="113">
        <v>1.9657361911727205</v>
      </c>
    </row>
    <row r="144" spans="2:11" x14ac:dyDescent="0.3">
      <c r="B144" s="111" t="s">
        <v>1987</v>
      </c>
      <c r="C144" s="112" t="s">
        <v>1489</v>
      </c>
      <c r="D144" s="1499">
        <v>4.5638019544652684</v>
      </c>
      <c r="E144" s="1499">
        <v>3.4944380869210594</v>
      </c>
      <c r="F144" s="1499">
        <v>2.3141390982108394</v>
      </c>
      <c r="G144" s="1499">
        <v>1.9865349962517862</v>
      </c>
      <c r="H144" s="1499">
        <v>2.7420429602113261</v>
      </c>
      <c r="I144" s="1499">
        <v>4.220325905852329</v>
      </c>
      <c r="J144" s="1499">
        <v>3.6185640890011013</v>
      </c>
      <c r="K144" s="113">
        <v>1.9271613621396508</v>
      </c>
    </row>
    <row r="145" spans="2:11" x14ac:dyDescent="0.3">
      <c r="B145" s="114">
        <v>0</v>
      </c>
      <c r="C145" s="112" t="s">
        <v>1496</v>
      </c>
      <c r="D145" s="1499">
        <v>4.5059397109156638</v>
      </c>
      <c r="E145" s="1499">
        <v>3.4365758433714548</v>
      </c>
      <c r="F145" s="1499">
        <v>2.2562768546612348</v>
      </c>
      <c r="G145" s="1499">
        <v>1.9286727527021819</v>
      </c>
      <c r="H145" s="1499">
        <v>2.6841807166617215</v>
      </c>
      <c r="I145" s="1499">
        <v>4.1624636623027245</v>
      </c>
      <c r="J145" s="1499">
        <v>3.5607018454514971</v>
      </c>
      <c r="K145" s="113">
        <v>1.8692991185900465</v>
      </c>
    </row>
    <row r="146" spans="2:11" x14ac:dyDescent="0.3">
      <c r="B146" s="115"/>
      <c r="C146" s="112" t="s">
        <v>1500</v>
      </c>
      <c r="D146" s="1499">
        <v>4.4480774673660592</v>
      </c>
      <c r="E146" s="1499">
        <v>3.3787135998218503</v>
      </c>
      <c r="F146" s="1499">
        <v>2.1984146111116303</v>
      </c>
      <c r="G146" s="1499">
        <v>1.8708105091525773</v>
      </c>
      <c r="H146" s="1499">
        <v>2.626318473112117</v>
      </c>
      <c r="I146" s="1499">
        <v>4.1046014187531199</v>
      </c>
      <c r="J146" s="1499">
        <v>3.5028396019018926</v>
      </c>
      <c r="K146" s="113">
        <v>1.8114368750404419</v>
      </c>
    </row>
    <row r="147" spans="2:11" x14ac:dyDescent="0.3">
      <c r="B147" s="115"/>
      <c r="C147" s="112" t="s">
        <v>1504</v>
      </c>
      <c r="D147" s="1499">
        <v>4.5383807380890691</v>
      </c>
      <c r="E147" s="1499">
        <v>3.4640547979009169</v>
      </c>
      <c r="F147" s="1499">
        <v>2.2855110759435115</v>
      </c>
      <c r="G147" s="1499">
        <v>1.9582768216070221</v>
      </c>
      <c r="H147" s="1499">
        <v>2.7163273525773048</v>
      </c>
      <c r="I147" s="1499">
        <v>4.1900396407343203</v>
      </c>
      <c r="J147" s="1499">
        <v>3.58712291785021</v>
      </c>
      <c r="K147" s="113">
        <v>1.8985566232040025</v>
      </c>
    </row>
    <row r="148" spans="2:11" x14ac:dyDescent="0.3">
      <c r="B148" s="115"/>
      <c r="C148" s="112" t="s">
        <v>1508</v>
      </c>
      <c r="D148" s="1499">
        <v>4.505842266355149</v>
      </c>
      <c r="E148" s="1499">
        <v>3.4315163261669963</v>
      </c>
      <c r="F148" s="1499">
        <v>2.2529726042095914</v>
      </c>
      <c r="G148" s="1499">
        <v>1.9257383498731018</v>
      </c>
      <c r="H148" s="1499">
        <v>2.6837888808433847</v>
      </c>
      <c r="I148" s="1499">
        <v>4.1575011690004002</v>
      </c>
      <c r="J148" s="1499">
        <v>3.5545844461162894</v>
      </c>
      <c r="K148" s="113">
        <v>1.8660181514700822</v>
      </c>
    </row>
    <row r="149" spans="2:11" x14ac:dyDescent="0.3">
      <c r="B149" s="115"/>
      <c r="C149" s="112" t="s">
        <v>1513</v>
      </c>
      <c r="D149" s="1499">
        <v>4.4570345587542688</v>
      </c>
      <c r="E149" s="1499">
        <v>3.3827086185661162</v>
      </c>
      <c r="F149" s="1499">
        <v>2.2041648966087108</v>
      </c>
      <c r="G149" s="1499">
        <v>1.8769306422722214</v>
      </c>
      <c r="H149" s="1499">
        <v>2.6349811732425041</v>
      </c>
      <c r="I149" s="1499">
        <v>4.1086934613995192</v>
      </c>
      <c r="J149" s="1499">
        <v>3.5057767385154093</v>
      </c>
      <c r="K149" s="113">
        <v>1.8172104438692018</v>
      </c>
    </row>
    <row r="150" spans="2:11" x14ac:dyDescent="0.3">
      <c r="B150" s="115"/>
      <c r="C150" s="112" t="s">
        <v>1517</v>
      </c>
      <c r="D150" s="1499">
        <v>4.4082268511533877</v>
      </c>
      <c r="E150" s="1499">
        <v>3.3339009109652356</v>
      </c>
      <c r="F150" s="1499">
        <v>2.1553571890078307</v>
      </c>
      <c r="G150" s="1499">
        <v>1.8281229346713412</v>
      </c>
      <c r="H150" s="1499">
        <v>2.586173465641624</v>
      </c>
      <c r="I150" s="1499">
        <v>4.059885753798639</v>
      </c>
      <c r="J150" s="1499">
        <v>3.4569690309145282</v>
      </c>
      <c r="K150" s="113">
        <v>1.7684027362683215</v>
      </c>
    </row>
    <row r="151" spans="2:11" ht="14.5" thickBot="1" x14ac:dyDescent="0.35">
      <c r="B151" s="1233"/>
      <c r="C151" s="116" t="s">
        <v>1519</v>
      </c>
      <c r="D151" s="117">
        <v>4.6023767834983378</v>
      </c>
      <c r="E151" s="117">
        <v>3.5330129159541293</v>
      </c>
      <c r="F151" s="117">
        <v>2.3527139272439088</v>
      </c>
      <c r="G151" s="117">
        <v>2.0251098252848556</v>
      </c>
      <c r="H151" s="117">
        <v>2.7806177892443955</v>
      </c>
      <c r="I151" s="117">
        <v>4.2589007348853984</v>
      </c>
      <c r="J151" s="117">
        <v>3.6571389180341711</v>
      </c>
      <c r="K151" s="118">
        <v>1.9657361911727205</v>
      </c>
    </row>
    <row r="152" spans="2:11" x14ac:dyDescent="0.3">
      <c r="B152" s="120" t="s">
        <v>1990</v>
      </c>
      <c r="C152" s="108" t="s">
        <v>1416</v>
      </c>
      <c r="D152" s="109">
        <v>4.1183321993211184</v>
      </c>
      <c r="E152" s="109">
        <v>3.0295178525347186</v>
      </c>
      <c r="F152" s="109">
        <v>1.8595017531411853</v>
      </c>
      <c r="G152" s="109">
        <v>1.5287437945184854</v>
      </c>
      <c r="H152" s="109">
        <v>2.300254930380238</v>
      </c>
      <c r="I152" s="109">
        <v>3.7528442583329924</v>
      </c>
      <c r="J152" s="109">
        <v>3.1499411407805691</v>
      </c>
      <c r="K152" s="110">
        <v>1.467883290426268</v>
      </c>
    </row>
    <row r="153" spans="2:11" x14ac:dyDescent="0.3">
      <c r="B153" s="111"/>
      <c r="C153" s="112" t="s">
        <v>1483</v>
      </c>
      <c r="D153" s="1499">
        <v>4.4398366650462764</v>
      </c>
      <c r="E153" s="1499">
        <v>3.3704727975020674</v>
      </c>
      <c r="F153" s="1499">
        <v>2.1901738087918479</v>
      </c>
      <c r="G153" s="1499">
        <v>1.8625697068327949</v>
      </c>
      <c r="H153" s="1499">
        <v>2.6180776707923346</v>
      </c>
      <c r="I153" s="1499">
        <v>4.0963606164333379</v>
      </c>
      <c r="J153" s="1499">
        <v>3.4945987995821097</v>
      </c>
      <c r="K153" s="113">
        <v>1.8031960727206595</v>
      </c>
    </row>
    <row r="154" spans="2:11" x14ac:dyDescent="0.3">
      <c r="B154" s="111" t="s">
        <v>1988</v>
      </c>
      <c r="C154" s="112" t="s">
        <v>1489</v>
      </c>
      <c r="D154" s="1499">
        <v>4.401261836013207</v>
      </c>
      <c r="E154" s="1499">
        <v>3.3318979684689984</v>
      </c>
      <c r="F154" s="1499">
        <v>2.1515989797587785</v>
      </c>
      <c r="G154" s="1499">
        <v>1.8239948777997252</v>
      </c>
      <c r="H154" s="1499">
        <v>2.5795028417592651</v>
      </c>
      <c r="I154" s="1499">
        <v>4.0577857874002676</v>
      </c>
      <c r="J154" s="1499">
        <v>3.4560239705490403</v>
      </c>
      <c r="K154" s="113">
        <v>1.7646212436875899</v>
      </c>
    </row>
    <row r="155" spans="2:11" x14ac:dyDescent="0.3">
      <c r="B155" s="114">
        <v>0</v>
      </c>
      <c r="C155" s="112" t="s">
        <v>1496</v>
      </c>
      <c r="D155" s="1499">
        <v>4.3433995924636024</v>
      </c>
      <c r="E155" s="1499">
        <v>3.2740357249193939</v>
      </c>
      <c r="F155" s="1499">
        <v>2.0937367362091739</v>
      </c>
      <c r="G155" s="1499">
        <v>1.7661326342501209</v>
      </c>
      <c r="H155" s="1499">
        <v>2.5216405982096606</v>
      </c>
      <c r="I155" s="1499">
        <v>3.9999235438506635</v>
      </c>
      <c r="J155" s="1499">
        <v>3.3981617269994357</v>
      </c>
      <c r="K155" s="113">
        <v>1.7067590001379855</v>
      </c>
    </row>
    <row r="156" spans="2:11" x14ac:dyDescent="0.3">
      <c r="B156" s="115"/>
      <c r="C156" s="112" t="s">
        <v>1500</v>
      </c>
      <c r="D156" s="1499">
        <v>4.2855373489139978</v>
      </c>
      <c r="E156" s="1499">
        <v>3.2161734813697893</v>
      </c>
      <c r="F156" s="1499">
        <v>2.0358744926595693</v>
      </c>
      <c r="G156" s="1499">
        <v>1.7082703907005163</v>
      </c>
      <c r="H156" s="1499">
        <v>2.463778354660056</v>
      </c>
      <c r="I156" s="1499">
        <v>3.9420613003010589</v>
      </c>
      <c r="J156" s="1499">
        <v>3.3402994834498316</v>
      </c>
      <c r="K156" s="113">
        <v>1.648896756588381</v>
      </c>
    </row>
    <row r="157" spans="2:11" x14ac:dyDescent="0.3">
      <c r="B157" s="115"/>
      <c r="C157" s="112" t="s">
        <v>1504</v>
      </c>
      <c r="D157" s="1499">
        <v>4.3758406196370077</v>
      </c>
      <c r="E157" s="1499">
        <v>3.3015146794488555</v>
      </c>
      <c r="F157" s="1499">
        <v>2.1229709574914506</v>
      </c>
      <c r="G157" s="1499">
        <v>1.7957367031549611</v>
      </c>
      <c r="H157" s="1499">
        <v>2.5537872341252439</v>
      </c>
      <c r="I157" s="1499">
        <v>4.0274995222822589</v>
      </c>
      <c r="J157" s="1499">
        <v>3.4245827993981481</v>
      </c>
      <c r="K157" s="113">
        <v>1.7360165047519414</v>
      </c>
    </row>
    <row r="158" spans="2:11" x14ac:dyDescent="0.3">
      <c r="B158" s="115"/>
      <c r="C158" s="112" t="s">
        <v>1508</v>
      </c>
      <c r="D158" s="1499">
        <v>4.3433021479030876</v>
      </c>
      <c r="E158" s="1499">
        <v>3.2689762077149354</v>
      </c>
      <c r="F158" s="1499">
        <v>2.0904324857575305</v>
      </c>
      <c r="G158" s="1499">
        <v>1.7631982314210408</v>
      </c>
      <c r="H158" s="1499">
        <v>2.5212487623913238</v>
      </c>
      <c r="I158" s="1499">
        <v>3.9949610505483388</v>
      </c>
      <c r="J158" s="1499">
        <v>3.3920443276642285</v>
      </c>
      <c r="K158" s="113">
        <v>1.7034780330180213</v>
      </c>
    </row>
    <row r="159" spans="2:11" x14ac:dyDescent="0.3">
      <c r="B159" s="115"/>
      <c r="C159" s="112" t="s">
        <v>1513</v>
      </c>
      <c r="D159" s="1499">
        <v>4.2944944403022074</v>
      </c>
      <c r="E159" s="1499">
        <v>3.2201685001140552</v>
      </c>
      <c r="F159" s="1499">
        <v>2.0416247781566499</v>
      </c>
      <c r="G159" s="1499">
        <v>1.7143905238201602</v>
      </c>
      <c r="H159" s="1499">
        <v>2.4724410547904432</v>
      </c>
      <c r="I159" s="1499">
        <v>3.9461533429474587</v>
      </c>
      <c r="J159" s="1499">
        <v>3.3432366200633483</v>
      </c>
      <c r="K159" s="113">
        <v>1.6546703254171407</v>
      </c>
    </row>
    <row r="160" spans="2:11" x14ac:dyDescent="0.3">
      <c r="B160" s="115"/>
      <c r="C160" s="112" t="s">
        <v>1517</v>
      </c>
      <c r="D160" s="1499">
        <v>4.2456867327013272</v>
      </c>
      <c r="E160" s="1499">
        <v>3.1713607925131746</v>
      </c>
      <c r="F160" s="1499">
        <v>1.9928170705557695</v>
      </c>
      <c r="G160" s="1499">
        <v>1.6655828162192801</v>
      </c>
      <c r="H160" s="1499">
        <v>2.423633347189563</v>
      </c>
      <c r="I160" s="1499">
        <v>3.8973456353465776</v>
      </c>
      <c r="J160" s="1499">
        <v>3.2944289124624673</v>
      </c>
      <c r="K160" s="113">
        <v>1.6058626178162605</v>
      </c>
    </row>
    <row r="161" spans="2:11" ht="14.5" thickBot="1" x14ac:dyDescent="0.35">
      <c r="B161" s="1233"/>
      <c r="C161" s="116" t="s">
        <v>1519</v>
      </c>
      <c r="D161" s="117">
        <v>4.4398366650462764</v>
      </c>
      <c r="E161" s="117">
        <v>3.3704727975020674</v>
      </c>
      <c r="F161" s="117">
        <v>2.1901738087918479</v>
      </c>
      <c r="G161" s="117">
        <v>1.8625697068327949</v>
      </c>
      <c r="H161" s="117">
        <v>2.6180776707923346</v>
      </c>
      <c r="I161" s="117">
        <v>4.0963606164333379</v>
      </c>
      <c r="J161" s="117">
        <v>3.4945987995821097</v>
      </c>
      <c r="K161" s="118">
        <v>1.8031960727206595</v>
      </c>
    </row>
    <row r="162" spans="2:11" x14ac:dyDescent="0.3">
      <c r="B162" s="120" t="s">
        <v>1990</v>
      </c>
      <c r="C162" s="108" t="s">
        <v>1416</v>
      </c>
      <c r="D162" s="109">
        <v>3.955792080869057</v>
      </c>
      <c r="E162" s="109">
        <v>2.8669777340826577</v>
      </c>
      <c r="F162" s="109">
        <v>1.6969616346891241</v>
      </c>
      <c r="G162" s="109">
        <v>1.3662036760664242</v>
      </c>
      <c r="H162" s="109">
        <v>2.1377148119281766</v>
      </c>
      <c r="I162" s="109">
        <v>3.5903041398809314</v>
      </c>
      <c r="J162" s="109">
        <v>2.9874010223285081</v>
      </c>
      <c r="K162" s="110">
        <v>1.3053431719742068</v>
      </c>
    </row>
    <row r="163" spans="2:11" x14ac:dyDescent="0.3">
      <c r="B163" s="111"/>
      <c r="C163" s="112" t="s">
        <v>1483</v>
      </c>
      <c r="D163" s="1499">
        <v>4.277296546594215</v>
      </c>
      <c r="E163" s="1499">
        <v>3.2079326790500065</v>
      </c>
      <c r="F163" s="1499">
        <v>2.0276336903397869</v>
      </c>
      <c r="G163" s="1499">
        <v>1.7000295883807337</v>
      </c>
      <c r="H163" s="1499">
        <v>2.4555375523402736</v>
      </c>
      <c r="I163" s="1499">
        <v>3.9338204979812761</v>
      </c>
      <c r="J163" s="1499">
        <v>3.3320586811300488</v>
      </c>
      <c r="K163" s="113">
        <v>1.6406559542685983</v>
      </c>
    </row>
    <row r="164" spans="2:11" x14ac:dyDescent="0.3">
      <c r="B164" s="111" t="s">
        <v>1989</v>
      </c>
      <c r="C164" s="112" t="s">
        <v>1489</v>
      </c>
      <c r="D164" s="1499">
        <v>4.2387217175611456</v>
      </c>
      <c r="E164" s="1499">
        <v>3.169357850016937</v>
      </c>
      <c r="F164" s="1499">
        <v>1.9890588613067171</v>
      </c>
      <c r="G164" s="1499">
        <v>1.6614547593476638</v>
      </c>
      <c r="H164" s="1499">
        <v>2.4169627233072037</v>
      </c>
      <c r="I164" s="1499">
        <v>3.8952456689482067</v>
      </c>
      <c r="J164" s="1499">
        <v>3.2934838520969794</v>
      </c>
      <c r="K164" s="113">
        <v>1.6020811252355289</v>
      </c>
    </row>
    <row r="165" spans="2:11" x14ac:dyDescent="0.3">
      <c r="B165" s="114">
        <v>0</v>
      </c>
      <c r="C165" s="112" t="s">
        <v>1496</v>
      </c>
      <c r="D165" s="1499">
        <v>4.1808594740115419</v>
      </c>
      <c r="E165" s="1499">
        <v>3.1114956064673329</v>
      </c>
      <c r="F165" s="1499">
        <v>1.9311966177571125</v>
      </c>
      <c r="G165" s="1499">
        <v>1.6035925157980595</v>
      </c>
      <c r="H165" s="1499">
        <v>2.3591004797575992</v>
      </c>
      <c r="I165" s="1499">
        <v>3.8373834253986026</v>
      </c>
      <c r="J165" s="1499">
        <v>3.2356216085473748</v>
      </c>
      <c r="K165" s="113">
        <v>1.5442188816859244</v>
      </c>
    </row>
    <row r="166" spans="2:11" x14ac:dyDescent="0.3">
      <c r="B166" s="115"/>
      <c r="C166" s="112" t="s">
        <v>1500</v>
      </c>
      <c r="D166" s="1499">
        <v>4.1229972304619373</v>
      </c>
      <c r="E166" s="1499">
        <v>3.0536333629177284</v>
      </c>
      <c r="F166" s="1499">
        <v>1.8733343742075084</v>
      </c>
      <c r="G166" s="1499">
        <v>1.5457302722484554</v>
      </c>
      <c r="H166" s="1499">
        <v>2.3012382362079951</v>
      </c>
      <c r="I166" s="1499">
        <v>3.779521181848998</v>
      </c>
      <c r="J166" s="1499">
        <v>3.1777593649977707</v>
      </c>
      <c r="K166" s="113">
        <v>1.48635663813632</v>
      </c>
    </row>
    <row r="167" spans="2:11" x14ac:dyDescent="0.3">
      <c r="B167" s="115"/>
      <c r="C167" s="112" t="s">
        <v>1504</v>
      </c>
      <c r="D167" s="1499">
        <v>4.2133005011849471</v>
      </c>
      <c r="E167" s="1499">
        <v>3.1389745609967945</v>
      </c>
      <c r="F167" s="1499">
        <v>1.9604308390393892</v>
      </c>
      <c r="G167" s="1499">
        <v>1.6331965847028997</v>
      </c>
      <c r="H167" s="1499">
        <v>2.3912471156731829</v>
      </c>
      <c r="I167" s="1499">
        <v>3.8649594038301975</v>
      </c>
      <c r="J167" s="1499">
        <v>3.2620426809460872</v>
      </c>
      <c r="K167" s="113">
        <v>1.5734763862998802</v>
      </c>
    </row>
    <row r="168" spans="2:11" x14ac:dyDescent="0.3">
      <c r="B168" s="115"/>
      <c r="C168" s="112" t="s">
        <v>1508</v>
      </c>
      <c r="D168" s="1499">
        <v>4.180762029451027</v>
      </c>
      <c r="E168" s="1499">
        <v>3.1064360892628744</v>
      </c>
      <c r="F168" s="1499">
        <v>1.9278923673054693</v>
      </c>
      <c r="G168" s="1499">
        <v>1.6006581129689799</v>
      </c>
      <c r="H168" s="1499">
        <v>2.3587086439392624</v>
      </c>
      <c r="I168" s="1499">
        <v>3.8324209320962779</v>
      </c>
      <c r="J168" s="1499">
        <v>3.2295042092121675</v>
      </c>
      <c r="K168" s="113">
        <v>1.5409379145659603</v>
      </c>
    </row>
    <row r="169" spans="2:11" x14ac:dyDescent="0.3">
      <c r="B169" s="115"/>
      <c r="C169" s="112" t="s">
        <v>1513</v>
      </c>
      <c r="D169" s="1499">
        <v>4.1319543218501469</v>
      </c>
      <c r="E169" s="1499">
        <v>3.0576283816619942</v>
      </c>
      <c r="F169" s="1499">
        <v>1.8790846597045887</v>
      </c>
      <c r="G169" s="1499">
        <v>1.5518504053680993</v>
      </c>
      <c r="H169" s="1499">
        <v>2.3099009363383822</v>
      </c>
      <c r="I169" s="1499">
        <v>3.7836132244953968</v>
      </c>
      <c r="J169" s="1499">
        <v>3.1806965016112874</v>
      </c>
      <c r="K169" s="113">
        <v>1.4921302069650797</v>
      </c>
    </row>
    <row r="170" spans="2:11" x14ac:dyDescent="0.3">
      <c r="B170" s="115"/>
      <c r="C170" s="112" t="s">
        <v>1517</v>
      </c>
      <c r="D170" s="1499">
        <v>4.0831466142492658</v>
      </c>
      <c r="E170" s="1499">
        <v>3.0088206740611132</v>
      </c>
      <c r="F170" s="1499">
        <v>1.8302769521037083</v>
      </c>
      <c r="G170" s="1499">
        <v>1.5030426977672189</v>
      </c>
      <c r="H170" s="1499">
        <v>2.2610932287375021</v>
      </c>
      <c r="I170" s="1499">
        <v>3.7348055168945167</v>
      </c>
      <c r="J170" s="1499">
        <v>3.1318887940104063</v>
      </c>
      <c r="K170" s="113">
        <v>1.4433224993641991</v>
      </c>
    </row>
    <row r="171" spans="2:11" ht="14.5" thickBot="1" x14ac:dyDescent="0.35">
      <c r="B171" s="1233"/>
      <c r="C171" s="116" t="s">
        <v>1519</v>
      </c>
      <c r="D171" s="117">
        <v>4.277296546594215</v>
      </c>
      <c r="E171" s="117">
        <v>3.2079326790500065</v>
      </c>
      <c r="F171" s="117">
        <v>2.0276336903397869</v>
      </c>
      <c r="G171" s="117">
        <v>1.7000295883807337</v>
      </c>
      <c r="H171" s="117">
        <v>2.4555375523402736</v>
      </c>
      <c r="I171" s="117">
        <v>3.9338204979812761</v>
      </c>
      <c r="J171" s="117">
        <v>3.3320586811300488</v>
      </c>
      <c r="K171" s="118">
        <v>1.6406559542685983</v>
      </c>
    </row>
    <row r="173" spans="2:11" ht="14.5" thickBot="1" x14ac:dyDescent="0.35"/>
    <row r="174" spans="2:11" ht="25.5" thickBot="1" x14ac:dyDescent="0.55000000000000004">
      <c r="B174" s="88" t="s">
        <v>1960</v>
      </c>
      <c r="C174" s="89"/>
      <c r="D174" s="90">
        <v>6</v>
      </c>
      <c r="E174" s="91" t="s">
        <v>1991</v>
      </c>
      <c r="F174" s="92"/>
      <c r="G174" s="92"/>
      <c r="H174" s="92"/>
      <c r="I174" s="93"/>
      <c r="J174" s="89" t="s">
        <v>176</v>
      </c>
      <c r="K174" s="94" t="s">
        <v>234</v>
      </c>
    </row>
    <row r="175" spans="2:11" ht="14.5" thickBot="1" x14ac:dyDescent="0.35">
      <c r="B175" s="95" t="s">
        <v>1962</v>
      </c>
      <c r="C175" s="96" t="s">
        <v>1963</v>
      </c>
      <c r="D175" s="95" t="s">
        <v>1964</v>
      </c>
      <c r="E175" s="97" t="s">
        <v>1965</v>
      </c>
      <c r="F175" s="97" t="s">
        <v>1966</v>
      </c>
      <c r="G175" s="97" t="s">
        <v>1967</v>
      </c>
      <c r="H175" s="97" t="s">
        <v>1968</v>
      </c>
      <c r="I175" s="97" t="s">
        <v>1969</v>
      </c>
      <c r="J175" s="97" t="s">
        <v>1970</v>
      </c>
      <c r="K175" s="98" t="s">
        <v>1971</v>
      </c>
    </row>
    <row r="176" spans="2:11" ht="14.5" thickBot="1" x14ac:dyDescent="0.35">
      <c r="B176" s="99"/>
      <c r="C176" s="99"/>
      <c r="D176" s="100"/>
      <c r="E176" s="944"/>
      <c r="F176" s="944"/>
      <c r="G176" s="944"/>
      <c r="H176" s="944"/>
      <c r="I176" s="944"/>
      <c r="J176" s="944"/>
      <c r="K176" s="102"/>
    </row>
    <row r="177" spans="2:11" ht="90.5" thickBot="1" x14ac:dyDescent="0.45">
      <c r="B177" s="103" t="s">
        <v>1972</v>
      </c>
      <c r="C177" s="103" t="s">
        <v>1973</v>
      </c>
      <c r="D177" s="105" t="s">
        <v>1974</v>
      </c>
      <c r="E177" s="105" t="s">
        <v>1525</v>
      </c>
      <c r="F177" s="105" t="s">
        <v>1527</v>
      </c>
      <c r="G177" s="105" t="s">
        <v>1975</v>
      </c>
      <c r="H177" s="105" t="s">
        <v>1976</v>
      </c>
      <c r="I177" s="105" t="s">
        <v>1445</v>
      </c>
      <c r="J177" s="105" t="s">
        <v>1538</v>
      </c>
      <c r="K177" s="106" t="s">
        <v>1541</v>
      </c>
    </row>
    <row r="178" spans="2:11" x14ac:dyDescent="0.3">
      <c r="B178" s="120" t="s">
        <v>1992</v>
      </c>
      <c r="C178" s="108" t="s">
        <v>1416</v>
      </c>
      <c r="D178" s="109">
        <v>7.5497722931252831</v>
      </c>
      <c r="E178" s="109">
        <v>6.6279787830491799</v>
      </c>
      <c r="F178" s="109">
        <v>5.2630929962592017</v>
      </c>
      <c r="G178" s="109">
        <v>5.0026152468471539</v>
      </c>
      <c r="H178" s="109">
        <v>5.7709527895136379</v>
      </c>
      <c r="I178" s="109">
        <v>7.3813752427903045</v>
      </c>
      <c r="J178" s="109">
        <v>6.7635526525108416</v>
      </c>
      <c r="K178" s="110">
        <v>4.9351190375833829</v>
      </c>
    </row>
    <row r="179" spans="2:11" x14ac:dyDescent="0.3">
      <c r="B179" s="128"/>
      <c r="C179" s="112" t="s">
        <v>1483</v>
      </c>
      <c r="D179" s="1499">
        <v>7.9474187342241569</v>
      </c>
      <c r="E179" s="1499">
        <v>7.0374651714029808</v>
      </c>
      <c r="F179" s="1499">
        <v>5.6845894699952622</v>
      </c>
      <c r="G179" s="1499">
        <v>5.4272905490867807</v>
      </c>
      <c r="H179" s="1499">
        <v>6.1830543903640072</v>
      </c>
      <c r="I179" s="1499">
        <v>7.7814487113835993</v>
      </c>
      <c r="J179" s="1499">
        <v>7.1729357097483488</v>
      </c>
      <c r="K179" s="113">
        <v>5.3610961537114186</v>
      </c>
    </row>
    <row r="180" spans="2:11" x14ac:dyDescent="0.3">
      <c r="B180" s="128"/>
      <c r="C180" s="112" t="s">
        <v>1489</v>
      </c>
      <c r="D180" s="1499">
        <v>7.9088439051910875</v>
      </c>
      <c r="E180" s="1499">
        <v>6.9988903423699114</v>
      </c>
      <c r="F180" s="1499">
        <v>5.6460146409621936</v>
      </c>
      <c r="G180" s="1499">
        <v>5.3887157200537112</v>
      </c>
      <c r="H180" s="1499">
        <v>6.1444795613309378</v>
      </c>
      <c r="I180" s="1499">
        <v>7.7428738823505308</v>
      </c>
      <c r="J180" s="1499">
        <v>7.1343608807152794</v>
      </c>
      <c r="K180" s="113">
        <v>5.3225213246783492</v>
      </c>
    </row>
    <row r="181" spans="2:11" x14ac:dyDescent="0.3">
      <c r="B181" s="122">
        <v>0</v>
      </c>
      <c r="C181" s="112" t="s">
        <v>1496</v>
      </c>
      <c r="D181" s="1499">
        <v>7.8509816616414829</v>
      </c>
      <c r="E181" s="1499">
        <v>6.9410280988203068</v>
      </c>
      <c r="F181" s="1499">
        <v>5.5881523974125891</v>
      </c>
      <c r="G181" s="1499">
        <v>5.3308534765041067</v>
      </c>
      <c r="H181" s="1499">
        <v>6.0866173177813332</v>
      </c>
      <c r="I181" s="1499">
        <v>7.6850116388009262</v>
      </c>
      <c r="J181" s="1499">
        <v>7.0764986371656748</v>
      </c>
      <c r="K181" s="113">
        <v>5.2646590811287446</v>
      </c>
    </row>
    <row r="182" spans="2:11" x14ac:dyDescent="0.3">
      <c r="B182" s="123"/>
      <c r="C182" s="112" t="s">
        <v>1500</v>
      </c>
      <c r="D182" s="1499">
        <v>7.7931194180918784</v>
      </c>
      <c r="E182" s="1499">
        <v>6.8831658552707031</v>
      </c>
      <c r="F182" s="1499">
        <v>5.5302901538629845</v>
      </c>
      <c r="G182" s="1499">
        <v>5.2729912329545021</v>
      </c>
      <c r="H182" s="1499">
        <v>6.0287550742317286</v>
      </c>
      <c r="I182" s="1499">
        <v>7.6271493952513216</v>
      </c>
      <c r="J182" s="1499">
        <v>7.0186363936160703</v>
      </c>
      <c r="K182" s="113">
        <v>5.20679683757914</v>
      </c>
    </row>
    <row r="183" spans="2:11" x14ac:dyDescent="0.3">
      <c r="B183" s="123"/>
      <c r="C183" s="112" t="s">
        <v>1504</v>
      </c>
      <c r="D183" s="1499">
        <v>7.8707228116469956</v>
      </c>
      <c r="E183" s="1499">
        <v>6.9559901185775779</v>
      </c>
      <c r="F183" s="1499">
        <v>5.603525816447779</v>
      </c>
      <c r="G183" s="1499">
        <v>5.345875551626369</v>
      </c>
      <c r="H183" s="1499">
        <v>6.1025781041527232</v>
      </c>
      <c r="I183" s="1499">
        <v>7.7003170738444959</v>
      </c>
      <c r="J183" s="1499">
        <v>7.0913304943272681</v>
      </c>
      <c r="K183" s="113">
        <v>5.2795492624414635</v>
      </c>
    </row>
    <row r="184" spans="2:11" x14ac:dyDescent="0.3">
      <c r="B184" s="123"/>
      <c r="C184" s="112" t="s">
        <v>1508</v>
      </c>
      <c r="D184" s="1499">
        <v>7.8381843399130755</v>
      </c>
      <c r="E184" s="1499">
        <v>6.9234516468436569</v>
      </c>
      <c r="F184" s="1499">
        <v>5.5709873447138589</v>
      </c>
      <c r="G184" s="1499">
        <v>5.313337079892448</v>
      </c>
      <c r="H184" s="1499">
        <v>6.0700396324188031</v>
      </c>
      <c r="I184" s="1499">
        <v>7.6677786021105749</v>
      </c>
      <c r="J184" s="1499">
        <v>7.0587920225933471</v>
      </c>
      <c r="K184" s="113">
        <v>5.2470107907075434</v>
      </c>
    </row>
    <row r="185" spans="2:11" x14ac:dyDescent="0.3">
      <c r="B185" s="123"/>
      <c r="C185" s="112" t="s">
        <v>1513</v>
      </c>
      <c r="D185" s="1499">
        <v>7.7893766323121945</v>
      </c>
      <c r="E185" s="1499">
        <v>6.8746439392427758</v>
      </c>
      <c r="F185" s="1499">
        <v>5.5221796371129788</v>
      </c>
      <c r="G185" s="1499">
        <v>5.2645293722915678</v>
      </c>
      <c r="H185" s="1499">
        <v>6.021231924817922</v>
      </c>
      <c r="I185" s="1499">
        <v>7.6189708945096939</v>
      </c>
      <c r="J185" s="1499">
        <v>7.0099843149924661</v>
      </c>
      <c r="K185" s="113">
        <v>5.1982030831066632</v>
      </c>
    </row>
    <row r="186" spans="2:11" x14ac:dyDescent="0.3">
      <c r="B186" s="123"/>
      <c r="C186" s="112" t="s">
        <v>1517</v>
      </c>
      <c r="D186" s="1499">
        <v>7.7405689247113152</v>
      </c>
      <c r="E186" s="1499">
        <v>6.8258362316418966</v>
      </c>
      <c r="F186" s="1499">
        <v>5.4733719295120977</v>
      </c>
      <c r="G186" s="1499">
        <v>5.2157216646906868</v>
      </c>
      <c r="H186" s="1499">
        <v>5.9724242172170428</v>
      </c>
      <c r="I186" s="1499">
        <v>7.5701631869088146</v>
      </c>
      <c r="J186" s="1499">
        <v>6.9611766073915868</v>
      </c>
      <c r="K186" s="113">
        <v>5.1493953755057822</v>
      </c>
    </row>
    <row r="187" spans="2:11" ht="14.5" thickBot="1" x14ac:dyDescent="0.35">
      <c r="B187" s="124"/>
      <c r="C187" s="116" t="s">
        <v>1519</v>
      </c>
      <c r="D187" s="117">
        <v>7.9474187342241569</v>
      </c>
      <c r="E187" s="117">
        <v>7.0374651714029808</v>
      </c>
      <c r="F187" s="117">
        <v>5.6845894699952622</v>
      </c>
      <c r="G187" s="117">
        <v>5.4272905490867807</v>
      </c>
      <c r="H187" s="117">
        <v>6.1830543903640072</v>
      </c>
      <c r="I187" s="117">
        <v>7.7814487113835993</v>
      </c>
      <c r="J187" s="117">
        <v>7.1729357097483488</v>
      </c>
      <c r="K187" s="118">
        <v>5.3610961537114186</v>
      </c>
    </row>
    <row r="188" spans="2:11" x14ac:dyDescent="0.3">
      <c r="B188" s="120" t="s">
        <v>1993</v>
      </c>
      <c r="C188" s="1234" t="s">
        <v>1416</v>
      </c>
      <c r="D188" s="109">
        <v>4.6325702929165988</v>
      </c>
      <c r="E188" s="109">
        <v>3.6193612370243624</v>
      </c>
      <c r="F188" s="109">
        <v>2.3370057929651038</v>
      </c>
      <c r="G188" s="109">
        <v>2.0213247518834558</v>
      </c>
      <c r="H188" s="109">
        <v>2.7867130862120013</v>
      </c>
      <c r="I188" s="109">
        <v>4.3866857492688904</v>
      </c>
      <c r="J188" s="109">
        <v>3.7548262780169837</v>
      </c>
      <c r="K188" s="110">
        <v>1.9572773270845296</v>
      </c>
    </row>
    <row r="189" spans="2:11" x14ac:dyDescent="0.3">
      <c r="B189" s="121"/>
      <c r="C189" s="1500" t="s">
        <v>1483</v>
      </c>
      <c r="D189" s="1499">
        <v>5.061226759317921</v>
      </c>
      <c r="E189" s="1499">
        <v>4.0785501253797394</v>
      </c>
      <c r="F189" s="1499">
        <v>2.7788906444837678</v>
      </c>
      <c r="G189" s="1499">
        <v>2.4916399396728726</v>
      </c>
      <c r="H189" s="1499">
        <v>3.2313348353778641</v>
      </c>
      <c r="I189" s="1499">
        <v>4.8428332045564986</v>
      </c>
      <c r="J189" s="1499">
        <v>4.2148661003091714</v>
      </c>
      <c r="K189" s="113">
        <v>2.4257460229813703</v>
      </c>
    </row>
    <row r="190" spans="2:11" x14ac:dyDescent="0.3">
      <c r="B190" s="128"/>
      <c r="C190" s="1500" t="s">
        <v>1489</v>
      </c>
      <c r="D190" s="1499">
        <v>5.0226519302848507</v>
      </c>
      <c r="E190" s="1499">
        <v>4.03997529634667</v>
      </c>
      <c r="F190" s="1499">
        <v>2.7403158154506979</v>
      </c>
      <c r="G190" s="1499">
        <v>2.4530651106398027</v>
      </c>
      <c r="H190" s="1499">
        <v>3.1927600063447943</v>
      </c>
      <c r="I190" s="1499">
        <v>4.8042583755234292</v>
      </c>
      <c r="J190" s="1499">
        <v>4.176291271276102</v>
      </c>
      <c r="K190" s="113">
        <v>2.3871711939483009</v>
      </c>
    </row>
    <row r="191" spans="2:11" x14ac:dyDescent="0.3">
      <c r="B191" s="122">
        <v>0</v>
      </c>
      <c r="C191" s="1500" t="s">
        <v>1496</v>
      </c>
      <c r="D191" s="1499">
        <v>4.9647896867352461</v>
      </c>
      <c r="E191" s="1499">
        <v>3.9821130527970654</v>
      </c>
      <c r="F191" s="1499">
        <v>2.6824535719010938</v>
      </c>
      <c r="G191" s="1499">
        <v>2.3952028670901986</v>
      </c>
      <c r="H191" s="1499">
        <v>3.1348977627951897</v>
      </c>
      <c r="I191" s="1499">
        <v>4.7463961319738246</v>
      </c>
      <c r="J191" s="1499">
        <v>4.1184290277264974</v>
      </c>
      <c r="K191" s="113">
        <v>2.3293089503986963</v>
      </c>
    </row>
    <row r="192" spans="2:11" x14ac:dyDescent="0.3">
      <c r="B192" s="123"/>
      <c r="C192" s="1500" t="s">
        <v>1500</v>
      </c>
      <c r="D192" s="1499">
        <v>4.9069274431856416</v>
      </c>
      <c r="E192" s="1499">
        <v>3.9242508092474608</v>
      </c>
      <c r="F192" s="1499">
        <v>2.6245913283514892</v>
      </c>
      <c r="G192" s="1499">
        <v>2.337340623540594</v>
      </c>
      <c r="H192" s="1499">
        <v>3.0770355192455852</v>
      </c>
      <c r="I192" s="1499">
        <v>4.68853388842422</v>
      </c>
      <c r="J192" s="1499">
        <v>4.0605667841768929</v>
      </c>
      <c r="K192" s="113">
        <v>2.2714467068490922</v>
      </c>
    </row>
    <row r="193" spans="2:11" x14ac:dyDescent="0.3">
      <c r="B193" s="123"/>
      <c r="C193" s="1500" t="s">
        <v>1504</v>
      </c>
      <c r="D193" s="1499">
        <v>4.9787151182575755</v>
      </c>
      <c r="E193" s="1499">
        <v>3.9907199148865966</v>
      </c>
      <c r="F193" s="1499">
        <v>2.6937354338291124</v>
      </c>
      <c r="G193" s="1499">
        <v>2.4009328588320833</v>
      </c>
      <c r="H193" s="1499">
        <v>3.1456641331350692</v>
      </c>
      <c r="I193" s="1499">
        <v>4.7560168228229438</v>
      </c>
      <c r="J193" s="1499">
        <v>4.1258872354970153</v>
      </c>
      <c r="K193" s="113">
        <v>2.3344284825466821</v>
      </c>
    </row>
    <row r="194" spans="2:11" x14ac:dyDescent="0.3">
      <c r="B194" s="123"/>
      <c r="C194" s="1500" t="s">
        <v>1508</v>
      </c>
      <c r="D194" s="1499">
        <v>4.9461766465236545</v>
      </c>
      <c r="E194" s="1499">
        <v>3.9581814431526761</v>
      </c>
      <c r="F194" s="1499">
        <v>2.6611969620951923</v>
      </c>
      <c r="G194" s="1499">
        <v>2.3683943870981632</v>
      </c>
      <c r="H194" s="1499">
        <v>3.1131256614011487</v>
      </c>
      <c r="I194" s="1499">
        <v>4.7234783510890237</v>
      </c>
      <c r="J194" s="1499">
        <v>4.0933487637630943</v>
      </c>
      <c r="K194" s="113">
        <v>2.301890010812762</v>
      </c>
    </row>
    <row r="195" spans="2:11" x14ac:dyDescent="0.3">
      <c r="B195" s="123"/>
      <c r="C195" s="1500" t="s">
        <v>1513</v>
      </c>
      <c r="D195" s="1499">
        <v>4.8973689389227744</v>
      </c>
      <c r="E195" s="1499">
        <v>3.9093737355517959</v>
      </c>
      <c r="F195" s="1499">
        <v>2.6123892544943117</v>
      </c>
      <c r="G195" s="1499">
        <v>2.3195866794972826</v>
      </c>
      <c r="H195" s="1499">
        <v>3.0643179538002685</v>
      </c>
      <c r="I195" s="1499">
        <v>4.6746706434881435</v>
      </c>
      <c r="J195" s="1499">
        <v>4.0445410561622142</v>
      </c>
      <c r="K195" s="113">
        <v>2.2530823032118814</v>
      </c>
    </row>
    <row r="196" spans="2:11" x14ac:dyDescent="0.3">
      <c r="B196" s="123"/>
      <c r="C196" s="1500" t="s">
        <v>1517</v>
      </c>
      <c r="D196" s="1499">
        <v>4.8485612313218942</v>
      </c>
      <c r="E196" s="1499">
        <v>3.8605660279509153</v>
      </c>
      <c r="F196" s="1499">
        <v>2.5635815468934315</v>
      </c>
      <c r="G196" s="1499">
        <v>2.2707789718964024</v>
      </c>
      <c r="H196" s="1499">
        <v>3.0155102461993879</v>
      </c>
      <c r="I196" s="1499">
        <v>4.6258629358872625</v>
      </c>
      <c r="J196" s="1499">
        <v>3.9957333485613336</v>
      </c>
      <c r="K196" s="113">
        <v>2.2042745956110013</v>
      </c>
    </row>
    <row r="197" spans="2:11" ht="14.5" thickBot="1" x14ac:dyDescent="0.35">
      <c r="B197" s="124"/>
      <c r="C197" s="125" t="s">
        <v>1519</v>
      </c>
      <c r="D197" s="117">
        <v>5.061226759317921</v>
      </c>
      <c r="E197" s="117">
        <v>4.0785501253797394</v>
      </c>
      <c r="F197" s="117">
        <v>2.7788906444837678</v>
      </c>
      <c r="G197" s="117">
        <v>2.4916399396728726</v>
      </c>
      <c r="H197" s="117">
        <v>3.2313348353778641</v>
      </c>
      <c r="I197" s="117">
        <v>4.8428332045564986</v>
      </c>
      <c r="J197" s="117">
        <v>4.2148661003091714</v>
      </c>
      <c r="K197" s="118">
        <v>2.4257460229813703</v>
      </c>
    </row>
    <row r="198" spans="2:11" x14ac:dyDescent="0.3">
      <c r="B198" s="119" t="s">
        <v>1994</v>
      </c>
      <c r="C198" s="108" t="s">
        <v>1416</v>
      </c>
      <c r="D198" s="109">
        <v>6.8744890568571968</v>
      </c>
      <c r="E198" s="109">
        <v>6.0446919191022923</v>
      </c>
      <c r="F198" s="109">
        <v>4.5613091188625523</v>
      </c>
      <c r="G198" s="109">
        <v>4.3412318434211832</v>
      </c>
      <c r="H198" s="109">
        <v>5.0601292295231168</v>
      </c>
      <c r="I198" s="109">
        <v>6.855022826143653</v>
      </c>
      <c r="J198" s="109">
        <v>6.1982982829416828</v>
      </c>
      <c r="K198" s="110">
        <v>4.2702395805561375</v>
      </c>
    </row>
    <row r="199" spans="2:11" x14ac:dyDescent="0.3">
      <c r="B199" s="111"/>
      <c r="C199" s="112" t="s">
        <v>1483</v>
      </c>
      <c r="D199" s="1499">
        <v>7.2978103955986917</v>
      </c>
      <c r="E199" s="1499">
        <v>6.4812573080646745</v>
      </c>
      <c r="F199" s="1499">
        <v>5.0095906302389457</v>
      </c>
      <c r="G199" s="1499">
        <v>4.7966437724129003</v>
      </c>
      <c r="H199" s="1499">
        <v>5.4983017300663759</v>
      </c>
      <c r="I199" s="1499">
        <v>7.2817468006362454</v>
      </c>
      <c r="J199" s="1499">
        <v>6.6351986796557441</v>
      </c>
      <c r="K199" s="113">
        <v>4.7264691751197097</v>
      </c>
    </row>
    <row r="200" spans="2:11" x14ac:dyDescent="0.3">
      <c r="B200" s="111"/>
      <c r="C200" s="112" t="s">
        <v>1489</v>
      </c>
      <c r="D200" s="1499">
        <v>7.2592355665656223</v>
      </c>
      <c r="E200" s="1499">
        <v>6.4426824790316051</v>
      </c>
      <c r="F200" s="1499">
        <v>4.9710158012058754</v>
      </c>
      <c r="G200" s="1499">
        <v>4.7580689433798309</v>
      </c>
      <c r="H200" s="1499">
        <v>5.4597269010333065</v>
      </c>
      <c r="I200" s="1499">
        <v>7.2431719716031759</v>
      </c>
      <c r="J200" s="1499">
        <v>6.5966238506226755</v>
      </c>
      <c r="K200" s="113">
        <v>4.6878943460866394</v>
      </c>
    </row>
    <row r="201" spans="2:11" x14ac:dyDescent="0.3">
      <c r="B201" s="114">
        <v>0</v>
      </c>
      <c r="C201" s="112" t="s">
        <v>1496</v>
      </c>
      <c r="D201" s="1499">
        <v>7.2013733230160177</v>
      </c>
      <c r="E201" s="1499">
        <v>6.3848202354820014</v>
      </c>
      <c r="F201" s="1499">
        <v>4.9131535576562708</v>
      </c>
      <c r="G201" s="1499">
        <v>4.7002066998302263</v>
      </c>
      <c r="H201" s="1499">
        <v>5.4018646574837019</v>
      </c>
      <c r="I201" s="1499">
        <v>7.1853097280535714</v>
      </c>
      <c r="J201" s="1499">
        <v>6.538761607073071</v>
      </c>
      <c r="K201" s="113">
        <v>4.6300321025370357</v>
      </c>
    </row>
    <row r="202" spans="2:11" x14ac:dyDescent="0.3">
      <c r="B202" s="115"/>
      <c r="C202" s="112" t="s">
        <v>1500</v>
      </c>
      <c r="D202" s="1499">
        <v>7.1435110794664132</v>
      </c>
      <c r="E202" s="1499">
        <v>6.3269579919323968</v>
      </c>
      <c r="F202" s="1499">
        <v>4.8552913141066663</v>
      </c>
      <c r="G202" s="1499">
        <v>4.6423444562806218</v>
      </c>
      <c r="H202" s="1499">
        <v>5.3440024139340974</v>
      </c>
      <c r="I202" s="1499">
        <v>7.1274474845039668</v>
      </c>
      <c r="J202" s="1499">
        <v>6.4808993635234664</v>
      </c>
      <c r="K202" s="113">
        <v>4.5721698589874311</v>
      </c>
    </row>
    <row r="203" spans="2:11" x14ac:dyDescent="0.3">
      <c r="B203" s="115"/>
      <c r="C203" s="112" t="s">
        <v>1504</v>
      </c>
      <c r="D203" s="1499">
        <v>7.2167165834347173</v>
      </c>
      <c r="E203" s="1499">
        <v>6.3954239819546137</v>
      </c>
      <c r="F203" s="1499">
        <v>4.9241836882094514</v>
      </c>
      <c r="G203" s="1499">
        <v>4.709519476744938</v>
      </c>
      <c r="H203" s="1499">
        <v>5.4139187387074177</v>
      </c>
      <c r="I203" s="1499">
        <v>7.1962598792109658</v>
      </c>
      <c r="J203" s="1499">
        <v>6.5491198731380713</v>
      </c>
      <c r="K203" s="113">
        <v>4.6395154208618656</v>
      </c>
    </row>
    <row r="204" spans="2:11" x14ac:dyDescent="0.3">
      <c r="B204" s="115"/>
      <c r="C204" s="112" t="s">
        <v>1508</v>
      </c>
      <c r="D204" s="1499">
        <v>7.1841781117007972</v>
      </c>
      <c r="E204" s="1499">
        <v>6.3628855102206936</v>
      </c>
      <c r="F204" s="1499">
        <v>4.8916452164755313</v>
      </c>
      <c r="G204" s="1499">
        <v>4.6769810050110179</v>
      </c>
      <c r="H204" s="1499">
        <v>5.3813802669734976</v>
      </c>
      <c r="I204" s="1499">
        <v>7.1637214074770457</v>
      </c>
      <c r="J204" s="1499">
        <v>6.5165814014041512</v>
      </c>
      <c r="K204" s="113">
        <v>4.6069769491279446</v>
      </c>
    </row>
    <row r="205" spans="2:11" x14ac:dyDescent="0.3">
      <c r="B205" s="115"/>
      <c r="C205" s="112" t="s">
        <v>1513</v>
      </c>
      <c r="D205" s="1499">
        <v>7.1353704040999162</v>
      </c>
      <c r="E205" s="1499">
        <v>6.3140778026198126</v>
      </c>
      <c r="F205" s="1499">
        <v>4.8428375088746511</v>
      </c>
      <c r="G205" s="1499">
        <v>4.6281732974101377</v>
      </c>
      <c r="H205" s="1499">
        <v>5.3325725593726174</v>
      </c>
      <c r="I205" s="1499">
        <v>7.1149136998761646</v>
      </c>
      <c r="J205" s="1499">
        <v>6.4677736938032702</v>
      </c>
      <c r="K205" s="113">
        <v>4.5581692415270645</v>
      </c>
    </row>
    <row r="206" spans="2:11" x14ac:dyDescent="0.3">
      <c r="B206" s="115"/>
      <c r="C206" s="112" t="s">
        <v>1517</v>
      </c>
      <c r="D206" s="1499">
        <v>7.086562696499036</v>
      </c>
      <c r="E206" s="1499">
        <v>6.2652700950189333</v>
      </c>
      <c r="F206" s="1499">
        <v>4.7940298012737701</v>
      </c>
      <c r="G206" s="1499">
        <v>4.5793655898092567</v>
      </c>
      <c r="H206" s="1499">
        <v>5.2837648517717364</v>
      </c>
      <c r="I206" s="1499">
        <v>7.0661059922752854</v>
      </c>
      <c r="J206" s="1499">
        <v>6.4189659862023909</v>
      </c>
      <c r="K206" s="113">
        <v>4.5093615339261843</v>
      </c>
    </row>
    <row r="207" spans="2:11" ht="14.5" thickBot="1" x14ac:dyDescent="0.35">
      <c r="B207" s="1233"/>
      <c r="C207" s="116" t="s">
        <v>1519</v>
      </c>
      <c r="D207" s="117">
        <v>7.2978103955986917</v>
      </c>
      <c r="E207" s="117">
        <v>6.4812573080646745</v>
      </c>
      <c r="F207" s="117">
        <v>5.0095906302389457</v>
      </c>
      <c r="G207" s="117">
        <v>4.7966437724129003</v>
      </c>
      <c r="H207" s="117">
        <v>5.4983017300663759</v>
      </c>
      <c r="I207" s="117">
        <v>7.2817468006362454</v>
      </c>
      <c r="J207" s="117">
        <v>6.6351986796557441</v>
      </c>
      <c r="K207" s="118">
        <v>4.7264691751197097</v>
      </c>
    </row>
    <row r="208" spans="2:11" x14ac:dyDescent="0.3">
      <c r="B208" s="120" t="s">
        <v>1519</v>
      </c>
      <c r="C208" s="108" t="s">
        <v>1416</v>
      </c>
      <c r="D208" s="129">
        <v>4.6130849666962037</v>
      </c>
      <c r="E208" s="109">
        <v>3.5343398733328879</v>
      </c>
      <c r="F208" s="109">
        <v>2.3463271706362976</v>
      </c>
      <c r="G208" s="109">
        <v>2.0163712178806348</v>
      </c>
      <c r="H208" s="109">
        <v>2.7888416252635437</v>
      </c>
      <c r="I208" s="109">
        <v>4.262257482331905</v>
      </c>
      <c r="J208" s="109">
        <v>3.6569091202954862</v>
      </c>
      <c r="K208" s="110">
        <v>1.955656655750301</v>
      </c>
    </row>
    <row r="209" spans="2:11" x14ac:dyDescent="0.3">
      <c r="B209" s="111"/>
      <c r="C209" s="112" t="s">
        <v>1483</v>
      </c>
      <c r="D209" s="130">
        <v>4.9314138045447615</v>
      </c>
      <c r="E209" s="1499">
        <v>3.8773538770431726</v>
      </c>
      <c r="F209" s="1499">
        <v>2.6745188776542075</v>
      </c>
      <c r="G209" s="1499">
        <v>2.3522305009235995</v>
      </c>
      <c r="H209" s="1499">
        <v>3.1144068713599458</v>
      </c>
      <c r="I209" s="1499">
        <v>4.6055149037802039</v>
      </c>
      <c r="J209" s="1499">
        <v>4.0014627198060913</v>
      </c>
      <c r="K209" s="113">
        <v>2.2874470525126434</v>
      </c>
    </row>
    <row r="210" spans="2:11" x14ac:dyDescent="0.3">
      <c r="B210" s="111"/>
      <c r="C210" s="112" t="s">
        <v>1489</v>
      </c>
      <c r="D210" s="130">
        <v>4.8928389755116921</v>
      </c>
      <c r="E210" s="1499">
        <v>3.8387790480101032</v>
      </c>
      <c r="F210" s="1499">
        <v>2.6359440486211381</v>
      </c>
      <c r="G210" s="1499">
        <v>2.3136556718905301</v>
      </c>
      <c r="H210" s="1499">
        <v>3.0758320423268763</v>
      </c>
      <c r="I210" s="1499">
        <v>4.5669400747471345</v>
      </c>
      <c r="J210" s="1499">
        <v>3.9628878907730218</v>
      </c>
      <c r="K210" s="113">
        <v>2.2488722234795739</v>
      </c>
    </row>
    <row r="211" spans="2:11" x14ac:dyDescent="0.3">
      <c r="B211" s="114">
        <v>0</v>
      </c>
      <c r="C211" s="112" t="s">
        <v>1496</v>
      </c>
      <c r="D211" s="130">
        <v>4.8349767319620875</v>
      </c>
      <c r="E211" s="1499">
        <v>3.780916804460499</v>
      </c>
      <c r="F211" s="1499">
        <v>2.5780818050715335</v>
      </c>
      <c r="G211" s="1499">
        <v>2.2557934283409256</v>
      </c>
      <c r="H211" s="1499">
        <v>3.0179697987772718</v>
      </c>
      <c r="I211" s="1499">
        <v>4.5090778311975299</v>
      </c>
      <c r="J211" s="1499">
        <v>3.9050256472234173</v>
      </c>
      <c r="K211" s="113">
        <v>2.1910099799299694</v>
      </c>
    </row>
    <row r="212" spans="2:11" x14ac:dyDescent="0.3">
      <c r="B212" s="115"/>
      <c r="C212" s="112" t="s">
        <v>1500</v>
      </c>
      <c r="D212" s="130">
        <v>4.7771144884124839</v>
      </c>
      <c r="E212" s="1499">
        <v>3.7230545609108945</v>
      </c>
      <c r="F212" s="1499">
        <v>2.5202195615219289</v>
      </c>
      <c r="G212" s="1499">
        <v>2.197931184791321</v>
      </c>
      <c r="H212" s="1499">
        <v>2.9601075552276677</v>
      </c>
      <c r="I212" s="1499">
        <v>4.4512155876479254</v>
      </c>
      <c r="J212" s="1499">
        <v>3.8471634036738127</v>
      </c>
      <c r="K212" s="113">
        <v>2.1331477363803648</v>
      </c>
    </row>
    <row r="213" spans="2:11" x14ac:dyDescent="0.3">
      <c r="B213" s="115"/>
      <c r="C213" s="112" t="s">
        <v>1504</v>
      </c>
      <c r="D213" s="130">
        <v>4.8683086564976801</v>
      </c>
      <c r="E213" s="1499">
        <v>3.8083115111727914</v>
      </c>
      <c r="F213" s="1499">
        <v>2.6086010573474097</v>
      </c>
      <c r="G213" s="1499">
        <v>2.2813443444037005</v>
      </c>
      <c r="H213" s="1499">
        <v>3.0472846791369634</v>
      </c>
      <c r="I213" s="1499">
        <v>4.5369430649460689</v>
      </c>
      <c r="J213" s="1499">
        <v>3.9325530105062647</v>
      </c>
      <c r="K213" s="113">
        <v>2.2168624958811067</v>
      </c>
    </row>
    <row r="214" spans="2:11" x14ac:dyDescent="0.3">
      <c r="B214" s="115"/>
      <c r="C214" s="112" t="s">
        <v>1508</v>
      </c>
      <c r="D214" s="130">
        <v>4.8357701847637609</v>
      </c>
      <c r="E214" s="1499">
        <v>3.7757730394388713</v>
      </c>
      <c r="F214" s="1499">
        <v>2.5760625856134896</v>
      </c>
      <c r="G214" s="1499">
        <v>2.2488058726697804</v>
      </c>
      <c r="H214" s="1499">
        <v>3.0147462074030438</v>
      </c>
      <c r="I214" s="1499">
        <v>4.5044045932121488</v>
      </c>
      <c r="J214" s="1499">
        <v>3.9000145387723451</v>
      </c>
      <c r="K214" s="113">
        <v>2.1843240241471866</v>
      </c>
    </row>
    <row r="215" spans="2:11" x14ac:dyDescent="0.3">
      <c r="B215" s="115"/>
      <c r="C215" s="112" t="s">
        <v>1513</v>
      </c>
      <c r="D215" s="130">
        <v>4.7869624771628798</v>
      </c>
      <c r="E215" s="1499">
        <v>3.7269653318379907</v>
      </c>
      <c r="F215" s="1499">
        <v>2.5272548780126094</v>
      </c>
      <c r="G215" s="1499">
        <v>2.1999981650689002</v>
      </c>
      <c r="H215" s="1499">
        <v>2.9659384998021627</v>
      </c>
      <c r="I215" s="1499">
        <v>4.4555968856112678</v>
      </c>
      <c r="J215" s="1499">
        <v>3.851206831171464</v>
      </c>
      <c r="K215" s="113">
        <v>2.1355163165463065</v>
      </c>
    </row>
    <row r="216" spans="2:11" x14ac:dyDescent="0.3">
      <c r="B216" s="115"/>
      <c r="C216" s="112" t="s">
        <v>1517</v>
      </c>
      <c r="D216" s="130">
        <v>4.7381547695619997</v>
      </c>
      <c r="E216" s="1499">
        <v>3.6781576242371101</v>
      </c>
      <c r="F216" s="1499">
        <v>2.4784471704117288</v>
      </c>
      <c r="G216" s="1499">
        <v>2.1511904574680196</v>
      </c>
      <c r="H216" s="1499">
        <v>2.9171307922012826</v>
      </c>
      <c r="I216" s="1499">
        <v>4.4067891780103876</v>
      </c>
      <c r="J216" s="1499">
        <v>3.8023991235705838</v>
      </c>
      <c r="K216" s="113">
        <v>2.0867086089454259</v>
      </c>
    </row>
    <row r="217" spans="2:11" ht="14.5" thickBot="1" x14ac:dyDescent="0.35">
      <c r="B217" s="1233"/>
      <c r="C217" s="116" t="s">
        <v>1519</v>
      </c>
      <c r="D217" s="131">
        <v>4.9314138045447615</v>
      </c>
      <c r="E217" s="117">
        <v>3.8773538770431726</v>
      </c>
      <c r="F217" s="117">
        <v>2.6745188776542075</v>
      </c>
      <c r="G217" s="117">
        <v>2.3522305009235995</v>
      </c>
      <c r="H217" s="117">
        <v>3.1144068713599458</v>
      </c>
      <c r="I217" s="117">
        <v>4.6055149037802039</v>
      </c>
      <c r="J217" s="117">
        <v>4.0014627198060913</v>
      </c>
      <c r="K217" s="118">
        <v>2.2874470525126434</v>
      </c>
    </row>
    <row r="221" spans="2:11" ht="14.5" thickBot="1" x14ac:dyDescent="0.35"/>
    <row r="222" spans="2:11" x14ac:dyDescent="0.3">
      <c r="C222" s="132" t="s">
        <v>1995</v>
      </c>
      <c r="D222" s="132"/>
      <c r="E222" s="132"/>
      <c r="F222" s="132"/>
    </row>
    <row r="223" spans="2:11" x14ac:dyDescent="0.3">
      <c r="C223" s="1504" t="s">
        <v>1996</v>
      </c>
      <c r="D223" s="1504" t="s">
        <v>1997</v>
      </c>
      <c r="E223" s="1504" t="s">
        <v>1998</v>
      </c>
      <c r="F223" s="1504" t="s">
        <v>1999</v>
      </c>
    </row>
    <row r="224" spans="2:11" x14ac:dyDescent="0.3">
      <c r="C224" s="1498">
        <v>1</v>
      </c>
      <c r="D224" s="1505">
        <v>326.86718301172135</v>
      </c>
      <c r="E224" s="1506">
        <v>7.2275772915803504E-2</v>
      </c>
      <c r="F224" s="1507">
        <v>2.8910309166321397</v>
      </c>
      <c r="H224" s="134" t="s">
        <v>2000</v>
      </c>
    </row>
    <row r="225" spans="2:11" x14ac:dyDescent="0.3">
      <c r="C225" s="1498">
        <v>1.5</v>
      </c>
      <c r="D225" s="1505">
        <v>275.991065445549</v>
      </c>
      <c r="E225" s="1506">
        <v>6.1026216792824536E-2</v>
      </c>
      <c r="F225" s="1507">
        <v>2.4410486717129816</v>
      </c>
      <c r="H225" s="134" t="s">
        <v>2001</v>
      </c>
    </row>
    <row r="226" spans="2:11" x14ac:dyDescent="0.3">
      <c r="C226" s="1498">
        <v>2</v>
      </c>
      <c r="D226" s="1505">
        <v>239.8938855722256</v>
      </c>
      <c r="E226" s="1506">
        <v>5.304452970087907E-2</v>
      </c>
      <c r="F226" s="1507">
        <v>2.1217811880351629</v>
      </c>
    </row>
    <row r="227" spans="2:11" x14ac:dyDescent="0.3">
      <c r="C227" s="1498">
        <v>2.5</v>
      </c>
      <c r="D227" s="1505">
        <v>211.89473762145678</v>
      </c>
      <c r="E227" s="1506">
        <v>4.685345221038293E-2</v>
      </c>
      <c r="F227" s="1507">
        <v>1.8741380884153174</v>
      </c>
    </row>
    <row r="228" spans="2:11" x14ac:dyDescent="0.3">
      <c r="B228" s="2"/>
      <c r="C228" s="1498">
        <v>3</v>
      </c>
      <c r="D228" s="1505">
        <v>189.01776800605319</v>
      </c>
      <c r="E228" s="1506">
        <v>4.1794973577900102E-2</v>
      </c>
      <c r="F228" s="1507">
        <v>1.6717989431160039</v>
      </c>
      <c r="I228" s="135"/>
      <c r="J228" s="135"/>
      <c r="K228" s="135"/>
    </row>
    <row r="229" spans="2:11" x14ac:dyDescent="0.3">
      <c r="B229" s="136"/>
      <c r="C229" s="1498">
        <v>3.5</v>
      </c>
      <c r="D229" s="1505">
        <v>169.67556579686863</v>
      </c>
      <c r="E229" s="1506">
        <v>3.751809083402291E-2</v>
      </c>
      <c r="F229" s="1507">
        <v>1.5007236333609166</v>
      </c>
      <c r="I229" s="135"/>
      <c r="J229" s="135"/>
      <c r="K229" s="135"/>
    </row>
    <row r="230" spans="2:11" x14ac:dyDescent="0.3">
      <c r="B230" s="136"/>
      <c r="C230" s="1498">
        <v>4</v>
      </c>
      <c r="D230" s="1505">
        <v>152.92058813272979</v>
      </c>
      <c r="E230" s="1506">
        <v>3.3813286485954629E-2</v>
      </c>
      <c r="F230" s="1507">
        <v>1.352531459438185</v>
      </c>
      <c r="I230" s="135"/>
      <c r="J230" s="135"/>
      <c r="K230" s="135"/>
    </row>
    <row r="231" spans="2:11" x14ac:dyDescent="0.3">
      <c r="B231" s="137"/>
      <c r="C231" s="1498">
        <v>4.5</v>
      </c>
      <c r="D231" s="1505">
        <v>138.14165043988081</v>
      </c>
      <c r="E231" s="1506">
        <v>3.0545417454921127E-2</v>
      </c>
      <c r="F231" s="1507">
        <v>1.2218166981968452</v>
      </c>
      <c r="I231" s="135"/>
      <c r="J231" s="135"/>
      <c r="K231" s="135"/>
    </row>
    <row r="232" spans="2:11" x14ac:dyDescent="0.3">
      <c r="C232" s="1498">
        <v>5</v>
      </c>
      <c r="D232" s="1505">
        <v>124.92144018196102</v>
      </c>
      <c r="E232" s="1506">
        <v>2.7622208995458489E-2</v>
      </c>
      <c r="F232" s="1507">
        <v>1.1048883598183397</v>
      </c>
      <c r="I232" s="135"/>
      <c r="J232" s="135"/>
      <c r="K232" s="135"/>
    </row>
    <row r="233" spans="2:11" x14ac:dyDescent="0.3">
      <c r="C233" s="1498">
        <v>5.5</v>
      </c>
      <c r="D233" s="1505">
        <v>112.96230531187916</v>
      </c>
      <c r="E233" s="1506">
        <v>2.4977845287314351E-2</v>
      </c>
      <c r="F233" s="1507">
        <v>0.99911381149257406</v>
      </c>
      <c r="I233" s="135"/>
      <c r="J233" s="135"/>
      <c r="K233" s="135"/>
    </row>
    <row r="234" spans="2:11" x14ac:dyDescent="0.3">
      <c r="C234" s="1498">
        <v>6</v>
      </c>
      <c r="D234" s="1505">
        <v>102.04447056655745</v>
      </c>
      <c r="E234" s="1506">
        <v>2.2563730362975661E-2</v>
      </c>
      <c r="F234" s="1507">
        <v>0.9025492145190267</v>
      </c>
      <c r="I234" s="135"/>
      <c r="J234" s="135"/>
      <c r="K234" s="135"/>
    </row>
    <row r="235" spans="2:11" x14ac:dyDescent="0.3">
      <c r="C235" s="1498">
        <v>6.5</v>
      </c>
      <c r="D235" s="1505">
        <v>92.001036188407994</v>
      </c>
      <c r="E235" s="1506">
        <v>2.0342959908990162E-2</v>
      </c>
      <c r="F235" s="1507">
        <v>0.81371839635960641</v>
      </c>
      <c r="I235" s="135"/>
      <c r="J235" s="135"/>
      <c r="K235" s="135"/>
    </row>
    <row r="236" spans="2:11" x14ac:dyDescent="0.3">
      <c r="C236" s="1498">
        <v>7</v>
      </c>
      <c r="D236" s="1505">
        <v>82.702268357372873</v>
      </c>
      <c r="E236" s="1506">
        <v>1.8286847619098483E-2</v>
      </c>
      <c r="F236" s="1507">
        <v>0.73147390476393925</v>
      </c>
      <c r="I236" s="135"/>
      <c r="J236" s="135"/>
      <c r="K236" s="135"/>
    </row>
    <row r="237" spans="2:11" x14ac:dyDescent="0.3">
      <c r="C237" s="1498">
        <v>7.5</v>
      </c>
      <c r="D237" s="1505">
        <v>74.045322615788649</v>
      </c>
      <c r="E237" s="1506">
        <v>1.6372652872479521E-2</v>
      </c>
      <c r="F237" s="1507">
        <v>0.65490611489918105</v>
      </c>
      <c r="I237" s="135"/>
      <c r="J237" s="135"/>
      <c r="K237" s="135"/>
    </row>
    <row r="238" spans="2:11" x14ac:dyDescent="0.3">
      <c r="B238" s="2"/>
      <c r="C238" s="1498">
        <v>8</v>
      </c>
      <c r="D238" s="1505">
        <v>65.947290693234066</v>
      </c>
      <c r="E238" s="1506">
        <v>1.4582043271030198E-2</v>
      </c>
      <c r="F238" s="1507">
        <v>0.58328173084120771</v>
      </c>
      <c r="I238" s="135"/>
      <c r="J238" s="135"/>
      <c r="K238" s="135"/>
    </row>
    <row r="239" spans="2:11" x14ac:dyDescent="0.3">
      <c r="B239" s="136"/>
      <c r="C239" s="1498">
        <v>8.5</v>
      </c>
      <c r="D239" s="1505">
        <v>58.34035898626486</v>
      </c>
      <c r="E239" s="1506">
        <v>1.2900024098676587E-2</v>
      </c>
      <c r="F239" s="1507">
        <v>0.51600096394706341</v>
      </c>
      <c r="I239" s="135"/>
      <c r="J239" s="135"/>
      <c r="K239" s="135"/>
    </row>
    <row r="240" spans="2:11" x14ac:dyDescent="0.3">
      <c r="B240" s="136"/>
      <c r="C240" s="1498">
        <v>9</v>
      </c>
      <c r="D240" s="1505">
        <v>51.168353000385018</v>
      </c>
      <c r="E240" s="1506">
        <v>1.1314174239996689E-2</v>
      </c>
      <c r="F240" s="1507">
        <v>0.45256696959986753</v>
      </c>
      <c r="I240" s="135"/>
      <c r="J240" s="135"/>
      <c r="K240" s="135"/>
    </row>
    <row r="241" spans="2:11" x14ac:dyDescent="0.3">
      <c r="B241" s="137"/>
      <c r="C241" s="1498">
        <v>9.5</v>
      </c>
      <c r="D241" s="1505">
        <v>44.384217323070452</v>
      </c>
      <c r="E241" s="1506">
        <v>9.8140889603251409E-3</v>
      </c>
      <c r="F241" s="1507">
        <v>0.39256355841300566</v>
      </c>
      <c r="I241" s="135"/>
      <c r="J241" s="135"/>
      <c r="K241" s="135"/>
    </row>
    <row r="242" spans="2:11" x14ac:dyDescent="0.3">
      <c r="C242" s="1498">
        <v>10</v>
      </c>
      <c r="D242" s="1505">
        <v>37.948142742465208</v>
      </c>
      <c r="E242" s="1506">
        <v>8.3909657805340421E-3</v>
      </c>
      <c r="F242" s="1507">
        <v>0.33563863122136167</v>
      </c>
      <c r="I242" s="135"/>
      <c r="J242" s="135"/>
      <c r="K242" s="135"/>
    </row>
    <row r="243" spans="2:11" x14ac:dyDescent="0.3">
      <c r="I243" s="135"/>
      <c r="J243" s="135"/>
      <c r="K243" s="135"/>
    </row>
    <row r="244" spans="2:11" ht="14.5" thickBot="1" x14ac:dyDescent="0.35">
      <c r="I244" s="135"/>
      <c r="J244" s="135"/>
      <c r="K244" s="135"/>
    </row>
    <row r="245" spans="2:11" x14ac:dyDescent="0.3">
      <c r="C245" s="132" t="s">
        <v>2002</v>
      </c>
      <c r="D245" s="132"/>
      <c r="E245" s="132"/>
      <c r="F245" s="132"/>
      <c r="H245" s="134" t="s">
        <v>2003</v>
      </c>
      <c r="I245" s="135"/>
      <c r="J245" s="135"/>
      <c r="K245" s="135"/>
    </row>
    <row r="246" spans="2:11" x14ac:dyDescent="0.3">
      <c r="C246" s="1508" t="s">
        <v>1996</v>
      </c>
      <c r="D246" s="1508" t="s">
        <v>2004</v>
      </c>
      <c r="E246" s="1508" t="s">
        <v>2005</v>
      </c>
      <c r="F246" s="1508" t="s">
        <v>2006</v>
      </c>
      <c r="H246" s="134" t="s">
        <v>2007</v>
      </c>
      <c r="I246" s="135"/>
      <c r="J246" s="135"/>
      <c r="K246" s="135"/>
    </row>
    <row r="247" spans="2:11" x14ac:dyDescent="0.3">
      <c r="C247" s="1498" t="s">
        <v>376</v>
      </c>
      <c r="D247" s="1509">
        <v>386.52545503287075</v>
      </c>
      <c r="E247" s="1510">
        <v>8.5467209515283749E-2</v>
      </c>
      <c r="F247" s="1511">
        <v>3.4186883806113499</v>
      </c>
      <c r="I247" s="135"/>
      <c r="J247" s="135"/>
      <c r="K247" s="135"/>
    </row>
    <row r="248" spans="2:11" x14ac:dyDescent="0.3">
      <c r="B248" s="2"/>
      <c r="D248" s="135"/>
      <c r="E248" s="135"/>
      <c r="F248" s="135"/>
      <c r="G248" s="135"/>
      <c r="H248" s="135"/>
      <c r="I248" s="135"/>
      <c r="J248" s="135"/>
      <c r="K248" s="135"/>
    </row>
    <row r="249" spans="2:11" x14ac:dyDescent="0.3">
      <c r="B249" s="136"/>
      <c r="D249" s="135"/>
      <c r="E249" s="135"/>
      <c r="F249" s="135"/>
      <c r="G249" s="135"/>
      <c r="H249" s="135"/>
      <c r="I249" s="135"/>
      <c r="J249" s="135"/>
      <c r="K249" s="135"/>
    </row>
    <row r="250" spans="2:11" x14ac:dyDescent="0.3">
      <c r="B250" s="136"/>
      <c r="D250" s="135"/>
      <c r="E250" s="135"/>
      <c r="F250" s="135"/>
      <c r="G250" s="135"/>
      <c r="H250" s="135"/>
      <c r="I250" s="135"/>
      <c r="J250" s="135"/>
      <c r="K250" s="135"/>
    </row>
    <row r="251" spans="2:11" x14ac:dyDescent="0.3">
      <c r="B251" s="137"/>
      <c r="D251" s="135"/>
      <c r="E251" s="135"/>
      <c r="F251" s="135"/>
      <c r="G251" s="135"/>
      <c r="H251" s="135"/>
      <c r="I251" s="135"/>
      <c r="J251" s="135"/>
      <c r="K251" s="135"/>
    </row>
    <row r="252" spans="2:11" x14ac:dyDescent="0.3">
      <c r="D252" s="135"/>
      <c r="E252" s="135"/>
      <c r="F252" s="135"/>
      <c r="G252" s="135"/>
      <c r="H252" s="135"/>
      <c r="I252" s="135"/>
      <c r="J252" s="135"/>
      <c r="K252" s="135"/>
    </row>
    <row r="253" spans="2:11" x14ac:dyDescent="0.3">
      <c r="D253" s="135"/>
      <c r="E253" s="135"/>
      <c r="F253" s="135"/>
      <c r="G253" s="135"/>
      <c r="H253" s="135"/>
      <c r="I253" s="135"/>
      <c r="J253" s="135"/>
      <c r="K253" s="135"/>
    </row>
    <row r="254" spans="2:11" x14ac:dyDescent="0.3">
      <c r="D254" s="135"/>
      <c r="E254" s="135"/>
      <c r="F254" s="135"/>
      <c r="G254" s="135"/>
      <c r="H254" s="135"/>
      <c r="I254" s="135"/>
      <c r="J254" s="135"/>
      <c r="K254" s="135"/>
    </row>
    <row r="255" spans="2:11" x14ac:dyDescent="0.3">
      <c r="D255" s="135"/>
      <c r="E255" s="135"/>
      <c r="F255" s="135"/>
      <c r="G255" s="135"/>
      <c r="H255" s="135"/>
      <c r="I255" s="135"/>
      <c r="J255" s="135"/>
      <c r="K255" s="135"/>
    </row>
    <row r="256" spans="2:11" x14ac:dyDescent="0.3">
      <c r="D256" s="135"/>
      <c r="E256" s="135"/>
      <c r="F256" s="135"/>
      <c r="G256" s="135"/>
      <c r="H256" s="135"/>
      <c r="I256" s="135"/>
      <c r="J256" s="135"/>
      <c r="K256" s="135"/>
    </row>
    <row r="257" spans="4:11" x14ac:dyDescent="0.3">
      <c r="D257" s="135"/>
      <c r="E257" s="135"/>
      <c r="F257" s="135"/>
      <c r="G257" s="135"/>
      <c r="H257" s="135"/>
      <c r="I257" s="135"/>
      <c r="J257" s="135"/>
      <c r="K257" s="135"/>
    </row>
  </sheetData>
  <sheetProtection algorithmName="SHA-512" hashValue="k/rHKeTXrpsQb3ywoUnHzDDqF0j6oAQGiSTspNZ3C7pwk0rR4Pu0FpHPxnZ92EA66KRNEUwQyk2h8iTzFi9GIQ==" saltValue="2nzDJ3dVIsbRxyoqdlMS0Q==" spinCount="100000" sheet="1" objects="1" scenarios="1" autoFilter="0"/>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5"/>
  <dimension ref="B1:K250"/>
  <sheetViews>
    <sheetView topLeftCell="A196" workbookViewId="0">
      <selection activeCell="G9" sqref="G9"/>
    </sheetView>
  </sheetViews>
  <sheetFormatPr defaultColWidth="7.58203125" defaultRowHeight="14" x14ac:dyDescent="0.3"/>
  <sheetData>
    <row r="1" spans="2:11" ht="14.5" thickBot="1" x14ac:dyDescent="0.35"/>
    <row r="2" spans="2:11" ht="25.5" thickBot="1" x14ac:dyDescent="0.55000000000000004">
      <c r="B2" s="88" t="s">
        <v>1960</v>
      </c>
      <c r="C2" s="89"/>
      <c r="D2" s="90">
        <v>6</v>
      </c>
      <c r="E2" s="91" t="s">
        <v>1961</v>
      </c>
      <c r="F2" s="92"/>
      <c r="G2" s="92"/>
      <c r="H2" s="92"/>
      <c r="I2" s="93"/>
      <c r="J2" s="89" t="s">
        <v>176</v>
      </c>
      <c r="K2" s="94" t="s">
        <v>243</v>
      </c>
    </row>
    <row r="3" spans="2:11" ht="14.5" thickBot="1" x14ac:dyDescent="0.35">
      <c r="B3" s="95" t="s">
        <v>1962</v>
      </c>
      <c r="C3" s="96" t="s">
        <v>1963</v>
      </c>
      <c r="D3" s="95" t="s">
        <v>1964</v>
      </c>
      <c r="E3" s="97" t="s">
        <v>1965</v>
      </c>
      <c r="F3" s="97" t="s">
        <v>1966</v>
      </c>
      <c r="G3" s="97" t="s">
        <v>1967</v>
      </c>
      <c r="H3" s="97" t="s">
        <v>1968</v>
      </c>
      <c r="I3" s="97" t="s">
        <v>1969</v>
      </c>
      <c r="J3" s="97" t="s">
        <v>1970</v>
      </c>
      <c r="K3" s="98" t="s">
        <v>1971</v>
      </c>
    </row>
    <row r="4" spans="2:11" ht="18.5" thickBot="1" x14ac:dyDescent="0.45">
      <c r="B4" s="99" t="s">
        <v>34</v>
      </c>
      <c r="C4" s="100" t="s">
        <v>34</v>
      </c>
      <c r="D4" s="101" t="s">
        <v>34</v>
      </c>
      <c r="E4" s="944"/>
      <c r="F4" s="944"/>
      <c r="G4" s="944"/>
      <c r="H4" s="944"/>
      <c r="I4" s="944" t="s">
        <v>34</v>
      </c>
      <c r="J4" s="944" t="s">
        <v>34</v>
      </c>
      <c r="K4" s="102"/>
    </row>
    <row r="5" spans="2:11" ht="90.5" thickBot="1" x14ac:dyDescent="0.45">
      <c r="B5" s="103" t="s">
        <v>1972</v>
      </c>
      <c r="C5" s="104" t="s">
        <v>1973</v>
      </c>
      <c r="D5" s="105" t="s">
        <v>1974</v>
      </c>
      <c r="E5" s="105" t="s">
        <v>1525</v>
      </c>
      <c r="F5" s="105" t="s">
        <v>1527</v>
      </c>
      <c r="G5" s="105" t="s">
        <v>1975</v>
      </c>
      <c r="H5" s="105" t="s">
        <v>1976</v>
      </c>
      <c r="I5" s="105" t="s">
        <v>1445</v>
      </c>
      <c r="J5" s="105" t="s">
        <v>1538</v>
      </c>
      <c r="K5" s="106" t="s">
        <v>1541</v>
      </c>
    </row>
    <row r="6" spans="2:11" x14ac:dyDescent="0.3">
      <c r="B6" s="107" t="s">
        <v>1977</v>
      </c>
      <c r="C6" s="108" t="s">
        <v>1416</v>
      </c>
      <c r="D6" s="109">
        <v>8.875620972464958</v>
      </c>
      <c r="E6" s="109">
        <v>7.4803053033920444</v>
      </c>
      <c r="F6" s="109">
        <v>6.3189182247630278</v>
      </c>
      <c r="G6" s="109">
        <v>5.9073762429648786</v>
      </c>
      <c r="H6" s="109">
        <v>6.9180599688038322</v>
      </c>
      <c r="I6" s="109">
        <v>9.8589333569749478</v>
      </c>
      <c r="J6" s="109">
        <v>8.9224837648320428</v>
      </c>
      <c r="K6" s="110">
        <v>6.20939955420108</v>
      </c>
    </row>
    <row r="7" spans="2:11" x14ac:dyDescent="0.3">
      <c r="B7" s="111" t="s">
        <v>1978</v>
      </c>
      <c r="C7" s="112" t="s">
        <v>1483</v>
      </c>
      <c r="D7" s="1499">
        <v>9.214324320998621</v>
      </c>
      <c r="E7" s="1499">
        <v>7.8360643006795518</v>
      </c>
      <c r="F7" s="1499">
        <v>6.6947282580894703</v>
      </c>
      <c r="G7" s="1499">
        <v>6.288008442892119</v>
      </c>
      <c r="H7" s="1499">
        <v>7.2774112252296677</v>
      </c>
      <c r="I7" s="1499">
        <v>10.174246325642962</v>
      </c>
      <c r="J7" s="1499">
        <v>9.2547476429041531</v>
      </c>
      <c r="K7" s="113">
        <v>6.5865070647488286</v>
      </c>
    </row>
    <row r="8" spans="2:11" x14ac:dyDescent="0.3">
      <c r="B8" s="111" t="s">
        <v>1979</v>
      </c>
      <c r="C8" s="112" t="s">
        <v>1489</v>
      </c>
      <c r="D8" s="1499">
        <v>9.1722210324300839</v>
      </c>
      <c r="E8" s="1499">
        <v>7.7939610121110148</v>
      </c>
      <c r="F8" s="1499">
        <v>6.6526249695209332</v>
      </c>
      <c r="G8" s="1499">
        <v>6.245905154323582</v>
      </c>
      <c r="H8" s="1499">
        <v>7.2353079366611306</v>
      </c>
      <c r="I8" s="1499">
        <v>10.132143037074425</v>
      </c>
      <c r="J8" s="1499">
        <v>9.212644354335616</v>
      </c>
      <c r="K8" s="113">
        <v>6.5444037761802916</v>
      </c>
    </row>
    <row r="9" spans="2:11" x14ac:dyDescent="0.3">
      <c r="B9" s="114">
        <v>0</v>
      </c>
      <c r="C9" s="112" t="s">
        <v>1496</v>
      </c>
      <c r="D9" s="1499">
        <v>9.1090660995772801</v>
      </c>
      <c r="E9" s="1499">
        <v>7.7308060792582109</v>
      </c>
      <c r="F9" s="1499">
        <v>6.5894700366681285</v>
      </c>
      <c r="G9" s="1499">
        <v>6.1827502214707781</v>
      </c>
      <c r="H9" s="1499">
        <v>7.1721530038083268</v>
      </c>
      <c r="I9" s="1499">
        <v>10.068988104221621</v>
      </c>
      <c r="J9" s="1499">
        <v>9.1494894214828122</v>
      </c>
      <c r="K9" s="113">
        <v>6.4812488433274869</v>
      </c>
    </row>
    <row r="10" spans="2:11" x14ac:dyDescent="0.3">
      <c r="B10" s="115"/>
      <c r="C10" s="112" t="s">
        <v>1500</v>
      </c>
      <c r="D10" s="1499">
        <v>9.0459111667244745</v>
      </c>
      <c r="E10" s="1499">
        <v>7.6676511464054053</v>
      </c>
      <c r="F10" s="1499">
        <v>6.5263151038153229</v>
      </c>
      <c r="G10" s="1499">
        <v>6.1195952886179725</v>
      </c>
      <c r="H10" s="1499">
        <v>7.1089980709555212</v>
      </c>
      <c r="I10" s="1499">
        <v>10.005833171368815</v>
      </c>
      <c r="J10" s="1499">
        <v>9.0863344886300066</v>
      </c>
      <c r="K10" s="113">
        <v>6.4180939104746813</v>
      </c>
    </row>
    <row r="11" spans="2:11" x14ac:dyDescent="0.3">
      <c r="B11" s="115"/>
      <c r="C11" s="112" t="s">
        <v>1504</v>
      </c>
      <c r="D11" s="1499">
        <v>9.1411576122502467</v>
      </c>
      <c r="E11" s="1499">
        <v>7.7589403305644904</v>
      </c>
      <c r="F11" s="1499">
        <v>6.6171846300733588</v>
      </c>
      <c r="G11" s="1499">
        <v>6.2094481487199173</v>
      </c>
      <c r="H11" s="1499">
        <v>7.2011740858359872</v>
      </c>
      <c r="I11" s="1499">
        <v>10.099926744075903</v>
      </c>
      <c r="J11" s="1499">
        <v>9.1792175218803109</v>
      </c>
      <c r="K11" s="113">
        <v>6.5078770431371709</v>
      </c>
    </row>
    <row r="12" spans="2:11" x14ac:dyDescent="0.3">
      <c r="B12" s="115"/>
      <c r="C12" s="112" t="s">
        <v>1508</v>
      </c>
      <c r="D12" s="1499">
        <v>9.1056669655538176</v>
      </c>
      <c r="E12" s="1499">
        <v>7.7234496838680595</v>
      </c>
      <c r="F12" s="1499">
        <v>6.5816939833769279</v>
      </c>
      <c r="G12" s="1499">
        <v>6.1739575020234865</v>
      </c>
      <c r="H12" s="1499">
        <v>7.1656834391395563</v>
      </c>
      <c r="I12" s="1499">
        <v>10.064436097379472</v>
      </c>
      <c r="J12" s="1499">
        <v>9.1437268751838801</v>
      </c>
      <c r="K12" s="113">
        <v>6.4723863964407409</v>
      </c>
    </row>
    <row r="13" spans="2:11" x14ac:dyDescent="0.3">
      <c r="B13" s="115"/>
      <c r="C13" s="112" t="s">
        <v>1513</v>
      </c>
      <c r="D13" s="1499">
        <v>9.0524309955091713</v>
      </c>
      <c r="E13" s="1499">
        <v>7.670213713823415</v>
      </c>
      <c r="F13" s="1499">
        <v>6.5284580133322834</v>
      </c>
      <c r="G13" s="1499">
        <v>6.1207215319788419</v>
      </c>
      <c r="H13" s="1499">
        <v>7.1124474690949118</v>
      </c>
      <c r="I13" s="1499">
        <v>10.011200127334828</v>
      </c>
      <c r="J13" s="1499">
        <v>9.0904909051392337</v>
      </c>
      <c r="K13" s="113">
        <v>6.4191504263960955</v>
      </c>
    </row>
    <row r="14" spans="2:11" x14ac:dyDescent="0.3">
      <c r="B14" s="115"/>
      <c r="C14" s="112" t="s">
        <v>1517</v>
      </c>
      <c r="D14" s="1499">
        <v>8.9991950254645268</v>
      </c>
      <c r="E14" s="1499">
        <v>7.6169777437787696</v>
      </c>
      <c r="F14" s="1499">
        <v>6.475222043287638</v>
      </c>
      <c r="G14" s="1499">
        <v>6.0674855619341965</v>
      </c>
      <c r="H14" s="1499">
        <v>7.0592114990502663</v>
      </c>
      <c r="I14" s="1499">
        <v>9.9579641572901831</v>
      </c>
      <c r="J14" s="1499">
        <v>9.0372549350945892</v>
      </c>
      <c r="K14" s="113">
        <v>6.3659144563514509</v>
      </c>
    </row>
    <row r="15" spans="2:11" ht="14.5" thickBot="1" x14ac:dyDescent="0.35">
      <c r="B15" s="1233"/>
      <c r="C15" s="116" t="s">
        <v>1519</v>
      </c>
      <c r="D15" s="117">
        <v>9.214324320998621</v>
      </c>
      <c r="E15" s="117">
        <v>7.8360643006795518</v>
      </c>
      <c r="F15" s="117">
        <v>6.6947282580894703</v>
      </c>
      <c r="G15" s="117">
        <v>6.288008442892119</v>
      </c>
      <c r="H15" s="117">
        <v>7.2774112252296677</v>
      </c>
      <c r="I15" s="117">
        <v>10.174246325642962</v>
      </c>
      <c r="J15" s="117">
        <v>9.2547476429041531</v>
      </c>
      <c r="K15" s="118">
        <v>6.5865070647488286</v>
      </c>
    </row>
    <row r="16" spans="2:11" x14ac:dyDescent="0.3">
      <c r="B16" s="107" t="s">
        <v>1977</v>
      </c>
      <c r="C16" s="108" t="s">
        <v>1416</v>
      </c>
      <c r="D16" s="109">
        <v>8.3239616773122425</v>
      </c>
      <c r="E16" s="109">
        <v>6.9286460082393297</v>
      </c>
      <c r="F16" s="109">
        <v>5.7672589296103132</v>
      </c>
      <c r="G16" s="109">
        <v>5.3557169478121631</v>
      </c>
      <c r="H16" s="109">
        <v>6.3664006736511176</v>
      </c>
      <c r="I16" s="109">
        <v>9.307274061822234</v>
      </c>
      <c r="J16" s="109">
        <v>8.370824469679329</v>
      </c>
      <c r="K16" s="110">
        <v>5.6577402590483654</v>
      </c>
    </row>
    <row r="17" spans="2:11" x14ac:dyDescent="0.3">
      <c r="B17" s="111" t="s">
        <v>1978</v>
      </c>
      <c r="C17" s="112" t="s">
        <v>1483</v>
      </c>
      <c r="D17" s="1499">
        <v>8.6626650258459055</v>
      </c>
      <c r="E17" s="1499">
        <v>7.2844050055268372</v>
      </c>
      <c r="F17" s="1499">
        <v>6.1430689629367556</v>
      </c>
      <c r="G17" s="1499">
        <v>5.7363491477394044</v>
      </c>
      <c r="H17" s="1499">
        <v>6.725751930076953</v>
      </c>
      <c r="I17" s="1499">
        <v>9.6225870304902479</v>
      </c>
      <c r="J17" s="1499">
        <v>8.7030883477514394</v>
      </c>
      <c r="K17" s="113">
        <v>6.034847769596114</v>
      </c>
    </row>
    <row r="18" spans="2:11" x14ac:dyDescent="0.3">
      <c r="B18" s="111" t="s">
        <v>1980</v>
      </c>
      <c r="C18" s="112" t="s">
        <v>1489</v>
      </c>
      <c r="D18" s="1499">
        <v>8.6205617372773684</v>
      </c>
      <c r="E18" s="1499">
        <v>7.2423017169583002</v>
      </c>
      <c r="F18" s="1499">
        <v>6.1009656743682186</v>
      </c>
      <c r="G18" s="1499">
        <v>5.6942458591708673</v>
      </c>
      <c r="H18" s="1499">
        <v>6.683648641508416</v>
      </c>
      <c r="I18" s="1499">
        <v>9.5804837419217108</v>
      </c>
      <c r="J18" s="1499">
        <v>8.6609850591829023</v>
      </c>
      <c r="K18" s="113">
        <v>5.992744481027577</v>
      </c>
    </row>
    <row r="19" spans="2:11" x14ac:dyDescent="0.3">
      <c r="B19" s="114">
        <v>0</v>
      </c>
      <c r="C19" s="112" t="s">
        <v>1496</v>
      </c>
      <c r="D19" s="1499">
        <v>8.5574068044245646</v>
      </c>
      <c r="E19" s="1499">
        <v>7.1791467841054963</v>
      </c>
      <c r="F19" s="1499">
        <v>6.0378107415154139</v>
      </c>
      <c r="G19" s="1499">
        <v>5.6310909263180626</v>
      </c>
      <c r="H19" s="1499">
        <v>6.6204937086556122</v>
      </c>
      <c r="I19" s="1499">
        <v>9.517328809068907</v>
      </c>
      <c r="J19" s="1499">
        <v>8.5978301263300985</v>
      </c>
      <c r="K19" s="113">
        <v>5.9295895481747722</v>
      </c>
    </row>
    <row r="20" spans="2:11" x14ac:dyDescent="0.3">
      <c r="B20" s="115"/>
      <c r="C20" s="112" t="s">
        <v>1500</v>
      </c>
      <c r="D20" s="1499">
        <v>8.494251871571759</v>
      </c>
      <c r="E20" s="1499">
        <v>7.1159918512526907</v>
      </c>
      <c r="F20" s="1499">
        <v>5.9746558086626083</v>
      </c>
      <c r="G20" s="1499">
        <v>5.5679359934652588</v>
      </c>
      <c r="H20" s="1499">
        <v>6.5573387758028066</v>
      </c>
      <c r="I20" s="1499">
        <v>9.4541738762161014</v>
      </c>
      <c r="J20" s="1499">
        <v>8.5346751934772929</v>
      </c>
      <c r="K20" s="113">
        <v>5.8664346153219666</v>
      </c>
    </row>
    <row r="21" spans="2:11" x14ac:dyDescent="0.3">
      <c r="B21" s="115"/>
      <c r="C21" s="112" t="s">
        <v>1504</v>
      </c>
      <c r="D21" s="1499">
        <v>8.589498317097533</v>
      </c>
      <c r="E21" s="1499">
        <v>7.2072810354117758</v>
      </c>
      <c r="F21" s="1499">
        <v>6.0655253349206442</v>
      </c>
      <c r="G21" s="1499">
        <v>5.6577888535672018</v>
      </c>
      <c r="H21" s="1499">
        <v>6.6495147906832726</v>
      </c>
      <c r="I21" s="1499">
        <v>9.5482674489231893</v>
      </c>
      <c r="J21" s="1499">
        <v>8.6275582267275954</v>
      </c>
      <c r="K21" s="113">
        <v>5.9562177479844562</v>
      </c>
    </row>
    <row r="22" spans="2:11" x14ac:dyDescent="0.3">
      <c r="B22" s="115"/>
      <c r="C22" s="112" t="s">
        <v>1508</v>
      </c>
      <c r="D22" s="1499">
        <v>8.5540076704011021</v>
      </c>
      <c r="E22" s="1499">
        <v>7.1717903887153449</v>
      </c>
      <c r="F22" s="1499">
        <v>6.0300346882242133</v>
      </c>
      <c r="G22" s="1499">
        <v>5.6222982068707719</v>
      </c>
      <c r="H22" s="1499">
        <v>6.6140241439868417</v>
      </c>
      <c r="I22" s="1499">
        <v>9.5127768022267585</v>
      </c>
      <c r="J22" s="1499">
        <v>8.5920675800311646</v>
      </c>
      <c r="K22" s="113">
        <v>5.9207271012880263</v>
      </c>
    </row>
    <row r="23" spans="2:11" x14ac:dyDescent="0.3">
      <c r="B23" s="115"/>
      <c r="C23" s="112" t="s">
        <v>1513</v>
      </c>
      <c r="D23" s="1499">
        <v>8.5007717003564576</v>
      </c>
      <c r="E23" s="1499">
        <v>7.1185544186707004</v>
      </c>
      <c r="F23" s="1499">
        <v>5.9767987181795688</v>
      </c>
      <c r="G23" s="1499">
        <v>5.5690622368261273</v>
      </c>
      <c r="H23" s="1499">
        <v>6.5607881739421972</v>
      </c>
      <c r="I23" s="1499">
        <v>9.4595408321821139</v>
      </c>
      <c r="J23" s="1499">
        <v>8.53883160998652</v>
      </c>
      <c r="K23" s="113">
        <v>5.8674911312433808</v>
      </c>
    </row>
    <row r="24" spans="2:11" x14ac:dyDescent="0.3">
      <c r="B24" s="115"/>
      <c r="C24" s="112" t="s">
        <v>1517</v>
      </c>
      <c r="D24" s="1499">
        <v>8.4475357303118113</v>
      </c>
      <c r="E24" s="1499">
        <v>7.065318448626055</v>
      </c>
      <c r="F24" s="1499">
        <v>5.9235627481349233</v>
      </c>
      <c r="G24" s="1499">
        <v>5.5158262667814819</v>
      </c>
      <c r="H24" s="1499">
        <v>6.5075522038975517</v>
      </c>
      <c r="I24" s="1499">
        <v>9.4063048621374676</v>
      </c>
      <c r="J24" s="1499">
        <v>8.4855956399418755</v>
      </c>
      <c r="K24" s="113">
        <v>5.8142551611987363</v>
      </c>
    </row>
    <row r="25" spans="2:11" ht="14.5" thickBot="1" x14ac:dyDescent="0.35">
      <c r="B25" s="1233"/>
      <c r="C25" s="116" t="s">
        <v>1519</v>
      </c>
      <c r="D25" s="117">
        <v>8.6626650258459055</v>
      </c>
      <c r="E25" s="117">
        <v>7.2844050055268372</v>
      </c>
      <c r="F25" s="117">
        <v>6.1430689629367556</v>
      </c>
      <c r="G25" s="117">
        <v>5.7363491477394044</v>
      </c>
      <c r="H25" s="117">
        <v>6.725751930076953</v>
      </c>
      <c r="I25" s="117">
        <v>9.6225870304902479</v>
      </c>
      <c r="J25" s="117">
        <v>8.7030883477514394</v>
      </c>
      <c r="K25" s="118">
        <v>6.034847769596114</v>
      </c>
    </row>
    <row r="26" spans="2:11" x14ac:dyDescent="0.3">
      <c r="B26" s="107" t="s">
        <v>1977</v>
      </c>
      <c r="C26" s="108" t="s">
        <v>1416</v>
      </c>
      <c r="D26" s="109">
        <v>7.496472734583171</v>
      </c>
      <c r="E26" s="109">
        <v>6.1011570655102583</v>
      </c>
      <c r="F26" s="109">
        <v>4.9397699868812408</v>
      </c>
      <c r="G26" s="109">
        <v>4.5282280050830908</v>
      </c>
      <c r="H26" s="109">
        <v>5.5389117309220461</v>
      </c>
      <c r="I26" s="109">
        <v>8.4797851190931617</v>
      </c>
      <c r="J26" s="109">
        <v>7.5433355269502567</v>
      </c>
      <c r="K26" s="110">
        <v>4.8302513163192922</v>
      </c>
    </row>
    <row r="27" spans="2:11" x14ac:dyDescent="0.3">
      <c r="B27" s="111" t="s">
        <v>1978</v>
      </c>
      <c r="C27" s="112" t="s">
        <v>1483</v>
      </c>
      <c r="D27" s="1499">
        <v>7.8351760831168331</v>
      </c>
      <c r="E27" s="1499">
        <v>6.456916062797764</v>
      </c>
      <c r="F27" s="1499">
        <v>5.3155800202076824</v>
      </c>
      <c r="G27" s="1499">
        <v>4.9088602050103312</v>
      </c>
      <c r="H27" s="1499">
        <v>5.8982629873478798</v>
      </c>
      <c r="I27" s="1499">
        <v>8.7950980877611737</v>
      </c>
      <c r="J27" s="1499">
        <v>7.8755994050223661</v>
      </c>
      <c r="K27" s="113">
        <v>5.2073588268670408</v>
      </c>
    </row>
    <row r="28" spans="2:11" x14ac:dyDescent="0.3">
      <c r="B28" s="111" t="s">
        <v>1981</v>
      </c>
      <c r="C28" s="112" t="s">
        <v>1489</v>
      </c>
      <c r="D28" s="1499">
        <v>7.7930727945482969</v>
      </c>
      <c r="E28" s="1499">
        <v>6.4148127742292287</v>
      </c>
      <c r="F28" s="1499">
        <v>5.2734767316391462</v>
      </c>
      <c r="G28" s="1499">
        <v>4.8667569164417959</v>
      </c>
      <c r="H28" s="1499">
        <v>5.8561596987793445</v>
      </c>
      <c r="I28" s="1499">
        <v>8.7529947991926385</v>
      </c>
      <c r="J28" s="1499">
        <v>7.8334961164538299</v>
      </c>
      <c r="K28" s="113">
        <v>5.1652555382985046</v>
      </c>
    </row>
    <row r="29" spans="2:11" x14ac:dyDescent="0.3">
      <c r="B29" s="114">
        <v>0</v>
      </c>
      <c r="C29" s="112" t="s">
        <v>1496</v>
      </c>
      <c r="D29" s="1499">
        <v>7.7299178616954913</v>
      </c>
      <c r="E29" s="1499">
        <v>6.3516578413764231</v>
      </c>
      <c r="F29" s="1499">
        <v>5.2103217987863415</v>
      </c>
      <c r="G29" s="1499">
        <v>4.8036019835889912</v>
      </c>
      <c r="H29" s="1499">
        <v>5.7930047659265389</v>
      </c>
      <c r="I29" s="1499">
        <v>8.6898398663398329</v>
      </c>
      <c r="J29" s="1499">
        <v>7.7703411836010243</v>
      </c>
      <c r="K29" s="113">
        <v>5.1021006054456999</v>
      </c>
    </row>
    <row r="30" spans="2:11" x14ac:dyDescent="0.3">
      <c r="B30" s="115"/>
      <c r="C30" s="112" t="s">
        <v>1500</v>
      </c>
      <c r="D30" s="1499">
        <v>7.6667629288426875</v>
      </c>
      <c r="E30" s="1499">
        <v>6.2885029085236193</v>
      </c>
      <c r="F30" s="1499">
        <v>5.1471668659335368</v>
      </c>
      <c r="G30" s="1499">
        <v>4.7404470507361856</v>
      </c>
      <c r="H30" s="1499">
        <v>5.7298498330737342</v>
      </c>
      <c r="I30" s="1499">
        <v>8.626684933487029</v>
      </c>
      <c r="J30" s="1499">
        <v>7.7071862507482205</v>
      </c>
      <c r="K30" s="113">
        <v>5.0389456725928952</v>
      </c>
    </row>
    <row r="31" spans="2:11" x14ac:dyDescent="0.3">
      <c r="B31" s="115"/>
      <c r="C31" s="112" t="s">
        <v>1504</v>
      </c>
      <c r="D31" s="1499">
        <v>7.7620093743684606</v>
      </c>
      <c r="E31" s="1499">
        <v>6.3797920926827025</v>
      </c>
      <c r="F31" s="1499">
        <v>5.2380363921915718</v>
      </c>
      <c r="G31" s="1499">
        <v>4.8302999108381304</v>
      </c>
      <c r="H31" s="1499">
        <v>5.8220258479542002</v>
      </c>
      <c r="I31" s="1499">
        <v>8.7207785061941152</v>
      </c>
      <c r="J31" s="1499">
        <v>7.8000692839985222</v>
      </c>
      <c r="K31" s="113">
        <v>5.1287288052553839</v>
      </c>
    </row>
    <row r="32" spans="2:11" x14ac:dyDescent="0.3">
      <c r="B32" s="115"/>
      <c r="C32" s="112" t="s">
        <v>1508</v>
      </c>
      <c r="D32" s="1499">
        <v>7.7265187276720306</v>
      </c>
      <c r="E32" s="1499">
        <v>6.3443014459862734</v>
      </c>
      <c r="F32" s="1499">
        <v>5.2025457454951418</v>
      </c>
      <c r="G32" s="1499">
        <v>4.7948092641417004</v>
      </c>
      <c r="H32" s="1499">
        <v>5.7865352012577702</v>
      </c>
      <c r="I32" s="1499">
        <v>8.6852878594976861</v>
      </c>
      <c r="J32" s="1499">
        <v>7.7645786373020931</v>
      </c>
      <c r="K32" s="113">
        <v>5.0932381585589539</v>
      </c>
    </row>
    <row r="33" spans="2:11" x14ac:dyDescent="0.3">
      <c r="B33" s="115"/>
      <c r="C33" s="112" t="s">
        <v>1513</v>
      </c>
      <c r="D33" s="1499">
        <v>7.6732827576273852</v>
      </c>
      <c r="E33" s="1499">
        <v>6.291065475941628</v>
      </c>
      <c r="F33" s="1499">
        <v>5.1493097754504964</v>
      </c>
      <c r="G33" s="1499">
        <v>4.741573294097055</v>
      </c>
      <c r="H33" s="1499">
        <v>5.7332992312131248</v>
      </c>
      <c r="I33" s="1499">
        <v>8.6320518894530416</v>
      </c>
      <c r="J33" s="1499">
        <v>7.7113426672574477</v>
      </c>
      <c r="K33" s="113">
        <v>5.0400021885143094</v>
      </c>
    </row>
    <row r="34" spans="2:11" x14ac:dyDescent="0.3">
      <c r="B34" s="115"/>
      <c r="C34" s="112" t="s">
        <v>1517</v>
      </c>
      <c r="D34" s="1499">
        <v>7.6200467875827398</v>
      </c>
      <c r="E34" s="1499">
        <v>6.2378295058969826</v>
      </c>
      <c r="F34" s="1499">
        <v>5.096073805405851</v>
      </c>
      <c r="G34" s="1499">
        <v>4.6883373240524095</v>
      </c>
      <c r="H34" s="1499">
        <v>5.6800632611684803</v>
      </c>
      <c r="I34" s="1499">
        <v>8.5788159194083953</v>
      </c>
      <c r="J34" s="1499">
        <v>7.6581066972128031</v>
      </c>
      <c r="K34" s="113">
        <v>4.9867662184696631</v>
      </c>
    </row>
    <row r="35" spans="2:11" ht="14.5" thickBot="1" x14ac:dyDescent="0.35">
      <c r="B35" s="1233"/>
      <c r="C35" s="116" t="s">
        <v>1519</v>
      </c>
      <c r="D35" s="117">
        <v>7.8351760831168331</v>
      </c>
      <c r="E35" s="117">
        <v>6.456916062797764</v>
      </c>
      <c r="F35" s="117">
        <v>5.3155800202076824</v>
      </c>
      <c r="G35" s="117">
        <v>4.9088602050103312</v>
      </c>
      <c r="H35" s="117">
        <v>5.8982629873478798</v>
      </c>
      <c r="I35" s="117">
        <v>8.7950980877611737</v>
      </c>
      <c r="J35" s="117">
        <v>7.8755994050223661</v>
      </c>
      <c r="K35" s="118">
        <v>5.2073588268670408</v>
      </c>
    </row>
    <row r="36" spans="2:11" x14ac:dyDescent="0.3">
      <c r="B36" s="107" t="s">
        <v>1977</v>
      </c>
      <c r="C36" s="108" t="s">
        <v>1416</v>
      </c>
      <c r="D36" s="109">
        <v>6.6689837918540986</v>
      </c>
      <c r="E36" s="109">
        <v>5.2736681227811859</v>
      </c>
      <c r="F36" s="109">
        <v>4.1122810441521684</v>
      </c>
      <c r="G36" s="109">
        <v>3.7007390623540188</v>
      </c>
      <c r="H36" s="109">
        <v>4.7114227881929738</v>
      </c>
      <c r="I36" s="109">
        <v>7.6522961763640902</v>
      </c>
      <c r="J36" s="109">
        <v>6.7158465842211852</v>
      </c>
      <c r="K36" s="110">
        <v>4.0027623735902207</v>
      </c>
    </row>
    <row r="37" spans="2:11" x14ac:dyDescent="0.3">
      <c r="B37" s="111" t="s">
        <v>1978</v>
      </c>
      <c r="C37" s="112" t="s">
        <v>1483</v>
      </c>
      <c r="D37" s="1499">
        <v>7.0076871403877607</v>
      </c>
      <c r="E37" s="1499">
        <v>5.6294271200686925</v>
      </c>
      <c r="F37" s="1499">
        <v>4.48809107747861</v>
      </c>
      <c r="G37" s="1499">
        <v>4.0813712622812597</v>
      </c>
      <c r="H37" s="1499">
        <v>5.0707740446188083</v>
      </c>
      <c r="I37" s="1499">
        <v>7.9676091450321023</v>
      </c>
      <c r="J37" s="1499">
        <v>7.0481104622932937</v>
      </c>
      <c r="K37" s="113">
        <v>4.3798698841379684</v>
      </c>
    </row>
    <row r="38" spans="2:11" x14ac:dyDescent="0.3">
      <c r="B38" s="111" t="s">
        <v>1982</v>
      </c>
      <c r="C38" s="112" t="s">
        <v>1489</v>
      </c>
      <c r="D38" s="1499">
        <v>6.9655838518192255</v>
      </c>
      <c r="E38" s="1499">
        <v>5.5873238315001563</v>
      </c>
      <c r="F38" s="1499">
        <v>4.4459877889100738</v>
      </c>
      <c r="G38" s="1499">
        <v>4.0392679737127235</v>
      </c>
      <c r="H38" s="1499">
        <v>5.0286707560502713</v>
      </c>
      <c r="I38" s="1499">
        <v>7.9255058564635652</v>
      </c>
      <c r="J38" s="1499">
        <v>7.0060071737247585</v>
      </c>
      <c r="K38" s="113">
        <v>4.3377665955694322</v>
      </c>
    </row>
    <row r="39" spans="2:11" x14ac:dyDescent="0.3">
      <c r="B39" s="114">
        <v>0</v>
      </c>
      <c r="C39" s="112" t="s">
        <v>1496</v>
      </c>
      <c r="D39" s="1499">
        <v>6.9024289189664199</v>
      </c>
      <c r="E39" s="1499">
        <v>5.5241688986473507</v>
      </c>
      <c r="F39" s="1499">
        <v>4.3828328560572691</v>
      </c>
      <c r="G39" s="1499">
        <v>3.9761130408599183</v>
      </c>
      <c r="H39" s="1499">
        <v>4.9655158231974665</v>
      </c>
      <c r="I39" s="1499">
        <v>7.8623509236107614</v>
      </c>
      <c r="J39" s="1499">
        <v>6.9428522408719529</v>
      </c>
      <c r="K39" s="113">
        <v>4.2746116627166275</v>
      </c>
    </row>
    <row r="40" spans="2:11" x14ac:dyDescent="0.3">
      <c r="B40" s="115"/>
      <c r="C40" s="112" t="s">
        <v>1500</v>
      </c>
      <c r="D40" s="1499">
        <v>6.8392739861136151</v>
      </c>
      <c r="E40" s="1499">
        <v>5.4610139657945469</v>
      </c>
      <c r="F40" s="1499">
        <v>4.3196779232044644</v>
      </c>
      <c r="G40" s="1499">
        <v>3.9129581080071141</v>
      </c>
      <c r="H40" s="1499">
        <v>4.9023608903446627</v>
      </c>
      <c r="I40" s="1499">
        <v>7.7991959907579567</v>
      </c>
      <c r="J40" s="1499">
        <v>6.8796973080191481</v>
      </c>
      <c r="K40" s="113">
        <v>4.2114567298638228</v>
      </c>
    </row>
    <row r="41" spans="2:11" x14ac:dyDescent="0.3">
      <c r="B41" s="115"/>
      <c r="C41" s="112" t="s">
        <v>1504</v>
      </c>
      <c r="D41" s="1499">
        <v>6.9345204316393874</v>
      </c>
      <c r="E41" s="1499">
        <v>5.5523031499536302</v>
      </c>
      <c r="F41" s="1499">
        <v>4.4105474494624985</v>
      </c>
      <c r="G41" s="1499">
        <v>4.0028109681090571</v>
      </c>
      <c r="H41" s="1499">
        <v>4.9945369052251278</v>
      </c>
      <c r="I41" s="1499">
        <v>7.8932895634650437</v>
      </c>
      <c r="J41" s="1499">
        <v>6.9725803412694507</v>
      </c>
      <c r="K41" s="113">
        <v>4.3012398625263115</v>
      </c>
    </row>
    <row r="42" spans="2:11" x14ac:dyDescent="0.3">
      <c r="B42" s="115"/>
      <c r="C42" s="112" t="s">
        <v>1508</v>
      </c>
      <c r="D42" s="1499">
        <v>6.8990297849429574</v>
      </c>
      <c r="E42" s="1499">
        <v>5.5168125032572011</v>
      </c>
      <c r="F42" s="1499">
        <v>4.3750568027660686</v>
      </c>
      <c r="G42" s="1499">
        <v>3.9673203214126276</v>
      </c>
      <c r="H42" s="1499">
        <v>4.9590462585286978</v>
      </c>
      <c r="I42" s="1499">
        <v>7.8577989167686146</v>
      </c>
      <c r="J42" s="1499">
        <v>6.9370896945730216</v>
      </c>
      <c r="K42" s="113">
        <v>4.2657492158298815</v>
      </c>
    </row>
    <row r="43" spans="2:11" x14ac:dyDescent="0.3">
      <c r="B43" s="115"/>
      <c r="C43" s="112" t="s">
        <v>1513</v>
      </c>
      <c r="D43" s="1499">
        <v>6.845793814898312</v>
      </c>
      <c r="E43" s="1499">
        <v>5.4635765332125557</v>
      </c>
      <c r="F43" s="1499">
        <v>4.321820832721424</v>
      </c>
      <c r="G43" s="1499">
        <v>3.9140843513679826</v>
      </c>
      <c r="H43" s="1499">
        <v>4.9058102884840524</v>
      </c>
      <c r="I43" s="1499">
        <v>7.8045629467239692</v>
      </c>
      <c r="J43" s="1499">
        <v>6.8838537245283762</v>
      </c>
      <c r="K43" s="113">
        <v>4.2125132457852361</v>
      </c>
    </row>
    <row r="44" spans="2:11" x14ac:dyDescent="0.3">
      <c r="B44" s="115"/>
      <c r="C44" s="112" t="s">
        <v>1517</v>
      </c>
      <c r="D44" s="1499">
        <v>6.7925578448536665</v>
      </c>
      <c r="E44" s="1499">
        <v>5.4103405631679102</v>
      </c>
      <c r="F44" s="1499">
        <v>4.2685848626767786</v>
      </c>
      <c r="G44" s="1499">
        <v>3.8608483813233376</v>
      </c>
      <c r="H44" s="1499">
        <v>4.852574318439407</v>
      </c>
      <c r="I44" s="1499">
        <v>7.7513269766793238</v>
      </c>
      <c r="J44" s="1499">
        <v>6.8306177544837308</v>
      </c>
      <c r="K44" s="113">
        <v>4.1592772757405916</v>
      </c>
    </row>
    <row r="45" spans="2:11" ht="14.5" thickBot="1" x14ac:dyDescent="0.35">
      <c r="B45" s="1233"/>
      <c r="C45" s="116" t="s">
        <v>1519</v>
      </c>
      <c r="D45" s="117">
        <v>7.0076871403877607</v>
      </c>
      <c r="E45" s="117">
        <v>5.6294271200686925</v>
      </c>
      <c r="F45" s="117">
        <v>4.48809107747861</v>
      </c>
      <c r="G45" s="117">
        <v>4.0813712622812597</v>
      </c>
      <c r="H45" s="117">
        <v>5.0707740446188083</v>
      </c>
      <c r="I45" s="117">
        <v>7.9676091450321023</v>
      </c>
      <c r="J45" s="117">
        <v>7.0481104622932937</v>
      </c>
      <c r="K45" s="118">
        <v>4.3798698841379684</v>
      </c>
    </row>
    <row r="46" spans="2:11" x14ac:dyDescent="0.3">
      <c r="B46" s="119" t="s">
        <v>1983</v>
      </c>
      <c r="C46" s="108" t="s">
        <v>1416</v>
      </c>
      <c r="D46" s="109">
        <v>7.5601865908058192</v>
      </c>
      <c r="E46" s="109">
        <v>6.0796596076640084</v>
      </c>
      <c r="F46" s="109">
        <v>4.9575729964853759</v>
      </c>
      <c r="G46" s="109">
        <v>4.5230522633006283</v>
      </c>
      <c r="H46" s="109">
        <v>5.5476193929283042</v>
      </c>
      <c r="I46" s="109">
        <v>8.4558172015279212</v>
      </c>
      <c r="J46" s="109">
        <v>7.5186284662913074</v>
      </c>
      <c r="K46" s="110">
        <v>4.8190660033665811</v>
      </c>
    </row>
    <row r="47" spans="2:11" x14ac:dyDescent="0.3">
      <c r="B47" s="111"/>
      <c r="C47" s="112" t="s">
        <v>1483</v>
      </c>
      <c r="D47" s="1499">
        <v>7.9135579905531142</v>
      </c>
      <c r="E47" s="1499">
        <v>6.4545341617563539</v>
      </c>
      <c r="F47" s="1499">
        <v>5.3417640256362384</v>
      </c>
      <c r="G47" s="1499">
        <v>4.9154975129564642</v>
      </c>
      <c r="H47" s="1499">
        <v>5.9196152531259401</v>
      </c>
      <c r="I47" s="1499">
        <v>8.7919238731304379</v>
      </c>
      <c r="J47" s="1499">
        <v>7.8717417986791149</v>
      </c>
      <c r="K47" s="113">
        <v>5.2096558852486394</v>
      </c>
    </row>
    <row r="48" spans="2:11" x14ac:dyDescent="0.3">
      <c r="B48" s="111" t="s">
        <v>1979</v>
      </c>
      <c r="C48" s="112" t="s">
        <v>1489</v>
      </c>
      <c r="D48" s="1499">
        <v>7.8714547019845771</v>
      </c>
      <c r="E48" s="1499">
        <v>6.4124308731878168</v>
      </c>
      <c r="F48" s="1499">
        <v>5.2996607370677022</v>
      </c>
      <c r="G48" s="1499">
        <v>4.8733942243879271</v>
      </c>
      <c r="H48" s="1499">
        <v>5.8775119645574048</v>
      </c>
      <c r="I48" s="1499">
        <v>8.7498205845619008</v>
      </c>
      <c r="J48" s="1499">
        <v>7.8296385101105779</v>
      </c>
      <c r="K48" s="113">
        <v>5.1675525966801032</v>
      </c>
    </row>
    <row r="49" spans="2:11" x14ac:dyDescent="0.3">
      <c r="B49" s="114">
        <v>0</v>
      </c>
      <c r="C49" s="112" t="s">
        <v>1496</v>
      </c>
      <c r="D49" s="1499">
        <v>7.8082997691317733</v>
      </c>
      <c r="E49" s="1499">
        <v>6.349275940335013</v>
      </c>
      <c r="F49" s="1499">
        <v>5.2365058042148975</v>
      </c>
      <c r="G49" s="1499">
        <v>4.8102392915351224</v>
      </c>
      <c r="H49" s="1499">
        <v>5.8143570317046001</v>
      </c>
      <c r="I49" s="1499">
        <v>8.686665651709097</v>
      </c>
      <c r="J49" s="1499">
        <v>7.7664835772577732</v>
      </c>
      <c r="K49" s="113">
        <v>5.1043976638272976</v>
      </c>
    </row>
    <row r="50" spans="2:11" x14ac:dyDescent="0.3">
      <c r="B50" s="115"/>
      <c r="C50" s="112" t="s">
        <v>1500</v>
      </c>
      <c r="D50" s="1499">
        <v>7.7451448362789685</v>
      </c>
      <c r="E50" s="1499">
        <v>6.2861210074822083</v>
      </c>
      <c r="F50" s="1499">
        <v>5.1733508713620928</v>
      </c>
      <c r="G50" s="1499">
        <v>4.7470843586823186</v>
      </c>
      <c r="H50" s="1499">
        <v>5.7512020988517953</v>
      </c>
      <c r="I50" s="1499">
        <v>8.6235107188562932</v>
      </c>
      <c r="J50" s="1499">
        <v>7.7033286444049693</v>
      </c>
      <c r="K50" s="113">
        <v>5.0412427309744929</v>
      </c>
    </row>
    <row r="51" spans="2:11" x14ac:dyDescent="0.3">
      <c r="B51" s="115"/>
      <c r="C51" s="112" t="s">
        <v>1504</v>
      </c>
      <c r="D51" s="1499">
        <v>7.8397813315011309</v>
      </c>
      <c r="E51" s="1499">
        <v>6.3759090921175314</v>
      </c>
      <c r="F51" s="1499">
        <v>5.264418478455517</v>
      </c>
      <c r="G51" s="1499">
        <v>4.836593448428121</v>
      </c>
      <c r="H51" s="1499">
        <v>5.8430468358160343</v>
      </c>
      <c r="I51" s="1499">
        <v>8.7159356824157594</v>
      </c>
      <c r="J51" s="1499">
        <v>7.7945345865154483</v>
      </c>
      <c r="K51" s="113">
        <v>5.130542301229239</v>
      </c>
    </row>
    <row r="52" spans="2:11" x14ac:dyDescent="0.3">
      <c r="B52" s="115"/>
      <c r="C52" s="112" t="s">
        <v>1508</v>
      </c>
      <c r="D52" s="1499">
        <v>7.8042906848047009</v>
      </c>
      <c r="E52" s="1499">
        <v>6.3404184454211014</v>
      </c>
      <c r="F52" s="1499">
        <v>5.228927831759087</v>
      </c>
      <c r="G52" s="1499">
        <v>4.801102801731691</v>
      </c>
      <c r="H52" s="1499">
        <v>5.8075561891196044</v>
      </c>
      <c r="I52" s="1499">
        <v>8.6804450357193286</v>
      </c>
      <c r="J52" s="1499">
        <v>7.7590439398190174</v>
      </c>
      <c r="K52" s="113">
        <v>5.0950516545328099</v>
      </c>
    </row>
    <row r="53" spans="2:11" x14ac:dyDescent="0.3">
      <c r="B53" s="115"/>
      <c r="C53" s="112" t="s">
        <v>1513</v>
      </c>
      <c r="D53" s="1499">
        <v>7.7510547147600555</v>
      </c>
      <c r="E53" s="1499">
        <v>6.287182475376456</v>
      </c>
      <c r="F53" s="1499">
        <v>5.1756918617144416</v>
      </c>
      <c r="G53" s="1499">
        <v>4.7478668316870456</v>
      </c>
      <c r="H53" s="1499">
        <v>5.7543202190749589</v>
      </c>
      <c r="I53" s="1499">
        <v>8.627209065674684</v>
      </c>
      <c r="J53" s="1499">
        <v>7.7058079697743729</v>
      </c>
      <c r="K53" s="113">
        <v>5.0418156844881645</v>
      </c>
    </row>
    <row r="54" spans="2:11" x14ac:dyDescent="0.3">
      <c r="B54" s="115"/>
      <c r="C54" s="112" t="s">
        <v>1517</v>
      </c>
      <c r="D54" s="1499">
        <v>7.6978187447154101</v>
      </c>
      <c r="E54" s="1499">
        <v>6.2339465053318106</v>
      </c>
      <c r="F54" s="1499">
        <v>5.1224558916697962</v>
      </c>
      <c r="G54" s="1499">
        <v>4.6946308616424011</v>
      </c>
      <c r="H54" s="1499">
        <v>5.7010842490303144</v>
      </c>
      <c r="I54" s="1499">
        <v>8.5739730956300395</v>
      </c>
      <c r="J54" s="1499">
        <v>7.6525719997297275</v>
      </c>
      <c r="K54" s="113">
        <v>4.9885797144435191</v>
      </c>
    </row>
    <row r="55" spans="2:11" ht="14.5" thickBot="1" x14ac:dyDescent="0.35">
      <c r="B55" s="1233"/>
      <c r="C55" s="116" t="s">
        <v>1519</v>
      </c>
      <c r="D55" s="117">
        <v>7.9135579905531142</v>
      </c>
      <c r="E55" s="117">
        <v>6.4545341617563539</v>
      </c>
      <c r="F55" s="117">
        <v>5.3417640256362384</v>
      </c>
      <c r="G55" s="117">
        <v>4.9154975129564642</v>
      </c>
      <c r="H55" s="117">
        <v>5.9196152531259401</v>
      </c>
      <c r="I55" s="117">
        <v>8.7919238731304379</v>
      </c>
      <c r="J55" s="117">
        <v>7.8717417986791149</v>
      </c>
      <c r="K55" s="118">
        <v>5.2096558852486394</v>
      </c>
    </row>
    <row r="56" spans="2:11" x14ac:dyDescent="0.3">
      <c r="B56" s="119" t="s">
        <v>1983</v>
      </c>
      <c r="C56" s="108" t="s">
        <v>1416</v>
      </c>
      <c r="D56" s="109">
        <v>7.2742170787643001</v>
      </c>
      <c r="E56" s="109">
        <v>5.7936900956224893</v>
      </c>
      <c r="F56" s="109">
        <v>4.671603484443855</v>
      </c>
      <c r="G56" s="109">
        <v>4.2370827512591083</v>
      </c>
      <c r="H56" s="109">
        <v>5.2616498808867842</v>
      </c>
      <c r="I56" s="109">
        <v>8.1698476894864012</v>
      </c>
      <c r="J56" s="109">
        <v>7.2326589542497874</v>
      </c>
      <c r="K56" s="110">
        <v>4.5330964913250602</v>
      </c>
    </row>
    <row r="57" spans="2:11" x14ac:dyDescent="0.3">
      <c r="B57" s="111"/>
      <c r="C57" s="112" t="s">
        <v>1483</v>
      </c>
      <c r="D57" s="1499">
        <v>7.627588478511595</v>
      </c>
      <c r="E57" s="1499">
        <v>6.1685646497148348</v>
      </c>
      <c r="F57" s="1499">
        <v>5.0557945135947184</v>
      </c>
      <c r="G57" s="1499">
        <v>4.6295280009149433</v>
      </c>
      <c r="H57" s="1499">
        <v>5.633645741084421</v>
      </c>
      <c r="I57" s="1499">
        <v>8.5059543610889179</v>
      </c>
      <c r="J57" s="1499">
        <v>7.585772286637595</v>
      </c>
      <c r="K57" s="113">
        <v>4.9236863732071194</v>
      </c>
    </row>
    <row r="58" spans="2:11" x14ac:dyDescent="0.3">
      <c r="B58" s="111" t="s">
        <v>1980</v>
      </c>
      <c r="C58" s="112" t="s">
        <v>1489</v>
      </c>
      <c r="D58" s="1499">
        <v>7.585485189943058</v>
      </c>
      <c r="E58" s="1499">
        <v>6.1264613611462977</v>
      </c>
      <c r="F58" s="1499">
        <v>5.0136912250261823</v>
      </c>
      <c r="G58" s="1499">
        <v>4.5874247123464071</v>
      </c>
      <c r="H58" s="1499">
        <v>5.5915424525158848</v>
      </c>
      <c r="I58" s="1499">
        <v>8.4638510725203808</v>
      </c>
      <c r="J58" s="1499">
        <v>7.5436689980690579</v>
      </c>
      <c r="K58" s="113">
        <v>4.8815830846385824</v>
      </c>
    </row>
    <row r="59" spans="2:11" x14ac:dyDescent="0.3">
      <c r="B59" s="114">
        <v>0</v>
      </c>
      <c r="C59" s="112" t="s">
        <v>1496</v>
      </c>
      <c r="D59" s="1499">
        <v>7.5223302570902533</v>
      </c>
      <c r="E59" s="1499">
        <v>6.063306428293493</v>
      </c>
      <c r="F59" s="1499">
        <v>4.9505362921733775</v>
      </c>
      <c r="G59" s="1499">
        <v>4.5242697794936024</v>
      </c>
      <c r="H59" s="1499">
        <v>5.5283875196630801</v>
      </c>
      <c r="I59" s="1499">
        <v>8.400696139667577</v>
      </c>
      <c r="J59" s="1499">
        <v>7.4805140652162541</v>
      </c>
      <c r="K59" s="113">
        <v>4.8184281517857777</v>
      </c>
    </row>
    <row r="60" spans="2:11" x14ac:dyDescent="0.3">
      <c r="B60" s="115"/>
      <c r="C60" s="112" t="s">
        <v>1500</v>
      </c>
      <c r="D60" s="1499">
        <v>7.4591753242374477</v>
      </c>
      <c r="E60" s="1499">
        <v>6.0001514954406874</v>
      </c>
      <c r="F60" s="1499">
        <v>4.8873813593205728</v>
      </c>
      <c r="G60" s="1499">
        <v>4.4611148466407986</v>
      </c>
      <c r="H60" s="1499">
        <v>5.4652325868102754</v>
      </c>
      <c r="I60" s="1499">
        <v>8.3375412068147714</v>
      </c>
      <c r="J60" s="1499">
        <v>7.4173591323634485</v>
      </c>
      <c r="K60" s="113">
        <v>4.7552732189329738</v>
      </c>
    </row>
    <row r="61" spans="2:11" x14ac:dyDescent="0.3">
      <c r="B61" s="115"/>
      <c r="C61" s="112" t="s">
        <v>1504</v>
      </c>
      <c r="D61" s="1499">
        <v>7.5538118194596118</v>
      </c>
      <c r="E61" s="1499">
        <v>6.0899395800760123</v>
      </c>
      <c r="F61" s="1499">
        <v>4.9784489664139961</v>
      </c>
      <c r="G61" s="1499">
        <v>4.550623936386601</v>
      </c>
      <c r="H61" s="1499">
        <v>5.5570773237745144</v>
      </c>
      <c r="I61" s="1499">
        <v>8.4299661703742412</v>
      </c>
      <c r="J61" s="1499">
        <v>7.5085650744739283</v>
      </c>
      <c r="K61" s="113">
        <v>4.8445727891877191</v>
      </c>
    </row>
    <row r="62" spans="2:11" x14ac:dyDescent="0.3">
      <c r="B62" s="115"/>
      <c r="C62" s="112" t="s">
        <v>1508</v>
      </c>
      <c r="D62" s="1499">
        <v>7.5183211727631809</v>
      </c>
      <c r="E62" s="1499">
        <v>6.0544489333795815</v>
      </c>
      <c r="F62" s="1499">
        <v>4.9429583197175671</v>
      </c>
      <c r="G62" s="1499">
        <v>4.515133289690171</v>
      </c>
      <c r="H62" s="1499">
        <v>5.5215866770780844</v>
      </c>
      <c r="I62" s="1499">
        <v>8.3944755236778104</v>
      </c>
      <c r="J62" s="1499">
        <v>7.4730744277774983</v>
      </c>
      <c r="K62" s="113">
        <v>4.8090821424912891</v>
      </c>
    </row>
    <row r="63" spans="2:11" x14ac:dyDescent="0.3">
      <c r="B63" s="115"/>
      <c r="C63" s="112" t="s">
        <v>1513</v>
      </c>
      <c r="D63" s="1499">
        <v>7.4650852027185364</v>
      </c>
      <c r="E63" s="1499">
        <v>6.0012129633349369</v>
      </c>
      <c r="F63" s="1499">
        <v>4.8897223496729216</v>
      </c>
      <c r="G63" s="1499">
        <v>4.4618973196455256</v>
      </c>
      <c r="H63" s="1499">
        <v>5.468350707033439</v>
      </c>
      <c r="I63" s="1499">
        <v>8.341239553633164</v>
      </c>
      <c r="J63" s="1499">
        <v>7.4198384577328529</v>
      </c>
      <c r="K63" s="113">
        <v>4.7558461724466445</v>
      </c>
    </row>
    <row r="64" spans="2:11" x14ac:dyDescent="0.3">
      <c r="B64" s="115"/>
      <c r="C64" s="112" t="s">
        <v>1517</v>
      </c>
      <c r="D64" s="1499">
        <v>7.411849232673891</v>
      </c>
      <c r="E64" s="1499">
        <v>5.9479769932902915</v>
      </c>
      <c r="F64" s="1499">
        <v>4.8364863796282762</v>
      </c>
      <c r="G64" s="1499">
        <v>4.4086613496008802</v>
      </c>
      <c r="H64" s="1499">
        <v>5.4151147369887935</v>
      </c>
      <c r="I64" s="1499">
        <v>8.2880035835885195</v>
      </c>
      <c r="J64" s="1499">
        <v>7.3666024876882084</v>
      </c>
      <c r="K64" s="113">
        <v>4.7026102024019991</v>
      </c>
    </row>
    <row r="65" spans="2:11" ht="14.5" thickBot="1" x14ac:dyDescent="0.35">
      <c r="B65" s="1233"/>
      <c r="C65" s="116" t="s">
        <v>1519</v>
      </c>
      <c r="D65" s="117">
        <v>7.627588478511595</v>
      </c>
      <c r="E65" s="117">
        <v>6.1685646497148348</v>
      </c>
      <c r="F65" s="117">
        <v>5.0557945135947184</v>
      </c>
      <c r="G65" s="117">
        <v>4.6295280009149433</v>
      </c>
      <c r="H65" s="117">
        <v>5.633645741084421</v>
      </c>
      <c r="I65" s="117">
        <v>8.5059543610889179</v>
      </c>
      <c r="J65" s="117">
        <v>7.585772286637595</v>
      </c>
      <c r="K65" s="118">
        <v>4.9236863732071194</v>
      </c>
    </row>
    <row r="66" spans="2:11" x14ac:dyDescent="0.3">
      <c r="B66" s="119" t="s">
        <v>1983</v>
      </c>
      <c r="C66" s="108" t="s">
        <v>1416</v>
      </c>
      <c r="D66" s="109">
        <v>6.8452628107020193</v>
      </c>
      <c r="E66" s="109">
        <v>5.3647358275602093</v>
      </c>
      <c r="F66" s="109">
        <v>4.2426492163815759</v>
      </c>
      <c r="G66" s="109">
        <v>3.8081284831968283</v>
      </c>
      <c r="H66" s="109">
        <v>4.8326956128245042</v>
      </c>
      <c r="I66" s="109">
        <v>7.7408934214241212</v>
      </c>
      <c r="J66" s="109">
        <v>6.8037046861875075</v>
      </c>
      <c r="K66" s="110">
        <v>4.1041422232627811</v>
      </c>
    </row>
    <row r="67" spans="2:11" x14ac:dyDescent="0.3">
      <c r="B67" s="111"/>
      <c r="C67" s="112" t="s">
        <v>1483</v>
      </c>
      <c r="D67" s="1499">
        <v>7.1986342104493142</v>
      </c>
      <c r="E67" s="1499">
        <v>5.7396103816525539</v>
      </c>
      <c r="F67" s="1499">
        <v>4.6268402455324384</v>
      </c>
      <c r="G67" s="1499">
        <v>4.2005737328526642</v>
      </c>
      <c r="H67" s="1499">
        <v>5.204691473022141</v>
      </c>
      <c r="I67" s="1499">
        <v>8.077000093026637</v>
      </c>
      <c r="J67" s="1499">
        <v>7.156818018575315</v>
      </c>
      <c r="K67" s="113">
        <v>4.4947321051448395</v>
      </c>
    </row>
    <row r="68" spans="2:11" x14ac:dyDescent="0.3">
      <c r="B68" s="111" t="s">
        <v>1981</v>
      </c>
      <c r="C68" s="112" t="s">
        <v>1489</v>
      </c>
      <c r="D68" s="1499">
        <v>7.1565309218807771</v>
      </c>
      <c r="E68" s="1499">
        <v>5.6975070930840168</v>
      </c>
      <c r="F68" s="1499">
        <v>4.5847369569639023</v>
      </c>
      <c r="G68" s="1499">
        <v>4.1584704442841272</v>
      </c>
      <c r="H68" s="1499">
        <v>5.1625881844536048</v>
      </c>
      <c r="I68" s="1499">
        <v>8.0348968044581</v>
      </c>
      <c r="J68" s="1499">
        <v>7.1147147300067779</v>
      </c>
      <c r="K68" s="113">
        <v>4.4526288165763024</v>
      </c>
    </row>
    <row r="69" spans="2:11" x14ac:dyDescent="0.3">
      <c r="B69" s="114">
        <v>0</v>
      </c>
      <c r="C69" s="112" t="s">
        <v>1496</v>
      </c>
      <c r="D69" s="1499">
        <v>7.0933759890279733</v>
      </c>
      <c r="E69" s="1499">
        <v>5.634352160231213</v>
      </c>
      <c r="F69" s="1499">
        <v>4.5215820241110976</v>
      </c>
      <c r="G69" s="1499">
        <v>4.0953155114313224</v>
      </c>
      <c r="H69" s="1499">
        <v>5.0994332516008001</v>
      </c>
      <c r="I69" s="1499">
        <v>7.9717418716052961</v>
      </c>
      <c r="J69" s="1499">
        <v>7.0515597971539732</v>
      </c>
      <c r="K69" s="113">
        <v>4.3894738837234977</v>
      </c>
    </row>
    <row r="70" spans="2:11" x14ac:dyDescent="0.3">
      <c r="B70" s="115"/>
      <c r="C70" s="112" t="s">
        <v>1500</v>
      </c>
      <c r="D70" s="1499">
        <v>7.0302210561751686</v>
      </c>
      <c r="E70" s="1499">
        <v>5.5711972273784083</v>
      </c>
      <c r="F70" s="1499">
        <v>4.4584270912582928</v>
      </c>
      <c r="G70" s="1499">
        <v>4.0321605785785177</v>
      </c>
      <c r="H70" s="1499">
        <v>5.0362783187479954</v>
      </c>
      <c r="I70" s="1499">
        <v>7.9085869387524923</v>
      </c>
      <c r="J70" s="1499">
        <v>6.9884048643011694</v>
      </c>
      <c r="K70" s="113">
        <v>4.326318950870693</v>
      </c>
    </row>
    <row r="71" spans="2:11" x14ac:dyDescent="0.3">
      <c r="B71" s="115"/>
      <c r="C71" s="112" t="s">
        <v>1504</v>
      </c>
      <c r="D71" s="1499">
        <v>7.1248575513973309</v>
      </c>
      <c r="E71" s="1499">
        <v>5.6609853120137315</v>
      </c>
      <c r="F71" s="1499">
        <v>4.549494698351717</v>
      </c>
      <c r="G71" s="1499">
        <v>4.121669668324321</v>
      </c>
      <c r="H71" s="1499">
        <v>5.1281230557122344</v>
      </c>
      <c r="I71" s="1499">
        <v>8.0010119023119604</v>
      </c>
      <c r="J71" s="1499">
        <v>7.0796108064116483</v>
      </c>
      <c r="K71" s="113">
        <v>4.4156185211254391</v>
      </c>
    </row>
    <row r="72" spans="2:11" x14ac:dyDescent="0.3">
      <c r="B72" s="115"/>
      <c r="C72" s="112" t="s">
        <v>1508</v>
      </c>
      <c r="D72" s="1499">
        <v>7.0893669047009009</v>
      </c>
      <c r="E72" s="1499">
        <v>5.6254946653173015</v>
      </c>
      <c r="F72" s="1499">
        <v>4.5140040516552871</v>
      </c>
      <c r="G72" s="1499">
        <v>4.086179021627891</v>
      </c>
      <c r="H72" s="1499">
        <v>5.0926324090158044</v>
      </c>
      <c r="I72" s="1499">
        <v>7.9655212556155295</v>
      </c>
      <c r="J72" s="1499">
        <v>7.0441201597152174</v>
      </c>
      <c r="K72" s="113">
        <v>4.3801278744290091</v>
      </c>
    </row>
    <row r="73" spans="2:11" x14ac:dyDescent="0.3">
      <c r="B73" s="115"/>
      <c r="C73" s="112" t="s">
        <v>1513</v>
      </c>
      <c r="D73" s="1499">
        <v>7.0361309346562555</v>
      </c>
      <c r="E73" s="1499">
        <v>5.5722586952726569</v>
      </c>
      <c r="F73" s="1499">
        <v>4.4607680816106416</v>
      </c>
      <c r="G73" s="1499">
        <v>4.0329430515832456</v>
      </c>
      <c r="H73" s="1499">
        <v>5.039396438971159</v>
      </c>
      <c r="I73" s="1499">
        <v>7.9122852855708841</v>
      </c>
      <c r="J73" s="1499">
        <v>6.9908841896705729</v>
      </c>
      <c r="K73" s="113">
        <v>4.3268919043843646</v>
      </c>
    </row>
    <row r="74" spans="2:11" x14ac:dyDescent="0.3">
      <c r="B74" s="115"/>
      <c r="C74" s="112" t="s">
        <v>1517</v>
      </c>
      <c r="D74" s="1499">
        <v>6.9828949646116101</v>
      </c>
      <c r="E74" s="1499">
        <v>5.5190227252280106</v>
      </c>
      <c r="F74" s="1499">
        <v>4.4075321115659962</v>
      </c>
      <c r="G74" s="1499">
        <v>3.9797070815386006</v>
      </c>
      <c r="H74" s="1499">
        <v>4.9861604689265144</v>
      </c>
      <c r="I74" s="1499">
        <v>7.8590493155262395</v>
      </c>
      <c r="J74" s="1499">
        <v>6.9376482196259275</v>
      </c>
      <c r="K74" s="113">
        <v>4.2736559343397191</v>
      </c>
    </row>
    <row r="75" spans="2:11" ht="14.5" thickBot="1" x14ac:dyDescent="0.35">
      <c r="B75" s="1233"/>
      <c r="C75" s="116" t="s">
        <v>1519</v>
      </c>
      <c r="D75" s="117">
        <v>7.1986342104493142</v>
      </c>
      <c r="E75" s="117">
        <v>5.7396103816525539</v>
      </c>
      <c r="F75" s="117">
        <v>4.6268402455324384</v>
      </c>
      <c r="G75" s="117">
        <v>4.2005737328526642</v>
      </c>
      <c r="H75" s="117">
        <v>5.204691473022141</v>
      </c>
      <c r="I75" s="117">
        <v>8.077000093026637</v>
      </c>
      <c r="J75" s="117">
        <v>7.156818018575315</v>
      </c>
      <c r="K75" s="118">
        <v>4.4947321051448395</v>
      </c>
    </row>
    <row r="76" spans="2:11" x14ac:dyDescent="0.3">
      <c r="B76" s="119" t="s">
        <v>1983</v>
      </c>
      <c r="C76" s="108" t="s">
        <v>1416</v>
      </c>
      <c r="D76" s="109">
        <v>6.4163085426397402</v>
      </c>
      <c r="E76" s="109">
        <v>4.9357815594979293</v>
      </c>
      <c r="F76" s="109">
        <v>3.8136949483192955</v>
      </c>
      <c r="G76" s="109">
        <v>3.3791742151345474</v>
      </c>
      <c r="H76" s="109">
        <v>4.4037413447622233</v>
      </c>
      <c r="I76" s="109">
        <v>7.3119391533618421</v>
      </c>
      <c r="J76" s="109">
        <v>6.3747504181252275</v>
      </c>
      <c r="K76" s="110">
        <v>3.6751879552005002</v>
      </c>
    </row>
    <row r="77" spans="2:11" x14ac:dyDescent="0.3">
      <c r="B77" s="111"/>
      <c r="C77" s="112" t="s">
        <v>1483</v>
      </c>
      <c r="D77" s="1499">
        <v>6.7696799423870333</v>
      </c>
      <c r="E77" s="1499">
        <v>5.310656113590273</v>
      </c>
      <c r="F77" s="1499">
        <v>4.1978859774701576</v>
      </c>
      <c r="G77" s="1499">
        <v>3.7716194647903833</v>
      </c>
      <c r="H77" s="1499">
        <v>4.775737204959861</v>
      </c>
      <c r="I77" s="1499">
        <v>7.648045824964357</v>
      </c>
      <c r="J77" s="1499">
        <v>6.7278637505130341</v>
      </c>
      <c r="K77" s="113">
        <v>4.0657778370825595</v>
      </c>
    </row>
    <row r="78" spans="2:11" x14ac:dyDescent="0.3">
      <c r="B78" s="111" t="s">
        <v>1982</v>
      </c>
      <c r="C78" s="112" t="s">
        <v>1489</v>
      </c>
      <c r="D78" s="1499">
        <v>6.727576653818498</v>
      </c>
      <c r="E78" s="1499">
        <v>5.2685528250217377</v>
      </c>
      <c r="F78" s="1499">
        <v>4.1557826889016223</v>
      </c>
      <c r="G78" s="1499">
        <v>3.7295161762218476</v>
      </c>
      <c r="H78" s="1499">
        <v>4.7336339163913239</v>
      </c>
      <c r="I78" s="1499">
        <v>7.6059425363958217</v>
      </c>
      <c r="J78" s="1499">
        <v>6.6857604619444979</v>
      </c>
      <c r="K78" s="113">
        <v>4.0236745485140224</v>
      </c>
    </row>
    <row r="79" spans="2:11" x14ac:dyDescent="0.3">
      <c r="B79" s="114">
        <v>0</v>
      </c>
      <c r="C79" s="112" t="s">
        <v>1496</v>
      </c>
      <c r="D79" s="1499">
        <v>6.6644217209656924</v>
      </c>
      <c r="E79" s="1499">
        <v>5.205397892168933</v>
      </c>
      <c r="F79" s="1499">
        <v>4.0926277560488176</v>
      </c>
      <c r="G79" s="1499">
        <v>3.6663612433690429</v>
      </c>
      <c r="H79" s="1499">
        <v>4.6704789835385201</v>
      </c>
      <c r="I79" s="1499">
        <v>7.5427876035430161</v>
      </c>
      <c r="J79" s="1499">
        <v>6.6226055290916932</v>
      </c>
      <c r="K79" s="113">
        <v>3.9605196156612181</v>
      </c>
    </row>
    <row r="80" spans="2:11" x14ac:dyDescent="0.3">
      <c r="B80" s="115"/>
      <c r="C80" s="112" t="s">
        <v>1500</v>
      </c>
      <c r="D80" s="1499">
        <v>6.6012667881128886</v>
      </c>
      <c r="E80" s="1499">
        <v>5.1422429593161283</v>
      </c>
      <c r="F80" s="1499">
        <v>4.0294728231960129</v>
      </c>
      <c r="G80" s="1499">
        <v>3.6032063105162377</v>
      </c>
      <c r="H80" s="1499">
        <v>4.6073240506857154</v>
      </c>
      <c r="I80" s="1499">
        <v>7.4796326706902114</v>
      </c>
      <c r="J80" s="1499">
        <v>6.5594505962388885</v>
      </c>
      <c r="K80" s="113">
        <v>3.8973646828084134</v>
      </c>
    </row>
    <row r="81" spans="2:11" x14ac:dyDescent="0.3">
      <c r="B81" s="115"/>
      <c r="C81" s="112" t="s">
        <v>1504</v>
      </c>
      <c r="D81" s="1499">
        <v>6.6959032833350518</v>
      </c>
      <c r="E81" s="1499">
        <v>5.2320310439514515</v>
      </c>
      <c r="F81" s="1499">
        <v>4.1205404302894371</v>
      </c>
      <c r="G81" s="1499">
        <v>3.6927154002620406</v>
      </c>
      <c r="H81" s="1499">
        <v>4.6991687876499544</v>
      </c>
      <c r="I81" s="1499">
        <v>7.5720576342496795</v>
      </c>
      <c r="J81" s="1499">
        <v>6.6506565383493692</v>
      </c>
      <c r="K81" s="113">
        <v>3.9866642530631595</v>
      </c>
    </row>
    <row r="82" spans="2:11" x14ac:dyDescent="0.3">
      <c r="B82" s="115"/>
      <c r="C82" s="112" t="s">
        <v>1508</v>
      </c>
      <c r="D82" s="1499">
        <v>6.6604126366386209</v>
      </c>
      <c r="E82" s="1499">
        <v>5.1965403972550215</v>
      </c>
      <c r="F82" s="1499">
        <v>4.0850497835930062</v>
      </c>
      <c r="G82" s="1499">
        <v>3.6572247535656102</v>
      </c>
      <c r="H82" s="1499">
        <v>4.6636781409535235</v>
      </c>
      <c r="I82" s="1499">
        <v>7.5365669875532504</v>
      </c>
      <c r="J82" s="1499">
        <v>6.6151658916529383</v>
      </c>
      <c r="K82" s="113">
        <v>3.9511736063667295</v>
      </c>
    </row>
    <row r="83" spans="2:11" x14ac:dyDescent="0.3">
      <c r="B83" s="115"/>
      <c r="C83" s="112" t="s">
        <v>1513</v>
      </c>
      <c r="D83" s="1499">
        <v>6.6071766665939764</v>
      </c>
      <c r="E83" s="1499">
        <v>5.143304427210377</v>
      </c>
      <c r="F83" s="1499">
        <v>4.0318138135483608</v>
      </c>
      <c r="G83" s="1499">
        <v>3.6039887835209652</v>
      </c>
      <c r="H83" s="1499">
        <v>4.610442170908879</v>
      </c>
      <c r="I83" s="1499">
        <v>7.483331017508605</v>
      </c>
      <c r="J83" s="1499">
        <v>6.5619299216082929</v>
      </c>
      <c r="K83" s="113">
        <v>3.8979376363220846</v>
      </c>
    </row>
    <row r="84" spans="2:11" x14ac:dyDescent="0.3">
      <c r="B84" s="115"/>
      <c r="C84" s="112" t="s">
        <v>1517</v>
      </c>
      <c r="D84" s="1499">
        <v>6.553940696549331</v>
      </c>
      <c r="E84" s="1499">
        <v>5.0900684571657306</v>
      </c>
      <c r="F84" s="1499">
        <v>3.9785778435037162</v>
      </c>
      <c r="G84" s="1499">
        <v>3.5507528134763202</v>
      </c>
      <c r="H84" s="1499">
        <v>4.5572062008642336</v>
      </c>
      <c r="I84" s="1499">
        <v>7.4300950474639595</v>
      </c>
      <c r="J84" s="1499">
        <v>6.5086939515636484</v>
      </c>
      <c r="K84" s="113">
        <v>3.8447016662774387</v>
      </c>
    </row>
    <row r="85" spans="2:11" ht="14.5" thickBot="1" x14ac:dyDescent="0.35">
      <c r="B85" s="1233"/>
      <c r="C85" s="116" t="s">
        <v>1519</v>
      </c>
      <c r="D85" s="117">
        <v>6.7696799423870333</v>
      </c>
      <c r="E85" s="117">
        <v>5.310656113590273</v>
      </c>
      <c r="F85" s="117">
        <v>4.1978859774701576</v>
      </c>
      <c r="G85" s="117">
        <v>3.7716194647903833</v>
      </c>
      <c r="H85" s="117">
        <v>4.775737204959861</v>
      </c>
      <c r="I85" s="117">
        <v>7.648045824964357</v>
      </c>
      <c r="J85" s="117">
        <v>6.7278637505130341</v>
      </c>
      <c r="K85" s="118">
        <v>4.0657778370825595</v>
      </c>
    </row>
    <row r="87" spans="2:11" ht="14.5" thickBot="1" x14ac:dyDescent="0.35"/>
    <row r="88" spans="2:11" ht="25.5" thickBot="1" x14ac:dyDescent="0.55000000000000004">
      <c r="B88" s="88" t="s">
        <v>1960</v>
      </c>
      <c r="C88" s="89"/>
      <c r="D88" s="90">
        <v>6</v>
      </c>
      <c r="E88" s="91" t="s">
        <v>1984</v>
      </c>
      <c r="F88" s="92"/>
      <c r="G88" s="92"/>
      <c r="H88" s="92"/>
      <c r="I88" s="93"/>
      <c r="J88" s="89" t="s">
        <v>176</v>
      </c>
      <c r="K88" s="94" t="s">
        <v>243</v>
      </c>
    </row>
    <row r="89" spans="2:11" ht="14.5" thickBot="1" x14ac:dyDescent="0.35">
      <c r="B89" s="95" t="s">
        <v>1962</v>
      </c>
      <c r="C89" s="96" t="s">
        <v>1963</v>
      </c>
      <c r="D89" s="95" t="s">
        <v>1964</v>
      </c>
      <c r="E89" s="97" t="s">
        <v>1965</v>
      </c>
      <c r="F89" s="97" t="s">
        <v>1966</v>
      </c>
      <c r="G89" s="97" t="s">
        <v>1967</v>
      </c>
      <c r="H89" s="97" t="s">
        <v>1968</v>
      </c>
      <c r="I89" s="97" t="s">
        <v>1969</v>
      </c>
      <c r="J89" s="97" t="s">
        <v>1970</v>
      </c>
      <c r="K89" s="98" t="s">
        <v>1971</v>
      </c>
    </row>
    <row r="90" spans="2:11" ht="14.5" thickBot="1" x14ac:dyDescent="0.35">
      <c r="B90" s="99"/>
      <c r="C90" s="99"/>
      <c r="D90" s="100"/>
      <c r="E90" s="944"/>
      <c r="F90" s="944"/>
      <c r="G90" s="944"/>
      <c r="H90" s="944"/>
      <c r="I90" s="944"/>
      <c r="J90" s="944"/>
      <c r="K90" s="102"/>
    </row>
    <row r="91" spans="2:11" ht="90.5" thickBot="1" x14ac:dyDescent="0.45">
      <c r="B91" s="103" t="s">
        <v>1972</v>
      </c>
      <c r="C91" s="103" t="s">
        <v>1973</v>
      </c>
      <c r="D91" s="105" t="s">
        <v>1974</v>
      </c>
      <c r="E91" s="105" t="s">
        <v>1525</v>
      </c>
      <c r="F91" s="105" t="s">
        <v>1527</v>
      </c>
      <c r="G91" s="105" t="s">
        <v>1975</v>
      </c>
      <c r="H91" s="105" t="s">
        <v>1976</v>
      </c>
      <c r="I91" s="105" t="s">
        <v>1445</v>
      </c>
      <c r="J91" s="105" t="s">
        <v>1538</v>
      </c>
      <c r="K91" s="106" t="s">
        <v>1541</v>
      </c>
    </row>
    <row r="92" spans="2:11" x14ac:dyDescent="0.3">
      <c r="B92" s="107" t="s">
        <v>1985</v>
      </c>
      <c r="C92" s="108" t="s">
        <v>1416</v>
      </c>
      <c r="D92" s="109">
        <v>5.0826683178994001</v>
      </c>
      <c r="E92" s="109">
        <v>3.3692446556907671</v>
      </c>
      <c r="F92" s="109">
        <v>2.5521641061136342</v>
      </c>
      <c r="G92" s="109">
        <v>2.0261173684472462</v>
      </c>
      <c r="H92" s="109">
        <v>3.0643800087721447</v>
      </c>
      <c r="I92" s="109">
        <v>5.5570326932417293</v>
      </c>
      <c r="J92" s="109">
        <v>4.6742517779324784</v>
      </c>
      <c r="K92" s="110">
        <v>2.2600162417771488</v>
      </c>
    </row>
    <row r="93" spans="2:11" x14ac:dyDescent="0.3">
      <c r="B93" s="111"/>
      <c r="C93" s="112" t="s">
        <v>1483</v>
      </c>
      <c r="D93" s="1499">
        <v>5.440433382417373</v>
      </c>
      <c r="E93" s="1499">
        <v>3.7498576190225275</v>
      </c>
      <c r="F93" s="1499">
        <v>2.9067691585436402</v>
      </c>
      <c r="G93" s="1499">
        <v>2.3969182951266932</v>
      </c>
      <c r="H93" s="1499">
        <v>3.4244270496280254</v>
      </c>
      <c r="I93" s="1499">
        <v>5.9312459128474364</v>
      </c>
      <c r="J93" s="1499">
        <v>5.0548871457042699</v>
      </c>
      <c r="K93" s="113">
        <v>2.6429263392537572</v>
      </c>
    </row>
    <row r="94" spans="2:11" x14ac:dyDescent="0.3">
      <c r="B94" s="111" t="s">
        <v>1986</v>
      </c>
      <c r="C94" s="112" t="s">
        <v>1489</v>
      </c>
      <c r="D94" s="1499">
        <v>5.3983300938488368</v>
      </c>
      <c r="E94" s="1499">
        <v>3.7077543304539908</v>
      </c>
      <c r="F94" s="1499">
        <v>2.8646658699751035</v>
      </c>
      <c r="G94" s="1499">
        <v>2.3548150065581566</v>
      </c>
      <c r="H94" s="1499">
        <v>3.3823237610594887</v>
      </c>
      <c r="I94" s="1499">
        <v>5.8891426242788993</v>
      </c>
      <c r="J94" s="1499">
        <v>5.0127838571357337</v>
      </c>
      <c r="K94" s="113">
        <v>2.6008230506852206</v>
      </c>
    </row>
    <row r="95" spans="2:11" x14ac:dyDescent="0.3">
      <c r="B95" s="114">
        <v>0</v>
      </c>
      <c r="C95" s="112" t="s">
        <v>1496</v>
      </c>
      <c r="D95" s="1499">
        <v>5.3351751609960312</v>
      </c>
      <c r="E95" s="1499">
        <v>3.6445993976011861</v>
      </c>
      <c r="F95" s="1499">
        <v>2.8015109371222988</v>
      </c>
      <c r="G95" s="1499">
        <v>2.2916600737053523</v>
      </c>
      <c r="H95" s="1499">
        <v>3.319168828206684</v>
      </c>
      <c r="I95" s="1499">
        <v>5.8259876914260946</v>
      </c>
      <c r="J95" s="1499">
        <v>4.9496289242829281</v>
      </c>
      <c r="K95" s="113">
        <v>2.5376681178324163</v>
      </c>
    </row>
    <row r="96" spans="2:11" x14ac:dyDescent="0.3">
      <c r="B96" s="115"/>
      <c r="C96" s="112" t="s">
        <v>1500</v>
      </c>
      <c r="D96" s="1499">
        <v>5.2720202281432265</v>
      </c>
      <c r="E96" s="1499">
        <v>3.5814444647483814</v>
      </c>
      <c r="F96" s="1499">
        <v>2.7383560042694941</v>
      </c>
      <c r="G96" s="1499">
        <v>2.2285051408525471</v>
      </c>
      <c r="H96" s="1499">
        <v>3.2560138953538793</v>
      </c>
      <c r="I96" s="1499">
        <v>5.7628327585732908</v>
      </c>
      <c r="J96" s="1499">
        <v>4.8864739914301234</v>
      </c>
      <c r="K96" s="113">
        <v>2.4745131849796111</v>
      </c>
    </row>
    <row r="97" spans="2:11" x14ac:dyDescent="0.3">
      <c r="B97" s="115"/>
      <c r="C97" s="112" t="s">
        <v>1504</v>
      </c>
      <c r="D97" s="1499">
        <v>5.3694426538081172</v>
      </c>
      <c r="E97" s="1499">
        <v>3.6720217119754341</v>
      </c>
      <c r="F97" s="1499">
        <v>2.8350952329124461</v>
      </c>
      <c r="G97" s="1499">
        <v>2.3179001096155094</v>
      </c>
      <c r="H97" s="1499">
        <v>3.3516438884234199</v>
      </c>
      <c r="I97" s="1499">
        <v>5.8538327525456371</v>
      </c>
      <c r="J97" s="1499">
        <v>4.9781895065986204</v>
      </c>
      <c r="K97" s="113">
        <v>2.565399900158174</v>
      </c>
    </row>
    <row r="98" spans="2:11" x14ac:dyDescent="0.3">
      <c r="B98" s="115"/>
      <c r="C98" s="112" t="s">
        <v>1508</v>
      </c>
      <c r="D98" s="1499">
        <v>5.3339520071116873</v>
      </c>
      <c r="E98" s="1499">
        <v>3.6365310652790042</v>
      </c>
      <c r="F98" s="1499">
        <v>2.7996045862160157</v>
      </c>
      <c r="G98" s="1499">
        <v>2.282409462919079</v>
      </c>
      <c r="H98" s="1499">
        <v>3.3161532417269899</v>
      </c>
      <c r="I98" s="1499">
        <v>5.8183421058492062</v>
      </c>
      <c r="J98" s="1499">
        <v>4.9426988599021904</v>
      </c>
      <c r="K98" s="113">
        <v>2.529909253461744</v>
      </c>
    </row>
    <row r="99" spans="2:11" x14ac:dyDescent="0.3">
      <c r="B99" s="115"/>
      <c r="C99" s="112" t="s">
        <v>1513</v>
      </c>
      <c r="D99" s="1499">
        <v>5.2807160370670418</v>
      </c>
      <c r="E99" s="1499">
        <v>3.5832950952343583</v>
      </c>
      <c r="F99" s="1499">
        <v>2.7463686161713707</v>
      </c>
      <c r="G99" s="1499">
        <v>2.229173492874434</v>
      </c>
      <c r="H99" s="1499">
        <v>3.2629172716823449</v>
      </c>
      <c r="I99" s="1499">
        <v>5.7651061358045617</v>
      </c>
      <c r="J99" s="1499">
        <v>4.889462889857545</v>
      </c>
      <c r="K99" s="113">
        <v>2.476673283417099</v>
      </c>
    </row>
    <row r="100" spans="2:11" x14ac:dyDescent="0.3">
      <c r="B100" s="115"/>
      <c r="C100" s="112" t="s">
        <v>1517</v>
      </c>
      <c r="D100" s="1499">
        <v>5.2274800670223964</v>
      </c>
      <c r="E100" s="1499">
        <v>3.5300591251897133</v>
      </c>
      <c r="F100" s="1499">
        <v>2.6931326461267258</v>
      </c>
      <c r="G100" s="1499">
        <v>2.175937522829789</v>
      </c>
      <c r="H100" s="1499">
        <v>3.209681301637699</v>
      </c>
      <c r="I100" s="1499">
        <v>5.7118701657599162</v>
      </c>
      <c r="J100" s="1499">
        <v>4.8362269198128995</v>
      </c>
      <c r="K100" s="113">
        <v>2.423437313372454</v>
      </c>
    </row>
    <row r="101" spans="2:11" ht="14.5" thickBot="1" x14ac:dyDescent="0.35">
      <c r="B101" s="115"/>
      <c r="C101" s="116" t="s">
        <v>1519</v>
      </c>
      <c r="D101" s="117">
        <v>5.440433382417373</v>
      </c>
      <c r="E101" s="117">
        <v>3.7498576190225275</v>
      </c>
      <c r="F101" s="117">
        <v>2.9067691585436402</v>
      </c>
      <c r="G101" s="117">
        <v>2.3969182951266932</v>
      </c>
      <c r="H101" s="117">
        <v>3.4244270496280254</v>
      </c>
      <c r="I101" s="117">
        <v>5.9312459128474364</v>
      </c>
      <c r="J101" s="117">
        <v>5.0548871457042699</v>
      </c>
      <c r="K101" s="118">
        <v>2.6429263392537572</v>
      </c>
    </row>
    <row r="102" spans="2:11" x14ac:dyDescent="0.3">
      <c r="B102" s="120" t="s">
        <v>1985</v>
      </c>
      <c r="C102" s="1234" t="s">
        <v>1416</v>
      </c>
      <c r="D102" s="109">
        <v>4.9338779026668105</v>
      </c>
      <c r="E102" s="109">
        <v>3.2204542404581775</v>
      </c>
      <c r="F102" s="109">
        <v>2.403373690881045</v>
      </c>
      <c r="G102" s="109">
        <v>1.877326953214657</v>
      </c>
      <c r="H102" s="109">
        <v>2.915589593539555</v>
      </c>
      <c r="I102" s="109">
        <v>5.4082422780091397</v>
      </c>
      <c r="J102" s="109">
        <v>4.5254613626998887</v>
      </c>
      <c r="K102" s="110">
        <v>2.1112258265445596</v>
      </c>
    </row>
    <row r="103" spans="2:11" x14ac:dyDescent="0.3">
      <c r="B103" s="121"/>
      <c r="C103" s="1500" t="s">
        <v>1483</v>
      </c>
      <c r="D103" s="1499">
        <v>5.2916429671847833</v>
      </c>
      <c r="E103" s="1499">
        <v>3.6010672037899378</v>
      </c>
      <c r="F103" s="1499">
        <v>2.7579787433110505</v>
      </c>
      <c r="G103" s="1499">
        <v>2.248127879894104</v>
      </c>
      <c r="H103" s="1499">
        <v>3.2756366343954357</v>
      </c>
      <c r="I103" s="1499">
        <v>5.7824554976148468</v>
      </c>
      <c r="J103" s="1499">
        <v>4.9060967304716803</v>
      </c>
      <c r="K103" s="113">
        <v>2.494135924021168</v>
      </c>
    </row>
    <row r="104" spans="2:11" x14ac:dyDescent="0.3">
      <c r="B104" s="111" t="s">
        <v>1987</v>
      </c>
      <c r="C104" s="1500" t="s">
        <v>1489</v>
      </c>
      <c r="D104" s="1499">
        <v>5.2495396786162472</v>
      </c>
      <c r="E104" s="1499">
        <v>3.5589639152214012</v>
      </c>
      <c r="F104" s="1499">
        <v>2.7158754547425143</v>
      </c>
      <c r="G104" s="1499">
        <v>2.2060245913255674</v>
      </c>
      <c r="H104" s="1499">
        <v>3.2335333458268991</v>
      </c>
      <c r="I104" s="1499">
        <v>5.7403522090463097</v>
      </c>
      <c r="J104" s="1499">
        <v>4.8639934419031441</v>
      </c>
      <c r="K104" s="113">
        <v>2.4520326354526314</v>
      </c>
    </row>
    <row r="105" spans="2:11" x14ac:dyDescent="0.3">
      <c r="B105" s="122">
        <v>0</v>
      </c>
      <c r="C105" s="1500" t="s">
        <v>1496</v>
      </c>
      <c r="D105" s="1499">
        <v>5.1863847457634424</v>
      </c>
      <c r="E105" s="1499">
        <v>3.4958089823685965</v>
      </c>
      <c r="F105" s="1499">
        <v>2.6527205218897096</v>
      </c>
      <c r="G105" s="1499">
        <v>2.1428696584727631</v>
      </c>
      <c r="H105" s="1499">
        <v>3.1703784129740944</v>
      </c>
      <c r="I105" s="1499">
        <v>5.6771972761935059</v>
      </c>
      <c r="J105" s="1499">
        <v>4.8008385090503394</v>
      </c>
      <c r="K105" s="113">
        <v>2.3888777025998271</v>
      </c>
    </row>
    <row r="106" spans="2:11" x14ac:dyDescent="0.3">
      <c r="B106" s="123"/>
      <c r="C106" s="1500" t="s">
        <v>1500</v>
      </c>
      <c r="D106" s="1499">
        <v>5.1232298129106377</v>
      </c>
      <c r="E106" s="1499">
        <v>3.4326540495157922</v>
      </c>
      <c r="F106" s="1499">
        <v>2.5895655890369049</v>
      </c>
      <c r="G106" s="1499">
        <v>2.079714725619958</v>
      </c>
      <c r="H106" s="1499">
        <v>3.1072234801212901</v>
      </c>
      <c r="I106" s="1499">
        <v>5.6140423433407012</v>
      </c>
      <c r="J106" s="1499">
        <v>4.7376835761975347</v>
      </c>
      <c r="K106" s="113">
        <v>2.325722769747022</v>
      </c>
    </row>
    <row r="107" spans="2:11" x14ac:dyDescent="0.3">
      <c r="B107" s="123"/>
      <c r="C107" s="1500" t="s">
        <v>1504</v>
      </c>
      <c r="D107" s="1499">
        <v>5.2206522385755276</v>
      </c>
      <c r="E107" s="1499">
        <v>3.5232312967428445</v>
      </c>
      <c r="F107" s="1499">
        <v>2.686304817679857</v>
      </c>
      <c r="G107" s="1499">
        <v>2.1691096943829202</v>
      </c>
      <c r="H107" s="1499">
        <v>3.2028534731908302</v>
      </c>
      <c r="I107" s="1499">
        <v>5.7050423373130483</v>
      </c>
      <c r="J107" s="1499">
        <v>4.8293990913660307</v>
      </c>
      <c r="K107" s="113">
        <v>2.4166094849255852</v>
      </c>
    </row>
    <row r="108" spans="2:11" x14ac:dyDescent="0.3">
      <c r="B108" s="123"/>
      <c r="C108" s="1500" t="s">
        <v>1508</v>
      </c>
      <c r="D108" s="1499">
        <v>5.1851615918790985</v>
      </c>
      <c r="E108" s="1499">
        <v>3.4877406500464145</v>
      </c>
      <c r="F108" s="1499">
        <v>2.6508141709834265</v>
      </c>
      <c r="G108" s="1499">
        <v>2.1336190476864898</v>
      </c>
      <c r="H108" s="1499">
        <v>3.1673628264944003</v>
      </c>
      <c r="I108" s="1499">
        <v>5.6695516906166175</v>
      </c>
      <c r="J108" s="1499">
        <v>4.7939084446696008</v>
      </c>
      <c r="K108" s="113">
        <v>2.3811188382291548</v>
      </c>
    </row>
    <row r="109" spans="2:11" x14ac:dyDescent="0.3">
      <c r="B109" s="123"/>
      <c r="C109" s="1500" t="s">
        <v>1513</v>
      </c>
      <c r="D109" s="1499">
        <v>5.1319256218344531</v>
      </c>
      <c r="E109" s="1499">
        <v>3.4345046800017696</v>
      </c>
      <c r="F109" s="1499">
        <v>2.5975782009387816</v>
      </c>
      <c r="G109" s="1499">
        <v>2.0803830776418448</v>
      </c>
      <c r="H109" s="1499">
        <v>3.1141268564497553</v>
      </c>
      <c r="I109" s="1499">
        <v>5.6163157205719729</v>
      </c>
      <c r="J109" s="1499">
        <v>4.7406724746249553</v>
      </c>
      <c r="K109" s="113">
        <v>2.3278828681845098</v>
      </c>
    </row>
    <row r="110" spans="2:11" x14ac:dyDescent="0.3">
      <c r="B110" s="123"/>
      <c r="C110" s="1500" t="s">
        <v>1517</v>
      </c>
      <c r="D110" s="1499">
        <v>5.0786896517898077</v>
      </c>
      <c r="E110" s="1499">
        <v>3.3812687099571246</v>
      </c>
      <c r="F110" s="1499">
        <v>2.5443422308941366</v>
      </c>
      <c r="G110" s="1499">
        <v>2.0271471075971998</v>
      </c>
      <c r="H110" s="1499">
        <v>3.0608908864051103</v>
      </c>
      <c r="I110" s="1499">
        <v>5.5630797505273275</v>
      </c>
      <c r="J110" s="1499">
        <v>4.6874365045803108</v>
      </c>
      <c r="K110" s="113">
        <v>2.2746468981398649</v>
      </c>
    </row>
    <row r="111" spans="2:11" ht="14.5" thickBot="1" x14ac:dyDescent="0.35">
      <c r="B111" s="124"/>
      <c r="C111" s="125" t="s">
        <v>1519</v>
      </c>
      <c r="D111" s="117">
        <v>5.2916429671847833</v>
      </c>
      <c r="E111" s="117">
        <v>3.6010672037899378</v>
      </c>
      <c r="F111" s="117">
        <v>2.7579787433110505</v>
      </c>
      <c r="G111" s="117">
        <v>2.248127879894104</v>
      </c>
      <c r="H111" s="117">
        <v>3.2756366343954357</v>
      </c>
      <c r="I111" s="117">
        <v>5.7824554976148468</v>
      </c>
      <c r="J111" s="117">
        <v>4.9060967304716803</v>
      </c>
      <c r="K111" s="118">
        <v>2.494135924021168</v>
      </c>
    </row>
    <row r="112" spans="2:11" x14ac:dyDescent="0.3">
      <c r="B112" s="119" t="s">
        <v>1985</v>
      </c>
      <c r="C112" s="108" t="s">
        <v>1416</v>
      </c>
      <c r="D112" s="109">
        <v>4.7106922798179269</v>
      </c>
      <c r="E112" s="109">
        <v>2.9972686176092935</v>
      </c>
      <c r="F112" s="109">
        <v>2.180188068032161</v>
      </c>
      <c r="G112" s="109">
        <v>1.6541413303657733</v>
      </c>
      <c r="H112" s="109">
        <v>2.6924039706906715</v>
      </c>
      <c r="I112" s="109">
        <v>5.1850566551602562</v>
      </c>
      <c r="J112" s="109">
        <v>4.3022757398510052</v>
      </c>
      <c r="K112" s="110">
        <v>1.8880402036956758</v>
      </c>
    </row>
    <row r="113" spans="2:11" x14ac:dyDescent="0.3">
      <c r="B113" s="111"/>
      <c r="C113" s="112" t="s">
        <v>1483</v>
      </c>
      <c r="D113" s="1499">
        <v>5.0684573443358998</v>
      </c>
      <c r="E113" s="1499">
        <v>3.3778815809410538</v>
      </c>
      <c r="F113" s="1499">
        <v>2.5347931204621665</v>
      </c>
      <c r="G113" s="1499">
        <v>2.02494225704522</v>
      </c>
      <c r="H113" s="1499">
        <v>3.0524510115465517</v>
      </c>
      <c r="I113" s="1499">
        <v>5.5592698747659623</v>
      </c>
      <c r="J113" s="1499">
        <v>4.6829111076227967</v>
      </c>
      <c r="K113" s="113">
        <v>2.270950301172284</v>
      </c>
    </row>
    <row r="114" spans="2:11" ht="14.5" thickBot="1" x14ac:dyDescent="0.35">
      <c r="B114" s="111" t="s">
        <v>1988</v>
      </c>
      <c r="C114" s="112" t="s">
        <v>1489</v>
      </c>
      <c r="D114" s="1499">
        <v>5.0263540557673627</v>
      </c>
      <c r="E114" s="1499">
        <v>3.3357782923725177</v>
      </c>
      <c r="F114" s="1501">
        <v>2.4926898318936304</v>
      </c>
      <c r="G114" s="1499">
        <v>1.9828389684766836</v>
      </c>
      <c r="H114" s="1499">
        <v>3.0103477229780156</v>
      </c>
      <c r="I114" s="1499">
        <v>5.5171665861974262</v>
      </c>
      <c r="J114" s="1499">
        <v>4.6408078190542597</v>
      </c>
      <c r="K114" s="113">
        <v>2.2288470126037478</v>
      </c>
    </row>
    <row r="115" spans="2:11" ht="14.5" thickBot="1" x14ac:dyDescent="0.35">
      <c r="B115" s="114">
        <v>0</v>
      </c>
      <c r="C115" s="112" t="s">
        <v>1496</v>
      </c>
      <c r="D115" s="1499">
        <v>4.963199122914558</v>
      </c>
      <c r="E115" s="1502">
        <v>3.2726233595197125</v>
      </c>
      <c r="F115" s="126">
        <v>2.4295348990408256</v>
      </c>
      <c r="G115" s="1503">
        <v>1.9196840356238789</v>
      </c>
      <c r="H115" s="1499">
        <v>2.9471927901252104</v>
      </c>
      <c r="I115" s="1499">
        <v>5.4540116533446215</v>
      </c>
      <c r="J115" s="1499">
        <v>4.5776528862014549</v>
      </c>
      <c r="K115" s="113">
        <v>2.1656920797509431</v>
      </c>
    </row>
    <row r="116" spans="2:11" x14ac:dyDescent="0.3">
      <c r="B116" s="115"/>
      <c r="C116" s="112" t="s">
        <v>1500</v>
      </c>
      <c r="D116" s="1499">
        <v>4.9000441900617542</v>
      </c>
      <c r="E116" s="1499">
        <v>3.2094684266669082</v>
      </c>
      <c r="F116" s="127">
        <v>2.3663799661880209</v>
      </c>
      <c r="G116" s="1499">
        <v>1.8565291027710742</v>
      </c>
      <c r="H116" s="1499">
        <v>2.8840378572724061</v>
      </c>
      <c r="I116" s="1499">
        <v>5.3908567204918167</v>
      </c>
      <c r="J116" s="1499">
        <v>4.5144979533486511</v>
      </c>
      <c r="K116" s="113">
        <v>2.1025371468981384</v>
      </c>
    </row>
    <row r="117" spans="2:11" x14ac:dyDescent="0.3">
      <c r="B117" s="115"/>
      <c r="C117" s="112" t="s">
        <v>1504</v>
      </c>
      <c r="D117" s="1499">
        <v>4.9974666157266441</v>
      </c>
      <c r="E117" s="1499">
        <v>3.3000456738939605</v>
      </c>
      <c r="F117" s="1499">
        <v>2.463119194830973</v>
      </c>
      <c r="G117" s="1499">
        <v>1.9459240715340362</v>
      </c>
      <c r="H117" s="1499">
        <v>2.9796678503419471</v>
      </c>
      <c r="I117" s="1499">
        <v>5.4818567144641639</v>
      </c>
      <c r="J117" s="1499">
        <v>4.6062134685171472</v>
      </c>
      <c r="K117" s="113">
        <v>2.1934238620767013</v>
      </c>
    </row>
    <row r="118" spans="2:11" x14ac:dyDescent="0.3">
      <c r="B118" s="115"/>
      <c r="C118" s="112" t="s">
        <v>1508</v>
      </c>
      <c r="D118" s="1499">
        <v>4.9619759690302141</v>
      </c>
      <c r="E118" s="1499">
        <v>3.2645550271975305</v>
      </c>
      <c r="F118" s="1499">
        <v>2.427628548134543</v>
      </c>
      <c r="G118" s="1499">
        <v>1.910433424837606</v>
      </c>
      <c r="H118" s="1499">
        <v>2.9441772036455163</v>
      </c>
      <c r="I118" s="1499">
        <v>5.4463660677677339</v>
      </c>
      <c r="J118" s="1499">
        <v>4.5707228218207172</v>
      </c>
      <c r="K118" s="113">
        <v>2.1579332153802708</v>
      </c>
    </row>
    <row r="119" spans="2:11" x14ac:dyDescent="0.3">
      <c r="B119" s="115"/>
      <c r="C119" s="112" t="s">
        <v>1513</v>
      </c>
      <c r="D119" s="1499">
        <v>4.9087399989855696</v>
      </c>
      <c r="E119" s="1499">
        <v>3.2113190571528856</v>
      </c>
      <c r="F119" s="1499">
        <v>2.3743925780898976</v>
      </c>
      <c r="G119" s="1499">
        <v>1.8571974547929611</v>
      </c>
      <c r="H119" s="1499">
        <v>2.8909412336008713</v>
      </c>
      <c r="I119" s="1499">
        <v>5.3931300977230885</v>
      </c>
      <c r="J119" s="1499">
        <v>4.5174868517760718</v>
      </c>
      <c r="K119" s="113">
        <v>2.1046972453356259</v>
      </c>
    </row>
    <row r="120" spans="2:11" x14ac:dyDescent="0.3">
      <c r="B120" s="115"/>
      <c r="C120" s="112" t="s">
        <v>1517</v>
      </c>
      <c r="D120" s="1499">
        <v>4.8555040289409241</v>
      </c>
      <c r="E120" s="1499">
        <v>3.1580830871082406</v>
      </c>
      <c r="F120" s="1499">
        <v>2.3211566080452526</v>
      </c>
      <c r="G120" s="1499">
        <v>1.8039614847483159</v>
      </c>
      <c r="H120" s="1499">
        <v>2.8377052635562263</v>
      </c>
      <c r="I120" s="1499">
        <v>5.339894127678444</v>
      </c>
      <c r="J120" s="1499">
        <v>4.4642508817314264</v>
      </c>
      <c r="K120" s="113">
        <v>2.0514612752909809</v>
      </c>
    </row>
    <row r="121" spans="2:11" ht="14.5" thickBot="1" x14ac:dyDescent="0.35">
      <c r="B121" s="1233"/>
      <c r="C121" s="116" t="s">
        <v>1519</v>
      </c>
      <c r="D121" s="117">
        <v>5.0684573443358998</v>
      </c>
      <c r="E121" s="117">
        <v>3.3778815809410538</v>
      </c>
      <c r="F121" s="117">
        <v>2.5347931204621665</v>
      </c>
      <c r="G121" s="117">
        <v>2.02494225704522</v>
      </c>
      <c r="H121" s="117">
        <v>3.0524510115465517</v>
      </c>
      <c r="I121" s="117">
        <v>5.5592698747659623</v>
      </c>
      <c r="J121" s="117">
        <v>4.6829111076227967</v>
      </c>
      <c r="K121" s="118">
        <v>2.270950301172284</v>
      </c>
    </row>
    <row r="122" spans="2:11" x14ac:dyDescent="0.3">
      <c r="B122" s="107" t="s">
        <v>1985</v>
      </c>
      <c r="C122" s="108" t="s">
        <v>1416</v>
      </c>
      <c r="D122" s="109">
        <v>4.4875066569690425</v>
      </c>
      <c r="E122" s="109">
        <v>2.7740829947604095</v>
      </c>
      <c r="F122" s="109">
        <v>1.9570024451832773</v>
      </c>
      <c r="G122" s="109">
        <v>1.4309557075168893</v>
      </c>
      <c r="H122" s="109">
        <v>2.4692183478417875</v>
      </c>
      <c r="I122" s="109">
        <v>4.9618710323113717</v>
      </c>
      <c r="J122" s="109">
        <v>4.0790901170021208</v>
      </c>
      <c r="K122" s="110">
        <v>1.6648545808467918</v>
      </c>
    </row>
    <row r="123" spans="2:11" x14ac:dyDescent="0.3">
      <c r="B123" s="111"/>
      <c r="C123" s="112" t="s">
        <v>1483</v>
      </c>
      <c r="D123" s="1499">
        <v>4.8452717214870153</v>
      </c>
      <c r="E123" s="1499">
        <v>3.1546959580921698</v>
      </c>
      <c r="F123" s="1499">
        <v>2.3116074976132825</v>
      </c>
      <c r="G123" s="1499">
        <v>1.801756634196336</v>
      </c>
      <c r="H123" s="1499">
        <v>2.8292653886976677</v>
      </c>
      <c r="I123" s="1499">
        <v>5.3360842519170788</v>
      </c>
      <c r="J123" s="1499">
        <v>4.4597254847739123</v>
      </c>
      <c r="K123" s="113">
        <v>2.0477646783234</v>
      </c>
    </row>
    <row r="124" spans="2:11" x14ac:dyDescent="0.3">
      <c r="B124" s="111" t="s">
        <v>1989</v>
      </c>
      <c r="C124" s="112" t="s">
        <v>1489</v>
      </c>
      <c r="D124" s="1499">
        <v>4.8031684329184792</v>
      </c>
      <c r="E124" s="1499">
        <v>3.1125926695236337</v>
      </c>
      <c r="F124" s="1499">
        <v>2.2695042090447464</v>
      </c>
      <c r="G124" s="1499">
        <v>1.7596533456277996</v>
      </c>
      <c r="H124" s="1499">
        <v>2.7871621001291316</v>
      </c>
      <c r="I124" s="1499">
        <v>5.2939809633485426</v>
      </c>
      <c r="J124" s="1499">
        <v>4.4176221962053761</v>
      </c>
      <c r="K124" s="113">
        <v>2.0056613897548639</v>
      </c>
    </row>
    <row r="125" spans="2:11" x14ac:dyDescent="0.3">
      <c r="B125" s="114">
        <v>0</v>
      </c>
      <c r="C125" s="112" t="s">
        <v>1496</v>
      </c>
      <c r="D125" s="1499">
        <v>4.7400135000656745</v>
      </c>
      <c r="E125" s="1499">
        <v>3.049437736670829</v>
      </c>
      <c r="F125" s="1499">
        <v>2.2063492761919417</v>
      </c>
      <c r="G125" s="1499">
        <v>1.6964984127749951</v>
      </c>
      <c r="H125" s="1499">
        <v>2.7240071672763269</v>
      </c>
      <c r="I125" s="1499">
        <v>5.2308260304957379</v>
      </c>
      <c r="J125" s="1499">
        <v>4.3544672633525714</v>
      </c>
      <c r="K125" s="113">
        <v>1.9425064569020591</v>
      </c>
    </row>
    <row r="126" spans="2:11" x14ac:dyDescent="0.3">
      <c r="B126" s="115"/>
      <c r="C126" s="112" t="s">
        <v>1500</v>
      </c>
      <c r="D126" s="1499">
        <v>4.6768585672128697</v>
      </c>
      <c r="E126" s="1499">
        <v>2.9862828038180247</v>
      </c>
      <c r="F126" s="1499">
        <v>2.1431943433391374</v>
      </c>
      <c r="G126" s="1499">
        <v>1.6333434799221906</v>
      </c>
      <c r="H126" s="1499">
        <v>2.6608522344235226</v>
      </c>
      <c r="I126" s="1499">
        <v>5.1676710976429332</v>
      </c>
      <c r="J126" s="1499">
        <v>4.2913123304997667</v>
      </c>
      <c r="K126" s="113">
        <v>1.8793515240492547</v>
      </c>
    </row>
    <row r="127" spans="2:11" x14ac:dyDescent="0.3">
      <c r="B127" s="115"/>
      <c r="C127" s="112" t="s">
        <v>1504</v>
      </c>
      <c r="D127" s="1499">
        <v>4.7742809928777605</v>
      </c>
      <c r="E127" s="1499">
        <v>3.0768600510450774</v>
      </c>
      <c r="F127" s="1499">
        <v>2.239933571982089</v>
      </c>
      <c r="G127" s="1499">
        <v>1.7227384486851522</v>
      </c>
      <c r="H127" s="1499">
        <v>2.7564822274930627</v>
      </c>
      <c r="I127" s="1499">
        <v>5.2586710916152803</v>
      </c>
      <c r="J127" s="1499">
        <v>4.3830278456682636</v>
      </c>
      <c r="K127" s="113">
        <v>1.9702382392278173</v>
      </c>
    </row>
    <row r="128" spans="2:11" x14ac:dyDescent="0.3">
      <c r="B128" s="115"/>
      <c r="C128" s="112" t="s">
        <v>1508</v>
      </c>
      <c r="D128" s="1499">
        <v>4.7387903461813305</v>
      </c>
      <c r="E128" s="1499">
        <v>3.041369404348647</v>
      </c>
      <c r="F128" s="1499">
        <v>2.204442925285659</v>
      </c>
      <c r="G128" s="1499">
        <v>1.6872478019887223</v>
      </c>
      <c r="H128" s="1499">
        <v>2.7209915807966327</v>
      </c>
      <c r="I128" s="1499">
        <v>5.2231804449188504</v>
      </c>
      <c r="J128" s="1499">
        <v>4.3475371989718328</v>
      </c>
      <c r="K128" s="113">
        <v>1.9347475925313871</v>
      </c>
    </row>
    <row r="129" spans="2:11" x14ac:dyDescent="0.3">
      <c r="B129" s="115"/>
      <c r="C129" s="112" t="s">
        <v>1513</v>
      </c>
      <c r="D129" s="1499">
        <v>4.6855543761366851</v>
      </c>
      <c r="E129" s="1499">
        <v>2.9881334343040016</v>
      </c>
      <c r="F129" s="1499">
        <v>2.1512069552410136</v>
      </c>
      <c r="G129" s="1499">
        <v>1.6340118319440771</v>
      </c>
      <c r="H129" s="1499">
        <v>2.6677556107519873</v>
      </c>
      <c r="I129" s="1499">
        <v>5.1699444748742049</v>
      </c>
      <c r="J129" s="1499">
        <v>4.2943012289271882</v>
      </c>
      <c r="K129" s="113">
        <v>1.8815116224867419</v>
      </c>
    </row>
    <row r="130" spans="2:11" x14ac:dyDescent="0.3">
      <c r="B130" s="115"/>
      <c r="C130" s="112" t="s">
        <v>1517</v>
      </c>
      <c r="D130" s="1499">
        <v>4.6323184060920397</v>
      </c>
      <c r="E130" s="1499">
        <v>2.9348974642593566</v>
      </c>
      <c r="F130" s="1499">
        <v>2.0979709851963686</v>
      </c>
      <c r="G130" s="1499">
        <v>1.5807758618994319</v>
      </c>
      <c r="H130" s="1499">
        <v>2.6145196407073423</v>
      </c>
      <c r="I130" s="1499">
        <v>5.1167085048295595</v>
      </c>
      <c r="J130" s="1499">
        <v>4.2410652588825428</v>
      </c>
      <c r="K130" s="113">
        <v>1.8282756524420969</v>
      </c>
    </row>
    <row r="131" spans="2:11" ht="14.5" thickBot="1" x14ac:dyDescent="0.35">
      <c r="B131" s="1233"/>
      <c r="C131" s="116" t="s">
        <v>1519</v>
      </c>
      <c r="D131" s="117">
        <v>4.8452717214870153</v>
      </c>
      <c r="E131" s="117">
        <v>3.1546959580921698</v>
      </c>
      <c r="F131" s="117">
        <v>2.3116074976132825</v>
      </c>
      <c r="G131" s="117">
        <v>1.801756634196336</v>
      </c>
      <c r="H131" s="117">
        <v>2.8292653886976677</v>
      </c>
      <c r="I131" s="117">
        <v>5.3360842519170788</v>
      </c>
      <c r="J131" s="117">
        <v>4.4597254847739123</v>
      </c>
      <c r="K131" s="118">
        <v>2.0477646783234</v>
      </c>
    </row>
    <row r="132" spans="2:11" x14ac:dyDescent="0.3">
      <c r="B132" s="120" t="s">
        <v>1990</v>
      </c>
      <c r="C132" s="108" t="s">
        <v>1416</v>
      </c>
      <c r="D132" s="109">
        <v>4.8249341946496305</v>
      </c>
      <c r="E132" s="109">
        <v>3.0990415679789804</v>
      </c>
      <c r="F132" s="109">
        <v>2.3047401748042056</v>
      </c>
      <c r="G132" s="109">
        <v>1.781267843825014</v>
      </c>
      <c r="H132" s="109">
        <v>2.8079726860665684</v>
      </c>
      <c r="I132" s="109">
        <v>5.2768046321898323</v>
      </c>
      <c r="J132" s="109">
        <v>4.3951041791782064</v>
      </c>
      <c r="K132" s="110">
        <v>2.0136289307048969</v>
      </c>
    </row>
    <row r="133" spans="2:11" x14ac:dyDescent="0.3">
      <c r="B133" s="111"/>
      <c r="C133" s="112" t="s">
        <v>1483</v>
      </c>
      <c r="D133" s="1499">
        <v>5.1818976724322905</v>
      </c>
      <c r="E133" s="1499">
        <v>3.4820466385165285</v>
      </c>
      <c r="F133" s="1499">
        <v>2.6678266442921572</v>
      </c>
      <c r="G133" s="1499">
        <v>2.1494301783095868</v>
      </c>
      <c r="H133" s="1499">
        <v>3.1696496147511346</v>
      </c>
      <c r="I133" s="1499">
        <v>5.6545148888624297</v>
      </c>
      <c r="J133" s="1499">
        <v>4.7799797189985984</v>
      </c>
      <c r="K133" s="113">
        <v>2.3874000718623485</v>
      </c>
    </row>
    <row r="134" spans="2:11" x14ac:dyDescent="0.3">
      <c r="B134" s="111" t="s">
        <v>1986</v>
      </c>
      <c r="C134" s="112" t="s">
        <v>1489</v>
      </c>
      <c r="D134" s="1499">
        <v>5.1397943838637543</v>
      </c>
      <c r="E134" s="1499">
        <v>3.4399433499479923</v>
      </c>
      <c r="F134" s="1499">
        <v>2.6257233557236206</v>
      </c>
      <c r="G134" s="1499">
        <v>2.1073268897410502</v>
      </c>
      <c r="H134" s="1499">
        <v>3.127546326182598</v>
      </c>
      <c r="I134" s="1499">
        <v>5.6124116002938935</v>
      </c>
      <c r="J134" s="1499">
        <v>4.7378764304300622</v>
      </c>
      <c r="K134" s="113">
        <v>2.3452967832938123</v>
      </c>
    </row>
    <row r="135" spans="2:11" x14ac:dyDescent="0.3">
      <c r="B135" s="114">
        <v>0</v>
      </c>
      <c r="C135" s="112" t="s">
        <v>1496</v>
      </c>
      <c r="D135" s="1499">
        <v>5.0766394510109496</v>
      </c>
      <c r="E135" s="1499">
        <v>3.3767884170951876</v>
      </c>
      <c r="F135" s="1499">
        <v>2.5625684228708159</v>
      </c>
      <c r="G135" s="1499">
        <v>2.0441719568882459</v>
      </c>
      <c r="H135" s="1499">
        <v>3.0643913933297933</v>
      </c>
      <c r="I135" s="1499">
        <v>5.5492566674410879</v>
      </c>
      <c r="J135" s="1499">
        <v>4.6747214975772575</v>
      </c>
      <c r="K135" s="113">
        <v>2.2821418504410076</v>
      </c>
    </row>
    <row r="136" spans="2:11" x14ac:dyDescent="0.3">
      <c r="B136" s="115"/>
      <c r="C136" s="112" t="s">
        <v>1500</v>
      </c>
      <c r="D136" s="1499">
        <v>5.0134845181581449</v>
      </c>
      <c r="E136" s="1499">
        <v>3.3136334842423825</v>
      </c>
      <c r="F136" s="1499">
        <v>2.4994134900180112</v>
      </c>
      <c r="G136" s="1499">
        <v>1.9810170240354412</v>
      </c>
      <c r="H136" s="1499">
        <v>3.0012364604769886</v>
      </c>
      <c r="I136" s="1499">
        <v>5.4861017345882832</v>
      </c>
      <c r="J136" s="1499">
        <v>4.6115665647244528</v>
      </c>
      <c r="K136" s="113">
        <v>2.2189869175882029</v>
      </c>
    </row>
    <row r="137" spans="2:11" x14ac:dyDescent="0.3">
      <c r="B137" s="115"/>
      <c r="C137" s="112" t="s">
        <v>1504</v>
      </c>
      <c r="D137" s="1499">
        <v>5.110152244925497</v>
      </c>
      <c r="E137" s="1499">
        <v>3.4045438639456926</v>
      </c>
      <c r="F137" s="1499">
        <v>2.5947880989151764</v>
      </c>
      <c r="G137" s="1499">
        <v>2.0756574040544393</v>
      </c>
      <c r="H137" s="1499">
        <v>3.0950755567852068</v>
      </c>
      <c r="I137" s="1499">
        <v>5.5771365092355065</v>
      </c>
      <c r="J137" s="1499">
        <v>4.7028782680129755</v>
      </c>
      <c r="K137" s="113">
        <v>2.307906622076596</v>
      </c>
    </row>
    <row r="138" spans="2:11" x14ac:dyDescent="0.3">
      <c r="B138" s="115"/>
      <c r="C138" s="112" t="s">
        <v>1508</v>
      </c>
      <c r="D138" s="1499">
        <v>5.074661598229067</v>
      </c>
      <c r="E138" s="1499">
        <v>3.3690532172492631</v>
      </c>
      <c r="F138" s="1499">
        <v>2.5592974522187464</v>
      </c>
      <c r="G138" s="1499">
        <v>2.0401667573580093</v>
      </c>
      <c r="H138" s="1499">
        <v>3.0595849100887769</v>
      </c>
      <c r="I138" s="1499">
        <v>5.5416458625390774</v>
      </c>
      <c r="J138" s="1499">
        <v>4.6673876213165455</v>
      </c>
      <c r="K138" s="113">
        <v>2.272415975380166</v>
      </c>
    </row>
    <row r="139" spans="2:11" x14ac:dyDescent="0.3">
      <c r="B139" s="115"/>
      <c r="C139" s="112" t="s">
        <v>1513</v>
      </c>
      <c r="D139" s="1499">
        <v>5.0214256281844225</v>
      </c>
      <c r="E139" s="1499">
        <v>3.3158172472046177</v>
      </c>
      <c r="F139" s="1499">
        <v>2.5060614821741014</v>
      </c>
      <c r="G139" s="1499">
        <v>1.9869307873133641</v>
      </c>
      <c r="H139" s="1499">
        <v>3.0063489400441319</v>
      </c>
      <c r="I139" s="1499">
        <v>5.488409892494432</v>
      </c>
      <c r="J139" s="1499">
        <v>4.6141516512719001</v>
      </c>
      <c r="K139" s="113">
        <v>2.2191800053355211</v>
      </c>
    </row>
    <row r="140" spans="2:11" x14ac:dyDescent="0.3">
      <c r="B140" s="115"/>
      <c r="C140" s="112" t="s">
        <v>1517</v>
      </c>
      <c r="D140" s="1499">
        <v>4.9681896581397771</v>
      </c>
      <c r="E140" s="1499">
        <v>3.2625812771599727</v>
      </c>
      <c r="F140" s="1499">
        <v>2.452825512129456</v>
      </c>
      <c r="G140" s="1499">
        <v>1.9336948172687189</v>
      </c>
      <c r="H140" s="1499">
        <v>2.9531129699994869</v>
      </c>
      <c r="I140" s="1499">
        <v>5.4351739224497866</v>
      </c>
      <c r="J140" s="1499">
        <v>4.5609156812272547</v>
      </c>
      <c r="K140" s="113">
        <v>2.1659440352908756</v>
      </c>
    </row>
    <row r="141" spans="2:11" ht="14.5" thickBot="1" x14ac:dyDescent="0.35">
      <c r="B141" s="1233"/>
      <c r="C141" s="116" t="s">
        <v>1519</v>
      </c>
      <c r="D141" s="117">
        <v>5.1818976724322905</v>
      </c>
      <c r="E141" s="117">
        <v>3.4820466385165285</v>
      </c>
      <c r="F141" s="117">
        <v>2.6678266442921572</v>
      </c>
      <c r="G141" s="117">
        <v>2.1494301783095868</v>
      </c>
      <c r="H141" s="117">
        <v>3.1696496147511346</v>
      </c>
      <c r="I141" s="117">
        <v>5.6545148888624297</v>
      </c>
      <c r="J141" s="117">
        <v>4.7799797189985984</v>
      </c>
      <c r="K141" s="118">
        <v>2.3874000718623485</v>
      </c>
    </row>
    <row r="142" spans="2:11" x14ac:dyDescent="0.3">
      <c r="B142" s="120" t="s">
        <v>1990</v>
      </c>
      <c r="C142" s="108" t="s">
        <v>1416</v>
      </c>
      <c r="D142" s="109">
        <v>4.7007966559200209</v>
      </c>
      <c r="E142" s="109">
        <v>2.9749040292493709</v>
      </c>
      <c r="F142" s="109">
        <v>2.1806026360745965</v>
      </c>
      <c r="G142" s="109">
        <v>1.6571303050954049</v>
      </c>
      <c r="H142" s="109">
        <v>2.6838351473369588</v>
      </c>
      <c r="I142" s="109">
        <v>5.1526670934602228</v>
      </c>
      <c r="J142" s="109">
        <v>4.2709666404485969</v>
      </c>
      <c r="K142" s="110">
        <v>1.8894913919752878</v>
      </c>
    </row>
    <row r="143" spans="2:11" x14ac:dyDescent="0.3">
      <c r="B143" s="111"/>
      <c r="C143" s="112" t="s">
        <v>1483</v>
      </c>
      <c r="D143" s="1499">
        <v>5.057760133702681</v>
      </c>
      <c r="E143" s="1499">
        <v>3.3579090997869194</v>
      </c>
      <c r="F143" s="1499">
        <v>2.5436891055625477</v>
      </c>
      <c r="G143" s="1499">
        <v>2.0252926395799777</v>
      </c>
      <c r="H143" s="1499">
        <v>3.0455120760215251</v>
      </c>
      <c r="I143" s="1499">
        <v>5.5303773501328202</v>
      </c>
      <c r="J143" s="1499">
        <v>4.6558421802689889</v>
      </c>
      <c r="K143" s="113">
        <v>2.2632625331327394</v>
      </c>
    </row>
    <row r="144" spans="2:11" x14ac:dyDescent="0.3">
      <c r="B144" s="111" t="s">
        <v>1987</v>
      </c>
      <c r="C144" s="112" t="s">
        <v>1489</v>
      </c>
      <c r="D144" s="1499">
        <v>5.0156568451341448</v>
      </c>
      <c r="E144" s="1499">
        <v>3.3158058112183828</v>
      </c>
      <c r="F144" s="1499">
        <v>2.5015858169940115</v>
      </c>
      <c r="G144" s="1499">
        <v>1.9831893510114411</v>
      </c>
      <c r="H144" s="1499">
        <v>3.0034087874529884</v>
      </c>
      <c r="I144" s="1499">
        <v>5.488274061564284</v>
      </c>
      <c r="J144" s="1499">
        <v>4.6137388917004527</v>
      </c>
      <c r="K144" s="113">
        <v>2.2211592445642028</v>
      </c>
    </row>
    <row r="145" spans="2:11" x14ac:dyDescent="0.3">
      <c r="B145" s="114">
        <v>0</v>
      </c>
      <c r="C145" s="112" t="s">
        <v>1496</v>
      </c>
      <c r="D145" s="1499">
        <v>4.9525019122813401</v>
      </c>
      <c r="E145" s="1499">
        <v>3.2526508783655781</v>
      </c>
      <c r="F145" s="1499">
        <v>2.4384308841412068</v>
      </c>
      <c r="G145" s="1499">
        <v>1.9200344181586366</v>
      </c>
      <c r="H145" s="1499">
        <v>2.9402538546001837</v>
      </c>
      <c r="I145" s="1499">
        <v>5.4251191287114793</v>
      </c>
      <c r="J145" s="1499">
        <v>4.550583958847648</v>
      </c>
      <c r="K145" s="113">
        <v>2.1580043117113985</v>
      </c>
    </row>
    <row r="146" spans="2:11" x14ac:dyDescent="0.3">
      <c r="B146" s="115"/>
      <c r="C146" s="112" t="s">
        <v>1500</v>
      </c>
      <c r="D146" s="1499">
        <v>4.8893469794285362</v>
      </c>
      <c r="E146" s="1499">
        <v>3.1894959455127738</v>
      </c>
      <c r="F146" s="1499">
        <v>2.3752759512884021</v>
      </c>
      <c r="G146" s="1499">
        <v>1.8568794853058317</v>
      </c>
      <c r="H146" s="1499">
        <v>2.8770989217473795</v>
      </c>
      <c r="I146" s="1499">
        <v>5.3619641958586746</v>
      </c>
      <c r="J146" s="1499">
        <v>4.4874290259948442</v>
      </c>
      <c r="K146" s="113">
        <v>2.0948493788585933</v>
      </c>
    </row>
    <row r="147" spans="2:11" x14ac:dyDescent="0.3">
      <c r="B147" s="115"/>
      <c r="C147" s="112" t="s">
        <v>1504</v>
      </c>
      <c r="D147" s="1499">
        <v>4.9860147061958875</v>
      </c>
      <c r="E147" s="1499">
        <v>3.2804063252160836</v>
      </c>
      <c r="F147" s="1499">
        <v>2.4706505601855673</v>
      </c>
      <c r="G147" s="1499">
        <v>1.9515198653248302</v>
      </c>
      <c r="H147" s="1499">
        <v>2.9709380180555973</v>
      </c>
      <c r="I147" s="1499">
        <v>5.452998970505897</v>
      </c>
      <c r="J147" s="1499">
        <v>4.578740729283366</v>
      </c>
      <c r="K147" s="113">
        <v>2.1837690833469869</v>
      </c>
    </row>
    <row r="148" spans="2:11" x14ac:dyDescent="0.3">
      <c r="B148" s="115"/>
      <c r="C148" s="112" t="s">
        <v>1508</v>
      </c>
      <c r="D148" s="1499">
        <v>4.9505240594994575</v>
      </c>
      <c r="E148" s="1499">
        <v>3.2449156785196536</v>
      </c>
      <c r="F148" s="1499">
        <v>2.4351599134891373</v>
      </c>
      <c r="G148" s="1499">
        <v>1.9160292186284</v>
      </c>
      <c r="H148" s="1499">
        <v>2.9354473713591678</v>
      </c>
      <c r="I148" s="1499">
        <v>5.4175083238094679</v>
      </c>
      <c r="J148" s="1499">
        <v>4.543250082586936</v>
      </c>
      <c r="K148" s="113">
        <v>2.148278436650557</v>
      </c>
    </row>
    <row r="149" spans="2:11" x14ac:dyDescent="0.3">
      <c r="B149" s="115"/>
      <c r="C149" s="112" t="s">
        <v>1513</v>
      </c>
      <c r="D149" s="1499">
        <v>4.897288089454813</v>
      </c>
      <c r="E149" s="1499">
        <v>3.1916797084750086</v>
      </c>
      <c r="F149" s="1499">
        <v>2.3819239434444923</v>
      </c>
      <c r="G149" s="1499">
        <v>1.8627932485837551</v>
      </c>
      <c r="H149" s="1499">
        <v>2.8822114013145224</v>
      </c>
      <c r="I149" s="1499">
        <v>5.3642723537648225</v>
      </c>
      <c r="J149" s="1499">
        <v>4.4900141125422905</v>
      </c>
      <c r="K149" s="113">
        <v>2.0950424666059115</v>
      </c>
    </row>
    <row r="150" spans="2:11" x14ac:dyDescent="0.3">
      <c r="B150" s="115"/>
      <c r="C150" s="112" t="s">
        <v>1517</v>
      </c>
      <c r="D150" s="1499">
        <v>4.8440521194101676</v>
      </c>
      <c r="E150" s="1499">
        <v>3.1384437384303632</v>
      </c>
      <c r="F150" s="1499">
        <v>2.3286879733998469</v>
      </c>
      <c r="G150" s="1499">
        <v>1.8095572785391099</v>
      </c>
      <c r="H150" s="1499">
        <v>2.8289754312698774</v>
      </c>
      <c r="I150" s="1499">
        <v>5.3110363837201771</v>
      </c>
      <c r="J150" s="1499">
        <v>4.436778142497646</v>
      </c>
      <c r="K150" s="113">
        <v>2.0418064965612666</v>
      </c>
    </row>
    <row r="151" spans="2:11" ht="14.5" thickBot="1" x14ac:dyDescent="0.35">
      <c r="B151" s="1233"/>
      <c r="C151" s="116" t="s">
        <v>1519</v>
      </c>
      <c r="D151" s="117">
        <v>5.057760133702681</v>
      </c>
      <c r="E151" s="117">
        <v>3.3579090997869194</v>
      </c>
      <c r="F151" s="117">
        <v>2.5436891055625477</v>
      </c>
      <c r="G151" s="117">
        <v>2.0252926395799777</v>
      </c>
      <c r="H151" s="117">
        <v>3.0455120760215251</v>
      </c>
      <c r="I151" s="117">
        <v>5.5303773501328202</v>
      </c>
      <c r="J151" s="117">
        <v>4.6558421802689889</v>
      </c>
      <c r="K151" s="118">
        <v>2.2632625331327394</v>
      </c>
    </row>
    <row r="152" spans="2:11" x14ac:dyDescent="0.3">
      <c r="B152" s="120" t="s">
        <v>1990</v>
      </c>
      <c r="C152" s="108" t="s">
        <v>1416</v>
      </c>
      <c r="D152" s="109">
        <v>4.5145903478256075</v>
      </c>
      <c r="E152" s="109">
        <v>2.7886977211549571</v>
      </c>
      <c r="F152" s="109">
        <v>1.9943963279801826</v>
      </c>
      <c r="G152" s="109">
        <v>1.4709239970009911</v>
      </c>
      <c r="H152" s="109">
        <v>2.497628839242545</v>
      </c>
      <c r="I152" s="109">
        <v>4.9664607853658094</v>
      </c>
      <c r="J152" s="109">
        <v>4.0847603323541826</v>
      </c>
      <c r="K152" s="110">
        <v>1.703285083880874</v>
      </c>
    </row>
    <row r="153" spans="2:11" x14ac:dyDescent="0.3">
      <c r="B153" s="111"/>
      <c r="C153" s="112" t="s">
        <v>1483</v>
      </c>
      <c r="D153" s="1499">
        <v>4.8715538256082676</v>
      </c>
      <c r="E153" s="1499">
        <v>3.1717027916925056</v>
      </c>
      <c r="F153" s="1499">
        <v>2.3574827974681338</v>
      </c>
      <c r="G153" s="1499">
        <v>1.8390863314855637</v>
      </c>
      <c r="H153" s="1499">
        <v>2.8593057679271112</v>
      </c>
      <c r="I153" s="1499">
        <v>5.3441710420384059</v>
      </c>
      <c r="J153" s="1499">
        <v>4.4696358721745755</v>
      </c>
      <c r="K153" s="113">
        <v>2.0770562250383255</v>
      </c>
    </row>
    <row r="154" spans="2:11" x14ac:dyDescent="0.3">
      <c r="B154" s="111" t="s">
        <v>1988</v>
      </c>
      <c r="C154" s="112" t="s">
        <v>1489</v>
      </c>
      <c r="D154" s="1499">
        <v>4.8294505370397314</v>
      </c>
      <c r="E154" s="1499">
        <v>3.129599503123969</v>
      </c>
      <c r="F154" s="1499">
        <v>2.3153795088995976</v>
      </c>
      <c r="G154" s="1499">
        <v>1.7969830429170273</v>
      </c>
      <c r="H154" s="1499">
        <v>2.8172024793585746</v>
      </c>
      <c r="I154" s="1499">
        <v>5.3020677534698697</v>
      </c>
      <c r="J154" s="1499">
        <v>4.4275325836060393</v>
      </c>
      <c r="K154" s="113">
        <v>2.0349529364697889</v>
      </c>
    </row>
    <row r="155" spans="2:11" x14ac:dyDescent="0.3">
      <c r="B155" s="114">
        <v>0</v>
      </c>
      <c r="C155" s="112" t="s">
        <v>1496</v>
      </c>
      <c r="D155" s="1499">
        <v>4.7662956041869267</v>
      </c>
      <c r="E155" s="1499">
        <v>3.0664445702711642</v>
      </c>
      <c r="F155" s="1499">
        <v>2.2522245760467925</v>
      </c>
      <c r="G155" s="1499">
        <v>1.7338281100642225</v>
      </c>
      <c r="H155" s="1499">
        <v>2.7540475465057699</v>
      </c>
      <c r="I155" s="1499">
        <v>5.238912820617065</v>
      </c>
      <c r="J155" s="1499">
        <v>4.3643776507532337</v>
      </c>
      <c r="K155" s="113">
        <v>1.9717980036169842</v>
      </c>
    </row>
    <row r="156" spans="2:11" x14ac:dyDescent="0.3">
      <c r="B156" s="115"/>
      <c r="C156" s="112" t="s">
        <v>1500</v>
      </c>
      <c r="D156" s="1499">
        <v>4.7031406713341211</v>
      </c>
      <c r="E156" s="1499">
        <v>3.0032896374183595</v>
      </c>
      <c r="F156" s="1499">
        <v>2.1890696431939882</v>
      </c>
      <c r="G156" s="1499">
        <v>1.6706731772114178</v>
      </c>
      <c r="H156" s="1499">
        <v>2.6908926136529652</v>
      </c>
      <c r="I156" s="1499">
        <v>5.1757578877642612</v>
      </c>
      <c r="J156" s="1499">
        <v>4.301222717900429</v>
      </c>
      <c r="K156" s="113">
        <v>1.9086430707641795</v>
      </c>
    </row>
    <row r="157" spans="2:11" x14ac:dyDescent="0.3">
      <c r="B157" s="115"/>
      <c r="C157" s="112" t="s">
        <v>1504</v>
      </c>
      <c r="D157" s="1499">
        <v>4.7998083981014741</v>
      </c>
      <c r="E157" s="1499">
        <v>3.0942000171216697</v>
      </c>
      <c r="F157" s="1499">
        <v>2.2844442520911534</v>
      </c>
      <c r="G157" s="1499">
        <v>1.7653135572304164</v>
      </c>
      <c r="H157" s="1499">
        <v>2.7847317099611839</v>
      </c>
      <c r="I157" s="1499">
        <v>5.2667926624114836</v>
      </c>
      <c r="J157" s="1499">
        <v>4.3925344211889517</v>
      </c>
      <c r="K157" s="113">
        <v>1.9975627752525731</v>
      </c>
    </row>
    <row r="158" spans="2:11" x14ac:dyDescent="0.3">
      <c r="B158" s="115"/>
      <c r="C158" s="112" t="s">
        <v>1508</v>
      </c>
      <c r="D158" s="1499">
        <v>4.7643177514050441</v>
      </c>
      <c r="E158" s="1499">
        <v>3.0587093704252397</v>
      </c>
      <c r="F158" s="1499">
        <v>2.2489536053947234</v>
      </c>
      <c r="G158" s="1499">
        <v>1.7298229105339862</v>
      </c>
      <c r="H158" s="1499">
        <v>2.7492410632647539</v>
      </c>
      <c r="I158" s="1499">
        <v>5.2313020157150536</v>
      </c>
      <c r="J158" s="1499">
        <v>4.3570437744925217</v>
      </c>
      <c r="K158" s="113">
        <v>1.9620721285561429</v>
      </c>
    </row>
    <row r="159" spans="2:11" x14ac:dyDescent="0.3">
      <c r="B159" s="115"/>
      <c r="C159" s="112" t="s">
        <v>1513</v>
      </c>
      <c r="D159" s="1499">
        <v>4.7110817813603987</v>
      </c>
      <c r="E159" s="1499">
        <v>3.0054734003805947</v>
      </c>
      <c r="F159" s="1499">
        <v>2.195717635350078</v>
      </c>
      <c r="G159" s="1499">
        <v>1.6765869404893412</v>
      </c>
      <c r="H159" s="1499">
        <v>2.6960050932201085</v>
      </c>
      <c r="I159" s="1499">
        <v>5.1780660456704082</v>
      </c>
      <c r="J159" s="1499">
        <v>4.3038078044478771</v>
      </c>
      <c r="K159" s="113">
        <v>1.9088361585114975</v>
      </c>
    </row>
    <row r="160" spans="2:11" x14ac:dyDescent="0.3">
      <c r="B160" s="115"/>
      <c r="C160" s="112" t="s">
        <v>1517</v>
      </c>
      <c r="D160" s="1499">
        <v>4.6578458113157533</v>
      </c>
      <c r="E160" s="1499">
        <v>2.9522374303359493</v>
      </c>
      <c r="F160" s="1499">
        <v>2.142481665305433</v>
      </c>
      <c r="G160" s="1499">
        <v>1.6233509704446958</v>
      </c>
      <c r="H160" s="1499">
        <v>2.6427691231754631</v>
      </c>
      <c r="I160" s="1499">
        <v>5.1248300756257636</v>
      </c>
      <c r="J160" s="1499">
        <v>4.2505718344032317</v>
      </c>
      <c r="K160" s="113">
        <v>1.8556001884668525</v>
      </c>
    </row>
    <row r="161" spans="2:11" ht="14.5" thickBot="1" x14ac:dyDescent="0.35">
      <c r="B161" s="1233"/>
      <c r="C161" s="116" t="s">
        <v>1519</v>
      </c>
      <c r="D161" s="117">
        <v>4.8715538256082676</v>
      </c>
      <c r="E161" s="117">
        <v>3.1717027916925056</v>
      </c>
      <c r="F161" s="117">
        <v>2.3574827974681338</v>
      </c>
      <c r="G161" s="117">
        <v>1.8390863314855637</v>
      </c>
      <c r="H161" s="117">
        <v>2.8593057679271112</v>
      </c>
      <c r="I161" s="117">
        <v>5.3441710420384059</v>
      </c>
      <c r="J161" s="117">
        <v>4.4696358721745755</v>
      </c>
      <c r="K161" s="118">
        <v>2.0770562250383255</v>
      </c>
    </row>
    <row r="162" spans="2:11" x14ac:dyDescent="0.3">
      <c r="B162" s="120" t="s">
        <v>1990</v>
      </c>
      <c r="C162" s="108" t="s">
        <v>1416</v>
      </c>
      <c r="D162" s="109">
        <v>4.3283840397311932</v>
      </c>
      <c r="E162" s="109">
        <v>2.6024914130605432</v>
      </c>
      <c r="F162" s="109">
        <v>1.8081900198857686</v>
      </c>
      <c r="G162" s="109">
        <v>1.284717688906577</v>
      </c>
      <c r="H162" s="109">
        <v>2.3114225311481311</v>
      </c>
      <c r="I162" s="109">
        <v>4.7802544772713951</v>
      </c>
      <c r="J162" s="109">
        <v>3.8985540242597692</v>
      </c>
      <c r="K162" s="110">
        <v>1.5170787757864597</v>
      </c>
    </row>
    <row r="163" spans="2:11" x14ac:dyDescent="0.3">
      <c r="B163" s="111"/>
      <c r="C163" s="112" t="s">
        <v>1483</v>
      </c>
      <c r="D163" s="1499">
        <v>4.6853475175138533</v>
      </c>
      <c r="E163" s="1499">
        <v>2.9854964835980917</v>
      </c>
      <c r="F163" s="1499">
        <v>2.17127648937372</v>
      </c>
      <c r="G163" s="1499">
        <v>1.6528800233911498</v>
      </c>
      <c r="H163" s="1499">
        <v>2.6730994598326974</v>
      </c>
      <c r="I163" s="1499">
        <v>5.1579647339439925</v>
      </c>
      <c r="J163" s="1499">
        <v>4.2834295640801612</v>
      </c>
      <c r="K163" s="113">
        <v>1.8908499169439115</v>
      </c>
    </row>
    <row r="164" spans="2:11" x14ac:dyDescent="0.3">
      <c r="B164" s="111" t="s">
        <v>1989</v>
      </c>
      <c r="C164" s="112" t="s">
        <v>1489</v>
      </c>
      <c r="D164" s="1499">
        <v>4.6432442289453171</v>
      </c>
      <c r="E164" s="1499">
        <v>2.9433931950295551</v>
      </c>
      <c r="F164" s="1499">
        <v>2.1291732008051834</v>
      </c>
      <c r="G164" s="1499">
        <v>1.6107767348226132</v>
      </c>
      <c r="H164" s="1499">
        <v>2.6309961712641607</v>
      </c>
      <c r="I164" s="1499">
        <v>5.1158614453754563</v>
      </c>
      <c r="J164" s="1499">
        <v>4.241326275511625</v>
      </c>
      <c r="K164" s="113">
        <v>1.8487466283753751</v>
      </c>
    </row>
    <row r="165" spans="2:11" x14ac:dyDescent="0.3">
      <c r="B165" s="114">
        <v>0</v>
      </c>
      <c r="C165" s="112" t="s">
        <v>1496</v>
      </c>
      <c r="D165" s="1499">
        <v>4.5800892960925124</v>
      </c>
      <c r="E165" s="1499">
        <v>2.8802382621767504</v>
      </c>
      <c r="F165" s="1499">
        <v>2.0660182679523786</v>
      </c>
      <c r="G165" s="1499">
        <v>1.5476218019698087</v>
      </c>
      <c r="H165" s="1499">
        <v>2.567841238411356</v>
      </c>
      <c r="I165" s="1499">
        <v>5.0527065125226516</v>
      </c>
      <c r="J165" s="1499">
        <v>4.1781713426588203</v>
      </c>
      <c r="K165" s="113">
        <v>1.7855916955225704</v>
      </c>
    </row>
    <row r="166" spans="2:11" x14ac:dyDescent="0.3">
      <c r="B166" s="115"/>
      <c r="C166" s="112" t="s">
        <v>1500</v>
      </c>
      <c r="D166" s="1499">
        <v>4.5169343632397077</v>
      </c>
      <c r="E166" s="1499">
        <v>2.8170833293239457</v>
      </c>
      <c r="F166" s="1499">
        <v>2.0028633350995744</v>
      </c>
      <c r="G166" s="1499">
        <v>1.484466869117004</v>
      </c>
      <c r="H166" s="1499">
        <v>2.5046863055585513</v>
      </c>
      <c r="I166" s="1499">
        <v>4.989551579669846</v>
      </c>
      <c r="J166" s="1499">
        <v>4.1150164098060156</v>
      </c>
      <c r="K166" s="113">
        <v>1.7224367626697656</v>
      </c>
    </row>
    <row r="167" spans="2:11" x14ac:dyDescent="0.3">
      <c r="B167" s="115"/>
      <c r="C167" s="112" t="s">
        <v>1504</v>
      </c>
      <c r="D167" s="1499">
        <v>4.6136020900070598</v>
      </c>
      <c r="E167" s="1499">
        <v>2.9079937090272558</v>
      </c>
      <c r="F167" s="1499">
        <v>2.0982379439967396</v>
      </c>
      <c r="G167" s="1499">
        <v>1.5791072491360023</v>
      </c>
      <c r="H167" s="1499">
        <v>2.5985254018667696</v>
      </c>
      <c r="I167" s="1499">
        <v>5.0805863543170693</v>
      </c>
      <c r="J167" s="1499">
        <v>4.2063281130945382</v>
      </c>
      <c r="K167" s="113">
        <v>1.811356467158159</v>
      </c>
    </row>
    <row r="168" spans="2:11" x14ac:dyDescent="0.3">
      <c r="B168" s="115"/>
      <c r="C168" s="112" t="s">
        <v>1508</v>
      </c>
      <c r="D168" s="1499">
        <v>4.5781114433106298</v>
      </c>
      <c r="E168" s="1499">
        <v>2.8725030623308259</v>
      </c>
      <c r="F168" s="1499">
        <v>2.0627472973003091</v>
      </c>
      <c r="G168" s="1499">
        <v>1.5436166024395723</v>
      </c>
      <c r="H168" s="1499">
        <v>2.5630347551703401</v>
      </c>
      <c r="I168" s="1499">
        <v>5.0450957076206402</v>
      </c>
      <c r="J168" s="1499">
        <v>4.1708374663981083</v>
      </c>
      <c r="K168" s="113">
        <v>1.7758658204617288</v>
      </c>
    </row>
    <row r="169" spans="2:11" x14ac:dyDescent="0.3">
      <c r="B169" s="115"/>
      <c r="C169" s="112" t="s">
        <v>1513</v>
      </c>
      <c r="D169" s="1499">
        <v>4.5248754732659853</v>
      </c>
      <c r="E169" s="1499">
        <v>2.8192670922861804</v>
      </c>
      <c r="F169" s="1499">
        <v>2.0095113272556642</v>
      </c>
      <c r="G169" s="1499">
        <v>1.4903806323949269</v>
      </c>
      <c r="H169" s="1499">
        <v>2.5097987851256947</v>
      </c>
      <c r="I169" s="1499">
        <v>4.9918597375759948</v>
      </c>
      <c r="J169" s="1499">
        <v>4.1176014963534628</v>
      </c>
      <c r="K169" s="113">
        <v>1.7226298504170836</v>
      </c>
    </row>
    <row r="170" spans="2:11" x14ac:dyDescent="0.3">
      <c r="B170" s="115"/>
      <c r="C170" s="112" t="s">
        <v>1517</v>
      </c>
      <c r="D170" s="1499">
        <v>4.4716395032213399</v>
      </c>
      <c r="E170" s="1499">
        <v>2.7660311222415355</v>
      </c>
      <c r="F170" s="1499">
        <v>1.956275357211019</v>
      </c>
      <c r="G170" s="1499">
        <v>1.4371446623502819</v>
      </c>
      <c r="H170" s="1499">
        <v>2.4565628150810492</v>
      </c>
      <c r="I170" s="1499">
        <v>4.9386237675313494</v>
      </c>
      <c r="J170" s="1499">
        <v>4.0643655263088174</v>
      </c>
      <c r="K170" s="113">
        <v>1.6693938803724386</v>
      </c>
    </row>
    <row r="171" spans="2:11" ht="14.5" thickBot="1" x14ac:dyDescent="0.35">
      <c r="B171" s="1233"/>
      <c r="C171" s="116" t="s">
        <v>1519</v>
      </c>
      <c r="D171" s="117">
        <v>4.6853475175138533</v>
      </c>
      <c r="E171" s="117">
        <v>2.9854964835980917</v>
      </c>
      <c r="F171" s="117">
        <v>2.17127648937372</v>
      </c>
      <c r="G171" s="117">
        <v>1.6528800233911498</v>
      </c>
      <c r="H171" s="117">
        <v>2.6730994598326974</v>
      </c>
      <c r="I171" s="117">
        <v>5.1579647339439925</v>
      </c>
      <c r="J171" s="117">
        <v>4.2834295640801612</v>
      </c>
      <c r="K171" s="118">
        <v>1.8908499169439115</v>
      </c>
    </row>
    <row r="173" spans="2:11" ht="14.5" thickBot="1" x14ac:dyDescent="0.35"/>
    <row r="174" spans="2:11" ht="25.5" thickBot="1" x14ac:dyDescent="0.55000000000000004">
      <c r="B174" s="88" t="s">
        <v>1960</v>
      </c>
      <c r="C174" s="89"/>
      <c r="D174" s="90">
        <v>6</v>
      </c>
      <c r="E174" s="91" t="s">
        <v>1991</v>
      </c>
      <c r="F174" s="92"/>
      <c r="G174" s="92"/>
      <c r="H174" s="92"/>
      <c r="I174" s="93"/>
      <c r="J174" s="89" t="s">
        <v>176</v>
      </c>
      <c r="K174" s="94" t="s">
        <v>243</v>
      </c>
    </row>
    <row r="175" spans="2:11" ht="14.5" thickBot="1" x14ac:dyDescent="0.35">
      <c r="B175" s="95" t="s">
        <v>1962</v>
      </c>
      <c r="C175" s="96" t="s">
        <v>1963</v>
      </c>
      <c r="D175" s="95" t="s">
        <v>1964</v>
      </c>
      <c r="E175" s="97" t="s">
        <v>1965</v>
      </c>
      <c r="F175" s="97" t="s">
        <v>1966</v>
      </c>
      <c r="G175" s="97" t="s">
        <v>1967</v>
      </c>
      <c r="H175" s="97" t="s">
        <v>1968</v>
      </c>
      <c r="I175" s="97" t="s">
        <v>1969</v>
      </c>
      <c r="J175" s="97" t="s">
        <v>1970</v>
      </c>
      <c r="K175" s="98" t="s">
        <v>1971</v>
      </c>
    </row>
    <row r="176" spans="2:11" ht="14.5" thickBot="1" x14ac:dyDescent="0.35">
      <c r="B176" s="99"/>
      <c r="C176" s="99"/>
      <c r="D176" s="100"/>
      <c r="E176" s="944"/>
      <c r="F176" s="944"/>
      <c r="G176" s="944"/>
      <c r="H176" s="944"/>
      <c r="I176" s="944"/>
      <c r="J176" s="944"/>
      <c r="K176" s="102"/>
    </row>
    <row r="177" spans="2:11" ht="90.5" thickBot="1" x14ac:dyDescent="0.45">
      <c r="B177" s="103" t="s">
        <v>1972</v>
      </c>
      <c r="C177" s="103" t="s">
        <v>1973</v>
      </c>
      <c r="D177" s="105" t="s">
        <v>1974</v>
      </c>
      <c r="E177" s="105" t="s">
        <v>1525</v>
      </c>
      <c r="F177" s="105" t="s">
        <v>1527</v>
      </c>
      <c r="G177" s="105" t="s">
        <v>1975</v>
      </c>
      <c r="H177" s="105" t="s">
        <v>1976</v>
      </c>
      <c r="I177" s="105" t="s">
        <v>1445</v>
      </c>
      <c r="J177" s="105" t="s">
        <v>1538</v>
      </c>
      <c r="K177" s="106" t="s">
        <v>1541</v>
      </c>
    </row>
    <row r="178" spans="2:11" x14ac:dyDescent="0.3">
      <c r="B178" s="120" t="s">
        <v>1992</v>
      </c>
      <c r="C178" s="108" t="s">
        <v>1416</v>
      </c>
      <c r="D178" s="109">
        <v>8.4629308023170235</v>
      </c>
      <c r="E178" s="109">
        <v>6.9547060427376532</v>
      </c>
      <c r="F178" s="109">
        <v>5.9351528159060862</v>
      </c>
      <c r="G178" s="109">
        <v>5.4716625831392856</v>
      </c>
      <c r="H178" s="109">
        <v>6.535528665704283</v>
      </c>
      <c r="I178" s="109">
        <v>9.1664472026729449</v>
      </c>
      <c r="J178" s="109">
        <v>8.2949999592149108</v>
      </c>
      <c r="K178" s="110">
        <v>5.754232949105849</v>
      </c>
    </row>
    <row r="179" spans="2:11" x14ac:dyDescent="0.3">
      <c r="B179" s="128"/>
      <c r="C179" s="112" t="s">
        <v>1483</v>
      </c>
      <c r="D179" s="1499">
        <v>8.8882497420757982</v>
      </c>
      <c r="E179" s="1499">
        <v>7.4050590199367843</v>
      </c>
      <c r="F179" s="1499">
        <v>6.4012106731161298</v>
      </c>
      <c r="G179" s="1499">
        <v>5.9436411720294995</v>
      </c>
      <c r="H179" s="1499">
        <v>6.9860581609502548</v>
      </c>
      <c r="I179" s="1499">
        <v>9.5787921123825726</v>
      </c>
      <c r="J179" s="1499">
        <v>8.7230874652282431</v>
      </c>
      <c r="K179" s="113">
        <v>6.2219416149345799</v>
      </c>
    </row>
    <row r="180" spans="2:11" x14ac:dyDescent="0.3">
      <c r="B180" s="128"/>
      <c r="C180" s="112" t="s">
        <v>1489</v>
      </c>
      <c r="D180" s="1499">
        <v>8.8461464535072611</v>
      </c>
      <c r="E180" s="1499">
        <v>7.3629557313682472</v>
      </c>
      <c r="F180" s="1499">
        <v>6.3591073845475936</v>
      </c>
      <c r="G180" s="1499">
        <v>5.9015378834609633</v>
      </c>
      <c r="H180" s="1499">
        <v>6.9439548723817177</v>
      </c>
      <c r="I180" s="1499">
        <v>9.5366888238140355</v>
      </c>
      <c r="J180" s="1499">
        <v>8.680984176659706</v>
      </c>
      <c r="K180" s="113">
        <v>6.1798383263660428</v>
      </c>
    </row>
    <row r="181" spans="2:11" x14ac:dyDescent="0.3">
      <c r="B181" s="122">
        <v>0</v>
      </c>
      <c r="C181" s="112" t="s">
        <v>1496</v>
      </c>
      <c r="D181" s="1499">
        <v>8.7829915206544573</v>
      </c>
      <c r="E181" s="1499">
        <v>7.2998007985154425</v>
      </c>
      <c r="F181" s="1499">
        <v>6.2959524516947889</v>
      </c>
      <c r="G181" s="1499">
        <v>5.8383829506081586</v>
      </c>
      <c r="H181" s="1499">
        <v>6.8807999395289139</v>
      </c>
      <c r="I181" s="1499">
        <v>9.4735338909612317</v>
      </c>
      <c r="J181" s="1499">
        <v>8.6178292438069004</v>
      </c>
      <c r="K181" s="113">
        <v>6.116683393513239</v>
      </c>
    </row>
    <row r="182" spans="2:11" x14ac:dyDescent="0.3">
      <c r="B182" s="123"/>
      <c r="C182" s="112" t="s">
        <v>1500</v>
      </c>
      <c r="D182" s="1499">
        <v>8.7198365878016517</v>
      </c>
      <c r="E182" s="1499">
        <v>7.2366458656626369</v>
      </c>
      <c r="F182" s="1499">
        <v>6.2327975188419833</v>
      </c>
      <c r="G182" s="1499">
        <v>5.775228017755353</v>
      </c>
      <c r="H182" s="1499">
        <v>6.8176450066761083</v>
      </c>
      <c r="I182" s="1499">
        <v>9.4103789581084261</v>
      </c>
      <c r="J182" s="1499">
        <v>8.5546743109540948</v>
      </c>
      <c r="K182" s="113">
        <v>6.0535284606604334</v>
      </c>
    </row>
    <row r="183" spans="2:11" x14ac:dyDescent="0.3">
      <c r="B183" s="123"/>
      <c r="C183" s="112" t="s">
        <v>1504</v>
      </c>
      <c r="D183" s="1499">
        <v>8.8048963683883219</v>
      </c>
      <c r="E183" s="1499">
        <v>7.3140104055278847</v>
      </c>
      <c r="F183" s="1499">
        <v>6.3101268369867602</v>
      </c>
      <c r="G183" s="1499">
        <v>5.8519327971294581</v>
      </c>
      <c r="H183" s="1499">
        <v>6.8963462228455557</v>
      </c>
      <c r="I183" s="1499">
        <v>9.4897999891162961</v>
      </c>
      <c r="J183" s="1499">
        <v>8.6333478780947654</v>
      </c>
      <c r="K183" s="113">
        <v>6.1303174119079467</v>
      </c>
    </row>
    <row r="184" spans="2:11" x14ac:dyDescent="0.3">
      <c r="B184" s="123"/>
      <c r="C184" s="112" t="s">
        <v>1508</v>
      </c>
      <c r="D184" s="1499">
        <v>8.7694057216918928</v>
      </c>
      <c r="E184" s="1499">
        <v>7.2785197588314539</v>
      </c>
      <c r="F184" s="1499">
        <v>6.2746361902903294</v>
      </c>
      <c r="G184" s="1499">
        <v>5.8164421504330273</v>
      </c>
      <c r="H184" s="1499">
        <v>6.8608555761491257</v>
      </c>
      <c r="I184" s="1499">
        <v>9.4543093424198652</v>
      </c>
      <c r="J184" s="1499">
        <v>8.5978572313983346</v>
      </c>
      <c r="K184" s="113">
        <v>6.0948267652115158</v>
      </c>
    </row>
    <row r="185" spans="2:11" x14ac:dyDescent="0.3">
      <c r="B185" s="123"/>
      <c r="C185" s="112" t="s">
        <v>1513</v>
      </c>
      <c r="D185" s="1499">
        <v>8.7161697516472465</v>
      </c>
      <c r="E185" s="1499">
        <v>7.2252837887868093</v>
      </c>
      <c r="F185" s="1499">
        <v>6.2214002202456848</v>
      </c>
      <c r="G185" s="1499">
        <v>5.7632061803883818</v>
      </c>
      <c r="H185" s="1499">
        <v>6.8076196061044802</v>
      </c>
      <c r="I185" s="1499">
        <v>9.4010733723752207</v>
      </c>
      <c r="J185" s="1499">
        <v>8.54462126135369</v>
      </c>
      <c r="K185" s="113">
        <v>6.0415907951668713</v>
      </c>
    </row>
    <row r="186" spans="2:11" x14ac:dyDescent="0.3">
      <c r="B186" s="123"/>
      <c r="C186" s="112" t="s">
        <v>1517</v>
      </c>
      <c r="D186" s="1499">
        <v>8.662933781602602</v>
      </c>
      <c r="E186" s="1499">
        <v>7.1720478187421639</v>
      </c>
      <c r="F186" s="1499">
        <v>6.1681642502010394</v>
      </c>
      <c r="G186" s="1499">
        <v>5.7099702103437373</v>
      </c>
      <c r="H186" s="1499">
        <v>6.7543836360598348</v>
      </c>
      <c r="I186" s="1499">
        <v>9.3478374023305761</v>
      </c>
      <c r="J186" s="1499">
        <v>8.4913852913090437</v>
      </c>
      <c r="K186" s="113">
        <v>5.9883548251222258</v>
      </c>
    </row>
    <row r="187" spans="2:11" ht="14.5" thickBot="1" x14ac:dyDescent="0.35">
      <c r="B187" s="124"/>
      <c r="C187" s="116" t="s">
        <v>1519</v>
      </c>
      <c r="D187" s="117">
        <v>8.8882497420757982</v>
      </c>
      <c r="E187" s="117">
        <v>7.4050590199367843</v>
      </c>
      <c r="F187" s="117">
        <v>6.4012106731161298</v>
      </c>
      <c r="G187" s="117">
        <v>5.9436411720294995</v>
      </c>
      <c r="H187" s="117">
        <v>6.9860581609502548</v>
      </c>
      <c r="I187" s="117">
        <v>9.5787921123825726</v>
      </c>
      <c r="J187" s="117">
        <v>8.7230874652282431</v>
      </c>
      <c r="K187" s="118">
        <v>6.2219416149345799</v>
      </c>
    </row>
    <row r="188" spans="2:11" x14ac:dyDescent="0.3">
      <c r="B188" s="120" t="s">
        <v>1993</v>
      </c>
      <c r="C188" s="1234" t="s">
        <v>1416</v>
      </c>
      <c r="D188" s="109">
        <v>5.5437747565587028</v>
      </c>
      <c r="E188" s="109">
        <v>3.9249368786072463</v>
      </c>
      <c r="F188" s="109">
        <v>2.9508145701650803</v>
      </c>
      <c r="G188" s="109">
        <v>2.4542926239422154</v>
      </c>
      <c r="H188" s="109">
        <v>3.4968700987303567</v>
      </c>
      <c r="I188" s="109">
        <v>6.2473764117791957</v>
      </c>
      <c r="J188" s="109">
        <v>5.3190874031267033</v>
      </c>
      <c r="K188" s="110">
        <v>2.720935117193533</v>
      </c>
    </row>
    <row r="189" spans="2:11" x14ac:dyDescent="0.3">
      <c r="B189" s="121"/>
      <c r="C189" s="1500" t="s">
        <v>1483</v>
      </c>
      <c r="D189" s="1499">
        <v>6.02337571144135</v>
      </c>
      <c r="E189" s="1499">
        <v>4.4418581521649791</v>
      </c>
      <c r="F189" s="1499">
        <v>3.4471070703346203</v>
      </c>
      <c r="G189" s="1499">
        <v>2.9756592960119672</v>
      </c>
      <c r="H189" s="1499">
        <v>3.9937854632354157</v>
      </c>
      <c r="I189" s="1499">
        <v>6.7390870049079936</v>
      </c>
      <c r="J189" s="1499">
        <v>5.8246741405146771</v>
      </c>
      <c r="K189" s="113">
        <v>3.2467076768280601</v>
      </c>
    </row>
    <row r="190" spans="2:11" x14ac:dyDescent="0.3">
      <c r="B190" s="128"/>
      <c r="C190" s="1500" t="s">
        <v>1489</v>
      </c>
      <c r="D190" s="1499">
        <v>5.9812724228728129</v>
      </c>
      <c r="E190" s="1499">
        <v>4.399754863596443</v>
      </c>
      <c r="F190" s="1499">
        <v>3.4050037817660836</v>
      </c>
      <c r="G190" s="1499">
        <v>2.9335560074434306</v>
      </c>
      <c r="H190" s="1499">
        <v>3.9516821746668795</v>
      </c>
      <c r="I190" s="1499">
        <v>6.6969837163394574</v>
      </c>
      <c r="J190" s="1499">
        <v>5.7825708519461401</v>
      </c>
      <c r="K190" s="113">
        <v>3.2046043882595239</v>
      </c>
    </row>
    <row r="191" spans="2:11" x14ac:dyDescent="0.3">
      <c r="B191" s="122">
        <v>0</v>
      </c>
      <c r="C191" s="1500" t="s">
        <v>1496</v>
      </c>
      <c r="D191" s="1499">
        <v>5.9181174900200082</v>
      </c>
      <c r="E191" s="1499">
        <v>4.3365999307436383</v>
      </c>
      <c r="F191" s="1499">
        <v>3.3418488489132789</v>
      </c>
      <c r="G191" s="1499">
        <v>2.8704010745906259</v>
      </c>
      <c r="H191" s="1499">
        <v>3.8885272418140744</v>
      </c>
      <c r="I191" s="1499">
        <v>6.6338287834866527</v>
      </c>
      <c r="J191" s="1499">
        <v>5.7194159190933362</v>
      </c>
      <c r="K191" s="113">
        <v>3.1414494554067192</v>
      </c>
    </row>
    <row r="192" spans="2:11" x14ac:dyDescent="0.3">
      <c r="B192" s="123"/>
      <c r="C192" s="1500" t="s">
        <v>1500</v>
      </c>
      <c r="D192" s="1499">
        <v>5.8549625571672035</v>
      </c>
      <c r="E192" s="1499">
        <v>4.2734449978908344</v>
      </c>
      <c r="F192" s="1499">
        <v>3.2786939160604747</v>
      </c>
      <c r="G192" s="1499">
        <v>2.8072461417378212</v>
      </c>
      <c r="H192" s="1499">
        <v>3.8253723089612701</v>
      </c>
      <c r="I192" s="1499">
        <v>6.5706738506338471</v>
      </c>
      <c r="J192" s="1499">
        <v>5.6562609862405315</v>
      </c>
      <c r="K192" s="113">
        <v>3.0782945225539149</v>
      </c>
    </row>
    <row r="193" spans="2:11" x14ac:dyDescent="0.3">
      <c r="B193" s="123"/>
      <c r="C193" s="1500" t="s">
        <v>1504</v>
      </c>
      <c r="D193" s="1499">
        <v>5.9325501870694897</v>
      </c>
      <c r="E193" s="1499">
        <v>4.3422511508824488</v>
      </c>
      <c r="F193" s="1499">
        <v>3.3515005421993798</v>
      </c>
      <c r="G193" s="1499">
        <v>2.8721696749019863</v>
      </c>
      <c r="H193" s="1499">
        <v>3.8983297991470907</v>
      </c>
      <c r="I193" s="1499">
        <v>6.6414669697699562</v>
      </c>
      <c r="J193" s="1499">
        <v>5.7264513825827041</v>
      </c>
      <c r="K193" s="113">
        <v>3.1450786424480675</v>
      </c>
    </row>
    <row r="194" spans="2:11" x14ac:dyDescent="0.3">
      <c r="B194" s="123"/>
      <c r="C194" s="1500" t="s">
        <v>1508</v>
      </c>
      <c r="D194" s="1499">
        <v>5.8970595403730588</v>
      </c>
      <c r="E194" s="1499">
        <v>4.3067605041860189</v>
      </c>
      <c r="F194" s="1499">
        <v>3.3160098955029498</v>
      </c>
      <c r="G194" s="1499">
        <v>2.8366790282055567</v>
      </c>
      <c r="H194" s="1499">
        <v>3.8628391524506611</v>
      </c>
      <c r="I194" s="1499">
        <v>6.6059763230735253</v>
      </c>
      <c r="J194" s="1499">
        <v>5.6909607358862742</v>
      </c>
      <c r="K194" s="113">
        <v>3.1095879957516375</v>
      </c>
    </row>
    <row r="195" spans="2:11" x14ac:dyDescent="0.3">
      <c r="B195" s="123"/>
      <c r="C195" s="1500" t="s">
        <v>1513</v>
      </c>
      <c r="D195" s="1499">
        <v>5.8438235703284134</v>
      </c>
      <c r="E195" s="1499">
        <v>4.2535245341413734</v>
      </c>
      <c r="F195" s="1499">
        <v>3.2627739254583048</v>
      </c>
      <c r="G195" s="1499">
        <v>2.7834430581609113</v>
      </c>
      <c r="H195" s="1499">
        <v>3.8096031824060157</v>
      </c>
      <c r="I195" s="1499">
        <v>6.5527403530288808</v>
      </c>
      <c r="J195" s="1499">
        <v>5.6377247658416287</v>
      </c>
      <c r="K195" s="113">
        <v>3.0563520257069925</v>
      </c>
    </row>
    <row r="196" spans="2:11" x14ac:dyDescent="0.3">
      <c r="B196" s="123"/>
      <c r="C196" s="1500" t="s">
        <v>1517</v>
      </c>
      <c r="D196" s="1499">
        <v>5.7905876002837688</v>
      </c>
      <c r="E196" s="1499">
        <v>4.2002885640967289</v>
      </c>
      <c r="F196" s="1499">
        <v>3.2095379554136594</v>
      </c>
      <c r="G196" s="1499">
        <v>2.7302070881162663</v>
      </c>
      <c r="H196" s="1499">
        <v>3.7563672123613707</v>
      </c>
      <c r="I196" s="1499">
        <v>6.4995043829842354</v>
      </c>
      <c r="J196" s="1499">
        <v>5.5844887957969833</v>
      </c>
      <c r="K196" s="113">
        <v>3.0031160556623471</v>
      </c>
    </row>
    <row r="197" spans="2:11" ht="14.5" thickBot="1" x14ac:dyDescent="0.35">
      <c r="B197" s="124"/>
      <c r="C197" s="125" t="s">
        <v>1519</v>
      </c>
      <c r="D197" s="117">
        <v>6.02337571144135</v>
      </c>
      <c r="E197" s="117">
        <v>4.4418581521649791</v>
      </c>
      <c r="F197" s="117">
        <v>3.4471070703346203</v>
      </c>
      <c r="G197" s="117">
        <v>2.9756592960119672</v>
      </c>
      <c r="H197" s="117">
        <v>3.9937854632354157</v>
      </c>
      <c r="I197" s="117">
        <v>6.7390870049079936</v>
      </c>
      <c r="J197" s="117">
        <v>5.8246741405146771</v>
      </c>
      <c r="K197" s="118">
        <v>3.2467076768280601</v>
      </c>
    </row>
    <row r="198" spans="2:11" x14ac:dyDescent="0.3">
      <c r="B198" s="119" t="s">
        <v>1994</v>
      </c>
      <c r="C198" s="108" t="s">
        <v>1416</v>
      </c>
      <c r="D198" s="109">
        <v>6.7315015449880544</v>
      </c>
      <c r="E198" s="109">
        <v>5.2101211917322416</v>
      </c>
      <c r="F198" s="109">
        <v>4.1188988733632295</v>
      </c>
      <c r="G198" s="109">
        <v>3.6693477188320265</v>
      </c>
      <c r="H198" s="109">
        <v>4.6986624613865366</v>
      </c>
      <c r="I198" s="109">
        <v>7.5783021665608015</v>
      </c>
      <c r="J198" s="109">
        <v>6.6412324640916598</v>
      </c>
      <c r="K198" s="110">
        <v>3.959189107297544</v>
      </c>
    </row>
    <row r="199" spans="2:11" x14ac:dyDescent="0.3">
      <c r="B199" s="111"/>
      <c r="C199" s="112" t="s">
        <v>1483</v>
      </c>
      <c r="D199" s="1499">
        <v>7.2048514773651577</v>
      </c>
      <c r="E199" s="1499">
        <v>5.7143141263831492</v>
      </c>
      <c r="F199" s="1499">
        <v>4.6241300944385912</v>
      </c>
      <c r="G199" s="1499">
        <v>4.1881067255052544</v>
      </c>
      <c r="H199" s="1499">
        <v>5.1929890753671906</v>
      </c>
      <c r="I199" s="1499">
        <v>8.0442025715150898</v>
      </c>
      <c r="J199" s="1499">
        <v>7.1255428403325656</v>
      </c>
      <c r="K199" s="113">
        <v>4.4774050187341956</v>
      </c>
    </row>
    <row r="200" spans="2:11" x14ac:dyDescent="0.3">
      <c r="B200" s="111"/>
      <c r="C200" s="112" t="s">
        <v>1489</v>
      </c>
      <c r="D200" s="1499">
        <v>7.1627481887966207</v>
      </c>
      <c r="E200" s="1499">
        <v>5.6722108378146121</v>
      </c>
      <c r="F200" s="1499">
        <v>4.5820268058700551</v>
      </c>
      <c r="G200" s="1499">
        <v>4.1460034369367182</v>
      </c>
      <c r="H200" s="1499">
        <v>5.1508857867986544</v>
      </c>
      <c r="I200" s="1499">
        <v>8.0020992829465527</v>
      </c>
      <c r="J200" s="1499">
        <v>7.0834395517640285</v>
      </c>
      <c r="K200" s="113">
        <v>4.4353017301656594</v>
      </c>
    </row>
    <row r="201" spans="2:11" x14ac:dyDescent="0.3">
      <c r="B201" s="114">
        <v>0</v>
      </c>
      <c r="C201" s="112" t="s">
        <v>1496</v>
      </c>
      <c r="D201" s="1499">
        <v>7.099593255943816</v>
      </c>
      <c r="E201" s="1499">
        <v>5.6090559049618074</v>
      </c>
      <c r="F201" s="1499">
        <v>4.5188718730172504</v>
      </c>
      <c r="G201" s="1499">
        <v>4.0828485040839135</v>
      </c>
      <c r="H201" s="1499">
        <v>5.0877308539458497</v>
      </c>
      <c r="I201" s="1499">
        <v>7.9389443500937489</v>
      </c>
      <c r="J201" s="1499">
        <v>7.0202846189112247</v>
      </c>
      <c r="K201" s="113">
        <v>4.3721467973128547</v>
      </c>
    </row>
    <row r="202" spans="2:11" x14ac:dyDescent="0.3">
      <c r="B202" s="115"/>
      <c r="C202" s="112" t="s">
        <v>1500</v>
      </c>
      <c r="D202" s="1499">
        <v>7.0364383230910112</v>
      </c>
      <c r="E202" s="1499">
        <v>5.5459009721090027</v>
      </c>
      <c r="F202" s="1499">
        <v>4.4557169401644465</v>
      </c>
      <c r="G202" s="1499">
        <v>4.0196935712311088</v>
      </c>
      <c r="H202" s="1499">
        <v>5.0245759210930458</v>
      </c>
      <c r="I202" s="1499">
        <v>7.8757894172409433</v>
      </c>
      <c r="J202" s="1499">
        <v>6.9571296860584191</v>
      </c>
      <c r="K202" s="113">
        <v>4.30899186446005</v>
      </c>
    </row>
    <row r="203" spans="2:11" x14ac:dyDescent="0.3">
      <c r="B203" s="115"/>
      <c r="C203" s="112" t="s">
        <v>1504</v>
      </c>
      <c r="D203" s="1499">
        <v>7.1140541357970051</v>
      </c>
      <c r="E203" s="1499">
        <v>5.6164125394931856</v>
      </c>
      <c r="F203" s="1499">
        <v>4.527618917190936</v>
      </c>
      <c r="G203" s="1499">
        <v>4.0878047511918467</v>
      </c>
      <c r="H203" s="1499">
        <v>5.0981311332811181</v>
      </c>
      <c r="I203" s="1499">
        <v>7.948172718152505</v>
      </c>
      <c r="J203" s="1499">
        <v>7.0284906366286206</v>
      </c>
      <c r="K203" s="113">
        <v>4.3777363686623527</v>
      </c>
    </row>
    <row r="204" spans="2:11" x14ac:dyDescent="0.3">
      <c r="B204" s="115"/>
      <c r="C204" s="112" t="s">
        <v>1508</v>
      </c>
      <c r="D204" s="1499">
        <v>7.0785634891005742</v>
      </c>
      <c r="E204" s="1499">
        <v>5.5809218927967557</v>
      </c>
      <c r="F204" s="1499">
        <v>4.492128270494506</v>
      </c>
      <c r="G204" s="1499">
        <v>4.0523141044954167</v>
      </c>
      <c r="H204" s="1499">
        <v>5.0626404865846881</v>
      </c>
      <c r="I204" s="1499">
        <v>7.9126820714560742</v>
      </c>
      <c r="J204" s="1499">
        <v>6.9929999899321897</v>
      </c>
      <c r="K204" s="113">
        <v>4.3422457219659227</v>
      </c>
    </row>
    <row r="205" spans="2:11" x14ac:dyDescent="0.3">
      <c r="B205" s="115"/>
      <c r="C205" s="112" t="s">
        <v>1513</v>
      </c>
      <c r="D205" s="1499">
        <v>7.0253275190559297</v>
      </c>
      <c r="E205" s="1499">
        <v>5.5276859227521102</v>
      </c>
      <c r="F205" s="1499">
        <v>4.4388923004498606</v>
      </c>
      <c r="G205" s="1499">
        <v>3.9990781344507718</v>
      </c>
      <c r="H205" s="1499">
        <v>5.0094045165400427</v>
      </c>
      <c r="I205" s="1499">
        <v>7.8594461014114296</v>
      </c>
      <c r="J205" s="1499">
        <v>6.9397640198875452</v>
      </c>
      <c r="K205" s="113">
        <v>4.2890097519212773</v>
      </c>
    </row>
    <row r="206" spans="2:11" x14ac:dyDescent="0.3">
      <c r="B206" s="115"/>
      <c r="C206" s="112" t="s">
        <v>1517</v>
      </c>
      <c r="D206" s="1499">
        <v>6.9720915490112843</v>
      </c>
      <c r="E206" s="1499">
        <v>5.4744499527074657</v>
      </c>
      <c r="F206" s="1499">
        <v>4.3856563304052161</v>
      </c>
      <c r="G206" s="1499">
        <v>3.9458421644061268</v>
      </c>
      <c r="H206" s="1499">
        <v>4.9561685464953982</v>
      </c>
      <c r="I206" s="1499">
        <v>7.8062101313667842</v>
      </c>
      <c r="J206" s="1499">
        <v>6.8865280498428998</v>
      </c>
      <c r="K206" s="113">
        <v>4.2357737818766328</v>
      </c>
    </row>
    <row r="207" spans="2:11" ht="14.5" thickBot="1" x14ac:dyDescent="0.35">
      <c r="B207" s="1233"/>
      <c r="C207" s="116" t="s">
        <v>1519</v>
      </c>
      <c r="D207" s="117">
        <v>7.2048514773651577</v>
      </c>
      <c r="E207" s="117">
        <v>5.7143141263831492</v>
      </c>
      <c r="F207" s="117">
        <v>4.6241300944385912</v>
      </c>
      <c r="G207" s="117">
        <v>4.1881067255052544</v>
      </c>
      <c r="H207" s="117">
        <v>5.1929890753671906</v>
      </c>
      <c r="I207" s="117">
        <v>8.0442025715150898</v>
      </c>
      <c r="J207" s="117">
        <v>7.1255428403325656</v>
      </c>
      <c r="K207" s="118">
        <v>4.4774050187341956</v>
      </c>
    </row>
    <row r="208" spans="2:11" x14ac:dyDescent="0.3">
      <c r="B208" s="120" t="s">
        <v>1519</v>
      </c>
      <c r="C208" s="108" t="s">
        <v>1416</v>
      </c>
      <c r="D208" s="129">
        <v>5.0826683178994001</v>
      </c>
      <c r="E208" s="109">
        <v>3.3692446556907671</v>
      </c>
      <c r="F208" s="109">
        <v>2.5521641061136342</v>
      </c>
      <c r="G208" s="109">
        <v>2.0261173684472462</v>
      </c>
      <c r="H208" s="109">
        <v>3.0643800087721447</v>
      </c>
      <c r="I208" s="109">
        <v>5.5570326932417293</v>
      </c>
      <c r="J208" s="109">
        <v>4.6742517779324784</v>
      </c>
      <c r="K208" s="110">
        <v>2.2600162417771488</v>
      </c>
    </row>
    <row r="209" spans="2:11" x14ac:dyDescent="0.3">
      <c r="B209" s="111"/>
      <c r="C209" s="112" t="s">
        <v>1483</v>
      </c>
      <c r="D209" s="130">
        <v>5.440433382417373</v>
      </c>
      <c r="E209" s="1499">
        <v>3.7498576190225275</v>
      </c>
      <c r="F209" s="1499">
        <v>2.9067691585436402</v>
      </c>
      <c r="G209" s="1499">
        <v>2.3969182951266932</v>
      </c>
      <c r="H209" s="1499">
        <v>3.4244270496280254</v>
      </c>
      <c r="I209" s="1499">
        <v>5.9312459128474364</v>
      </c>
      <c r="J209" s="1499">
        <v>5.0548871457042699</v>
      </c>
      <c r="K209" s="113">
        <v>2.6429263392537572</v>
      </c>
    </row>
    <row r="210" spans="2:11" x14ac:dyDescent="0.3">
      <c r="B210" s="111"/>
      <c r="C210" s="112" t="s">
        <v>1489</v>
      </c>
      <c r="D210" s="130">
        <v>5.3983300938488368</v>
      </c>
      <c r="E210" s="1499">
        <v>3.7077543304539908</v>
      </c>
      <c r="F210" s="1499">
        <v>2.8646658699751035</v>
      </c>
      <c r="G210" s="1499">
        <v>2.3548150065581566</v>
      </c>
      <c r="H210" s="1499">
        <v>3.3823237610594887</v>
      </c>
      <c r="I210" s="1499">
        <v>5.8891426242788993</v>
      </c>
      <c r="J210" s="1499">
        <v>5.0127838571357337</v>
      </c>
      <c r="K210" s="113">
        <v>2.6008230506852206</v>
      </c>
    </row>
    <row r="211" spans="2:11" x14ac:dyDescent="0.3">
      <c r="B211" s="114">
        <v>0</v>
      </c>
      <c r="C211" s="112" t="s">
        <v>1496</v>
      </c>
      <c r="D211" s="130">
        <v>5.3351751609960312</v>
      </c>
      <c r="E211" s="1499">
        <v>3.6445993976011861</v>
      </c>
      <c r="F211" s="1499">
        <v>2.8015109371222988</v>
      </c>
      <c r="G211" s="1499">
        <v>2.2916600737053523</v>
      </c>
      <c r="H211" s="1499">
        <v>3.319168828206684</v>
      </c>
      <c r="I211" s="1499">
        <v>5.8259876914260946</v>
      </c>
      <c r="J211" s="1499">
        <v>4.9496289242829281</v>
      </c>
      <c r="K211" s="113">
        <v>2.5376681178324163</v>
      </c>
    </row>
    <row r="212" spans="2:11" x14ac:dyDescent="0.3">
      <c r="B212" s="115"/>
      <c r="C212" s="112" t="s">
        <v>1500</v>
      </c>
      <c r="D212" s="130">
        <v>5.2720202281432265</v>
      </c>
      <c r="E212" s="1499">
        <v>3.5814444647483814</v>
      </c>
      <c r="F212" s="1499">
        <v>2.7383560042694941</v>
      </c>
      <c r="G212" s="1499">
        <v>2.2285051408525471</v>
      </c>
      <c r="H212" s="1499">
        <v>3.2560138953538793</v>
      </c>
      <c r="I212" s="1499">
        <v>5.7628327585732908</v>
      </c>
      <c r="J212" s="1499">
        <v>4.8864739914301234</v>
      </c>
      <c r="K212" s="113">
        <v>2.4745131849796111</v>
      </c>
    </row>
    <row r="213" spans="2:11" x14ac:dyDescent="0.3">
      <c r="B213" s="115"/>
      <c r="C213" s="112" t="s">
        <v>1504</v>
      </c>
      <c r="D213" s="130">
        <v>5.3694426538081172</v>
      </c>
      <c r="E213" s="1499">
        <v>3.6720217119754341</v>
      </c>
      <c r="F213" s="1499">
        <v>2.8350952329124461</v>
      </c>
      <c r="G213" s="1499">
        <v>2.3179001096155094</v>
      </c>
      <c r="H213" s="1499">
        <v>3.3516438884234199</v>
      </c>
      <c r="I213" s="1499">
        <v>5.8538327525456371</v>
      </c>
      <c r="J213" s="1499">
        <v>4.9781895065986204</v>
      </c>
      <c r="K213" s="113">
        <v>2.565399900158174</v>
      </c>
    </row>
    <row r="214" spans="2:11" x14ac:dyDescent="0.3">
      <c r="B214" s="115"/>
      <c r="C214" s="112" t="s">
        <v>1508</v>
      </c>
      <c r="D214" s="130">
        <v>5.3339520071116873</v>
      </c>
      <c r="E214" s="1499">
        <v>3.6365310652790042</v>
      </c>
      <c r="F214" s="1499">
        <v>2.7996045862160157</v>
      </c>
      <c r="G214" s="1499">
        <v>2.282409462919079</v>
      </c>
      <c r="H214" s="1499">
        <v>3.3161532417269899</v>
      </c>
      <c r="I214" s="1499">
        <v>5.8183421058492062</v>
      </c>
      <c r="J214" s="1499">
        <v>4.9426988599021904</v>
      </c>
      <c r="K214" s="113">
        <v>2.529909253461744</v>
      </c>
    </row>
    <row r="215" spans="2:11" x14ac:dyDescent="0.3">
      <c r="B215" s="115"/>
      <c r="C215" s="112" t="s">
        <v>1513</v>
      </c>
      <c r="D215" s="130">
        <v>5.2807160370670418</v>
      </c>
      <c r="E215" s="1499">
        <v>3.5832950952343583</v>
      </c>
      <c r="F215" s="1499">
        <v>2.7463686161713707</v>
      </c>
      <c r="G215" s="1499">
        <v>2.229173492874434</v>
      </c>
      <c r="H215" s="1499">
        <v>3.2629172716823449</v>
      </c>
      <c r="I215" s="1499">
        <v>5.7651061358045617</v>
      </c>
      <c r="J215" s="1499">
        <v>4.889462889857545</v>
      </c>
      <c r="K215" s="113">
        <v>2.476673283417099</v>
      </c>
    </row>
    <row r="216" spans="2:11" x14ac:dyDescent="0.3">
      <c r="B216" s="115"/>
      <c r="C216" s="112" t="s">
        <v>1517</v>
      </c>
      <c r="D216" s="130">
        <v>5.2274800670223964</v>
      </c>
      <c r="E216" s="1499">
        <v>3.5300591251897133</v>
      </c>
      <c r="F216" s="1499">
        <v>2.6931326461267258</v>
      </c>
      <c r="G216" s="1499">
        <v>2.175937522829789</v>
      </c>
      <c r="H216" s="1499">
        <v>3.209681301637699</v>
      </c>
      <c r="I216" s="1499">
        <v>5.7118701657599162</v>
      </c>
      <c r="J216" s="1499">
        <v>4.8362269198128995</v>
      </c>
      <c r="K216" s="113">
        <v>2.423437313372454</v>
      </c>
    </row>
    <row r="217" spans="2:11" ht="14.5" thickBot="1" x14ac:dyDescent="0.35">
      <c r="B217" s="1233"/>
      <c r="C217" s="116" t="s">
        <v>1519</v>
      </c>
      <c r="D217" s="131">
        <v>5.440433382417373</v>
      </c>
      <c r="E217" s="117">
        <v>3.7498576190225275</v>
      </c>
      <c r="F217" s="117">
        <v>2.9067691585436402</v>
      </c>
      <c r="G217" s="117">
        <v>2.3969182951266932</v>
      </c>
      <c r="H217" s="117">
        <v>3.4244270496280254</v>
      </c>
      <c r="I217" s="117">
        <v>5.9312459128474364</v>
      </c>
      <c r="J217" s="117">
        <v>5.0548871457042699</v>
      </c>
      <c r="K217" s="118">
        <v>2.6429263392537572</v>
      </c>
    </row>
    <row r="221" spans="2:11" ht="14.5" thickBot="1" x14ac:dyDescent="0.35"/>
    <row r="222" spans="2:11" x14ac:dyDescent="0.3">
      <c r="C222" s="132" t="s">
        <v>1995</v>
      </c>
      <c r="D222" s="132"/>
      <c r="E222" s="132"/>
      <c r="F222" s="132"/>
    </row>
    <row r="223" spans="2:11" x14ac:dyDescent="0.3">
      <c r="C223" s="1504" t="s">
        <v>1996</v>
      </c>
      <c r="D223" s="1504" t="s">
        <v>1997</v>
      </c>
      <c r="E223" s="1504" t="s">
        <v>1998</v>
      </c>
      <c r="F223" s="1504" t="s">
        <v>1999</v>
      </c>
    </row>
    <row r="224" spans="2:11" x14ac:dyDescent="0.3">
      <c r="C224" s="1498">
        <v>1</v>
      </c>
      <c r="D224" s="1505">
        <v>367.46800699392213</v>
      </c>
      <c r="E224" s="1506">
        <v>8.1253290656478086E-2</v>
      </c>
      <c r="F224" s="1507">
        <v>3.2501316262591242</v>
      </c>
      <c r="H224" s="134" t="s">
        <v>2000</v>
      </c>
    </row>
    <row r="225" spans="2:11" x14ac:dyDescent="0.3">
      <c r="C225" s="1498">
        <v>1.5</v>
      </c>
      <c r="D225" s="1505">
        <v>310.3157145428404</v>
      </c>
      <c r="E225" s="1506">
        <v>6.8615967837001746E-2</v>
      </c>
      <c r="F225" s="1507">
        <v>2.7446387134800698</v>
      </c>
      <c r="H225" s="134" t="s">
        <v>2001</v>
      </c>
    </row>
    <row r="226" spans="2:11" x14ac:dyDescent="0.3">
      <c r="C226" s="1498">
        <v>2</v>
      </c>
      <c r="D226" s="1505">
        <v>269.76551772217732</v>
      </c>
      <c r="E226" s="1506">
        <v>5.9649644604129859E-2</v>
      </c>
      <c r="F226" s="1507">
        <v>2.3859857841651944</v>
      </c>
    </row>
    <row r="227" spans="2:11" x14ac:dyDescent="0.3">
      <c r="C227" s="1498">
        <v>2.5</v>
      </c>
      <c r="D227" s="1505">
        <v>238.31234148517149</v>
      </c>
      <c r="E227" s="1506">
        <v>5.2694823987876505E-2</v>
      </c>
      <c r="F227" s="1507">
        <v>2.1077929595150602</v>
      </c>
    </row>
    <row r="228" spans="2:11" x14ac:dyDescent="0.3">
      <c r="B228" s="2"/>
      <c r="C228" s="1498">
        <v>3</v>
      </c>
      <c r="D228" s="1505">
        <v>212.61322527109544</v>
      </c>
      <c r="E228" s="1506">
        <v>4.7012321784653505E-2</v>
      </c>
      <c r="F228" s="1507">
        <v>1.88049287138614</v>
      </c>
      <c r="I228" s="135"/>
      <c r="J228" s="135"/>
      <c r="K228" s="135"/>
    </row>
    <row r="229" spans="2:11" x14ac:dyDescent="0.3">
      <c r="B229" s="136"/>
      <c r="C229" s="1498">
        <v>3.5</v>
      </c>
      <c r="D229" s="1505">
        <v>190.88493211135375</v>
      </c>
      <c r="E229" s="1506">
        <v>4.2207834629376176E-2</v>
      </c>
      <c r="F229" s="1507">
        <v>1.6883133851750469</v>
      </c>
      <c r="I229" s="135"/>
      <c r="J229" s="135"/>
      <c r="K229" s="135"/>
    </row>
    <row r="230" spans="2:11" x14ac:dyDescent="0.3">
      <c r="B230" s="136"/>
      <c r="C230" s="1498">
        <v>4</v>
      </c>
      <c r="D230" s="1505">
        <v>172.0630284504324</v>
      </c>
      <c r="E230" s="1506">
        <v>3.8045998551781618E-2</v>
      </c>
      <c r="F230" s="1507">
        <v>1.5218399420712649</v>
      </c>
      <c r="I230" s="135"/>
      <c r="J230" s="135"/>
      <c r="K230" s="135"/>
    </row>
    <row r="231" spans="2:11" x14ac:dyDescent="0.3">
      <c r="B231" s="137"/>
      <c r="C231" s="1498">
        <v>4.5</v>
      </c>
      <c r="D231" s="1505">
        <v>155.4609328200136</v>
      </c>
      <c r="E231" s="1506">
        <v>3.4374998965177136E-2</v>
      </c>
      <c r="F231" s="1507">
        <v>1.3749999586070853</v>
      </c>
      <c r="I231" s="135"/>
      <c r="J231" s="135"/>
      <c r="K231" s="135"/>
    </row>
    <row r="232" spans="2:11" x14ac:dyDescent="0.3">
      <c r="C232" s="1498">
        <v>5</v>
      </c>
      <c r="D232" s="1505">
        <v>140.60985221342656</v>
      </c>
      <c r="E232" s="1506">
        <v>3.1091177935528267E-2</v>
      </c>
      <c r="F232" s="1507">
        <v>1.2436471174211308</v>
      </c>
      <c r="I232" s="135"/>
      <c r="J232" s="135"/>
      <c r="K232" s="135"/>
    </row>
    <row r="233" spans="2:11" x14ac:dyDescent="0.3">
      <c r="C233" s="1498">
        <v>5.5</v>
      </c>
      <c r="D233" s="1505">
        <v>127.17541565942145</v>
      </c>
      <c r="E233" s="1506">
        <v>2.8120600477484013E-2</v>
      </c>
      <c r="F233" s="1507">
        <v>1.1248240190993606</v>
      </c>
      <c r="I233" s="135"/>
      <c r="J233" s="135"/>
      <c r="K233" s="135"/>
    </row>
    <row r="234" spans="2:11" x14ac:dyDescent="0.3">
      <c r="C234" s="1498">
        <v>6</v>
      </c>
      <c r="D234" s="1505">
        <v>114.91073599935055</v>
      </c>
      <c r="E234" s="1506">
        <v>2.5408675732305264E-2</v>
      </c>
      <c r="F234" s="1507">
        <v>1.0163470292922108</v>
      </c>
      <c r="I234" s="135"/>
      <c r="J234" s="135"/>
      <c r="K234" s="135"/>
    </row>
    <row r="235" spans="2:11" x14ac:dyDescent="0.3">
      <c r="C235" s="1498">
        <v>6.5</v>
      </c>
      <c r="D235" s="1505">
        <v>103.62832440324831</v>
      </c>
      <c r="E235" s="1506">
        <v>2.2913946800054909E-2</v>
      </c>
      <c r="F235" s="1507">
        <v>0.91655787200219629</v>
      </c>
      <c r="I235" s="135"/>
      <c r="J235" s="135"/>
      <c r="K235" s="135"/>
    </row>
    <row r="236" spans="2:11" x14ac:dyDescent="0.3">
      <c r="C236" s="1498">
        <v>7</v>
      </c>
      <c r="D236" s="1505">
        <v>93.182442839608882</v>
      </c>
      <c r="E236" s="1506">
        <v>2.0604188577027942E-2</v>
      </c>
      <c r="F236" s="1507">
        <v>0.82416754308111773</v>
      </c>
      <c r="I236" s="135"/>
      <c r="J236" s="135"/>
      <c r="K236" s="135"/>
    </row>
    <row r="237" spans="2:11" x14ac:dyDescent="0.3">
      <c r="C237" s="1498">
        <v>7.5</v>
      </c>
      <c r="D237" s="1505">
        <v>83.457559762344758</v>
      </c>
      <c r="E237" s="1506">
        <v>1.8453855116051909E-2</v>
      </c>
      <c r="F237" s="1507">
        <v>0.73815420464207637</v>
      </c>
      <c r="I237" s="135"/>
      <c r="J237" s="135"/>
      <c r="K237" s="135"/>
    </row>
    <row r="238" spans="2:11" x14ac:dyDescent="0.3">
      <c r="B238" s="2"/>
      <c r="C238" s="1498">
        <v>8</v>
      </c>
      <c r="D238" s="1505">
        <v>74.360539178687489</v>
      </c>
      <c r="E238" s="1506">
        <v>1.6442352499433387E-2</v>
      </c>
      <c r="F238" s="1507">
        <v>0.6576940999773353</v>
      </c>
      <c r="I238" s="135"/>
      <c r="J238" s="135"/>
      <c r="K238" s="135"/>
    </row>
    <row r="239" spans="2:11" x14ac:dyDescent="0.3">
      <c r="B239" s="136"/>
      <c r="C239" s="1498">
        <v>8.5</v>
      </c>
      <c r="D239" s="1505">
        <v>65.81520186974987</v>
      </c>
      <c r="E239" s="1506">
        <v>1.4552836234328327E-2</v>
      </c>
      <c r="F239" s="1507">
        <v>0.58211344937313303</v>
      </c>
      <c r="I239" s="135"/>
      <c r="J239" s="135"/>
      <c r="K239" s="135"/>
    </row>
    <row r="240" spans="2:11" x14ac:dyDescent="0.3">
      <c r="B240" s="136"/>
      <c r="C240" s="1498">
        <v>9</v>
      </c>
      <c r="D240" s="1505">
        <v>57.758443548268673</v>
      </c>
      <c r="E240" s="1506">
        <v>1.2771352912828892E-2</v>
      </c>
      <c r="F240" s="1507">
        <v>0.51085411651315571</v>
      </c>
      <c r="I240" s="135"/>
      <c r="J240" s="135"/>
      <c r="K240" s="135"/>
    </row>
    <row r="241" spans="2:11" x14ac:dyDescent="0.3">
      <c r="B241" s="137"/>
      <c r="C241" s="1498">
        <v>9.5</v>
      </c>
      <c r="D241" s="1505">
        <v>50.137403956295159</v>
      </c>
      <c r="E241" s="1506">
        <v>1.1086214252359349E-2</v>
      </c>
      <c r="F241" s="1507">
        <v>0.44344857009437399</v>
      </c>
      <c r="I241" s="135"/>
      <c r="J241" s="135"/>
      <c r="K241" s="135"/>
    </row>
    <row r="242" spans="2:11" x14ac:dyDescent="0.3">
      <c r="C242" s="1498">
        <v>10</v>
      </c>
      <c r="D242" s="1505">
        <v>42.907362941681647</v>
      </c>
      <c r="E242" s="1506">
        <v>9.4875318831800209E-3</v>
      </c>
      <c r="F242" s="1507">
        <v>0.37950127532720085</v>
      </c>
      <c r="I242" s="135"/>
      <c r="J242" s="135"/>
      <c r="K242" s="135"/>
    </row>
    <row r="243" spans="2:11" x14ac:dyDescent="0.3">
      <c r="I243" s="135"/>
      <c r="J243" s="135"/>
      <c r="K243" s="135"/>
    </row>
    <row r="244" spans="2:11" ht="14.5" thickBot="1" x14ac:dyDescent="0.35">
      <c r="I244" s="135"/>
      <c r="J244" s="135"/>
      <c r="K244" s="135"/>
    </row>
    <row r="245" spans="2:11" x14ac:dyDescent="0.3">
      <c r="C245" s="132" t="s">
        <v>2002</v>
      </c>
      <c r="D245" s="132"/>
      <c r="E245" s="132"/>
      <c r="F245" s="132"/>
      <c r="H245" s="134" t="s">
        <v>2003</v>
      </c>
      <c r="I245" s="135"/>
      <c r="J245" s="135"/>
      <c r="K245" s="135"/>
    </row>
    <row r="246" spans="2:11" x14ac:dyDescent="0.3">
      <c r="C246" s="1508" t="s">
        <v>1996</v>
      </c>
      <c r="D246" s="1508" t="s">
        <v>2004</v>
      </c>
      <c r="E246" s="1508" t="s">
        <v>2005</v>
      </c>
      <c r="F246" s="1508" t="s">
        <v>2006</v>
      </c>
      <c r="H246" s="134" t="s">
        <v>2007</v>
      </c>
      <c r="I246" s="135"/>
      <c r="J246" s="135"/>
      <c r="K246" s="135"/>
    </row>
    <row r="247" spans="2:11" x14ac:dyDescent="0.3">
      <c r="C247" s="1498" t="s">
        <v>376</v>
      </c>
      <c r="D247" s="1509">
        <v>436.66735352403987</v>
      </c>
      <c r="E247" s="1510">
        <v>9.6554417584088392E-2</v>
      </c>
      <c r="F247" s="1511">
        <v>3.862176703363537</v>
      </c>
      <c r="I247" s="135"/>
      <c r="J247" s="135"/>
      <c r="K247" s="135"/>
    </row>
    <row r="248" spans="2:11" x14ac:dyDescent="0.3">
      <c r="B248" s="2"/>
      <c r="D248" s="135"/>
      <c r="E248" s="135"/>
      <c r="F248" s="135"/>
      <c r="G248" s="135"/>
      <c r="H248" s="135"/>
      <c r="I248" s="135"/>
      <c r="J248" s="135"/>
      <c r="K248" s="135"/>
    </row>
    <row r="249" spans="2:11" x14ac:dyDescent="0.3">
      <c r="B249" s="136"/>
      <c r="D249" s="135"/>
      <c r="E249" s="135"/>
      <c r="F249" s="135"/>
      <c r="G249" s="135"/>
      <c r="H249" s="135"/>
      <c r="I249" s="135"/>
      <c r="J249" s="135"/>
      <c r="K249" s="135"/>
    </row>
    <row r="250" spans="2:11" x14ac:dyDescent="0.3">
      <c r="B250" s="136"/>
      <c r="D250" s="135"/>
      <c r="E250" s="135"/>
      <c r="F250" s="135"/>
      <c r="G250" s="135"/>
      <c r="H250" s="135"/>
      <c r="I250" s="135"/>
      <c r="J250" s="135"/>
      <c r="K250" s="135"/>
    </row>
  </sheetData>
  <sheetProtection algorithmName="SHA-512" hashValue="NO/Fein2sVblutgEE+T1792ni9NTFy0Hj5fUNzC8QvYuMMKtCgziMRA+FIpUdCnhaOhWR1B56lFYlSFHgJL6sg==" saltValue="OQ+mNAQaT4uyc+CtEFN9JQ==" spinCount="100000" sheet="1" objects="1" scenarios="1" autoFilter="0"/>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6"/>
  <dimension ref="B1:K257"/>
  <sheetViews>
    <sheetView topLeftCell="A205" workbookViewId="0">
      <selection activeCell="G9" sqref="G9"/>
    </sheetView>
  </sheetViews>
  <sheetFormatPr defaultColWidth="7.58203125" defaultRowHeight="14" x14ac:dyDescent="0.3"/>
  <sheetData>
    <row r="1" spans="2:11" ht="14.5" thickBot="1" x14ac:dyDescent="0.35"/>
    <row r="2" spans="2:11" ht="25.5" thickBot="1" x14ac:dyDescent="0.55000000000000004">
      <c r="B2" s="88" t="s">
        <v>1960</v>
      </c>
      <c r="C2" s="89"/>
      <c r="D2" s="90">
        <v>7</v>
      </c>
      <c r="E2" s="91" t="s">
        <v>1961</v>
      </c>
      <c r="F2" s="92"/>
      <c r="G2" s="92"/>
      <c r="H2" s="92"/>
      <c r="I2" s="93"/>
      <c r="J2" s="89" t="s">
        <v>176</v>
      </c>
      <c r="K2" s="94" t="s">
        <v>214</v>
      </c>
    </row>
    <row r="3" spans="2:11" ht="14.5" thickBot="1" x14ac:dyDescent="0.35">
      <c r="B3" s="95" t="s">
        <v>1962</v>
      </c>
      <c r="C3" s="96" t="s">
        <v>1963</v>
      </c>
      <c r="D3" s="95" t="s">
        <v>1964</v>
      </c>
      <c r="E3" s="97" t="s">
        <v>1965</v>
      </c>
      <c r="F3" s="97" t="s">
        <v>1966</v>
      </c>
      <c r="G3" s="97" t="s">
        <v>1967</v>
      </c>
      <c r="H3" s="97" t="s">
        <v>1968</v>
      </c>
      <c r="I3" s="97" t="s">
        <v>1969</v>
      </c>
      <c r="J3" s="97" t="s">
        <v>1970</v>
      </c>
      <c r="K3" s="98" t="s">
        <v>1971</v>
      </c>
    </row>
    <row r="4" spans="2:11" ht="18.5" thickBot="1" x14ac:dyDescent="0.45">
      <c r="B4" s="99" t="s">
        <v>34</v>
      </c>
      <c r="C4" s="100" t="s">
        <v>34</v>
      </c>
      <c r="D4" s="101" t="s">
        <v>34</v>
      </c>
      <c r="E4" s="944"/>
      <c r="F4" s="944"/>
      <c r="G4" s="944"/>
      <c r="H4" s="944"/>
      <c r="I4" s="944" t="s">
        <v>34</v>
      </c>
      <c r="J4" s="944" t="s">
        <v>34</v>
      </c>
      <c r="K4" s="102"/>
    </row>
    <row r="5" spans="2:11" ht="90.5" thickBot="1" x14ac:dyDescent="0.45">
      <c r="B5" s="103" t="s">
        <v>1972</v>
      </c>
      <c r="C5" s="104" t="s">
        <v>1973</v>
      </c>
      <c r="D5" s="105" t="s">
        <v>1974</v>
      </c>
      <c r="E5" s="105" t="s">
        <v>1525</v>
      </c>
      <c r="F5" s="105" t="s">
        <v>1527</v>
      </c>
      <c r="G5" s="105" t="s">
        <v>1975</v>
      </c>
      <c r="H5" s="105" t="s">
        <v>1976</v>
      </c>
      <c r="I5" s="105" t="s">
        <v>1445</v>
      </c>
      <c r="J5" s="105" t="s">
        <v>1538</v>
      </c>
      <c r="K5" s="106" t="s">
        <v>1541</v>
      </c>
    </row>
    <row r="6" spans="2:11" x14ac:dyDescent="0.3">
      <c r="B6" s="107" t="s">
        <v>1977</v>
      </c>
      <c r="C6" s="108" t="s">
        <v>1416</v>
      </c>
      <c r="D6" s="109">
        <v>6.878024920829116</v>
      </c>
      <c r="E6" s="109">
        <v>5.9556689952903481</v>
      </c>
      <c r="F6" s="109">
        <v>4.9351196274634654</v>
      </c>
      <c r="G6" s="109">
        <v>4.6912361698033118</v>
      </c>
      <c r="H6" s="109">
        <v>4.8282175631886828</v>
      </c>
      <c r="I6" s="109">
        <v>6.9880849524588369</v>
      </c>
      <c r="J6" s="109">
        <v>6.4279477871957154</v>
      </c>
      <c r="K6" s="110">
        <v>4.4462623281420148</v>
      </c>
    </row>
    <row r="7" spans="2:11" x14ac:dyDescent="0.3">
      <c r="B7" s="111" t="s">
        <v>1978</v>
      </c>
      <c r="C7" s="112" t="s">
        <v>1483</v>
      </c>
      <c r="D7" s="1499">
        <v>7.226396946530337</v>
      </c>
      <c r="E7" s="1499">
        <v>6.3083326370269166</v>
      </c>
      <c r="F7" s="1499">
        <v>5.292494672167928</v>
      </c>
      <c r="G7" s="1499">
        <v>5.0514443617964302</v>
      </c>
      <c r="H7" s="1499">
        <v>5.1827819653257876</v>
      </c>
      <c r="I7" s="1499">
        <v>7.3369514976705892</v>
      </c>
      <c r="J7" s="1499">
        <v>6.7799307713665042</v>
      </c>
      <c r="K7" s="113">
        <v>4.8084592120650553</v>
      </c>
    </row>
    <row r="8" spans="2:11" x14ac:dyDescent="0.3">
      <c r="B8" s="111" t="s">
        <v>1979</v>
      </c>
      <c r="C8" s="112" t="s">
        <v>1489</v>
      </c>
      <c r="D8" s="1499">
        <v>7.1824790811211576</v>
      </c>
      <c r="E8" s="1499">
        <v>6.2644147716177363</v>
      </c>
      <c r="F8" s="1499">
        <v>5.2485768067587486</v>
      </c>
      <c r="G8" s="1499">
        <v>5.0075264963872508</v>
      </c>
      <c r="H8" s="1499">
        <v>5.1388640999166082</v>
      </c>
      <c r="I8" s="1499">
        <v>7.2930336322614098</v>
      </c>
      <c r="J8" s="1499">
        <v>6.7360129059573248</v>
      </c>
      <c r="K8" s="113">
        <v>4.7645413466558759</v>
      </c>
    </row>
    <row r="9" spans="2:11" x14ac:dyDescent="0.3">
      <c r="B9" s="114">
        <v>0</v>
      </c>
      <c r="C9" s="112" t="s">
        <v>1496</v>
      </c>
      <c r="D9" s="1499">
        <v>7.1166022830073858</v>
      </c>
      <c r="E9" s="1499">
        <v>6.1985379735039654</v>
      </c>
      <c r="F9" s="1499">
        <v>5.1827000086449768</v>
      </c>
      <c r="G9" s="1499">
        <v>4.941649698273479</v>
      </c>
      <c r="H9" s="1499">
        <v>5.0729873018028382</v>
      </c>
      <c r="I9" s="1499">
        <v>7.227156834147638</v>
      </c>
      <c r="J9" s="1499">
        <v>6.6701361078435539</v>
      </c>
      <c r="K9" s="113">
        <v>4.6986645485421059</v>
      </c>
    </row>
    <row r="10" spans="2:11" x14ac:dyDescent="0.3">
      <c r="B10" s="115"/>
      <c r="C10" s="112" t="s">
        <v>1500</v>
      </c>
      <c r="D10" s="1499">
        <v>7.0507254848936158</v>
      </c>
      <c r="E10" s="1499">
        <v>6.1326611753901954</v>
      </c>
      <c r="F10" s="1499">
        <v>5.1168232105312068</v>
      </c>
      <c r="G10" s="1499">
        <v>4.875772900159709</v>
      </c>
      <c r="H10" s="1499">
        <v>5.0071105036890664</v>
      </c>
      <c r="I10" s="1499">
        <v>7.1612800360338689</v>
      </c>
      <c r="J10" s="1499">
        <v>6.6042593097297839</v>
      </c>
      <c r="K10" s="113">
        <v>4.632787750428335</v>
      </c>
    </row>
    <row r="11" spans="2:11" x14ac:dyDescent="0.3">
      <c r="B11" s="115"/>
      <c r="C11" s="112" t="s">
        <v>1504</v>
      </c>
      <c r="D11" s="1499">
        <v>7.1572840417862329</v>
      </c>
      <c r="E11" s="1499">
        <v>6.2378781709429196</v>
      </c>
      <c r="F11" s="1499">
        <v>5.2212049621782706</v>
      </c>
      <c r="G11" s="1499">
        <v>4.9794182209240745</v>
      </c>
      <c r="H11" s="1499">
        <v>5.112194159727574</v>
      </c>
      <c r="I11" s="1499">
        <v>7.2666633056404031</v>
      </c>
      <c r="J11" s="1499">
        <v>6.7093811771748477</v>
      </c>
      <c r="K11" s="113">
        <v>4.7353858137194171</v>
      </c>
    </row>
    <row r="12" spans="2:11" x14ac:dyDescent="0.3">
      <c r="B12" s="115"/>
      <c r="C12" s="112" t="s">
        <v>1508</v>
      </c>
      <c r="D12" s="1499">
        <v>7.1205817571210313</v>
      </c>
      <c r="E12" s="1499">
        <v>6.201175886277718</v>
      </c>
      <c r="F12" s="1499">
        <v>5.1845026775130689</v>
      </c>
      <c r="G12" s="1499">
        <v>4.942715936258872</v>
      </c>
      <c r="H12" s="1499">
        <v>5.0754918750623723</v>
      </c>
      <c r="I12" s="1499">
        <v>7.2299610209752014</v>
      </c>
      <c r="J12" s="1499">
        <v>6.6726788925096461</v>
      </c>
      <c r="K12" s="113">
        <v>4.6986835290542155</v>
      </c>
    </row>
    <row r="13" spans="2:11" x14ac:dyDescent="0.3">
      <c r="B13" s="115"/>
      <c r="C13" s="112" t="s">
        <v>1513</v>
      </c>
      <c r="D13" s="1499">
        <v>7.0655283301232279</v>
      </c>
      <c r="E13" s="1499">
        <v>6.1461224592799146</v>
      </c>
      <c r="F13" s="1499">
        <v>5.1294492505152656</v>
      </c>
      <c r="G13" s="1499">
        <v>4.8876625092610695</v>
      </c>
      <c r="H13" s="1499">
        <v>5.020438448064569</v>
      </c>
      <c r="I13" s="1499">
        <v>7.1749075939773981</v>
      </c>
      <c r="J13" s="1499">
        <v>6.6176254655118427</v>
      </c>
      <c r="K13" s="113">
        <v>4.643630102056413</v>
      </c>
    </row>
    <row r="14" spans="2:11" x14ac:dyDescent="0.3">
      <c r="B14" s="115"/>
      <c r="C14" s="112" t="s">
        <v>1517</v>
      </c>
      <c r="D14" s="1499">
        <v>7.0104749031254245</v>
      </c>
      <c r="E14" s="1499">
        <v>6.0910690322821113</v>
      </c>
      <c r="F14" s="1499">
        <v>5.074395823517464</v>
      </c>
      <c r="G14" s="1499">
        <v>4.8326090822632661</v>
      </c>
      <c r="H14" s="1499">
        <v>4.9653850210667656</v>
      </c>
      <c r="I14" s="1499">
        <v>7.1198541669795947</v>
      </c>
      <c r="J14" s="1499">
        <v>6.5625720385140394</v>
      </c>
      <c r="K14" s="113">
        <v>4.5885766750586097</v>
      </c>
    </row>
    <row r="15" spans="2:11" ht="14.5" thickBot="1" x14ac:dyDescent="0.35">
      <c r="B15" s="1233"/>
      <c r="C15" s="116" t="s">
        <v>1519</v>
      </c>
      <c r="D15" s="117">
        <v>7.226396946530337</v>
      </c>
      <c r="E15" s="117">
        <v>6.3083326370269166</v>
      </c>
      <c r="F15" s="117">
        <v>5.292494672167928</v>
      </c>
      <c r="G15" s="117">
        <v>5.0514443617964302</v>
      </c>
      <c r="H15" s="117">
        <v>5.1827819653257876</v>
      </c>
      <c r="I15" s="117">
        <v>7.3369514976705892</v>
      </c>
      <c r="J15" s="117">
        <v>6.7799307713665042</v>
      </c>
      <c r="K15" s="118">
        <v>4.8084592120650553</v>
      </c>
    </row>
    <row r="16" spans="2:11" x14ac:dyDescent="0.3">
      <c r="B16" s="107" t="s">
        <v>1977</v>
      </c>
      <c r="C16" s="108" t="s">
        <v>1416</v>
      </c>
      <c r="D16" s="109">
        <v>6.4660326039497251</v>
      </c>
      <c r="E16" s="109">
        <v>5.5436766784109572</v>
      </c>
      <c r="F16" s="109">
        <v>4.5231273105840755</v>
      </c>
      <c r="G16" s="109">
        <v>4.2792438529239218</v>
      </c>
      <c r="H16" s="109">
        <v>4.4162252463092919</v>
      </c>
      <c r="I16" s="109">
        <v>6.576092635579446</v>
      </c>
      <c r="J16" s="109">
        <v>6.0159554703163245</v>
      </c>
      <c r="K16" s="110">
        <v>4.034270011262624</v>
      </c>
    </row>
    <row r="17" spans="2:11" x14ac:dyDescent="0.3">
      <c r="B17" s="111" t="s">
        <v>1978</v>
      </c>
      <c r="C17" s="112" t="s">
        <v>1483</v>
      </c>
      <c r="D17" s="1499">
        <v>6.8144046296509462</v>
      </c>
      <c r="E17" s="1499">
        <v>5.8963403201475257</v>
      </c>
      <c r="F17" s="1499">
        <v>4.8805023552885372</v>
      </c>
      <c r="G17" s="1499">
        <v>4.6394520449170393</v>
      </c>
      <c r="H17" s="1499">
        <v>4.7707896484463976</v>
      </c>
      <c r="I17" s="1499">
        <v>6.9249591807911983</v>
      </c>
      <c r="J17" s="1499">
        <v>6.3679384544871134</v>
      </c>
      <c r="K17" s="113">
        <v>4.3964668951856654</v>
      </c>
    </row>
    <row r="18" spans="2:11" x14ac:dyDescent="0.3">
      <c r="B18" s="111" t="s">
        <v>1980</v>
      </c>
      <c r="C18" s="112" t="s">
        <v>1489</v>
      </c>
      <c r="D18" s="1499">
        <v>6.7704867642417668</v>
      </c>
      <c r="E18" s="1499">
        <v>5.8524224547383454</v>
      </c>
      <c r="F18" s="1499">
        <v>4.8365844898793577</v>
      </c>
      <c r="G18" s="1499">
        <v>4.5955341795078599</v>
      </c>
      <c r="H18" s="1499">
        <v>4.7268717830372173</v>
      </c>
      <c r="I18" s="1499">
        <v>6.8810413153820189</v>
      </c>
      <c r="J18" s="1499">
        <v>6.324020589077934</v>
      </c>
      <c r="K18" s="113">
        <v>4.3525490297764851</v>
      </c>
    </row>
    <row r="19" spans="2:11" x14ac:dyDescent="0.3">
      <c r="B19" s="114">
        <v>0</v>
      </c>
      <c r="C19" s="112" t="s">
        <v>1496</v>
      </c>
      <c r="D19" s="1499">
        <v>6.7046099661279968</v>
      </c>
      <c r="E19" s="1499">
        <v>5.7865456566245754</v>
      </c>
      <c r="F19" s="1499">
        <v>4.7707076917655868</v>
      </c>
      <c r="G19" s="1499">
        <v>4.529657381394089</v>
      </c>
      <c r="H19" s="1499">
        <v>4.6609949849234473</v>
      </c>
      <c r="I19" s="1499">
        <v>6.8151645172682489</v>
      </c>
      <c r="J19" s="1499">
        <v>6.258143790964164</v>
      </c>
      <c r="K19" s="113">
        <v>4.286672231662715</v>
      </c>
    </row>
    <row r="20" spans="2:11" x14ac:dyDescent="0.3">
      <c r="B20" s="115"/>
      <c r="C20" s="112" t="s">
        <v>1500</v>
      </c>
      <c r="D20" s="1499">
        <v>6.638733168014225</v>
      </c>
      <c r="E20" s="1499">
        <v>5.7206688585108045</v>
      </c>
      <c r="F20" s="1499">
        <v>4.7048308936518168</v>
      </c>
      <c r="G20" s="1499">
        <v>4.463780583280319</v>
      </c>
      <c r="H20" s="1499">
        <v>4.5951181868096773</v>
      </c>
      <c r="I20" s="1499">
        <v>6.749287719154478</v>
      </c>
      <c r="J20" s="1499">
        <v>6.1922669928503931</v>
      </c>
      <c r="K20" s="113">
        <v>4.220795433548945</v>
      </c>
    </row>
    <row r="21" spans="2:11" x14ac:dyDescent="0.3">
      <c r="B21" s="115"/>
      <c r="C21" s="112" t="s">
        <v>1504</v>
      </c>
      <c r="D21" s="1499">
        <v>6.745291724906842</v>
      </c>
      <c r="E21" s="1499">
        <v>5.8258858540635288</v>
      </c>
      <c r="F21" s="1499">
        <v>4.8092126452988806</v>
      </c>
      <c r="G21" s="1499">
        <v>4.5674259040446836</v>
      </c>
      <c r="H21" s="1499">
        <v>4.7002018428481831</v>
      </c>
      <c r="I21" s="1499">
        <v>6.8546709887610122</v>
      </c>
      <c r="J21" s="1499">
        <v>6.2973888602954569</v>
      </c>
      <c r="K21" s="113">
        <v>4.3233934968400272</v>
      </c>
    </row>
    <row r="22" spans="2:11" x14ac:dyDescent="0.3">
      <c r="B22" s="115"/>
      <c r="C22" s="112" t="s">
        <v>1508</v>
      </c>
      <c r="D22" s="1499">
        <v>6.7085894402416404</v>
      </c>
      <c r="E22" s="1499">
        <v>5.7891835693983271</v>
      </c>
      <c r="F22" s="1499">
        <v>4.7725103606336789</v>
      </c>
      <c r="G22" s="1499">
        <v>4.530723619379482</v>
      </c>
      <c r="H22" s="1499">
        <v>4.6634995581829815</v>
      </c>
      <c r="I22" s="1499">
        <v>6.8179687040958106</v>
      </c>
      <c r="J22" s="1499">
        <v>6.2606865756302552</v>
      </c>
      <c r="K22" s="113">
        <v>4.2866912121748255</v>
      </c>
    </row>
    <row r="23" spans="2:11" x14ac:dyDescent="0.3">
      <c r="B23" s="115"/>
      <c r="C23" s="112" t="s">
        <v>1513</v>
      </c>
      <c r="D23" s="1499">
        <v>6.653536013243837</v>
      </c>
      <c r="E23" s="1499">
        <v>5.7341301424005238</v>
      </c>
      <c r="F23" s="1499">
        <v>4.7174569336358765</v>
      </c>
      <c r="G23" s="1499">
        <v>4.4756701923816786</v>
      </c>
      <c r="H23" s="1499">
        <v>4.6084461311851781</v>
      </c>
      <c r="I23" s="1499">
        <v>6.7629152770980072</v>
      </c>
      <c r="J23" s="1499">
        <v>6.2056331486324519</v>
      </c>
      <c r="K23" s="113">
        <v>4.231637785177023</v>
      </c>
    </row>
    <row r="24" spans="2:11" x14ac:dyDescent="0.3">
      <c r="B24" s="115"/>
      <c r="C24" s="112" t="s">
        <v>1517</v>
      </c>
      <c r="D24" s="1499">
        <v>6.5984825862460346</v>
      </c>
      <c r="E24" s="1499">
        <v>5.6790767154027222</v>
      </c>
      <c r="F24" s="1499">
        <v>4.6624035066380731</v>
      </c>
      <c r="G24" s="1499">
        <v>4.4206167653838753</v>
      </c>
      <c r="H24" s="1499">
        <v>4.5533927041873747</v>
      </c>
      <c r="I24" s="1499">
        <v>6.7078618501002056</v>
      </c>
      <c r="J24" s="1499">
        <v>6.1505797216346494</v>
      </c>
      <c r="K24" s="113">
        <v>4.1765843581792197</v>
      </c>
    </row>
    <row r="25" spans="2:11" ht="14.5" thickBot="1" x14ac:dyDescent="0.35">
      <c r="B25" s="1233"/>
      <c r="C25" s="116" t="s">
        <v>1519</v>
      </c>
      <c r="D25" s="117">
        <v>6.8144046296509462</v>
      </c>
      <c r="E25" s="117">
        <v>5.8963403201475257</v>
      </c>
      <c r="F25" s="117">
        <v>4.8805023552885372</v>
      </c>
      <c r="G25" s="117">
        <v>4.6394520449170393</v>
      </c>
      <c r="H25" s="117">
        <v>4.7707896484463976</v>
      </c>
      <c r="I25" s="117">
        <v>6.9249591807911983</v>
      </c>
      <c r="J25" s="117">
        <v>6.3679384544871134</v>
      </c>
      <c r="K25" s="118">
        <v>4.3964668951856654</v>
      </c>
    </row>
    <row r="26" spans="2:11" x14ac:dyDescent="0.3">
      <c r="B26" s="107" t="s">
        <v>1977</v>
      </c>
      <c r="C26" s="108" t="s">
        <v>1416</v>
      </c>
      <c r="D26" s="109">
        <v>5.8480441286306393</v>
      </c>
      <c r="E26" s="109">
        <v>4.9256882030918714</v>
      </c>
      <c r="F26" s="109">
        <v>3.9051388352649892</v>
      </c>
      <c r="G26" s="109">
        <v>3.6612553776048355</v>
      </c>
      <c r="H26" s="109">
        <v>3.7982367709902065</v>
      </c>
      <c r="I26" s="109">
        <v>5.9581041602603602</v>
      </c>
      <c r="J26" s="109">
        <v>5.3979669949972395</v>
      </c>
      <c r="K26" s="110">
        <v>3.4162815359435386</v>
      </c>
    </row>
    <row r="27" spans="2:11" x14ac:dyDescent="0.3">
      <c r="B27" s="111" t="s">
        <v>1978</v>
      </c>
      <c r="C27" s="112" t="s">
        <v>1483</v>
      </c>
      <c r="D27" s="1499">
        <v>6.1964161543318612</v>
      </c>
      <c r="E27" s="1499">
        <v>5.2783518448284399</v>
      </c>
      <c r="F27" s="1499">
        <v>4.2625138799694522</v>
      </c>
      <c r="G27" s="1499">
        <v>4.0214635695979544</v>
      </c>
      <c r="H27" s="1499">
        <v>4.1528011731273127</v>
      </c>
      <c r="I27" s="1499">
        <v>6.3069707054721134</v>
      </c>
      <c r="J27" s="1499">
        <v>5.7499499791680284</v>
      </c>
      <c r="K27" s="113">
        <v>3.77847841986658</v>
      </c>
    </row>
    <row r="28" spans="2:11" x14ac:dyDescent="0.3">
      <c r="B28" s="111" t="s">
        <v>1981</v>
      </c>
      <c r="C28" s="112" t="s">
        <v>1489</v>
      </c>
      <c r="D28" s="1499">
        <v>6.1524982889226809</v>
      </c>
      <c r="E28" s="1499">
        <v>5.2344339794192605</v>
      </c>
      <c r="F28" s="1499">
        <v>4.2185960145602719</v>
      </c>
      <c r="G28" s="1499">
        <v>3.9775457041887741</v>
      </c>
      <c r="H28" s="1499">
        <v>4.1088833077181315</v>
      </c>
      <c r="I28" s="1499">
        <v>6.2630528400629331</v>
      </c>
      <c r="J28" s="1499">
        <v>5.706032113758849</v>
      </c>
      <c r="K28" s="113">
        <v>3.7345605544573997</v>
      </c>
    </row>
    <row r="29" spans="2:11" x14ac:dyDescent="0.3">
      <c r="B29" s="114">
        <v>0</v>
      </c>
      <c r="C29" s="112" t="s">
        <v>1496</v>
      </c>
      <c r="D29" s="1499">
        <v>6.08662149080891</v>
      </c>
      <c r="E29" s="1499">
        <v>5.1685571813054887</v>
      </c>
      <c r="F29" s="1499">
        <v>4.152719216446501</v>
      </c>
      <c r="G29" s="1499">
        <v>3.9116689060750032</v>
      </c>
      <c r="H29" s="1499">
        <v>4.0430065096043615</v>
      </c>
      <c r="I29" s="1499">
        <v>6.1971760419491622</v>
      </c>
      <c r="J29" s="1499">
        <v>5.6401553156450772</v>
      </c>
      <c r="K29" s="113">
        <v>3.6686837563436296</v>
      </c>
    </row>
    <row r="30" spans="2:11" x14ac:dyDescent="0.3">
      <c r="B30" s="115"/>
      <c r="C30" s="112" t="s">
        <v>1500</v>
      </c>
      <c r="D30" s="1499">
        <v>6.02074469269514</v>
      </c>
      <c r="E30" s="1499">
        <v>5.1026803831917187</v>
      </c>
      <c r="F30" s="1499">
        <v>4.086842418332731</v>
      </c>
      <c r="G30" s="1499">
        <v>3.8457921079612332</v>
      </c>
      <c r="H30" s="1499">
        <v>3.977129711490591</v>
      </c>
      <c r="I30" s="1499">
        <v>6.1312992438353922</v>
      </c>
      <c r="J30" s="1499">
        <v>5.5742785175313072</v>
      </c>
      <c r="K30" s="113">
        <v>3.6028069582298587</v>
      </c>
    </row>
    <row r="31" spans="2:11" x14ac:dyDescent="0.3">
      <c r="B31" s="115"/>
      <c r="C31" s="112" t="s">
        <v>1504</v>
      </c>
      <c r="D31" s="1499">
        <v>6.1273032495877571</v>
      </c>
      <c r="E31" s="1499">
        <v>5.2078973787444438</v>
      </c>
      <c r="F31" s="1499">
        <v>4.1912241699797947</v>
      </c>
      <c r="G31" s="1499">
        <v>3.9494374287255982</v>
      </c>
      <c r="H31" s="1499">
        <v>4.0822133675290972</v>
      </c>
      <c r="I31" s="1499">
        <v>6.2366825134419273</v>
      </c>
      <c r="J31" s="1499">
        <v>5.6794003849763719</v>
      </c>
      <c r="K31" s="113">
        <v>3.7054050215209422</v>
      </c>
    </row>
    <row r="32" spans="2:11" x14ac:dyDescent="0.3">
      <c r="B32" s="115"/>
      <c r="C32" s="112" t="s">
        <v>1508</v>
      </c>
      <c r="D32" s="1499">
        <v>6.0906009649225554</v>
      </c>
      <c r="E32" s="1499">
        <v>5.1711950940792422</v>
      </c>
      <c r="F32" s="1499">
        <v>4.1545218853145931</v>
      </c>
      <c r="G32" s="1499">
        <v>3.9127351440603957</v>
      </c>
      <c r="H32" s="1499">
        <v>4.0455110828638956</v>
      </c>
      <c r="I32" s="1499">
        <v>6.1999802287767256</v>
      </c>
      <c r="J32" s="1499">
        <v>5.6426981003111694</v>
      </c>
      <c r="K32" s="113">
        <v>3.6687027368557397</v>
      </c>
    </row>
    <row r="33" spans="2:11" x14ac:dyDescent="0.3">
      <c r="B33" s="115"/>
      <c r="C33" s="112" t="s">
        <v>1513</v>
      </c>
      <c r="D33" s="1499">
        <v>6.0355475379247521</v>
      </c>
      <c r="E33" s="1499">
        <v>5.1161416670814388</v>
      </c>
      <c r="F33" s="1499">
        <v>4.0994684583167906</v>
      </c>
      <c r="G33" s="1499">
        <v>3.8576817170625932</v>
      </c>
      <c r="H33" s="1499">
        <v>3.9904576558660927</v>
      </c>
      <c r="I33" s="1499">
        <v>6.1449268017789223</v>
      </c>
      <c r="J33" s="1499">
        <v>5.5876446733133669</v>
      </c>
      <c r="K33" s="113">
        <v>3.6136493098579368</v>
      </c>
    </row>
    <row r="34" spans="2:11" x14ac:dyDescent="0.3">
      <c r="B34" s="115"/>
      <c r="C34" s="112" t="s">
        <v>1517</v>
      </c>
      <c r="D34" s="1499">
        <v>5.9804941109269487</v>
      </c>
      <c r="E34" s="1499">
        <v>5.0610882400836354</v>
      </c>
      <c r="F34" s="1499">
        <v>4.0444150313189873</v>
      </c>
      <c r="G34" s="1499">
        <v>3.8026282900647899</v>
      </c>
      <c r="H34" s="1499">
        <v>3.9354042288682893</v>
      </c>
      <c r="I34" s="1499">
        <v>6.0898733747811189</v>
      </c>
      <c r="J34" s="1499">
        <v>5.5325912463155635</v>
      </c>
      <c r="K34" s="113">
        <v>3.5585958828601338</v>
      </c>
    </row>
    <row r="35" spans="2:11" ht="14.5" thickBot="1" x14ac:dyDescent="0.35">
      <c r="B35" s="1233"/>
      <c r="C35" s="116" t="s">
        <v>1519</v>
      </c>
      <c r="D35" s="117">
        <v>6.1964161543318612</v>
      </c>
      <c r="E35" s="117">
        <v>5.2783518448284399</v>
      </c>
      <c r="F35" s="117">
        <v>4.2625138799694522</v>
      </c>
      <c r="G35" s="117">
        <v>4.0214635695979544</v>
      </c>
      <c r="H35" s="117">
        <v>4.1528011731273127</v>
      </c>
      <c r="I35" s="117">
        <v>6.3069707054721134</v>
      </c>
      <c r="J35" s="117">
        <v>5.7499499791680284</v>
      </c>
      <c r="K35" s="118">
        <v>3.77847841986658</v>
      </c>
    </row>
    <row r="36" spans="2:11" x14ac:dyDescent="0.3">
      <c r="B36" s="107" t="s">
        <v>1977</v>
      </c>
      <c r="C36" s="108" t="s">
        <v>1416</v>
      </c>
      <c r="D36" s="109">
        <v>5.2300556533115534</v>
      </c>
      <c r="E36" s="109">
        <v>4.3076997277727864</v>
      </c>
      <c r="F36" s="109">
        <v>3.2871503599459042</v>
      </c>
      <c r="G36" s="109">
        <v>3.0432669022857506</v>
      </c>
      <c r="H36" s="109">
        <v>3.1802482956711207</v>
      </c>
      <c r="I36" s="109">
        <v>5.3401156849412743</v>
      </c>
      <c r="J36" s="109">
        <v>4.7799785196781528</v>
      </c>
      <c r="K36" s="110">
        <v>2.7982930606244532</v>
      </c>
    </row>
    <row r="37" spans="2:11" x14ac:dyDescent="0.3">
      <c r="B37" s="111" t="s">
        <v>1978</v>
      </c>
      <c r="C37" s="112" t="s">
        <v>1483</v>
      </c>
      <c r="D37" s="1499">
        <v>5.5784276790127745</v>
      </c>
      <c r="E37" s="1499">
        <v>4.660363369509354</v>
      </c>
      <c r="F37" s="1499">
        <v>3.6445254046503663</v>
      </c>
      <c r="G37" s="1499">
        <v>3.4034750942788685</v>
      </c>
      <c r="H37" s="1499">
        <v>3.5348126978082264</v>
      </c>
      <c r="I37" s="1499">
        <v>5.6889822301530275</v>
      </c>
      <c r="J37" s="1499">
        <v>5.1319615038489435</v>
      </c>
      <c r="K37" s="113">
        <v>3.1604899445474941</v>
      </c>
    </row>
    <row r="38" spans="2:11" x14ac:dyDescent="0.3">
      <c r="B38" s="111" t="s">
        <v>1982</v>
      </c>
      <c r="C38" s="112" t="s">
        <v>1489</v>
      </c>
      <c r="D38" s="1499">
        <v>5.5345098136035951</v>
      </c>
      <c r="E38" s="1499">
        <v>4.6164455041001737</v>
      </c>
      <c r="F38" s="1499">
        <v>3.600607539241186</v>
      </c>
      <c r="G38" s="1499">
        <v>3.3595572288696882</v>
      </c>
      <c r="H38" s="1499">
        <v>3.4908948323990465</v>
      </c>
      <c r="I38" s="1499">
        <v>5.6450643647438472</v>
      </c>
      <c r="J38" s="1499">
        <v>5.0880436384397623</v>
      </c>
      <c r="K38" s="113">
        <v>3.1165720791383142</v>
      </c>
    </row>
    <row r="39" spans="2:11" x14ac:dyDescent="0.3">
      <c r="B39" s="114">
        <v>0</v>
      </c>
      <c r="C39" s="112" t="s">
        <v>1496</v>
      </c>
      <c r="D39" s="1499">
        <v>5.4686330154898251</v>
      </c>
      <c r="E39" s="1499">
        <v>4.5505687059864037</v>
      </c>
      <c r="F39" s="1499">
        <v>3.534730741127416</v>
      </c>
      <c r="G39" s="1499">
        <v>3.2936804307559182</v>
      </c>
      <c r="H39" s="1499">
        <v>3.4250180342852761</v>
      </c>
      <c r="I39" s="1499">
        <v>5.5791875666300772</v>
      </c>
      <c r="J39" s="1499">
        <v>5.0221668403259923</v>
      </c>
      <c r="K39" s="113">
        <v>3.0506952810245438</v>
      </c>
    </row>
    <row r="40" spans="2:11" x14ac:dyDescent="0.3">
      <c r="B40" s="115"/>
      <c r="C40" s="112" t="s">
        <v>1500</v>
      </c>
      <c r="D40" s="1499">
        <v>5.402756217376055</v>
      </c>
      <c r="E40" s="1499">
        <v>4.4846919078726337</v>
      </c>
      <c r="F40" s="1499">
        <v>3.4688539430136456</v>
      </c>
      <c r="G40" s="1499">
        <v>3.2278036326421478</v>
      </c>
      <c r="H40" s="1499">
        <v>3.3591412361715056</v>
      </c>
      <c r="I40" s="1499">
        <v>5.5133107685163072</v>
      </c>
      <c r="J40" s="1499">
        <v>4.9562900422122214</v>
      </c>
      <c r="K40" s="113">
        <v>2.9848184829107733</v>
      </c>
    </row>
    <row r="41" spans="2:11" x14ac:dyDescent="0.3">
      <c r="B41" s="115"/>
      <c r="C41" s="112" t="s">
        <v>1504</v>
      </c>
      <c r="D41" s="1499">
        <v>5.5093147742686703</v>
      </c>
      <c r="E41" s="1499">
        <v>4.589908903425358</v>
      </c>
      <c r="F41" s="1499">
        <v>3.5732356946607098</v>
      </c>
      <c r="G41" s="1499">
        <v>3.3314489534065124</v>
      </c>
      <c r="H41" s="1499">
        <v>3.4642248922100118</v>
      </c>
      <c r="I41" s="1499">
        <v>5.6186940381228405</v>
      </c>
      <c r="J41" s="1499">
        <v>5.0614119096572852</v>
      </c>
      <c r="K41" s="113">
        <v>3.0874165462018563</v>
      </c>
    </row>
    <row r="42" spans="2:11" x14ac:dyDescent="0.3">
      <c r="B42" s="115"/>
      <c r="C42" s="112" t="s">
        <v>1508</v>
      </c>
      <c r="D42" s="1499">
        <v>5.4726124896034687</v>
      </c>
      <c r="E42" s="1499">
        <v>4.5532066187601554</v>
      </c>
      <c r="F42" s="1499">
        <v>3.5365334099955077</v>
      </c>
      <c r="G42" s="1499">
        <v>3.2947466687413103</v>
      </c>
      <c r="H42" s="1499">
        <v>3.4275226075448098</v>
      </c>
      <c r="I42" s="1499">
        <v>5.5819917534576389</v>
      </c>
      <c r="J42" s="1499">
        <v>5.0247096249920835</v>
      </c>
      <c r="K42" s="113">
        <v>3.0507142615366538</v>
      </c>
    </row>
    <row r="43" spans="2:11" x14ac:dyDescent="0.3">
      <c r="B43" s="115"/>
      <c r="C43" s="112" t="s">
        <v>1513</v>
      </c>
      <c r="D43" s="1499">
        <v>5.4175590626056653</v>
      </c>
      <c r="E43" s="1499">
        <v>4.498153191762353</v>
      </c>
      <c r="F43" s="1499">
        <v>3.4814799829977043</v>
      </c>
      <c r="G43" s="1499">
        <v>3.2396932417435074</v>
      </c>
      <c r="H43" s="1499">
        <v>3.3724691805470068</v>
      </c>
      <c r="I43" s="1499">
        <v>5.5269383264598373</v>
      </c>
      <c r="J43" s="1499">
        <v>4.969656197994281</v>
      </c>
      <c r="K43" s="113">
        <v>2.9956608345388513</v>
      </c>
    </row>
    <row r="44" spans="2:11" x14ac:dyDescent="0.3">
      <c r="B44" s="115"/>
      <c r="C44" s="112" t="s">
        <v>1517</v>
      </c>
      <c r="D44" s="1499">
        <v>5.3625056356078638</v>
      </c>
      <c r="E44" s="1499">
        <v>4.4430997647645505</v>
      </c>
      <c r="F44" s="1499">
        <v>3.4264265559999014</v>
      </c>
      <c r="G44" s="1499">
        <v>3.1846398147457049</v>
      </c>
      <c r="H44" s="1499">
        <v>3.3174157535492039</v>
      </c>
      <c r="I44" s="1499">
        <v>5.4718848994620339</v>
      </c>
      <c r="J44" s="1499">
        <v>4.9146027709964777</v>
      </c>
      <c r="K44" s="113">
        <v>2.9406074075410484</v>
      </c>
    </row>
    <row r="45" spans="2:11" ht="14.5" thickBot="1" x14ac:dyDescent="0.35">
      <c r="B45" s="1233"/>
      <c r="C45" s="116" t="s">
        <v>1519</v>
      </c>
      <c r="D45" s="117">
        <v>5.5784276790127745</v>
      </c>
      <c r="E45" s="117">
        <v>4.660363369509354</v>
      </c>
      <c r="F45" s="117">
        <v>3.6445254046503663</v>
      </c>
      <c r="G45" s="117">
        <v>3.4034750942788685</v>
      </c>
      <c r="H45" s="117">
        <v>3.5348126978082264</v>
      </c>
      <c r="I45" s="117">
        <v>5.6889822301530275</v>
      </c>
      <c r="J45" s="117">
        <v>5.1319615038489435</v>
      </c>
      <c r="K45" s="118">
        <v>3.1604899445474941</v>
      </c>
    </row>
    <row r="46" spans="2:11" x14ac:dyDescent="0.3">
      <c r="B46" s="119" t="s">
        <v>1983</v>
      </c>
      <c r="C46" s="108" t="s">
        <v>1416</v>
      </c>
      <c r="D46" s="109">
        <v>5.8507121518045881</v>
      </c>
      <c r="E46" s="109">
        <v>4.9049977862465575</v>
      </c>
      <c r="F46" s="109">
        <v>3.8986134132125039</v>
      </c>
      <c r="G46" s="109">
        <v>3.6440554571870565</v>
      </c>
      <c r="H46" s="109">
        <v>3.7888850319554921</v>
      </c>
      <c r="I46" s="109">
        <v>5.9312371144078533</v>
      </c>
      <c r="J46" s="109">
        <v>5.3724285613457665</v>
      </c>
      <c r="K46" s="110">
        <v>3.4013808121862286</v>
      </c>
    </row>
    <row r="47" spans="2:11" x14ac:dyDescent="0.3">
      <c r="B47" s="111"/>
      <c r="C47" s="112" t="s">
        <v>1483</v>
      </c>
      <c r="D47" s="1499">
        <v>6.2016594612322944</v>
      </c>
      <c r="E47" s="1499">
        <v>5.2619927793626529</v>
      </c>
      <c r="F47" s="1499">
        <v>4.2642496155698852</v>
      </c>
      <c r="G47" s="1499">
        <v>4.0142064553327073</v>
      </c>
      <c r="H47" s="1499">
        <v>4.1502375002758862</v>
      </c>
      <c r="I47" s="1499">
        <v>6.284982139176611</v>
      </c>
      <c r="J47" s="1499">
        <v>5.7289610188103728</v>
      </c>
      <c r="K47" s="113">
        <v>3.7734043452920432</v>
      </c>
    </row>
    <row r="48" spans="2:11" x14ac:dyDescent="0.3">
      <c r="B48" s="111" t="s">
        <v>1979</v>
      </c>
      <c r="C48" s="112" t="s">
        <v>1489</v>
      </c>
      <c r="D48" s="1499">
        <v>6.1577415958231141</v>
      </c>
      <c r="E48" s="1499">
        <v>5.2180749139534726</v>
      </c>
      <c r="F48" s="1499">
        <v>4.2203317501607049</v>
      </c>
      <c r="G48" s="1499">
        <v>3.970288589923527</v>
      </c>
      <c r="H48" s="1499">
        <v>4.1063196348667068</v>
      </c>
      <c r="I48" s="1499">
        <v>6.2410642737674307</v>
      </c>
      <c r="J48" s="1499">
        <v>5.6850431534011934</v>
      </c>
      <c r="K48" s="113">
        <v>3.7294864798828629</v>
      </c>
    </row>
    <row r="49" spans="2:11" x14ac:dyDescent="0.3">
      <c r="B49" s="114">
        <v>0</v>
      </c>
      <c r="C49" s="112" t="s">
        <v>1496</v>
      </c>
      <c r="D49" s="1499">
        <v>6.0918647977093432</v>
      </c>
      <c r="E49" s="1499">
        <v>5.1521981158397026</v>
      </c>
      <c r="F49" s="1499">
        <v>4.1544549520469349</v>
      </c>
      <c r="G49" s="1499">
        <v>3.9044117918097565</v>
      </c>
      <c r="H49" s="1499">
        <v>4.0404428367529359</v>
      </c>
      <c r="I49" s="1499">
        <v>6.1751874756536598</v>
      </c>
      <c r="J49" s="1499">
        <v>5.6191663552874216</v>
      </c>
      <c r="K49" s="113">
        <v>3.6636096817690924</v>
      </c>
    </row>
    <row r="50" spans="2:11" x14ac:dyDescent="0.3">
      <c r="B50" s="115"/>
      <c r="C50" s="112" t="s">
        <v>1500</v>
      </c>
      <c r="D50" s="1499">
        <v>6.0259879995955732</v>
      </c>
      <c r="E50" s="1499">
        <v>5.0863213177259317</v>
      </c>
      <c r="F50" s="1499">
        <v>4.088578153933164</v>
      </c>
      <c r="G50" s="1499">
        <v>3.8385349936959861</v>
      </c>
      <c r="H50" s="1499">
        <v>3.9745660386391655</v>
      </c>
      <c r="I50" s="1499">
        <v>6.1093106775398898</v>
      </c>
      <c r="J50" s="1499">
        <v>5.5532895571736516</v>
      </c>
      <c r="K50" s="113">
        <v>3.597732883655322</v>
      </c>
    </row>
    <row r="51" spans="2:11" x14ac:dyDescent="0.3">
      <c r="B51" s="115"/>
      <c r="C51" s="112" t="s">
        <v>1504</v>
      </c>
      <c r="D51" s="1499">
        <v>6.1319771724872103</v>
      </c>
      <c r="E51" s="1499">
        <v>5.1908408134892063</v>
      </c>
      <c r="F51" s="1499">
        <v>4.1893999595151161</v>
      </c>
      <c r="G51" s="1499">
        <v>3.9384061981486065</v>
      </c>
      <c r="H51" s="1499">
        <v>4.0765754887450898</v>
      </c>
      <c r="I51" s="1499">
        <v>6.2142557769021369</v>
      </c>
      <c r="J51" s="1499">
        <v>5.6578806819686829</v>
      </c>
      <c r="K51" s="113">
        <v>3.6957902230906012</v>
      </c>
    </row>
    <row r="52" spans="2:11" x14ac:dyDescent="0.3">
      <c r="B52" s="115"/>
      <c r="C52" s="112" t="s">
        <v>1508</v>
      </c>
      <c r="D52" s="1499">
        <v>6.0952748878220078</v>
      </c>
      <c r="E52" s="1499">
        <v>5.1541385288240047</v>
      </c>
      <c r="F52" s="1499">
        <v>4.1526976748499136</v>
      </c>
      <c r="G52" s="1499">
        <v>3.9017039134834044</v>
      </c>
      <c r="H52" s="1499">
        <v>4.0398732040798881</v>
      </c>
      <c r="I52" s="1499">
        <v>6.1775534922369344</v>
      </c>
      <c r="J52" s="1499">
        <v>5.6211783973034803</v>
      </c>
      <c r="K52" s="113">
        <v>3.6590879384253996</v>
      </c>
    </row>
    <row r="53" spans="2:11" x14ac:dyDescent="0.3">
      <c r="B53" s="115"/>
      <c r="C53" s="112" t="s">
        <v>1513</v>
      </c>
      <c r="D53" s="1499">
        <v>6.0402214608242053</v>
      </c>
      <c r="E53" s="1499">
        <v>5.0990851018262013</v>
      </c>
      <c r="F53" s="1499">
        <v>4.0976442478521111</v>
      </c>
      <c r="G53" s="1499">
        <v>3.8466504864856015</v>
      </c>
      <c r="H53" s="1499">
        <v>3.9848197770820848</v>
      </c>
      <c r="I53" s="1499">
        <v>6.122500065239131</v>
      </c>
      <c r="J53" s="1499">
        <v>5.5661249703056779</v>
      </c>
      <c r="K53" s="113">
        <v>3.6040345114275962</v>
      </c>
    </row>
    <row r="54" spans="2:11" x14ac:dyDescent="0.3">
      <c r="B54" s="115"/>
      <c r="C54" s="112" t="s">
        <v>1517</v>
      </c>
      <c r="D54" s="1499">
        <v>5.9851680338264019</v>
      </c>
      <c r="E54" s="1499">
        <v>5.044031674828398</v>
      </c>
      <c r="F54" s="1499">
        <v>4.0425908208543078</v>
      </c>
      <c r="G54" s="1499">
        <v>3.7915970594877986</v>
      </c>
      <c r="H54" s="1499">
        <v>3.9297663500842819</v>
      </c>
      <c r="I54" s="1499">
        <v>6.0674466382413286</v>
      </c>
      <c r="J54" s="1499">
        <v>5.5110715433078745</v>
      </c>
      <c r="K54" s="113">
        <v>3.5489810844297933</v>
      </c>
    </row>
    <row r="55" spans="2:11" ht="14.5" thickBot="1" x14ac:dyDescent="0.35">
      <c r="B55" s="1233"/>
      <c r="C55" s="116" t="s">
        <v>1519</v>
      </c>
      <c r="D55" s="117">
        <v>6.2016594612322944</v>
      </c>
      <c r="E55" s="117">
        <v>5.2619927793626529</v>
      </c>
      <c r="F55" s="117">
        <v>4.2642496155698852</v>
      </c>
      <c r="G55" s="117">
        <v>4.0142064553327073</v>
      </c>
      <c r="H55" s="117">
        <v>4.1502375002758862</v>
      </c>
      <c r="I55" s="117">
        <v>6.284982139176611</v>
      </c>
      <c r="J55" s="117">
        <v>5.7289610188103728</v>
      </c>
      <c r="K55" s="118">
        <v>3.7734043452920432</v>
      </c>
    </row>
    <row r="56" spans="2:11" x14ac:dyDescent="0.3">
      <c r="B56" s="119" t="s">
        <v>1983</v>
      </c>
      <c r="C56" s="108" t="s">
        <v>1416</v>
      </c>
      <c r="D56" s="109">
        <v>5.6364665467360942</v>
      </c>
      <c r="E56" s="109">
        <v>4.6907521811780626</v>
      </c>
      <c r="F56" s="109">
        <v>3.684367808144009</v>
      </c>
      <c r="G56" s="109">
        <v>3.4298098521185616</v>
      </c>
      <c r="H56" s="109">
        <v>3.5746394268869972</v>
      </c>
      <c r="I56" s="109">
        <v>5.7169915093393584</v>
      </c>
      <c r="J56" s="109">
        <v>5.1581829562772725</v>
      </c>
      <c r="K56" s="110">
        <v>3.1871352071177337</v>
      </c>
    </row>
    <row r="57" spans="2:11" x14ac:dyDescent="0.3">
      <c r="B57" s="111"/>
      <c r="C57" s="112" t="s">
        <v>1483</v>
      </c>
      <c r="D57" s="1499">
        <v>5.9874138561637995</v>
      </c>
      <c r="E57" s="1499">
        <v>5.047747174294158</v>
      </c>
      <c r="F57" s="1499">
        <v>4.0500040105013904</v>
      </c>
      <c r="G57" s="1499">
        <v>3.7999608502642124</v>
      </c>
      <c r="H57" s="1499">
        <v>3.9359918952073918</v>
      </c>
      <c r="I57" s="1499">
        <v>6.0707365341081161</v>
      </c>
      <c r="J57" s="1499">
        <v>5.5147154137418788</v>
      </c>
      <c r="K57" s="113">
        <v>3.5591587402235483</v>
      </c>
    </row>
    <row r="58" spans="2:11" x14ac:dyDescent="0.3">
      <c r="B58" s="111" t="s">
        <v>1980</v>
      </c>
      <c r="C58" s="112" t="s">
        <v>1489</v>
      </c>
      <c r="D58" s="1499">
        <v>5.9434959907546192</v>
      </c>
      <c r="E58" s="1499">
        <v>5.0038293088849777</v>
      </c>
      <c r="F58" s="1499">
        <v>4.0060861450922109</v>
      </c>
      <c r="G58" s="1499">
        <v>3.7560429848550325</v>
      </c>
      <c r="H58" s="1499">
        <v>3.8920740297982119</v>
      </c>
      <c r="I58" s="1499">
        <v>6.0268186686989358</v>
      </c>
      <c r="J58" s="1499">
        <v>5.4707975483326985</v>
      </c>
      <c r="K58" s="113">
        <v>3.5152408748143684</v>
      </c>
    </row>
    <row r="59" spans="2:11" x14ac:dyDescent="0.3">
      <c r="B59" s="114">
        <v>0</v>
      </c>
      <c r="C59" s="112" t="s">
        <v>1496</v>
      </c>
      <c r="D59" s="1499">
        <v>5.8776191926408492</v>
      </c>
      <c r="E59" s="1499">
        <v>4.9379525107712077</v>
      </c>
      <c r="F59" s="1499">
        <v>3.9402093469784401</v>
      </c>
      <c r="G59" s="1499">
        <v>3.6901661867412616</v>
      </c>
      <c r="H59" s="1499">
        <v>3.8261972316844415</v>
      </c>
      <c r="I59" s="1499">
        <v>5.9609418705851658</v>
      </c>
      <c r="J59" s="1499">
        <v>5.4049207502189285</v>
      </c>
      <c r="K59" s="113">
        <v>3.4493640767005975</v>
      </c>
    </row>
    <row r="60" spans="2:11" x14ac:dyDescent="0.3">
      <c r="B60" s="115"/>
      <c r="C60" s="112" t="s">
        <v>1500</v>
      </c>
      <c r="D60" s="1499">
        <v>5.8117423945270783</v>
      </c>
      <c r="E60" s="1499">
        <v>4.8720757126574377</v>
      </c>
      <c r="F60" s="1499">
        <v>3.87433254886467</v>
      </c>
      <c r="G60" s="1499">
        <v>3.6242893886274921</v>
      </c>
      <c r="H60" s="1499">
        <v>3.7603204335706715</v>
      </c>
      <c r="I60" s="1499">
        <v>5.8950650724713949</v>
      </c>
      <c r="J60" s="1499">
        <v>5.3390439521051576</v>
      </c>
      <c r="K60" s="113">
        <v>3.383487278586828</v>
      </c>
    </row>
    <row r="61" spans="2:11" x14ac:dyDescent="0.3">
      <c r="B61" s="115"/>
      <c r="C61" s="112" t="s">
        <v>1504</v>
      </c>
      <c r="D61" s="1499">
        <v>5.9177315674187154</v>
      </c>
      <c r="E61" s="1499">
        <v>4.9765952084207115</v>
      </c>
      <c r="F61" s="1499">
        <v>3.9751543544466212</v>
      </c>
      <c r="G61" s="1499">
        <v>3.7241605930801116</v>
      </c>
      <c r="H61" s="1499">
        <v>3.8623298836765954</v>
      </c>
      <c r="I61" s="1499">
        <v>6.000010171833642</v>
      </c>
      <c r="J61" s="1499">
        <v>5.443635076900188</v>
      </c>
      <c r="K61" s="113">
        <v>3.4815446180221064</v>
      </c>
    </row>
    <row r="62" spans="2:11" x14ac:dyDescent="0.3">
      <c r="B62" s="115"/>
      <c r="C62" s="112" t="s">
        <v>1508</v>
      </c>
      <c r="D62" s="1499">
        <v>5.8810292827535138</v>
      </c>
      <c r="E62" s="1499">
        <v>4.9398929237555098</v>
      </c>
      <c r="F62" s="1499">
        <v>3.9384520697814192</v>
      </c>
      <c r="G62" s="1499">
        <v>3.68745830841491</v>
      </c>
      <c r="H62" s="1499">
        <v>3.8256275990113933</v>
      </c>
      <c r="I62" s="1499">
        <v>5.9633078871684404</v>
      </c>
      <c r="J62" s="1499">
        <v>5.4069327922349864</v>
      </c>
      <c r="K62" s="113">
        <v>3.4448423333569047</v>
      </c>
    </row>
    <row r="63" spans="2:11" x14ac:dyDescent="0.3">
      <c r="B63" s="115"/>
      <c r="C63" s="112" t="s">
        <v>1513</v>
      </c>
      <c r="D63" s="1499">
        <v>5.8259758557557104</v>
      </c>
      <c r="E63" s="1499">
        <v>4.8848394967577073</v>
      </c>
      <c r="F63" s="1499">
        <v>3.8833986427836167</v>
      </c>
      <c r="G63" s="1499">
        <v>3.632404881417107</v>
      </c>
      <c r="H63" s="1499">
        <v>3.7705741720135908</v>
      </c>
      <c r="I63" s="1499">
        <v>5.908254460170637</v>
      </c>
      <c r="J63" s="1499">
        <v>5.351879365237183</v>
      </c>
      <c r="K63" s="113">
        <v>3.3897889063591018</v>
      </c>
    </row>
    <row r="64" spans="2:11" x14ac:dyDescent="0.3">
      <c r="B64" s="115"/>
      <c r="C64" s="112" t="s">
        <v>1517</v>
      </c>
      <c r="D64" s="1499">
        <v>5.770922428757908</v>
      </c>
      <c r="E64" s="1499">
        <v>4.829786069759904</v>
      </c>
      <c r="F64" s="1499">
        <v>3.8283452157858133</v>
      </c>
      <c r="G64" s="1499">
        <v>3.5773514544193037</v>
      </c>
      <c r="H64" s="1499">
        <v>3.7155207450157874</v>
      </c>
      <c r="I64" s="1499">
        <v>5.8532010331728346</v>
      </c>
      <c r="J64" s="1499">
        <v>5.2968259382393805</v>
      </c>
      <c r="K64" s="113">
        <v>3.3347354793612989</v>
      </c>
    </row>
    <row r="65" spans="2:11" ht="14.5" thickBot="1" x14ac:dyDescent="0.35">
      <c r="B65" s="1233"/>
      <c r="C65" s="116" t="s">
        <v>1519</v>
      </c>
      <c r="D65" s="117">
        <v>5.9874138561637995</v>
      </c>
      <c r="E65" s="117">
        <v>5.047747174294158</v>
      </c>
      <c r="F65" s="117">
        <v>4.0500040105013904</v>
      </c>
      <c r="G65" s="117">
        <v>3.7999608502642124</v>
      </c>
      <c r="H65" s="117">
        <v>3.9359918952073918</v>
      </c>
      <c r="I65" s="117">
        <v>6.0707365341081161</v>
      </c>
      <c r="J65" s="117">
        <v>5.5147154137418788</v>
      </c>
      <c r="K65" s="118">
        <v>3.5591587402235483</v>
      </c>
    </row>
    <row r="66" spans="2:11" x14ac:dyDescent="0.3">
      <c r="B66" s="119" t="s">
        <v>1983</v>
      </c>
      <c r="C66" s="108" t="s">
        <v>1416</v>
      </c>
      <c r="D66" s="109">
        <v>5.3150981391333518</v>
      </c>
      <c r="E66" s="109">
        <v>4.3693837735753203</v>
      </c>
      <c r="F66" s="109">
        <v>3.3629994005412676</v>
      </c>
      <c r="G66" s="109">
        <v>3.1084414445158197</v>
      </c>
      <c r="H66" s="109">
        <v>3.2532710192842558</v>
      </c>
      <c r="I66" s="109">
        <v>5.395623101736617</v>
      </c>
      <c r="J66" s="109">
        <v>4.8368145486745311</v>
      </c>
      <c r="K66" s="110">
        <v>2.8657667995149918</v>
      </c>
    </row>
    <row r="67" spans="2:11" x14ac:dyDescent="0.3">
      <c r="B67" s="111"/>
      <c r="C67" s="112" t="s">
        <v>1483</v>
      </c>
      <c r="D67" s="1499">
        <v>5.6660454485610581</v>
      </c>
      <c r="E67" s="1499">
        <v>4.7263787666914165</v>
      </c>
      <c r="F67" s="1499">
        <v>3.7286356028986494</v>
      </c>
      <c r="G67" s="1499">
        <v>3.4785924426614709</v>
      </c>
      <c r="H67" s="1499">
        <v>3.6146234876046504</v>
      </c>
      <c r="I67" s="1499">
        <v>5.7493681265053747</v>
      </c>
      <c r="J67" s="1499">
        <v>5.1933470061391365</v>
      </c>
      <c r="K67" s="113">
        <v>3.2377903326208068</v>
      </c>
    </row>
    <row r="68" spans="2:11" x14ac:dyDescent="0.3">
      <c r="B68" s="111" t="s">
        <v>1981</v>
      </c>
      <c r="C68" s="112" t="s">
        <v>1489</v>
      </c>
      <c r="D68" s="1499">
        <v>5.6221275831518778</v>
      </c>
      <c r="E68" s="1499">
        <v>4.6824609012822362</v>
      </c>
      <c r="F68" s="1499">
        <v>3.6847177374894691</v>
      </c>
      <c r="G68" s="1499">
        <v>3.4346745772522902</v>
      </c>
      <c r="H68" s="1499">
        <v>3.5707056221954705</v>
      </c>
      <c r="I68" s="1499">
        <v>5.7054502610961944</v>
      </c>
      <c r="J68" s="1499">
        <v>5.1494291407299571</v>
      </c>
      <c r="K68" s="113">
        <v>3.193872467211627</v>
      </c>
    </row>
    <row r="69" spans="2:11" x14ac:dyDescent="0.3">
      <c r="B69" s="114">
        <v>0</v>
      </c>
      <c r="C69" s="112" t="s">
        <v>1496</v>
      </c>
      <c r="D69" s="1499">
        <v>5.5562507850381069</v>
      </c>
      <c r="E69" s="1499">
        <v>4.6165841031684662</v>
      </c>
      <c r="F69" s="1499">
        <v>3.6188409393756986</v>
      </c>
      <c r="G69" s="1499">
        <v>3.3687977791385202</v>
      </c>
      <c r="H69" s="1499">
        <v>3.5048288240816996</v>
      </c>
      <c r="I69" s="1499">
        <v>5.6395734629824235</v>
      </c>
      <c r="J69" s="1499">
        <v>5.0835523426161862</v>
      </c>
      <c r="K69" s="113">
        <v>3.1279956690978561</v>
      </c>
    </row>
    <row r="70" spans="2:11" x14ac:dyDescent="0.3">
      <c r="B70" s="115"/>
      <c r="C70" s="112" t="s">
        <v>1500</v>
      </c>
      <c r="D70" s="1499">
        <v>5.4903739869243369</v>
      </c>
      <c r="E70" s="1499">
        <v>4.5507073050546953</v>
      </c>
      <c r="F70" s="1499">
        <v>3.5529641412619282</v>
      </c>
      <c r="G70" s="1499">
        <v>3.3029209810247497</v>
      </c>
      <c r="H70" s="1499">
        <v>3.4389520259679291</v>
      </c>
      <c r="I70" s="1499">
        <v>5.5736966648686534</v>
      </c>
      <c r="J70" s="1499">
        <v>5.0176755445024162</v>
      </c>
      <c r="K70" s="113">
        <v>3.0621188709840856</v>
      </c>
    </row>
    <row r="71" spans="2:11" x14ac:dyDescent="0.3">
      <c r="B71" s="115"/>
      <c r="C71" s="112" t="s">
        <v>1504</v>
      </c>
      <c r="D71" s="1499">
        <v>5.596363159815974</v>
      </c>
      <c r="E71" s="1499">
        <v>4.65522680081797</v>
      </c>
      <c r="F71" s="1499">
        <v>3.6537859468438798</v>
      </c>
      <c r="G71" s="1499">
        <v>3.4027921854773702</v>
      </c>
      <c r="H71" s="1499">
        <v>3.5409614760738535</v>
      </c>
      <c r="I71" s="1499">
        <v>5.6786417642309006</v>
      </c>
      <c r="J71" s="1499">
        <v>5.1222666692974466</v>
      </c>
      <c r="K71" s="113">
        <v>3.1601762104193649</v>
      </c>
    </row>
    <row r="72" spans="2:11" x14ac:dyDescent="0.3">
      <c r="B72" s="115"/>
      <c r="C72" s="112" t="s">
        <v>1508</v>
      </c>
      <c r="D72" s="1499">
        <v>5.5596608751507723</v>
      </c>
      <c r="E72" s="1499">
        <v>4.6185245161527684</v>
      </c>
      <c r="F72" s="1499">
        <v>3.6170836621786777</v>
      </c>
      <c r="G72" s="1499">
        <v>3.3660899008121685</v>
      </c>
      <c r="H72" s="1499">
        <v>3.5042591914086518</v>
      </c>
      <c r="I72" s="1499">
        <v>5.6419394795656981</v>
      </c>
      <c r="J72" s="1499">
        <v>5.0855643846322449</v>
      </c>
      <c r="K72" s="113">
        <v>3.1234739257541628</v>
      </c>
    </row>
    <row r="73" spans="2:11" x14ac:dyDescent="0.3">
      <c r="B73" s="115"/>
      <c r="C73" s="112" t="s">
        <v>1513</v>
      </c>
      <c r="D73" s="1499">
        <v>5.504607448152969</v>
      </c>
      <c r="E73" s="1499">
        <v>4.563471089154965</v>
      </c>
      <c r="F73" s="1499">
        <v>3.5620302351808744</v>
      </c>
      <c r="G73" s="1499">
        <v>3.3110364738143652</v>
      </c>
      <c r="H73" s="1499">
        <v>3.4492057644108485</v>
      </c>
      <c r="I73" s="1499">
        <v>5.5868860525678956</v>
      </c>
      <c r="J73" s="1499">
        <v>5.0305109576344416</v>
      </c>
      <c r="K73" s="113">
        <v>3.0684204987563599</v>
      </c>
    </row>
    <row r="74" spans="2:11" x14ac:dyDescent="0.3">
      <c r="B74" s="115"/>
      <c r="C74" s="112" t="s">
        <v>1517</v>
      </c>
      <c r="D74" s="1499">
        <v>5.4495540211551656</v>
      </c>
      <c r="E74" s="1499">
        <v>4.5084176621571626</v>
      </c>
      <c r="F74" s="1499">
        <v>3.5069768081830719</v>
      </c>
      <c r="G74" s="1499">
        <v>3.2559830468165623</v>
      </c>
      <c r="H74" s="1499">
        <v>3.394152337413046</v>
      </c>
      <c r="I74" s="1499">
        <v>5.5318326255700923</v>
      </c>
      <c r="J74" s="1499">
        <v>4.9754575306366382</v>
      </c>
      <c r="K74" s="113">
        <v>3.013367071758557</v>
      </c>
    </row>
    <row r="75" spans="2:11" ht="14.5" thickBot="1" x14ac:dyDescent="0.35">
      <c r="B75" s="1233"/>
      <c r="C75" s="116" t="s">
        <v>1519</v>
      </c>
      <c r="D75" s="117">
        <v>5.6660454485610581</v>
      </c>
      <c r="E75" s="117">
        <v>4.7263787666914165</v>
      </c>
      <c r="F75" s="117">
        <v>3.7286356028986494</v>
      </c>
      <c r="G75" s="117">
        <v>3.4785924426614709</v>
      </c>
      <c r="H75" s="117">
        <v>3.6146234876046504</v>
      </c>
      <c r="I75" s="117">
        <v>5.7493681265053747</v>
      </c>
      <c r="J75" s="117">
        <v>5.1933470061391365</v>
      </c>
      <c r="K75" s="118">
        <v>3.2377903326208068</v>
      </c>
    </row>
    <row r="76" spans="2:11" x14ac:dyDescent="0.3">
      <c r="B76" s="119" t="s">
        <v>1983</v>
      </c>
      <c r="C76" s="108" t="s">
        <v>1416</v>
      </c>
      <c r="D76" s="109">
        <v>4.9937297315306095</v>
      </c>
      <c r="E76" s="109">
        <v>4.0480153659725788</v>
      </c>
      <c r="F76" s="109">
        <v>3.0416309929385257</v>
      </c>
      <c r="G76" s="109">
        <v>2.7870730369130783</v>
      </c>
      <c r="H76" s="109">
        <v>2.9319026116815139</v>
      </c>
      <c r="I76" s="109">
        <v>5.0742546941338746</v>
      </c>
      <c r="J76" s="109">
        <v>4.5154461410717888</v>
      </c>
      <c r="K76" s="110">
        <v>2.5443983919122504</v>
      </c>
    </row>
    <row r="77" spans="2:11" x14ac:dyDescent="0.3">
      <c r="B77" s="111"/>
      <c r="C77" s="112" t="s">
        <v>1483</v>
      </c>
      <c r="D77" s="1499">
        <v>5.3446770409583166</v>
      </c>
      <c r="E77" s="1499">
        <v>4.4050103590886742</v>
      </c>
      <c r="F77" s="1499">
        <v>3.407267195295907</v>
      </c>
      <c r="G77" s="1499">
        <v>3.1572240350587286</v>
      </c>
      <c r="H77" s="1499">
        <v>3.293255080001908</v>
      </c>
      <c r="I77" s="1499">
        <v>5.4279997189026332</v>
      </c>
      <c r="J77" s="1499">
        <v>4.871978598536395</v>
      </c>
      <c r="K77" s="113">
        <v>2.9164219250180645</v>
      </c>
    </row>
    <row r="78" spans="2:11" x14ac:dyDescent="0.3">
      <c r="B78" s="111" t="s">
        <v>1982</v>
      </c>
      <c r="C78" s="112" t="s">
        <v>1489</v>
      </c>
      <c r="D78" s="1499">
        <v>5.3007591755491363</v>
      </c>
      <c r="E78" s="1499">
        <v>4.3610924936794939</v>
      </c>
      <c r="F78" s="1499">
        <v>3.3633493298867272</v>
      </c>
      <c r="G78" s="1499">
        <v>3.1133061696495488</v>
      </c>
      <c r="H78" s="1499">
        <v>3.2493372145927282</v>
      </c>
      <c r="I78" s="1499">
        <v>5.3840818534934529</v>
      </c>
      <c r="J78" s="1499">
        <v>4.8280607331272147</v>
      </c>
      <c r="K78" s="113">
        <v>2.8725040596088847</v>
      </c>
    </row>
    <row r="79" spans="2:11" x14ac:dyDescent="0.3">
      <c r="B79" s="114">
        <v>0</v>
      </c>
      <c r="C79" s="112" t="s">
        <v>1496</v>
      </c>
      <c r="D79" s="1499">
        <v>5.2348823774353654</v>
      </c>
      <c r="E79" s="1499">
        <v>4.2952156955657239</v>
      </c>
      <c r="F79" s="1499">
        <v>3.2974725317729567</v>
      </c>
      <c r="G79" s="1499">
        <v>3.0474293715357788</v>
      </c>
      <c r="H79" s="1499">
        <v>3.1834604164789577</v>
      </c>
      <c r="I79" s="1499">
        <v>5.318205055379682</v>
      </c>
      <c r="J79" s="1499">
        <v>4.7621839350134447</v>
      </c>
      <c r="K79" s="113">
        <v>2.8066272614951142</v>
      </c>
    </row>
    <row r="80" spans="2:11" x14ac:dyDescent="0.3">
      <c r="B80" s="115"/>
      <c r="C80" s="112" t="s">
        <v>1500</v>
      </c>
      <c r="D80" s="1499">
        <v>5.1690055793215954</v>
      </c>
      <c r="E80" s="1499">
        <v>4.2293388974519539</v>
      </c>
      <c r="F80" s="1499">
        <v>3.2315957336591867</v>
      </c>
      <c r="G80" s="1499">
        <v>2.9815525734220083</v>
      </c>
      <c r="H80" s="1499">
        <v>3.1175836183651877</v>
      </c>
      <c r="I80" s="1499">
        <v>5.252328257265912</v>
      </c>
      <c r="J80" s="1499">
        <v>4.6963071368996747</v>
      </c>
      <c r="K80" s="113">
        <v>2.7407504633813442</v>
      </c>
    </row>
    <row r="81" spans="2:11" x14ac:dyDescent="0.3">
      <c r="B81" s="115"/>
      <c r="C81" s="112" t="s">
        <v>1504</v>
      </c>
      <c r="D81" s="1499">
        <v>5.2749947522132326</v>
      </c>
      <c r="E81" s="1499">
        <v>4.3338583932152286</v>
      </c>
      <c r="F81" s="1499">
        <v>3.3324175392411375</v>
      </c>
      <c r="G81" s="1499">
        <v>3.0814237778746283</v>
      </c>
      <c r="H81" s="1499">
        <v>3.2195930684711116</v>
      </c>
      <c r="I81" s="1499">
        <v>5.3572733566281592</v>
      </c>
      <c r="J81" s="1499">
        <v>4.8008982616947042</v>
      </c>
      <c r="K81" s="113">
        <v>2.838807802816623</v>
      </c>
    </row>
    <row r="82" spans="2:11" x14ac:dyDescent="0.3">
      <c r="B82" s="115"/>
      <c r="C82" s="112" t="s">
        <v>1508</v>
      </c>
      <c r="D82" s="1499">
        <v>5.23829246754803</v>
      </c>
      <c r="E82" s="1499">
        <v>4.2971561085500261</v>
      </c>
      <c r="F82" s="1499">
        <v>3.2957152545759358</v>
      </c>
      <c r="G82" s="1499">
        <v>3.0447214932094262</v>
      </c>
      <c r="H82" s="1499">
        <v>3.18289078380591</v>
      </c>
      <c r="I82" s="1499">
        <v>5.3205710719629558</v>
      </c>
      <c r="J82" s="1499">
        <v>4.7641959770295026</v>
      </c>
      <c r="K82" s="113">
        <v>2.8021055181514209</v>
      </c>
    </row>
    <row r="83" spans="2:11" x14ac:dyDescent="0.3">
      <c r="B83" s="115"/>
      <c r="C83" s="112" t="s">
        <v>1513</v>
      </c>
      <c r="D83" s="1499">
        <v>5.1832390405502275</v>
      </c>
      <c r="E83" s="1499">
        <v>4.2421026815522236</v>
      </c>
      <c r="F83" s="1499">
        <v>3.2406618275781329</v>
      </c>
      <c r="G83" s="1499">
        <v>2.9896680662116237</v>
      </c>
      <c r="H83" s="1499">
        <v>3.127837356808107</v>
      </c>
      <c r="I83" s="1499">
        <v>5.2655176449651542</v>
      </c>
      <c r="J83" s="1499">
        <v>4.7091425500317001</v>
      </c>
      <c r="K83" s="113">
        <v>2.747052091153618</v>
      </c>
    </row>
    <row r="84" spans="2:11" x14ac:dyDescent="0.3">
      <c r="B84" s="115"/>
      <c r="C84" s="112" t="s">
        <v>1517</v>
      </c>
      <c r="D84" s="1499">
        <v>5.1281856135524242</v>
      </c>
      <c r="E84" s="1499">
        <v>4.1870492545544202</v>
      </c>
      <c r="F84" s="1499">
        <v>3.1856084005803296</v>
      </c>
      <c r="G84" s="1499">
        <v>2.9346146392138204</v>
      </c>
      <c r="H84" s="1499">
        <v>3.0727839298103037</v>
      </c>
      <c r="I84" s="1499">
        <v>5.2104642179673508</v>
      </c>
      <c r="J84" s="1499">
        <v>4.6540891230338968</v>
      </c>
      <c r="K84" s="113">
        <v>2.6919986641558151</v>
      </c>
    </row>
    <row r="85" spans="2:11" ht="14.5" thickBot="1" x14ac:dyDescent="0.35">
      <c r="B85" s="1233"/>
      <c r="C85" s="116" t="s">
        <v>1519</v>
      </c>
      <c r="D85" s="117">
        <v>5.3446770409583166</v>
      </c>
      <c r="E85" s="117">
        <v>4.4050103590886742</v>
      </c>
      <c r="F85" s="117">
        <v>3.407267195295907</v>
      </c>
      <c r="G85" s="117">
        <v>3.1572240350587286</v>
      </c>
      <c r="H85" s="117">
        <v>3.293255080001908</v>
      </c>
      <c r="I85" s="117">
        <v>5.4279997189026332</v>
      </c>
      <c r="J85" s="117">
        <v>4.871978598536395</v>
      </c>
      <c r="K85" s="118">
        <v>2.9164219250180645</v>
      </c>
    </row>
    <row r="87" spans="2:11" ht="14.5" thickBot="1" x14ac:dyDescent="0.35"/>
    <row r="88" spans="2:11" ht="25.5" thickBot="1" x14ac:dyDescent="0.55000000000000004">
      <c r="B88" s="88" t="s">
        <v>1960</v>
      </c>
      <c r="C88" s="89"/>
      <c r="D88" s="90">
        <v>7</v>
      </c>
      <c r="E88" s="91" t="s">
        <v>1984</v>
      </c>
      <c r="F88" s="92"/>
      <c r="G88" s="92"/>
      <c r="H88" s="92"/>
      <c r="I88" s="93"/>
      <c r="J88" s="89" t="s">
        <v>176</v>
      </c>
      <c r="K88" s="94" t="s">
        <v>214</v>
      </c>
    </row>
    <row r="89" spans="2:11" ht="14.5" thickBot="1" x14ac:dyDescent="0.35">
      <c r="B89" s="95" t="s">
        <v>1962</v>
      </c>
      <c r="C89" s="96" t="s">
        <v>1963</v>
      </c>
      <c r="D89" s="95" t="s">
        <v>1964</v>
      </c>
      <c r="E89" s="97" t="s">
        <v>1965</v>
      </c>
      <c r="F89" s="97" t="s">
        <v>1966</v>
      </c>
      <c r="G89" s="97" t="s">
        <v>1967</v>
      </c>
      <c r="H89" s="97" t="s">
        <v>1968</v>
      </c>
      <c r="I89" s="97" t="s">
        <v>1969</v>
      </c>
      <c r="J89" s="97" t="s">
        <v>1970</v>
      </c>
      <c r="K89" s="98" t="s">
        <v>1971</v>
      </c>
    </row>
    <row r="90" spans="2:11" ht="14.5" thickBot="1" x14ac:dyDescent="0.35">
      <c r="B90" s="99"/>
      <c r="C90" s="99"/>
      <c r="D90" s="100"/>
      <c r="E90" s="944"/>
      <c r="F90" s="944"/>
      <c r="G90" s="944"/>
      <c r="H90" s="944"/>
      <c r="I90" s="944"/>
      <c r="J90" s="944"/>
      <c r="K90" s="102"/>
    </row>
    <row r="91" spans="2:11" ht="90.5" thickBot="1" x14ac:dyDescent="0.45">
      <c r="B91" s="103" t="s">
        <v>1972</v>
      </c>
      <c r="C91" s="103" t="s">
        <v>1973</v>
      </c>
      <c r="D91" s="105" t="s">
        <v>1974</v>
      </c>
      <c r="E91" s="105" t="s">
        <v>1525</v>
      </c>
      <c r="F91" s="105" t="s">
        <v>1527</v>
      </c>
      <c r="G91" s="105" t="s">
        <v>1975</v>
      </c>
      <c r="H91" s="105" t="s">
        <v>1976</v>
      </c>
      <c r="I91" s="105" t="s">
        <v>1445</v>
      </c>
      <c r="J91" s="105" t="s">
        <v>1538</v>
      </c>
      <c r="K91" s="106" t="s">
        <v>1541</v>
      </c>
    </row>
    <row r="92" spans="2:11" x14ac:dyDescent="0.3">
      <c r="B92" s="107" t="s">
        <v>1985</v>
      </c>
      <c r="C92" s="108" t="s">
        <v>1416</v>
      </c>
      <c r="D92" s="109">
        <v>4.112947897541205</v>
      </c>
      <c r="E92" s="109">
        <v>2.9816829195491521</v>
      </c>
      <c r="F92" s="109">
        <v>2.1840538805104224</v>
      </c>
      <c r="G92" s="109">
        <v>1.8630900280098199</v>
      </c>
      <c r="H92" s="109">
        <v>2.0866245904849445</v>
      </c>
      <c r="I92" s="109">
        <v>3.9147039260414651</v>
      </c>
      <c r="J92" s="109">
        <v>3.3965822599593145</v>
      </c>
      <c r="K92" s="110">
        <v>1.6584108862998237</v>
      </c>
    </row>
    <row r="93" spans="2:11" x14ac:dyDescent="0.3">
      <c r="B93" s="111"/>
      <c r="C93" s="112" t="s">
        <v>1483</v>
      </c>
      <c r="D93" s="1499">
        <v>4.4578848645220779</v>
      </c>
      <c r="E93" s="1499">
        <v>3.3416387366536577</v>
      </c>
      <c r="F93" s="1499">
        <v>2.5527501260196916</v>
      </c>
      <c r="G93" s="1499">
        <v>2.2258942099799786</v>
      </c>
      <c r="H93" s="1499">
        <v>2.4463893380739266</v>
      </c>
      <c r="I93" s="1499">
        <v>4.2660478381893947</v>
      </c>
      <c r="J93" s="1499">
        <v>3.7529490814971238</v>
      </c>
      <c r="K93" s="113">
        <v>2.0333498243427872</v>
      </c>
    </row>
    <row r="94" spans="2:11" x14ac:dyDescent="0.3">
      <c r="B94" s="111" t="s">
        <v>1986</v>
      </c>
      <c r="C94" s="112" t="s">
        <v>1489</v>
      </c>
      <c r="D94" s="1499">
        <v>4.4139669991128976</v>
      </c>
      <c r="E94" s="1499">
        <v>3.2977208712444779</v>
      </c>
      <c r="F94" s="1499">
        <v>2.5088322606105113</v>
      </c>
      <c r="G94" s="1499">
        <v>2.1819763445707983</v>
      </c>
      <c r="H94" s="1499">
        <v>2.4024714726647463</v>
      </c>
      <c r="I94" s="1499">
        <v>4.2221299727802153</v>
      </c>
      <c r="J94" s="1499">
        <v>3.7090312160879435</v>
      </c>
      <c r="K94" s="113">
        <v>1.9894319589336069</v>
      </c>
    </row>
    <row r="95" spans="2:11" x14ac:dyDescent="0.3">
      <c r="B95" s="114">
        <v>0</v>
      </c>
      <c r="C95" s="112" t="s">
        <v>1496</v>
      </c>
      <c r="D95" s="1499">
        <v>4.3480902009991267</v>
      </c>
      <c r="E95" s="1499">
        <v>3.2318440731307074</v>
      </c>
      <c r="F95" s="1499">
        <v>2.4429554624967409</v>
      </c>
      <c r="G95" s="1499">
        <v>2.1160995464570278</v>
      </c>
      <c r="H95" s="1499">
        <v>2.3365946745509758</v>
      </c>
      <c r="I95" s="1499">
        <v>4.1562531746664444</v>
      </c>
      <c r="J95" s="1499">
        <v>3.6431544179741731</v>
      </c>
      <c r="K95" s="113">
        <v>1.9235551608198367</v>
      </c>
    </row>
    <row r="96" spans="2:11" x14ac:dyDescent="0.3">
      <c r="B96" s="115"/>
      <c r="C96" s="112" t="s">
        <v>1500</v>
      </c>
      <c r="D96" s="1499">
        <v>4.2822134028853567</v>
      </c>
      <c r="E96" s="1499">
        <v>3.1659672750169365</v>
      </c>
      <c r="F96" s="1499">
        <v>2.3770786643829709</v>
      </c>
      <c r="G96" s="1499">
        <v>2.0502227483432578</v>
      </c>
      <c r="H96" s="1499">
        <v>2.2707178764372058</v>
      </c>
      <c r="I96" s="1499">
        <v>4.0903763765526735</v>
      </c>
      <c r="J96" s="1499">
        <v>3.5772776198604026</v>
      </c>
      <c r="K96" s="113">
        <v>1.8576783627060665</v>
      </c>
    </row>
    <row r="97" spans="2:11" x14ac:dyDescent="0.3">
      <c r="B97" s="115"/>
      <c r="C97" s="112" t="s">
        <v>1504</v>
      </c>
      <c r="D97" s="1499">
        <v>4.3865398801177946</v>
      </c>
      <c r="E97" s="1499">
        <v>3.267577604049273</v>
      </c>
      <c r="F97" s="1499">
        <v>2.4781623367351187</v>
      </c>
      <c r="G97" s="1499">
        <v>2.1526874857129537</v>
      </c>
      <c r="H97" s="1499">
        <v>2.3712217909016746</v>
      </c>
      <c r="I97" s="1499">
        <v>4.1951842752016741</v>
      </c>
      <c r="J97" s="1499">
        <v>3.6785076955864606</v>
      </c>
      <c r="K97" s="113">
        <v>1.9571166995366183</v>
      </c>
    </row>
    <row r="98" spans="2:11" x14ac:dyDescent="0.3">
      <c r="B98" s="115"/>
      <c r="C98" s="112" t="s">
        <v>1508</v>
      </c>
      <c r="D98" s="1499">
        <v>4.349837595452593</v>
      </c>
      <c r="E98" s="1499">
        <v>3.2308753193840714</v>
      </c>
      <c r="F98" s="1499">
        <v>2.441460052069917</v>
      </c>
      <c r="G98" s="1499">
        <v>2.1159852010477516</v>
      </c>
      <c r="H98" s="1499">
        <v>2.3345195062364725</v>
      </c>
      <c r="I98" s="1499">
        <v>4.1584819905364725</v>
      </c>
      <c r="J98" s="1499">
        <v>3.641805410921259</v>
      </c>
      <c r="K98" s="113">
        <v>1.9204144148714162</v>
      </c>
    </row>
    <row r="99" spans="2:11" x14ac:dyDescent="0.3">
      <c r="B99" s="115"/>
      <c r="C99" s="112" t="s">
        <v>1513</v>
      </c>
      <c r="D99" s="1499">
        <v>4.2947841684547896</v>
      </c>
      <c r="E99" s="1499">
        <v>3.175821892386268</v>
      </c>
      <c r="F99" s="1499">
        <v>2.3864066250721141</v>
      </c>
      <c r="G99" s="1499">
        <v>2.0609317740499487</v>
      </c>
      <c r="H99" s="1499">
        <v>2.2794660792386701</v>
      </c>
      <c r="I99" s="1499">
        <v>4.1034285635386691</v>
      </c>
      <c r="J99" s="1499">
        <v>3.5867519839234556</v>
      </c>
      <c r="K99" s="113">
        <v>1.8653609878736135</v>
      </c>
    </row>
    <row r="100" spans="2:11" x14ac:dyDescent="0.3">
      <c r="B100" s="115"/>
      <c r="C100" s="112" t="s">
        <v>1517</v>
      </c>
      <c r="D100" s="1499">
        <v>4.2397307414569871</v>
      </c>
      <c r="E100" s="1499">
        <v>3.1207684653884655</v>
      </c>
      <c r="F100" s="1499">
        <v>2.3313531980743112</v>
      </c>
      <c r="G100" s="1499">
        <v>2.0058783470521457</v>
      </c>
      <c r="H100" s="1499">
        <v>2.2244126522408671</v>
      </c>
      <c r="I100" s="1499">
        <v>4.0483751365408667</v>
      </c>
      <c r="J100" s="1499">
        <v>3.5316985569256527</v>
      </c>
      <c r="K100" s="113">
        <v>1.8103075608758106</v>
      </c>
    </row>
    <row r="101" spans="2:11" ht="14.5" thickBot="1" x14ac:dyDescent="0.35">
      <c r="B101" s="115"/>
      <c r="C101" s="116" t="s">
        <v>1519</v>
      </c>
      <c r="D101" s="117">
        <v>4.4578848645220779</v>
      </c>
      <c r="E101" s="117">
        <v>3.3416387366536577</v>
      </c>
      <c r="F101" s="117">
        <v>2.5527501260196916</v>
      </c>
      <c r="G101" s="117">
        <v>2.2258942099799786</v>
      </c>
      <c r="H101" s="117">
        <v>2.4463893380739266</v>
      </c>
      <c r="I101" s="117">
        <v>4.2660478381893947</v>
      </c>
      <c r="J101" s="117">
        <v>3.7529490814971238</v>
      </c>
      <c r="K101" s="118">
        <v>2.0333498243427872</v>
      </c>
    </row>
    <row r="102" spans="2:11" x14ac:dyDescent="0.3">
      <c r="B102" s="120" t="s">
        <v>1985</v>
      </c>
      <c r="C102" s="1234" t="s">
        <v>1416</v>
      </c>
      <c r="D102" s="109">
        <v>3.9853744998125769</v>
      </c>
      <c r="E102" s="109">
        <v>2.8541095218205239</v>
      </c>
      <c r="F102" s="109">
        <v>2.0564804827817942</v>
      </c>
      <c r="G102" s="109">
        <v>1.735516630281192</v>
      </c>
      <c r="H102" s="109">
        <v>1.9590511927563163</v>
      </c>
      <c r="I102" s="109">
        <v>3.7871305283128365</v>
      </c>
      <c r="J102" s="109">
        <v>3.2690088622306863</v>
      </c>
      <c r="K102" s="110">
        <v>1.5308374885711957</v>
      </c>
    </row>
    <row r="103" spans="2:11" x14ac:dyDescent="0.3">
      <c r="B103" s="121"/>
      <c r="C103" s="1500" t="s">
        <v>1483</v>
      </c>
      <c r="D103" s="1499">
        <v>4.3303114667934492</v>
      </c>
      <c r="E103" s="1499">
        <v>3.2140653389250295</v>
      </c>
      <c r="F103" s="1499">
        <v>2.4251767282910635</v>
      </c>
      <c r="G103" s="1499">
        <v>2.0983208122513504</v>
      </c>
      <c r="H103" s="1499">
        <v>2.3188159403452984</v>
      </c>
      <c r="I103" s="1499">
        <v>4.138474440460767</v>
      </c>
      <c r="J103" s="1499">
        <v>3.6253756837684952</v>
      </c>
      <c r="K103" s="113">
        <v>1.905776426614159</v>
      </c>
    </row>
    <row r="104" spans="2:11" x14ac:dyDescent="0.3">
      <c r="B104" s="111" t="s">
        <v>1987</v>
      </c>
      <c r="C104" s="1500" t="s">
        <v>1489</v>
      </c>
      <c r="D104" s="1499">
        <v>4.2863936013842689</v>
      </c>
      <c r="E104" s="1499">
        <v>3.1701474735158492</v>
      </c>
      <c r="F104" s="1499">
        <v>2.3812588628818832</v>
      </c>
      <c r="G104" s="1499">
        <v>2.0544029468421701</v>
      </c>
      <c r="H104" s="1499">
        <v>2.2748980749361181</v>
      </c>
      <c r="I104" s="1499">
        <v>4.0945565750515867</v>
      </c>
      <c r="J104" s="1499">
        <v>3.5814578183593153</v>
      </c>
      <c r="K104" s="113">
        <v>1.8618585612049787</v>
      </c>
    </row>
    <row r="105" spans="2:11" x14ac:dyDescent="0.3">
      <c r="B105" s="122">
        <v>0</v>
      </c>
      <c r="C105" s="1500" t="s">
        <v>1496</v>
      </c>
      <c r="D105" s="1499">
        <v>4.2205168032704989</v>
      </c>
      <c r="E105" s="1499">
        <v>3.1042706754020788</v>
      </c>
      <c r="F105" s="1499">
        <v>2.3153820647681127</v>
      </c>
      <c r="G105" s="1499">
        <v>1.9885261487283998</v>
      </c>
      <c r="H105" s="1499">
        <v>2.2090212768223481</v>
      </c>
      <c r="I105" s="1499">
        <v>4.0286797769378158</v>
      </c>
      <c r="J105" s="1499">
        <v>3.5155810202455449</v>
      </c>
      <c r="K105" s="113">
        <v>1.7959817630912085</v>
      </c>
    </row>
    <row r="106" spans="2:11" x14ac:dyDescent="0.3">
      <c r="B106" s="123"/>
      <c r="C106" s="1500" t="s">
        <v>1500</v>
      </c>
      <c r="D106" s="1499">
        <v>4.1546400051567289</v>
      </c>
      <c r="E106" s="1499">
        <v>3.0383938772883088</v>
      </c>
      <c r="F106" s="1499">
        <v>2.2495052666543423</v>
      </c>
      <c r="G106" s="1499">
        <v>1.9226493506146292</v>
      </c>
      <c r="H106" s="1499">
        <v>2.1431444787085776</v>
      </c>
      <c r="I106" s="1499">
        <v>3.9628029788240462</v>
      </c>
      <c r="J106" s="1499">
        <v>3.4497042221317749</v>
      </c>
      <c r="K106" s="113">
        <v>1.7301049649774383</v>
      </c>
    </row>
    <row r="107" spans="2:11" x14ac:dyDescent="0.3">
      <c r="B107" s="123"/>
      <c r="C107" s="1500" t="s">
        <v>1504</v>
      </c>
      <c r="D107" s="1499">
        <v>4.258966482389166</v>
      </c>
      <c r="E107" s="1499">
        <v>3.1400042063206448</v>
      </c>
      <c r="F107" s="1499">
        <v>2.3505889390064909</v>
      </c>
      <c r="G107" s="1499">
        <v>2.0251140879843255</v>
      </c>
      <c r="H107" s="1499">
        <v>2.2436483931730469</v>
      </c>
      <c r="I107" s="1499">
        <v>4.0676108774730455</v>
      </c>
      <c r="J107" s="1499">
        <v>3.5509342978578324</v>
      </c>
      <c r="K107" s="113">
        <v>1.8295433018079903</v>
      </c>
    </row>
    <row r="108" spans="2:11" x14ac:dyDescent="0.3">
      <c r="B108" s="123"/>
      <c r="C108" s="1500" t="s">
        <v>1508</v>
      </c>
      <c r="D108" s="1499">
        <v>4.2222641977239643</v>
      </c>
      <c r="E108" s="1499">
        <v>3.1033019216554427</v>
      </c>
      <c r="F108" s="1499">
        <v>2.3138866543412888</v>
      </c>
      <c r="G108" s="1499">
        <v>1.9884118033191234</v>
      </c>
      <c r="H108" s="1499">
        <v>2.2069461085078448</v>
      </c>
      <c r="I108" s="1499">
        <v>4.0309085928078439</v>
      </c>
      <c r="J108" s="1499">
        <v>3.5142320131926303</v>
      </c>
      <c r="K108" s="113">
        <v>1.7928410171427882</v>
      </c>
    </row>
    <row r="109" spans="2:11" x14ac:dyDescent="0.3">
      <c r="B109" s="123"/>
      <c r="C109" s="1500" t="s">
        <v>1513</v>
      </c>
      <c r="D109" s="1499">
        <v>4.1672107707261619</v>
      </c>
      <c r="E109" s="1499">
        <v>3.0482484946576403</v>
      </c>
      <c r="F109" s="1499">
        <v>2.2588332273434859</v>
      </c>
      <c r="G109" s="1499">
        <v>1.9333583763213202</v>
      </c>
      <c r="H109" s="1499">
        <v>2.1518926815100414</v>
      </c>
      <c r="I109" s="1499">
        <v>3.9758551658100414</v>
      </c>
      <c r="J109" s="1499">
        <v>3.4591785861948279</v>
      </c>
      <c r="K109" s="113">
        <v>1.7377875901449851</v>
      </c>
    </row>
    <row r="110" spans="2:11" x14ac:dyDescent="0.3">
      <c r="B110" s="123"/>
      <c r="C110" s="1500" t="s">
        <v>1517</v>
      </c>
      <c r="D110" s="1499">
        <v>4.1121573437283585</v>
      </c>
      <c r="E110" s="1499">
        <v>2.9931950676598369</v>
      </c>
      <c r="F110" s="1499">
        <v>2.203779800345683</v>
      </c>
      <c r="G110" s="1499">
        <v>1.8783049493235173</v>
      </c>
      <c r="H110" s="1499">
        <v>2.0968392545122385</v>
      </c>
      <c r="I110" s="1499">
        <v>3.920801738812238</v>
      </c>
      <c r="J110" s="1499">
        <v>3.4041251591970245</v>
      </c>
      <c r="K110" s="113">
        <v>1.6827341631471822</v>
      </c>
    </row>
    <row r="111" spans="2:11" ht="14.5" thickBot="1" x14ac:dyDescent="0.35">
      <c r="B111" s="124"/>
      <c r="C111" s="125" t="s">
        <v>1519</v>
      </c>
      <c r="D111" s="117">
        <v>4.3303114667934492</v>
      </c>
      <c r="E111" s="117">
        <v>3.2140653389250295</v>
      </c>
      <c r="F111" s="117">
        <v>2.4251767282910635</v>
      </c>
      <c r="G111" s="117">
        <v>2.0983208122513504</v>
      </c>
      <c r="H111" s="117">
        <v>2.3188159403452984</v>
      </c>
      <c r="I111" s="117">
        <v>4.138474440460767</v>
      </c>
      <c r="J111" s="117">
        <v>3.6253756837684952</v>
      </c>
      <c r="K111" s="118">
        <v>1.905776426614159</v>
      </c>
    </row>
    <row r="112" spans="2:11" x14ac:dyDescent="0.3">
      <c r="B112" s="119" t="s">
        <v>1985</v>
      </c>
      <c r="C112" s="108" t="s">
        <v>1416</v>
      </c>
      <c r="D112" s="109">
        <v>3.7940144032196348</v>
      </c>
      <c r="E112" s="109">
        <v>2.6627494252275814</v>
      </c>
      <c r="F112" s="109">
        <v>1.8651203861888521</v>
      </c>
      <c r="G112" s="109">
        <v>1.5441565336882497</v>
      </c>
      <c r="H112" s="109">
        <v>1.7676910961633741</v>
      </c>
      <c r="I112" s="109">
        <v>3.5957704317198944</v>
      </c>
      <c r="J112" s="109">
        <v>3.0776487656377438</v>
      </c>
      <c r="K112" s="110">
        <v>1.3394773919782534</v>
      </c>
    </row>
    <row r="113" spans="2:11" x14ac:dyDescent="0.3">
      <c r="B113" s="111"/>
      <c r="C113" s="112" t="s">
        <v>1483</v>
      </c>
      <c r="D113" s="1499">
        <v>4.1389513702005072</v>
      </c>
      <c r="E113" s="1499">
        <v>3.022705242332087</v>
      </c>
      <c r="F113" s="1499">
        <v>2.2338166316981209</v>
      </c>
      <c r="G113" s="1499">
        <v>1.9069607156584081</v>
      </c>
      <c r="H113" s="1499">
        <v>2.1274558437523563</v>
      </c>
      <c r="I113" s="1499">
        <v>3.9471143438678244</v>
      </c>
      <c r="J113" s="1499">
        <v>3.4340155871755531</v>
      </c>
      <c r="K113" s="113">
        <v>1.7144163300212167</v>
      </c>
    </row>
    <row r="114" spans="2:11" ht="14.5" thickBot="1" x14ac:dyDescent="0.35">
      <c r="B114" s="111" t="s">
        <v>1988</v>
      </c>
      <c r="C114" s="112" t="s">
        <v>1489</v>
      </c>
      <c r="D114" s="1499">
        <v>4.0950335047913269</v>
      </c>
      <c r="E114" s="1499">
        <v>2.9787873769229072</v>
      </c>
      <c r="F114" s="1501">
        <v>2.1898987662889406</v>
      </c>
      <c r="G114" s="1499">
        <v>1.8630428502492278</v>
      </c>
      <c r="H114" s="1499">
        <v>2.083537978343176</v>
      </c>
      <c r="I114" s="1499">
        <v>3.9031964784586441</v>
      </c>
      <c r="J114" s="1499">
        <v>3.3900977217663728</v>
      </c>
      <c r="K114" s="113">
        <v>1.6704984646120364</v>
      </c>
    </row>
    <row r="115" spans="2:11" ht="14.5" thickBot="1" x14ac:dyDescent="0.35">
      <c r="B115" s="114">
        <v>0</v>
      </c>
      <c r="C115" s="112" t="s">
        <v>1496</v>
      </c>
      <c r="D115" s="1499">
        <v>4.029156706677556</v>
      </c>
      <c r="E115" s="1502">
        <v>2.9129105788091367</v>
      </c>
      <c r="F115" s="126">
        <v>2.1240219681751706</v>
      </c>
      <c r="G115" s="1503">
        <v>1.7971660521354575</v>
      </c>
      <c r="H115" s="1499">
        <v>2.0176611802294055</v>
      </c>
      <c r="I115" s="1499">
        <v>3.8373196803448737</v>
      </c>
      <c r="J115" s="1499">
        <v>3.3242209236526024</v>
      </c>
      <c r="K115" s="113">
        <v>1.6046216664982662</v>
      </c>
    </row>
    <row r="116" spans="2:11" x14ac:dyDescent="0.3">
      <c r="B116" s="115"/>
      <c r="C116" s="112" t="s">
        <v>1500</v>
      </c>
      <c r="D116" s="1499">
        <v>3.9632799085637864</v>
      </c>
      <c r="E116" s="1499">
        <v>2.8470337806953667</v>
      </c>
      <c r="F116" s="127">
        <v>2.0581451700614002</v>
      </c>
      <c r="G116" s="1499">
        <v>1.7312892540216869</v>
      </c>
      <c r="H116" s="1499">
        <v>1.9517843821156353</v>
      </c>
      <c r="I116" s="1499">
        <v>3.7714428822311037</v>
      </c>
      <c r="J116" s="1499">
        <v>3.2583441255388323</v>
      </c>
      <c r="K116" s="113">
        <v>1.538744868384496</v>
      </c>
    </row>
    <row r="117" spans="2:11" x14ac:dyDescent="0.3">
      <c r="B117" s="115"/>
      <c r="C117" s="112" t="s">
        <v>1504</v>
      </c>
      <c r="D117" s="1499">
        <v>4.0676063857962239</v>
      </c>
      <c r="E117" s="1499">
        <v>2.9486441097277023</v>
      </c>
      <c r="F117" s="1499">
        <v>2.1592288424135484</v>
      </c>
      <c r="G117" s="1499">
        <v>1.833753991391383</v>
      </c>
      <c r="H117" s="1499">
        <v>2.0522882965801044</v>
      </c>
      <c r="I117" s="1499">
        <v>3.8762507808801034</v>
      </c>
      <c r="J117" s="1499">
        <v>3.3595742012648899</v>
      </c>
      <c r="K117" s="113">
        <v>1.638183205215048</v>
      </c>
    </row>
    <row r="118" spans="2:11" x14ac:dyDescent="0.3">
      <c r="B118" s="115"/>
      <c r="C118" s="112" t="s">
        <v>1508</v>
      </c>
      <c r="D118" s="1499">
        <v>4.0309041011310223</v>
      </c>
      <c r="E118" s="1499">
        <v>2.9119418250625007</v>
      </c>
      <c r="F118" s="1499">
        <v>2.1225265577483463</v>
      </c>
      <c r="G118" s="1499">
        <v>1.7970517067261809</v>
      </c>
      <c r="H118" s="1499">
        <v>2.0155860119149023</v>
      </c>
      <c r="I118" s="1499">
        <v>3.8395484962149018</v>
      </c>
      <c r="J118" s="1499">
        <v>3.3228719165996883</v>
      </c>
      <c r="K118" s="113">
        <v>1.6014809205498459</v>
      </c>
    </row>
    <row r="119" spans="2:11" x14ac:dyDescent="0.3">
      <c r="B119" s="115"/>
      <c r="C119" s="112" t="s">
        <v>1513</v>
      </c>
      <c r="D119" s="1499">
        <v>3.9758506741332194</v>
      </c>
      <c r="E119" s="1499">
        <v>2.8568883980646977</v>
      </c>
      <c r="F119" s="1499">
        <v>2.0674731307505434</v>
      </c>
      <c r="G119" s="1499">
        <v>1.741998279728378</v>
      </c>
      <c r="H119" s="1499">
        <v>1.9605325849170994</v>
      </c>
      <c r="I119" s="1499">
        <v>3.7844950692170989</v>
      </c>
      <c r="J119" s="1499">
        <v>3.2678184896018854</v>
      </c>
      <c r="K119" s="113">
        <v>1.5464274935520428</v>
      </c>
    </row>
    <row r="120" spans="2:11" x14ac:dyDescent="0.3">
      <c r="B120" s="115"/>
      <c r="C120" s="112" t="s">
        <v>1517</v>
      </c>
      <c r="D120" s="1499">
        <v>3.920797247135416</v>
      </c>
      <c r="E120" s="1499">
        <v>2.8018349710668948</v>
      </c>
      <c r="F120" s="1499">
        <v>2.0124197037527405</v>
      </c>
      <c r="G120" s="1499">
        <v>1.686944852730575</v>
      </c>
      <c r="H120" s="1499">
        <v>1.9054791579192962</v>
      </c>
      <c r="I120" s="1499">
        <v>3.729441642219296</v>
      </c>
      <c r="J120" s="1499">
        <v>3.212765062604082</v>
      </c>
      <c r="K120" s="113">
        <v>1.4913740665542399</v>
      </c>
    </row>
    <row r="121" spans="2:11" ht="14.5" thickBot="1" x14ac:dyDescent="0.35">
      <c r="B121" s="1233"/>
      <c r="C121" s="116" t="s">
        <v>1519</v>
      </c>
      <c r="D121" s="117">
        <v>4.1389513702005072</v>
      </c>
      <c r="E121" s="117">
        <v>3.022705242332087</v>
      </c>
      <c r="F121" s="117">
        <v>2.2338166316981209</v>
      </c>
      <c r="G121" s="117">
        <v>1.9069607156584081</v>
      </c>
      <c r="H121" s="117">
        <v>2.1274558437523563</v>
      </c>
      <c r="I121" s="117">
        <v>3.9471143438678244</v>
      </c>
      <c r="J121" s="117">
        <v>3.4340155871755531</v>
      </c>
      <c r="K121" s="118">
        <v>1.7144163300212167</v>
      </c>
    </row>
    <row r="122" spans="2:11" x14ac:dyDescent="0.3">
      <c r="B122" s="107" t="s">
        <v>1985</v>
      </c>
      <c r="C122" s="108" t="s">
        <v>1416</v>
      </c>
      <c r="D122" s="109">
        <v>3.6026543066266923</v>
      </c>
      <c r="E122" s="109">
        <v>2.4713893286346393</v>
      </c>
      <c r="F122" s="109">
        <v>1.6737602895959098</v>
      </c>
      <c r="G122" s="109">
        <v>1.3527964370953074</v>
      </c>
      <c r="H122" s="109">
        <v>1.5763309995704318</v>
      </c>
      <c r="I122" s="109">
        <v>3.4044103351269519</v>
      </c>
      <c r="J122" s="109">
        <v>2.8862886690448017</v>
      </c>
      <c r="K122" s="110">
        <v>1.1481172953853112</v>
      </c>
    </row>
    <row r="123" spans="2:11" x14ac:dyDescent="0.3">
      <c r="B123" s="111"/>
      <c r="C123" s="112" t="s">
        <v>1483</v>
      </c>
      <c r="D123" s="1499">
        <v>3.9475912736075647</v>
      </c>
      <c r="E123" s="1499">
        <v>2.831345145739145</v>
      </c>
      <c r="F123" s="1499">
        <v>2.0424565351051789</v>
      </c>
      <c r="G123" s="1499">
        <v>1.7156006190654658</v>
      </c>
      <c r="H123" s="1499">
        <v>1.9360957471594138</v>
      </c>
      <c r="I123" s="1499">
        <v>3.7557542472748819</v>
      </c>
      <c r="J123" s="1499">
        <v>3.2426554905826106</v>
      </c>
      <c r="K123" s="113">
        <v>1.5230562334282745</v>
      </c>
    </row>
    <row r="124" spans="2:11" x14ac:dyDescent="0.3">
      <c r="B124" s="111" t="s">
        <v>1989</v>
      </c>
      <c r="C124" s="112" t="s">
        <v>1489</v>
      </c>
      <c r="D124" s="1499">
        <v>3.9036734081983844</v>
      </c>
      <c r="E124" s="1499">
        <v>2.7874272803299647</v>
      </c>
      <c r="F124" s="1499">
        <v>1.9985386696959986</v>
      </c>
      <c r="G124" s="1499">
        <v>1.6716827536562855</v>
      </c>
      <c r="H124" s="1499">
        <v>1.8921778817502335</v>
      </c>
      <c r="I124" s="1499">
        <v>3.7118363818657021</v>
      </c>
      <c r="J124" s="1499">
        <v>3.1987376251734307</v>
      </c>
      <c r="K124" s="113">
        <v>1.4791383680190942</v>
      </c>
    </row>
    <row r="125" spans="2:11" x14ac:dyDescent="0.3">
      <c r="B125" s="114">
        <v>0</v>
      </c>
      <c r="C125" s="112" t="s">
        <v>1496</v>
      </c>
      <c r="D125" s="1499">
        <v>3.8377966100846139</v>
      </c>
      <c r="E125" s="1499">
        <v>2.7215504822161942</v>
      </c>
      <c r="F125" s="1499">
        <v>1.9326618715822284</v>
      </c>
      <c r="G125" s="1499">
        <v>1.6058059555425153</v>
      </c>
      <c r="H125" s="1499">
        <v>1.8263010836364633</v>
      </c>
      <c r="I125" s="1499">
        <v>3.6459595837519316</v>
      </c>
      <c r="J125" s="1499">
        <v>3.1328608270596603</v>
      </c>
      <c r="K125" s="113">
        <v>1.4132615699053239</v>
      </c>
    </row>
    <row r="126" spans="2:11" x14ac:dyDescent="0.3">
      <c r="B126" s="115"/>
      <c r="C126" s="112" t="s">
        <v>1500</v>
      </c>
      <c r="D126" s="1499">
        <v>3.7719198119708439</v>
      </c>
      <c r="E126" s="1499">
        <v>2.6556736841024242</v>
      </c>
      <c r="F126" s="1499">
        <v>1.8667850734684577</v>
      </c>
      <c r="G126" s="1499">
        <v>1.5399291574287446</v>
      </c>
      <c r="H126" s="1499">
        <v>1.760424285522693</v>
      </c>
      <c r="I126" s="1499">
        <v>3.5800827856381616</v>
      </c>
      <c r="J126" s="1499">
        <v>3.0669840289458903</v>
      </c>
      <c r="K126" s="113">
        <v>1.3473847717915537</v>
      </c>
    </row>
    <row r="127" spans="2:11" x14ac:dyDescent="0.3">
      <c r="B127" s="115"/>
      <c r="C127" s="112" t="s">
        <v>1504</v>
      </c>
      <c r="D127" s="1499">
        <v>3.8762462892032814</v>
      </c>
      <c r="E127" s="1499">
        <v>2.7572840131347602</v>
      </c>
      <c r="F127" s="1499">
        <v>1.9678687458206063</v>
      </c>
      <c r="G127" s="1499">
        <v>1.6423938947984404</v>
      </c>
      <c r="H127" s="1499">
        <v>1.8609281999871619</v>
      </c>
      <c r="I127" s="1499">
        <v>3.6848906842871614</v>
      </c>
      <c r="J127" s="1499">
        <v>3.1682141046719479</v>
      </c>
      <c r="K127" s="113">
        <v>1.4468231086221057</v>
      </c>
    </row>
    <row r="128" spans="2:11" x14ac:dyDescent="0.3">
      <c r="B128" s="115"/>
      <c r="C128" s="112" t="s">
        <v>1508</v>
      </c>
      <c r="D128" s="1499">
        <v>3.8395440045380798</v>
      </c>
      <c r="E128" s="1499">
        <v>2.7205817284695581</v>
      </c>
      <c r="F128" s="1499">
        <v>1.9311664611554042</v>
      </c>
      <c r="G128" s="1499">
        <v>1.6056916101332386</v>
      </c>
      <c r="H128" s="1499">
        <v>1.82422591532196</v>
      </c>
      <c r="I128" s="1499">
        <v>3.6481883996219593</v>
      </c>
      <c r="J128" s="1499">
        <v>3.1315118200067458</v>
      </c>
      <c r="K128" s="113">
        <v>1.4101208239569036</v>
      </c>
    </row>
    <row r="129" spans="2:11" x14ac:dyDescent="0.3">
      <c r="B129" s="115"/>
      <c r="C129" s="112" t="s">
        <v>1513</v>
      </c>
      <c r="D129" s="1499">
        <v>3.7844905775402768</v>
      </c>
      <c r="E129" s="1499">
        <v>2.6655283014717557</v>
      </c>
      <c r="F129" s="1499">
        <v>1.8761130341576011</v>
      </c>
      <c r="G129" s="1499">
        <v>1.5506381831354357</v>
      </c>
      <c r="H129" s="1499">
        <v>1.7691724883241571</v>
      </c>
      <c r="I129" s="1499">
        <v>3.5931349726241568</v>
      </c>
      <c r="J129" s="1499">
        <v>3.0764583930089433</v>
      </c>
      <c r="K129" s="113">
        <v>1.3550673969591005</v>
      </c>
    </row>
    <row r="130" spans="2:11" x14ac:dyDescent="0.3">
      <c r="B130" s="115"/>
      <c r="C130" s="112" t="s">
        <v>1517</v>
      </c>
      <c r="D130" s="1499">
        <v>3.7294371505424739</v>
      </c>
      <c r="E130" s="1499">
        <v>2.6104748744739523</v>
      </c>
      <c r="F130" s="1499">
        <v>1.8210596071597984</v>
      </c>
      <c r="G130" s="1499">
        <v>1.4955847561376328</v>
      </c>
      <c r="H130" s="1499">
        <v>1.7141190613263539</v>
      </c>
      <c r="I130" s="1499">
        <v>3.5380815456263535</v>
      </c>
      <c r="J130" s="1499">
        <v>3.0214049660111399</v>
      </c>
      <c r="K130" s="113">
        <v>1.3000139699612978</v>
      </c>
    </row>
    <row r="131" spans="2:11" ht="14.5" thickBot="1" x14ac:dyDescent="0.35">
      <c r="B131" s="1233"/>
      <c r="C131" s="116" t="s">
        <v>1519</v>
      </c>
      <c r="D131" s="117">
        <v>3.9475912736075647</v>
      </c>
      <c r="E131" s="117">
        <v>2.831345145739145</v>
      </c>
      <c r="F131" s="117">
        <v>2.0424565351051789</v>
      </c>
      <c r="G131" s="117">
        <v>1.7156006190654658</v>
      </c>
      <c r="H131" s="117">
        <v>1.9360957471594138</v>
      </c>
      <c r="I131" s="117">
        <v>3.7557542472748819</v>
      </c>
      <c r="J131" s="117">
        <v>3.2426554905826106</v>
      </c>
      <c r="K131" s="118">
        <v>1.5230562334282745</v>
      </c>
    </row>
    <row r="132" spans="2:11" x14ac:dyDescent="0.3">
      <c r="B132" s="120" t="s">
        <v>1990</v>
      </c>
      <c r="C132" s="108" t="s">
        <v>1416</v>
      </c>
      <c r="D132" s="109">
        <v>3.8919676875240792</v>
      </c>
      <c r="E132" s="109">
        <v>2.7522253936879202</v>
      </c>
      <c r="F132" s="109">
        <v>1.9764719983519621</v>
      </c>
      <c r="G132" s="109">
        <v>1.6420372920475561</v>
      </c>
      <c r="H132" s="109">
        <v>1.872636591766035</v>
      </c>
      <c r="I132" s="109">
        <v>3.6831836869675647</v>
      </c>
      <c r="J132" s="109">
        <v>3.1660692153253729</v>
      </c>
      <c r="K132" s="110">
        <v>1.44132233896675</v>
      </c>
    </row>
    <row r="133" spans="2:11" x14ac:dyDescent="0.3">
      <c r="B133" s="111"/>
      <c r="C133" s="112" t="s">
        <v>1483</v>
      </c>
      <c r="D133" s="1499">
        <v>4.2361439990800278</v>
      </c>
      <c r="E133" s="1499">
        <v>3.1168958534719153</v>
      </c>
      <c r="F133" s="1499">
        <v>2.3365632089603379</v>
      </c>
      <c r="G133" s="1499">
        <v>2.0198482120547574</v>
      </c>
      <c r="H133" s="1499">
        <v>2.2255331133895808</v>
      </c>
      <c r="I133" s="1499">
        <v>4.0399417696996078</v>
      </c>
      <c r="J133" s="1499">
        <v>3.5257732199584435</v>
      </c>
      <c r="K133" s="113">
        <v>1.8247972650609279</v>
      </c>
    </row>
    <row r="134" spans="2:11" x14ac:dyDescent="0.3">
      <c r="B134" s="111" t="s">
        <v>1986</v>
      </c>
      <c r="C134" s="112" t="s">
        <v>1489</v>
      </c>
      <c r="D134" s="1499">
        <v>4.1922261336708475</v>
      </c>
      <c r="E134" s="1499">
        <v>3.0729779880627346</v>
      </c>
      <c r="F134" s="1499">
        <v>2.2926453435511576</v>
      </c>
      <c r="G134" s="1499">
        <v>1.9759303466455769</v>
      </c>
      <c r="H134" s="1499">
        <v>2.1816152479804005</v>
      </c>
      <c r="I134" s="1499">
        <v>3.9960239042904271</v>
      </c>
      <c r="J134" s="1499">
        <v>3.4818553545492632</v>
      </c>
      <c r="K134" s="113">
        <v>1.7808793996517476</v>
      </c>
    </row>
    <row r="135" spans="2:11" x14ac:dyDescent="0.3">
      <c r="B135" s="114">
        <v>0</v>
      </c>
      <c r="C135" s="112" t="s">
        <v>1496</v>
      </c>
      <c r="D135" s="1499">
        <v>4.1263493355570775</v>
      </c>
      <c r="E135" s="1499">
        <v>3.0071011899489646</v>
      </c>
      <c r="F135" s="1499">
        <v>2.2267685454373876</v>
      </c>
      <c r="G135" s="1499">
        <v>1.9100535485318066</v>
      </c>
      <c r="H135" s="1499">
        <v>2.1157384498666305</v>
      </c>
      <c r="I135" s="1499">
        <v>3.9301471061766571</v>
      </c>
      <c r="J135" s="1499">
        <v>3.4159785564354932</v>
      </c>
      <c r="K135" s="113">
        <v>1.7150026015379773</v>
      </c>
    </row>
    <row r="136" spans="2:11" x14ac:dyDescent="0.3">
      <c r="B136" s="115"/>
      <c r="C136" s="112" t="s">
        <v>1500</v>
      </c>
      <c r="D136" s="1499">
        <v>4.0604725374433066</v>
      </c>
      <c r="E136" s="1499">
        <v>2.9412243918351941</v>
      </c>
      <c r="F136" s="1499">
        <v>2.1608917473236171</v>
      </c>
      <c r="G136" s="1499">
        <v>1.8441767504180364</v>
      </c>
      <c r="H136" s="1499">
        <v>2.0498616517528601</v>
      </c>
      <c r="I136" s="1499">
        <v>3.8642703080628866</v>
      </c>
      <c r="J136" s="1499">
        <v>3.3501017583217227</v>
      </c>
      <c r="K136" s="113">
        <v>1.6491258034242071</v>
      </c>
    </row>
    <row r="137" spans="2:11" x14ac:dyDescent="0.3">
      <c r="B137" s="115"/>
      <c r="C137" s="112" t="s">
        <v>1504</v>
      </c>
      <c r="D137" s="1499">
        <v>4.1663896371950635</v>
      </c>
      <c r="E137" s="1499">
        <v>3.040942447871851</v>
      </c>
      <c r="F137" s="1499">
        <v>2.2596843858883453</v>
      </c>
      <c r="G137" s="1499">
        <v>1.9430602018150354</v>
      </c>
      <c r="H137" s="1499">
        <v>2.1530273083219136</v>
      </c>
      <c r="I137" s="1499">
        <v>3.9673297797059117</v>
      </c>
      <c r="J137" s="1499">
        <v>3.4518015837439933</v>
      </c>
      <c r="K137" s="113">
        <v>1.7449123442092451</v>
      </c>
    </row>
    <row r="138" spans="2:11" x14ac:dyDescent="0.3">
      <c r="B138" s="115"/>
      <c r="C138" s="112" t="s">
        <v>1508</v>
      </c>
      <c r="D138" s="1499">
        <v>4.1296873525298619</v>
      </c>
      <c r="E138" s="1499">
        <v>3.0042401632066493</v>
      </c>
      <c r="F138" s="1499">
        <v>2.2229821012231432</v>
      </c>
      <c r="G138" s="1499">
        <v>1.9063579171498333</v>
      </c>
      <c r="H138" s="1499">
        <v>2.1163250236567115</v>
      </c>
      <c r="I138" s="1499">
        <v>3.9306274950407101</v>
      </c>
      <c r="J138" s="1499">
        <v>3.4150992990787912</v>
      </c>
      <c r="K138" s="113">
        <v>1.708210059544043</v>
      </c>
    </row>
    <row r="139" spans="2:11" x14ac:dyDescent="0.3">
      <c r="B139" s="115"/>
      <c r="C139" s="112" t="s">
        <v>1513</v>
      </c>
      <c r="D139" s="1499">
        <v>4.0746339255320594</v>
      </c>
      <c r="E139" s="1499">
        <v>2.9491867362088464</v>
      </c>
      <c r="F139" s="1499">
        <v>2.1679286742253403</v>
      </c>
      <c r="G139" s="1499">
        <v>1.8513044901520306</v>
      </c>
      <c r="H139" s="1499">
        <v>2.0612715966589086</v>
      </c>
      <c r="I139" s="1499">
        <v>3.8755740680429072</v>
      </c>
      <c r="J139" s="1499">
        <v>3.3600458720809887</v>
      </c>
      <c r="K139" s="113">
        <v>1.6531566325462403</v>
      </c>
    </row>
    <row r="140" spans="2:11" x14ac:dyDescent="0.3">
      <c r="B140" s="115"/>
      <c r="C140" s="112" t="s">
        <v>1517</v>
      </c>
      <c r="D140" s="1499">
        <v>4.019580498534256</v>
      </c>
      <c r="E140" s="1499">
        <v>2.8941333092110435</v>
      </c>
      <c r="F140" s="1499">
        <v>2.1128752472275374</v>
      </c>
      <c r="G140" s="1499">
        <v>1.7962510631542277</v>
      </c>
      <c r="H140" s="1499">
        <v>2.0062181696611057</v>
      </c>
      <c r="I140" s="1499">
        <v>3.8205206410451038</v>
      </c>
      <c r="J140" s="1499">
        <v>3.3049924450831853</v>
      </c>
      <c r="K140" s="113">
        <v>1.5981032055484372</v>
      </c>
    </row>
    <row r="141" spans="2:11" ht="14.5" thickBot="1" x14ac:dyDescent="0.35">
      <c r="B141" s="1233"/>
      <c r="C141" s="116" t="s">
        <v>1519</v>
      </c>
      <c r="D141" s="117">
        <v>4.2361439990800278</v>
      </c>
      <c r="E141" s="117">
        <v>3.1168958534719153</v>
      </c>
      <c r="F141" s="117">
        <v>2.3365632089603379</v>
      </c>
      <c r="G141" s="117">
        <v>2.0198482120547574</v>
      </c>
      <c r="H141" s="117">
        <v>2.2255331133895808</v>
      </c>
      <c r="I141" s="117">
        <v>4.0399417696996078</v>
      </c>
      <c r="J141" s="117">
        <v>3.5257732199584435</v>
      </c>
      <c r="K141" s="118">
        <v>1.8247972650609279</v>
      </c>
    </row>
    <row r="142" spans="2:11" x14ac:dyDescent="0.3">
      <c r="B142" s="120" t="s">
        <v>1990</v>
      </c>
      <c r="C142" s="108" t="s">
        <v>1416</v>
      </c>
      <c r="D142" s="109">
        <v>3.7845255651486105</v>
      </c>
      <c r="E142" s="109">
        <v>2.6447832713124511</v>
      </c>
      <c r="F142" s="109">
        <v>1.8690298759764932</v>
      </c>
      <c r="G142" s="109">
        <v>1.5345951696720872</v>
      </c>
      <c r="H142" s="109">
        <v>1.7651944693905661</v>
      </c>
      <c r="I142" s="109">
        <v>3.5757415645920956</v>
      </c>
      <c r="J142" s="109">
        <v>3.0586270929499042</v>
      </c>
      <c r="K142" s="110">
        <v>1.3338802165912811</v>
      </c>
    </row>
    <row r="143" spans="2:11" x14ac:dyDescent="0.3">
      <c r="B143" s="111"/>
      <c r="C143" s="112" t="s">
        <v>1483</v>
      </c>
      <c r="D143" s="1499">
        <v>4.1287018767045582</v>
      </c>
      <c r="E143" s="1499">
        <v>3.0094537310964458</v>
      </c>
      <c r="F143" s="1499">
        <v>2.2291210865848692</v>
      </c>
      <c r="G143" s="1499">
        <v>1.9124060896792883</v>
      </c>
      <c r="H143" s="1499">
        <v>2.1180909910141121</v>
      </c>
      <c r="I143" s="1499">
        <v>3.9324996473241383</v>
      </c>
      <c r="J143" s="1499">
        <v>3.4183310975829744</v>
      </c>
      <c r="K143" s="113">
        <v>1.717355142685459</v>
      </c>
    </row>
    <row r="144" spans="2:11" x14ac:dyDescent="0.3">
      <c r="B144" s="111" t="s">
        <v>1987</v>
      </c>
      <c r="C144" s="112" t="s">
        <v>1489</v>
      </c>
      <c r="D144" s="1499">
        <v>4.0847840112953788</v>
      </c>
      <c r="E144" s="1499">
        <v>2.9655358656872659</v>
      </c>
      <c r="F144" s="1499">
        <v>2.1852032211756889</v>
      </c>
      <c r="G144" s="1499">
        <v>1.868488224270108</v>
      </c>
      <c r="H144" s="1499">
        <v>2.0741731256049318</v>
      </c>
      <c r="I144" s="1499">
        <v>3.888581781914958</v>
      </c>
      <c r="J144" s="1499">
        <v>3.3744132321737941</v>
      </c>
      <c r="K144" s="113">
        <v>1.6734372772762787</v>
      </c>
    </row>
    <row r="145" spans="2:11" x14ac:dyDescent="0.3">
      <c r="B145" s="114">
        <v>0</v>
      </c>
      <c r="C145" s="112" t="s">
        <v>1496</v>
      </c>
      <c r="D145" s="1499">
        <v>4.0189072131816079</v>
      </c>
      <c r="E145" s="1499">
        <v>2.899659067573495</v>
      </c>
      <c r="F145" s="1499">
        <v>2.1193264230619184</v>
      </c>
      <c r="G145" s="1499">
        <v>1.8026114261563377</v>
      </c>
      <c r="H145" s="1499">
        <v>2.0082963274911614</v>
      </c>
      <c r="I145" s="1499">
        <v>3.8227049838011875</v>
      </c>
      <c r="J145" s="1499">
        <v>3.3085364340600236</v>
      </c>
      <c r="K145" s="113">
        <v>1.6075604791625084</v>
      </c>
    </row>
    <row r="146" spans="2:11" x14ac:dyDescent="0.3">
      <c r="B146" s="115"/>
      <c r="C146" s="112" t="s">
        <v>1500</v>
      </c>
      <c r="D146" s="1499">
        <v>3.9530304150678379</v>
      </c>
      <c r="E146" s="1499">
        <v>2.8337822694597254</v>
      </c>
      <c r="F146" s="1499">
        <v>2.0534496249481484</v>
      </c>
      <c r="G146" s="1499">
        <v>1.7367346280425673</v>
      </c>
      <c r="H146" s="1499">
        <v>1.9424195293773912</v>
      </c>
      <c r="I146" s="1499">
        <v>3.7568281856874175</v>
      </c>
      <c r="J146" s="1499">
        <v>3.2426596359462536</v>
      </c>
      <c r="K146" s="113">
        <v>1.5416836810487382</v>
      </c>
    </row>
    <row r="147" spans="2:11" x14ac:dyDescent="0.3">
      <c r="B147" s="115"/>
      <c r="C147" s="112" t="s">
        <v>1504</v>
      </c>
      <c r="D147" s="1499">
        <v>4.0589475148195948</v>
      </c>
      <c r="E147" s="1499">
        <v>2.9335003254963823</v>
      </c>
      <c r="F147" s="1499">
        <v>2.1522422635128766</v>
      </c>
      <c r="G147" s="1499">
        <v>1.8356180794395665</v>
      </c>
      <c r="H147" s="1499">
        <v>2.0455851859464445</v>
      </c>
      <c r="I147" s="1499">
        <v>3.859887657330443</v>
      </c>
      <c r="J147" s="1499">
        <v>3.3443594613685241</v>
      </c>
      <c r="K147" s="113">
        <v>1.6374702218337762</v>
      </c>
    </row>
    <row r="148" spans="2:11" x14ac:dyDescent="0.3">
      <c r="B148" s="115"/>
      <c r="C148" s="112" t="s">
        <v>1508</v>
      </c>
      <c r="D148" s="1499">
        <v>4.0222452301543932</v>
      </c>
      <c r="E148" s="1499">
        <v>2.8967980408311802</v>
      </c>
      <c r="F148" s="1499">
        <v>2.1155399788476745</v>
      </c>
      <c r="G148" s="1499">
        <v>1.7989157947743644</v>
      </c>
      <c r="H148" s="1499">
        <v>2.0088829012812424</v>
      </c>
      <c r="I148" s="1499">
        <v>3.8231853726652409</v>
      </c>
      <c r="J148" s="1499">
        <v>3.3076571767033225</v>
      </c>
      <c r="K148" s="113">
        <v>1.6007679371685741</v>
      </c>
    </row>
    <row r="149" spans="2:11" x14ac:dyDescent="0.3">
      <c r="B149" s="115"/>
      <c r="C149" s="112" t="s">
        <v>1513</v>
      </c>
      <c r="D149" s="1499">
        <v>3.9671918031565903</v>
      </c>
      <c r="E149" s="1499">
        <v>2.8417446138333777</v>
      </c>
      <c r="F149" s="1499">
        <v>2.0604865518498712</v>
      </c>
      <c r="G149" s="1499">
        <v>1.7438623677765615</v>
      </c>
      <c r="H149" s="1499">
        <v>1.9538294742834394</v>
      </c>
      <c r="I149" s="1499">
        <v>3.7681319456674385</v>
      </c>
      <c r="J149" s="1499">
        <v>3.2526037497055196</v>
      </c>
      <c r="K149" s="113">
        <v>1.5457145101707712</v>
      </c>
    </row>
    <row r="150" spans="2:11" x14ac:dyDescent="0.3">
      <c r="B150" s="115"/>
      <c r="C150" s="112" t="s">
        <v>1517</v>
      </c>
      <c r="D150" s="1499">
        <v>3.9121383761587873</v>
      </c>
      <c r="E150" s="1499">
        <v>2.7866911868355744</v>
      </c>
      <c r="F150" s="1499">
        <v>2.0054331248520683</v>
      </c>
      <c r="G150" s="1499">
        <v>1.6888089407787585</v>
      </c>
      <c r="H150" s="1499">
        <v>1.8987760472856365</v>
      </c>
      <c r="I150" s="1499">
        <v>3.7130785186696351</v>
      </c>
      <c r="J150" s="1499">
        <v>3.1975503227077167</v>
      </c>
      <c r="K150" s="113">
        <v>1.4906610831729681</v>
      </c>
    </row>
    <row r="151" spans="2:11" ht="14.5" thickBot="1" x14ac:dyDescent="0.35">
      <c r="B151" s="1233"/>
      <c r="C151" s="116" t="s">
        <v>1519</v>
      </c>
      <c r="D151" s="117">
        <v>4.1287018767045582</v>
      </c>
      <c r="E151" s="117">
        <v>3.0094537310964458</v>
      </c>
      <c r="F151" s="117">
        <v>2.2291210865848692</v>
      </c>
      <c r="G151" s="117">
        <v>1.9124060896792883</v>
      </c>
      <c r="H151" s="117">
        <v>2.1180909910141121</v>
      </c>
      <c r="I151" s="117">
        <v>3.9324996473241383</v>
      </c>
      <c r="J151" s="117">
        <v>3.4183310975829744</v>
      </c>
      <c r="K151" s="118">
        <v>1.717355142685459</v>
      </c>
    </row>
    <row r="152" spans="2:11" x14ac:dyDescent="0.3">
      <c r="B152" s="120" t="s">
        <v>1990</v>
      </c>
      <c r="C152" s="108" t="s">
        <v>1416</v>
      </c>
      <c r="D152" s="109">
        <v>3.623362381585407</v>
      </c>
      <c r="E152" s="109">
        <v>2.483620087749248</v>
      </c>
      <c r="F152" s="109">
        <v>1.7078666924132895</v>
      </c>
      <c r="G152" s="109">
        <v>1.3734319861088835</v>
      </c>
      <c r="H152" s="109">
        <v>1.6040312858273629</v>
      </c>
      <c r="I152" s="109">
        <v>3.4145783810288926</v>
      </c>
      <c r="J152" s="109">
        <v>2.8974639093867007</v>
      </c>
      <c r="K152" s="110">
        <v>1.1727170330280776</v>
      </c>
    </row>
    <row r="153" spans="2:11" x14ac:dyDescent="0.3">
      <c r="B153" s="111"/>
      <c r="C153" s="112" t="s">
        <v>1483</v>
      </c>
      <c r="D153" s="1499">
        <v>3.9675386931413552</v>
      </c>
      <c r="E153" s="1499">
        <v>2.8482905475332423</v>
      </c>
      <c r="F153" s="1499">
        <v>2.0679579030216657</v>
      </c>
      <c r="G153" s="1499">
        <v>1.7512429061160848</v>
      </c>
      <c r="H153" s="1499">
        <v>1.9569278074509084</v>
      </c>
      <c r="I153" s="1499">
        <v>3.7713364637609348</v>
      </c>
      <c r="J153" s="1499">
        <v>3.2571679140197709</v>
      </c>
      <c r="K153" s="113">
        <v>1.5561919591222553</v>
      </c>
    </row>
    <row r="154" spans="2:11" x14ac:dyDescent="0.3">
      <c r="B154" s="111" t="s">
        <v>1988</v>
      </c>
      <c r="C154" s="112" t="s">
        <v>1489</v>
      </c>
      <c r="D154" s="1499">
        <v>3.9236208277321754</v>
      </c>
      <c r="E154" s="1499">
        <v>2.8043726821240624</v>
      </c>
      <c r="F154" s="1499">
        <v>2.0240400376124854</v>
      </c>
      <c r="G154" s="1499">
        <v>1.7073250407069045</v>
      </c>
      <c r="H154" s="1499">
        <v>1.9130099420417284</v>
      </c>
      <c r="I154" s="1499">
        <v>3.7274185983517549</v>
      </c>
      <c r="J154" s="1499">
        <v>3.213250048610591</v>
      </c>
      <c r="K154" s="113">
        <v>1.5122740937130754</v>
      </c>
    </row>
    <row r="155" spans="2:11" x14ac:dyDescent="0.3">
      <c r="B155" s="114">
        <v>0</v>
      </c>
      <c r="C155" s="112" t="s">
        <v>1496</v>
      </c>
      <c r="D155" s="1499">
        <v>3.8577440296184045</v>
      </c>
      <c r="E155" s="1499">
        <v>2.738495884010292</v>
      </c>
      <c r="F155" s="1499">
        <v>1.958163239498715</v>
      </c>
      <c r="G155" s="1499">
        <v>1.6414482425931343</v>
      </c>
      <c r="H155" s="1499">
        <v>1.8471331439279579</v>
      </c>
      <c r="I155" s="1499">
        <v>3.6615418002379845</v>
      </c>
      <c r="J155" s="1499">
        <v>3.1473732504968202</v>
      </c>
      <c r="K155" s="113">
        <v>1.4463972955993047</v>
      </c>
    </row>
    <row r="156" spans="2:11" x14ac:dyDescent="0.3">
      <c r="B156" s="115"/>
      <c r="C156" s="112" t="s">
        <v>1500</v>
      </c>
      <c r="D156" s="1499">
        <v>3.7918672315046345</v>
      </c>
      <c r="E156" s="1499">
        <v>2.6726190858965215</v>
      </c>
      <c r="F156" s="1499">
        <v>1.8922864413849447</v>
      </c>
      <c r="G156" s="1499">
        <v>1.575571444479364</v>
      </c>
      <c r="H156" s="1499">
        <v>1.7812563458141877</v>
      </c>
      <c r="I156" s="1499">
        <v>3.5956650021242136</v>
      </c>
      <c r="J156" s="1499">
        <v>3.0814964523830506</v>
      </c>
      <c r="K156" s="113">
        <v>1.3805204974855345</v>
      </c>
    </row>
    <row r="157" spans="2:11" x14ac:dyDescent="0.3">
      <c r="B157" s="115"/>
      <c r="C157" s="112" t="s">
        <v>1504</v>
      </c>
      <c r="D157" s="1499">
        <v>3.8977843312563918</v>
      </c>
      <c r="E157" s="1499">
        <v>2.7723371419331788</v>
      </c>
      <c r="F157" s="1499">
        <v>1.9910790799496727</v>
      </c>
      <c r="G157" s="1499">
        <v>1.674454895876363</v>
      </c>
      <c r="H157" s="1499">
        <v>1.884422002383241</v>
      </c>
      <c r="I157" s="1499">
        <v>3.6987244737672396</v>
      </c>
      <c r="J157" s="1499">
        <v>3.1831962778053211</v>
      </c>
      <c r="K157" s="113">
        <v>1.4763070382705725</v>
      </c>
    </row>
    <row r="158" spans="2:11" x14ac:dyDescent="0.3">
      <c r="B158" s="115"/>
      <c r="C158" s="112" t="s">
        <v>1508</v>
      </c>
      <c r="D158" s="1499">
        <v>3.8610820465911897</v>
      </c>
      <c r="E158" s="1499">
        <v>2.7356348572679772</v>
      </c>
      <c r="F158" s="1499">
        <v>1.9543767952844711</v>
      </c>
      <c r="G158" s="1499">
        <v>1.6377526112111611</v>
      </c>
      <c r="H158" s="1499">
        <v>1.8477197177180389</v>
      </c>
      <c r="I158" s="1499">
        <v>3.6620221891020379</v>
      </c>
      <c r="J158" s="1499">
        <v>3.146493993140119</v>
      </c>
      <c r="K158" s="113">
        <v>1.4396047536053709</v>
      </c>
    </row>
    <row r="159" spans="2:11" x14ac:dyDescent="0.3">
      <c r="B159" s="115"/>
      <c r="C159" s="112" t="s">
        <v>1513</v>
      </c>
      <c r="D159" s="1499">
        <v>3.8060286195933868</v>
      </c>
      <c r="E159" s="1499">
        <v>2.6805814302701738</v>
      </c>
      <c r="F159" s="1499">
        <v>1.8993233682866679</v>
      </c>
      <c r="G159" s="1499">
        <v>1.5826991842133582</v>
      </c>
      <c r="H159" s="1499">
        <v>1.7926662907202362</v>
      </c>
      <c r="I159" s="1499">
        <v>3.6069687621042346</v>
      </c>
      <c r="J159" s="1499">
        <v>3.0914405661423157</v>
      </c>
      <c r="K159" s="113">
        <v>1.3845513266075677</v>
      </c>
    </row>
    <row r="160" spans="2:11" x14ac:dyDescent="0.3">
      <c r="B160" s="115"/>
      <c r="C160" s="112" t="s">
        <v>1517</v>
      </c>
      <c r="D160" s="1499">
        <v>3.7509751925955839</v>
      </c>
      <c r="E160" s="1499">
        <v>2.6255280032723709</v>
      </c>
      <c r="F160" s="1499">
        <v>1.844269941288865</v>
      </c>
      <c r="G160" s="1499">
        <v>1.5276457572155551</v>
      </c>
      <c r="H160" s="1499">
        <v>1.7376128637224333</v>
      </c>
      <c r="I160" s="1499">
        <v>3.5519153351064316</v>
      </c>
      <c r="J160" s="1499">
        <v>3.0363871391445132</v>
      </c>
      <c r="K160" s="113">
        <v>1.3294978996097648</v>
      </c>
    </row>
    <row r="161" spans="2:11" ht="14.5" thickBot="1" x14ac:dyDescent="0.35">
      <c r="B161" s="1233"/>
      <c r="C161" s="116" t="s">
        <v>1519</v>
      </c>
      <c r="D161" s="117">
        <v>3.9675386931413552</v>
      </c>
      <c r="E161" s="117">
        <v>2.8482905475332423</v>
      </c>
      <c r="F161" s="117">
        <v>2.0679579030216657</v>
      </c>
      <c r="G161" s="117">
        <v>1.7512429061160848</v>
      </c>
      <c r="H161" s="117">
        <v>1.9569278074509084</v>
      </c>
      <c r="I161" s="117">
        <v>3.7713364637609348</v>
      </c>
      <c r="J161" s="117">
        <v>3.2571679140197709</v>
      </c>
      <c r="K161" s="118">
        <v>1.5561919591222553</v>
      </c>
    </row>
    <row r="162" spans="2:11" x14ac:dyDescent="0.3">
      <c r="B162" s="120" t="s">
        <v>1990</v>
      </c>
      <c r="C162" s="108" t="s">
        <v>1416</v>
      </c>
      <c r="D162" s="109">
        <v>3.462199198022204</v>
      </c>
      <c r="E162" s="109">
        <v>2.3224569041860441</v>
      </c>
      <c r="F162" s="109">
        <v>1.5467035088500862</v>
      </c>
      <c r="G162" s="109">
        <v>1.2122688025456803</v>
      </c>
      <c r="H162" s="109">
        <v>1.4428681022641592</v>
      </c>
      <c r="I162" s="109">
        <v>3.2534151974656886</v>
      </c>
      <c r="J162" s="109">
        <v>2.7363007258234968</v>
      </c>
      <c r="K162" s="110">
        <v>1.0115538494648744</v>
      </c>
    </row>
    <row r="163" spans="2:11" x14ac:dyDescent="0.3">
      <c r="B163" s="111"/>
      <c r="C163" s="112" t="s">
        <v>1483</v>
      </c>
      <c r="D163" s="1499">
        <v>3.8063755095781517</v>
      </c>
      <c r="E163" s="1499">
        <v>2.6871273639700393</v>
      </c>
      <c r="F163" s="1499">
        <v>1.9067947194584622</v>
      </c>
      <c r="G163" s="1499">
        <v>1.5900797225528813</v>
      </c>
      <c r="H163" s="1499">
        <v>1.7957646238877052</v>
      </c>
      <c r="I163" s="1499">
        <v>3.6101732801977313</v>
      </c>
      <c r="J163" s="1499">
        <v>3.0960047304565674</v>
      </c>
      <c r="K163" s="113">
        <v>1.395028775559052</v>
      </c>
    </row>
    <row r="164" spans="2:11" x14ac:dyDescent="0.3">
      <c r="B164" s="111" t="s">
        <v>1989</v>
      </c>
      <c r="C164" s="112" t="s">
        <v>1489</v>
      </c>
      <c r="D164" s="1499">
        <v>3.7624576441689714</v>
      </c>
      <c r="E164" s="1499">
        <v>2.643209498560859</v>
      </c>
      <c r="F164" s="1499">
        <v>1.8628768540492819</v>
      </c>
      <c r="G164" s="1499">
        <v>1.5461618571437012</v>
      </c>
      <c r="H164" s="1499">
        <v>1.7518467584785249</v>
      </c>
      <c r="I164" s="1499">
        <v>3.5662554147885515</v>
      </c>
      <c r="J164" s="1499">
        <v>3.0520868650473871</v>
      </c>
      <c r="K164" s="113">
        <v>1.3511109101498717</v>
      </c>
    </row>
    <row r="165" spans="2:11" x14ac:dyDescent="0.3">
      <c r="B165" s="114">
        <v>0</v>
      </c>
      <c r="C165" s="112" t="s">
        <v>1496</v>
      </c>
      <c r="D165" s="1499">
        <v>3.6965808460552014</v>
      </c>
      <c r="E165" s="1499">
        <v>2.5773327004470885</v>
      </c>
      <c r="F165" s="1499">
        <v>1.7970000559355117</v>
      </c>
      <c r="G165" s="1499">
        <v>1.4802850590299308</v>
      </c>
      <c r="H165" s="1499">
        <v>1.6859699603647547</v>
      </c>
      <c r="I165" s="1499">
        <v>3.500378616674781</v>
      </c>
      <c r="J165" s="1499">
        <v>2.9862100669336171</v>
      </c>
      <c r="K165" s="113">
        <v>1.2852341120361015</v>
      </c>
    </row>
    <row r="166" spans="2:11" x14ac:dyDescent="0.3">
      <c r="B166" s="115"/>
      <c r="C166" s="112" t="s">
        <v>1500</v>
      </c>
      <c r="D166" s="1499">
        <v>3.630704047941431</v>
      </c>
      <c r="E166" s="1499">
        <v>2.5114559023333181</v>
      </c>
      <c r="F166" s="1499">
        <v>1.731123257821741</v>
      </c>
      <c r="G166" s="1499">
        <v>1.4144082609161606</v>
      </c>
      <c r="H166" s="1499">
        <v>1.620093162250984</v>
      </c>
      <c r="I166" s="1499">
        <v>3.4345018185610106</v>
      </c>
      <c r="J166" s="1499">
        <v>2.9203332688198467</v>
      </c>
      <c r="K166" s="113">
        <v>1.219357313922331</v>
      </c>
    </row>
    <row r="167" spans="2:11" x14ac:dyDescent="0.3">
      <c r="B167" s="115"/>
      <c r="C167" s="112" t="s">
        <v>1504</v>
      </c>
      <c r="D167" s="1499">
        <v>3.7366211476931883</v>
      </c>
      <c r="E167" s="1499">
        <v>2.6111739583699753</v>
      </c>
      <c r="F167" s="1499">
        <v>1.8299158963864695</v>
      </c>
      <c r="G167" s="1499">
        <v>1.5132917123131595</v>
      </c>
      <c r="H167" s="1499">
        <v>1.7232588188200375</v>
      </c>
      <c r="I167" s="1499">
        <v>3.5375612902040361</v>
      </c>
      <c r="J167" s="1499">
        <v>3.0220330942421176</v>
      </c>
      <c r="K167" s="113">
        <v>1.3151438547073693</v>
      </c>
    </row>
    <row r="168" spans="2:11" x14ac:dyDescent="0.3">
      <c r="B168" s="115"/>
      <c r="C168" s="112" t="s">
        <v>1508</v>
      </c>
      <c r="D168" s="1499">
        <v>3.6999188630279858</v>
      </c>
      <c r="E168" s="1499">
        <v>2.5744716737047737</v>
      </c>
      <c r="F168" s="1499">
        <v>1.7932136117212674</v>
      </c>
      <c r="G168" s="1499">
        <v>1.4765894276479574</v>
      </c>
      <c r="H168" s="1499">
        <v>1.6865565341548356</v>
      </c>
      <c r="I168" s="1499">
        <v>3.500859005538834</v>
      </c>
      <c r="J168" s="1499">
        <v>2.9853308095769151</v>
      </c>
      <c r="K168" s="113">
        <v>1.2784415700421672</v>
      </c>
    </row>
    <row r="169" spans="2:11" x14ac:dyDescent="0.3">
      <c r="B169" s="115"/>
      <c r="C169" s="112" t="s">
        <v>1513</v>
      </c>
      <c r="D169" s="1499">
        <v>3.6448654360301833</v>
      </c>
      <c r="E169" s="1499">
        <v>2.5194182467069703</v>
      </c>
      <c r="F169" s="1499">
        <v>1.7381601847234645</v>
      </c>
      <c r="G169" s="1499">
        <v>1.4215360006501545</v>
      </c>
      <c r="H169" s="1499">
        <v>1.6315031071570327</v>
      </c>
      <c r="I169" s="1499">
        <v>3.4458055785410311</v>
      </c>
      <c r="J169" s="1499">
        <v>2.9302773825791126</v>
      </c>
      <c r="K169" s="113">
        <v>1.2233881430443643</v>
      </c>
    </row>
    <row r="170" spans="2:11" x14ac:dyDescent="0.3">
      <c r="B170" s="115"/>
      <c r="C170" s="112" t="s">
        <v>1517</v>
      </c>
      <c r="D170" s="1499">
        <v>3.5898120090323804</v>
      </c>
      <c r="E170" s="1499">
        <v>2.4643648197091679</v>
      </c>
      <c r="F170" s="1499">
        <v>1.6831067577256618</v>
      </c>
      <c r="G170" s="1499">
        <v>1.3664825736523518</v>
      </c>
      <c r="H170" s="1499">
        <v>1.5764496801592296</v>
      </c>
      <c r="I170" s="1499">
        <v>3.3907521515432286</v>
      </c>
      <c r="J170" s="1499">
        <v>2.8752239555813097</v>
      </c>
      <c r="K170" s="113">
        <v>1.1683347160465614</v>
      </c>
    </row>
    <row r="171" spans="2:11" ht="14.5" thickBot="1" x14ac:dyDescent="0.35">
      <c r="B171" s="1233"/>
      <c r="C171" s="116" t="s">
        <v>1519</v>
      </c>
      <c r="D171" s="117">
        <v>3.8063755095781517</v>
      </c>
      <c r="E171" s="117">
        <v>2.6871273639700393</v>
      </c>
      <c r="F171" s="117">
        <v>1.9067947194584622</v>
      </c>
      <c r="G171" s="117">
        <v>1.5900797225528813</v>
      </c>
      <c r="H171" s="117">
        <v>1.7957646238877052</v>
      </c>
      <c r="I171" s="117">
        <v>3.6101732801977313</v>
      </c>
      <c r="J171" s="117">
        <v>3.0960047304565674</v>
      </c>
      <c r="K171" s="118">
        <v>1.395028775559052</v>
      </c>
    </row>
    <row r="173" spans="2:11" ht="14.5" thickBot="1" x14ac:dyDescent="0.35"/>
    <row r="174" spans="2:11" ht="25.5" thickBot="1" x14ac:dyDescent="0.55000000000000004">
      <c r="B174" s="88" t="s">
        <v>1960</v>
      </c>
      <c r="C174" s="89"/>
      <c r="D174" s="90">
        <v>7</v>
      </c>
      <c r="E174" s="91" t="s">
        <v>1991</v>
      </c>
      <c r="F174" s="92"/>
      <c r="G174" s="92"/>
      <c r="H174" s="92"/>
      <c r="I174" s="93"/>
      <c r="J174" s="89" t="s">
        <v>176</v>
      </c>
      <c r="K174" s="94" t="s">
        <v>214</v>
      </c>
    </row>
    <row r="175" spans="2:11" ht="14.5" thickBot="1" x14ac:dyDescent="0.35">
      <c r="B175" s="95" t="s">
        <v>1962</v>
      </c>
      <c r="C175" s="96" t="s">
        <v>1963</v>
      </c>
      <c r="D175" s="95" t="s">
        <v>1964</v>
      </c>
      <c r="E175" s="97" t="s">
        <v>1965</v>
      </c>
      <c r="F175" s="97" t="s">
        <v>1966</v>
      </c>
      <c r="G175" s="97" t="s">
        <v>1967</v>
      </c>
      <c r="H175" s="97" t="s">
        <v>1968</v>
      </c>
      <c r="I175" s="97" t="s">
        <v>1969</v>
      </c>
      <c r="J175" s="97" t="s">
        <v>1970</v>
      </c>
      <c r="K175" s="98" t="s">
        <v>1971</v>
      </c>
    </row>
    <row r="176" spans="2:11" ht="14.5" thickBot="1" x14ac:dyDescent="0.35">
      <c r="B176" s="99"/>
      <c r="C176" s="99"/>
      <c r="D176" s="100"/>
      <c r="E176" s="944"/>
      <c r="F176" s="944"/>
      <c r="G176" s="944"/>
      <c r="H176" s="944"/>
      <c r="I176" s="944"/>
      <c r="J176" s="944"/>
      <c r="K176" s="102"/>
    </row>
    <row r="177" spans="2:11" ht="90.5" thickBot="1" x14ac:dyDescent="0.45">
      <c r="B177" s="103" t="s">
        <v>1972</v>
      </c>
      <c r="C177" s="103" t="s">
        <v>1973</v>
      </c>
      <c r="D177" s="105" t="s">
        <v>1974</v>
      </c>
      <c r="E177" s="105" t="s">
        <v>1525</v>
      </c>
      <c r="F177" s="105" t="s">
        <v>1527</v>
      </c>
      <c r="G177" s="105" t="s">
        <v>1975</v>
      </c>
      <c r="H177" s="105" t="s">
        <v>1976</v>
      </c>
      <c r="I177" s="105" t="s">
        <v>1445</v>
      </c>
      <c r="J177" s="105" t="s">
        <v>1538</v>
      </c>
      <c r="K177" s="106" t="s">
        <v>1541</v>
      </c>
    </row>
    <row r="178" spans="2:11" x14ac:dyDescent="0.3">
      <c r="B178" s="120" t="s">
        <v>1992</v>
      </c>
      <c r="C178" s="108" t="s">
        <v>1416</v>
      </c>
      <c r="D178" s="109">
        <v>7.028276156476216</v>
      </c>
      <c r="E178" s="109">
        <v>5.9679781692676412</v>
      </c>
      <c r="F178" s="109">
        <v>5.0995141447477677</v>
      </c>
      <c r="G178" s="109">
        <v>4.8011566507968739</v>
      </c>
      <c r="H178" s="109">
        <v>5.0190718985360228</v>
      </c>
      <c r="I178" s="109">
        <v>6.9129484591972714</v>
      </c>
      <c r="J178" s="109">
        <v>6.3990766214090167</v>
      </c>
      <c r="K178" s="110">
        <v>4.5838860784709849</v>
      </c>
    </row>
    <row r="179" spans="2:11" x14ac:dyDescent="0.3">
      <c r="B179" s="128"/>
      <c r="C179" s="112" t="s">
        <v>1483</v>
      </c>
      <c r="D179" s="1499">
        <v>7.4437850581672045</v>
      </c>
      <c r="E179" s="1499">
        <v>6.3935149900468549</v>
      </c>
      <c r="F179" s="1499">
        <v>5.5245437921629996</v>
      </c>
      <c r="G179" s="1499">
        <v>5.2305460257012744</v>
      </c>
      <c r="H179" s="1499">
        <v>5.4406938537678791</v>
      </c>
      <c r="I179" s="1499">
        <v>7.3354480400559225</v>
      </c>
      <c r="J179" s="1499">
        <v>6.8250798401152322</v>
      </c>
      <c r="K179" s="113">
        <v>5.0117719338512456</v>
      </c>
    </row>
    <row r="180" spans="2:11" x14ac:dyDescent="0.3">
      <c r="B180" s="128"/>
      <c r="C180" s="112" t="s">
        <v>1489</v>
      </c>
      <c r="D180" s="1499">
        <v>7.3998671927580251</v>
      </c>
      <c r="E180" s="1499">
        <v>6.3495971246376746</v>
      </c>
      <c r="F180" s="1499">
        <v>5.4806259267538193</v>
      </c>
      <c r="G180" s="1499">
        <v>5.1866281602920941</v>
      </c>
      <c r="H180" s="1499">
        <v>5.3967759883586988</v>
      </c>
      <c r="I180" s="1499">
        <v>7.2915301746467431</v>
      </c>
      <c r="J180" s="1499">
        <v>6.7811619747060519</v>
      </c>
      <c r="K180" s="113">
        <v>4.9678540684420662</v>
      </c>
    </row>
    <row r="181" spans="2:11" x14ac:dyDescent="0.3">
      <c r="B181" s="122">
        <v>0</v>
      </c>
      <c r="C181" s="112" t="s">
        <v>1496</v>
      </c>
      <c r="D181" s="1499">
        <v>7.3339903946442551</v>
      </c>
      <c r="E181" s="1499">
        <v>6.2837203265239046</v>
      </c>
      <c r="F181" s="1499">
        <v>5.4147491286400493</v>
      </c>
      <c r="G181" s="1499">
        <v>5.1207513621783241</v>
      </c>
      <c r="H181" s="1499">
        <v>5.3308991902449288</v>
      </c>
      <c r="I181" s="1499">
        <v>7.2256533765329731</v>
      </c>
      <c r="J181" s="1499">
        <v>6.7152851765922819</v>
      </c>
      <c r="K181" s="113">
        <v>4.9019772703282953</v>
      </c>
    </row>
    <row r="182" spans="2:11" x14ac:dyDescent="0.3">
      <c r="B182" s="123"/>
      <c r="C182" s="112" t="s">
        <v>1500</v>
      </c>
      <c r="D182" s="1499">
        <v>7.2681135965304833</v>
      </c>
      <c r="E182" s="1499">
        <v>6.2178435284101337</v>
      </c>
      <c r="F182" s="1499">
        <v>5.3488723305262784</v>
      </c>
      <c r="G182" s="1499">
        <v>5.0548745640645532</v>
      </c>
      <c r="H182" s="1499">
        <v>5.2650223921311579</v>
      </c>
      <c r="I182" s="1499">
        <v>7.1597765784192013</v>
      </c>
      <c r="J182" s="1499">
        <v>6.649408378478511</v>
      </c>
      <c r="K182" s="113">
        <v>4.8361004722145253</v>
      </c>
    </row>
    <row r="183" spans="2:11" x14ac:dyDescent="0.3">
      <c r="B183" s="123"/>
      <c r="C183" s="112" t="s">
        <v>1504</v>
      </c>
      <c r="D183" s="1499">
        <v>7.3669705893786208</v>
      </c>
      <c r="E183" s="1499">
        <v>6.3121950103296065</v>
      </c>
      <c r="F183" s="1499">
        <v>5.4440475031510243</v>
      </c>
      <c r="G183" s="1499">
        <v>5.1485296144203696</v>
      </c>
      <c r="H183" s="1499">
        <v>5.3606666061856236</v>
      </c>
      <c r="I183" s="1499">
        <v>7.2549661657879421</v>
      </c>
      <c r="J183" s="1499">
        <v>6.7440791073017454</v>
      </c>
      <c r="K183" s="113">
        <v>4.9286487964737855</v>
      </c>
    </row>
    <row r="184" spans="2:11" x14ac:dyDescent="0.3">
      <c r="B184" s="123"/>
      <c r="C184" s="112" t="s">
        <v>1508</v>
      </c>
      <c r="D184" s="1499">
        <v>7.3302683047134192</v>
      </c>
      <c r="E184" s="1499">
        <v>6.2754927256644049</v>
      </c>
      <c r="F184" s="1499">
        <v>5.4073452184858226</v>
      </c>
      <c r="G184" s="1499">
        <v>5.111827329755168</v>
      </c>
      <c r="H184" s="1499">
        <v>5.3239643215204211</v>
      </c>
      <c r="I184" s="1499">
        <v>7.2182638811227404</v>
      </c>
      <c r="J184" s="1499">
        <v>6.7073768226365438</v>
      </c>
      <c r="K184" s="113">
        <v>4.8919465118085839</v>
      </c>
    </row>
    <row r="185" spans="2:11" x14ac:dyDescent="0.3">
      <c r="B185" s="123"/>
      <c r="C185" s="112" t="s">
        <v>1513</v>
      </c>
      <c r="D185" s="1499">
        <v>7.2752148777156158</v>
      </c>
      <c r="E185" s="1499">
        <v>6.2204392986666015</v>
      </c>
      <c r="F185" s="1499">
        <v>5.3522917914880193</v>
      </c>
      <c r="G185" s="1499">
        <v>5.0567739027573646</v>
      </c>
      <c r="H185" s="1499">
        <v>5.2689108945226186</v>
      </c>
      <c r="I185" s="1499">
        <v>7.1632104541249371</v>
      </c>
      <c r="J185" s="1499">
        <v>6.6523233956387404</v>
      </c>
      <c r="K185" s="113">
        <v>4.8368930848107805</v>
      </c>
    </row>
    <row r="186" spans="2:11" x14ac:dyDescent="0.3">
      <c r="B186" s="123"/>
      <c r="C186" s="112" t="s">
        <v>1517</v>
      </c>
      <c r="D186" s="1499">
        <v>7.2201614507178142</v>
      </c>
      <c r="E186" s="1499">
        <v>6.1653858716687999</v>
      </c>
      <c r="F186" s="1499">
        <v>5.2972383644902177</v>
      </c>
      <c r="G186" s="1499">
        <v>5.0017204757595621</v>
      </c>
      <c r="H186" s="1499">
        <v>5.2138574675248162</v>
      </c>
      <c r="I186" s="1499">
        <v>7.1081570271271346</v>
      </c>
      <c r="J186" s="1499">
        <v>6.597269968640938</v>
      </c>
      <c r="K186" s="113">
        <v>4.7818396578129772</v>
      </c>
    </row>
    <row r="187" spans="2:11" ht="14.5" thickBot="1" x14ac:dyDescent="0.35">
      <c r="B187" s="124"/>
      <c r="C187" s="116" t="s">
        <v>1519</v>
      </c>
      <c r="D187" s="117">
        <v>7.4437850581672045</v>
      </c>
      <c r="E187" s="117">
        <v>6.3935149900468549</v>
      </c>
      <c r="F187" s="117">
        <v>5.5245437921629996</v>
      </c>
      <c r="G187" s="117">
        <v>5.2305460257012744</v>
      </c>
      <c r="H187" s="117">
        <v>5.4406938537678791</v>
      </c>
      <c r="I187" s="117">
        <v>7.3354480400559225</v>
      </c>
      <c r="J187" s="117">
        <v>6.8250798401152322</v>
      </c>
      <c r="K187" s="118">
        <v>5.0117719338512456</v>
      </c>
    </row>
    <row r="188" spans="2:11" x14ac:dyDescent="0.3">
      <c r="B188" s="120" t="s">
        <v>1993</v>
      </c>
      <c r="C188" s="1234" t="s">
        <v>1416</v>
      </c>
      <c r="D188" s="109">
        <v>4.5968045869626364</v>
      </c>
      <c r="E188" s="109">
        <v>3.5877102563058867</v>
      </c>
      <c r="F188" s="109">
        <v>2.6336922045375308</v>
      </c>
      <c r="G188" s="109">
        <v>2.350875382487073</v>
      </c>
      <c r="H188" s="109">
        <v>2.5234395520844228</v>
      </c>
      <c r="I188" s="109">
        <v>4.595442667709662</v>
      </c>
      <c r="J188" s="109">
        <v>4.0414618519861136</v>
      </c>
      <c r="K188" s="110">
        <v>2.1114949923600999</v>
      </c>
    </row>
    <row r="189" spans="2:11" x14ac:dyDescent="0.3">
      <c r="B189" s="121"/>
      <c r="C189" s="1500" t="s">
        <v>1483</v>
      </c>
      <c r="D189" s="1499">
        <v>5.0624070088806192</v>
      </c>
      <c r="E189" s="1499">
        <v>4.0686790081891724</v>
      </c>
      <c r="F189" s="1499">
        <v>3.1340056115667068</v>
      </c>
      <c r="G189" s="1499">
        <v>2.8594743300725272</v>
      </c>
      <c r="H189" s="1499">
        <v>3.0154792040676934</v>
      </c>
      <c r="I189" s="1499">
        <v>5.0651605668691513</v>
      </c>
      <c r="J189" s="1499">
        <v>4.5193740442545955</v>
      </c>
      <c r="K189" s="113">
        <v>2.6320948118309424</v>
      </c>
    </row>
    <row r="190" spans="2:11" x14ac:dyDescent="0.3">
      <c r="B190" s="128"/>
      <c r="C190" s="1500" t="s">
        <v>1489</v>
      </c>
      <c r="D190" s="1499">
        <v>5.0184891434714398</v>
      </c>
      <c r="E190" s="1499">
        <v>4.0247611427799921</v>
      </c>
      <c r="F190" s="1499">
        <v>3.0900877461575265</v>
      </c>
      <c r="G190" s="1499">
        <v>2.8155564646633473</v>
      </c>
      <c r="H190" s="1499">
        <v>2.9715613386585131</v>
      </c>
      <c r="I190" s="1499">
        <v>5.021242701459971</v>
      </c>
      <c r="J190" s="1499">
        <v>4.4754561788454152</v>
      </c>
      <c r="K190" s="113">
        <v>2.5881769464217625</v>
      </c>
    </row>
    <row r="191" spans="2:11" x14ac:dyDescent="0.3">
      <c r="B191" s="122">
        <v>0</v>
      </c>
      <c r="C191" s="1500" t="s">
        <v>1496</v>
      </c>
      <c r="D191" s="1499">
        <v>4.9526123453576689</v>
      </c>
      <c r="E191" s="1499">
        <v>3.9588843446662216</v>
      </c>
      <c r="F191" s="1499">
        <v>3.024210948043756</v>
      </c>
      <c r="G191" s="1499">
        <v>2.7496796665495769</v>
      </c>
      <c r="H191" s="1499">
        <v>2.9056845405447427</v>
      </c>
      <c r="I191" s="1499">
        <v>4.9553659033462001</v>
      </c>
      <c r="J191" s="1499">
        <v>4.4095793807316443</v>
      </c>
      <c r="K191" s="113">
        <v>2.5223001483079917</v>
      </c>
    </row>
    <row r="192" spans="2:11" x14ac:dyDescent="0.3">
      <c r="B192" s="123"/>
      <c r="C192" s="1500" t="s">
        <v>1500</v>
      </c>
      <c r="D192" s="1499">
        <v>4.8867355472438989</v>
      </c>
      <c r="E192" s="1499">
        <v>3.8930075465524516</v>
      </c>
      <c r="F192" s="1499">
        <v>2.958334149929986</v>
      </c>
      <c r="G192" s="1499">
        <v>2.6838028684358068</v>
      </c>
      <c r="H192" s="1499">
        <v>2.8398077424309727</v>
      </c>
      <c r="I192" s="1499">
        <v>4.8894891052324301</v>
      </c>
      <c r="J192" s="1499">
        <v>4.3437025826178743</v>
      </c>
      <c r="K192" s="113">
        <v>2.4564233501942216</v>
      </c>
    </row>
    <row r="193" spans="2:11" x14ac:dyDescent="0.3">
      <c r="B193" s="123"/>
      <c r="C193" s="1500" t="s">
        <v>1504</v>
      </c>
      <c r="D193" s="1499">
        <v>4.9709093363708261</v>
      </c>
      <c r="E193" s="1499">
        <v>3.9744311487480486</v>
      </c>
      <c r="F193" s="1499">
        <v>3.0360107901174578</v>
      </c>
      <c r="G193" s="1499">
        <v>2.7586500281803144</v>
      </c>
      <c r="H193" s="1499">
        <v>2.9173607457394781</v>
      </c>
      <c r="I193" s="1499">
        <v>4.9747107128603902</v>
      </c>
      <c r="J193" s="1499">
        <v>4.4261023603624876</v>
      </c>
      <c r="K193" s="113">
        <v>2.5313620832898884</v>
      </c>
    </row>
    <row r="194" spans="2:11" x14ac:dyDescent="0.3">
      <c r="B194" s="123"/>
      <c r="C194" s="1500" t="s">
        <v>1508</v>
      </c>
      <c r="D194" s="1499">
        <v>4.9342070517056245</v>
      </c>
      <c r="E194" s="1499">
        <v>3.9377288640828469</v>
      </c>
      <c r="F194" s="1499">
        <v>2.9993085054522557</v>
      </c>
      <c r="G194" s="1499">
        <v>2.7219477435151123</v>
      </c>
      <c r="H194" s="1499">
        <v>2.8806584610742765</v>
      </c>
      <c r="I194" s="1499">
        <v>4.9380084281951877</v>
      </c>
      <c r="J194" s="1499">
        <v>4.3894000756972851</v>
      </c>
      <c r="K194" s="113">
        <v>2.4946597986246868</v>
      </c>
    </row>
    <row r="195" spans="2:11" x14ac:dyDescent="0.3">
      <c r="B195" s="123"/>
      <c r="C195" s="1500" t="s">
        <v>1513</v>
      </c>
      <c r="D195" s="1499">
        <v>4.8791536247078211</v>
      </c>
      <c r="E195" s="1499">
        <v>3.882675437085044</v>
      </c>
      <c r="F195" s="1499">
        <v>2.9442550784544532</v>
      </c>
      <c r="G195" s="1499">
        <v>2.6668943165173098</v>
      </c>
      <c r="H195" s="1499">
        <v>2.8256050340764736</v>
      </c>
      <c r="I195" s="1499">
        <v>4.8829550011973852</v>
      </c>
      <c r="J195" s="1499">
        <v>4.3343466486994826</v>
      </c>
      <c r="K195" s="113">
        <v>2.4396063716268834</v>
      </c>
    </row>
    <row r="196" spans="2:11" x14ac:dyDescent="0.3">
      <c r="B196" s="123"/>
      <c r="C196" s="1500" t="s">
        <v>1517</v>
      </c>
      <c r="D196" s="1499">
        <v>4.8241001977100186</v>
      </c>
      <c r="E196" s="1499">
        <v>3.8276220100872411</v>
      </c>
      <c r="F196" s="1499">
        <v>2.8892016514566499</v>
      </c>
      <c r="G196" s="1499">
        <v>2.6118408895195064</v>
      </c>
      <c r="H196" s="1499">
        <v>2.7705516070786702</v>
      </c>
      <c r="I196" s="1499">
        <v>4.8279015741995819</v>
      </c>
      <c r="J196" s="1499">
        <v>4.2792932217016793</v>
      </c>
      <c r="K196" s="113">
        <v>2.3845529446290805</v>
      </c>
    </row>
    <row r="197" spans="2:11" ht="14.5" thickBot="1" x14ac:dyDescent="0.35">
      <c r="B197" s="124"/>
      <c r="C197" s="125" t="s">
        <v>1519</v>
      </c>
      <c r="D197" s="117">
        <v>5.0624070088806192</v>
      </c>
      <c r="E197" s="117">
        <v>4.0686790081891724</v>
      </c>
      <c r="F197" s="117">
        <v>3.1340056115667068</v>
      </c>
      <c r="G197" s="117">
        <v>2.8594743300725272</v>
      </c>
      <c r="H197" s="117">
        <v>3.0154792040676934</v>
      </c>
      <c r="I197" s="117">
        <v>5.0651605668691513</v>
      </c>
      <c r="J197" s="117">
        <v>4.5193740442545955</v>
      </c>
      <c r="K197" s="118">
        <v>2.6320948118309424</v>
      </c>
    </row>
    <row r="198" spans="2:11" x14ac:dyDescent="0.3">
      <c r="B198" s="119" t="s">
        <v>1994</v>
      </c>
      <c r="C198" s="108" t="s">
        <v>1416</v>
      </c>
      <c r="D198" s="109">
        <v>6.0141290114081603</v>
      </c>
      <c r="E198" s="109">
        <v>5.0914020387711378</v>
      </c>
      <c r="F198" s="109">
        <v>4.0689576313938094</v>
      </c>
      <c r="G198" s="109">
        <v>3.8268139020729879</v>
      </c>
      <c r="H198" s="109">
        <v>3.9577924155600077</v>
      </c>
      <c r="I198" s="109">
        <v>6.121415886673538</v>
      </c>
      <c r="J198" s="109">
        <v>5.561458291160756</v>
      </c>
      <c r="K198" s="110">
        <v>3.5803961582695205</v>
      </c>
    </row>
    <row r="199" spans="2:11" x14ac:dyDescent="0.3">
      <c r="B199" s="111"/>
      <c r="C199" s="112" t="s">
        <v>1483</v>
      </c>
      <c r="D199" s="1499">
        <v>6.471026086988525</v>
      </c>
      <c r="E199" s="1499">
        <v>5.5532132335417881</v>
      </c>
      <c r="F199" s="1499">
        <v>4.547656902744774</v>
      </c>
      <c r="G199" s="1499">
        <v>4.3065203818128559</v>
      </c>
      <c r="H199" s="1499">
        <v>4.4299287811510721</v>
      </c>
      <c r="I199" s="1499">
        <v>6.5797178393250926</v>
      </c>
      <c r="J199" s="1499">
        <v>6.0233996886554602</v>
      </c>
      <c r="K199" s="113">
        <v>4.0653721013450301</v>
      </c>
    </row>
    <row r="200" spans="2:11" x14ac:dyDescent="0.3">
      <c r="B200" s="111"/>
      <c r="C200" s="112" t="s">
        <v>1489</v>
      </c>
      <c r="D200" s="1499">
        <v>6.4271082215793447</v>
      </c>
      <c r="E200" s="1499">
        <v>5.5092953681326078</v>
      </c>
      <c r="F200" s="1499">
        <v>4.5037390373355946</v>
      </c>
      <c r="G200" s="1499">
        <v>4.2626025164036765</v>
      </c>
      <c r="H200" s="1499">
        <v>4.3860109157418927</v>
      </c>
      <c r="I200" s="1499">
        <v>6.5357999739159123</v>
      </c>
      <c r="J200" s="1499">
        <v>5.9794818232462807</v>
      </c>
      <c r="K200" s="113">
        <v>4.0214542359358498</v>
      </c>
    </row>
    <row r="201" spans="2:11" x14ac:dyDescent="0.3">
      <c r="B201" s="114">
        <v>0</v>
      </c>
      <c r="C201" s="112" t="s">
        <v>1496</v>
      </c>
      <c r="D201" s="1499">
        <v>6.3612314234655747</v>
      </c>
      <c r="E201" s="1499">
        <v>5.4434185700188378</v>
      </c>
      <c r="F201" s="1499">
        <v>4.4378622392218237</v>
      </c>
      <c r="G201" s="1499">
        <v>4.1967257182899056</v>
      </c>
      <c r="H201" s="1499">
        <v>4.3201341176281218</v>
      </c>
      <c r="I201" s="1499">
        <v>6.4699231758021423</v>
      </c>
      <c r="J201" s="1499">
        <v>5.9136050251325107</v>
      </c>
      <c r="K201" s="113">
        <v>3.9555774378220794</v>
      </c>
    </row>
    <row r="202" spans="2:11" x14ac:dyDescent="0.3">
      <c r="B202" s="115"/>
      <c r="C202" s="112" t="s">
        <v>1500</v>
      </c>
      <c r="D202" s="1499">
        <v>6.2953546253518038</v>
      </c>
      <c r="E202" s="1499">
        <v>5.3775417719050669</v>
      </c>
      <c r="F202" s="1499">
        <v>4.3719854411080536</v>
      </c>
      <c r="G202" s="1499">
        <v>4.1308489201761356</v>
      </c>
      <c r="H202" s="1499">
        <v>4.2542573195143518</v>
      </c>
      <c r="I202" s="1499">
        <v>6.4040463776883714</v>
      </c>
      <c r="J202" s="1499">
        <v>5.847728227018739</v>
      </c>
      <c r="K202" s="113">
        <v>3.8897006397083094</v>
      </c>
    </row>
    <row r="203" spans="2:11" x14ac:dyDescent="0.3">
      <c r="B203" s="115"/>
      <c r="C203" s="112" t="s">
        <v>1504</v>
      </c>
      <c r="D203" s="1499">
        <v>6.3836043010051755</v>
      </c>
      <c r="E203" s="1499">
        <v>5.4657086964739312</v>
      </c>
      <c r="F203" s="1499">
        <v>4.4538330964260338</v>
      </c>
      <c r="G203" s="1499">
        <v>4.2119603677456654</v>
      </c>
      <c r="H203" s="1499">
        <v>4.3372059591421737</v>
      </c>
      <c r="I203" s="1499">
        <v>6.4925376216371999</v>
      </c>
      <c r="J203" s="1499">
        <v>5.9357515746226657</v>
      </c>
      <c r="K203" s="113">
        <v>3.9703327731705005</v>
      </c>
    </row>
    <row r="204" spans="2:11" x14ac:dyDescent="0.3">
      <c r="B204" s="115"/>
      <c r="C204" s="112" t="s">
        <v>1508</v>
      </c>
      <c r="D204" s="1499">
        <v>6.3469020163399739</v>
      </c>
      <c r="E204" s="1499">
        <v>5.4290064118087296</v>
      </c>
      <c r="F204" s="1499">
        <v>4.4171308117608321</v>
      </c>
      <c r="G204" s="1499">
        <v>4.1752580830804638</v>
      </c>
      <c r="H204" s="1499">
        <v>4.300503674476972</v>
      </c>
      <c r="I204" s="1499">
        <v>6.4558353369719983</v>
      </c>
      <c r="J204" s="1499">
        <v>5.899049289957464</v>
      </c>
      <c r="K204" s="113">
        <v>3.9336304885052988</v>
      </c>
    </row>
    <row r="205" spans="2:11" x14ac:dyDescent="0.3">
      <c r="B205" s="115"/>
      <c r="C205" s="112" t="s">
        <v>1513</v>
      </c>
      <c r="D205" s="1499">
        <v>6.2918485893421705</v>
      </c>
      <c r="E205" s="1499">
        <v>5.3739529848109262</v>
      </c>
      <c r="F205" s="1499">
        <v>4.3620773847630296</v>
      </c>
      <c r="G205" s="1499">
        <v>4.1202046560826613</v>
      </c>
      <c r="H205" s="1499">
        <v>4.2454502474791695</v>
      </c>
      <c r="I205" s="1499">
        <v>6.4007819099741949</v>
      </c>
      <c r="J205" s="1499">
        <v>5.8439958629596607</v>
      </c>
      <c r="K205" s="113">
        <v>3.8785770615074959</v>
      </c>
    </row>
    <row r="206" spans="2:11" x14ac:dyDescent="0.3">
      <c r="B206" s="115"/>
      <c r="C206" s="112" t="s">
        <v>1517</v>
      </c>
      <c r="D206" s="1499">
        <v>6.236795162344368</v>
      </c>
      <c r="E206" s="1499">
        <v>5.3188995578131246</v>
      </c>
      <c r="F206" s="1499">
        <v>4.3070239577652263</v>
      </c>
      <c r="G206" s="1499">
        <v>4.0651512290848579</v>
      </c>
      <c r="H206" s="1499">
        <v>4.1903968204813662</v>
      </c>
      <c r="I206" s="1499">
        <v>6.3457284829763925</v>
      </c>
      <c r="J206" s="1499">
        <v>5.7889424359618591</v>
      </c>
      <c r="K206" s="113">
        <v>3.8235236345096926</v>
      </c>
    </row>
    <row r="207" spans="2:11" ht="14.5" thickBot="1" x14ac:dyDescent="0.35">
      <c r="B207" s="1233"/>
      <c r="C207" s="116" t="s">
        <v>1519</v>
      </c>
      <c r="D207" s="117">
        <v>6.471026086988525</v>
      </c>
      <c r="E207" s="117">
        <v>5.5532132335417881</v>
      </c>
      <c r="F207" s="117">
        <v>4.547656902744774</v>
      </c>
      <c r="G207" s="117">
        <v>4.3065203818128559</v>
      </c>
      <c r="H207" s="117">
        <v>4.4299287811510721</v>
      </c>
      <c r="I207" s="117">
        <v>6.5797178393250926</v>
      </c>
      <c r="J207" s="117">
        <v>6.0233996886554602</v>
      </c>
      <c r="K207" s="118">
        <v>4.0653721013450301</v>
      </c>
    </row>
    <row r="208" spans="2:11" x14ac:dyDescent="0.3">
      <c r="B208" s="120" t="s">
        <v>1519</v>
      </c>
      <c r="C208" s="108" t="s">
        <v>1416</v>
      </c>
      <c r="D208" s="129">
        <v>4.112947897541205</v>
      </c>
      <c r="E208" s="109">
        <v>2.9816829195491521</v>
      </c>
      <c r="F208" s="109">
        <v>2.1840538805104224</v>
      </c>
      <c r="G208" s="109">
        <v>1.8630900280098199</v>
      </c>
      <c r="H208" s="109">
        <v>2.0866245904849445</v>
      </c>
      <c r="I208" s="109">
        <v>3.9147039260414651</v>
      </c>
      <c r="J208" s="109">
        <v>3.3965822599593145</v>
      </c>
      <c r="K208" s="110">
        <v>1.6584108862998237</v>
      </c>
    </row>
    <row r="209" spans="2:11" x14ac:dyDescent="0.3">
      <c r="B209" s="111"/>
      <c r="C209" s="112" t="s">
        <v>1483</v>
      </c>
      <c r="D209" s="130">
        <v>4.4578848645220779</v>
      </c>
      <c r="E209" s="1499">
        <v>3.3416387366536577</v>
      </c>
      <c r="F209" s="1499">
        <v>2.5527501260196916</v>
      </c>
      <c r="G209" s="1499">
        <v>2.2258942099799786</v>
      </c>
      <c r="H209" s="1499">
        <v>2.4463893380739266</v>
      </c>
      <c r="I209" s="1499">
        <v>4.2660478381893947</v>
      </c>
      <c r="J209" s="1499">
        <v>3.7529490814971238</v>
      </c>
      <c r="K209" s="113">
        <v>2.0333498243427872</v>
      </c>
    </row>
    <row r="210" spans="2:11" x14ac:dyDescent="0.3">
      <c r="B210" s="111"/>
      <c r="C210" s="112" t="s">
        <v>1489</v>
      </c>
      <c r="D210" s="130">
        <v>4.4139669991128976</v>
      </c>
      <c r="E210" s="1499">
        <v>3.2977208712444779</v>
      </c>
      <c r="F210" s="1499">
        <v>2.5088322606105113</v>
      </c>
      <c r="G210" s="1499">
        <v>2.1819763445707983</v>
      </c>
      <c r="H210" s="1499">
        <v>2.4024714726647463</v>
      </c>
      <c r="I210" s="1499">
        <v>4.2221299727802153</v>
      </c>
      <c r="J210" s="1499">
        <v>3.7090312160879435</v>
      </c>
      <c r="K210" s="113">
        <v>1.9894319589336069</v>
      </c>
    </row>
    <row r="211" spans="2:11" x14ac:dyDescent="0.3">
      <c r="B211" s="114">
        <v>0</v>
      </c>
      <c r="C211" s="112" t="s">
        <v>1496</v>
      </c>
      <c r="D211" s="130">
        <v>4.3480902009991267</v>
      </c>
      <c r="E211" s="1499">
        <v>3.2318440731307074</v>
      </c>
      <c r="F211" s="1499">
        <v>2.4429554624967409</v>
      </c>
      <c r="G211" s="1499">
        <v>2.1160995464570278</v>
      </c>
      <c r="H211" s="1499">
        <v>2.3365946745509758</v>
      </c>
      <c r="I211" s="1499">
        <v>4.1562531746664444</v>
      </c>
      <c r="J211" s="1499">
        <v>3.6431544179741731</v>
      </c>
      <c r="K211" s="113">
        <v>1.9235551608198367</v>
      </c>
    </row>
    <row r="212" spans="2:11" x14ac:dyDescent="0.3">
      <c r="B212" s="115"/>
      <c r="C212" s="112" t="s">
        <v>1500</v>
      </c>
      <c r="D212" s="130">
        <v>4.2822134028853567</v>
      </c>
      <c r="E212" s="1499">
        <v>3.1659672750169365</v>
      </c>
      <c r="F212" s="1499">
        <v>2.3770786643829709</v>
      </c>
      <c r="G212" s="1499">
        <v>2.0502227483432578</v>
      </c>
      <c r="H212" s="1499">
        <v>2.2707178764372058</v>
      </c>
      <c r="I212" s="1499">
        <v>4.0903763765526735</v>
      </c>
      <c r="J212" s="1499">
        <v>3.5772776198604026</v>
      </c>
      <c r="K212" s="113">
        <v>1.8576783627060665</v>
      </c>
    </row>
    <row r="213" spans="2:11" x14ac:dyDescent="0.3">
      <c r="B213" s="115"/>
      <c r="C213" s="112" t="s">
        <v>1504</v>
      </c>
      <c r="D213" s="130">
        <v>4.3865398801177946</v>
      </c>
      <c r="E213" s="1499">
        <v>3.267577604049273</v>
      </c>
      <c r="F213" s="1499">
        <v>2.4781623367351187</v>
      </c>
      <c r="G213" s="1499">
        <v>2.1526874857129537</v>
      </c>
      <c r="H213" s="1499">
        <v>2.3712217909016746</v>
      </c>
      <c r="I213" s="1499">
        <v>4.1951842752016741</v>
      </c>
      <c r="J213" s="1499">
        <v>3.6785076955864606</v>
      </c>
      <c r="K213" s="113">
        <v>1.9571166995366183</v>
      </c>
    </row>
    <row r="214" spans="2:11" x14ac:dyDescent="0.3">
      <c r="B214" s="115"/>
      <c r="C214" s="112" t="s">
        <v>1508</v>
      </c>
      <c r="D214" s="130">
        <v>4.349837595452593</v>
      </c>
      <c r="E214" s="1499">
        <v>3.2308753193840714</v>
      </c>
      <c r="F214" s="1499">
        <v>2.441460052069917</v>
      </c>
      <c r="G214" s="1499">
        <v>2.1159852010477516</v>
      </c>
      <c r="H214" s="1499">
        <v>2.3345195062364725</v>
      </c>
      <c r="I214" s="1499">
        <v>4.1584819905364725</v>
      </c>
      <c r="J214" s="1499">
        <v>3.641805410921259</v>
      </c>
      <c r="K214" s="113">
        <v>1.9204144148714162</v>
      </c>
    </row>
    <row r="215" spans="2:11" x14ac:dyDescent="0.3">
      <c r="B215" s="115"/>
      <c r="C215" s="112" t="s">
        <v>1513</v>
      </c>
      <c r="D215" s="130">
        <v>4.2947841684547896</v>
      </c>
      <c r="E215" s="1499">
        <v>3.175821892386268</v>
      </c>
      <c r="F215" s="1499">
        <v>2.3864066250721141</v>
      </c>
      <c r="G215" s="1499">
        <v>2.0609317740499487</v>
      </c>
      <c r="H215" s="1499">
        <v>2.2794660792386701</v>
      </c>
      <c r="I215" s="1499">
        <v>4.1034285635386691</v>
      </c>
      <c r="J215" s="1499">
        <v>3.5867519839234556</v>
      </c>
      <c r="K215" s="113">
        <v>1.8653609878736135</v>
      </c>
    </row>
    <row r="216" spans="2:11" x14ac:dyDescent="0.3">
      <c r="B216" s="115"/>
      <c r="C216" s="112" t="s">
        <v>1517</v>
      </c>
      <c r="D216" s="130">
        <v>4.2397307414569871</v>
      </c>
      <c r="E216" s="1499">
        <v>3.1207684653884655</v>
      </c>
      <c r="F216" s="1499">
        <v>2.3313531980743112</v>
      </c>
      <c r="G216" s="1499">
        <v>2.0058783470521457</v>
      </c>
      <c r="H216" s="1499">
        <v>2.2244126522408671</v>
      </c>
      <c r="I216" s="1499">
        <v>4.0483751365408667</v>
      </c>
      <c r="J216" s="1499">
        <v>3.5316985569256527</v>
      </c>
      <c r="K216" s="113">
        <v>1.8103075608758106</v>
      </c>
    </row>
    <row r="217" spans="2:11" ht="14.5" thickBot="1" x14ac:dyDescent="0.35">
      <c r="B217" s="1233"/>
      <c r="C217" s="116" t="s">
        <v>1519</v>
      </c>
      <c r="D217" s="131">
        <v>4.4578848645220779</v>
      </c>
      <c r="E217" s="117">
        <v>3.3416387366536577</v>
      </c>
      <c r="F217" s="117">
        <v>2.5527501260196916</v>
      </c>
      <c r="G217" s="117">
        <v>2.2258942099799786</v>
      </c>
      <c r="H217" s="117">
        <v>2.4463893380739266</v>
      </c>
      <c r="I217" s="117">
        <v>4.2660478381893947</v>
      </c>
      <c r="J217" s="117">
        <v>3.7529490814971238</v>
      </c>
      <c r="K217" s="118">
        <v>2.0333498243427872</v>
      </c>
    </row>
    <row r="221" spans="2:11" ht="14.5" thickBot="1" x14ac:dyDescent="0.35"/>
    <row r="222" spans="2:11" x14ac:dyDescent="0.3">
      <c r="C222" s="132" t="s">
        <v>1995</v>
      </c>
      <c r="D222" s="132"/>
      <c r="E222" s="132"/>
      <c r="F222" s="132"/>
    </row>
    <row r="223" spans="2:11" x14ac:dyDescent="0.3">
      <c r="C223" s="1504" t="s">
        <v>1996</v>
      </c>
      <c r="D223" s="1504" t="s">
        <v>1997</v>
      </c>
      <c r="E223" s="1504" t="s">
        <v>1998</v>
      </c>
      <c r="F223" s="1504" t="s">
        <v>1999</v>
      </c>
    </row>
    <row r="224" spans="2:11" x14ac:dyDescent="0.3">
      <c r="C224" s="1498">
        <v>1</v>
      </c>
      <c r="D224" s="1505">
        <v>307.33506289853392</v>
      </c>
      <c r="E224" s="1506">
        <v>5.9491882094180007E-2</v>
      </c>
      <c r="F224" s="1507">
        <v>2.3796752837672002</v>
      </c>
      <c r="H224" s="134" t="s">
        <v>2000</v>
      </c>
    </row>
    <row r="225" spans="2:11" x14ac:dyDescent="0.3">
      <c r="C225" s="1498">
        <v>1.5</v>
      </c>
      <c r="D225" s="1505">
        <v>259.52320990377535</v>
      </c>
      <c r="E225" s="1506">
        <v>5.0236780856325075E-2</v>
      </c>
      <c r="F225" s="1507">
        <v>2.0094712342530032</v>
      </c>
      <c r="H225" s="134" t="s">
        <v>2001</v>
      </c>
    </row>
    <row r="226" spans="2:11" x14ac:dyDescent="0.3">
      <c r="C226" s="1498">
        <v>2</v>
      </c>
      <c r="D226" s="1505">
        <v>225.60016034355823</v>
      </c>
      <c r="E226" s="1506">
        <v>4.3670182025466166E-2</v>
      </c>
      <c r="F226" s="1507">
        <v>1.7468072810186466</v>
      </c>
    </row>
    <row r="227" spans="2:11" x14ac:dyDescent="0.3">
      <c r="C227" s="1498">
        <v>2.5</v>
      </c>
      <c r="D227" s="1505">
        <v>199.28739887823068</v>
      </c>
      <c r="E227" s="1506">
        <v>3.8576732264465868E-2</v>
      </c>
      <c r="F227" s="1507">
        <v>1.5430692905786347</v>
      </c>
    </row>
    <row r="228" spans="2:11" x14ac:dyDescent="0.3">
      <c r="B228" s="2"/>
      <c r="C228" s="1498">
        <v>3</v>
      </c>
      <c r="D228" s="1505">
        <v>177.78830734879958</v>
      </c>
      <c r="E228" s="1506">
        <v>3.441508078761122E-2</v>
      </c>
      <c r="F228" s="1507">
        <v>1.376603231504449</v>
      </c>
      <c r="I228" s="135"/>
      <c r="J228" s="135"/>
      <c r="K228" s="135"/>
    </row>
    <row r="229" spans="2:11" x14ac:dyDescent="0.3">
      <c r="B229" s="136"/>
      <c r="C229" s="1498">
        <v>3.5</v>
      </c>
      <c r="D229" s="1505">
        <v>159.61108446189991</v>
      </c>
      <c r="E229" s="1506">
        <v>3.0896454599670907E-2</v>
      </c>
      <c r="F229" s="1507">
        <v>1.2358581839868363</v>
      </c>
      <c r="I229" s="135"/>
      <c r="J229" s="135"/>
      <c r="K229" s="135"/>
    </row>
    <row r="230" spans="2:11" x14ac:dyDescent="0.3">
      <c r="B230" s="136"/>
      <c r="C230" s="1498">
        <v>4</v>
      </c>
      <c r="D230" s="1505">
        <v>143.86525778858248</v>
      </c>
      <c r="E230" s="1506">
        <v>2.7848481956752321E-2</v>
      </c>
      <c r="F230" s="1507">
        <v>1.113939278270093</v>
      </c>
      <c r="I230" s="135"/>
      <c r="J230" s="135"/>
      <c r="K230" s="135"/>
    </row>
    <row r="231" spans="2:11" x14ac:dyDescent="0.3">
      <c r="B231" s="137"/>
      <c r="C231" s="1498">
        <v>4.5</v>
      </c>
      <c r="D231" s="1505">
        <v>129.97645435404098</v>
      </c>
      <c r="E231" s="1506">
        <v>2.5159979549756288E-2</v>
      </c>
      <c r="F231" s="1507">
        <v>1.0063991819902514</v>
      </c>
      <c r="I231" s="135"/>
      <c r="J231" s="135"/>
      <c r="K231" s="135"/>
    </row>
    <row r="232" spans="2:11" x14ac:dyDescent="0.3">
      <c r="C232" s="1498">
        <v>5</v>
      </c>
      <c r="D232" s="1505">
        <v>117.55249632325496</v>
      </c>
      <c r="E232" s="1506">
        <v>2.2755032195752027E-2</v>
      </c>
      <c r="F232" s="1507">
        <v>0.91020128783008103</v>
      </c>
      <c r="I232" s="135"/>
      <c r="J232" s="135"/>
      <c r="K232" s="135"/>
    </row>
    <row r="233" spans="2:11" x14ac:dyDescent="0.3">
      <c r="C233" s="1498">
        <v>5.5</v>
      </c>
      <c r="D233" s="1505">
        <v>106.31365920858823</v>
      </c>
      <c r="E233" s="1506">
        <v>2.0579492684589282E-2</v>
      </c>
      <c r="F233" s="1507">
        <v>0.82317970738357116</v>
      </c>
      <c r="I233" s="135"/>
      <c r="J233" s="135"/>
      <c r="K233" s="135"/>
    </row>
    <row r="234" spans="2:11" x14ac:dyDescent="0.3">
      <c r="C234" s="1498">
        <v>6</v>
      </c>
      <c r="D234" s="1505">
        <v>96.053404793823901</v>
      </c>
      <c r="E234" s="1506">
        <v>1.8593380718897386E-2</v>
      </c>
      <c r="F234" s="1507">
        <v>0.74373522875589548</v>
      </c>
      <c r="I234" s="135"/>
      <c r="J234" s="135"/>
      <c r="K234" s="135"/>
    </row>
    <row r="235" spans="2:11" x14ac:dyDescent="0.3">
      <c r="C235" s="1498">
        <v>6.5</v>
      </c>
      <c r="D235" s="1505">
        <v>86.614885680685674</v>
      </c>
      <c r="E235" s="1506">
        <v>1.6766334820109498E-2</v>
      </c>
      <c r="F235" s="1507">
        <v>0.67065339280437986</v>
      </c>
      <c r="I235" s="135"/>
      <c r="J235" s="135"/>
      <c r="K235" s="135"/>
    </row>
    <row r="236" spans="2:11" x14ac:dyDescent="0.3">
      <c r="C236" s="1498">
        <v>7</v>
      </c>
      <c r="D236" s="1505">
        <v>77.876181906924202</v>
      </c>
      <c r="E236" s="1506">
        <v>1.5074754530957062E-2</v>
      </c>
      <c r="F236" s="1507">
        <v>0.60299018123828252</v>
      </c>
      <c r="I236" s="135"/>
      <c r="J236" s="135"/>
      <c r="K236" s="135"/>
    </row>
    <row r="237" spans="2:11" x14ac:dyDescent="0.3">
      <c r="C237" s="1498">
        <v>7.5</v>
      </c>
      <c r="D237" s="1505">
        <v>69.740643328496347</v>
      </c>
      <c r="E237" s="1506">
        <v>1.3499930957897085E-2</v>
      </c>
      <c r="F237" s="1507">
        <v>0.53999723831588342</v>
      </c>
      <c r="I237" s="135"/>
      <c r="J237" s="135"/>
      <c r="K237" s="135"/>
    </row>
    <row r="238" spans="2:11" x14ac:dyDescent="0.3">
      <c r="B238" s="2"/>
      <c r="C238" s="1498">
        <v>8</v>
      </c>
      <c r="D238" s="1505">
        <v>62.130355233606807</v>
      </c>
      <c r="E238" s="1506">
        <v>1.2026781888038485E-2</v>
      </c>
      <c r="F238" s="1507">
        <v>0.48107127552153939</v>
      </c>
      <c r="I238" s="135"/>
      <c r="J238" s="135"/>
      <c r="K238" s="135"/>
    </row>
    <row r="239" spans="2:11" x14ac:dyDescent="0.3">
      <c r="B239" s="136"/>
      <c r="C239" s="1498">
        <v>8.5</v>
      </c>
      <c r="D239" s="1505">
        <v>54.981588426828964</v>
      </c>
      <c r="E239" s="1506">
        <v>1.0642971046618072E-2</v>
      </c>
      <c r="F239" s="1507">
        <v>0.42571884186472286</v>
      </c>
      <c r="I239" s="135"/>
      <c r="J239" s="135"/>
      <c r="K239" s="135"/>
    </row>
    <row r="240" spans="2:11" x14ac:dyDescent="0.3">
      <c r="B240" s="136"/>
      <c r="C240" s="1498">
        <v>9</v>
      </c>
      <c r="D240" s="1505">
        <v>48.241551799065249</v>
      </c>
      <c r="E240" s="1506">
        <v>9.3382794810424399E-3</v>
      </c>
      <c r="F240" s="1507">
        <v>0.37353117924169765</v>
      </c>
      <c r="I240" s="135"/>
      <c r="J240" s="135"/>
      <c r="K240" s="135"/>
    </row>
    <row r="241" spans="2:11" x14ac:dyDescent="0.3">
      <c r="B241" s="137"/>
      <c r="C241" s="1498">
        <v>9.5</v>
      </c>
      <c r="D241" s="1505">
        <v>41.866024081597878</v>
      </c>
      <c r="E241" s="1506">
        <v>8.1041471315520478E-3</v>
      </c>
      <c r="F241" s="1507">
        <v>0.3241658852620819</v>
      </c>
      <c r="I241" s="135"/>
      <c r="J241" s="135"/>
      <c r="K241" s="135"/>
    </row>
    <row r="242" spans="2:11" x14ac:dyDescent="0.3">
      <c r="C242" s="1498">
        <v>10</v>
      </c>
      <c r="D242" s="1505">
        <v>35.817593768279217</v>
      </c>
      <c r="E242" s="1506">
        <v>6.9333321270381755E-3</v>
      </c>
      <c r="F242" s="1507">
        <v>0.27733328508152705</v>
      </c>
      <c r="I242" s="135"/>
      <c r="J242" s="135"/>
      <c r="K242" s="135"/>
    </row>
    <row r="243" spans="2:11" x14ac:dyDescent="0.3">
      <c r="I243" s="135"/>
      <c r="J243" s="135"/>
      <c r="K243" s="135"/>
    </row>
    <row r="244" spans="2:11" ht="14.5" thickBot="1" x14ac:dyDescent="0.35">
      <c r="I244" s="135"/>
      <c r="J244" s="135"/>
      <c r="K244" s="135"/>
    </row>
    <row r="245" spans="2:11" x14ac:dyDescent="0.3">
      <c r="C245" s="132" t="s">
        <v>2002</v>
      </c>
      <c r="D245" s="132"/>
      <c r="E245" s="132"/>
      <c r="F245" s="132"/>
      <c r="H245" s="134" t="s">
        <v>2003</v>
      </c>
      <c r="I245" s="135"/>
      <c r="J245" s="135"/>
      <c r="K245" s="135"/>
    </row>
    <row r="246" spans="2:11" x14ac:dyDescent="0.3">
      <c r="C246" s="1508" t="s">
        <v>1996</v>
      </c>
      <c r="D246" s="1508" t="s">
        <v>2004</v>
      </c>
      <c r="E246" s="1508" t="s">
        <v>2005</v>
      </c>
      <c r="F246" s="1508" t="s">
        <v>2006</v>
      </c>
      <c r="H246" s="134" t="s">
        <v>2007</v>
      </c>
      <c r="I246" s="135"/>
      <c r="J246" s="135"/>
      <c r="K246" s="135"/>
    </row>
    <row r="247" spans="2:11" x14ac:dyDescent="0.3">
      <c r="C247" s="1498" t="s">
        <v>376</v>
      </c>
      <c r="D247" s="1509">
        <v>365.37001141017311</v>
      </c>
      <c r="E247" s="1510">
        <v>7.0725902324849613E-2</v>
      </c>
      <c r="F247" s="1511">
        <v>2.8290360929939844</v>
      </c>
      <c r="I247" s="135"/>
      <c r="J247" s="135"/>
      <c r="K247" s="135"/>
    </row>
    <row r="248" spans="2:11" x14ac:dyDescent="0.3">
      <c r="B248" s="2"/>
      <c r="D248" s="135"/>
      <c r="E248" s="135"/>
      <c r="F248" s="135"/>
      <c r="G248" s="135"/>
      <c r="H248" s="135"/>
      <c r="I248" s="135"/>
      <c r="J248" s="135"/>
      <c r="K248" s="135"/>
    </row>
    <row r="249" spans="2:11" x14ac:dyDescent="0.3">
      <c r="B249" s="136"/>
      <c r="D249" s="135"/>
      <c r="E249" s="135"/>
      <c r="F249" s="135"/>
      <c r="G249" s="135"/>
      <c r="H249" s="135"/>
      <c r="I249" s="135"/>
      <c r="J249" s="135"/>
      <c r="K249" s="135"/>
    </row>
    <row r="250" spans="2:11" x14ac:dyDescent="0.3">
      <c r="B250" s="136"/>
      <c r="D250" s="135"/>
      <c r="E250" s="135"/>
      <c r="F250" s="135"/>
      <c r="G250" s="135"/>
      <c r="H250" s="135"/>
      <c r="I250" s="135"/>
      <c r="J250" s="135"/>
      <c r="K250" s="135"/>
    </row>
    <row r="251" spans="2:11" x14ac:dyDescent="0.3">
      <c r="B251" s="137"/>
      <c r="D251" s="135"/>
      <c r="E251" s="135"/>
      <c r="F251" s="135"/>
      <c r="G251" s="135"/>
      <c r="H251" s="135"/>
      <c r="I251" s="135"/>
      <c r="J251" s="135"/>
      <c r="K251" s="135"/>
    </row>
    <row r="252" spans="2:11" x14ac:dyDescent="0.3">
      <c r="D252" s="135"/>
      <c r="E252" s="135"/>
      <c r="F252" s="135"/>
      <c r="G252" s="135"/>
      <c r="H252" s="135"/>
      <c r="I252" s="135"/>
      <c r="J252" s="135"/>
      <c r="K252" s="135"/>
    </row>
    <row r="253" spans="2:11" x14ac:dyDescent="0.3">
      <c r="D253" s="135"/>
      <c r="E253" s="135"/>
      <c r="F253" s="135"/>
      <c r="G253" s="135"/>
      <c r="H253" s="135"/>
      <c r="I253" s="135"/>
      <c r="J253" s="135"/>
      <c r="K253" s="135"/>
    </row>
    <row r="254" spans="2:11" x14ac:dyDescent="0.3">
      <c r="D254" s="135"/>
      <c r="E254" s="135"/>
      <c r="F254" s="135"/>
      <c r="G254" s="135"/>
      <c r="H254" s="135"/>
      <c r="I254" s="135"/>
      <c r="J254" s="135"/>
      <c r="K254" s="135"/>
    </row>
    <row r="255" spans="2:11" x14ac:dyDescent="0.3">
      <c r="D255" s="135"/>
      <c r="E255" s="135"/>
      <c r="F255" s="135"/>
      <c r="G255" s="135"/>
      <c r="H255" s="135"/>
      <c r="I255" s="135"/>
      <c r="J255" s="135"/>
      <c r="K255" s="135"/>
    </row>
    <row r="256" spans="2:11" x14ac:dyDescent="0.3">
      <c r="D256" s="135"/>
      <c r="E256" s="135"/>
      <c r="F256" s="135"/>
      <c r="G256" s="135"/>
      <c r="H256" s="135"/>
      <c r="I256" s="135"/>
      <c r="J256" s="135"/>
      <c r="K256" s="135"/>
    </row>
    <row r="257" spans="4:11" x14ac:dyDescent="0.3">
      <c r="D257" s="135"/>
      <c r="E257" s="135"/>
      <c r="F257" s="135"/>
      <c r="G257" s="135"/>
      <c r="H257" s="135"/>
      <c r="I257" s="135"/>
      <c r="J257" s="135"/>
      <c r="K257" s="135"/>
    </row>
  </sheetData>
  <sheetProtection algorithmName="SHA-512" hashValue="RFbRVYE/cSnTdsv3z/wpm00590vRhvsy5ewfDuroSblOzzD68KgKYnSYZ++TjDzedcFTNWEzUWHn1/0qahV7YQ==" saltValue="yYD4p+ATSewiaV7u7RFgOg==" spinCount="100000" sheet="1" objects="1" scenarios="1" autoFilter="0"/>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7"/>
  <dimension ref="B1:K257"/>
  <sheetViews>
    <sheetView topLeftCell="A205" workbookViewId="0">
      <selection activeCell="G9" sqref="G9"/>
    </sheetView>
  </sheetViews>
  <sheetFormatPr defaultColWidth="7.58203125" defaultRowHeight="14" x14ac:dyDescent="0.3"/>
  <cols>
    <col min="3" max="3" width="27" customWidth="1"/>
  </cols>
  <sheetData>
    <row r="1" spans="2:11" ht="14.5" thickBot="1" x14ac:dyDescent="0.35"/>
    <row r="2" spans="2:11" ht="25.5" thickBot="1" x14ac:dyDescent="0.55000000000000004">
      <c r="B2" s="88" t="s">
        <v>1960</v>
      </c>
      <c r="C2" s="89"/>
      <c r="D2" s="90">
        <v>7</v>
      </c>
      <c r="E2" s="91" t="s">
        <v>1961</v>
      </c>
      <c r="F2" s="92"/>
      <c r="G2" s="92"/>
      <c r="H2" s="92"/>
      <c r="I2" s="93"/>
      <c r="J2" s="89" t="s">
        <v>176</v>
      </c>
      <c r="K2" s="94" t="s">
        <v>241</v>
      </c>
    </row>
    <row r="3" spans="2:11" ht="14.5" thickBot="1" x14ac:dyDescent="0.35">
      <c r="B3" s="95" t="s">
        <v>1962</v>
      </c>
      <c r="C3" s="96" t="s">
        <v>1963</v>
      </c>
      <c r="D3" s="95" t="s">
        <v>1964</v>
      </c>
      <c r="E3" s="97" t="s">
        <v>1965</v>
      </c>
      <c r="F3" s="97" t="s">
        <v>1966</v>
      </c>
      <c r="G3" s="97" t="s">
        <v>1967</v>
      </c>
      <c r="H3" s="97" t="s">
        <v>1968</v>
      </c>
      <c r="I3" s="97" t="s">
        <v>1969</v>
      </c>
      <c r="J3" s="97" t="s">
        <v>1970</v>
      </c>
      <c r="K3" s="98" t="s">
        <v>1971</v>
      </c>
    </row>
    <row r="4" spans="2:11" ht="18.5" thickBot="1" x14ac:dyDescent="0.45">
      <c r="B4" s="99" t="s">
        <v>34</v>
      </c>
      <c r="C4" s="100" t="s">
        <v>34</v>
      </c>
      <c r="D4" s="101" t="s">
        <v>34</v>
      </c>
      <c r="E4" s="944"/>
      <c r="F4" s="944"/>
      <c r="G4" s="944"/>
      <c r="H4" s="944"/>
      <c r="I4" s="944" t="s">
        <v>34</v>
      </c>
      <c r="J4" s="944" t="s">
        <v>34</v>
      </c>
      <c r="K4" s="102"/>
    </row>
    <row r="5" spans="2:11" ht="90.5" thickBot="1" x14ac:dyDescent="0.45">
      <c r="B5" s="103" t="s">
        <v>1972</v>
      </c>
      <c r="C5" s="104" t="s">
        <v>1973</v>
      </c>
      <c r="D5" s="105" t="s">
        <v>1974</v>
      </c>
      <c r="E5" s="105" t="s">
        <v>1525</v>
      </c>
      <c r="F5" s="105" t="s">
        <v>1527</v>
      </c>
      <c r="G5" s="105" t="s">
        <v>1975</v>
      </c>
      <c r="H5" s="105" t="s">
        <v>1976</v>
      </c>
      <c r="I5" s="105" t="s">
        <v>1445</v>
      </c>
      <c r="J5" s="105" t="s">
        <v>1538</v>
      </c>
      <c r="K5" s="106" t="s">
        <v>1541</v>
      </c>
    </row>
    <row r="6" spans="2:11" x14ac:dyDescent="0.3">
      <c r="B6" s="107" t="s">
        <v>1977</v>
      </c>
      <c r="C6" s="108" t="s">
        <v>1416</v>
      </c>
      <c r="D6" s="109">
        <v>4.6690706395434631</v>
      </c>
      <c r="E6" s="109">
        <v>4.3891983875006568</v>
      </c>
      <c r="F6" s="109">
        <v>3.057329294759692</v>
      </c>
      <c r="G6" s="109">
        <v>3.0017921801400758</v>
      </c>
      <c r="H6" s="109">
        <v>2.9521573943652988</v>
      </c>
      <c r="I6" s="109">
        <v>3.8841199020250845</v>
      </c>
      <c r="J6" s="109">
        <v>3.6040377510085899</v>
      </c>
      <c r="K6" s="110">
        <v>2.5559857862974082</v>
      </c>
    </row>
    <row r="7" spans="2:11" x14ac:dyDescent="0.3">
      <c r="B7" s="111" t="s">
        <v>1978</v>
      </c>
      <c r="C7" s="112" t="s">
        <v>1483</v>
      </c>
      <c r="D7" s="1499">
        <v>4.980792951092619</v>
      </c>
      <c r="E7" s="1499">
        <v>4.7011594273366155</v>
      </c>
      <c r="F7" s="1499">
        <v>3.3838964407739969</v>
      </c>
      <c r="G7" s="1499">
        <v>3.3282057051835934</v>
      </c>
      <c r="H7" s="1499">
        <v>3.2751848211582817</v>
      </c>
      <c r="I7" s="1499">
        <v>4.2010670116302204</v>
      </c>
      <c r="J7" s="1499">
        <v>3.9241306810160048</v>
      </c>
      <c r="K7" s="113">
        <v>2.8874415747842312</v>
      </c>
    </row>
    <row r="8" spans="2:11" x14ac:dyDescent="0.3">
      <c r="B8" s="111" t="s">
        <v>1979</v>
      </c>
      <c r="C8" s="112" t="s">
        <v>1489</v>
      </c>
      <c r="D8" s="1499">
        <v>4.9425064163598575</v>
      </c>
      <c r="E8" s="1499">
        <v>4.662872892603855</v>
      </c>
      <c r="F8" s="1499">
        <v>3.3456099060412363</v>
      </c>
      <c r="G8" s="1499">
        <v>3.2899191704508328</v>
      </c>
      <c r="H8" s="1499">
        <v>3.2368982864255211</v>
      </c>
      <c r="I8" s="1499">
        <v>4.1627804768974599</v>
      </c>
      <c r="J8" s="1499">
        <v>3.8858441462832443</v>
      </c>
      <c r="K8" s="113">
        <v>2.8491550400514702</v>
      </c>
    </row>
    <row r="9" spans="2:11" x14ac:dyDescent="0.3">
      <c r="B9" s="114">
        <v>0</v>
      </c>
      <c r="C9" s="112" t="s">
        <v>1496</v>
      </c>
      <c r="D9" s="1499">
        <v>4.8850766142607167</v>
      </c>
      <c r="E9" s="1499">
        <v>4.6054430905047141</v>
      </c>
      <c r="F9" s="1499">
        <v>3.2881801039420946</v>
      </c>
      <c r="G9" s="1499">
        <v>3.2324893683516915</v>
      </c>
      <c r="H9" s="1499">
        <v>3.1794684843263799</v>
      </c>
      <c r="I9" s="1499">
        <v>4.1053506747983182</v>
      </c>
      <c r="J9" s="1499">
        <v>3.828414344184103</v>
      </c>
      <c r="K9" s="113">
        <v>2.791725237952329</v>
      </c>
    </row>
    <row r="10" spans="2:11" x14ac:dyDescent="0.3">
      <c r="B10" s="115"/>
      <c r="C10" s="112" t="s">
        <v>1500</v>
      </c>
      <c r="D10" s="1499">
        <v>4.827646812161575</v>
      </c>
      <c r="E10" s="1499">
        <v>4.5480132884055724</v>
      </c>
      <c r="F10" s="1499">
        <v>3.2307503018429533</v>
      </c>
      <c r="G10" s="1499">
        <v>3.1750595662525503</v>
      </c>
      <c r="H10" s="1499">
        <v>3.1220386822272381</v>
      </c>
      <c r="I10" s="1499">
        <v>4.0479208726991773</v>
      </c>
      <c r="J10" s="1499">
        <v>3.7709845420849613</v>
      </c>
      <c r="K10" s="113">
        <v>2.7342954358531877</v>
      </c>
    </row>
    <row r="11" spans="2:11" x14ac:dyDescent="0.3">
      <c r="B11" s="115"/>
      <c r="C11" s="112" t="s">
        <v>1504</v>
      </c>
      <c r="D11" s="1499">
        <v>4.9180550902791422</v>
      </c>
      <c r="E11" s="1499">
        <v>4.6391217498663817</v>
      </c>
      <c r="F11" s="1499">
        <v>3.3181216306778425</v>
      </c>
      <c r="G11" s="1499">
        <v>3.2619101505293746</v>
      </c>
      <c r="H11" s="1499">
        <v>3.2095410627034293</v>
      </c>
      <c r="I11" s="1499">
        <v>4.1374350159659059</v>
      </c>
      <c r="J11" s="1499">
        <v>3.8591519355093662</v>
      </c>
      <c r="K11" s="113">
        <v>2.8205179551673378</v>
      </c>
    </row>
    <row r="12" spans="2:11" x14ac:dyDescent="0.3">
      <c r="B12" s="115"/>
      <c r="C12" s="112" t="s">
        <v>1508</v>
      </c>
      <c r="D12" s="1499">
        <v>4.8858427992397528</v>
      </c>
      <c r="E12" s="1499">
        <v>4.6069094588269923</v>
      </c>
      <c r="F12" s="1499">
        <v>3.2859093396384536</v>
      </c>
      <c r="G12" s="1499">
        <v>3.2296978594899857</v>
      </c>
      <c r="H12" s="1499">
        <v>3.1773287716640404</v>
      </c>
      <c r="I12" s="1499">
        <v>4.1052227249265174</v>
      </c>
      <c r="J12" s="1499">
        <v>3.8269396444699773</v>
      </c>
      <c r="K12" s="113">
        <v>2.7883056641279489</v>
      </c>
    </row>
    <row r="13" spans="2:11" x14ac:dyDescent="0.3">
      <c r="B13" s="115"/>
      <c r="C13" s="112" t="s">
        <v>1513</v>
      </c>
      <c r="D13" s="1499">
        <v>4.8375243626806697</v>
      </c>
      <c r="E13" s="1499">
        <v>4.5585910222679091</v>
      </c>
      <c r="F13" s="1499">
        <v>3.2375909030793704</v>
      </c>
      <c r="G13" s="1499">
        <v>3.1813794229309025</v>
      </c>
      <c r="H13" s="1499">
        <v>3.1290103351049567</v>
      </c>
      <c r="I13" s="1499">
        <v>4.0569042883674333</v>
      </c>
      <c r="J13" s="1499">
        <v>3.7786212079108936</v>
      </c>
      <c r="K13" s="113">
        <v>2.7399872275688657</v>
      </c>
    </row>
    <row r="14" spans="2:11" x14ac:dyDescent="0.3">
      <c r="B14" s="115"/>
      <c r="C14" s="112" t="s">
        <v>1517</v>
      </c>
      <c r="D14" s="1499">
        <v>4.7892059261215856</v>
      </c>
      <c r="E14" s="1499">
        <v>4.5102725857088251</v>
      </c>
      <c r="F14" s="1499">
        <v>3.1892724665202863</v>
      </c>
      <c r="G14" s="1499">
        <v>3.1330609863718184</v>
      </c>
      <c r="H14" s="1499">
        <v>3.0806918985458731</v>
      </c>
      <c r="I14" s="1499">
        <v>4.0085858518083501</v>
      </c>
      <c r="J14" s="1499">
        <v>3.73030277135181</v>
      </c>
      <c r="K14" s="113">
        <v>2.6916687910097816</v>
      </c>
    </row>
    <row r="15" spans="2:11" ht="14.5" thickBot="1" x14ac:dyDescent="0.35">
      <c r="B15" s="1233"/>
      <c r="C15" s="116" t="s">
        <v>1519</v>
      </c>
      <c r="D15" s="117">
        <v>4.980792951092619</v>
      </c>
      <c r="E15" s="117">
        <v>4.7011594273366155</v>
      </c>
      <c r="F15" s="117">
        <v>3.3838964407739969</v>
      </c>
      <c r="G15" s="117">
        <v>3.3282057051835934</v>
      </c>
      <c r="H15" s="117">
        <v>3.2751848211582817</v>
      </c>
      <c r="I15" s="117">
        <v>4.2010670116302204</v>
      </c>
      <c r="J15" s="117">
        <v>3.9241306810160048</v>
      </c>
      <c r="K15" s="118">
        <v>2.8874415747842312</v>
      </c>
    </row>
    <row r="16" spans="2:11" x14ac:dyDescent="0.3">
      <c r="B16" s="107" t="s">
        <v>1977</v>
      </c>
      <c r="C16" s="108" t="s">
        <v>1416</v>
      </c>
      <c r="D16" s="109">
        <v>4.4468150496179133</v>
      </c>
      <c r="E16" s="109">
        <v>4.1669427975751079</v>
      </c>
      <c r="F16" s="109">
        <v>2.8350737048341426</v>
      </c>
      <c r="G16" s="109">
        <v>2.7795365902145264</v>
      </c>
      <c r="H16" s="109">
        <v>2.7299018044397494</v>
      </c>
      <c r="I16" s="109">
        <v>3.6618643120995347</v>
      </c>
      <c r="J16" s="109">
        <v>3.3817821610830401</v>
      </c>
      <c r="K16" s="110">
        <v>2.3337301963718584</v>
      </c>
    </row>
    <row r="17" spans="2:11" x14ac:dyDescent="0.3">
      <c r="B17" s="111" t="s">
        <v>1978</v>
      </c>
      <c r="C17" s="112" t="s">
        <v>1483</v>
      </c>
      <c r="D17" s="1499">
        <v>4.7585373611670692</v>
      </c>
      <c r="E17" s="1499">
        <v>4.4789038374110666</v>
      </c>
      <c r="F17" s="1499">
        <v>3.1616408508484475</v>
      </c>
      <c r="G17" s="1499">
        <v>3.105950115258044</v>
      </c>
      <c r="H17" s="1499">
        <v>3.0529292312327323</v>
      </c>
      <c r="I17" s="1499">
        <v>3.9788114217046711</v>
      </c>
      <c r="J17" s="1499">
        <v>3.7018750910904554</v>
      </c>
      <c r="K17" s="113">
        <v>2.6651859848586814</v>
      </c>
    </row>
    <row r="18" spans="2:11" x14ac:dyDescent="0.3">
      <c r="B18" s="111" t="s">
        <v>1980</v>
      </c>
      <c r="C18" s="112" t="s">
        <v>1489</v>
      </c>
      <c r="D18" s="1499">
        <v>4.7202508264343077</v>
      </c>
      <c r="E18" s="1499">
        <v>4.440617302678306</v>
      </c>
      <c r="F18" s="1499">
        <v>3.1233543161156865</v>
      </c>
      <c r="G18" s="1499">
        <v>3.067663580525283</v>
      </c>
      <c r="H18" s="1499">
        <v>3.0146426964999713</v>
      </c>
      <c r="I18" s="1499">
        <v>3.9405248869719101</v>
      </c>
      <c r="J18" s="1499">
        <v>3.6635885563576944</v>
      </c>
      <c r="K18" s="113">
        <v>2.6268994501259209</v>
      </c>
    </row>
    <row r="19" spans="2:11" x14ac:dyDescent="0.3">
      <c r="B19" s="114">
        <v>0</v>
      </c>
      <c r="C19" s="112" t="s">
        <v>1496</v>
      </c>
      <c r="D19" s="1499">
        <v>4.6628210243351669</v>
      </c>
      <c r="E19" s="1499">
        <v>4.3831875005791643</v>
      </c>
      <c r="F19" s="1499">
        <v>3.0659245140165452</v>
      </c>
      <c r="G19" s="1499">
        <v>3.0102337784261417</v>
      </c>
      <c r="H19" s="1499">
        <v>2.95721289440083</v>
      </c>
      <c r="I19" s="1499">
        <v>3.8830950848727688</v>
      </c>
      <c r="J19" s="1499">
        <v>3.6061587542585531</v>
      </c>
      <c r="K19" s="113">
        <v>2.5694696480267796</v>
      </c>
    </row>
    <row r="20" spans="2:11" x14ac:dyDescent="0.3">
      <c r="B20" s="115"/>
      <c r="C20" s="112" t="s">
        <v>1500</v>
      </c>
      <c r="D20" s="1499">
        <v>4.6053912222360252</v>
      </c>
      <c r="E20" s="1499">
        <v>4.3257576984800226</v>
      </c>
      <c r="F20" s="1499">
        <v>3.0084947119174039</v>
      </c>
      <c r="G20" s="1499">
        <v>2.9528039763270004</v>
      </c>
      <c r="H20" s="1499">
        <v>2.8997830923016887</v>
      </c>
      <c r="I20" s="1499">
        <v>3.8256652827736275</v>
      </c>
      <c r="J20" s="1499">
        <v>3.5487289521594119</v>
      </c>
      <c r="K20" s="113">
        <v>2.5120398459276383</v>
      </c>
    </row>
    <row r="21" spans="2:11" x14ac:dyDescent="0.3">
      <c r="B21" s="115"/>
      <c r="C21" s="112" t="s">
        <v>1504</v>
      </c>
      <c r="D21" s="1499">
        <v>4.6957995003535924</v>
      </c>
      <c r="E21" s="1499">
        <v>4.4168661599408319</v>
      </c>
      <c r="F21" s="1499">
        <v>3.0958660407522931</v>
      </c>
      <c r="G21" s="1499">
        <v>3.0396545606038252</v>
      </c>
      <c r="H21" s="1499">
        <v>2.9872854727778795</v>
      </c>
      <c r="I21" s="1499">
        <v>3.9151794260403565</v>
      </c>
      <c r="J21" s="1499">
        <v>3.6368963455838164</v>
      </c>
      <c r="K21" s="113">
        <v>2.5982623652417884</v>
      </c>
    </row>
    <row r="22" spans="2:11" x14ac:dyDescent="0.3">
      <c r="B22" s="115"/>
      <c r="C22" s="112" t="s">
        <v>1508</v>
      </c>
      <c r="D22" s="1499">
        <v>4.6635872093142039</v>
      </c>
      <c r="E22" s="1499">
        <v>4.3846538689014425</v>
      </c>
      <c r="F22" s="1499">
        <v>3.0636537497129042</v>
      </c>
      <c r="G22" s="1499">
        <v>3.0074422695644363</v>
      </c>
      <c r="H22" s="1499">
        <v>2.955073181738491</v>
      </c>
      <c r="I22" s="1499">
        <v>3.8829671350009676</v>
      </c>
      <c r="J22" s="1499">
        <v>3.6046840545444274</v>
      </c>
      <c r="K22" s="113">
        <v>2.5660500742023995</v>
      </c>
    </row>
    <row r="23" spans="2:11" x14ac:dyDescent="0.3">
      <c r="B23" s="115"/>
      <c r="C23" s="112" t="s">
        <v>1513</v>
      </c>
      <c r="D23" s="1499">
        <v>4.6152687727551207</v>
      </c>
      <c r="E23" s="1499">
        <v>4.3363354323423593</v>
      </c>
      <c r="F23" s="1499">
        <v>3.015335313153821</v>
      </c>
      <c r="G23" s="1499">
        <v>2.9591238330053531</v>
      </c>
      <c r="H23" s="1499">
        <v>2.9067547451794074</v>
      </c>
      <c r="I23" s="1499">
        <v>3.8346486984418839</v>
      </c>
      <c r="J23" s="1499">
        <v>3.5563656179853442</v>
      </c>
      <c r="K23" s="113">
        <v>2.5177316376433159</v>
      </c>
    </row>
    <row r="24" spans="2:11" x14ac:dyDescent="0.3">
      <c r="B24" s="115"/>
      <c r="C24" s="112" t="s">
        <v>1517</v>
      </c>
      <c r="D24" s="1499">
        <v>4.5669503361960366</v>
      </c>
      <c r="E24" s="1499">
        <v>4.2880169957832752</v>
      </c>
      <c r="F24" s="1499">
        <v>2.9670168765947369</v>
      </c>
      <c r="G24" s="1499">
        <v>2.910805396446269</v>
      </c>
      <c r="H24" s="1499">
        <v>2.8584363086203237</v>
      </c>
      <c r="I24" s="1499">
        <v>3.7863302618828003</v>
      </c>
      <c r="J24" s="1499">
        <v>3.5080471814262602</v>
      </c>
      <c r="K24" s="113">
        <v>2.4694132010842322</v>
      </c>
    </row>
    <row r="25" spans="2:11" ht="14.5" thickBot="1" x14ac:dyDescent="0.35">
      <c r="B25" s="1233"/>
      <c r="C25" s="116" t="s">
        <v>1519</v>
      </c>
      <c r="D25" s="117">
        <v>4.7585373611670692</v>
      </c>
      <c r="E25" s="117">
        <v>4.4789038374110666</v>
      </c>
      <c r="F25" s="117">
        <v>3.1616408508484475</v>
      </c>
      <c r="G25" s="117">
        <v>3.105950115258044</v>
      </c>
      <c r="H25" s="117">
        <v>3.0529292312327323</v>
      </c>
      <c r="I25" s="117">
        <v>3.9788114217046711</v>
      </c>
      <c r="J25" s="117">
        <v>3.7018750910904554</v>
      </c>
      <c r="K25" s="118">
        <v>2.6651859848586814</v>
      </c>
    </row>
    <row r="26" spans="2:11" x14ac:dyDescent="0.3">
      <c r="B26" s="107" t="s">
        <v>1977</v>
      </c>
      <c r="C26" s="108" t="s">
        <v>1416</v>
      </c>
      <c r="D26" s="109">
        <v>4.113431664729589</v>
      </c>
      <c r="E26" s="109">
        <v>3.8335594126867836</v>
      </c>
      <c r="F26" s="109">
        <v>2.5016903199458187</v>
      </c>
      <c r="G26" s="109">
        <v>2.4461532053262021</v>
      </c>
      <c r="H26" s="109">
        <v>2.3965184195514251</v>
      </c>
      <c r="I26" s="109">
        <v>3.3284809272112108</v>
      </c>
      <c r="J26" s="109">
        <v>3.0483987761947162</v>
      </c>
      <c r="K26" s="110">
        <v>2.0003468114835341</v>
      </c>
    </row>
    <row r="27" spans="2:11" x14ac:dyDescent="0.3">
      <c r="B27" s="111" t="s">
        <v>1978</v>
      </c>
      <c r="C27" s="112" t="s">
        <v>1483</v>
      </c>
      <c r="D27" s="1499">
        <v>4.4251539762787448</v>
      </c>
      <c r="E27" s="1499">
        <v>4.1455204525227423</v>
      </c>
      <c r="F27" s="1499">
        <v>2.8282574659601232</v>
      </c>
      <c r="G27" s="1499">
        <v>2.7725667303697197</v>
      </c>
      <c r="H27" s="1499">
        <v>2.719545846344408</v>
      </c>
      <c r="I27" s="1499">
        <v>3.6454280368163468</v>
      </c>
      <c r="J27" s="1499">
        <v>3.3684917062021311</v>
      </c>
      <c r="K27" s="113">
        <v>2.3318025999703575</v>
      </c>
    </row>
    <row r="28" spans="2:11" x14ac:dyDescent="0.3">
      <c r="B28" s="111" t="s">
        <v>1981</v>
      </c>
      <c r="C28" s="112" t="s">
        <v>1489</v>
      </c>
      <c r="D28" s="1499">
        <v>4.3868674415459843</v>
      </c>
      <c r="E28" s="1499">
        <v>4.1072339177899817</v>
      </c>
      <c r="F28" s="1499">
        <v>2.7899709312273626</v>
      </c>
      <c r="G28" s="1499">
        <v>2.7342801956369591</v>
      </c>
      <c r="H28" s="1499">
        <v>2.6812593116116474</v>
      </c>
      <c r="I28" s="1499">
        <v>3.6071415020835862</v>
      </c>
      <c r="J28" s="1499">
        <v>3.3302051714693706</v>
      </c>
      <c r="K28" s="113">
        <v>2.2935160652375965</v>
      </c>
    </row>
    <row r="29" spans="2:11" x14ac:dyDescent="0.3">
      <c r="B29" s="114">
        <v>0</v>
      </c>
      <c r="C29" s="112" t="s">
        <v>1496</v>
      </c>
      <c r="D29" s="1499">
        <v>4.3294376394468426</v>
      </c>
      <c r="E29" s="1499">
        <v>4.04980411569084</v>
      </c>
      <c r="F29" s="1499">
        <v>2.7325411291282213</v>
      </c>
      <c r="G29" s="1499">
        <v>2.6768503935378178</v>
      </c>
      <c r="H29" s="1499">
        <v>2.6238295095125062</v>
      </c>
      <c r="I29" s="1499">
        <v>3.5497116999844449</v>
      </c>
      <c r="J29" s="1499">
        <v>3.2727753693702293</v>
      </c>
      <c r="K29" s="113">
        <v>2.2360862631384557</v>
      </c>
    </row>
    <row r="30" spans="2:11" x14ac:dyDescent="0.3">
      <c r="B30" s="115"/>
      <c r="C30" s="112" t="s">
        <v>1500</v>
      </c>
      <c r="D30" s="1499">
        <v>4.2720078373477017</v>
      </c>
      <c r="E30" s="1499">
        <v>3.9923743135916991</v>
      </c>
      <c r="F30" s="1499">
        <v>2.6751113270290801</v>
      </c>
      <c r="G30" s="1499">
        <v>2.6194205914386766</v>
      </c>
      <c r="H30" s="1499">
        <v>2.5663997074133649</v>
      </c>
      <c r="I30" s="1499">
        <v>3.4922818978853036</v>
      </c>
      <c r="J30" s="1499">
        <v>3.215345567271088</v>
      </c>
      <c r="K30" s="113">
        <v>2.178656461039314</v>
      </c>
    </row>
    <row r="31" spans="2:11" x14ac:dyDescent="0.3">
      <c r="B31" s="115"/>
      <c r="C31" s="112" t="s">
        <v>1504</v>
      </c>
      <c r="D31" s="1499">
        <v>4.362416115465269</v>
      </c>
      <c r="E31" s="1499">
        <v>4.0834827750525076</v>
      </c>
      <c r="F31" s="1499">
        <v>2.7624826558639688</v>
      </c>
      <c r="G31" s="1499">
        <v>2.7062711757155014</v>
      </c>
      <c r="H31" s="1499">
        <v>2.6539020878895556</v>
      </c>
      <c r="I31" s="1499">
        <v>3.5817960411520322</v>
      </c>
      <c r="J31" s="1499">
        <v>3.3035129606954925</v>
      </c>
      <c r="K31" s="113">
        <v>2.2648789803534641</v>
      </c>
    </row>
    <row r="32" spans="2:11" x14ac:dyDescent="0.3">
      <c r="B32" s="115"/>
      <c r="C32" s="112" t="s">
        <v>1508</v>
      </c>
      <c r="D32" s="1499">
        <v>4.3302038244258796</v>
      </c>
      <c r="E32" s="1499">
        <v>4.0512704840131191</v>
      </c>
      <c r="F32" s="1499">
        <v>2.7302703648245803</v>
      </c>
      <c r="G32" s="1499">
        <v>2.6740588846761124</v>
      </c>
      <c r="H32" s="1499">
        <v>2.6216897968501667</v>
      </c>
      <c r="I32" s="1499">
        <v>3.5495837501126433</v>
      </c>
      <c r="J32" s="1499">
        <v>3.2713006696561036</v>
      </c>
      <c r="K32" s="113">
        <v>2.2326666893140752</v>
      </c>
    </row>
    <row r="33" spans="2:11" x14ac:dyDescent="0.3">
      <c r="B33" s="115"/>
      <c r="C33" s="112" t="s">
        <v>1513</v>
      </c>
      <c r="D33" s="1499">
        <v>4.2818853878667955</v>
      </c>
      <c r="E33" s="1499">
        <v>4.002952047454035</v>
      </c>
      <c r="F33" s="1499">
        <v>2.6819519282654962</v>
      </c>
      <c r="G33" s="1499">
        <v>2.6257404481170283</v>
      </c>
      <c r="H33" s="1499">
        <v>2.573371360291083</v>
      </c>
      <c r="I33" s="1499">
        <v>3.5012653135535596</v>
      </c>
      <c r="J33" s="1499">
        <v>3.2229822330970195</v>
      </c>
      <c r="K33" s="113">
        <v>2.1843482527549916</v>
      </c>
    </row>
    <row r="34" spans="2:11" x14ac:dyDescent="0.3">
      <c r="B34" s="115"/>
      <c r="C34" s="112" t="s">
        <v>1517</v>
      </c>
      <c r="D34" s="1499">
        <v>4.2335669513077123</v>
      </c>
      <c r="E34" s="1499">
        <v>3.9546336108949514</v>
      </c>
      <c r="F34" s="1499">
        <v>2.633633491706413</v>
      </c>
      <c r="G34" s="1499">
        <v>2.5774220115579451</v>
      </c>
      <c r="H34" s="1499">
        <v>2.5250529237319994</v>
      </c>
      <c r="I34" s="1499">
        <v>3.452946876994476</v>
      </c>
      <c r="J34" s="1499">
        <v>3.1746637965379363</v>
      </c>
      <c r="K34" s="113">
        <v>2.1360298161959079</v>
      </c>
    </row>
    <row r="35" spans="2:11" ht="14.5" thickBot="1" x14ac:dyDescent="0.35">
      <c r="B35" s="1233"/>
      <c r="C35" s="116" t="s">
        <v>1519</v>
      </c>
      <c r="D35" s="117">
        <v>4.4251539762787448</v>
      </c>
      <c r="E35" s="117">
        <v>4.1455204525227423</v>
      </c>
      <c r="F35" s="117">
        <v>2.8282574659601232</v>
      </c>
      <c r="G35" s="117">
        <v>2.7725667303697197</v>
      </c>
      <c r="H35" s="117">
        <v>2.719545846344408</v>
      </c>
      <c r="I35" s="117">
        <v>3.6454280368163468</v>
      </c>
      <c r="J35" s="117">
        <v>3.3684917062021311</v>
      </c>
      <c r="K35" s="118">
        <v>2.3318025999703575</v>
      </c>
    </row>
    <row r="36" spans="2:11" x14ac:dyDescent="0.3">
      <c r="B36" s="107" t="s">
        <v>1977</v>
      </c>
      <c r="C36" s="108" t="s">
        <v>1416</v>
      </c>
      <c r="D36" s="109">
        <v>3.7800482798412647</v>
      </c>
      <c r="E36" s="109">
        <v>3.5001760277984588</v>
      </c>
      <c r="F36" s="109">
        <v>2.1683069350574939</v>
      </c>
      <c r="G36" s="109">
        <v>2.1127698204378778</v>
      </c>
      <c r="H36" s="109">
        <v>2.0631350346631008</v>
      </c>
      <c r="I36" s="109">
        <v>2.9950975423228861</v>
      </c>
      <c r="J36" s="109">
        <v>2.7150153913063915</v>
      </c>
      <c r="K36" s="110">
        <v>1.66696342659521</v>
      </c>
    </row>
    <row r="37" spans="2:11" x14ac:dyDescent="0.3">
      <c r="B37" s="111" t="s">
        <v>1978</v>
      </c>
      <c r="C37" s="112" t="s">
        <v>1483</v>
      </c>
      <c r="D37" s="1499">
        <v>4.0917705913904205</v>
      </c>
      <c r="E37" s="1499">
        <v>3.8121370676344184</v>
      </c>
      <c r="F37" s="1499">
        <v>2.4948740810717989</v>
      </c>
      <c r="G37" s="1499">
        <v>2.4391833454813954</v>
      </c>
      <c r="H37" s="1499">
        <v>2.3861624614560837</v>
      </c>
      <c r="I37" s="1499">
        <v>3.3120446519280224</v>
      </c>
      <c r="J37" s="1499">
        <v>3.0351083213138073</v>
      </c>
      <c r="K37" s="113">
        <v>1.9984192150820332</v>
      </c>
    </row>
    <row r="38" spans="2:11" x14ac:dyDescent="0.3">
      <c r="B38" s="111" t="s">
        <v>1982</v>
      </c>
      <c r="C38" s="112" t="s">
        <v>1489</v>
      </c>
      <c r="D38" s="1499">
        <v>4.0534840566576591</v>
      </c>
      <c r="E38" s="1499">
        <v>3.773850532901657</v>
      </c>
      <c r="F38" s="1499">
        <v>2.4565875463390379</v>
      </c>
      <c r="G38" s="1499">
        <v>2.4008968107486344</v>
      </c>
      <c r="H38" s="1499">
        <v>2.3478759267233227</v>
      </c>
      <c r="I38" s="1499">
        <v>3.2737581171952614</v>
      </c>
      <c r="J38" s="1499">
        <v>2.9968217865810458</v>
      </c>
      <c r="K38" s="113">
        <v>1.9601326803492722</v>
      </c>
    </row>
    <row r="39" spans="2:11" x14ac:dyDescent="0.3">
      <c r="B39" s="114">
        <v>0</v>
      </c>
      <c r="C39" s="112" t="s">
        <v>1496</v>
      </c>
      <c r="D39" s="1499">
        <v>3.9960542545585183</v>
      </c>
      <c r="E39" s="1499">
        <v>3.7164207308025157</v>
      </c>
      <c r="F39" s="1499">
        <v>2.3991577442398966</v>
      </c>
      <c r="G39" s="1499">
        <v>2.3434670086494931</v>
      </c>
      <c r="H39" s="1499">
        <v>2.2904461246241814</v>
      </c>
      <c r="I39" s="1499">
        <v>3.2163283150961202</v>
      </c>
      <c r="J39" s="1499">
        <v>2.9393919844819045</v>
      </c>
      <c r="K39" s="113">
        <v>1.902702878250131</v>
      </c>
    </row>
    <row r="40" spans="2:11" x14ac:dyDescent="0.3">
      <c r="B40" s="115"/>
      <c r="C40" s="112" t="s">
        <v>1500</v>
      </c>
      <c r="D40" s="1499">
        <v>3.938624452459377</v>
      </c>
      <c r="E40" s="1499">
        <v>3.6589909287033744</v>
      </c>
      <c r="F40" s="1499">
        <v>2.3417279421407557</v>
      </c>
      <c r="G40" s="1499">
        <v>2.2860372065503523</v>
      </c>
      <c r="H40" s="1499">
        <v>2.2330163225250406</v>
      </c>
      <c r="I40" s="1499">
        <v>3.1588985129969793</v>
      </c>
      <c r="J40" s="1499">
        <v>2.8819621823827632</v>
      </c>
      <c r="K40" s="113">
        <v>1.8452730761509899</v>
      </c>
    </row>
    <row r="41" spans="2:11" x14ac:dyDescent="0.3">
      <c r="B41" s="115"/>
      <c r="C41" s="112" t="s">
        <v>1504</v>
      </c>
      <c r="D41" s="1499">
        <v>4.0290327305769447</v>
      </c>
      <c r="E41" s="1499">
        <v>3.7500993901641837</v>
      </c>
      <c r="F41" s="1499">
        <v>2.4290992709756445</v>
      </c>
      <c r="G41" s="1499">
        <v>2.372887790827177</v>
      </c>
      <c r="H41" s="1499">
        <v>2.3205187030012313</v>
      </c>
      <c r="I41" s="1499">
        <v>3.2484126562637083</v>
      </c>
      <c r="J41" s="1499">
        <v>2.9701295758071677</v>
      </c>
      <c r="K41" s="113">
        <v>1.93149559546514</v>
      </c>
    </row>
    <row r="42" spans="2:11" x14ac:dyDescent="0.3">
      <c r="B42" s="115"/>
      <c r="C42" s="112" t="s">
        <v>1508</v>
      </c>
      <c r="D42" s="1499">
        <v>3.9968204395375548</v>
      </c>
      <c r="E42" s="1499">
        <v>3.7178870991247943</v>
      </c>
      <c r="F42" s="1499">
        <v>2.3968869799362555</v>
      </c>
      <c r="G42" s="1499">
        <v>2.3406754997877877</v>
      </c>
      <c r="H42" s="1499">
        <v>2.2883064119618424</v>
      </c>
      <c r="I42" s="1499">
        <v>3.216200365224319</v>
      </c>
      <c r="J42" s="1499">
        <v>2.9379172847677788</v>
      </c>
      <c r="K42" s="113">
        <v>1.8992833044257507</v>
      </c>
    </row>
    <row r="43" spans="2:11" x14ac:dyDescent="0.3">
      <c r="B43" s="115"/>
      <c r="C43" s="112" t="s">
        <v>1513</v>
      </c>
      <c r="D43" s="1499">
        <v>3.9485020029784716</v>
      </c>
      <c r="E43" s="1499">
        <v>3.6695686625657107</v>
      </c>
      <c r="F43" s="1499">
        <v>2.3485685433771724</v>
      </c>
      <c r="G43" s="1499">
        <v>2.2923570632287045</v>
      </c>
      <c r="H43" s="1499">
        <v>2.2399879754027587</v>
      </c>
      <c r="I43" s="1499">
        <v>3.1678819286652353</v>
      </c>
      <c r="J43" s="1499">
        <v>2.8895988482086956</v>
      </c>
      <c r="K43" s="113">
        <v>1.8509648678666675</v>
      </c>
    </row>
    <row r="44" spans="2:11" x14ac:dyDescent="0.3">
      <c r="B44" s="115"/>
      <c r="C44" s="112" t="s">
        <v>1517</v>
      </c>
      <c r="D44" s="1499">
        <v>3.9001835664193876</v>
      </c>
      <c r="E44" s="1499">
        <v>3.621250226006627</v>
      </c>
      <c r="F44" s="1499">
        <v>2.3002501068180887</v>
      </c>
      <c r="G44" s="1499">
        <v>2.2440386266696208</v>
      </c>
      <c r="H44" s="1499">
        <v>2.1916695388436751</v>
      </c>
      <c r="I44" s="1499">
        <v>3.1195634921061517</v>
      </c>
      <c r="J44" s="1499">
        <v>2.841280411649612</v>
      </c>
      <c r="K44" s="113">
        <v>1.8026464313075838</v>
      </c>
    </row>
    <row r="45" spans="2:11" ht="14.5" thickBot="1" x14ac:dyDescent="0.35">
      <c r="B45" s="1233"/>
      <c r="C45" s="116" t="s">
        <v>1519</v>
      </c>
      <c r="D45" s="117">
        <v>4.0917705913904205</v>
      </c>
      <c r="E45" s="117">
        <v>3.8121370676344184</v>
      </c>
      <c r="F45" s="117">
        <v>2.4948740810717989</v>
      </c>
      <c r="G45" s="117">
        <v>2.4391833454813954</v>
      </c>
      <c r="H45" s="117">
        <v>2.3861624614560837</v>
      </c>
      <c r="I45" s="117">
        <v>3.3120446519280224</v>
      </c>
      <c r="J45" s="117">
        <v>3.0351083213138073</v>
      </c>
      <c r="K45" s="118">
        <v>1.9984192150820332</v>
      </c>
    </row>
    <row r="46" spans="2:11" x14ac:dyDescent="0.3">
      <c r="B46" s="119" t="s">
        <v>1983</v>
      </c>
      <c r="C46" s="108" t="s">
        <v>1416</v>
      </c>
      <c r="D46" s="109">
        <v>4.089061531883865</v>
      </c>
      <c r="E46" s="109">
        <v>3.7954809233040336</v>
      </c>
      <c r="F46" s="109">
        <v>2.477541388347078</v>
      </c>
      <c r="G46" s="109">
        <v>2.4132471788197352</v>
      </c>
      <c r="H46" s="109">
        <v>2.370307592464608</v>
      </c>
      <c r="I46" s="109">
        <v>3.2881618317933916</v>
      </c>
      <c r="J46" s="109">
        <v>3.0094187409876829</v>
      </c>
      <c r="K46" s="110">
        <v>1.9716191992815317</v>
      </c>
    </row>
    <row r="47" spans="2:11" x14ac:dyDescent="0.3">
      <c r="B47" s="111"/>
      <c r="C47" s="112" t="s">
        <v>1483</v>
      </c>
      <c r="D47" s="1499">
        <v>4.4047673661963529</v>
      </c>
      <c r="E47" s="1499">
        <v>4.1104312108440197</v>
      </c>
      <c r="F47" s="1499">
        <v>2.8072965552180444</v>
      </c>
      <c r="G47" s="1499">
        <v>2.7459331557033209</v>
      </c>
      <c r="H47" s="1499">
        <v>2.6978588027157087</v>
      </c>
      <c r="I47" s="1499">
        <v>3.609760360757845</v>
      </c>
      <c r="J47" s="1499">
        <v>3.3358007435999362</v>
      </c>
      <c r="K47" s="113">
        <v>2.310060912190973</v>
      </c>
    </row>
    <row r="48" spans="2:11" x14ac:dyDescent="0.3">
      <c r="B48" s="111" t="s">
        <v>1979</v>
      </c>
      <c r="C48" s="112" t="s">
        <v>1489</v>
      </c>
      <c r="D48" s="1499">
        <v>4.3664808314635923</v>
      </c>
      <c r="E48" s="1499">
        <v>4.0721446761112583</v>
      </c>
      <c r="F48" s="1499">
        <v>2.7690100204852839</v>
      </c>
      <c r="G48" s="1499">
        <v>2.7076466209705603</v>
      </c>
      <c r="H48" s="1499">
        <v>2.6595722679829481</v>
      </c>
      <c r="I48" s="1499">
        <v>3.5714738260250845</v>
      </c>
      <c r="J48" s="1499">
        <v>3.2975142088671752</v>
      </c>
      <c r="K48" s="113">
        <v>2.271774377458212</v>
      </c>
    </row>
    <row r="49" spans="2:11" x14ac:dyDescent="0.3">
      <c r="B49" s="114">
        <v>0</v>
      </c>
      <c r="C49" s="112" t="s">
        <v>1496</v>
      </c>
      <c r="D49" s="1499">
        <v>4.3090510293644515</v>
      </c>
      <c r="E49" s="1499">
        <v>4.0147148740121175</v>
      </c>
      <c r="F49" s="1499">
        <v>2.7115802183861426</v>
      </c>
      <c r="G49" s="1499">
        <v>2.6502168188714186</v>
      </c>
      <c r="H49" s="1499">
        <v>2.6021424658838068</v>
      </c>
      <c r="I49" s="1499">
        <v>3.5140440239259432</v>
      </c>
      <c r="J49" s="1499">
        <v>3.2400844067680339</v>
      </c>
      <c r="K49" s="113">
        <v>2.2143445753590707</v>
      </c>
    </row>
    <row r="50" spans="2:11" x14ac:dyDescent="0.3">
      <c r="B50" s="115"/>
      <c r="C50" s="112" t="s">
        <v>1500</v>
      </c>
      <c r="D50" s="1499">
        <v>4.2516212272653098</v>
      </c>
      <c r="E50" s="1499">
        <v>3.9572850719129762</v>
      </c>
      <c r="F50" s="1499">
        <v>2.6541504162870013</v>
      </c>
      <c r="G50" s="1499">
        <v>2.5927870167722773</v>
      </c>
      <c r="H50" s="1499">
        <v>2.5447126637846655</v>
      </c>
      <c r="I50" s="1499">
        <v>3.4566142218268014</v>
      </c>
      <c r="J50" s="1499">
        <v>3.1826546046688926</v>
      </c>
      <c r="K50" s="113">
        <v>2.1569147732599294</v>
      </c>
    </row>
    <row r="51" spans="2:11" x14ac:dyDescent="0.3">
      <c r="B51" s="115"/>
      <c r="C51" s="112" t="s">
        <v>1504</v>
      </c>
      <c r="D51" s="1499">
        <v>4.3405422639621571</v>
      </c>
      <c r="E51" s="1499">
        <v>4.0472471953341955</v>
      </c>
      <c r="F51" s="1499">
        <v>2.7413206757578346</v>
      </c>
      <c r="G51" s="1499">
        <v>2.6787569929301278</v>
      </c>
      <c r="H51" s="1499">
        <v>2.6318019711497596</v>
      </c>
      <c r="I51" s="1499">
        <v>3.5441812335982199</v>
      </c>
      <c r="J51" s="1499">
        <v>3.2695333127483974</v>
      </c>
      <c r="K51" s="113">
        <v>2.2402761514760656</v>
      </c>
    </row>
    <row r="52" spans="2:11" x14ac:dyDescent="0.3">
      <c r="B52" s="115"/>
      <c r="C52" s="112" t="s">
        <v>1508</v>
      </c>
      <c r="D52" s="1499">
        <v>4.3083299729227686</v>
      </c>
      <c r="E52" s="1499">
        <v>4.0150349042948061</v>
      </c>
      <c r="F52" s="1499">
        <v>2.7091083847184456</v>
      </c>
      <c r="G52" s="1499">
        <v>2.6465447018907389</v>
      </c>
      <c r="H52" s="1499">
        <v>2.5995896801103706</v>
      </c>
      <c r="I52" s="1499">
        <v>3.511968942558831</v>
      </c>
      <c r="J52" s="1499">
        <v>3.2373210217090089</v>
      </c>
      <c r="K52" s="113">
        <v>2.2080638604366767</v>
      </c>
    </row>
    <row r="53" spans="2:11" x14ac:dyDescent="0.3">
      <c r="B53" s="115"/>
      <c r="C53" s="112" t="s">
        <v>1513</v>
      </c>
      <c r="D53" s="1499">
        <v>4.2600115363636855</v>
      </c>
      <c r="E53" s="1499">
        <v>3.966716467735723</v>
      </c>
      <c r="F53" s="1499">
        <v>2.6607899481593624</v>
      </c>
      <c r="G53" s="1499">
        <v>2.5982262653316557</v>
      </c>
      <c r="H53" s="1499">
        <v>2.551271243551287</v>
      </c>
      <c r="I53" s="1499">
        <v>3.4636505059997473</v>
      </c>
      <c r="J53" s="1499">
        <v>3.1890025851499253</v>
      </c>
      <c r="K53" s="113">
        <v>2.1597454238775931</v>
      </c>
    </row>
    <row r="54" spans="2:11" x14ac:dyDescent="0.3">
      <c r="B54" s="115"/>
      <c r="C54" s="112" t="s">
        <v>1517</v>
      </c>
      <c r="D54" s="1499">
        <v>4.2116930998046014</v>
      </c>
      <c r="E54" s="1499">
        <v>3.9183980311766389</v>
      </c>
      <c r="F54" s="1499">
        <v>2.6124715116002784</v>
      </c>
      <c r="G54" s="1499">
        <v>2.5499078287725716</v>
      </c>
      <c r="H54" s="1499">
        <v>2.5029528069922033</v>
      </c>
      <c r="I54" s="1499">
        <v>3.4153320694406637</v>
      </c>
      <c r="J54" s="1499">
        <v>3.1406841485908417</v>
      </c>
      <c r="K54" s="113">
        <v>2.1114269873185094</v>
      </c>
    </row>
    <row r="55" spans="2:11" ht="14.5" thickBot="1" x14ac:dyDescent="0.35">
      <c r="B55" s="1233"/>
      <c r="C55" s="116" t="s">
        <v>1519</v>
      </c>
      <c r="D55" s="117">
        <v>4.4047673661963529</v>
      </c>
      <c r="E55" s="117">
        <v>4.1104312108440197</v>
      </c>
      <c r="F55" s="117">
        <v>2.8072965552180444</v>
      </c>
      <c r="G55" s="117">
        <v>2.7459331557033209</v>
      </c>
      <c r="H55" s="117">
        <v>2.6978588027157087</v>
      </c>
      <c r="I55" s="117">
        <v>3.609760360757845</v>
      </c>
      <c r="J55" s="117">
        <v>3.3358007435999362</v>
      </c>
      <c r="K55" s="118">
        <v>2.310060912190973</v>
      </c>
    </row>
    <row r="56" spans="2:11" x14ac:dyDescent="0.3">
      <c r="B56" s="119" t="s">
        <v>1983</v>
      </c>
      <c r="C56" s="108" t="s">
        <v>1416</v>
      </c>
      <c r="D56" s="109">
        <v>3.9750200693432527</v>
      </c>
      <c r="E56" s="109">
        <v>3.6814394607634213</v>
      </c>
      <c r="F56" s="109">
        <v>2.3634999258064653</v>
      </c>
      <c r="G56" s="109">
        <v>2.2992057162791228</v>
      </c>
      <c r="H56" s="109">
        <v>2.2562661299239957</v>
      </c>
      <c r="I56" s="109">
        <v>3.1741203692527789</v>
      </c>
      <c r="J56" s="109">
        <v>2.8953772784470706</v>
      </c>
      <c r="K56" s="110">
        <v>1.8575777367409192</v>
      </c>
    </row>
    <row r="57" spans="2:11" x14ac:dyDescent="0.3">
      <c r="B57" s="111"/>
      <c r="C57" s="112" t="s">
        <v>1483</v>
      </c>
      <c r="D57" s="1499">
        <v>4.2907259036557406</v>
      </c>
      <c r="E57" s="1499">
        <v>3.996389748303407</v>
      </c>
      <c r="F57" s="1499">
        <v>2.6932550926774321</v>
      </c>
      <c r="G57" s="1499">
        <v>2.6318916931627081</v>
      </c>
      <c r="H57" s="1499">
        <v>2.5838173401750963</v>
      </c>
      <c r="I57" s="1499">
        <v>3.4957188982172323</v>
      </c>
      <c r="J57" s="1499">
        <v>3.2217592810593234</v>
      </c>
      <c r="K57" s="113">
        <v>2.1960194496503607</v>
      </c>
    </row>
    <row r="58" spans="2:11" x14ac:dyDescent="0.3">
      <c r="B58" s="111" t="s">
        <v>1980</v>
      </c>
      <c r="C58" s="112" t="s">
        <v>1489</v>
      </c>
      <c r="D58" s="1499">
        <v>4.25243936892298</v>
      </c>
      <c r="E58" s="1499">
        <v>3.958103213570646</v>
      </c>
      <c r="F58" s="1499">
        <v>2.6549685579446711</v>
      </c>
      <c r="G58" s="1499">
        <v>2.5936051584299475</v>
      </c>
      <c r="H58" s="1499">
        <v>2.5455308054423358</v>
      </c>
      <c r="I58" s="1499">
        <v>3.4574323634844717</v>
      </c>
      <c r="J58" s="1499">
        <v>3.1834727463265629</v>
      </c>
      <c r="K58" s="113">
        <v>2.1577329149175997</v>
      </c>
    </row>
    <row r="59" spans="2:11" x14ac:dyDescent="0.3">
      <c r="B59" s="114">
        <v>0</v>
      </c>
      <c r="C59" s="112" t="s">
        <v>1496</v>
      </c>
      <c r="D59" s="1499">
        <v>4.1950095668238383</v>
      </c>
      <c r="E59" s="1499">
        <v>3.9006734114715047</v>
      </c>
      <c r="F59" s="1499">
        <v>2.5975387558455298</v>
      </c>
      <c r="G59" s="1499">
        <v>2.5361753563308063</v>
      </c>
      <c r="H59" s="1499">
        <v>2.4881010033431941</v>
      </c>
      <c r="I59" s="1499">
        <v>3.4000025613853304</v>
      </c>
      <c r="J59" s="1499">
        <v>3.1260429442274216</v>
      </c>
      <c r="K59" s="113">
        <v>2.1003031128184584</v>
      </c>
    </row>
    <row r="60" spans="2:11" x14ac:dyDescent="0.3">
      <c r="B60" s="115"/>
      <c r="C60" s="112" t="s">
        <v>1500</v>
      </c>
      <c r="D60" s="1499">
        <v>4.1375797647246975</v>
      </c>
      <c r="E60" s="1499">
        <v>3.8432436093723634</v>
      </c>
      <c r="F60" s="1499">
        <v>2.5401089537463886</v>
      </c>
      <c r="G60" s="1499">
        <v>2.478745554231665</v>
      </c>
      <c r="H60" s="1499">
        <v>2.4306712012440528</v>
      </c>
      <c r="I60" s="1499">
        <v>3.3425727592861891</v>
      </c>
      <c r="J60" s="1499">
        <v>3.0686131421282803</v>
      </c>
      <c r="K60" s="113">
        <v>2.0428733107193167</v>
      </c>
    </row>
    <row r="61" spans="2:11" x14ac:dyDescent="0.3">
      <c r="B61" s="115"/>
      <c r="C61" s="112" t="s">
        <v>1504</v>
      </c>
      <c r="D61" s="1499">
        <v>4.2265008014215448</v>
      </c>
      <c r="E61" s="1499">
        <v>3.9332057327935828</v>
      </c>
      <c r="F61" s="1499">
        <v>2.6272792132172222</v>
      </c>
      <c r="G61" s="1499">
        <v>2.5647155303895155</v>
      </c>
      <c r="H61" s="1499">
        <v>2.5177605086091468</v>
      </c>
      <c r="I61" s="1499">
        <v>3.4301397710576071</v>
      </c>
      <c r="J61" s="1499">
        <v>3.1554918502077851</v>
      </c>
      <c r="K61" s="113">
        <v>2.1262346889354533</v>
      </c>
    </row>
    <row r="62" spans="2:11" x14ac:dyDescent="0.3">
      <c r="B62" s="115"/>
      <c r="C62" s="112" t="s">
        <v>1508</v>
      </c>
      <c r="D62" s="1499">
        <v>4.1942885103821563</v>
      </c>
      <c r="E62" s="1499">
        <v>3.9009934417541938</v>
      </c>
      <c r="F62" s="1499">
        <v>2.5950669221778333</v>
      </c>
      <c r="G62" s="1499">
        <v>2.5325032393501266</v>
      </c>
      <c r="H62" s="1499">
        <v>2.4855482175697579</v>
      </c>
      <c r="I62" s="1499">
        <v>3.3979274800182182</v>
      </c>
      <c r="J62" s="1499">
        <v>3.1232795591683962</v>
      </c>
      <c r="K62" s="113">
        <v>2.0940223978960644</v>
      </c>
    </row>
    <row r="63" spans="2:11" x14ac:dyDescent="0.3">
      <c r="B63" s="115"/>
      <c r="C63" s="112" t="s">
        <v>1513</v>
      </c>
      <c r="D63" s="1499">
        <v>4.1459700738230723</v>
      </c>
      <c r="E63" s="1499">
        <v>3.8526750051951102</v>
      </c>
      <c r="F63" s="1499">
        <v>2.5467484856187501</v>
      </c>
      <c r="G63" s="1499">
        <v>2.4841848027910429</v>
      </c>
      <c r="H63" s="1499">
        <v>2.4372297810106742</v>
      </c>
      <c r="I63" s="1499">
        <v>3.349609043459135</v>
      </c>
      <c r="J63" s="1499">
        <v>3.074961122609313</v>
      </c>
      <c r="K63" s="113">
        <v>2.0457039613369807</v>
      </c>
    </row>
    <row r="64" spans="2:11" x14ac:dyDescent="0.3">
      <c r="B64" s="115"/>
      <c r="C64" s="112" t="s">
        <v>1517</v>
      </c>
      <c r="D64" s="1499">
        <v>4.0976516372639891</v>
      </c>
      <c r="E64" s="1499">
        <v>3.8043565686360266</v>
      </c>
      <c r="F64" s="1499">
        <v>2.498430049059666</v>
      </c>
      <c r="G64" s="1499">
        <v>2.4358663662319593</v>
      </c>
      <c r="H64" s="1499">
        <v>2.388911344451591</v>
      </c>
      <c r="I64" s="1499">
        <v>3.3012906069000509</v>
      </c>
      <c r="J64" s="1499">
        <v>3.0266426860502289</v>
      </c>
      <c r="K64" s="113">
        <v>1.9973855247778973</v>
      </c>
    </row>
    <row r="65" spans="2:11" ht="14.5" thickBot="1" x14ac:dyDescent="0.35">
      <c r="B65" s="1233"/>
      <c r="C65" s="116" t="s">
        <v>1519</v>
      </c>
      <c r="D65" s="117">
        <v>4.2907259036557406</v>
      </c>
      <c r="E65" s="117">
        <v>3.996389748303407</v>
      </c>
      <c r="F65" s="117">
        <v>2.6932550926774321</v>
      </c>
      <c r="G65" s="117">
        <v>2.6318916931627081</v>
      </c>
      <c r="H65" s="117">
        <v>2.5838173401750963</v>
      </c>
      <c r="I65" s="117">
        <v>3.4957188982172323</v>
      </c>
      <c r="J65" s="117">
        <v>3.2217592810593234</v>
      </c>
      <c r="K65" s="118">
        <v>2.1960194496503607</v>
      </c>
    </row>
    <row r="66" spans="2:11" x14ac:dyDescent="0.3">
      <c r="B66" s="119" t="s">
        <v>1983</v>
      </c>
      <c r="C66" s="108" t="s">
        <v>1416</v>
      </c>
      <c r="D66" s="109">
        <v>3.8039578755323342</v>
      </c>
      <c r="E66" s="109">
        <v>3.5103772669525024</v>
      </c>
      <c r="F66" s="109">
        <v>2.1924377319955468</v>
      </c>
      <c r="G66" s="109">
        <v>2.1281435224682039</v>
      </c>
      <c r="H66" s="109">
        <v>2.0852039361130768</v>
      </c>
      <c r="I66" s="109">
        <v>3.0030581754418599</v>
      </c>
      <c r="J66" s="109">
        <v>2.7243150846361517</v>
      </c>
      <c r="K66" s="110">
        <v>1.6865155429300005</v>
      </c>
    </row>
    <row r="67" spans="2:11" x14ac:dyDescent="0.3">
      <c r="B67" s="111"/>
      <c r="C67" s="112" t="s">
        <v>1483</v>
      </c>
      <c r="D67" s="1499">
        <v>4.1196637098448221</v>
      </c>
      <c r="E67" s="1499">
        <v>3.8253275544924881</v>
      </c>
      <c r="F67" s="1499">
        <v>2.5221928988665132</v>
      </c>
      <c r="G67" s="1499">
        <v>2.4608294993517896</v>
      </c>
      <c r="H67" s="1499">
        <v>2.4127551463641779</v>
      </c>
      <c r="I67" s="1499">
        <v>3.3246567044063138</v>
      </c>
      <c r="J67" s="1499">
        <v>3.0506970872484045</v>
      </c>
      <c r="K67" s="113">
        <v>2.0249572558394417</v>
      </c>
    </row>
    <row r="68" spans="2:11" x14ac:dyDescent="0.3">
      <c r="B68" s="111" t="s">
        <v>1981</v>
      </c>
      <c r="C68" s="112" t="s">
        <v>1489</v>
      </c>
      <c r="D68" s="1499">
        <v>4.0813771751120616</v>
      </c>
      <c r="E68" s="1499">
        <v>3.7870410197597275</v>
      </c>
      <c r="F68" s="1499">
        <v>2.4839063641337527</v>
      </c>
      <c r="G68" s="1499">
        <v>2.4225429646190286</v>
      </c>
      <c r="H68" s="1499">
        <v>2.3744686116314169</v>
      </c>
      <c r="I68" s="1499">
        <v>3.2863701696735528</v>
      </c>
      <c r="J68" s="1499">
        <v>3.0124105525156439</v>
      </c>
      <c r="K68" s="113">
        <v>1.9866707211066807</v>
      </c>
    </row>
    <row r="69" spans="2:11" x14ac:dyDescent="0.3">
      <c r="B69" s="114">
        <v>0</v>
      </c>
      <c r="C69" s="112" t="s">
        <v>1496</v>
      </c>
      <c r="D69" s="1499">
        <v>4.0239473730129198</v>
      </c>
      <c r="E69" s="1499">
        <v>3.7296112176605858</v>
      </c>
      <c r="F69" s="1499">
        <v>2.4264765620346114</v>
      </c>
      <c r="G69" s="1499">
        <v>2.3651131625198873</v>
      </c>
      <c r="H69" s="1499">
        <v>2.3170388095322756</v>
      </c>
      <c r="I69" s="1499">
        <v>3.2289403675744115</v>
      </c>
      <c r="J69" s="1499">
        <v>2.9549807504165027</v>
      </c>
      <c r="K69" s="113">
        <v>1.9292409190075395</v>
      </c>
    </row>
    <row r="70" spans="2:11" x14ac:dyDescent="0.3">
      <c r="B70" s="115"/>
      <c r="C70" s="112" t="s">
        <v>1500</v>
      </c>
      <c r="D70" s="1499">
        <v>3.9665175709137785</v>
      </c>
      <c r="E70" s="1499">
        <v>3.6721814155614445</v>
      </c>
      <c r="F70" s="1499">
        <v>2.3690467599354696</v>
      </c>
      <c r="G70" s="1499">
        <v>2.3076833604207461</v>
      </c>
      <c r="H70" s="1499">
        <v>2.2596090074331343</v>
      </c>
      <c r="I70" s="1499">
        <v>3.1715105654752702</v>
      </c>
      <c r="J70" s="1499">
        <v>2.8975509483173614</v>
      </c>
      <c r="K70" s="113">
        <v>1.871811116908398</v>
      </c>
    </row>
    <row r="71" spans="2:11" x14ac:dyDescent="0.3">
      <c r="B71" s="115"/>
      <c r="C71" s="112" t="s">
        <v>1504</v>
      </c>
      <c r="D71" s="1499">
        <v>4.0554386076106264</v>
      </c>
      <c r="E71" s="1499">
        <v>3.7621435389826638</v>
      </c>
      <c r="F71" s="1499">
        <v>2.4562170194063038</v>
      </c>
      <c r="G71" s="1499">
        <v>2.393653336578597</v>
      </c>
      <c r="H71" s="1499">
        <v>2.3466983147982283</v>
      </c>
      <c r="I71" s="1499">
        <v>3.2590775772466882</v>
      </c>
      <c r="J71" s="1499">
        <v>2.9844296563968662</v>
      </c>
      <c r="K71" s="113">
        <v>1.9551724951245346</v>
      </c>
    </row>
    <row r="72" spans="2:11" x14ac:dyDescent="0.3">
      <c r="B72" s="115"/>
      <c r="C72" s="112" t="s">
        <v>1508</v>
      </c>
      <c r="D72" s="1499">
        <v>4.023226316571237</v>
      </c>
      <c r="E72" s="1499">
        <v>3.7299312479432749</v>
      </c>
      <c r="F72" s="1499">
        <v>2.4240047283669144</v>
      </c>
      <c r="G72" s="1499">
        <v>2.3614410455392076</v>
      </c>
      <c r="H72" s="1499">
        <v>2.3144860237588389</v>
      </c>
      <c r="I72" s="1499">
        <v>3.2268652862072993</v>
      </c>
      <c r="J72" s="1499">
        <v>2.9522173653574773</v>
      </c>
      <c r="K72" s="113">
        <v>1.9229602040851455</v>
      </c>
    </row>
    <row r="73" spans="2:11" x14ac:dyDescent="0.3">
      <c r="B73" s="115"/>
      <c r="C73" s="112" t="s">
        <v>1513</v>
      </c>
      <c r="D73" s="1499">
        <v>3.9749078800121538</v>
      </c>
      <c r="E73" s="1499">
        <v>3.6816128113841913</v>
      </c>
      <c r="F73" s="1499">
        <v>2.3756862918078312</v>
      </c>
      <c r="G73" s="1499">
        <v>2.3131226089801245</v>
      </c>
      <c r="H73" s="1499">
        <v>2.2661675871997558</v>
      </c>
      <c r="I73" s="1499">
        <v>3.1785468496482161</v>
      </c>
      <c r="J73" s="1499">
        <v>2.9038989287983941</v>
      </c>
      <c r="K73" s="113">
        <v>1.8746417675260618</v>
      </c>
    </row>
    <row r="74" spans="2:11" x14ac:dyDescent="0.3">
      <c r="B74" s="115"/>
      <c r="C74" s="112" t="s">
        <v>1517</v>
      </c>
      <c r="D74" s="1499">
        <v>3.9265894434530701</v>
      </c>
      <c r="E74" s="1499">
        <v>3.6332943748251076</v>
      </c>
      <c r="F74" s="1499">
        <v>2.3273678552487476</v>
      </c>
      <c r="G74" s="1499">
        <v>2.2648041724210408</v>
      </c>
      <c r="H74" s="1499">
        <v>2.2178491506406721</v>
      </c>
      <c r="I74" s="1499">
        <v>3.130228413089132</v>
      </c>
      <c r="J74" s="1499">
        <v>2.85558049223931</v>
      </c>
      <c r="K74" s="113">
        <v>1.8263233309669784</v>
      </c>
    </row>
    <row r="75" spans="2:11" ht="14.5" thickBot="1" x14ac:dyDescent="0.35">
      <c r="B75" s="1233"/>
      <c r="C75" s="116" t="s">
        <v>1519</v>
      </c>
      <c r="D75" s="117">
        <v>4.1196637098448221</v>
      </c>
      <c r="E75" s="117">
        <v>3.8253275544924881</v>
      </c>
      <c r="F75" s="117">
        <v>2.5221928988665132</v>
      </c>
      <c r="G75" s="117">
        <v>2.4608294993517896</v>
      </c>
      <c r="H75" s="117">
        <v>2.4127551463641779</v>
      </c>
      <c r="I75" s="117">
        <v>3.3246567044063138</v>
      </c>
      <c r="J75" s="117">
        <v>3.0506970872484045</v>
      </c>
      <c r="K75" s="118">
        <v>2.0249572558394417</v>
      </c>
    </row>
    <row r="76" spans="2:11" x14ac:dyDescent="0.3">
      <c r="B76" s="119" t="s">
        <v>1983</v>
      </c>
      <c r="C76" s="108" t="s">
        <v>1416</v>
      </c>
      <c r="D76" s="109">
        <v>3.6328956817214153</v>
      </c>
      <c r="E76" s="109">
        <v>3.3393150731415835</v>
      </c>
      <c r="F76" s="109">
        <v>2.0213755381846283</v>
      </c>
      <c r="G76" s="109">
        <v>1.9570813286572852</v>
      </c>
      <c r="H76" s="109">
        <v>1.9141417423021578</v>
      </c>
      <c r="I76" s="109">
        <v>2.8319959816309415</v>
      </c>
      <c r="J76" s="109">
        <v>2.5532528908252328</v>
      </c>
      <c r="K76" s="110">
        <v>1.5154533491190818</v>
      </c>
    </row>
    <row r="77" spans="2:11" x14ac:dyDescent="0.3">
      <c r="B77" s="111"/>
      <c r="C77" s="112" t="s">
        <v>1483</v>
      </c>
      <c r="D77" s="1499">
        <v>3.9486015160339036</v>
      </c>
      <c r="E77" s="1499">
        <v>3.6542653606815696</v>
      </c>
      <c r="F77" s="1499">
        <v>2.3511307050555947</v>
      </c>
      <c r="G77" s="1499">
        <v>2.2897673055408712</v>
      </c>
      <c r="H77" s="1499">
        <v>2.241692952553259</v>
      </c>
      <c r="I77" s="1499">
        <v>3.1535945105953953</v>
      </c>
      <c r="J77" s="1499">
        <v>2.8796348934374865</v>
      </c>
      <c r="K77" s="113">
        <v>1.8538950620285228</v>
      </c>
    </row>
    <row r="78" spans="2:11" x14ac:dyDescent="0.3">
      <c r="B78" s="111" t="s">
        <v>1982</v>
      </c>
      <c r="C78" s="112" t="s">
        <v>1489</v>
      </c>
      <c r="D78" s="1499">
        <v>3.9103149813011426</v>
      </c>
      <c r="E78" s="1499">
        <v>3.6159788259488086</v>
      </c>
      <c r="F78" s="1499">
        <v>2.3128441703228337</v>
      </c>
      <c r="G78" s="1499">
        <v>2.2514807708081102</v>
      </c>
      <c r="H78" s="1499">
        <v>2.203406417820498</v>
      </c>
      <c r="I78" s="1499">
        <v>3.1153079758626343</v>
      </c>
      <c r="J78" s="1499">
        <v>2.841348358704725</v>
      </c>
      <c r="K78" s="113">
        <v>1.8156085272957618</v>
      </c>
    </row>
    <row r="79" spans="2:11" x14ac:dyDescent="0.3">
      <c r="B79" s="114">
        <v>0</v>
      </c>
      <c r="C79" s="112" t="s">
        <v>1496</v>
      </c>
      <c r="D79" s="1499">
        <v>3.8528851792020009</v>
      </c>
      <c r="E79" s="1499">
        <v>3.5585490238496673</v>
      </c>
      <c r="F79" s="1499">
        <v>2.2554143682236925</v>
      </c>
      <c r="G79" s="1499">
        <v>2.1940509687089684</v>
      </c>
      <c r="H79" s="1499">
        <v>2.1459766157213567</v>
      </c>
      <c r="I79" s="1499">
        <v>3.057878173763493</v>
      </c>
      <c r="J79" s="1499">
        <v>2.7839185566055837</v>
      </c>
      <c r="K79" s="113">
        <v>1.7581787251966206</v>
      </c>
    </row>
    <row r="80" spans="2:11" x14ac:dyDescent="0.3">
      <c r="B80" s="115"/>
      <c r="C80" s="112" t="s">
        <v>1500</v>
      </c>
      <c r="D80" s="1499">
        <v>3.7954553771028596</v>
      </c>
      <c r="E80" s="1499">
        <v>3.501119221750526</v>
      </c>
      <c r="F80" s="1499">
        <v>2.1979845661245512</v>
      </c>
      <c r="G80" s="1499">
        <v>2.1366211666098276</v>
      </c>
      <c r="H80" s="1499">
        <v>2.0885468136222154</v>
      </c>
      <c r="I80" s="1499">
        <v>3.0004483716643513</v>
      </c>
      <c r="J80" s="1499">
        <v>2.7264887545064425</v>
      </c>
      <c r="K80" s="113">
        <v>1.7007489230974795</v>
      </c>
    </row>
    <row r="81" spans="2:11" x14ac:dyDescent="0.3">
      <c r="B81" s="115"/>
      <c r="C81" s="112" t="s">
        <v>1504</v>
      </c>
      <c r="D81" s="1499">
        <v>3.8843764137997079</v>
      </c>
      <c r="E81" s="1499">
        <v>3.5910813451717454</v>
      </c>
      <c r="F81" s="1499">
        <v>2.2851548255953849</v>
      </c>
      <c r="G81" s="1499">
        <v>2.2225911427676781</v>
      </c>
      <c r="H81" s="1499">
        <v>2.1756361209873094</v>
      </c>
      <c r="I81" s="1499">
        <v>3.0880153834357702</v>
      </c>
      <c r="J81" s="1499">
        <v>2.8133674625859482</v>
      </c>
      <c r="K81" s="113">
        <v>1.7841103013136159</v>
      </c>
    </row>
    <row r="82" spans="2:11" x14ac:dyDescent="0.3">
      <c r="B82" s="115"/>
      <c r="C82" s="112" t="s">
        <v>1508</v>
      </c>
      <c r="D82" s="1499">
        <v>3.8521641227603185</v>
      </c>
      <c r="E82" s="1499">
        <v>3.558869054132356</v>
      </c>
      <c r="F82" s="1499">
        <v>2.2529425345559955</v>
      </c>
      <c r="G82" s="1499">
        <v>2.1903788517282887</v>
      </c>
      <c r="H82" s="1499">
        <v>2.1434238299479205</v>
      </c>
      <c r="I82" s="1499">
        <v>3.0558030923963808</v>
      </c>
      <c r="J82" s="1499">
        <v>2.7811551715465588</v>
      </c>
      <c r="K82" s="113">
        <v>1.751898010274227</v>
      </c>
    </row>
    <row r="83" spans="2:11" x14ac:dyDescent="0.3">
      <c r="B83" s="115"/>
      <c r="C83" s="112" t="s">
        <v>1513</v>
      </c>
      <c r="D83" s="1499">
        <v>3.8038456862012349</v>
      </c>
      <c r="E83" s="1499">
        <v>3.5105506175732728</v>
      </c>
      <c r="F83" s="1499">
        <v>2.2046240979969123</v>
      </c>
      <c r="G83" s="1499">
        <v>2.1420604151692055</v>
      </c>
      <c r="H83" s="1499">
        <v>2.0951053933888368</v>
      </c>
      <c r="I83" s="1499">
        <v>3.0074846558372972</v>
      </c>
      <c r="J83" s="1499">
        <v>2.7328367349874751</v>
      </c>
      <c r="K83" s="113">
        <v>1.7035795737151433</v>
      </c>
    </row>
    <row r="84" spans="2:11" x14ac:dyDescent="0.3">
      <c r="B84" s="115"/>
      <c r="C84" s="112" t="s">
        <v>1517</v>
      </c>
      <c r="D84" s="1499">
        <v>3.7555272496421512</v>
      </c>
      <c r="E84" s="1499">
        <v>3.4622321810141887</v>
      </c>
      <c r="F84" s="1499">
        <v>2.1563056614378286</v>
      </c>
      <c r="G84" s="1499">
        <v>2.0937419786101219</v>
      </c>
      <c r="H84" s="1499">
        <v>2.0467869568297532</v>
      </c>
      <c r="I84" s="1499">
        <v>2.9591662192782135</v>
      </c>
      <c r="J84" s="1499">
        <v>2.6845182984283915</v>
      </c>
      <c r="K84" s="113">
        <v>1.6552611371560597</v>
      </c>
    </row>
    <row r="85" spans="2:11" ht="14.5" thickBot="1" x14ac:dyDescent="0.35">
      <c r="B85" s="1233"/>
      <c r="C85" s="116" t="s">
        <v>1519</v>
      </c>
      <c r="D85" s="117">
        <v>3.9486015160339036</v>
      </c>
      <c r="E85" s="117">
        <v>3.6542653606815696</v>
      </c>
      <c r="F85" s="117">
        <v>2.3511307050555947</v>
      </c>
      <c r="G85" s="117">
        <v>2.2897673055408712</v>
      </c>
      <c r="H85" s="117">
        <v>2.241692952553259</v>
      </c>
      <c r="I85" s="117">
        <v>3.1535945105953953</v>
      </c>
      <c r="J85" s="117">
        <v>2.8796348934374865</v>
      </c>
      <c r="K85" s="118">
        <v>1.8538950620285228</v>
      </c>
    </row>
    <row r="87" spans="2:11" ht="14.5" thickBot="1" x14ac:dyDescent="0.35"/>
    <row r="88" spans="2:11" ht="25.5" thickBot="1" x14ac:dyDescent="0.55000000000000004">
      <c r="B88" s="88" t="s">
        <v>1960</v>
      </c>
      <c r="C88" s="89"/>
      <c r="D88" s="90">
        <v>7</v>
      </c>
      <c r="E88" s="91" t="s">
        <v>1984</v>
      </c>
      <c r="F88" s="92"/>
      <c r="G88" s="92"/>
      <c r="H88" s="92"/>
      <c r="I88" s="93"/>
      <c r="J88" s="89" t="s">
        <v>176</v>
      </c>
      <c r="K88" s="94" t="s">
        <v>241</v>
      </c>
    </row>
    <row r="89" spans="2:11" ht="14.5" thickBot="1" x14ac:dyDescent="0.35">
      <c r="B89" s="95" t="s">
        <v>1962</v>
      </c>
      <c r="C89" s="96" t="s">
        <v>1963</v>
      </c>
      <c r="D89" s="95" t="s">
        <v>1964</v>
      </c>
      <c r="E89" s="97" t="s">
        <v>1965</v>
      </c>
      <c r="F89" s="97" t="s">
        <v>1966</v>
      </c>
      <c r="G89" s="97" t="s">
        <v>1967</v>
      </c>
      <c r="H89" s="97" t="s">
        <v>1968</v>
      </c>
      <c r="I89" s="97" t="s">
        <v>1969</v>
      </c>
      <c r="J89" s="97" t="s">
        <v>1970</v>
      </c>
      <c r="K89" s="98" t="s">
        <v>1971</v>
      </c>
    </row>
    <row r="90" spans="2:11" ht="14.5" thickBot="1" x14ac:dyDescent="0.35">
      <c r="B90" s="99"/>
      <c r="C90" s="99"/>
      <c r="D90" s="100"/>
      <c r="E90" s="944"/>
      <c r="F90" s="944"/>
      <c r="G90" s="944"/>
      <c r="H90" s="944"/>
      <c r="I90" s="944"/>
      <c r="J90" s="944"/>
      <c r="K90" s="102"/>
    </row>
    <row r="91" spans="2:11" ht="90.5" thickBot="1" x14ac:dyDescent="0.45">
      <c r="B91" s="103" t="s">
        <v>1972</v>
      </c>
      <c r="C91" s="103" t="s">
        <v>1973</v>
      </c>
      <c r="D91" s="105" t="s">
        <v>1974</v>
      </c>
      <c r="E91" s="105" t="s">
        <v>1525</v>
      </c>
      <c r="F91" s="105" t="s">
        <v>1527</v>
      </c>
      <c r="G91" s="105" t="s">
        <v>1975</v>
      </c>
      <c r="H91" s="105" t="s">
        <v>1976</v>
      </c>
      <c r="I91" s="105" t="s">
        <v>1445</v>
      </c>
      <c r="J91" s="105" t="s">
        <v>1538</v>
      </c>
      <c r="K91" s="106" t="s">
        <v>1541</v>
      </c>
    </row>
    <row r="92" spans="2:11" x14ac:dyDescent="0.3">
      <c r="B92" s="107" t="s">
        <v>1985</v>
      </c>
      <c r="C92" s="108" t="s">
        <v>1416</v>
      </c>
      <c r="D92" s="109">
        <v>3.4970397483270403</v>
      </c>
      <c r="E92" s="109">
        <v>3.0965368208683612</v>
      </c>
      <c r="F92" s="109">
        <v>1.9058139411252553</v>
      </c>
      <c r="G92" s="109">
        <v>1.7950493096681488</v>
      </c>
      <c r="H92" s="109">
        <v>1.8043536476331201</v>
      </c>
      <c r="I92" s="109">
        <v>2.6006445941645486</v>
      </c>
      <c r="J92" s="109">
        <v>2.3421840255619726</v>
      </c>
      <c r="K92" s="110">
        <v>1.3945366129073049</v>
      </c>
    </row>
    <row r="93" spans="2:11" x14ac:dyDescent="0.3">
      <c r="B93" s="111"/>
      <c r="C93" s="112" t="s">
        <v>1483</v>
      </c>
      <c r="D93" s="1499">
        <v>3.8091950574014524</v>
      </c>
      <c r="E93" s="1499">
        <v>3.4088283589137358</v>
      </c>
      <c r="F93" s="1499">
        <v>2.2205451835150263</v>
      </c>
      <c r="G93" s="1499">
        <v>2.1175594858098141</v>
      </c>
      <c r="H93" s="1499">
        <v>2.1199701460030838</v>
      </c>
      <c r="I93" s="1499">
        <v>2.9181281072577652</v>
      </c>
      <c r="J93" s="1499">
        <v>2.6650075349071507</v>
      </c>
      <c r="K93" s="113">
        <v>1.7240676365251837</v>
      </c>
    </row>
    <row r="94" spans="2:11" x14ac:dyDescent="0.3">
      <c r="B94" s="111" t="s">
        <v>1986</v>
      </c>
      <c r="C94" s="112" t="s">
        <v>1489</v>
      </c>
      <c r="D94" s="1499">
        <v>3.7709085226686918</v>
      </c>
      <c r="E94" s="1499">
        <v>3.3705418241809753</v>
      </c>
      <c r="F94" s="1499">
        <v>2.1822586487822653</v>
      </c>
      <c r="G94" s="1499">
        <v>2.0792729510770536</v>
      </c>
      <c r="H94" s="1499">
        <v>2.0816836112703228</v>
      </c>
      <c r="I94" s="1499">
        <v>2.8798415725250046</v>
      </c>
      <c r="J94" s="1499">
        <v>2.6267210001743897</v>
      </c>
      <c r="K94" s="113">
        <v>1.6857811017924231</v>
      </c>
    </row>
    <row r="95" spans="2:11" x14ac:dyDescent="0.3">
      <c r="B95" s="114">
        <v>0</v>
      </c>
      <c r="C95" s="112" t="s">
        <v>1496</v>
      </c>
      <c r="D95" s="1499">
        <v>3.7134787205695505</v>
      </c>
      <c r="E95" s="1499">
        <v>3.313112022081834</v>
      </c>
      <c r="F95" s="1499">
        <v>2.124828846683124</v>
      </c>
      <c r="G95" s="1499">
        <v>2.0218431489779123</v>
      </c>
      <c r="H95" s="1499">
        <v>2.0242538091711815</v>
      </c>
      <c r="I95" s="1499">
        <v>2.8224117704258633</v>
      </c>
      <c r="J95" s="1499">
        <v>2.5692911980752484</v>
      </c>
      <c r="K95" s="113">
        <v>1.6283512996932819</v>
      </c>
    </row>
    <row r="96" spans="2:11" x14ac:dyDescent="0.3">
      <c r="B96" s="115"/>
      <c r="C96" s="112" t="s">
        <v>1500</v>
      </c>
      <c r="D96" s="1499">
        <v>3.6560489184704092</v>
      </c>
      <c r="E96" s="1499">
        <v>3.2556822199826927</v>
      </c>
      <c r="F96" s="1499">
        <v>2.0673990445839827</v>
      </c>
      <c r="G96" s="1499">
        <v>1.9644133468787708</v>
      </c>
      <c r="H96" s="1499">
        <v>1.9668240070720402</v>
      </c>
      <c r="I96" s="1499">
        <v>2.7649819683267216</v>
      </c>
      <c r="J96" s="1499">
        <v>2.5118613959761071</v>
      </c>
      <c r="K96" s="113">
        <v>1.5709214975941403</v>
      </c>
    </row>
    <row r="97" spans="2:11" x14ac:dyDescent="0.3">
      <c r="B97" s="115"/>
      <c r="C97" s="112" t="s">
        <v>1504</v>
      </c>
      <c r="D97" s="1499">
        <v>3.7466558407925872</v>
      </c>
      <c r="E97" s="1499">
        <v>3.3454835196894188</v>
      </c>
      <c r="F97" s="1499">
        <v>2.1565756359260813</v>
      </c>
      <c r="G97" s="1499">
        <v>2.0528615811912445</v>
      </c>
      <c r="H97" s="1499">
        <v>2.056745347756376</v>
      </c>
      <c r="I97" s="1499">
        <v>2.8530527942807504</v>
      </c>
      <c r="J97" s="1499">
        <v>2.5998953326341492</v>
      </c>
      <c r="K97" s="113">
        <v>1.6553524997022067</v>
      </c>
    </row>
    <row r="98" spans="2:11" x14ac:dyDescent="0.3">
      <c r="B98" s="115"/>
      <c r="C98" s="112" t="s">
        <v>1508</v>
      </c>
      <c r="D98" s="1499">
        <v>3.7144435497531982</v>
      </c>
      <c r="E98" s="1499">
        <v>3.3132712286500299</v>
      </c>
      <c r="F98" s="1499">
        <v>2.1243633448866923</v>
      </c>
      <c r="G98" s="1499">
        <v>2.0206492901518556</v>
      </c>
      <c r="H98" s="1499">
        <v>2.024533056716987</v>
      </c>
      <c r="I98" s="1499">
        <v>2.8208405032413615</v>
      </c>
      <c r="J98" s="1499">
        <v>2.5676830415947598</v>
      </c>
      <c r="K98" s="113">
        <v>1.6231402086628179</v>
      </c>
    </row>
    <row r="99" spans="2:11" x14ac:dyDescent="0.3">
      <c r="B99" s="115"/>
      <c r="C99" s="112" t="s">
        <v>1513</v>
      </c>
      <c r="D99" s="1499">
        <v>3.666125113194115</v>
      </c>
      <c r="E99" s="1499">
        <v>3.2649527920909467</v>
      </c>
      <c r="F99" s="1499">
        <v>2.0760449083276087</v>
      </c>
      <c r="G99" s="1499">
        <v>1.9723308535927719</v>
      </c>
      <c r="H99" s="1499">
        <v>1.9762146201579034</v>
      </c>
      <c r="I99" s="1499">
        <v>2.7725220666822774</v>
      </c>
      <c r="J99" s="1499">
        <v>2.5193646050356762</v>
      </c>
      <c r="K99" s="113">
        <v>1.5748217721037343</v>
      </c>
    </row>
    <row r="100" spans="2:11" x14ac:dyDescent="0.3">
      <c r="B100" s="115"/>
      <c r="C100" s="112" t="s">
        <v>1517</v>
      </c>
      <c r="D100" s="1499">
        <v>3.617806676635031</v>
      </c>
      <c r="E100" s="1499">
        <v>3.2166343555318626</v>
      </c>
      <c r="F100" s="1499">
        <v>2.0277264717685251</v>
      </c>
      <c r="G100" s="1499">
        <v>1.9240124170336883</v>
      </c>
      <c r="H100" s="1499">
        <v>1.9278961835988198</v>
      </c>
      <c r="I100" s="1499">
        <v>2.7242036301231942</v>
      </c>
      <c r="J100" s="1499">
        <v>2.4710461684765925</v>
      </c>
      <c r="K100" s="113">
        <v>1.5265033355446507</v>
      </c>
    </row>
    <row r="101" spans="2:11" ht="14.5" thickBot="1" x14ac:dyDescent="0.35">
      <c r="B101" s="115"/>
      <c r="C101" s="116" t="s">
        <v>1519</v>
      </c>
      <c r="D101" s="117">
        <v>3.8091950574014524</v>
      </c>
      <c r="E101" s="117">
        <v>3.4088283589137358</v>
      </c>
      <c r="F101" s="117">
        <v>2.2205451835150263</v>
      </c>
      <c r="G101" s="117">
        <v>2.1175594858098141</v>
      </c>
      <c r="H101" s="117">
        <v>2.1199701460030838</v>
      </c>
      <c r="I101" s="117">
        <v>2.9181281072577652</v>
      </c>
      <c r="J101" s="117">
        <v>2.6650075349071507</v>
      </c>
      <c r="K101" s="118">
        <v>1.7240676365251837</v>
      </c>
    </row>
    <row r="102" spans="2:11" x14ac:dyDescent="0.3">
      <c r="B102" s="120" t="s">
        <v>1985</v>
      </c>
      <c r="C102" s="1234" t="s">
        <v>1416</v>
      </c>
      <c r="D102" s="109">
        <v>3.3955711781025411</v>
      </c>
      <c r="E102" s="109">
        <v>2.995068250643862</v>
      </c>
      <c r="F102" s="109">
        <v>1.804345370900756</v>
      </c>
      <c r="G102" s="109">
        <v>1.6935807394436495</v>
      </c>
      <c r="H102" s="109">
        <v>1.7028850774086208</v>
      </c>
      <c r="I102" s="109">
        <v>2.4991760239400493</v>
      </c>
      <c r="J102" s="109">
        <v>2.2407154553374737</v>
      </c>
      <c r="K102" s="110">
        <v>1.2930680426828056</v>
      </c>
    </row>
    <row r="103" spans="2:11" x14ac:dyDescent="0.3">
      <c r="B103" s="121"/>
      <c r="C103" s="1500" t="s">
        <v>1483</v>
      </c>
      <c r="D103" s="1499">
        <v>3.7077264871769531</v>
      </c>
      <c r="E103" s="1499">
        <v>3.3073597886892365</v>
      </c>
      <c r="F103" s="1499">
        <v>2.119076613290527</v>
      </c>
      <c r="G103" s="1499">
        <v>2.0160909155853153</v>
      </c>
      <c r="H103" s="1499">
        <v>2.0185015757785845</v>
      </c>
      <c r="I103" s="1499">
        <v>2.8166595370332659</v>
      </c>
      <c r="J103" s="1499">
        <v>2.5635389646826514</v>
      </c>
      <c r="K103" s="113">
        <v>1.6225990663006848</v>
      </c>
    </row>
    <row r="104" spans="2:11" x14ac:dyDescent="0.3">
      <c r="B104" s="111" t="s">
        <v>1987</v>
      </c>
      <c r="C104" s="1500" t="s">
        <v>1489</v>
      </c>
      <c r="D104" s="1499">
        <v>3.6694399524441925</v>
      </c>
      <c r="E104" s="1499">
        <v>3.269073253956476</v>
      </c>
      <c r="F104" s="1499">
        <v>2.080790078557766</v>
      </c>
      <c r="G104" s="1499">
        <v>1.9778043808525543</v>
      </c>
      <c r="H104" s="1499">
        <v>1.9802150410458237</v>
      </c>
      <c r="I104" s="1499">
        <v>2.7783730023005053</v>
      </c>
      <c r="J104" s="1499">
        <v>2.5252524299498904</v>
      </c>
      <c r="K104" s="113">
        <v>1.5843125315679238</v>
      </c>
    </row>
    <row r="105" spans="2:11" x14ac:dyDescent="0.3">
      <c r="B105" s="122">
        <v>0</v>
      </c>
      <c r="C105" s="1500" t="s">
        <v>1496</v>
      </c>
      <c r="D105" s="1499">
        <v>3.6120101503450512</v>
      </c>
      <c r="E105" s="1499">
        <v>3.2116434518573347</v>
      </c>
      <c r="F105" s="1499">
        <v>2.0233602764586247</v>
      </c>
      <c r="G105" s="1499">
        <v>1.920374578753413</v>
      </c>
      <c r="H105" s="1499">
        <v>1.9227852389466824</v>
      </c>
      <c r="I105" s="1499">
        <v>2.720943200201364</v>
      </c>
      <c r="J105" s="1499">
        <v>2.4678226278507491</v>
      </c>
      <c r="K105" s="113">
        <v>1.5268827294687826</v>
      </c>
    </row>
    <row r="106" spans="2:11" x14ac:dyDescent="0.3">
      <c r="B106" s="123"/>
      <c r="C106" s="1500" t="s">
        <v>1500</v>
      </c>
      <c r="D106" s="1499">
        <v>3.55458034824591</v>
      </c>
      <c r="E106" s="1499">
        <v>3.1542136497581934</v>
      </c>
      <c r="F106" s="1499">
        <v>1.9659304743594834</v>
      </c>
      <c r="G106" s="1499">
        <v>1.8629447766542717</v>
      </c>
      <c r="H106" s="1499">
        <v>1.8653554368475409</v>
      </c>
      <c r="I106" s="1499">
        <v>2.6635133981022223</v>
      </c>
      <c r="J106" s="1499">
        <v>2.4103928257516078</v>
      </c>
      <c r="K106" s="113">
        <v>1.4694529273696411</v>
      </c>
    </row>
    <row r="107" spans="2:11" x14ac:dyDescent="0.3">
      <c r="B107" s="123"/>
      <c r="C107" s="1500" t="s">
        <v>1504</v>
      </c>
      <c r="D107" s="1499">
        <v>3.6451872705680879</v>
      </c>
      <c r="E107" s="1499">
        <v>3.2440149494649195</v>
      </c>
      <c r="F107" s="1499">
        <v>2.055107065701582</v>
      </c>
      <c r="G107" s="1499">
        <v>1.9513930109667452</v>
      </c>
      <c r="H107" s="1499">
        <v>1.9552767775318767</v>
      </c>
      <c r="I107" s="1499">
        <v>2.7515842240562511</v>
      </c>
      <c r="J107" s="1499">
        <v>2.4984267624096499</v>
      </c>
      <c r="K107" s="113">
        <v>1.5538839294777076</v>
      </c>
    </row>
    <row r="108" spans="2:11" x14ac:dyDescent="0.3">
      <c r="B108" s="123"/>
      <c r="C108" s="1500" t="s">
        <v>1508</v>
      </c>
      <c r="D108" s="1499">
        <v>3.6129749795286989</v>
      </c>
      <c r="E108" s="1499">
        <v>3.2118026584255306</v>
      </c>
      <c r="F108" s="1499">
        <v>2.022894774662193</v>
      </c>
      <c r="G108" s="1499">
        <v>1.9191807199273563</v>
      </c>
      <c r="H108" s="1499">
        <v>1.9230644864924877</v>
      </c>
      <c r="I108" s="1499">
        <v>2.7193719330168622</v>
      </c>
      <c r="J108" s="1499">
        <v>2.4662144713702605</v>
      </c>
      <c r="K108" s="113">
        <v>1.5216716384383187</v>
      </c>
    </row>
    <row r="109" spans="2:11" x14ac:dyDescent="0.3">
      <c r="B109" s="123"/>
      <c r="C109" s="1500" t="s">
        <v>1513</v>
      </c>
      <c r="D109" s="1499">
        <v>3.5646565429696158</v>
      </c>
      <c r="E109" s="1499">
        <v>3.1634842218664474</v>
      </c>
      <c r="F109" s="1499">
        <v>1.9745763381031096</v>
      </c>
      <c r="G109" s="1499">
        <v>1.8708622833682726</v>
      </c>
      <c r="H109" s="1499">
        <v>1.8747460499334041</v>
      </c>
      <c r="I109" s="1499">
        <v>2.6710534964577786</v>
      </c>
      <c r="J109" s="1499">
        <v>2.4178960348111769</v>
      </c>
      <c r="K109" s="113">
        <v>1.473353201879235</v>
      </c>
    </row>
    <row r="110" spans="2:11" x14ac:dyDescent="0.3">
      <c r="B110" s="123"/>
      <c r="C110" s="1500" t="s">
        <v>1517</v>
      </c>
      <c r="D110" s="1499">
        <v>3.5163381064105317</v>
      </c>
      <c r="E110" s="1499">
        <v>3.1151657853073633</v>
      </c>
      <c r="F110" s="1499">
        <v>1.9262579015440262</v>
      </c>
      <c r="G110" s="1499">
        <v>1.8225438468091895</v>
      </c>
      <c r="H110" s="1499">
        <v>1.8264276133743209</v>
      </c>
      <c r="I110" s="1499">
        <v>2.6227350598986949</v>
      </c>
      <c r="J110" s="1499">
        <v>2.3695775982520937</v>
      </c>
      <c r="K110" s="113">
        <v>1.4250347653201516</v>
      </c>
    </row>
    <row r="111" spans="2:11" ht="14.5" thickBot="1" x14ac:dyDescent="0.35">
      <c r="B111" s="124"/>
      <c r="C111" s="125" t="s">
        <v>1519</v>
      </c>
      <c r="D111" s="117">
        <v>3.7077264871769531</v>
      </c>
      <c r="E111" s="117">
        <v>3.3073597886892365</v>
      </c>
      <c r="F111" s="117">
        <v>2.119076613290527</v>
      </c>
      <c r="G111" s="117">
        <v>2.0160909155853153</v>
      </c>
      <c r="H111" s="117">
        <v>2.0185015757785845</v>
      </c>
      <c r="I111" s="117">
        <v>2.8166595370332659</v>
      </c>
      <c r="J111" s="117">
        <v>2.5635389646826514</v>
      </c>
      <c r="K111" s="118">
        <v>1.6225990663006848</v>
      </c>
    </row>
    <row r="112" spans="2:11" x14ac:dyDescent="0.3">
      <c r="B112" s="119" t="s">
        <v>1985</v>
      </c>
      <c r="C112" s="108" t="s">
        <v>1416</v>
      </c>
      <c r="D112" s="109">
        <v>3.2433683227657921</v>
      </c>
      <c r="E112" s="109">
        <v>2.8428653953071135</v>
      </c>
      <c r="F112" s="109">
        <v>1.6521425155640075</v>
      </c>
      <c r="G112" s="109">
        <v>1.5413778841069008</v>
      </c>
      <c r="H112" s="109">
        <v>1.5506822220718719</v>
      </c>
      <c r="I112" s="109">
        <v>2.3469731686033009</v>
      </c>
      <c r="J112" s="109">
        <v>2.0885126000007248</v>
      </c>
      <c r="K112" s="110">
        <v>1.1408651873460569</v>
      </c>
    </row>
    <row r="113" spans="2:11" x14ac:dyDescent="0.3">
      <c r="B113" s="111"/>
      <c r="C113" s="112" t="s">
        <v>1483</v>
      </c>
      <c r="D113" s="1499">
        <v>3.5555236318402046</v>
      </c>
      <c r="E113" s="1499">
        <v>3.155156933352488</v>
      </c>
      <c r="F113" s="1499">
        <v>1.9668737579537783</v>
      </c>
      <c r="G113" s="1499">
        <v>1.8638880602485663</v>
      </c>
      <c r="H113" s="1499">
        <v>1.8662987204418358</v>
      </c>
      <c r="I113" s="1499">
        <v>2.6644566816965174</v>
      </c>
      <c r="J113" s="1499">
        <v>2.4113361093459025</v>
      </c>
      <c r="K113" s="113">
        <v>1.4703962109639359</v>
      </c>
    </row>
    <row r="114" spans="2:11" ht="14.5" thickBot="1" x14ac:dyDescent="0.35">
      <c r="B114" s="111" t="s">
        <v>1988</v>
      </c>
      <c r="C114" s="112" t="s">
        <v>1489</v>
      </c>
      <c r="D114" s="1499">
        <v>3.517237097107444</v>
      </c>
      <c r="E114" s="1499">
        <v>3.1168703986197275</v>
      </c>
      <c r="F114" s="1501">
        <v>1.9285872232210175</v>
      </c>
      <c r="G114" s="1499">
        <v>1.8256015255158053</v>
      </c>
      <c r="H114" s="1499">
        <v>1.8280121857090748</v>
      </c>
      <c r="I114" s="1499">
        <v>2.6261701469637564</v>
      </c>
      <c r="J114" s="1499">
        <v>2.3730495746131419</v>
      </c>
      <c r="K114" s="113">
        <v>1.4321096762311749</v>
      </c>
    </row>
    <row r="115" spans="2:11" ht="14.5" thickBot="1" x14ac:dyDescent="0.35">
      <c r="B115" s="114">
        <v>0</v>
      </c>
      <c r="C115" s="112" t="s">
        <v>1496</v>
      </c>
      <c r="D115" s="1499">
        <v>3.4598072950083023</v>
      </c>
      <c r="E115" s="1502">
        <v>3.0594405965205862</v>
      </c>
      <c r="F115" s="126">
        <v>1.8711574211218762</v>
      </c>
      <c r="G115" s="1503">
        <v>1.7681717234166643</v>
      </c>
      <c r="H115" s="1499">
        <v>1.7705823836099337</v>
      </c>
      <c r="I115" s="1499">
        <v>2.5687403448646151</v>
      </c>
      <c r="J115" s="1499">
        <v>2.3156197725140006</v>
      </c>
      <c r="K115" s="113">
        <v>1.3746798741320339</v>
      </c>
    </row>
    <row r="116" spans="2:11" x14ac:dyDescent="0.3">
      <c r="B116" s="115"/>
      <c r="C116" s="112" t="s">
        <v>1500</v>
      </c>
      <c r="D116" s="1499">
        <v>3.402377492909161</v>
      </c>
      <c r="E116" s="1499">
        <v>3.0020107944214445</v>
      </c>
      <c r="F116" s="127">
        <v>1.8137276190227347</v>
      </c>
      <c r="G116" s="1499">
        <v>1.710741921317523</v>
      </c>
      <c r="H116" s="1499">
        <v>1.7131525815107924</v>
      </c>
      <c r="I116" s="1499">
        <v>2.5113105427654738</v>
      </c>
      <c r="J116" s="1499">
        <v>2.2581899704148594</v>
      </c>
      <c r="K116" s="113">
        <v>1.3172500720328926</v>
      </c>
    </row>
    <row r="117" spans="2:11" x14ac:dyDescent="0.3">
      <c r="B117" s="115"/>
      <c r="C117" s="112" t="s">
        <v>1504</v>
      </c>
      <c r="D117" s="1499">
        <v>3.4929844152313394</v>
      </c>
      <c r="E117" s="1499">
        <v>3.091812094128171</v>
      </c>
      <c r="F117" s="1499">
        <v>1.9029042103648335</v>
      </c>
      <c r="G117" s="1499">
        <v>1.7991901556299967</v>
      </c>
      <c r="H117" s="1499">
        <v>1.8030739221951282</v>
      </c>
      <c r="I117" s="1499">
        <v>2.5993813687195026</v>
      </c>
      <c r="J117" s="1499">
        <v>2.346223907072901</v>
      </c>
      <c r="K117" s="113">
        <v>1.4016810741409589</v>
      </c>
    </row>
    <row r="118" spans="2:11" x14ac:dyDescent="0.3">
      <c r="B118" s="115"/>
      <c r="C118" s="112" t="s">
        <v>1508</v>
      </c>
      <c r="D118" s="1499">
        <v>3.4607721241919505</v>
      </c>
      <c r="E118" s="1499">
        <v>3.0595998030887821</v>
      </c>
      <c r="F118" s="1499">
        <v>1.8706919193254445</v>
      </c>
      <c r="G118" s="1499">
        <v>1.7669778645906076</v>
      </c>
      <c r="H118" s="1499">
        <v>1.7708616311557392</v>
      </c>
      <c r="I118" s="1499">
        <v>2.5671690776801137</v>
      </c>
      <c r="J118" s="1499">
        <v>2.314011616033512</v>
      </c>
      <c r="K118" s="113">
        <v>1.3694687831015699</v>
      </c>
    </row>
    <row r="119" spans="2:11" x14ac:dyDescent="0.3">
      <c r="B119" s="115"/>
      <c r="C119" s="112" t="s">
        <v>1513</v>
      </c>
      <c r="D119" s="1499">
        <v>3.4124536876328664</v>
      </c>
      <c r="E119" s="1499">
        <v>3.011281366529698</v>
      </c>
      <c r="F119" s="1499">
        <v>1.8223734827663609</v>
      </c>
      <c r="G119" s="1499">
        <v>1.7186594280315242</v>
      </c>
      <c r="H119" s="1499">
        <v>1.7225431945966556</v>
      </c>
      <c r="I119" s="1499">
        <v>2.5188506411210296</v>
      </c>
      <c r="J119" s="1499">
        <v>2.2656931794744284</v>
      </c>
      <c r="K119" s="113">
        <v>1.3211503465424863</v>
      </c>
    </row>
    <row r="120" spans="2:11" x14ac:dyDescent="0.3">
      <c r="B120" s="115"/>
      <c r="C120" s="112" t="s">
        <v>1517</v>
      </c>
      <c r="D120" s="1499">
        <v>3.3641352510737832</v>
      </c>
      <c r="E120" s="1499">
        <v>2.9629629299706148</v>
      </c>
      <c r="F120" s="1499">
        <v>1.7740550462072773</v>
      </c>
      <c r="G120" s="1499">
        <v>1.6703409914724405</v>
      </c>
      <c r="H120" s="1499">
        <v>1.674224758037572</v>
      </c>
      <c r="I120" s="1499">
        <v>2.4705322045619464</v>
      </c>
      <c r="J120" s="1499">
        <v>2.2173747429153448</v>
      </c>
      <c r="K120" s="113">
        <v>1.2728319099834027</v>
      </c>
    </row>
    <row r="121" spans="2:11" ht="14.5" thickBot="1" x14ac:dyDescent="0.35">
      <c r="B121" s="1233"/>
      <c r="C121" s="116" t="s">
        <v>1519</v>
      </c>
      <c r="D121" s="117">
        <v>3.5555236318402046</v>
      </c>
      <c r="E121" s="117">
        <v>3.155156933352488</v>
      </c>
      <c r="F121" s="117">
        <v>1.9668737579537783</v>
      </c>
      <c r="G121" s="117">
        <v>1.8638880602485663</v>
      </c>
      <c r="H121" s="117">
        <v>1.8662987204418358</v>
      </c>
      <c r="I121" s="117">
        <v>2.6644566816965174</v>
      </c>
      <c r="J121" s="117">
        <v>2.4113361093459025</v>
      </c>
      <c r="K121" s="118">
        <v>1.4703962109639359</v>
      </c>
    </row>
    <row r="122" spans="2:11" x14ac:dyDescent="0.3">
      <c r="B122" s="107" t="s">
        <v>1985</v>
      </c>
      <c r="C122" s="108" t="s">
        <v>1416</v>
      </c>
      <c r="D122" s="109">
        <v>3.0911654674290432</v>
      </c>
      <c r="E122" s="109">
        <v>2.690662539970365</v>
      </c>
      <c r="F122" s="109">
        <v>1.4999396602272586</v>
      </c>
      <c r="G122" s="109">
        <v>1.3891750287701519</v>
      </c>
      <c r="H122" s="109">
        <v>1.3984793667351232</v>
      </c>
      <c r="I122" s="109">
        <v>2.1947703132665519</v>
      </c>
      <c r="J122" s="109">
        <v>1.9363097446639761</v>
      </c>
      <c r="K122" s="110">
        <v>0.9886623320093082</v>
      </c>
    </row>
    <row r="123" spans="2:11" x14ac:dyDescent="0.3">
      <c r="B123" s="111"/>
      <c r="C123" s="112" t="s">
        <v>1483</v>
      </c>
      <c r="D123" s="1499">
        <v>3.4033207765034561</v>
      </c>
      <c r="E123" s="1499">
        <v>3.0029540780157395</v>
      </c>
      <c r="F123" s="1499">
        <v>1.8146709026170296</v>
      </c>
      <c r="G123" s="1499">
        <v>1.7116852049118176</v>
      </c>
      <c r="H123" s="1499">
        <v>1.714095865105087</v>
      </c>
      <c r="I123" s="1499">
        <v>2.5122538263597685</v>
      </c>
      <c r="J123" s="1499">
        <v>2.259133254009154</v>
      </c>
      <c r="K123" s="113">
        <v>1.3181933556271872</v>
      </c>
    </row>
    <row r="124" spans="2:11" x14ac:dyDescent="0.3">
      <c r="B124" s="111" t="s">
        <v>1989</v>
      </c>
      <c r="C124" s="112" t="s">
        <v>1489</v>
      </c>
      <c r="D124" s="1499">
        <v>3.3650342417706951</v>
      </c>
      <c r="E124" s="1499">
        <v>2.9646675432829785</v>
      </c>
      <c r="F124" s="1499">
        <v>1.7763843678842686</v>
      </c>
      <c r="G124" s="1499">
        <v>1.6733986701790569</v>
      </c>
      <c r="H124" s="1499">
        <v>1.675809330372326</v>
      </c>
      <c r="I124" s="1499">
        <v>2.4739672916270075</v>
      </c>
      <c r="J124" s="1499">
        <v>2.220846719276393</v>
      </c>
      <c r="K124" s="113">
        <v>1.2799068208944262</v>
      </c>
    </row>
    <row r="125" spans="2:11" x14ac:dyDescent="0.3">
      <c r="B125" s="114">
        <v>0</v>
      </c>
      <c r="C125" s="112" t="s">
        <v>1496</v>
      </c>
      <c r="D125" s="1499">
        <v>3.3076044396715538</v>
      </c>
      <c r="E125" s="1499">
        <v>2.9072377411838373</v>
      </c>
      <c r="F125" s="1499">
        <v>1.7189545657851273</v>
      </c>
      <c r="G125" s="1499">
        <v>1.6159688680799154</v>
      </c>
      <c r="H125" s="1499">
        <v>1.6183795282731848</v>
      </c>
      <c r="I125" s="1499">
        <v>2.4165374895278662</v>
      </c>
      <c r="J125" s="1499">
        <v>2.1634169171772517</v>
      </c>
      <c r="K125" s="113">
        <v>1.2224770187952849</v>
      </c>
    </row>
    <row r="126" spans="2:11" x14ac:dyDescent="0.3">
      <c r="B126" s="115"/>
      <c r="C126" s="112" t="s">
        <v>1500</v>
      </c>
      <c r="D126" s="1499">
        <v>3.2501746375724125</v>
      </c>
      <c r="E126" s="1499">
        <v>2.849807939084696</v>
      </c>
      <c r="F126" s="1499">
        <v>1.661524763685986</v>
      </c>
      <c r="G126" s="1499">
        <v>1.5585390659807741</v>
      </c>
      <c r="H126" s="1499">
        <v>1.5609497261740435</v>
      </c>
      <c r="I126" s="1499">
        <v>2.3591076874287249</v>
      </c>
      <c r="J126" s="1499">
        <v>2.1059871150781104</v>
      </c>
      <c r="K126" s="113">
        <v>1.1650472166961436</v>
      </c>
    </row>
    <row r="127" spans="2:11" x14ac:dyDescent="0.3">
      <c r="B127" s="115"/>
      <c r="C127" s="112" t="s">
        <v>1504</v>
      </c>
      <c r="D127" s="1499">
        <v>3.3407815598945909</v>
      </c>
      <c r="E127" s="1499">
        <v>2.9396092387914226</v>
      </c>
      <c r="F127" s="1499">
        <v>1.750701355028085</v>
      </c>
      <c r="G127" s="1499">
        <v>1.6469873002932478</v>
      </c>
      <c r="H127" s="1499">
        <v>1.6508710668583795</v>
      </c>
      <c r="I127" s="1499">
        <v>2.4471785133827537</v>
      </c>
      <c r="J127" s="1499">
        <v>2.194021051736152</v>
      </c>
      <c r="K127" s="113">
        <v>1.2494782188042102</v>
      </c>
    </row>
    <row r="128" spans="2:11" x14ac:dyDescent="0.3">
      <c r="B128" s="115"/>
      <c r="C128" s="112" t="s">
        <v>1508</v>
      </c>
      <c r="D128" s="1499">
        <v>3.3085692688552011</v>
      </c>
      <c r="E128" s="1499">
        <v>2.9073969477520327</v>
      </c>
      <c r="F128" s="1499">
        <v>1.7184890639886958</v>
      </c>
      <c r="G128" s="1499">
        <v>1.6147750092538589</v>
      </c>
      <c r="H128" s="1499">
        <v>1.6186587758189903</v>
      </c>
      <c r="I128" s="1499">
        <v>2.4149662223433648</v>
      </c>
      <c r="J128" s="1499">
        <v>2.1618087606967631</v>
      </c>
      <c r="K128" s="113">
        <v>1.217265927764821</v>
      </c>
    </row>
    <row r="129" spans="2:11" x14ac:dyDescent="0.3">
      <c r="B129" s="115"/>
      <c r="C129" s="112" t="s">
        <v>1513</v>
      </c>
      <c r="D129" s="1499">
        <v>3.2602508322961179</v>
      </c>
      <c r="E129" s="1499">
        <v>2.8590785111929495</v>
      </c>
      <c r="F129" s="1499">
        <v>1.670170627429612</v>
      </c>
      <c r="G129" s="1499">
        <v>1.5664565726947752</v>
      </c>
      <c r="H129" s="1499">
        <v>1.5703403392599067</v>
      </c>
      <c r="I129" s="1499">
        <v>2.3666477857842811</v>
      </c>
      <c r="J129" s="1499">
        <v>2.1134903241376795</v>
      </c>
      <c r="K129" s="113">
        <v>1.1689474912057374</v>
      </c>
    </row>
    <row r="130" spans="2:11" x14ac:dyDescent="0.3">
      <c r="B130" s="115"/>
      <c r="C130" s="112" t="s">
        <v>1517</v>
      </c>
      <c r="D130" s="1499">
        <v>3.2119323957370347</v>
      </c>
      <c r="E130" s="1499">
        <v>2.8107600746338663</v>
      </c>
      <c r="F130" s="1499">
        <v>1.6218521908705288</v>
      </c>
      <c r="G130" s="1499">
        <v>1.5181381361356916</v>
      </c>
      <c r="H130" s="1499">
        <v>1.5220219027008233</v>
      </c>
      <c r="I130" s="1499">
        <v>2.3183293492251975</v>
      </c>
      <c r="J130" s="1499">
        <v>2.0651718875785958</v>
      </c>
      <c r="K130" s="113">
        <v>1.120629054646654</v>
      </c>
    </row>
    <row r="131" spans="2:11" ht="14.5" thickBot="1" x14ac:dyDescent="0.35">
      <c r="B131" s="1233"/>
      <c r="C131" s="116" t="s">
        <v>1519</v>
      </c>
      <c r="D131" s="117">
        <v>3.4033207765034561</v>
      </c>
      <c r="E131" s="117">
        <v>3.0029540780157395</v>
      </c>
      <c r="F131" s="117">
        <v>1.8146709026170296</v>
      </c>
      <c r="G131" s="117">
        <v>1.7116852049118176</v>
      </c>
      <c r="H131" s="117">
        <v>1.714095865105087</v>
      </c>
      <c r="I131" s="117">
        <v>2.5122538263597685</v>
      </c>
      <c r="J131" s="117">
        <v>2.259133254009154</v>
      </c>
      <c r="K131" s="118">
        <v>1.3181933556271872</v>
      </c>
    </row>
    <row r="132" spans="2:11" x14ac:dyDescent="0.3">
      <c r="B132" s="120" t="s">
        <v>1990</v>
      </c>
      <c r="C132" s="108" t="s">
        <v>1416</v>
      </c>
      <c r="D132" s="109">
        <v>3.3232232787021903</v>
      </c>
      <c r="E132" s="109">
        <v>2.9155191573173376</v>
      </c>
      <c r="F132" s="109">
        <v>1.7338451705822666</v>
      </c>
      <c r="G132" s="109">
        <v>1.6175766510166185</v>
      </c>
      <c r="H132" s="109">
        <v>1.6288068211456534</v>
      </c>
      <c r="I132" s="109">
        <v>2.4198077019156363</v>
      </c>
      <c r="J132" s="109">
        <v>2.1600093665445943</v>
      </c>
      <c r="K132" s="110">
        <v>1.2305759567481742</v>
      </c>
    </row>
    <row r="133" spans="2:11" x14ac:dyDescent="0.3">
      <c r="B133" s="111"/>
      <c r="C133" s="112" t="s">
        <v>1483</v>
      </c>
      <c r="D133" s="1499">
        <v>3.6332806791048156</v>
      </c>
      <c r="E133" s="1499">
        <v>3.232392293962342</v>
      </c>
      <c r="F133" s="1499">
        <v>2.0539916244301031</v>
      </c>
      <c r="G133" s="1499">
        <v>1.9480330533017129</v>
      </c>
      <c r="H133" s="1499">
        <v>1.951613248088637</v>
      </c>
      <c r="I133" s="1499">
        <v>2.741813849171121</v>
      </c>
      <c r="J133" s="1499">
        <v>2.4885654270880946</v>
      </c>
      <c r="K133" s="113">
        <v>1.5512444833897434</v>
      </c>
    </row>
    <row r="134" spans="2:11" x14ac:dyDescent="0.3">
      <c r="B134" s="111" t="s">
        <v>1986</v>
      </c>
      <c r="C134" s="112" t="s">
        <v>1489</v>
      </c>
      <c r="D134" s="1499">
        <v>3.594994144372055</v>
      </c>
      <c r="E134" s="1499">
        <v>3.194105759229581</v>
      </c>
      <c r="F134" s="1499">
        <v>2.0157050896973421</v>
      </c>
      <c r="G134" s="1499">
        <v>1.9097465185689522</v>
      </c>
      <c r="H134" s="1499">
        <v>1.9133267133558762</v>
      </c>
      <c r="I134" s="1499">
        <v>2.7035273144383605</v>
      </c>
      <c r="J134" s="1499">
        <v>2.4502788923553336</v>
      </c>
      <c r="K134" s="113">
        <v>1.5129579486569824</v>
      </c>
    </row>
    <row r="135" spans="2:11" x14ac:dyDescent="0.3">
      <c r="B135" s="114">
        <v>0</v>
      </c>
      <c r="C135" s="112" t="s">
        <v>1496</v>
      </c>
      <c r="D135" s="1499">
        <v>3.5375643422729137</v>
      </c>
      <c r="E135" s="1499">
        <v>3.1366759571304397</v>
      </c>
      <c r="F135" s="1499">
        <v>1.9582752875982008</v>
      </c>
      <c r="G135" s="1499">
        <v>1.8523167164698107</v>
      </c>
      <c r="H135" s="1499">
        <v>1.8558969112567347</v>
      </c>
      <c r="I135" s="1499">
        <v>2.6460975123392192</v>
      </c>
      <c r="J135" s="1499">
        <v>2.3928490902561923</v>
      </c>
      <c r="K135" s="113">
        <v>1.4555281465578409</v>
      </c>
    </row>
    <row r="136" spans="2:11" x14ac:dyDescent="0.3">
      <c r="B136" s="115"/>
      <c r="C136" s="112" t="s">
        <v>1500</v>
      </c>
      <c r="D136" s="1499">
        <v>3.4801345401737724</v>
      </c>
      <c r="E136" s="1499">
        <v>3.0792461550312984</v>
      </c>
      <c r="F136" s="1499">
        <v>1.9008454854990597</v>
      </c>
      <c r="G136" s="1499">
        <v>1.7948869143706696</v>
      </c>
      <c r="H136" s="1499">
        <v>1.7984671091575937</v>
      </c>
      <c r="I136" s="1499">
        <v>2.5886677102400779</v>
      </c>
      <c r="J136" s="1499">
        <v>2.3354192881570515</v>
      </c>
      <c r="K136" s="113">
        <v>1.3980983444586998</v>
      </c>
    </row>
    <row r="137" spans="2:11" x14ac:dyDescent="0.3">
      <c r="B137" s="115"/>
      <c r="C137" s="112" t="s">
        <v>1504</v>
      </c>
      <c r="D137" s="1499">
        <v>3.5700741451804743</v>
      </c>
      <c r="E137" s="1499">
        <v>3.1680720752266085</v>
      </c>
      <c r="F137" s="1499">
        <v>1.9900706984722811</v>
      </c>
      <c r="G137" s="1499">
        <v>1.8814362490851415</v>
      </c>
      <c r="H137" s="1499">
        <v>1.8866248052339247</v>
      </c>
      <c r="I137" s="1499">
        <v>2.6768051324608151</v>
      </c>
      <c r="J137" s="1499">
        <v>2.4223158915652019</v>
      </c>
      <c r="K137" s="113">
        <v>1.4815422610104116</v>
      </c>
    </row>
    <row r="138" spans="2:11" x14ac:dyDescent="0.3">
      <c r="B138" s="115"/>
      <c r="C138" s="112" t="s">
        <v>1508</v>
      </c>
      <c r="D138" s="1499">
        <v>3.5378618541410853</v>
      </c>
      <c r="E138" s="1499">
        <v>3.1358597841872196</v>
      </c>
      <c r="F138" s="1499">
        <v>1.957858407432892</v>
      </c>
      <c r="G138" s="1499">
        <v>1.8492239580457523</v>
      </c>
      <c r="H138" s="1499">
        <v>1.8544125141945356</v>
      </c>
      <c r="I138" s="1499">
        <v>2.6445928414214261</v>
      </c>
      <c r="J138" s="1499">
        <v>2.3901036005258129</v>
      </c>
      <c r="K138" s="113">
        <v>1.4493299699710225</v>
      </c>
    </row>
    <row r="139" spans="2:11" x14ac:dyDescent="0.3">
      <c r="B139" s="115"/>
      <c r="C139" s="112" t="s">
        <v>1513</v>
      </c>
      <c r="D139" s="1499">
        <v>3.4895434175820017</v>
      </c>
      <c r="E139" s="1499">
        <v>3.0875413476281364</v>
      </c>
      <c r="F139" s="1499">
        <v>1.9095399708738086</v>
      </c>
      <c r="G139" s="1499">
        <v>1.8009055214866689</v>
      </c>
      <c r="H139" s="1499">
        <v>1.8060940776354522</v>
      </c>
      <c r="I139" s="1499">
        <v>2.5962744048623425</v>
      </c>
      <c r="J139" s="1499">
        <v>2.3417851639667293</v>
      </c>
      <c r="K139" s="113">
        <v>1.4010115334119391</v>
      </c>
    </row>
    <row r="140" spans="2:11" x14ac:dyDescent="0.3">
      <c r="B140" s="115"/>
      <c r="C140" s="112" t="s">
        <v>1517</v>
      </c>
      <c r="D140" s="1499">
        <v>3.4412249810229181</v>
      </c>
      <c r="E140" s="1499">
        <v>3.0392229110690523</v>
      </c>
      <c r="F140" s="1499">
        <v>1.8612215343147249</v>
      </c>
      <c r="G140" s="1499">
        <v>1.7525870849275853</v>
      </c>
      <c r="H140" s="1499">
        <v>1.7577756410763685</v>
      </c>
      <c r="I140" s="1499">
        <v>2.5479559683032589</v>
      </c>
      <c r="J140" s="1499">
        <v>2.2934667274076457</v>
      </c>
      <c r="K140" s="113">
        <v>1.3526930968528554</v>
      </c>
    </row>
    <row r="141" spans="2:11" ht="14.5" thickBot="1" x14ac:dyDescent="0.35">
      <c r="B141" s="1233"/>
      <c r="C141" s="116" t="s">
        <v>1519</v>
      </c>
      <c r="D141" s="117">
        <v>3.6332806791048156</v>
      </c>
      <c r="E141" s="117">
        <v>3.232392293962342</v>
      </c>
      <c r="F141" s="117">
        <v>2.0539916244301031</v>
      </c>
      <c r="G141" s="117">
        <v>1.9480330533017129</v>
      </c>
      <c r="H141" s="117">
        <v>1.951613248088637</v>
      </c>
      <c r="I141" s="117">
        <v>2.741813849171121</v>
      </c>
      <c r="J141" s="117">
        <v>2.4885654270880946</v>
      </c>
      <c r="K141" s="118">
        <v>1.5512444833897434</v>
      </c>
    </row>
    <row r="142" spans="2:11" x14ac:dyDescent="0.3">
      <c r="B142" s="120" t="s">
        <v>1990</v>
      </c>
      <c r="C142" s="108" t="s">
        <v>1416</v>
      </c>
      <c r="D142" s="109">
        <v>3.2383266694704216</v>
      </c>
      <c r="E142" s="109">
        <v>2.8306225480855693</v>
      </c>
      <c r="F142" s="109">
        <v>1.6489485613504982</v>
      </c>
      <c r="G142" s="109">
        <v>1.5326800417848501</v>
      </c>
      <c r="H142" s="109">
        <v>1.543910211913885</v>
      </c>
      <c r="I142" s="109">
        <v>2.3349110926838677</v>
      </c>
      <c r="J142" s="109">
        <v>2.0751127573128261</v>
      </c>
      <c r="K142" s="110">
        <v>1.1456793475164058</v>
      </c>
    </row>
    <row r="143" spans="2:11" x14ac:dyDescent="0.3">
      <c r="B143" s="111"/>
      <c r="C143" s="112" t="s">
        <v>1483</v>
      </c>
      <c r="D143" s="1499">
        <v>3.5483840698730473</v>
      </c>
      <c r="E143" s="1499">
        <v>3.1474956847305733</v>
      </c>
      <c r="F143" s="1499">
        <v>1.9690950151983349</v>
      </c>
      <c r="G143" s="1499">
        <v>1.8631364440699447</v>
      </c>
      <c r="H143" s="1499">
        <v>1.8667166388568688</v>
      </c>
      <c r="I143" s="1499">
        <v>2.6569172399393528</v>
      </c>
      <c r="J143" s="1499">
        <v>2.4036688178563264</v>
      </c>
      <c r="K143" s="113">
        <v>1.466347874157975</v>
      </c>
    </row>
    <row r="144" spans="2:11" x14ac:dyDescent="0.3">
      <c r="B144" s="111" t="s">
        <v>1987</v>
      </c>
      <c r="C144" s="112" t="s">
        <v>1489</v>
      </c>
      <c r="D144" s="1499">
        <v>3.5100975351402863</v>
      </c>
      <c r="E144" s="1499">
        <v>3.1092091499978127</v>
      </c>
      <c r="F144" s="1499">
        <v>1.9308084804655739</v>
      </c>
      <c r="G144" s="1499">
        <v>1.8248499093371837</v>
      </c>
      <c r="H144" s="1499">
        <v>1.8284301041241078</v>
      </c>
      <c r="I144" s="1499">
        <v>2.6186307052065922</v>
      </c>
      <c r="J144" s="1499">
        <v>2.3653822831235654</v>
      </c>
      <c r="K144" s="113">
        <v>1.428061339425214</v>
      </c>
    </row>
    <row r="145" spans="2:11" x14ac:dyDescent="0.3">
      <c r="B145" s="114">
        <v>0</v>
      </c>
      <c r="C145" s="112" t="s">
        <v>1496</v>
      </c>
      <c r="D145" s="1499">
        <v>3.452667733041145</v>
      </c>
      <c r="E145" s="1499">
        <v>3.0517793478986714</v>
      </c>
      <c r="F145" s="1499">
        <v>1.8733786783664326</v>
      </c>
      <c r="G145" s="1499">
        <v>1.7674201072380424</v>
      </c>
      <c r="H145" s="1499">
        <v>1.7710003020249665</v>
      </c>
      <c r="I145" s="1499">
        <v>2.561200903107451</v>
      </c>
      <c r="J145" s="1499">
        <v>2.3079524810244241</v>
      </c>
      <c r="K145" s="113">
        <v>1.3706315373260727</v>
      </c>
    </row>
    <row r="146" spans="2:11" x14ac:dyDescent="0.3">
      <c r="B146" s="115"/>
      <c r="C146" s="112" t="s">
        <v>1500</v>
      </c>
      <c r="D146" s="1499">
        <v>3.3952379309420038</v>
      </c>
      <c r="E146" s="1499">
        <v>2.9943495457995302</v>
      </c>
      <c r="F146" s="1499">
        <v>1.8159488762672911</v>
      </c>
      <c r="G146" s="1499">
        <v>1.7099903051389009</v>
      </c>
      <c r="H146" s="1499">
        <v>1.713570499925825</v>
      </c>
      <c r="I146" s="1499">
        <v>2.5037711010083092</v>
      </c>
      <c r="J146" s="1499">
        <v>2.2505226789252828</v>
      </c>
      <c r="K146" s="113">
        <v>1.3132017352269312</v>
      </c>
    </row>
    <row r="147" spans="2:11" x14ac:dyDescent="0.3">
      <c r="B147" s="115"/>
      <c r="C147" s="112" t="s">
        <v>1504</v>
      </c>
      <c r="D147" s="1499">
        <v>3.4851775359487056</v>
      </c>
      <c r="E147" s="1499">
        <v>3.0831754659948403</v>
      </c>
      <c r="F147" s="1499">
        <v>1.9051740892405125</v>
      </c>
      <c r="G147" s="1499">
        <v>1.7965396398533728</v>
      </c>
      <c r="H147" s="1499">
        <v>1.8017281960021561</v>
      </c>
      <c r="I147" s="1499">
        <v>2.5919085232290464</v>
      </c>
      <c r="J147" s="1499">
        <v>2.3374192823334332</v>
      </c>
      <c r="K147" s="113">
        <v>1.396645651778643</v>
      </c>
    </row>
    <row r="148" spans="2:11" x14ac:dyDescent="0.3">
      <c r="B148" s="115"/>
      <c r="C148" s="112" t="s">
        <v>1508</v>
      </c>
      <c r="D148" s="1499">
        <v>3.4529652449093167</v>
      </c>
      <c r="E148" s="1499">
        <v>3.0509631749554513</v>
      </c>
      <c r="F148" s="1499">
        <v>1.8729617982011235</v>
      </c>
      <c r="G148" s="1499">
        <v>1.7643273488139839</v>
      </c>
      <c r="H148" s="1499">
        <v>1.7695159049627671</v>
      </c>
      <c r="I148" s="1499">
        <v>2.5596962321896575</v>
      </c>
      <c r="J148" s="1499">
        <v>2.3052069912940443</v>
      </c>
      <c r="K148" s="113">
        <v>1.364433360739254</v>
      </c>
    </row>
    <row r="149" spans="2:11" x14ac:dyDescent="0.3">
      <c r="B149" s="115"/>
      <c r="C149" s="112" t="s">
        <v>1513</v>
      </c>
      <c r="D149" s="1499">
        <v>3.4046468083502335</v>
      </c>
      <c r="E149" s="1499">
        <v>3.0026447383963681</v>
      </c>
      <c r="F149" s="1499">
        <v>1.8246433616420399</v>
      </c>
      <c r="G149" s="1499">
        <v>1.7160089122549003</v>
      </c>
      <c r="H149" s="1499">
        <v>1.7211974684036835</v>
      </c>
      <c r="I149" s="1499">
        <v>2.5113777956305743</v>
      </c>
      <c r="J149" s="1499">
        <v>2.2568885547349606</v>
      </c>
      <c r="K149" s="113">
        <v>1.3161149241801704</v>
      </c>
    </row>
    <row r="150" spans="2:11" x14ac:dyDescent="0.3">
      <c r="B150" s="115"/>
      <c r="C150" s="112" t="s">
        <v>1517</v>
      </c>
      <c r="D150" s="1499">
        <v>3.3563283717911494</v>
      </c>
      <c r="E150" s="1499">
        <v>2.9543263018372841</v>
      </c>
      <c r="F150" s="1499">
        <v>1.7763249250829567</v>
      </c>
      <c r="G150" s="1499">
        <v>1.6676904756958171</v>
      </c>
      <c r="H150" s="1499">
        <v>1.6728790318446003</v>
      </c>
      <c r="I150" s="1499">
        <v>2.4630593590714907</v>
      </c>
      <c r="J150" s="1499">
        <v>2.2085701181758775</v>
      </c>
      <c r="K150" s="113">
        <v>1.267796487621087</v>
      </c>
    </row>
    <row r="151" spans="2:11" ht="14.5" thickBot="1" x14ac:dyDescent="0.35">
      <c r="B151" s="1233"/>
      <c r="C151" s="116" t="s">
        <v>1519</v>
      </c>
      <c r="D151" s="117">
        <v>3.5483840698730473</v>
      </c>
      <c r="E151" s="117">
        <v>3.1474956847305733</v>
      </c>
      <c r="F151" s="117">
        <v>1.9690950151983349</v>
      </c>
      <c r="G151" s="117">
        <v>1.8631364440699447</v>
      </c>
      <c r="H151" s="117">
        <v>1.8667166388568688</v>
      </c>
      <c r="I151" s="117">
        <v>2.6569172399393528</v>
      </c>
      <c r="J151" s="117">
        <v>2.4036688178563264</v>
      </c>
      <c r="K151" s="118">
        <v>1.466347874157975</v>
      </c>
    </row>
    <row r="152" spans="2:11" x14ac:dyDescent="0.3">
      <c r="B152" s="120" t="s">
        <v>1990</v>
      </c>
      <c r="C152" s="108" t="s">
        <v>1416</v>
      </c>
      <c r="D152" s="109">
        <v>3.110981755622769</v>
      </c>
      <c r="E152" s="109">
        <v>2.7032776342379168</v>
      </c>
      <c r="F152" s="109">
        <v>1.5216036475028454</v>
      </c>
      <c r="G152" s="109">
        <v>1.4053351279371973</v>
      </c>
      <c r="H152" s="109">
        <v>1.4165652980662324</v>
      </c>
      <c r="I152" s="109">
        <v>2.2075661788362151</v>
      </c>
      <c r="J152" s="109">
        <v>1.9477678434651733</v>
      </c>
      <c r="K152" s="110">
        <v>1.018334433668753</v>
      </c>
    </row>
    <row r="153" spans="2:11" x14ac:dyDescent="0.3">
      <c r="B153" s="111"/>
      <c r="C153" s="112" t="s">
        <v>1483</v>
      </c>
      <c r="D153" s="1499">
        <v>3.4210391560253948</v>
      </c>
      <c r="E153" s="1499">
        <v>3.0201507708829207</v>
      </c>
      <c r="F153" s="1499">
        <v>1.8417501013506818</v>
      </c>
      <c r="G153" s="1499">
        <v>1.7357915302222917</v>
      </c>
      <c r="H153" s="1499">
        <v>1.7393717250092158</v>
      </c>
      <c r="I153" s="1499">
        <v>2.5295723260917002</v>
      </c>
      <c r="J153" s="1499">
        <v>2.2763239040086733</v>
      </c>
      <c r="K153" s="113">
        <v>1.339002960310322</v>
      </c>
    </row>
    <row r="154" spans="2:11" x14ac:dyDescent="0.3">
      <c r="B154" s="111" t="s">
        <v>1988</v>
      </c>
      <c r="C154" s="112" t="s">
        <v>1489</v>
      </c>
      <c r="D154" s="1499">
        <v>3.3827526212926338</v>
      </c>
      <c r="E154" s="1499">
        <v>2.9818642361501602</v>
      </c>
      <c r="F154" s="1499">
        <v>1.8034635666179213</v>
      </c>
      <c r="G154" s="1499">
        <v>1.6975049954895312</v>
      </c>
      <c r="H154" s="1499">
        <v>1.701085190276455</v>
      </c>
      <c r="I154" s="1499">
        <v>2.4912857913589397</v>
      </c>
      <c r="J154" s="1499">
        <v>2.2380373692759123</v>
      </c>
      <c r="K154" s="113">
        <v>1.3007164255775612</v>
      </c>
    </row>
    <row r="155" spans="2:11" x14ac:dyDescent="0.3">
      <c r="B155" s="114">
        <v>0</v>
      </c>
      <c r="C155" s="112" t="s">
        <v>1496</v>
      </c>
      <c r="D155" s="1499">
        <v>3.3253228191934925</v>
      </c>
      <c r="E155" s="1499">
        <v>2.9244344340510189</v>
      </c>
      <c r="F155" s="1499">
        <v>1.7460337645187798</v>
      </c>
      <c r="G155" s="1499">
        <v>1.6400751933903899</v>
      </c>
      <c r="H155" s="1499">
        <v>1.6436553881773139</v>
      </c>
      <c r="I155" s="1499">
        <v>2.4338559892597984</v>
      </c>
      <c r="J155" s="1499">
        <v>2.1806075671767715</v>
      </c>
      <c r="K155" s="113">
        <v>1.2432866234784201</v>
      </c>
    </row>
    <row r="156" spans="2:11" x14ac:dyDescent="0.3">
      <c r="B156" s="115"/>
      <c r="C156" s="112" t="s">
        <v>1500</v>
      </c>
      <c r="D156" s="1499">
        <v>3.2678930170943512</v>
      </c>
      <c r="E156" s="1499">
        <v>2.8670046319518776</v>
      </c>
      <c r="F156" s="1499">
        <v>1.6886039624196385</v>
      </c>
      <c r="G156" s="1499">
        <v>1.5826453912912484</v>
      </c>
      <c r="H156" s="1499">
        <v>1.5862255860781724</v>
      </c>
      <c r="I156" s="1499">
        <v>2.3764261871606567</v>
      </c>
      <c r="J156" s="1499">
        <v>2.1231777650776302</v>
      </c>
      <c r="K156" s="113">
        <v>1.1858568213792786</v>
      </c>
    </row>
    <row r="157" spans="2:11" x14ac:dyDescent="0.3">
      <c r="B157" s="115"/>
      <c r="C157" s="112" t="s">
        <v>1504</v>
      </c>
      <c r="D157" s="1499">
        <v>3.357832622101053</v>
      </c>
      <c r="E157" s="1499">
        <v>2.9558305521471877</v>
      </c>
      <c r="F157" s="1499">
        <v>1.7778291753928599</v>
      </c>
      <c r="G157" s="1499">
        <v>1.6691947260057203</v>
      </c>
      <c r="H157" s="1499">
        <v>1.6743832821545035</v>
      </c>
      <c r="I157" s="1499">
        <v>2.4645636093813938</v>
      </c>
      <c r="J157" s="1499">
        <v>2.2100743684857806</v>
      </c>
      <c r="K157" s="113">
        <v>1.2693007379309904</v>
      </c>
    </row>
    <row r="158" spans="2:11" x14ac:dyDescent="0.3">
      <c r="B158" s="115"/>
      <c r="C158" s="112" t="s">
        <v>1508</v>
      </c>
      <c r="D158" s="1499">
        <v>3.3256203310616641</v>
      </c>
      <c r="E158" s="1499">
        <v>2.9236182611077988</v>
      </c>
      <c r="F158" s="1499">
        <v>1.7456168843534707</v>
      </c>
      <c r="G158" s="1499">
        <v>1.6369824349663313</v>
      </c>
      <c r="H158" s="1499">
        <v>1.6421709911151146</v>
      </c>
      <c r="I158" s="1499">
        <v>2.4323513183420049</v>
      </c>
      <c r="J158" s="1499">
        <v>2.1778620774463917</v>
      </c>
      <c r="K158" s="113">
        <v>1.2370884468916012</v>
      </c>
    </row>
    <row r="159" spans="2:11" x14ac:dyDescent="0.3">
      <c r="B159" s="115"/>
      <c r="C159" s="112" t="s">
        <v>1513</v>
      </c>
      <c r="D159" s="1499">
        <v>3.2773018945025805</v>
      </c>
      <c r="E159" s="1499">
        <v>2.8752998245487147</v>
      </c>
      <c r="F159" s="1499">
        <v>1.6972984477943873</v>
      </c>
      <c r="G159" s="1499">
        <v>1.5886639984072477</v>
      </c>
      <c r="H159" s="1499">
        <v>1.5938525545560309</v>
      </c>
      <c r="I159" s="1499">
        <v>2.3840328817829213</v>
      </c>
      <c r="J159" s="1499">
        <v>2.1295436408873081</v>
      </c>
      <c r="K159" s="113">
        <v>1.1887700103325178</v>
      </c>
    </row>
    <row r="160" spans="2:11" x14ac:dyDescent="0.3">
      <c r="B160" s="115"/>
      <c r="C160" s="112" t="s">
        <v>1517</v>
      </c>
      <c r="D160" s="1499">
        <v>3.2289834579434968</v>
      </c>
      <c r="E160" s="1499">
        <v>2.8269813879896315</v>
      </c>
      <c r="F160" s="1499">
        <v>1.6489800112353037</v>
      </c>
      <c r="G160" s="1499">
        <v>1.5403455618481641</v>
      </c>
      <c r="H160" s="1499">
        <v>1.5455341179969473</v>
      </c>
      <c r="I160" s="1499">
        <v>2.3357144452238376</v>
      </c>
      <c r="J160" s="1499">
        <v>2.0812252043282244</v>
      </c>
      <c r="K160" s="113">
        <v>1.1404515737734342</v>
      </c>
    </row>
    <row r="161" spans="2:11" ht="14.5" thickBot="1" x14ac:dyDescent="0.35">
      <c r="B161" s="1233"/>
      <c r="C161" s="116" t="s">
        <v>1519</v>
      </c>
      <c r="D161" s="117">
        <v>3.4210391560253948</v>
      </c>
      <c r="E161" s="117">
        <v>3.0201507708829207</v>
      </c>
      <c r="F161" s="117">
        <v>1.8417501013506818</v>
      </c>
      <c r="G161" s="117">
        <v>1.7357915302222917</v>
      </c>
      <c r="H161" s="117">
        <v>1.7393717250092158</v>
      </c>
      <c r="I161" s="117">
        <v>2.5295723260917002</v>
      </c>
      <c r="J161" s="117">
        <v>2.2763239040086733</v>
      </c>
      <c r="K161" s="118">
        <v>1.339002960310322</v>
      </c>
    </row>
    <row r="162" spans="2:11" x14ac:dyDescent="0.3">
      <c r="B162" s="120" t="s">
        <v>1990</v>
      </c>
      <c r="C162" s="108" t="s">
        <v>1416</v>
      </c>
      <c r="D162" s="109">
        <v>2.9836368417751165</v>
      </c>
      <c r="E162" s="109">
        <v>2.5759327203902642</v>
      </c>
      <c r="F162" s="109">
        <v>1.3942587336551928</v>
      </c>
      <c r="G162" s="109">
        <v>1.2779902140895447</v>
      </c>
      <c r="H162" s="109">
        <v>1.2892203842185797</v>
      </c>
      <c r="I162" s="109">
        <v>2.0802212649885625</v>
      </c>
      <c r="J162" s="109">
        <v>1.8204229296175205</v>
      </c>
      <c r="K162" s="110">
        <v>0.89098951982110031</v>
      </c>
    </row>
    <row r="163" spans="2:11" x14ac:dyDescent="0.3">
      <c r="B163" s="111"/>
      <c r="C163" s="112" t="s">
        <v>1483</v>
      </c>
      <c r="D163" s="1499">
        <v>3.2936942421777422</v>
      </c>
      <c r="E163" s="1499">
        <v>2.8928058570352682</v>
      </c>
      <c r="F163" s="1499">
        <v>1.7144051875030293</v>
      </c>
      <c r="G163" s="1499">
        <v>1.6084466163746391</v>
      </c>
      <c r="H163" s="1499">
        <v>1.6120268111615632</v>
      </c>
      <c r="I163" s="1499">
        <v>2.4022274122440477</v>
      </c>
      <c r="J163" s="1499">
        <v>2.1489789901610208</v>
      </c>
      <c r="K163" s="113">
        <v>1.2116580464626694</v>
      </c>
    </row>
    <row r="164" spans="2:11" x14ac:dyDescent="0.3">
      <c r="B164" s="111" t="s">
        <v>1989</v>
      </c>
      <c r="C164" s="112" t="s">
        <v>1489</v>
      </c>
      <c r="D164" s="1499">
        <v>3.2554077074449808</v>
      </c>
      <c r="E164" s="1499">
        <v>2.8545193223025072</v>
      </c>
      <c r="F164" s="1499">
        <v>1.6761186527702683</v>
      </c>
      <c r="G164" s="1499">
        <v>1.5701600816418781</v>
      </c>
      <c r="H164" s="1499">
        <v>1.5737402764288022</v>
      </c>
      <c r="I164" s="1499">
        <v>2.3639408775112867</v>
      </c>
      <c r="J164" s="1499">
        <v>2.1106924554282598</v>
      </c>
      <c r="K164" s="113">
        <v>1.1733715117299086</v>
      </c>
    </row>
    <row r="165" spans="2:11" x14ac:dyDescent="0.3">
      <c r="B165" s="114">
        <v>0</v>
      </c>
      <c r="C165" s="112" t="s">
        <v>1496</v>
      </c>
      <c r="D165" s="1499">
        <v>3.1979779053458395</v>
      </c>
      <c r="E165" s="1499">
        <v>2.7970895202033659</v>
      </c>
      <c r="F165" s="1499">
        <v>1.618688850671127</v>
      </c>
      <c r="G165" s="1499">
        <v>1.5127302795427369</v>
      </c>
      <c r="H165" s="1499">
        <v>1.5163104743296609</v>
      </c>
      <c r="I165" s="1499">
        <v>2.3065110754121454</v>
      </c>
      <c r="J165" s="1499">
        <v>2.0532626533291185</v>
      </c>
      <c r="K165" s="113">
        <v>1.1159417096307671</v>
      </c>
    </row>
    <row r="166" spans="2:11" x14ac:dyDescent="0.3">
      <c r="B166" s="115"/>
      <c r="C166" s="112" t="s">
        <v>1500</v>
      </c>
      <c r="D166" s="1499">
        <v>3.1405481032466986</v>
      </c>
      <c r="E166" s="1499">
        <v>2.739659718104225</v>
      </c>
      <c r="F166" s="1499">
        <v>1.5612590485719857</v>
      </c>
      <c r="G166" s="1499">
        <v>1.4553004774435956</v>
      </c>
      <c r="H166" s="1499">
        <v>1.4588806722305196</v>
      </c>
      <c r="I166" s="1499">
        <v>2.2490812733130041</v>
      </c>
      <c r="J166" s="1499">
        <v>1.9958328512299772</v>
      </c>
      <c r="K166" s="113">
        <v>1.0585119075316258</v>
      </c>
    </row>
    <row r="167" spans="2:11" x14ac:dyDescent="0.3">
      <c r="B167" s="115"/>
      <c r="C167" s="112" t="s">
        <v>1504</v>
      </c>
      <c r="D167" s="1499">
        <v>3.2304877082534005</v>
      </c>
      <c r="E167" s="1499">
        <v>2.8284856382995351</v>
      </c>
      <c r="F167" s="1499">
        <v>1.6504842615452071</v>
      </c>
      <c r="G167" s="1499">
        <v>1.5418498121580677</v>
      </c>
      <c r="H167" s="1499">
        <v>1.5470383683068509</v>
      </c>
      <c r="I167" s="1499">
        <v>2.3372186955337413</v>
      </c>
      <c r="J167" s="1499">
        <v>2.0827294546381281</v>
      </c>
      <c r="K167" s="113">
        <v>1.1419558240833376</v>
      </c>
    </row>
    <row r="168" spans="2:11" x14ac:dyDescent="0.3">
      <c r="B168" s="115"/>
      <c r="C168" s="112" t="s">
        <v>1508</v>
      </c>
      <c r="D168" s="1499">
        <v>3.1982754172140115</v>
      </c>
      <c r="E168" s="1499">
        <v>2.7962733472601462</v>
      </c>
      <c r="F168" s="1499">
        <v>1.6182719705058182</v>
      </c>
      <c r="G168" s="1499">
        <v>1.5096375211186785</v>
      </c>
      <c r="H168" s="1499">
        <v>1.5148260772674618</v>
      </c>
      <c r="I168" s="1499">
        <v>2.3050064044943523</v>
      </c>
      <c r="J168" s="1499">
        <v>2.0505171635987391</v>
      </c>
      <c r="K168" s="113">
        <v>1.1097435330439485</v>
      </c>
    </row>
    <row r="169" spans="2:11" x14ac:dyDescent="0.3">
      <c r="B169" s="115"/>
      <c r="C169" s="112" t="s">
        <v>1513</v>
      </c>
      <c r="D169" s="1499">
        <v>3.1499569806549279</v>
      </c>
      <c r="E169" s="1499">
        <v>2.7479549107010621</v>
      </c>
      <c r="F169" s="1499">
        <v>1.5699535339467345</v>
      </c>
      <c r="G169" s="1499">
        <v>1.4613190845595949</v>
      </c>
      <c r="H169" s="1499">
        <v>1.4665076407083781</v>
      </c>
      <c r="I169" s="1499">
        <v>2.2566879679352687</v>
      </c>
      <c r="J169" s="1499">
        <v>2.0021987270396555</v>
      </c>
      <c r="K169" s="113">
        <v>1.0614250964848648</v>
      </c>
    </row>
    <row r="170" spans="2:11" x14ac:dyDescent="0.3">
      <c r="B170" s="115"/>
      <c r="C170" s="112" t="s">
        <v>1517</v>
      </c>
      <c r="D170" s="1499">
        <v>3.1016385440958443</v>
      </c>
      <c r="E170" s="1499">
        <v>2.6996364741419789</v>
      </c>
      <c r="F170" s="1499">
        <v>1.5216350973876509</v>
      </c>
      <c r="G170" s="1499">
        <v>1.4130006480005115</v>
      </c>
      <c r="H170" s="1499">
        <v>1.4181892041492947</v>
      </c>
      <c r="I170" s="1499">
        <v>2.2083695313761851</v>
      </c>
      <c r="J170" s="1499">
        <v>1.9538802904805717</v>
      </c>
      <c r="K170" s="113">
        <v>1.0131066599257814</v>
      </c>
    </row>
    <row r="171" spans="2:11" ht="14.5" thickBot="1" x14ac:dyDescent="0.35">
      <c r="B171" s="1233"/>
      <c r="C171" s="116" t="s">
        <v>1519</v>
      </c>
      <c r="D171" s="117">
        <v>3.2936942421777422</v>
      </c>
      <c r="E171" s="117">
        <v>2.8928058570352682</v>
      </c>
      <c r="F171" s="117">
        <v>1.7144051875030293</v>
      </c>
      <c r="G171" s="117">
        <v>1.6084466163746391</v>
      </c>
      <c r="H171" s="117">
        <v>1.6120268111615632</v>
      </c>
      <c r="I171" s="117">
        <v>2.4022274122440477</v>
      </c>
      <c r="J171" s="117">
        <v>2.1489789901610208</v>
      </c>
      <c r="K171" s="118">
        <v>1.2116580464626694</v>
      </c>
    </row>
    <row r="173" spans="2:11" ht="14.5" thickBot="1" x14ac:dyDescent="0.35"/>
    <row r="174" spans="2:11" ht="25.5" thickBot="1" x14ac:dyDescent="0.55000000000000004">
      <c r="B174" s="88" t="s">
        <v>1960</v>
      </c>
      <c r="C174" s="89"/>
      <c r="D174" s="90">
        <v>7</v>
      </c>
      <c r="E174" s="91" t="s">
        <v>1991</v>
      </c>
      <c r="F174" s="92"/>
      <c r="G174" s="92"/>
      <c r="H174" s="92"/>
      <c r="I174" s="93"/>
      <c r="J174" s="89" t="s">
        <v>176</v>
      </c>
      <c r="K174" s="94" t="s">
        <v>241</v>
      </c>
    </row>
    <row r="175" spans="2:11" ht="14.5" thickBot="1" x14ac:dyDescent="0.35">
      <c r="B175" s="95" t="s">
        <v>1962</v>
      </c>
      <c r="C175" s="96" t="s">
        <v>1963</v>
      </c>
      <c r="D175" s="95" t="s">
        <v>1964</v>
      </c>
      <c r="E175" s="97" t="s">
        <v>1965</v>
      </c>
      <c r="F175" s="97" t="s">
        <v>1966</v>
      </c>
      <c r="G175" s="97" t="s">
        <v>1967</v>
      </c>
      <c r="H175" s="97" t="s">
        <v>1968</v>
      </c>
      <c r="I175" s="97" t="s">
        <v>1969</v>
      </c>
      <c r="J175" s="97" t="s">
        <v>1970</v>
      </c>
      <c r="K175" s="98" t="s">
        <v>1971</v>
      </c>
    </row>
    <row r="176" spans="2:11" ht="14.5" thickBot="1" x14ac:dyDescent="0.35">
      <c r="B176" s="99"/>
      <c r="C176" s="99"/>
      <c r="D176" s="100"/>
      <c r="E176" s="944"/>
      <c r="F176" s="944"/>
      <c r="G176" s="944"/>
      <c r="H176" s="944"/>
      <c r="I176" s="944"/>
      <c r="J176" s="944"/>
      <c r="K176" s="102"/>
    </row>
    <row r="177" spans="2:11" ht="90.5" thickBot="1" x14ac:dyDescent="0.45">
      <c r="B177" s="103" t="s">
        <v>1972</v>
      </c>
      <c r="C177" s="103" t="s">
        <v>1973</v>
      </c>
      <c r="D177" s="105" t="s">
        <v>1974</v>
      </c>
      <c r="E177" s="105" t="s">
        <v>1525</v>
      </c>
      <c r="F177" s="105" t="s">
        <v>1527</v>
      </c>
      <c r="G177" s="105" t="s">
        <v>1975</v>
      </c>
      <c r="H177" s="105" t="s">
        <v>1976</v>
      </c>
      <c r="I177" s="105" t="s">
        <v>1445</v>
      </c>
      <c r="J177" s="105" t="s">
        <v>1538</v>
      </c>
      <c r="K177" s="106" t="s">
        <v>1541</v>
      </c>
    </row>
    <row r="178" spans="2:11" x14ac:dyDescent="0.3">
      <c r="B178" s="120" t="s">
        <v>1992</v>
      </c>
      <c r="C178" s="108" t="s">
        <v>1416</v>
      </c>
      <c r="D178" s="109">
        <v>5.7743954420267274</v>
      </c>
      <c r="E178" s="109">
        <v>5.4133587540478807</v>
      </c>
      <c r="F178" s="109">
        <v>4.1766899033020914</v>
      </c>
      <c r="G178" s="109">
        <v>4.0945354238605809</v>
      </c>
      <c r="H178" s="109">
        <v>4.0901645244506817</v>
      </c>
      <c r="I178" s="109">
        <v>4.9298408521895904</v>
      </c>
      <c r="J178" s="109">
        <v>4.6674813773004926</v>
      </c>
      <c r="K178" s="110">
        <v>3.6742461178193566</v>
      </c>
    </row>
    <row r="179" spans="2:11" x14ac:dyDescent="0.3">
      <c r="B179" s="128"/>
      <c r="C179" s="112" t="s">
        <v>1483</v>
      </c>
      <c r="D179" s="1499">
        <v>6.1550740181597874</v>
      </c>
      <c r="E179" s="1499">
        <v>5.7947022371245307</v>
      </c>
      <c r="F179" s="1499">
        <v>4.5646887769739912</v>
      </c>
      <c r="G179" s="1499">
        <v>4.4815774323563131</v>
      </c>
      <c r="H179" s="1499">
        <v>4.4744964661486941</v>
      </c>
      <c r="I179" s="1499">
        <v>5.3137667493308314</v>
      </c>
      <c r="J179" s="1499">
        <v>5.0519756435310672</v>
      </c>
      <c r="K179" s="113">
        <v>4.0623593620573732</v>
      </c>
    </row>
    <row r="180" spans="2:11" x14ac:dyDescent="0.3">
      <c r="B180" s="128"/>
      <c r="C180" s="112" t="s">
        <v>1489</v>
      </c>
      <c r="D180" s="1499">
        <v>6.1167874834270259</v>
      </c>
      <c r="E180" s="1499">
        <v>5.7564157023917693</v>
      </c>
      <c r="F180" s="1499">
        <v>4.5264022422412307</v>
      </c>
      <c r="G180" s="1499">
        <v>4.4432908976235517</v>
      </c>
      <c r="H180" s="1499">
        <v>4.4362099314159336</v>
      </c>
      <c r="I180" s="1499">
        <v>5.2754802145980699</v>
      </c>
      <c r="J180" s="1499">
        <v>5.0136891087983058</v>
      </c>
      <c r="K180" s="113">
        <v>4.0240728273246127</v>
      </c>
    </row>
    <row r="181" spans="2:11" x14ac:dyDescent="0.3">
      <c r="B181" s="122">
        <v>0</v>
      </c>
      <c r="C181" s="112" t="s">
        <v>1496</v>
      </c>
      <c r="D181" s="1499">
        <v>6.0593576813278851</v>
      </c>
      <c r="E181" s="1499">
        <v>5.6989859002926275</v>
      </c>
      <c r="F181" s="1499">
        <v>4.4689724401420889</v>
      </c>
      <c r="G181" s="1499">
        <v>4.3858610955244108</v>
      </c>
      <c r="H181" s="1499">
        <v>4.3787801293167927</v>
      </c>
      <c r="I181" s="1499">
        <v>5.2180504124989291</v>
      </c>
      <c r="J181" s="1499">
        <v>4.9562593066991649</v>
      </c>
      <c r="K181" s="113">
        <v>3.9666430252254714</v>
      </c>
    </row>
    <row r="182" spans="2:11" x14ac:dyDescent="0.3">
      <c r="B182" s="123"/>
      <c r="C182" s="112" t="s">
        <v>1500</v>
      </c>
      <c r="D182" s="1499">
        <v>6.0019278792287434</v>
      </c>
      <c r="E182" s="1499">
        <v>5.6415560981934867</v>
      </c>
      <c r="F182" s="1499">
        <v>4.4115426380429472</v>
      </c>
      <c r="G182" s="1499">
        <v>4.3284312934252691</v>
      </c>
      <c r="H182" s="1499">
        <v>4.321350327217651</v>
      </c>
      <c r="I182" s="1499">
        <v>5.1606206103997874</v>
      </c>
      <c r="J182" s="1499">
        <v>4.8988295046000232</v>
      </c>
      <c r="K182" s="113">
        <v>3.9092132231263301</v>
      </c>
    </row>
    <row r="183" spans="2:11" x14ac:dyDescent="0.3">
      <c r="B183" s="123"/>
      <c r="C183" s="112" t="s">
        <v>1504</v>
      </c>
      <c r="D183" s="1499">
        <v>6.0829636333661217</v>
      </c>
      <c r="E183" s="1499">
        <v>5.7229241431505642</v>
      </c>
      <c r="F183" s="1499">
        <v>4.4898981219506693</v>
      </c>
      <c r="G183" s="1499">
        <v>4.4071591102725982</v>
      </c>
      <c r="H183" s="1499">
        <v>4.4005491145226081</v>
      </c>
      <c r="I183" s="1499">
        <v>5.2413344699908144</v>
      </c>
      <c r="J183" s="1499">
        <v>4.9785972104284513</v>
      </c>
      <c r="K183" s="113">
        <v>3.9874204313018624</v>
      </c>
    </row>
    <row r="184" spans="2:11" x14ac:dyDescent="0.3">
      <c r="B184" s="123"/>
      <c r="C184" s="112" t="s">
        <v>1508</v>
      </c>
      <c r="D184" s="1499">
        <v>6.0507513423267323</v>
      </c>
      <c r="E184" s="1499">
        <v>5.6907118521111757</v>
      </c>
      <c r="F184" s="1499">
        <v>4.4576858309112799</v>
      </c>
      <c r="G184" s="1499">
        <v>4.3749468192332097</v>
      </c>
      <c r="H184" s="1499">
        <v>4.3683368234832196</v>
      </c>
      <c r="I184" s="1499">
        <v>5.209122178951425</v>
      </c>
      <c r="J184" s="1499">
        <v>4.9463849193890628</v>
      </c>
      <c r="K184" s="113">
        <v>3.9552081402624735</v>
      </c>
    </row>
    <row r="185" spans="2:11" x14ac:dyDescent="0.3">
      <c r="B185" s="123"/>
      <c r="C185" s="112" t="s">
        <v>1513</v>
      </c>
      <c r="D185" s="1499">
        <v>6.0024329057676491</v>
      </c>
      <c r="E185" s="1499">
        <v>5.6423934155520925</v>
      </c>
      <c r="F185" s="1499">
        <v>4.4093673943521967</v>
      </c>
      <c r="G185" s="1499">
        <v>4.3266283826741256</v>
      </c>
      <c r="H185" s="1499">
        <v>4.3200183869241355</v>
      </c>
      <c r="I185" s="1499">
        <v>5.1608037423923419</v>
      </c>
      <c r="J185" s="1499">
        <v>4.8980664828299796</v>
      </c>
      <c r="K185" s="113">
        <v>3.9068897037033903</v>
      </c>
    </row>
    <row r="186" spans="2:11" x14ac:dyDescent="0.3">
      <c r="B186" s="123"/>
      <c r="C186" s="112" t="s">
        <v>1517</v>
      </c>
      <c r="D186" s="1499">
        <v>5.9541144692085659</v>
      </c>
      <c r="E186" s="1499">
        <v>5.5940749789930084</v>
      </c>
      <c r="F186" s="1499">
        <v>4.3610489577931126</v>
      </c>
      <c r="G186" s="1499">
        <v>4.2783099461150416</v>
      </c>
      <c r="H186" s="1499">
        <v>4.2716999503650523</v>
      </c>
      <c r="I186" s="1499">
        <v>5.1124853058332587</v>
      </c>
      <c r="J186" s="1499">
        <v>4.8497480462708955</v>
      </c>
      <c r="K186" s="113">
        <v>3.8585712671443062</v>
      </c>
    </row>
    <row r="187" spans="2:11" ht="14.5" thickBot="1" x14ac:dyDescent="0.35">
      <c r="B187" s="124"/>
      <c r="C187" s="116" t="s">
        <v>1519</v>
      </c>
      <c r="D187" s="117">
        <v>6.1550740181597874</v>
      </c>
      <c r="E187" s="117">
        <v>5.7947022371245307</v>
      </c>
      <c r="F187" s="117">
        <v>4.5646887769739912</v>
      </c>
      <c r="G187" s="117">
        <v>4.4815774323563131</v>
      </c>
      <c r="H187" s="117">
        <v>4.4744964661486941</v>
      </c>
      <c r="I187" s="117">
        <v>5.3137667493308314</v>
      </c>
      <c r="J187" s="117">
        <v>5.0519756435310672</v>
      </c>
      <c r="K187" s="118">
        <v>4.0623593620573732</v>
      </c>
    </row>
    <row r="188" spans="2:11" x14ac:dyDescent="0.3">
      <c r="B188" s="120" t="s">
        <v>1993</v>
      </c>
      <c r="C188" s="1234" t="s">
        <v>1416</v>
      </c>
      <c r="D188" s="109">
        <v>3.8595158476713509</v>
      </c>
      <c r="E188" s="109">
        <v>3.557299975916973</v>
      </c>
      <c r="F188" s="109">
        <v>2.2464270572277596</v>
      </c>
      <c r="G188" s="109">
        <v>2.177818836747385</v>
      </c>
      <c r="H188" s="109">
        <v>2.138629007528257</v>
      </c>
      <c r="I188" s="109">
        <v>3.0498224452890028</v>
      </c>
      <c r="J188" s="109">
        <v>2.7713973871271702</v>
      </c>
      <c r="K188" s="110">
        <v>1.7403903291040319</v>
      </c>
    </row>
    <row r="189" spans="2:11" x14ac:dyDescent="0.3">
      <c r="B189" s="121"/>
      <c r="C189" s="1500" t="s">
        <v>1483</v>
      </c>
      <c r="D189" s="1499">
        <v>4.2727217713802412</v>
      </c>
      <c r="E189" s="1499">
        <v>3.9722597232110397</v>
      </c>
      <c r="F189" s="1499">
        <v>2.6810319834354939</v>
      </c>
      <c r="G189" s="1499">
        <v>2.6177913832904909</v>
      </c>
      <c r="H189" s="1499">
        <v>2.5714374154995583</v>
      </c>
      <c r="I189" s="1499">
        <v>3.4742552929003603</v>
      </c>
      <c r="J189" s="1499">
        <v>3.2026995983123343</v>
      </c>
      <c r="K189" s="113">
        <v>2.1863778557657683</v>
      </c>
    </row>
    <row r="190" spans="2:11" x14ac:dyDescent="0.3">
      <c r="B190" s="128"/>
      <c r="C190" s="1500" t="s">
        <v>1489</v>
      </c>
      <c r="D190" s="1499">
        <v>4.2344352366474807</v>
      </c>
      <c r="E190" s="1499">
        <v>3.9339731884782791</v>
      </c>
      <c r="F190" s="1499">
        <v>2.6427454487027333</v>
      </c>
      <c r="G190" s="1499">
        <v>2.5795048485577303</v>
      </c>
      <c r="H190" s="1499">
        <v>2.5331508807667977</v>
      </c>
      <c r="I190" s="1499">
        <v>3.4359687581675997</v>
      </c>
      <c r="J190" s="1499">
        <v>3.1644130635795737</v>
      </c>
      <c r="K190" s="113">
        <v>2.1480913210330073</v>
      </c>
    </row>
    <row r="191" spans="2:11" x14ac:dyDescent="0.3">
      <c r="B191" s="122">
        <v>0</v>
      </c>
      <c r="C191" s="1500" t="s">
        <v>1496</v>
      </c>
      <c r="D191" s="1499">
        <v>4.1770054345483389</v>
      </c>
      <c r="E191" s="1499">
        <v>3.8765433863791374</v>
      </c>
      <c r="F191" s="1499">
        <v>2.5853156466035916</v>
      </c>
      <c r="G191" s="1499">
        <v>2.522075046458589</v>
      </c>
      <c r="H191" s="1499">
        <v>2.4757210786676564</v>
      </c>
      <c r="I191" s="1499">
        <v>3.3785389560684584</v>
      </c>
      <c r="J191" s="1499">
        <v>3.1069832614804325</v>
      </c>
      <c r="K191" s="113">
        <v>2.090661518933866</v>
      </c>
    </row>
    <row r="192" spans="2:11" x14ac:dyDescent="0.3">
      <c r="B192" s="123"/>
      <c r="C192" s="1500" t="s">
        <v>1500</v>
      </c>
      <c r="D192" s="1499">
        <v>4.1195756324491972</v>
      </c>
      <c r="E192" s="1499">
        <v>3.8191135842799961</v>
      </c>
      <c r="F192" s="1499">
        <v>2.5278858445044503</v>
      </c>
      <c r="G192" s="1499">
        <v>2.4646452443594478</v>
      </c>
      <c r="H192" s="1499">
        <v>2.4182912765685152</v>
      </c>
      <c r="I192" s="1499">
        <v>3.3211091539693167</v>
      </c>
      <c r="J192" s="1499">
        <v>3.0495534593812912</v>
      </c>
      <c r="K192" s="113">
        <v>2.0332317168347247</v>
      </c>
    </row>
    <row r="193" spans="2:11" x14ac:dyDescent="0.3">
      <c r="B193" s="123"/>
      <c r="C193" s="1500" t="s">
        <v>1504</v>
      </c>
      <c r="D193" s="1499">
        <v>4.1925808449800259</v>
      </c>
      <c r="E193" s="1499">
        <v>3.8920389125241908</v>
      </c>
      <c r="F193" s="1499">
        <v>2.5983163653935129</v>
      </c>
      <c r="G193" s="1499">
        <v>2.5334251570127377</v>
      </c>
      <c r="H193" s="1499">
        <v>2.488444218648374</v>
      </c>
      <c r="I193" s="1499">
        <v>3.3921667735968577</v>
      </c>
      <c r="J193" s="1499">
        <v>3.1194101652047479</v>
      </c>
      <c r="K193" s="113">
        <v>2.0984103148311029</v>
      </c>
    </row>
    <row r="194" spans="2:11" x14ac:dyDescent="0.3">
      <c r="B194" s="123"/>
      <c r="C194" s="1500" t="s">
        <v>1508</v>
      </c>
      <c r="D194" s="1499">
        <v>4.1603685539406374</v>
      </c>
      <c r="E194" s="1499">
        <v>3.8598266214848018</v>
      </c>
      <c r="F194" s="1499">
        <v>2.5661040743541239</v>
      </c>
      <c r="G194" s="1499">
        <v>2.5012128659733488</v>
      </c>
      <c r="H194" s="1499">
        <v>2.456231927608985</v>
      </c>
      <c r="I194" s="1499">
        <v>3.3599544825574688</v>
      </c>
      <c r="J194" s="1499">
        <v>3.087197874165359</v>
      </c>
      <c r="K194" s="113">
        <v>2.0661980237917139</v>
      </c>
    </row>
    <row r="195" spans="2:11" x14ac:dyDescent="0.3">
      <c r="B195" s="123"/>
      <c r="C195" s="1500" t="s">
        <v>1513</v>
      </c>
      <c r="D195" s="1499">
        <v>4.1120501173815533</v>
      </c>
      <c r="E195" s="1499">
        <v>3.8115081849257182</v>
      </c>
      <c r="F195" s="1499">
        <v>2.5177856377950403</v>
      </c>
      <c r="G195" s="1499">
        <v>2.4528944294142652</v>
      </c>
      <c r="H195" s="1499">
        <v>2.4079134910499014</v>
      </c>
      <c r="I195" s="1499">
        <v>3.3116360459983856</v>
      </c>
      <c r="J195" s="1499">
        <v>3.0388794376062758</v>
      </c>
      <c r="K195" s="113">
        <v>2.0178795872326303</v>
      </c>
    </row>
    <row r="196" spans="2:11" x14ac:dyDescent="0.3">
      <c r="B196" s="123"/>
      <c r="C196" s="1500" t="s">
        <v>1517</v>
      </c>
      <c r="D196" s="1499">
        <v>4.0637316808224702</v>
      </c>
      <c r="E196" s="1499">
        <v>3.7631897483666346</v>
      </c>
      <c r="F196" s="1499">
        <v>2.4694672012359566</v>
      </c>
      <c r="G196" s="1499">
        <v>2.4045759928551815</v>
      </c>
      <c r="H196" s="1499">
        <v>2.3595950544908182</v>
      </c>
      <c r="I196" s="1499">
        <v>3.2633176094393015</v>
      </c>
      <c r="J196" s="1499">
        <v>2.9905610010471917</v>
      </c>
      <c r="K196" s="113">
        <v>1.9695611506735469</v>
      </c>
    </row>
    <row r="197" spans="2:11" ht="14.5" thickBot="1" x14ac:dyDescent="0.35">
      <c r="B197" s="124"/>
      <c r="C197" s="125" t="s">
        <v>1519</v>
      </c>
      <c r="D197" s="117">
        <v>4.2727217713802412</v>
      </c>
      <c r="E197" s="117">
        <v>3.9722597232110397</v>
      </c>
      <c r="F197" s="117">
        <v>2.6810319834354939</v>
      </c>
      <c r="G197" s="117">
        <v>2.6177913832904909</v>
      </c>
      <c r="H197" s="117">
        <v>2.5714374154995583</v>
      </c>
      <c r="I197" s="117">
        <v>3.4742552929003603</v>
      </c>
      <c r="J197" s="117">
        <v>3.2026995983123343</v>
      </c>
      <c r="K197" s="118">
        <v>2.1863778557657683</v>
      </c>
    </row>
    <row r="198" spans="2:11" x14ac:dyDescent="0.3">
      <c r="B198" s="119" t="s">
        <v>1994</v>
      </c>
      <c r="C198" s="108" t="s">
        <v>1416</v>
      </c>
      <c r="D198" s="109">
        <v>6.2151498099748057</v>
      </c>
      <c r="E198" s="109">
        <v>6.0118637252619189</v>
      </c>
      <c r="F198" s="109">
        <v>4.6329213561285414</v>
      </c>
      <c r="G198" s="109">
        <v>4.6124205467025039</v>
      </c>
      <c r="H198" s="109">
        <v>4.5266389742469508</v>
      </c>
      <c r="I198" s="109">
        <v>5.5137837156014502</v>
      </c>
      <c r="J198" s="109">
        <v>5.2286456722198515</v>
      </c>
      <c r="K198" s="110">
        <v>4.1545042993289014</v>
      </c>
    </row>
    <row r="199" spans="2:11" x14ac:dyDescent="0.3">
      <c r="B199" s="111"/>
      <c r="C199" s="112" t="s">
        <v>1483</v>
      </c>
      <c r="D199" s="1499">
        <v>6.6157136015197073</v>
      </c>
      <c r="E199" s="1499">
        <v>6.4097286403860805</v>
      </c>
      <c r="F199" s="1499">
        <v>5.0416531928902009</v>
      </c>
      <c r="G199" s="1499">
        <v>5.0189618046410285</v>
      </c>
      <c r="H199" s="1499">
        <v>4.9313470449682475</v>
      </c>
      <c r="I199" s="1499">
        <v>5.9157648143282335</v>
      </c>
      <c r="J199" s="1499">
        <v>5.6318085638168736</v>
      </c>
      <c r="K199" s="113">
        <v>4.5661209690119158</v>
      </c>
    </row>
    <row r="200" spans="2:11" x14ac:dyDescent="0.3">
      <c r="B200" s="111"/>
      <c r="C200" s="112" t="s">
        <v>1489</v>
      </c>
      <c r="D200" s="1499">
        <v>6.5774270667869459</v>
      </c>
      <c r="E200" s="1499">
        <v>6.371442105653319</v>
      </c>
      <c r="F200" s="1499">
        <v>5.0033666581574394</v>
      </c>
      <c r="G200" s="1499">
        <v>4.980675269908267</v>
      </c>
      <c r="H200" s="1499">
        <v>4.8930605102354869</v>
      </c>
      <c r="I200" s="1499">
        <v>5.877478279595473</v>
      </c>
      <c r="J200" s="1499">
        <v>5.5935220290841121</v>
      </c>
      <c r="K200" s="113">
        <v>4.5278344342791552</v>
      </c>
    </row>
    <row r="201" spans="2:11" x14ac:dyDescent="0.3">
      <c r="B201" s="114">
        <v>0</v>
      </c>
      <c r="C201" s="112" t="s">
        <v>1496</v>
      </c>
      <c r="D201" s="1499">
        <v>6.5199972646878042</v>
      </c>
      <c r="E201" s="1499">
        <v>6.3140123035541782</v>
      </c>
      <c r="F201" s="1499">
        <v>4.9459368560582986</v>
      </c>
      <c r="G201" s="1499">
        <v>4.9232454678091262</v>
      </c>
      <c r="H201" s="1499">
        <v>4.8356307081363452</v>
      </c>
      <c r="I201" s="1499">
        <v>5.8200484774963313</v>
      </c>
      <c r="J201" s="1499">
        <v>5.5360922269849704</v>
      </c>
      <c r="K201" s="113">
        <v>4.4704046321800135</v>
      </c>
    </row>
    <row r="202" spans="2:11" x14ac:dyDescent="0.3">
      <c r="B202" s="115"/>
      <c r="C202" s="112" t="s">
        <v>1500</v>
      </c>
      <c r="D202" s="1499">
        <v>6.4625674625886633</v>
      </c>
      <c r="E202" s="1499">
        <v>6.2565825014550365</v>
      </c>
      <c r="F202" s="1499">
        <v>4.8885070539591569</v>
      </c>
      <c r="G202" s="1499">
        <v>4.8658156657099845</v>
      </c>
      <c r="H202" s="1499">
        <v>4.7782009060372044</v>
      </c>
      <c r="I202" s="1499">
        <v>5.7626186753971904</v>
      </c>
      <c r="J202" s="1499">
        <v>5.4786624248858296</v>
      </c>
      <c r="K202" s="113">
        <v>4.4129748300808718</v>
      </c>
    </row>
    <row r="203" spans="2:11" x14ac:dyDescent="0.3">
      <c r="B203" s="115"/>
      <c r="C203" s="112" t="s">
        <v>1504</v>
      </c>
      <c r="D203" s="1499">
        <v>6.5403757128071849</v>
      </c>
      <c r="E203" s="1499">
        <v>6.3347040310961651</v>
      </c>
      <c r="F203" s="1499">
        <v>4.9631163398317666</v>
      </c>
      <c r="G203" s="1499">
        <v>4.941528286734032</v>
      </c>
      <c r="H203" s="1499">
        <v>4.8538800330822092</v>
      </c>
      <c r="I203" s="1499">
        <v>5.8401522217504835</v>
      </c>
      <c r="J203" s="1499">
        <v>5.5559281045131348</v>
      </c>
      <c r="K203" s="113">
        <v>4.4871548128306102</v>
      </c>
    </row>
    <row r="204" spans="2:11" x14ac:dyDescent="0.3">
      <c r="B204" s="115"/>
      <c r="C204" s="112" t="s">
        <v>1508</v>
      </c>
      <c r="D204" s="1499">
        <v>6.5081634217677955</v>
      </c>
      <c r="E204" s="1499">
        <v>6.3024917400567766</v>
      </c>
      <c r="F204" s="1499">
        <v>4.9309040487923772</v>
      </c>
      <c r="G204" s="1499">
        <v>4.9093159956946435</v>
      </c>
      <c r="H204" s="1499">
        <v>4.8216677420428198</v>
      </c>
      <c r="I204" s="1499">
        <v>5.8079399307110942</v>
      </c>
      <c r="J204" s="1499">
        <v>5.5237158134737454</v>
      </c>
      <c r="K204" s="113">
        <v>4.4549425217912209</v>
      </c>
    </row>
    <row r="205" spans="2:11" x14ac:dyDescent="0.3">
      <c r="B205" s="115"/>
      <c r="C205" s="112" t="s">
        <v>1513</v>
      </c>
      <c r="D205" s="1499">
        <v>6.4598449852087123</v>
      </c>
      <c r="E205" s="1499">
        <v>6.2541733034976934</v>
      </c>
      <c r="F205" s="1499">
        <v>4.882585612233294</v>
      </c>
      <c r="G205" s="1499">
        <v>4.8609975591355594</v>
      </c>
      <c r="H205" s="1499">
        <v>4.7733493054837366</v>
      </c>
      <c r="I205" s="1499">
        <v>5.759621494152011</v>
      </c>
      <c r="J205" s="1499">
        <v>5.4753973769146622</v>
      </c>
      <c r="K205" s="113">
        <v>4.4066240852321377</v>
      </c>
    </row>
    <row r="206" spans="2:11" x14ac:dyDescent="0.3">
      <c r="B206" s="115"/>
      <c r="C206" s="112" t="s">
        <v>1517</v>
      </c>
      <c r="D206" s="1499">
        <v>6.4115265486496291</v>
      </c>
      <c r="E206" s="1499">
        <v>6.2058548669386093</v>
      </c>
      <c r="F206" s="1499">
        <v>4.8342671756742099</v>
      </c>
      <c r="G206" s="1499">
        <v>4.8126791225764762</v>
      </c>
      <c r="H206" s="1499">
        <v>4.7250308689246525</v>
      </c>
      <c r="I206" s="1499">
        <v>5.7113030575929278</v>
      </c>
      <c r="J206" s="1499">
        <v>5.427078940355579</v>
      </c>
      <c r="K206" s="113">
        <v>4.3583056486730536</v>
      </c>
    </row>
    <row r="207" spans="2:11" ht="14.5" thickBot="1" x14ac:dyDescent="0.35">
      <c r="B207" s="1233"/>
      <c r="C207" s="116" t="s">
        <v>1519</v>
      </c>
      <c r="D207" s="117">
        <v>6.6157136015197073</v>
      </c>
      <c r="E207" s="117">
        <v>6.4097286403860805</v>
      </c>
      <c r="F207" s="117">
        <v>5.0416531928902009</v>
      </c>
      <c r="G207" s="117">
        <v>5.0189618046410285</v>
      </c>
      <c r="H207" s="117">
        <v>4.9313470449682475</v>
      </c>
      <c r="I207" s="117">
        <v>5.9157648143282335</v>
      </c>
      <c r="J207" s="117">
        <v>5.6318085638168736</v>
      </c>
      <c r="K207" s="118">
        <v>4.5661209690119158</v>
      </c>
    </row>
    <row r="208" spans="2:11" x14ac:dyDescent="0.3">
      <c r="B208" s="120" t="s">
        <v>1519</v>
      </c>
      <c r="C208" s="108" t="s">
        <v>1416</v>
      </c>
      <c r="D208" s="129">
        <v>3.4970397483270403</v>
      </c>
      <c r="E208" s="109">
        <v>3.0965368208683612</v>
      </c>
      <c r="F208" s="109">
        <v>1.9058139411252553</v>
      </c>
      <c r="G208" s="109">
        <v>1.7950493096681488</v>
      </c>
      <c r="H208" s="109">
        <v>1.8043536476331201</v>
      </c>
      <c r="I208" s="109">
        <v>2.6006445941645486</v>
      </c>
      <c r="J208" s="109">
        <v>2.3421840255619726</v>
      </c>
      <c r="K208" s="110">
        <v>1.3945366129073049</v>
      </c>
    </row>
    <row r="209" spans="2:11" x14ac:dyDescent="0.3">
      <c r="B209" s="111"/>
      <c r="C209" s="112" t="s">
        <v>1483</v>
      </c>
      <c r="D209" s="130">
        <v>3.8091950574014524</v>
      </c>
      <c r="E209" s="1499">
        <v>3.4088283589137358</v>
      </c>
      <c r="F209" s="1499">
        <v>2.2205451835150263</v>
      </c>
      <c r="G209" s="1499">
        <v>2.1175594858098141</v>
      </c>
      <c r="H209" s="1499">
        <v>2.1199701460030838</v>
      </c>
      <c r="I209" s="1499">
        <v>2.9181281072577652</v>
      </c>
      <c r="J209" s="1499">
        <v>2.6650075349071507</v>
      </c>
      <c r="K209" s="113">
        <v>1.7240676365251837</v>
      </c>
    </row>
    <row r="210" spans="2:11" x14ac:dyDescent="0.3">
      <c r="B210" s="111"/>
      <c r="C210" s="112" t="s">
        <v>1489</v>
      </c>
      <c r="D210" s="130">
        <v>3.7709085226686918</v>
      </c>
      <c r="E210" s="1499">
        <v>3.3705418241809753</v>
      </c>
      <c r="F210" s="1499">
        <v>2.1822586487822653</v>
      </c>
      <c r="G210" s="1499">
        <v>2.0792729510770536</v>
      </c>
      <c r="H210" s="1499">
        <v>2.0816836112703228</v>
      </c>
      <c r="I210" s="1499">
        <v>2.8798415725250046</v>
      </c>
      <c r="J210" s="1499">
        <v>2.6267210001743897</v>
      </c>
      <c r="K210" s="113">
        <v>1.6857811017924231</v>
      </c>
    </row>
    <row r="211" spans="2:11" x14ac:dyDescent="0.3">
      <c r="B211" s="114">
        <v>0</v>
      </c>
      <c r="C211" s="112" t="s">
        <v>1496</v>
      </c>
      <c r="D211" s="130">
        <v>3.7134787205695505</v>
      </c>
      <c r="E211" s="1499">
        <v>3.313112022081834</v>
      </c>
      <c r="F211" s="1499">
        <v>2.124828846683124</v>
      </c>
      <c r="G211" s="1499">
        <v>2.0218431489779123</v>
      </c>
      <c r="H211" s="1499">
        <v>2.0242538091711815</v>
      </c>
      <c r="I211" s="1499">
        <v>2.8224117704258633</v>
      </c>
      <c r="J211" s="1499">
        <v>2.5692911980752484</v>
      </c>
      <c r="K211" s="113">
        <v>1.6283512996932819</v>
      </c>
    </row>
    <row r="212" spans="2:11" x14ac:dyDescent="0.3">
      <c r="B212" s="115"/>
      <c r="C212" s="112" t="s">
        <v>1500</v>
      </c>
      <c r="D212" s="130">
        <v>3.6560489184704092</v>
      </c>
      <c r="E212" s="1499">
        <v>3.2556822199826927</v>
      </c>
      <c r="F212" s="1499">
        <v>2.0673990445839827</v>
      </c>
      <c r="G212" s="1499">
        <v>1.9644133468787708</v>
      </c>
      <c r="H212" s="1499">
        <v>1.9668240070720402</v>
      </c>
      <c r="I212" s="1499">
        <v>2.7649819683267216</v>
      </c>
      <c r="J212" s="1499">
        <v>2.5118613959761071</v>
      </c>
      <c r="K212" s="113">
        <v>1.5709214975941403</v>
      </c>
    </row>
    <row r="213" spans="2:11" x14ac:dyDescent="0.3">
      <c r="B213" s="115"/>
      <c r="C213" s="112" t="s">
        <v>1504</v>
      </c>
      <c r="D213" s="130">
        <v>3.7466558407925872</v>
      </c>
      <c r="E213" s="1499">
        <v>3.3454835196894188</v>
      </c>
      <c r="F213" s="1499">
        <v>2.1565756359260813</v>
      </c>
      <c r="G213" s="1499">
        <v>2.0528615811912445</v>
      </c>
      <c r="H213" s="1499">
        <v>2.056745347756376</v>
      </c>
      <c r="I213" s="1499">
        <v>2.8530527942807504</v>
      </c>
      <c r="J213" s="1499">
        <v>2.5998953326341492</v>
      </c>
      <c r="K213" s="113">
        <v>1.6553524997022067</v>
      </c>
    </row>
    <row r="214" spans="2:11" x14ac:dyDescent="0.3">
      <c r="B214" s="115"/>
      <c r="C214" s="112" t="s">
        <v>1508</v>
      </c>
      <c r="D214" s="130">
        <v>3.7144435497531982</v>
      </c>
      <c r="E214" s="1499">
        <v>3.3132712286500299</v>
      </c>
      <c r="F214" s="1499">
        <v>2.1243633448866923</v>
      </c>
      <c r="G214" s="1499">
        <v>2.0206492901518556</v>
      </c>
      <c r="H214" s="1499">
        <v>2.024533056716987</v>
      </c>
      <c r="I214" s="1499">
        <v>2.8208405032413615</v>
      </c>
      <c r="J214" s="1499">
        <v>2.5676830415947598</v>
      </c>
      <c r="K214" s="113">
        <v>1.6231402086628179</v>
      </c>
    </row>
    <row r="215" spans="2:11" x14ac:dyDescent="0.3">
      <c r="B215" s="115"/>
      <c r="C215" s="112" t="s">
        <v>1513</v>
      </c>
      <c r="D215" s="130">
        <v>3.666125113194115</v>
      </c>
      <c r="E215" s="1499">
        <v>3.2649527920909467</v>
      </c>
      <c r="F215" s="1499">
        <v>2.0760449083276087</v>
      </c>
      <c r="G215" s="1499">
        <v>1.9723308535927719</v>
      </c>
      <c r="H215" s="1499">
        <v>1.9762146201579034</v>
      </c>
      <c r="I215" s="1499">
        <v>2.7725220666822774</v>
      </c>
      <c r="J215" s="1499">
        <v>2.5193646050356762</v>
      </c>
      <c r="K215" s="113">
        <v>1.5748217721037343</v>
      </c>
    </row>
    <row r="216" spans="2:11" x14ac:dyDescent="0.3">
      <c r="B216" s="115"/>
      <c r="C216" s="112" t="s">
        <v>1517</v>
      </c>
      <c r="D216" s="130">
        <v>3.617806676635031</v>
      </c>
      <c r="E216" s="1499">
        <v>3.2166343555318626</v>
      </c>
      <c r="F216" s="1499">
        <v>2.0277264717685251</v>
      </c>
      <c r="G216" s="1499">
        <v>1.9240124170336883</v>
      </c>
      <c r="H216" s="1499">
        <v>1.9278961835988198</v>
      </c>
      <c r="I216" s="1499">
        <v>2.7242036301231942</v>
      </c>
      <c r="J216" s="1499">
        <v>2.4710461684765925</v>
      </c>
      <c r="K216" s="113">
        <v>1.5265033355446507</v>
      </c>
    </row>
    <row r="217" spans="2:11" ht="14.5" thickBot="1" x14ac:dyDescent="0.35">
      <c r="B217" s="1233"/>
      <c r="C217" s="116" t="s">
        <v>1519</v>
      </c>
      <c r="D217" s="131">
        <v>3.8091950574014524</v>
      </c>
      <c r="E217" s="117">
        <v>3.4088283589137358</v>
      </c>
      <c r="F217" s="117">
        <v>2.2205451835150263</v>
      </c>
      <c r="G217" s="117">
        <v>2.1175594858098141</v>
      </c>
      <c r="H217" s="117">
        <v>2.1199701460030838</v>
      </c>
      <c r="I217" s="117">
        <v>2.9181281072577652</v>
      </c>
      <c r="J217" s="117">
        <v>2.6650075349071507</v>
      </c>
      <c r="K217" s="118">
        <v>1.7240676365251837</v>
      </c>
    </row>
    <row r="221" spans="2:11" ht="14.5" thickBot="1" x14ac:dyDescent="0.35"/>
    <row r="222" spans="2:11" x14ac:dyDescent="0.3">
      <c r="C222" s="132" t="s">
        <v>1995</v>
      </c>
      <c r="D222" s="132"/>
      <c r="E222" s="132"/>
      <c r="F222" s="132"/>
    </row>
    <row r="223" spans="2:11" x14ac:dyDescent="0.3">
      <c r="C223" s="1504" t="s">
        <v>1996</v>
      </c>
      <c r="D223" s="1504" t="s">
        <v>1997</v>
      </c>
      <c r="E223" s="1504" t="s">
        <v>1998</v>
      </c>
      <c r="F223" s="1504" t="s">
        <v>1999</v>
      </c>
    </row>
    <row r="224" spans="2:11" x14ac:dyDescent="0.3">
      <c r="C224" s="1498">
        <v>1</v>
      </c>
      <c r="D224" s="1505">
        <v>249.52632362291251</v>
      </c>
      <c r="E224" s="1506">
        <v>4.830164994636324E-2</v>
      </c>
      <c r="F224" s="1507">
        <v>1.9320659978545298</v>
      </c>
      <c r="H224" s="134" t="s">
        <v>2000</v>
      </c>
    </row>
    <row r="225" spans="2:11" x14ac:dyDescent="0.3">
      <c r="C225" s="1498">
        <v>1.5</v>
      </c>
      <c r="D225" s="1505">
        <v>210.71515158456367</v>
      </c>
      <c r="E225" s="1506">
        <v>4.0788840802277133E-2</v>
      </c>
      <c r="F225" s="1507">
        <v>1.6315536320910853</v>
      </c>
      <c r="H225" s="134" t="s">
        <v>2001</v>
      </c>
    </row>
    <row r="226" spans="2:11" x14ac:dyDescent="0.3">
      <c r="C226" s="1498">
        <v>2</v>
      </c>
      <c r="D226" s="1505">
        <v>183.17818679277136</v>
      </c>
      <c r="E226" s="1506">
        <v>3.5458417884779589E-2</v>
      </c>
      <c r="F226" s="1507">
        <v>1.4183367153911834</v>
      </c>
    </row>
    <row r="227" spans="2:11" x14ac:dyDescent="0.3">
      <c r="C227" s="1498">
        <v>2.5</v>
      </c>
      <c r="D227" s="1505">
        <v>161.81885750371796</v>
      </c>
      <c r="E227" s="1506">
        <v>3.1323820654997669E-2</v>
      </c>
      <c r="F227" s="1507">
        <v>1.252952826199907</v>
      </c>
    </row>
    <row r="228" spans="2:11" x14ac:dyDescent="0.3">
      <c r="B228" s="2"/>
      <c r="C228" s="1498">
        <v>3</v>
      </c>
      <c r="D228" s="1505">
        <v>144.36701475442251</v>
      </c>
      <c r="E228" s="1506">
        <v>2.7945608740693479E-2</v>
      </c>
      <c r="F228" s="1507">
        <v>1.1178243496277391</v>
      </c>
      <c r="I228" s="135"/>
      <c r="J228" s="135"/>
      <c r="K228" s="135"/>
    </row>
    <row r="229" spans="2:11" x14ac:dyDescent="0.3">
      <c r="B229" s="136"/>
      <c r="C229" s="1498">
        <v>3.5</v>
      </c>
      <c r="D229" s="1505">
        <v>129.61169195360549</v>
      </c>
      <c r="E229" s="1506">
        <v>2.5089371264731992E-2</v>
      </c>
      <c r="F229" s="1507">
        <v>1.0035748505892799</v>
      </c>
      <c r="I229" s="135"/>
      <c r="J229" s="135"/>
      <c r="K229" s="135"/>
    </row>
    <row r="230" spans="2:11" x14ac:dyDescent="0.3">
      <c r="B230" s="136"/>
      <c r="C230" s="1498">
        <v>4</v>
      </c>
      <c r="D230" s="1505">
        <v>116.83004996263021</v>
      </c>
      <c r="E230" s="1506">
        <v>2.2615185823195934E-2</v>
      </c>
      <c r="F230" s="1507">
        <v>0.90460743292783741</v>
      </c>
      <c r="I230" s="135"/>
      <c r="J230" s="135"/>
      <c r="K230" s="135"/>
    </row>
    <row r="231" spans="2:11" x14ac:dyDescent="0.3">
      <c r="B231" s="137"/>
      <c r="C231" s="1498">
        <v>4.5</v>
      </c>
      <c r="D231" s="1505">
        <v>105.55584271607371</v>
      </c>
      <c r="E231" s="1506">
        <v>2.043279959660738E-2</v>
      </c>
      <c r="F231" s="1507">
        <v>0.81731198386429516</v>
      </c>
      <c r="I231" s="135"/>
      <c r="J231" s="135"/>
      <c r="K231" s="135"/>
    </row>
    <row r="232" spans="2:11" x14ac:dyDescent="0.3">
      <c r="C232" s="1498">
        <v>5</v>
      </c>
      <c r="D232" s="1505">
        <v>95.470720673576821</v>
      </c>
      <c r="E232" s="1506">
        <v>1.8480588593414018E-2</v>
      </c>
      <c r="F232" s="1507">
        <v>0.73922354373656085</v>
      </c>
      <c r="I232" s="135"/>
      <c r="J232" s="135"/>
      <c r="K232" s="135"/>
    </row>
    <row r="233" spans="2:11" x14ac:dyDescent="0.3">
      <c r="C233" s="1498">
        <v>5.5</v>
      </c>
      <c r="D233" s="1505">
        <v>86.347618065189565</v>
      </c>
      <c r="E233" s="1506">
        <v>1.6714598928608122E-2</v>
      </c>
      <c r="F233" s="1507">
        <v>0.66858395714432495</v>
      </c>
      <c r="I233" s="135"/>
      <c r="J233" s="135"/>
      <c r="K233" s="135"/>
    </row>
    <row r="234" spans="2:11" x14ac:dyDescent="0.3">
      <c r="C234" s="1498">
        <v>6</v>
      </c>
      <c r="D234" s="1505">
        <v>78.018877924281412</v>
      </c>
      <c r="E234" s="1506">
        <v>1.5102376679109835E-2</v>
      </c>
      <c r="F234" s="1507">
        <v>0.60409506716439332</v>
      </c>
      <c r="I234" s="135"/>
      <c r="J234" s="135"/>
      <c r="K234" s="135"/>
    </row>
    <row r="235" spans="2:11" x14ac:dyDescent="0.3">
      <c r="C235" s="1498">
        <v>6.5</v>
      </c>
      <c r="D235" s="1505">
        <v>70.357179702139533</v>
      </c>
      <c r="E235" s="1506">
        <v>1.3619275977959644E-2</v>
      </c>
      <c r="F235" s="1507">
        <v>0.54477103911838576</v>
      </c>
      <c r="I235" s="135"/>
      <c r="J235" s="135"/>
      <c r="K235" s="135"/>
    </row>
    <row r="236" spans="2:11" x14ac:dyDescent="0.3">
      <c r="C236" s="1498">
        <v>7</v>
      </c>
      <c r="D236" s="1505">
        <v>63.263555123464343</v>
      </c>
      <c r="E236" s="1506">
        <v>1.2246139203148342E-2</v>
      </c>
      <c r="F236" s="1507">
        <v>0.48984556812593361</v>
      </c>
      <c r="I236" s="135"/>
      <c r="J236" s="135"/>
      <c r="K236" s="135"/>
    </row>
    <row r="237" spans="2:11" x14ac:dyDescent="0.3">
      <c r="C237" s="1498">
        <v>7.5</v>
      </c>
      <c r="D237" s="1505">
        <v>56.659548635228028</v>
      </c>
      <c r="E237" s="1506">
        <v>1.0967779449327919E-2</v>
      </c>
      <c r="F237" s="1507">
        <v>0.43871117797311671</v>
      </c>
      <c r="I237" s="135"/>
      <c r="J237" s="135"/>
      <c r="K237" s="135"/>
    </row>
    <row r="238" spans="2:11" x14ac:dyDescent="0.3">
      <c r="B238" s="2"/>
      <c r="C238" s="1498">
        <v>8</v>
      </c>
      <c r="D238" s="1505">
        <v>50.481913132489062</v>
      </c>
      <c r="E238" s="1506">
        <v>9.7719537616122853E-3</v>
      </c>
      <c r="F238" s="1507">
        <v>0.39087815046449131</v>
      </c>
      <c r="I238" s="135"/>
      <c r="J238" s="135"/>
      <c r="K238" s="135"/>
    </row>
    <row r="239" spans="2:11" x14ac:dyDescent="0.3">
      <c r="B239" s="136"/>
      <c r="C239" s="1498">
        <v>8.5</v>
      </c>
      <c r="D239" s="1505">
        <v>44.678916573658626</v>
      </c>
      <c r="E239" s="1506">
        <v>8.6486481946687222E-3</v>
      </c>
      <c r="F239" s="1507">
        <v>0.34594592778674893</v>
      </c>
      <c r="I239" s="135"/>
      <c r="J239" s="135"/>
      <c r="K239" s="135"/>
    </row>
    <row r="240" spans="2:11" x14ac:dyDescent="0.3">
      <c r="B240" s="136"/>
      <c r="C240" s="1498">
        <v>9</v>
      </c>
      <c r="D240" s="1505">
        <v>39.207705885932548</v>
      </c>
      <c r="E240" s="1506">
        <v>7.5895675350237217E-3</v>
      </c>
      <c r="F240" s="1507">
        <v>0.30358270140094884</v>
      </c>
      <c r="I240" s="135"/>
      <c r="J240" s="135"/>
      <c r="K240" s="135"/>
    </row>
    <row r="241" spans="2:11" x14ac:dyDescent="0.3">
      <c r="B241" s="137"/>
      <c r="C241" s="1498">
        <v>9.5</v>
      </c>
      <c r="D241" s="1505">
        <v>34.032384546577347</v>
      </c>
      <c r="E241" s="1506">
        <v>6.5877631720049051E-3</v>
      </c>
      <c r="F241" s="1507">
        <v>0.26351052688019627</v>
      </c>
      <c r="I241" s="135"/>
      <c r="J241" s="135"/>
      <c r="K241" s="135"/>
    </row>
    <row r="242" spans="2:11" x14ac:dyDescent="0.3">
      <c r="C242" s="1498">
        <v>10</v>
      </c>
      <c r="D242" s="1505">
        <v>29.122583843435628</v>
      </c>
      <c r="E242" s="1506">
        <v>5.6373565318303589E-3</v>
      </c>
      <c r="F242" s="1507">
        <v>0.22549426127321434</v>
      </c>
      <c r="I242" s="135"/>
      <c r="J242" s="135"/>
      <c r="K242" s="135"/>
    </row>
    <row r="243" spans="2:11" x14ac:dyDescent="0.3">
      <c r="I243" s="135"/>
      <c r="J243" s="135"/>
      <c r="K243" s="135"/>
    </row>
    <row r="244" spans="2:11" ht="14.5" thickBot="1" x14ac:dyDescent="0.35">
      <c r="I244" s="135"/>
      <c r="J244" s="135"/>
      <c r="K244" s="135"/>
    </row>
    <row r="245" spans="2:11" x14ac:dyDescent="0.3">
      <c r="C245" s="132" t="s">
        <v>2002</v>
      </c>
      <c r="D245" s="132"/>
      <c r="E245" s="132"/>
      <c r="F245" s="132"/>
      <c r="H245" s="134" t="s">
        <v>2003</v>
      </c>
      <c r="I245" s="135"/>
      <c r="J245" s="135"/>
      <c r="K245" s="135"/>
    </row>
    <row r="246" spans="2:11" x14ac:dyDescent="0.3">
      <c r="C246" s="1508" t="s">
        <v>1996</v>
      </c>
      <c r="D246" s="1508" t="s">
        <v>2004</v>
      </c>
      <c r="E246" s="1508" t="s">
        <v>2005</v>
      </c>
      <c r="F246" s="1508" t="s">
        <v>2006</v>
      </c>
      <c r="H246" s="134" t="s">
        <v>2007</v>
      </c>
      <c r="I246" s="135"/>
      <c r="J246" s="135"/>
      <c r="K246" s="135"/>
    </row>
    <row r="247" spans="2:11" x14ac:dyDescent="0.3">
      <c r="C247" s="1498" t="s">
        <v>376</v>
      </c>
      <c r="D247" s="1509">
        <v>296.01515332333611</v>
      </c>
      <c r="E247" s="1510">
        <v>5.7300649114079769E-2</v>
      </c>
      <c r="F247" s="1511">
        <v>2.2920259645631909</v>
      </c>
      <c r="I247" s="135"/>
      <c r="J247" s="135"/>
      <c r="K247" s="135"/>
    </row>
    <row r="248" spans="2:11" x14ac:dyDescent="0.3">
      <c r="B248" s="2"/>
      <c r="D248" s="135"/>
      <c r="E248" s="135"/>
      <c r="F248" s="135"/>
      <c r="G248" s="135"/>
      <c r="H248" s="135"/>
      <c r="I248" s="135"/>
      <c r="J248" s="135"/>
      <c r="K248" s="135"/>
    </row>
    <row r="249" spans="2:11" x14ac:dyDescent="0.3">
      <c r="B249" s="136"/>
      <c r="D249" s="135"/>
      <c r="E249" s="135"/>
      <c r="F249" s="135"/>
      <c r="G249" s="135"/>
      <c r="H249" s="135"/>
      <c r="I249" s="135"/>
      <c r="J249" s="135"/>
      <c r="K249" s="135"/>
    </row>
    <row r="250" spans="2:11" x14ac:dyDescent="0.3">
      <c r="B250" s="136"/>
      <c r="D250" s="135"/>
      <c r="E250" s="135"/>
      <c r="F250" s="135"/>
      <c r="G250" s="135"/>
      <c r="H250" s="135"/>
      <c r="I250" s="135"/>
      <c r="J250" s="135"/>
      <c r="K250" s="135"/>
    </row>
    <row r="251" spans="2:11" x14ac:dyDescent="0.3">
      <c r="B251" s="137"/>
      <c r="D251" s="135"/>
      <c r="E251" s="135"/>
      <c r="F251" s="135"/>
      <c r="G251" s="135"/>
      <c r="H251" s="135"/>
      <c r="I251" s="135"/>
      <c r="J251" s="135"/>
      <c r="K251" s="135"/>
    </row>
    <row r="252" spans="2:11" x14ac:dyDescent="0.3">
      <c r="D252" s="135"/>
      <c r="E252" s="135"/>
      <c r="F252" s="135"/>
      <c r="G252" s="135"/>
      <c r="H252" s="135"/>
      <c r="I252" s="135"/>
      <c r="J252" s="135"/>
      <c r="K252" s="135"/>
    </row>
    <row r="253" spans="2:11" x14ac:dyDescent="0.3">
      <c r="D253" s="135"/>
      <c r="E253" s="135"/>
      <c r="F253" s="135"/>
      <c r="G253" s="135"/>
      <c r="H253" s="135"/>
      <c r="I253" s="135"/>
      <c r="J253" s="135"/>
      <c r="K253" s="135"/>
    </row>
    <row r="254" spans="2:11" x14ac:dyDescent="0.3">
      <c r="D254" s="135"/>
      <c r="E254" s="135"/>
      <c r="F254" s="135"/>
      <c r="G254" s="135"/>
      <c r="H254" s="135"/>
      <c r="I254" s="135"/>
      <c r="J254" s="135"/>
      <c r="K254" s="135"/>
    </row>
    <row r="255" spans="2:11" x14ac:dyDescent="0.3">
      <c r="D255" s="135"/>
      <c r="E255" s="135"/>
      <c r="F255" s="135"/>
      <c r="G255" s="135"/>
      <c r="H255" s="135"/>
      <c r="I255" s="135"/>
      <c r="J255" s="135"/>
      <c r="K255" s="135"/>
    </row>
    <row r="256" spans="2:11" x14ac:dyDescent="0.3">
      <c r="D256" s="135"/>
      <c r="E256" s="135"/>
      <c r="F256" s="135"/>
      <c r="G256" s="135"/>
      <c r="H256" s="135"/>
      <c r="I256" s="135"/>
      <c r="J256" s="135"/>
      <c r="K256" s="135"/>
    </row>
    <row r="257" spans="4:11" x14ac:dyDescent="0.3">
      <c r="D257" s="135"/>
      <c r="E257" s="135"/>
      <c r="F257" s="135"/>
      <c r="G257" s="135"/>
      <c r="H257" s="135"/>
      <c r="I257" s="135"/>
      <c r="J257" s="135"/>
      <c r="K257" s="135"/>
    </row>
  </sheetData>
  <sheetProtection algorithmName="SHA-512" hashValue="EfZbAx3HRXqjgMizXVBgt/5smWPDX+avCqrxt40cv3zQz9ED3x0soU+Nr3Ht8cfeOuyIZVQILWoG+AdPaHnaJQ==" saltValue="KebPdN8SBoozHhiu3QG2fQ==" spinCount="100000" sheet="1" objects="1" scenarios="1" autoFilter="0"/>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8"/>
  <dimension ref="B1:K257"/>
  <sheetViews>
    <sheetView topLeftCell="A199" workbookViewId="0">
      <selection activeCell="G9" sqref="G9"/>
    </sheetView>
  </sheetViews>
  <sheetFormatPr defaultColWidth="7.58203125" defaultRowHeight="14" x14ac:dyDescent="0.3"/>
  <sheetData>
    <row r="1" spans="2:11" ht="14.5" thickBot="1" x14ac:dyDescent="0.35"/>
    <row r="2" spans="2:11" ht="25.5" thickBot="1" x14ac:dyDescent="0.55000000000000004">
      <c r="B2" s="88" t="s">
        <v>1960</v>
      </c>
      <c r="C2" s="89"/>
      <c r="D2" s="90">
        <v>7</v>
      </c>
      <c r="E2" s="91" t="s">
        <v>1961</v>
      </c>
      <c r="F2" s="92"/>
      <c r="G2" s="92"/>
      <c r="H2" s="92"/>
      <c r="I2" s="93"/>
      <c r="J2" s="89" t="s">
        <v>176</v>
      </c>
      <c r="K2" s="94" t="s">
        <v>239</v>
      </c>
    </row>
    <row r="3" spans="2:11" ht="14.5" thickBot="1" x14ac:dyDescent="0.35">
      <c r="B3" s="95" t="s">
        <v>1962</v>
      </c>
      <c r="C3" s="96" t="s">
        <v>1963</v>
      </c>
      <c r="D3" s="95" t="s">
        <v>1964</v>
      </c>
      <c r="E3" s="97" t="s">
        <v>1965</v>
      </c>
      <c r="F3" s="97" t="s">
        <v>1966</v>
      </c>
      <c r="G3" s="97" t="s">
        <v>1967</v>
      </c>
      <c r="H3" s="97" t="s">
        <v>1968</v>
      </c>
      <c r="I3" s="97" t="s">
        <v>1969</v>
      </c>
      <c r="J3" s="97" t="s">
        <v>1970</v>
      </c>
      <c r="K3" s="98" t="s">
        <v>1971</v>
      </c>
    </row>
    <row r="4" spans="2:11" ht="18.5" thickBot="1" x14ac:dyDescent="0.45">
      <c r="B4" s="99" t="s">
        <v>34</v>
      </c>
      <c r="C4" s="100" t="s">
        <v>34</v>
      </c>
      <c r="D4" s="101" t="s">
        <v>34</v>
      </c>
      <c r="E4" s="944"/>
      <c r="F4" s="944"/>
      <c r="G4" s="944"/>
      <c r="H4" s="944"/>
      <c r="I4" s="944" t="s">
        <v>34</v>
      </c>
      <c r="J4" s="944" t="s">
        <v>34</v>
      </c>
      <c r="K4" s="102"/>
    </row>
    <row r="5" spans="2:11" ht="90.5" thickBot="1" x14ac:dyDescent="0.45">
      <c r="B5" s="103" t="s">
        <v>1972</v>
      </c>
      <c r="C5" s="104" t="s">
        <v>1973</v>
      </c>
      <c r="D5" s="105" t="s">
        <v>1974</v>
      </c>
      <c r="E5" s="105" t="s">
        <v>1525</v>
      </c>
      <c r="F5" s="105" t="s">
        <v>1527</v>
      </c>
      <c r="G5" s="105" t="s">
        <v>1975</v>
      </c>
      <c r="H5" s="105" t="s">
        <v>1976</v>
      </c>
      <c r="I5" s="105" t="s">
        <v>1445</v>
      </c>
      <c r="J5" s="105" t="s">
        <v>1538</v>
      </c>
      <c r="K5" s="106" t="s">
        <v>1541</v>
      </c>
    </row>
    <row r="6" spans="2:11" x14ac:dyDescent="0.3">
      <c r="B6" s="107" t="s">
        <v>1977</v>
      </c>
      <c r="C6" s="108" t="s">
        <v>1416</v>
      </c>
      <c r="D6" s="109">
        <v>9.4375944983681368</v>
      </c>
      <c r="E6" s="109">
        <v>8.7796275226757228</v>
      </c>
      <c r="F6" s="109">
        <v>7.3572088600947589</v>
      </c>
      <c r="G6" s="109">
        <v>7.1884471434694239</v>
      </c>
      <c r="H6" s="109">
        <v>7.8506763933124022</v>
      </c>
      <c r="I6" s="109">
        <v>10.5399479557575</v>
      </c>
      <c r="J6" s="109">
        <v>9.7530647639389425</v>
      </c>
      <c r="K6" s="110">
        <v>7.3889866202717833</v>
      </c>
    </row>
    <row r="7" spans="2:11" x14ac:dyDescent="0.3">
      <c r="B7" s="111" t="s">
        <v>1978</v>
      </c>
      <c r="C7" s="112" t="s">
        <v>1483</v>
      </c>
      <c r="D7" s="1499">
        <v>9.4553909200564803</v>
      </c>
      <c r="E7" s="1499">
        <v>8.7974242577671991</v>
      </c>
      <c r="F7" s="1499">
        <v>7.3763727244516311</v>
      </c>
      <c r="G7" s="1499">
        <v>7.2074595301198778</v>
      </c>
      <c r="H7" s="1499">
        <v>7.8689525681526495</v>
      </c>
      <c r="I7" s="1499">
        <v>10.556459841232122</v>
      </c>
      <c r="J7" s="1499">
        <v>9.7700307169287317</v>
      </c>
      <c r="K7" s="113">
        <v>7.407856947740922</v>
      </c>
    </row>
    <row r="8" spans="2:11" x14ac:dyDescent="0.3">
      <c r="B8" s="111" t="s">
        <v>1979</v>
      </c>
      <c r="C8" s="112" t="s">
        <v>1489</v>
      </c>
      <c r="D8" s="1499">
        <v>9.4527946845616295</v>
      </c>
      <c r="E8" s="1499">
        <v>8.7948280222723465</v>
      </c>
      <c r="F8" s="1499">
        <v>7.3737764889567794</v>
      </c>
      <c r="G8" s="1499">
        <v>7.2048632946250262</v>
      </c>
      <c r="H8" s="1499">
        <v>7.8663563326577979</v>
      </c>
      <c r="I8" s="1499">
        <v>10.55386360573727</v>
      </c>
      <c r="J8" s="1499">
        <v>9.7674344814338809</v>
      </c>
      <c r="K8" s="113">
        <v>7.4052607122460694</v>
      </c>
    </row>
    <row r="9" spans="2:11" x14ac:dyDescent="0.3">
      <c r="B9" s="114">
        <v>0</v>
      </c>
      <c r="C9" s="112" t="s">
        <v>1496</v>
      </c>
      <c r="D9" s="1499">
        <v>9.4489003313193525</v>
      </c>
      <c r="E9" s="1499">
        <v>8.7909336690300695</v>
      </c>
      <c r="F9" s="1499">
        <v>7.3698821357145032</v>
      </c>
      <c r="G9" s="1499">
        <v>7.2009689413827491</v>
      </c>
      <c r="H9" s="1499">
        <v>7.8624619794155217</v>
      </c>
      <c r="I9" s="1499">
        <v>10.549969252494995</v>
      </c>
      <c r="J9" s="1499">
        <v>9.7635401281916039</v>
      </c>
      <c r="K9" s="113">
        <v>7.4013663590037932</v>
      </c>
    </row>
    <row r="10" spans="2:11" x14ac:dyDescent="0.3">
      <c r="B10" s="115"/>
      <c r="C10" s="112" t="s">
        <v>1500</v>
      </c>
      <c r="D10" s="1499">
        <v>9.4450059780770754</v>
      </c>
      <c r="E10" s="1499">
        <v>8.7870393157877942</v>
      </c>
      <c r="F10" s="1499">
        <v>7.3659877824722262</v>
      </c>
      <c r="G10" s="1499">
        <v>7.197074588140473</v>
      </c>
      <c r="H10" s="1499">
        <v>7.8585676261732447</v>
      </c>
      <c r="I10" s="1499">
        <v>10.546074899252718</v>
      </c>
      <c r="J10" s="1499">
        <v>9.7596457749493268</v>
      </c>
      <c r="K10" s="113">
        <v>7.3974720057615171</v>
      </c>
    </row>
    <row r="11" spans="2:11" x14ac:dyDescent="0.3">
      <c r="B11" s="115"/>
      <c r="C11" s="112" t="s">
        <v>1504</v>
      </c>
      <c r="D11" s="1499">
        <v>9.4511867950940349</v>
      </c>
      <c r="E11" s="1499">
        <v>8.7941592076734754</v>
      </c>
      <c r="F11" s="1499">
        <v>7.3723247175454816</v>
      </c>
      <c r="G11" s="1499">
        <v>7.2036091173763097</v>
      </c>
      <c r="H11" s="1499">
        <v>7.8654492405502987</v>
      </c>
      <c r="I11" s="1499">
        <v>10.553832149058223</v>
      </c>
      <c r="J11" s="1499">
        <v>9.7672560594897444</v>
      </c>
      <c r="K11" s="113">
        <v>7.4040801061899355</v>
      </c>
    </row>
    <row r="12" spans="2:11" x14ac:dyDescent="0.3">
      <c r="B12" s="115"/>
      <c r="C12" s="112" t="s">
        <v>1508</v>
      </c>
      <c r="D12" s="1499">
        <v>9.4490229726383657</v>
      </c>
      <c r="E12" s="1499">
        <v>8.7919953852178043</v>
      </c>
      <c r="F12" s="1499">
        <v>7.3701608950898114</v>
      </c>
      <c r="G12" s="1499">
        <v>7.2014452949206404</v>
      </c>
      <c r="H12" s="1499">
        <v>7.8632854180946286</v>
      </c>
      <c r="I12" s="1499">
        <v>10.551668326602552</v>
      </c>
      <c r="J12" s="1499">
        <v>9.7650922370340751</v>
      </c>
      <c r="K12" s="113">
        <v>7.4019162837342654</v>
      </c>
    </row>
    <row r="13" spans="2:11" x14ac:dyDescent="0.3">
      <c r="B13" s="115"/>
      <c r="C13" s="112" t="s">
        <v>1513</v>
      </c>
      <c r="D13" s="1499">
        <v>9.4457772389548609</v>
      </c>
      <c r="E13" s="1499">
        <v>8.7887496515343013</v>
      </c>
      <c r="F13" s="1499">
        <v>7.3669151614063075</v>
      </c>
      <c r="G13" s="1499">
        <v>7.1981995612371366</v>
      </c>
      <c r="H13" s="1499">
        <v>7.8600396844111247</v>
      </c>
      <c r="I13" s="1499">
        <v>10.548422592919049</v>
      </c>
      <c r="J13" s="1499">
        <v>9.7618465033505704</v>
      </c>
      <c r="K13" s="113">
        <v>7.3986705500507615</v>
      </c>
    </row>
    <row r="14" spans="2:11" x14ac:dyDescent="0.3">
      <c r="B14" s="115"/>
      <c r="C14" s="112" t="s">
        <v>1517</v>
      </c>
      <c r="D14" s="1499">
        <v>9.4425315052713561</v>
      </c>
      <c r="E14" s="1499">
        <v>8.7855039178507965</v>
      </c>
      <c r="F14" s="1499">
        <v>7.3636694277228028</v>
      </c>
      <c r="G14" s="1499">
        <v>7.1949538275536318</v>
      </c>
      <c r="H14" s="1499">
        <v>7.8567939507276199</v>
      </c>
      <c r="I14" s="1499">
        <v>10.545176859235545</v>
      </c>
      <c r="J14" s="1499">
        <v>9.7586007696670656</v>
      </c>
      <c r="K14" s="113">
        <v>7.3954248163672567</v>
      </c>
    </row>
    <row r="15" spans="2:11" ht="14.5" thickBot="1" x14ac:dyDescent="0.35">
      <c r="B15" s="1233"/>
      <c r="C15" s="116" t="s">
        <v>1519</v>
      </c>
      <c r="D15" s="117">
        <v>9.4553909200564803</v>
      </c>
      <c r="E15" s="117">
        <v>8.7974242577671991</v>
      </c>
      <c r="F15" s="117">
        <v>7.3763727244516311</v>
      </c>
      <c r="G15" s="117">
        <v>7.2074595301198778</v>
      </c>
      <c r="H15" s="117">
        <v>7.8689525681526495</v>
      </c>
      <c r="I15" s="117">
        <v>10.556459841232122</v>
      </c>
      <c r="J15" s="117">
        <v>9.7700307169287317</v>
      </c>
      <c r="K15" s="118">
        <v>7.407856947740922</v>
      </c>
    </row>
    <row r="16" spans="2:11" x14ac:dyDescent="0.3">
      <c r="B16" s="107" t="s">
        <v>1977</v>
      </c>
      <c r="C16" s="108" t="s">
        <v>1416</v>
      </c>
      <c r="D16" s="109">
        <v>8.9896912281771364</v>
      </c>
      <c r="E16" s="109">
        <v>8.3317242524847224</v>
      </c>
      <c r="F16" s="109">
        <v>6.9093055899037585</v>
      </c>
      <c r="G16" s="109">
        <v>6.7405438732784235</v>
      </c>
      <c r="H16" s="109">
        <v>7.4027731231214018</v>
      </c>
      <c r="I16" s="109">
        <v>10.092044685566499</v>
      </c>
      <c r="J16" s="109">
        <v>9.3051614937479421</v>
      </c>
      <c r="K16" s="110">
        <v>6.9410833500807838</v>
      </c>
    </row>
    <row r="17" spans="2:11" x14ac:dyDescent="0.3">
      <c r="B17" s="111" t="s">
        <v>1978</v>
      </c>
      <c r="C17" s="112" t="s">
        <v>1483</v>
      </c>
      <c r="D17" s="1499">
        <v>9.0074876498654799</v>
      </c>
      <c r="E17" s="1499">
        <v>8.3495209875761969</v>
      </c>
      <c r="F17" s="1499">
        <v>6.9284694542606298</v>
      </c>
      <c r="G17" s="1499">
        <v>6.7595562599288765</v>
      </c>
      <c r="H17" s="1499">
        <v>7.4210492979616483</v>
      </c>
      <c r="I17" s="1499">
        <v>10.10855657104112</v>
      </c>
      <c r="J17" s="1499">
        <v>9.3221274467377313</v>
      </c>
      <c r="K17" s="113">
        <v>6.9599536775499198</v>
      </c>
    </row>
    <row r="18" spans="2:11" x14ac:dyDescent="0.3">
      <c r="B18" s="111" t="s">
        <v>1980</v>
      </c>
      <c r="C18" s="112" t="s">
        <v>1489</v>
      </c>
      <c r="D18" s="1499">
        <v>9.0048914143706291</v>
      </c>
      <c r="E18" s="1499">
        <v>8.3469247520813461</v>
      </c>
      <c r="F18" s="1499">
        <v>6.925873218765779</v>
      </c>
      <c r="G18" s="1499">
        <v>6.7569600244340258</v>
      </c>
      <c r="H18" s="1499">
        <v>7.4184530624667975</v>
      </c>
      <c r="I18" s="1499">
        <v>10.105960335546271</v>
      </c>
      <c r="J18" s="1499">
        <v>9.3195312112428805</v>
      </c>
      <c r="K18" s="113">
        <v>6.9573574420550699</v>
      </c>
    </row>
    <row r="19" spans="2:11" x14ac:dyDescent="0.3">
      <c r="B19" s="114">
        <v>0</v>
      </c>
      <c r="C19" s="112" t="s">
        <v>1496</v>
      </c>
      <c r="D19" s="1499">
        <v>9.0009970611283521</v>
      </c>
      <c r="E19" s="1499">
        <v>8.3430303988390691</v>
      </c>
      <c r="F19" s="1499">
        <v>6.9219788655235028</v>
      </c>
      <c r="G19" s="1499">
        <v>6.7530656711917496</v>
      </c>
      <c r="H19" s="1499">
        <v>7.4145587092245213</v>
      </c>
      <c r="I19" s="1499">
        <v>10.102065982303994</v>
      </c>
      <c r="J19" s="1499">
        <v>9.3156368580006035</v>
      </c>
      <c r="K19" s="113">
        <v>6.9534630888127928</v>
      </c>
    </row>
    <row r="20" spans="2:11" x14ac:dyDescent="0.3">
      <c r="B20" s="115"/>
      <c r="C20" s="112" t="s">
        <v>1500</v>
      </c>
      <c r="D20" s="1499">
        <v>8.997102707886075</v>
      </c>
      <c r="E20" s="1499">
        <v>8.3391360455967938</v>
      </c>
      <c r="F20" s="1499">
        <v>6.9180845122812258</v>
      </c>
      <c r="G20" s="1499">
        <v>6.7491713179494726</v>
      </c>
      <c r="H20" s="1499">
        <v>7.4106643559822443</v>
      </c>
      <c r="I20" s="1499">
        <v>10.098171629061717</v>
      </c>
      <c r="J20" s="1499">
        <v>9.3117425047583264</v>
      </c>
      <c r="K20" s="113">
        <v>6.9495687355705167</v>
      </c>
    </row>
    <row r="21" spans="2:11" x14ac:dyDescent="0.3">
      <c r="B21" s="115"/>
      <c r="C21" s="112" t="s">
        <v>1504</v>
      </c>
      <c r="D21" s="1499">
        <v>9.0032835249030345</v>
      </c>
      <c r="E21" s="1499">
        <v>8.346255937482475</v>
      </c>
      <c r="F21" s="1499">
        <v>6.9244214473544812</v>
      </c>
      <c r="G21" s="1499">
        <v>6.7557058471853102</v>
      </c>
      <c r="H21" s="1499">
        <v>7.4175459703592983</v>
      </c>
      <c r="I21" s="1499">
        <v>10.105928878867223</v>
      </c>
      <c r="J21" s="1499">
        <v>9.319352789298744</v>
      </c>
      <c r="K21" s="113">
        <v>6.9561768359989351</v>
      </c>
    </row>
    <row r="22" spans="2:11" x14ac:dyDescent="0.3">
      <c r="B22" s="115"/>
      <c r="C22" s="112" t="s">
        <v>1508</v>
      </c>
      <c r="D22" s="1499">
        <v>9.0011197024473653</v>
      </c>
      <c r="E22" s="1499">
        <v>8.3440921150268039</v>
      </c>
      <c r="F22" s="1499">
        <v>6.922257624898811</v>
      </c>
      <c r="G22" s="1499">
        <v>6.75354202472964</v>
      </c>
      <c r="H22" s="1499">
        <v>7.4153821479036282</v>
      </c>
      <c r="I22" s="1499">
        <v>10.103765056411552</v>
      </c>
      <c r="J22" s="1499">
        <v>9.3171889668430747</v>
      </c>
      <c r="K22" s="113">
        <v>6.954013013543265</v>
      </c>
    </row>
    <row r="23" spans="2:11" x14ac:dyDescent="0.3">
      <c r="B23" s="115"/>
      <c r="C23" s="112" t="s">
        <v>1513</v>
      </c>
      <c r="D23" s="1499">
        <v>8.9978739687638605</v>
      </c>
      <c r="E23" s="1499">
        <v>8.3408463813432991</v>
      </c>
      <c r="F23" s="1499">
        <v>6.9190118912153062</v>
      </c>
      <c r="G23" s="1499">
        <v>6.7502962910461344</v>
      </c>
      <c r="H23" s="1499">
        <v>7.4121364142201234</v>
      </c>
      <c r="I23" s="1499">
        <v>10.100519322728047</v>
      </c>
      <c r="J23" s="1499">
        <v>9.31394323315957</v>
      </c>
      <c r="K23" s="113">
        <v>6.9507672798597602</v>
      </c>
    </row>
    <row r="24" spans="2:11" x14ac:dyDescent="0.3">
      <c r="B24" s="115"/>
      <c r="C24" s="112" t="s">
        <v>1517</v>
      </c>
      <c r="D24" s="1499">
        <v>8.9946282350803557</v>
      </c>
      <c r="E24" s="1499">
        <v>8.3376006476597961</v>
      </c>
      <c r="F24" s="1499">
        <v>6.9157661575318023</v>
      </c>
      <c r="G24" s="1499">
        <v>6.7470505573626314</v>
      </c>
      <c r="H24" s="1499">
        <v>7.4088906805366195</v>
      </c>
      <c r="I24" s="1499">
        <v>10.097273589044544</v>
      </c>
      <c r="J24" s="1499">
        <v>9.3106974994760652</v>
      </c>
      <c r="K24" s="113">
        <v>6.9475215461762563</v>
      </c>
    </row>
    <row r="25" spans="2:11" ht="14.5" thickBot="1" x14ac:dyDescent="0.35">
      <c r="B25" s="1233"/>
      <c r="C25" s="116" t="s">
        <v>1519</v>
      </c>
      <c r="D25" s="117">
        <v>9.0074876498654799</v>
      </c>
      <c r="E25" s="117">
        <v>8.3495209875761969</v>
      </c>
      <c r="F25" s="117">
        <v>6.9284694542606298</v>
      </c>
      <c r="G25" s="117">
        <v>6.7595562599288765</v>
      </c>
      <c r="H25" s="117">
        <v>7.4210492979616483</v>
      </c>
      <c r="I25" s="117">
        <v>10.10855657104112</v>
      </c>
      <c r="J25" s="117">
        <v>9.3221274467377313</v>
      </c>
      <c r="K25" s="118">
        <v>6.9599536775499198</v>
      </c>
    </row>
    <row r="26" spans="2:11" x14ac:dyDescent="0.3">
      <c r="B26" s="107" t="s">
        <v>1977</v>
      </c>
      <c r="C26" s="108" t="s">
        <v>1416</v>
      </c>
      <c r="D26" s="109">
        <v>8.3178363228906349</v>
      </c>
      <c r="E26" s="109">
        <v>7.6598693471982209</v>
      </c>
      <c r="F26" s="109">
        <v>6.2374506846172579</v>
      </c>
      <c r="G26" s="109">
        <v>6.0686889679919229</v>
      </c>
      <c r="H26" s="109">
        <v>6.7309182178349012</v>
      </c>
      <c r="I26" s="109">
        <v>9.4201897802799976</v>
      </c>
      <c r="J26" s="109">
        <v>8.6333065884614424</v>
      </c>
      <c r="K26" s="110">
        <v>6.2692284447942823</v>
      </c>
    </row>
    <row r="27" spans="2:11" x14ac:dyDescent="0.3">
      <c r="B27" s="111" t="s">
        <v>1978</v>
      </c>
      <c r="C27" s="112" t="s">
        <v>1483</v>
      </c>
      <c r="D27" s="1499">
        <v>8.3356327445789802</v>
      </c>
      <c r="E27" s="1499">
        <v>7.6776660822896972</v>
      </c>
      <c r="F27" s="1499">
        <v>6.2566145489741301</v>
      </c>
      <c r="G27" s="1499">
        <v>6.0877013546423759</v>
      </c>
      <c r="H27" s="1499">
        <v>6.7491943926751485</v>
      </c>
      <c r="I27" s="1499">
        <v>9.4367016657546205</v>
      </c>
      <c r="J27" s="1499">
        <v>8.6502725414512316</v>
      </c>
      <c r="K27" s="113">
        <v>6.2880987722634201</v>
      </c>
    </row>
    <row r="28" spans="2:11" x14ac:dyDescent="0.3">
      <c r="B28" s="111" t="s">
        <v>1981</v>
      </c>
      <c r="C28" s="112" t="s">
        <v>1489</v>
      </c>
      <c r="D28" s="1499">
        <v>8.3330365090841276</v>
      </c>
      <c r="E28" s="1499">
        <v>7.6750698467948455</v>
      </c>
      <c r="F28" s="1499">
        <v>6.2540183134792784</v>
      </c>
      <c r="G28" s="1499">
        <v>6.0851051191475243</v>
      </c>
      <c r="H28" s="1499">
        <v>6.7465981571802969</v>
      </c>
      <c r="I28" s="1499">
        <v>9.4341054302597698</v>
      </c>
      <c r="J28" s="1499">
        <v>8.647676305956379</v>
      </c>
      <c r="K28" s="113">
        <v>6.2855025367685684</v>
      </c>
    </row>
    <row r="29" spans="2:11" x14ac:dyDescent="0.3">
      <c r="B29" s="114">
        <v>0</v>
      </c>
      <c r="C29" s="112" t="s">
        <v>1496</v>
      </c>
      <c r="D29" s="1499">
        <v>8.3291421558418506</v>
      </c>
      <c r="E29" s="1499">
        <v>7.6711754935525684</v>
      </c>
      <c r="F29" s="1499">
        <v>6.2501239602370013</v>
      </c>
      <c r="G29" s="1499">
        <v>6.0812107659052481</v>
      </c>
      <c r="H29" s="1499">
        <v>6.7427038039380198</v>
      </c>
      <c r="I29" s="1499">
        <v>9.4302110770174927</v>
      </c>
      <c r="J29" s="1499">
        <v>8.643781952714102</v>
      </c>
      <c r="K29" s="113">
        <v>6.2816081835262922</v>
      </c>
    </row>
    <row r="30" spans="2:11" x14ac:dyDescent="0.3">
      <c r="B30" s="115"/>
      <c r="C30" s="112" t="s">
        <v>1500</v>
      </c>
      <c r="D30" s="1499">
        <v>8.3252478025995753</v>
      </c>
      <c r="E30" s="1499">
        <v>7.6672811403102923</v>
      </c>
      <c r="F30" s="1499">
        <v>6.2462296069947252</v>
      </c>
      <c r="G30" s="1499">
        <v>6.0773164126629711</v>
      </c>
      <c r="H30" s="1499">
        <v>6.7388094506957437</v>
      </c>
      <c r="I30" s="1499">
        <v>9.4263167237752157</v>
      </c>
      <c r="J30" s="1499">
        <v>8.6398875994718249</v>
      </c>
      <c r="K30" s="113">
        <v>6.2777138302840152</v>
      </c>
    </row>
    <row r="31" spans="2:11" x14ac:dyDescent="0.3">
      <c r="B31" s="115"/>
      <c r="C31" s="112" t="s">
        <v>1504</v>
      </c>
      <c r="D31" s="1499">
        <v>8.331428619616533</v>
      </c>
      <c r="E31" s="1499">
        <v>7.6744010321959735</v>
      </c>
      <c r="F31" s="1499">
        <v>6.2525665420679797</v>
      </c>
      <c r="G31" s="1499">
        <v>6.0838509418988087</v>
      </c>
      <c r="H31" s="1499">
        <v>6.7456910650727968</v>
      </c>
      <c r="I31" s="1499">
        <v>9.4340739735807215</v>
      </c>
      <c r="J31" s="1499">
        <v>8.6474978840122425</v>
      </c>
      <c r="K31" s="113">
        <v>6.2843219307124336</v>
      </c>
    </row>
    <row r="32" spans="2:11" x14ac:dyDescent="0.3">
      <c r="B32" s="115"/>
      <c r="C32" s="112" t="s">
        <v>1508</v>
      </c>
      <c r="D32" s="1499">
        <v>8.3292647971608638</v>
      </c>
      <c r="E32" s="1499">
        <v>7.6722372097403033</v>
      </c>
      <c r="F32" s="1499">
        <v>6.2504027196123095</v>
      </c>
      <c r="G32" s="1499">
        <v>6.0816871194431386</v>
      </c>
      <c r="H32" s="1499">
        <v>6.7435272426171275</v>
      </c>
      <c r="I32" s="1499">
        <v>9.4319101511250523</v>
      </c>
      <c r="J32" s="1499">
        <v>8.6453340615565732</v>
      </c>
      <c r="K32" s="113">
        <v>6.2821581082567644</v>
      </c>
    </row>
    <row r="33" spans="2:11" x14ac:dyDescent="0.3">
      <c r="B33" s="115"/>
      <c r="C33" s="112" t="s">
        <v>1513</v>
      </c>
      <c r="D33" s="1499">
        <v>8.326019063477359</v>
      </c>
      <c r="E33" s="1499">
        <v>7.6689914760567985</v>
      </c>
      <c r="F33" s="1499">
        <v>6.2471569859288048</v>
      </c>
      <c r="G33" s="1499">
        <v>6.0784413857596347</v>
      </c>
      <c r="H33" s="1499">
        <v>6.7402815089336219</v>
      </c>
      <c r="I33" s="1499">
        <v>9.4286644174415457</v>
      </c>
      <c r="J33" s="1499">
        <v>8.6420883278730685</v>
      </c>
      <c r="K33" s="113">
        <v>6.2789123745732587</v>
      </c>
    </row>
    <row r="34" spans="2:11" x14ac:dyDescent="0.3">
      <c r="B34" s="115"/>
      <c r="C34" s="112" t="s">
        <v>1517</v>
      </c>
      <c r="D34" s="1499">
        <v>8.322773329793856</v>
      </c>
      <c r="E34" s="1499">
        <v>7.6657457423732946</v>
      </c>
      <c r="F34" s="1499">
        <v>6.2439112522453009</v>
      </c>
      <c r="G34" s="1499">
        <v>6.0751956520761299</v>
      </c>
      <c r="H34" s="1499">
        <v>6.7370357752501189</v>
      </c>
      <c r="I34" s="1499">
        <v>9.4254186837580427</v>
      </c>
      <c r="J34" s="1499">
        <v>8.6388425941895655</v>
      </c>
      <c r="K34" s="113">
        <v>6.2756666408897557</v>
      </c>
    </row>
    <row r="35" spans="2:11" ht="14.5" thickBot="1" x14ac:dyDescent="0.35">
      <c r="B35" s="1233"/>
      <c r="C35" s="116" t="s">
        <v>1519</v>
      </c>
      <c r="D35" s="117">
        <v>8.3356327445789802</v>
      </c>
      <c r="E35" s="117">
        <v>7.6776660822896972</v>
      </c>
      <c r="F35" s="117">
        <v>6.2566145489741301</v>
      </c>
      <c r="G35" s="117">
        <v>6.0877013546423759</v>
      </c>
      <c r="H35" s="117">
        <v>6.7491943926751485</v>
      </c>
      <c r="I35" s="117">
        <v>9.4367016657546205</v>
      </c>
      <c r="J35" s="117">
        <v>8.6502725414512316</v>
      </c>
      <c r="K35" s="118">
        <v>6.2880987722634201</v>
      </c>
    </row>
    <row r="36" spans="2:11" x14ac:dyDescent="0.3">
      <c r="B36" s="107" t="s">
        <v>1977</v>
      </c>
      <c r="C36" s="108" t="s">
        <v>1416</v>
      </c>
      <c r="D36" s="109">
        <v>7.6459814176041343</v>
      </c>
      <c r="E36" s="109">
        <v>6.9880144419117194</v>
      </c>
      <c r="F36" s="109">
        <v>5.5655957793307564</v>
      </c>
      <c r="G36" s="109">
        <v>5.3968340627054214</v>
      </c>
      <c r="H36" s="109">
        <v>6.0590633125483997</v>
      </c>
      <c r="I36" s="109">
        <v>8.7483348749934979</v>
      </c>
      <c r="J36" s="109">
        <v>7.96145168317494</v>
      </c>
      <c r="K36" s="110">
        <v>5.5973735395077808</v>
      </c>
    </row>
    <row r="37" spans="2:11" x14ac:dyDescent="0.3">
      <c r="B37" s="111" t="s">
        <v>1978</v>
      </c>
      <c r="C37" s="112" t="s">
        <v>1483</v>
      </c>
      <c r="D37" s="1499">
        <v>7.6637778392924787</v>
      </c>
      <c r="E37" s="1499">
        <v>7.0058111770031966</v>
      </c>
      <c r="F37" s="1499">
        <v>5.5847596436876294</v>
      </c>
      <c r="G37" s="1499">
        <v>5.4158464493558753</v>
      </c>
      <c r="H37" s="1499">
        <v>6.077339487388647</v>
      </c>
      <c r="I37" s="1499">
        <v>8.7648467604681208</v>
      </c>
      <c r="J37" s="1499">
        <v>7.9784176361647301</v>
      </c>
      <c r="K37" s="113">
        <v>5.6162438669769195</v>
      </c>
    </row>
    <row r="38" spans="2:11" x14ac:dyDescent="0.3">
      <c r="B38" s="111" t="s">
        <v>1982</v>
      </c>
      <c r="C38" s="112" t="s">
        <v>1489</v>
      </c>
      <c r="D38" s="1499">
        <v>7.661181603797627</v>
      </c>
      <c r="E38" s="1499">
        <v>7.003214941508344</v>
      </c>
      <c r="F38" s="1499">
        <v>5.5821634081927769</v>
      </c>
      <c r="G38" s="1499">
        <v>5.4132502138610237</v>
      </c>
      <c r="H38" s="1499">
        <v>6.0747432518937954</v>
      </c>
      <c r="I38" s="1499">
        <v>8.7622505249732683</v>
      </c>
      <c r="J38" s="1499">
        <v>7.9758214006698775</v>
      </c>
      <c r="K38" s="113">
        <v>5.6136476314820678</v>
      </c>
    </row>
    <row r="39" spans="2:11" x14ac:dyDescent="0.3">
      <c r="B39" s="114">
        <v>0</v>
      </c>
      <c r="C39" s="112" t="s">
        <v>1496</v>
      </c>
      <c r="D39" s="1499">
        <v>7.65728725055535</v>
      </c>
      <c r="E39" s="1499">
        <v>6.9993205882660678</v>
      </c>
      <c r="F39" s="1499">
        <v>5.5782690549505007</v>
      </c>
      <c r="G39" s="1499">
        <v>5.4093558606187466</v>
      </c>
      <c r="H39" s="1499">
        <v>6.0708488986515192</v>
      </c>
      <c r="I39" s="1499">
        <v>8.7583561717309912</v>
      </c>
      <c r="J39" s="1499">
        <v>7.9719270474276014</v>
      </c>
      <c r="K39" s="113">
        <v>5.6097532782397908</v>
      </c>
    </row>
    <row r="40" spans="2:11" x14ac:dyDescent="0.3">
      <c r="B40" s="115"/>
      <c r="C40" s="112" t="s">
        <v>1500</v>
      </c>
      <c r="D40" s="1499">
        <v>7.6533928973130738</v>
      </c>
      <c r="E40" s="1499">
        <v>6.9954262350237908</v>
      </c>
      <c r="F40" s="1499">
        <v>5.5743747017082237</v>
      </c>
      <c r="G40" s="1499">
        <v>5.4054615073764705</v>
      </c>
      <c r="H40" s="1499">
        <v>6.0669545454092422</v>
      </c>
      <c r="I40" s="1499">
        <v>8.754461818488716</v>
      </c>
      <c r="J40" s="1499">
        <v>7.9680326941853243</v>
      </c>
      <c r="K40" s="113">
        <v>5.6058589249975146</v>
      </c>
    </row>
    <row r="41" spans="2:11" x14ac:dyDescent="0.3">
      <c r="B41" s="115"/>
      <c r="C41" s="112" t="s">
        <v>1504</v>
      </c>
      <c r="D41" s="1499">
        <v>7.6595737143300324</v>
      </c>
      <c r="E41" s="1499">
        <v>7.002546126909472</v>
      </c>
      <c r="F41" s="1499">
        <v>5.5807116367814791</v>
      </c>
      <c r="G41" s="1499">
        <v>5.4119960366123072</v>
      </c>
      <c r="H41" s="1499">
        <v>6.0738361597862962</v>
      </c>
      <c r="I41" s="1499">
        <v>8.76221906829422</v>
      </c>
      <c r="J41" s="1499">
        <v>7.9756429787257419</v>
      </c>
      <c r="K41" s="113">
        <v>5.612467025425933</v>
      </c>
    </row>
    <row r="42" spans="2:11" x14ac:dyDescent="0.3">
      <c r="B42" s="115"/>
      <c r="C42" s="112" t="s">
        <v>1508</v>
      </c>
      <c r="D42" s="1499">
        <v>7.6574098918743632</v>
      </c>
      <c r="E42" s="1499">
        <v>7.0003823044538018</v>
      </c>
      <c r="F42" s="1499">
        <v>5.5785478143258089</v>
      </c>
      <c r="G42" s="1499">
        <v>5.409832214156638</v>
      </c>
      <c r="H42" s="1499">
        <v>6.0716723373306261</v>
      </c>
      <c r="I42" s="1499">
        <v>8.7600552458385508</v>
      </c>
      <c r="J42" s="1499">
        <v>7.9734791562700726</v>
      </c>
      <c r="K42" s="113">
        <v>5.6103032029702629</v>
      </c>
    </row>
    <row r="43" spans="2:11" x14ac:dyDescent="0.3">
      <c r="B43" s="115"/>
      <c r="C43" s="112" t="s">
        <v>1513</v>
      </c>
      <c r="D43" s="1499">
        <v>7.6541641581908593</v>
      </c>
      <c r="E43" s="1499">
        <v>6.997136570770297</v>
      </c>
      <c r="F43" s="1499">
        <v>5.5753020806423041</v>
      </c>
      <c r="G43" s="1499">
        <v>5.4065864804731332</v>
      </c>
      <c r="H43" s="1499">
        <v>6.0684266036471213</v>
      </c>
      <c r="I43" s="1499">
        <v>8.756809512155046</v>
      </c>
      <c r="J43" s="1499">
        <v>7.9702334225865688</v>
      </c>
      <c r="K43" s="113">
        <v>5.607057469286759</v>
      </c>
    </row>
    <row r="44" spans="2:11" x14ac:dyDescent="0.3">
      <c r="B44" s="115"/>
      <c r="C44" s="112" t="s">
        <v>1517</v>
      </c>
      <c r="D44" s="1499">
        <v>7.6509184245073545</v>
      </c>
      <c r="E44" s="1499">
        <v>6.9938908370867932</v>
      </c>
      <c r="F44" s="1499">
        <v>5.5720563469588003</v>
      </c>
      <c r="G44" s="1499">
        <v>5.4033407467896293</v>
      </c>
      <c r="H44" s="1499">
        <v>6.0651808699636174</v>
      </c>
      <c r="I44" s="1499">
        <v>8.7535637784715412</v>
      </c>
      <c r="J44" s="1499">
        <v>7.966987688903064</v>
      </c>
      <c r="K44" s="113">
        <v>5.6038117356032542</v>
      </c>
    </row>
    <row r="45" spans="2:11" ht="14.5" thickBot="1" x14ac:dyDescent="0.35">
      <c r="B45" s="1233"/>
      <c r="C45" s="116" t="s">
        <v>1519</v>
      </c>
      <c r="D45" s="117">
        <v>7.6637778392924787</v>
      </c>
      <c r="E45" s="117">
        <v>7.0058111770031966</v>
      </c>
      <c r="F45" s="117">
        <v>5.5847596436876294</v>
      </c>
      <c r="G45" s="117">
        <v>5.4158464493558753</v>
      </c>
      <c r="H45" s="117">
        <v>6.077339487388647</v>
      </c>
      <c r="I45" s="117">
        <v>8.7648467604681208</v>
      </c>
      <c r="J45" s="117">
        <v>7.9784176361647301</v>
      </c>
      <c r="K45" s="118">
        <v>5.6162438669769195</v>
      </c>
    </row>
    <row r="46" spans="2:11" x14ac:dyDescent="0.3">
      <c r="B46" s="119" t="s">
        <v>1983</v>
      </c>
      <c r="C46" s="108" t="s">
        <v>1416</v>
      </c>
      <c r="D46" s="109">
        <v>8.0833375569660948</v>
      </c>
      <c r="E46" s="109">
        <v>7.3783262235293945</v>
      </c>
      <c r="F46" s="109">
        <v>5.9661583281546244</v>
      </c>
      <c r="G46" s="109">
        <v>5.7871304557199821</v>
      </c>
      <c r="H46" s="109">
        <v>6.4594531250230904</v>
      </c>
      <c r="I46" s="109">
        <v>9.138479761041495</v>
      </c>
      <c r="J46" s="109">
        <v>8.3514677367822703</v>
      </c>
      <c r="K46" s="110">
        <v>5.9864782639853384</v>
      </c>
    </row>
    <row r="47" spans="2:11" x14ac:dyDescent="0.3">
      <c r="B47" s="111"/>
      <c r="C47" s="112" t="s">
        <v>1483</v>
      </c>
      <c r="D47" s="1499">
        <v>8.1022603755165701</v>
      </c>
      <c r="E47" s="1499">
        <v>7.3971003322931823</v>
      </c>
      <c r="F47" s="1499">
        <v>5.9865572142924712</v>
      </c>
      <c r="G47" s="1499">
        <v>5.8072006438041006</v>
      </c>
      <c r="H47" s="1499">
        <v>6.4788160314045484</v>
      </c>
      <c r="I47" s="1499">
        <v>9.155970369936151</v>
      </c>
      <c r="J47" s="1499">
        <v>8.3694804936145726</v>
      </c>
      <c r="K47" s="113">
        <v>6.0063443059526369</v>
      </c>
    </row>
    <row r="48" spans="2:11" x14ac:dyDescent="0.3">
      <c r="B48" s="111" t="s">
        <v>1979</v>
      </c>
      <c r="C48" s="112" t="s">
        <v>1489</v>
      </c>
      <c r="D48" s="1499">
        <v>8.0996641400217175</v>
      </c>
      <c r="E48" s="1499">
        <v>7.3945040967983307</v>
      </c>
      <c r="F48" s="1499">
        <v>5.9839609787976205</v>
      </c>
      <c r="G48" s="1499">
        <v>5.8046044083092498</v>
      </c>
      <c r="H48" s="1499">
        <v>6.4762197959096968</v>
      </c>
      <c r="I48" s="1499">
        <v>9.1533741344413002</v>
      </c>
      <c r="J48" s="1499">
        <v>8.36688425811972</v>
      </c>
      <c r="K48" s="113">
        <v>6.003748070457787</v>
      </c>
    </row>
    <row r="49" spans="2:11" x14ac:dyDescent="0.3">
      <c r="B49" s="114">
        <v>0</v>
      </c>
      <c r="C49" s="112" t="s">
        <v>1496</v>
      </c>
      <c r="D49" s="1499">
        <v>8.0957697867794423</v>
      </c>
      <c r="E49" s="1499">
        <v>7.3906097435560536</v>
      </c>
      <c r="F49" s="1499">
        <v>5.9800666255553434</v>
      </c>
      <c r="G49" s="1499">
        <v>5.8007100550669728</v>
      </c>
      <c r="H49" s="1499">
        <v>6.4723254426674197</v>
      </c>
      <c r="I49" s="1499">
        <v>9.1494797811990232</v>
      </c>
      <c r="J49" s="1499">
        <v>8.362989904877443</v>
      </c>
      <c r="K49" s="113">
        <v>5.9998537172155091</v>
      </c>
    </row>
    <row r="50" spans="2:11" x14ac:dyDescent="0.3">
      <c r="B50" s="115"/>
      <c r="C50" s="112" t="s">
        <v>1500</v>
      </c>
      <c r="D50" s="1499">
        <v>8.0918754335371652</v>
      </c>
      <c r="E50" s="1499">
        <v>7.3867153903137774</v>
      </c>
      <c r="F50" s="1499">
        <v>5.9761722723130672</v>
      </c>
      <c r="G50" s="1499">
        <v>5.7968157018246957</v>
      </c>
      <c r="H50" s="1499">
        <v>6.4684310894251436</v>
      </c>
      <c r="I50" s="1499">
        <v>9.1455854279567461</v>
      </c>
      <c r="J50" s="1499">
        <v>8.3590955516351677</v>
      </c>
      <c r="K50" s="113">
        <v>5.9959593639732329</v>
      </c>
    </row>
    <row r="51" spans="2:11" x14ac:dyDescent="0.3">
      <c r="B51" s="115"/>
      <c r="C51" s="112" t="s">
        <v>1504</v>
      </c>
      <c r="D51" s="1499">
        <v>8.0980365318735714</v>
      </c>
      <c r="E51" s="1499">
        <v>7.3933420547731936</v>
      </c>
      <c r="F51" s="1499">
        <v>5.9822413258877392</v>
      </c>
      <c r="G51" s="1499">
        <v>5.8028762272857843</v>
      </c>
      <c r="H51" s="1499">
        <v>6.4747055929167239</v>
      </c>
      <c r="I51" s="1499">
        <v>9.1528495618945911</v>
      </c>
      <c r="J51" s="1499">
        <v>8.3661439840606491</v>
      </c>
      <c r="K51" s="113">
        <v>6.0020869720712637</v>
      </c>
    </row>
    <row r="52" spans="2:11" x14ac:dyDescent="0.3">
      <c r="B52" s="115"/>
      <c r="C52" s="112" t="s">
        <v>1508</v>
      </c>
      <c r="D52" s="1499">
        <v>8.0958727094179004</v>
      </c>
      <c r="E52" s="1499">
        <v>7.3911782323175235</v>
      </c>
      <c r="F52" s="1499">
        <v>5.9800775034320699</v>
      </c>
      <c r="G52" s="1499">
        <v>5.8007124048301151</v>
      </c>
      <c r="H52" s="1499">
        <v>6.4725417704610537</v>
      </c>
      <c r="I52" s="1499">
        <v>9.1506857394389218</v>
      </c>
      <c r="J52" s="1499">
        <v>8.363980161604978</v>
      </c>
      <c r="K52" s="113">
        <v>5.9999231496155945</v>
      </c>
    </row>
    <row r="53" spans="2:11" x14ac:dyDescent="0.3">
      <c r="B53" s="115"/>
      <c r="C53" s="112" t="s">
        <v>1513</v>
      </c>
      <c r="D53" s="1499">
        <v>8.0926269757343974</v>
      </c>
      <c r="E53" s="1499">
        <v>7.3879324986340196</v>
      </c>
      <c r="F53" s="1499">
        <v>5.9768317697485651</v>
      </c>
      <c r="G53" s="1499">
        <v>5.7974666711466103</v>
      </c>
      <c r="H53" s="1499">
        <v>6.4692960367775498</v>
      </c>
      <c r="I53" s="1499">
        <v>9.1474400057554188</v>
      </c>
      <c r="J53" s="1499">
        <v>8.360734427921475</v>
      </c>
      <c r="K53" s="113">
        <v>5.9966774159320897</v>
      </c>
    </row>
    <row r="54" spans="2:11" x14ac:dyDescent="0.3">
      <c r="B54" s="115"/>
      <c r="C54" s="112" t="s">
        <v>1517</v>
      </c>
      <c r="D54" s="1499">
        <v>8.0893812420508926</v>
      </c>
      <c r="E54" s="1499">
        <v>7.3846867649505148</v>
      </c>
      <c r="F54" s="1499">
        <v>5.9735860360650603</v>
      </c>
      <c r="G54" s="1499">
        <v>5.7942209374631055</v>
      </c>
      <c r="H54" s="1499">
        <v>6.466050303094045</v>
      </c>
      <c r="I54" s="1499">
        <v>9.144194272071914</v>
      </c>
      <c r="J54" s="1499">
        <v>8.3574886942379703</v>
      </c>
      <c r="K54" s="113">
        <v>5.9934316822485849</v>
      </c>
    </row>
    <row r="55" spans="2:11" ht="14.5" thickBot="1" x14ac:dyDescent="0.35">
      <c r="B55" s="1233"/>
      <c r="C55" s="116" t="s">
        <v>1519</v>
      </c>
      <c r="D55" s="117">
        <v>8.1022603755165701</v>
      </c>
      <c r="E55" s="117">
        <v>7.3971003322931823</v>
      </c>
      <c r="F55" s="117">
        <v>5.9865572142924712</v>
      </c>
      <c r="G55" s="117">
        <v>5.8072006438041006</v>
      </c>
      <c r="H55" s="117">
        <v>6.4788160314045484</v>
      </c>
      <c r="I55" s="117">
        <v>9.155970369936151</v>
      </c>
      <c r="J55" s="117">
        <v>8.3694804936145726</v>
      </c>
      <c r="K55" s="118">
        <v>6.0063443059526369</v>
      </c>
    </row>
    <row r="56" spans="2:11" x14ac:dyDescent="0.3">
      <c r="B56" s="119" t="s">
        <v>1983</v>
      </c>
      <c r="C56" s="108" t="s">
        <v>1416</v>
      </c>
      <c r="D56" s="109">
        <v>7.7489281796054517</v>
      </c>
      <c r="E56" s="109">
        <v>7.0439168461687514</v>
      </c>
      <c r="F56" s="109">
        <v>5.6317489507939813</v>
      </c>
      <c r="G56" s="109">
        <v>5.4527210783593389</v>
      </c>
      <c r="H56" s="109">
        <v>6.1250437476624473</v>
      </c>
      <c r="I56" s="109">
        <v>8.8040703836808518</v>
      </c>
      <c r="J56" s="109">
        <v>8.0170583594216271</v>
      </c>
      <c r="K56" s="110">
        <v>5.6520688866246944</v>
      </c>
    </row>
    <row r="57" spans="2:11" x14ac:dyDescent="0.3">
      <c r="B57" s="111"/>
      <c r="C57" s="112" t="s">
        <v>1483</v>
      </c>
      <c r="D57" s="1499">
        <v>7.7678509981559261</v>
      </c>
      <c r="E57" s="1499">
        <v>7.0626909549325383</v>
      </c>
      <c r="F57" s="1499">
        <v>5.6521478369318281</v>
      </c>
      <c r="G57" s="1499">
        <v>5.4727912664434575</v>
      </c>
      <c r="H57" s="1499">
        <v>6.1444066540439044</v>
      </c>
      <c r="I57" s="1499">
        <v>8.8215609925755079</v>
      </c>
      <c r="J57" s="1499">
        <v>8.0350711162539277</v>
      </c>
      <c r="K57" s="113">
        <v>5.6719349285919947</v>
      </c>
    </row>
    <row r="58" spans="2:11" x14ac:dyDescent="0.3">
      <c r="B58" s="111" t="s">
        <v>1980</v>
      </c>
      <c r="C58" s="112" t="s">
        <v>1489</v>
      </c>
      <c r="D58" s="1499">
        <v>7.7652547626610753</v>
      </c>
      <c r="E58" s="1499">
        <v>7.0600947194376875</v>
      </c>
      <c r="F58" s="1499">
        <v>5.6495516014369773</v>
      </c>
      <c r="G58" s="1499">
        <v>5.4701950309486058</v>
      </c>
      <c r="H58" s="1499">
        <v>6.1418104185490536</v>
      </c>
      <c r="I58" s="1499">
        <v>8.8189647570806571</v>
      </c>
      <c r="J58" s="1499">
        <v>8.0324748807590769</v>
      </c>
      <c r="K58" s="113">
        <v>5.669338693097143</v>
      </c>
    </row>
    <row r="59" spans="2:11" x14ac:dyDescent="0.3">
      <c r="B59" s="114">
        <v>0</v>
      </c>
      <c r="C59" s="112" t="s">
        <v>1496</v>
      </c>
      <c r="D59" s="1499">
        <v>7.7613604094187991</v>
      </c>
      <c r="E59" s="1499">
        <v>7.0562003661954105</v>
      </c>
      <c r="F59" s="1499">
        <v>5.6456572481947003</v>
      </c>
      <c r="G59" s="1499">
        <v>5.4663006777063297</v>
      </c>
      <c r="H59" s="1499">
        <v>6.1379160653067775</v>
      </c>
      <c r="I59" s="1499">
        <v>8.81507040383838</v>
      </c>
      <c r="J59" s="1499">
        <v>8.0285805275167998</v>
      </c>
      <c r="K59" s="113">
        <v>5.665444339854866</v>
      </c>
    </row>
    <row r="60" spans="2:11" x14ac:dyDescent="0.3">
      <c r="B60" s="115"/>
      <c r="C60" s="112" t="s">
        <v>1500</v>
      </c>
      <c r="D60" s="1499">
        <v>7.7574660561765221</v>
      </c>
      <c r="E60" s="1499">
        <v>7.0523060129531343</v>
      </c>
      <c r="F60" s="1499">
        <v>5.6417628949524232</v>
      </c>
      <c r="G60" s="1499">
        <v>5.4624063244640526</v>
      </c>
      <c r="H60" s="1499">
        <v>6.1340217120645004</v>
      </c>
      <c r="I60" s="1499">
        <v>8.811176050596103</v>
      </c>
      <c r="J60" s="1499">
        <v>8.0246861742745246</v>
      </c>
      <c r="K60" s="113">
        <v>5.6615499866125889</v>
      </c>
    </row>
    <row r="61" spans="2:11" x14ac:dyDescent="0.3">
      <c r="B61" s="115"/>
      <c r="C61" s="112" t="s">
        <v>1504</v>
      </c>
      <c r="D61" s="1499">
        <v>7.7636271545129274</v>
      </c>
      <c r="E61" s="1499">
        <v>7.0589326774125505</v>
      </c>
      <c r="F61" s="1499">
        <v>5.647831948527096</v>
      </c>
      <c r="G61" s="1499">
        <v>5.4684668499251412</v>
      </c>
      <c r="H61" s="1499">
        <v>6.1402962155560807</v>
      </c>
      <c r="I61" s="1499">
        <v>8.8184401845339497</v>
      </c>
      <c r="J61" s="1499">
        <v>8.0317346067000059</v>
      </c>
      <c r="K61" s="113">
        <v>5.6676775947106206</v>
      </c>
    </row>
    <row r="62" spans="2:11" x14ac:dyDescent="0.3">
      <c r="B62" s="115"/>
      <c r="C62" s="112" t="s">
        <v>1508</v>
      </c>
      <c r="D62" s="1499">
        <v>7.7614633320572581</v>
      </c>
      <c r="E62" s="1499">
        <v>7.0567688549568803</v>
      </c>
      <c r="F62" s="1499">
        <v>5.6456681260714259</v>
      </c>
      <c r="G62" s="1499">
        <v>5.4663030274694711</v>
      </c>
      <c r="H62" s="1499">
        <v>6.1381323931004106</v>
      </c>
      <c r="I62" s="1499">
        <v>8.8162763620782787</v>
      </c>
      <c r="J62" s="1499">
        <v>8.0295707842443349</v>
      </c>
      <c r="K62" s="113">
        <v>5.6655137722549513</v>
      </c>
    </row>
    <row r="63" spans="2:11" x14ac:dyDescent="0.3">
      <c r="B63" s="115"/>
      <c r="C63" s="112" t="s">
        <v>1513</v>
      </c>
      <c r="D63" s="1499">
        <v>7.7582175983737525</v>
      </c>
      <c r="E63" s="1499">
        <v>7.0535231212733756</v>
      </c>
      <c r="F63" s="1499">
        <v>5.642422392387922</v>
      </c>
      <c r="G63" s="1499">
        <v>5.4630572937859672</v>
      </c>
      <c r="H63" s="1499">
        <v>6.1348866594169058</v>
      </c>
      <c r="I63" s="1499">
        <v>8.8130306283947739</v>
      </c>
      <c r="J63" s="1499">
        <v>8.0263250505608301</v>
      </c>
      <c r="K63" s="113">
        <v>5.6622680385714466</v>
      </c>
    </row>
    <row r="64" spans="2:11" x14ac:dyDescent="0.3">
      <c r="B64" s="115"/>
      <c r="C64" s="112" t="s">
        <v>1517</v>
      </c>
      <c r="D64" s="1499">
        <v>7.7549718646902495</v>
      </c>
      <c r="E64" s="1499">
        <v>7.0502773875898717</v>
      </c>
      <c r="F64" s="1499">
        <v>5.6391766587044172</v>
      </c>
      <c r="G64" s="1499">
        <v>5.4598115601024624</v>
      </c>
      <c r="H64" s="1499">
        <v>6.1316409257334019</v>
      </c>
      <c r="I64" s="1499">
        <v>8.8097848947112709</v>
      </c>
      <c r="J64" s="1499">
        <v>8.0230793168773271</v>
      </c>
      <c r="K64" s="113">
        <v>5.6590223048879418</v>
      </c>
    </row>
    <row r="65" spans="2:11" ht="14.5" thickBot="1" x14ac:dyDescent="0.35">
      <c r="B65" s="1233"/>
      <c r="C65" s="116" t="s">
        <v>1519</v>
      </c>
      <c r="D65" s="117">
        <v>7.7678509981559261</v>
      </c>
      <c r="E65" s="117">
        <v>7.0626909549325383</v>
      </c>
      <c r="F65" s="117">
        <v>5.6521478369318281</v>
      </c>
      <c r="G65" s="117">
        <v>5.4727912664434575</v>
      </c>
      <c r="H65" s="117">
        <v>6.1444066540439044</v>
      </c>
      <c r="I65" s="117">
        <v>8.8215609925755079</v>
      </c>
      <c r="J65" s="117">
        <v>8.0350711162539277</v>
      </c>
      <c r="K65" s="118">
        <v>5.6719349285919947</v>
      </c>
    </row>
    <row r="66" spans="2:11" x14ac:dyDescent="0.3">
      <c r="B66" s="119" t="s">
        <v>1983</v>
      </c>
      <c r="C66" s="108" t="s">
        <v>1416</v>
      </c>
      <c r="D66" s="109">
        <v>7.2473141135644878</v>
      </c>
      <c r="E66" s="109">
        <v>6.5423027801277875</v>
      </c>
      <c r="F66" s="109">
        <v>5.1301348847530157</v>
      </c>
      <c r="G66" s="109">
        <v>4.9511070123183734</v>
      </c>
      <c r="H66" s="109">
        <v>5.6234296816214826</v>
      </c>
      <c r="I66" s="109">
        <v>8.3024563176398871</v>
      </c>
      <c r="J66" s="109">
        <v>7.5154442933806624</v>
      </c>
      <c r="K66" s="110">
        <v>5.1504548205837288</v>
      </c>
    </row>
    <row r="67" spans="2:11" x14ac:dyDescent="0.3">
      <c r="B67" s="111"/>
      <c r="C67" s="112" t="s">
        <v>1483</v>
      </c>
      <c r="D67" s="1499">
        <v>7.2662369321149614</v>
      </c>
      <c r="E67" s="1499">
        <v>6.5610768888915736</v>
      </c>
      <c r="F67" s="1499">
        <v>5.1505337708908634</v>
      </c>
      <c r="G67" s="1499">
        <v>4.9711772004024919</v>
      </c>
      <c r="H67" s="1499">
        <v>5.6427925880029397</v>
      </c>
      <c r="I67" s="1499">
        <v>8.3199469265345432</v>
      </c>
      <c r="J67" s="1499">
        <v>7.533457050212963</v>
      </c>
      <c r="K67" s="113">
        <v>5.1703208625510291</v>
      </c>
    </row>
    <row r="68" spans="2:11" x14ac:dyDescent="0.3">
      <c r="B68" s="111" t="s">
        <v>1981</v>
      </c>
      <c r="C68" s="112" t="s">
        <v>1489</v>
      </c>
      <c r="D68" s="1499">
        <v>7.2636406966201106</v>
      </c>
      <c r="E68" s="1499">
        <v>6.5584806533967228</v>
      </c>
      <c r="F68" s="1499">
        <v>5.1479375353960117</v>
      </c>
      <c r="G68" s="1499">
        <v>4.9685809649076411</v>
      </c>
      <c r="H68" s="1499">
        <v>5.6401963525080889</v>
      </c>
      <c r="I68" s="1499">
        <v>8.3173506910396924</v>
      </c>
      <c r="J68" s="1499">
        <v>7.5308608147181131</v>
      </c>
      <c r="K68" s="113">
        <v>5.1677246270561774</v>
      </c>
    </row>
    <row r="69" spans="2:11" x14ac:dyDescent="0.3">
      <c r="B69" s="114">
        <v>0</v>
      </c>
      <c r="C69" s="112" t="s">
        <v>1496</v>
      </c>
      <c r="D69" s="1499">
        <v>7.2597463433778326</v>
      </c>
      <c r="E69" s="1499">
        <v>6.5545863001544449</v>
      </c>
      <c r="F69" s="1499">
        <v>5.1440431821537356</v>
      </c>
      <c r="G69" s="1499">
        <v>4.9646866116653641</v>
      </c>
      <c r="H69" s="1499">
        <v>5.6363019992658119</v>
      </c>
      <c r="I69" s="1499">
        <v>8.3134563377974136</v>
      </c>
      <c r="J69" s="1499">
        <v>7.5269664614758351</v>
      </c>
      <c r="K69" s="113">
        <v>5.1638302738139013</v>
      </c>
    </row>
    <row r="70" spans="2:11" x14ac:dyDescent="0.3">
      <c r="B70" s="115"/>
      <c r="C70" s="112" t="s">
        <v>1500</v>
      </c>
      <c r="D70" s="1499">
        <v>7.2558519901355565</v>
      </c>
      <c r="E70" s="1499">
        <v>6.5506919469121687</v>
      </c>
      <c r="F70" s="1499">
        <v>5.1401488289114585</v>
      </c>
      <c r="G70" s="1499">
        <v>4.960792258423087</v>
      </c>
      <c r="H70" s="1499">
        <v>5.6324076460235348</v>
      </c>
      <c r="I70" s="1499">
        <v>8.3095619845551383</v>
      </c>
      <c r="J70" s="1499">
        <v>7.5230721082335581</v>
      </c>
      <c r="K70" s="113">
        <v>5.1599359205716242</v>
      </c>
    </row>
    <row r="71" spans="2:11" x14ac:dyDescent="0.3">
      <c r="B71" s="115"/>
      <c r="C71" s="112" t="s">
        <v>1504</v>
      </c>
      <c r="D71" s="1499">
        <v>7.2620130884719618</v>
      </c>
      <c r="E71" s="1499">
        <v>6.5573186113715849</v>
      </c>
      <c r="F71" s="1499">
        <v>5.1462178824861313</v>
      </c>
      <c r="G71" s="1499">
        <v>4.9668527838841765</v>
      </c>
      <c r="H71" s="1499">
        <v>5.6386821495151151</v>
      </c>
      <c r="I71" s="1499">
        <v>8.3168261184929833</v>
      </c>
      <c r="J71" s="1499">
        <v>7.5301205406590404</v>
      </c>
      <c r="K71" s="113">
        <v>5.1660635286696559</v>
      </c>
    </row>
    <row r="72" spans="2:11" x14ac:dyDescent="0.3">
      <c r="B72" s="115"/>
      <c r="C72" s="112" t="s">
        <v>1508</v>
      </c>
      <c r="D72" s="1499">
        <v>7.2598492660162934</v>
      </c>
      <c r="E72" s="1499">
        <v>6.5551547889159156</v>
      </c>
      <c r="F72" s="1499">
        <v>5.1440540600304612</v>
      </c>
      <c r="G72" s="1499">
        <v>4.9646889614285064</v>
      </c>
      <c r="H72" s="1499">
        <v>5.636518327059445</v>
      </c>
      <c r="I72" s="1499">
        <v>8.314662296037314</v>
      </c>
      <c r="J72" s="1499">
        <v>7.5279567182033711</v>
      </c>
      <c r="K72" s="113">
        <v>5.1638997062139858</v>
      </c>
    </row>
    <row r="73" spans="2:11" x14ac:dyDescent="0.3">
      <c r="B73" s="115"/>
      <c r="C73" s="112" t="s">
        <v>1513</v>
      </c>
      <c r="D73" s="1499">
        <v>7.2566035323327887</v>
      </c>
      <c r="E73" s="1499">
        <v>6.5519090552324109</v>
      </c>
      <c r="F73" s="1499">
        <v>5.1408083263469573</v>
      </c>
      <c r="G73" s="1499">
        <v>4.9614432277450016</v>
      </c>
      <c r="H73" s="1499">
        <v>5.6332725933759411</v>
      </c>
      <c r="I73" s="1499">
        <v>8.3114165623538092</v>
      </c>
      <c r="J73" s="1499">
        <v>7.5247109845198663</v>
      </c>
      <c r="K73" s="113">
        <v>5.1606539725304819</v>
      </c>
    </row>
    <row r="74" spans="2:11" x14ac:dyDescent="0.3">
      <c r="B74" s="115"/>
      <c r="C74" s="112" t="s">
        <v>1517</v>
      </c>
      <c r="D74" s="1499">
        <v>7.253357798649283</v>
      </c>
      <c r="E74" s="1499">
        <v>6.5486633215489061</v>
      </c>
      <c r="F74" s="1499">
        <v>5.1375625926634516</v>
      </c>
      <c r="G74" s="1499">
        <v>4.9581974940614968</v>
      </c>
      <c r="H74" s="1499">
        <v>5.6300268596924363</v>
      </c>
      <c r="I74" s="1499">
        <v>8.3081708286703044</v>
      </c>
      <c r="J74" s="1499">
        <v>7.5214652508363615</v>
      </c>
      <c r="K74" s="113">
        <v>5.1574082388469762</v>
      </c>
    </row>
    <row r="75" spans="2:11" ht="14.5" thickBot="1" x14ac:dyDescent="0.35">
      <c r="B75" s="1233"/>
      <c r="C75" s="116" t="s">
        <v>1519</v>
      </c>
      <c r="D75" s="117">
        <v>7.2662369321149614</v>
      </c>
      <c r="E75" s="117">
        <v>6.5610768888915736</v>
      </c>
      <c r="F75" s="117">
        <v>5.1505337708908634</v>
      </c>
      <c r="G75" s="117">
        <v>4.9711772004024919</v>
      </c>
      <c r="H75" s="117">
        <v>5.6427925880029397</v>
      </c>
      <c r="I75" s="117">
        <v>8.3199469265345432</v>
      </c>
      <c r="J75" s="117">
        <v>7.533457050212963</v>
      </c>
      <c r="K75" s="118">
        <v>5.1703208625510291</v>
      </c>
    </row>
    <row r="76" spans="2:11" x14ac:dyDescent="0.3">
      <c r="B76" s="119" t="s">
        <v>1983</v>
      </c>
      <c r="C76" s="108" t="s">
        <v>1416</v>
      </c>
      <c r="D76" s="109">
        <v>6.7457000475235223</v>
      </c>
      <c r="E76" s="109">
        <v>6.0406887140868211</v>
      </c>
      <c r="F76" s="109">
        <v>4.628520818712051</v>
      </c>
      <c r="G76" s="109">
        <v>4.4494929462774087</v>
      </c>
      <c r="H76" s="109">
        <v>5.121815615580517</v>
      </c>
      <c r="I76" s="109">
        <v>7.8008422515989224</v>
      </c>
      <c r="J76" s="109">
        <v>7.0138302273396969</v>
      </c>
      <c r="K76" s="110">
        <v>4.6488407545427641</v>
      </c>
    </row>
    <row r="77" spans="2:11" x14ac:dyDescent="0.3">
      <c r="B77" s="111"/>
      <c r="C77" s="112" t="s">
        <v>1483</v>
      </c>
      <c r="D77" s="1499">
        <v>6.7646228660739975</v>
      </c>
      <c r="E77" s="1499">
        <v>6.0594628228506089</v>
      </c>
      <c r="F77" s="1499">
        <v>4.6489197048498978</v>
      </c>
      <c r="G77" s="1499">
        <v>4.4695631343615272</v>
      </c>
      <c r="H77" s="1499">
        <v>5.141178521961975</v>
      </c>
      <c r="I77" s="1499">
        <v>7.8183328604935785</v>
      </c>
      <c r="J77" s="1499">
        <v>7.0318429841719992</v>
      </c>
      <c r="K77" s="113">
        <v>4.6687067965100644</v>
      </c>
    </row>
    <row r="78" spans="2:11" x14ac:dyDescent="0.3">
      <c r="B78" s="111" t="s">
        <v>1982</v>
      </c>
      <c r="C78" s="112" t="s">
        <v>1489</v>
      </c>
      <c r="D78" s="1499">
        <v>6.762026630579145</v>
      </c>
      <c r="E78" s="1499">
        <v>6.0568665873557572</v>
      </c>
      <c r="F78" s="1499">
        <v>4.646323469355047</v>
      </c>
      <c r="G78" s="1499">
        <v>4.4669668988666755</v>
      </c>
      <c r="H78" s="1499">
        <v>5.1385822864671233</v>
      </c>
      <c r="I78" s="1499">
        <v>7.8157366249987268</v>
      </c>
      <c r="J78" s="1499">
        <v>7.0292467486771466</v>
      </c>
      <c r="K78" s="113">
        <v>4.6661105610152127</v>
      </c>
    </row>
    <row r="79" spans="2:11" x14ac:dyDescent="0.3">
      <c r="B79" s="114">
        <v>0</v>
      </c>
      <c r="C79" s="112" t="s">
        <v>1496</v>
      </c>
      <c r="D79" s="1499">
        <v>6.7581322773368688</v>
      </c>
      <c r="E79" s="1499">
        <v>6.0529722341134802</v>
      </c>
      <c r="F79" s="1499">
        <v>4.64242911611277</v>
      </c>
      <c r="G79" s="1499">
        <v>4.4630725456243994</v>
      </c>
      <c r="H79" s="1499">
        <v>5.1346879332248472</v>
      </c>
      <c r="I79" s="1499">
        <v>7.8118422717564497</v>
      </c>
      <c r="J79" s="1499">
        <v>7.0253523954348704</v>
      </c>
      <c r="K79" s="113">
        <v>4.6622162077729365</v>
      </c>
    </row>
    <row r="80" spans="2:11" x14ac:dyDescent="0.3">
      <c r="B80" s="115"/>
      <c r="C80" s="112" t="s">
        <v>1500</v>
      </c>
      <c r="D80" s="1499">
        <v>6.7542379240945918</v>
      </c>
      <c r="E80" s="1499">
        <v>6.049077880871204</v>
      </c>
      <c r="F80" s="1499">
        <v>4.6385347628704929</v>
      </c>
      <c r="G80" s="1499">
        <v>4.4591781923821223</v>
      </c>
      <c r="H80" s="1499">
        <v>5.1307935799825701</v>
      </c>
      <c r="I80" s="1499">
        <v>7.8079479185141736</v>
      </c>
      <c r="J80" s="1499">
        <v>7.0214580421925934</v>
      </c>
      <c r="K80" s="113">
        <v>4.6583218545306586</v>
      </c>
    </row>
    <row r="81" spans="2:11" x14ac:dyDescent="0.3">
      <c r="B81" s="115"/>
      <c r="C81" s="112" t="s">
        <v>1504</v>
      </c>
      <c r="D81" s="1499">
        <v>6.760399022430998</v>
      </c>
      <c r="E81" s="1499">
        <v>6.0557045453306202</v>
      </c>
      <c r="F81" s="1499">
        <v>4.6446038164451657</v>
      </c>
      <c r="G81" s="1499">
        <v>4.4652387178432109</v>
      </c>
      <c r="H81" s="1499">
        <v>5.1370680834741504</v>
      </c>
      <c r="I81" s="1499">
        <v>7.8152120524520186</v>
      </c>
      <c r="J81" s="1499">
        <v>7.0285064746180757</v>
      </c>
      <c r="K81" s="113">
        <v>4.6644494626286903</v>
      </c>
    </row>
    <row r="82" spans="2:11" x14ac:dyDescent="0.3">
      <c r="B82" s="115"/>
      <c r="C82" s="112" t="s">
        <v>1508</v>
      </c>
      <c r="D82" s="1499">
        <v>6.7582351999753278</v>
      </c>
      <c r="E82" s="1499">
        <v>6.05354072287495</v>
      </c>
      <c r="F82" s="1499">
        <v>4.6424399939894965</v>
      </c>
      <c r="G82" s="1499">
        <v>4.4630748953875408</v>
      </c>
      <c r="H82" s="1499">
        <v>5.1349042610184803</v>
      </c>
      <c r="I82" s="1499">
        <v>7.8130482299963484</v>
      </c>
      <c r="J82" s="1499">
        <v>7.0263426521624055</v>
      </c>
      <c r="K82" s="113">
        <v>4.6622856401730211</v>
      </c>
    </row>
    <row r="83" spans="2:11" x14ac:dyDescent="0.3">
      <c r="B83" s="115"/>
      <c r="C83" s="112" t="s">
        <v>1513</v>
      </c>
      <c r="D83" s="1499">
        <v>6.7549894662918222</v>
      </c>
      <c r="E83" s="1499">
        <v>6.0502949891914461</v>
      </c>
      <c r="F83" s="1499">
        <v>4.6391942603059917</v>
      </c>
      <c r="G83" s="1499">
        <v>4.4598291617040369</v>
      </c>
      <c r="H83" s="1499">
        <v>5.1316585273349764</v>
      </c>
      <c r="I83" s="1499">
        <v>7.8098024963128436</v>
      </c>
      <c r="J83" s="1499">
        <v>7.0230969184789007</v>
      </c>
      <c r="K83" s="113">
        <v>4.6590399064895163</v>
      </c>
    </row>
    <row r="84" spans="2:11" x14ac:dyDescent="0.3">
      <c r="B84" s="115"/>
      <c r="C84" s="112" t="s">
        <v>1517</v>
      </c>
      <c r="D84" s="1499">
        <v>6.7517437326083192</v>
      </c>
      <c r="E84" s="1499">
        <v>6.0470492555079414</v>
      </c>
      <c r="F84" s="1499">
        <v>4.6359485266224869</v>
      </c>
      <c r="G84" s="1499">
        <v>4.456583428020533</v>
      </c>
      <c r="H84" s="1499">
        <v>5.1284127936514716</v>
      </c>
      <c r="I84" s="1499">
        <v>7.8065567626293397</v>
      </c>
      <c r="J84" s="1499">
        <v>7.0198511847953968</v>
      </c>
      <c r="K84" s="113">
        <v>4.6557941728060115</v>
      </c>
    </row>
    <row r="85" spans="2:11" ht="14.5" thickBot="1" x14ac:dyDescent="0.35">
      <c r="B85" s="1233"/>
      <c r="C85" s="116" t="s">
        <v>1519</v>
      </c>
      <c r="D85" s="117">
        <v>6.7646228660739975</v>
      </c>
      <c r="E85" s="117">
        <v>6.0594628228506089</v>
      </c>
      <c r="F85" s="117">
        <v>4.6489197048498978</v>
      </c>
      <c r="G85" s="117">
        <v>4.4695631343615272</v>
      </c>
      <c r="H85" s="117">
        <v>5.141178521961975</v>
      </c>
      <c r="I85" s="117">
        <v>7.8183328604935785</v>
      </c>
      <c r="J85" s="117">
        <v>7.0318429841719992</v>
      </c>
      <c r="K85" s="118">
        <v>4.6687067965100644</v>
      </c>
    </row>
    <row r="87" spans="2:11" ht="14.5" thickBot="1" x14ac:dyDescent="0.35"/>
    <row r="88" spans="2:11" ht="25.5" thickBot="1" x14ac:dyDescent="0.55000000000000004">
      <c r="B88" s="88" t="s">
        <v>1960</v>
      </c>
      <c r="C88" s="89"/>
      <c r="D88" s="90">
        <v>7</v>
      </c>
      <c r="E88" s="91" t="s">
        <v>1984</v>
      </c>
      <c r="F88" s="92"/>
      <c r="G88" s="92"/>
      <c r="H88" s="92"/>
      <c r="I88" s="93"/>
      <c r="J88" s="89" t="s">
        <v>176</v>
      </c>
      <c r="K88" s="94" t="s">
        <v>239</v>
      </c>
    </row>
    <row r="89" spans="2:11" ht="14.5" thickBot="1" x14ac:dyDescent="0.35">
      <c r="B89" s="95" t="s">
        <v>1962</v>
      </c>
      <c r="C89" s="96" t="s">
        <v>1963</v>
      </c>
      <c r="D89" s="95" t="s">
        <v>1964</v>
      </c>
      <c r="E89" s="97" t="s">
        <v>1965</v>
      </c>
      <c r="F89" s="97" t="s">
        <v>1966</v>
      </c>
      <c r="G89" s="97" t="s">
        <v>1967</v>
      </c>
      <c r="H89" s="97" t="s">
        <v>1968</v>
      </c>
      <c r="I89" s="97" t="s">
        <v>1969</v>
      </c>
      <c r="J89" s="97" t="s">
        <v>1970</v>
      </c>
      <c r="K89" s="98" t="s">
        <v>1971</v>
      </c>
    </row>
    <row r="90" spans="2:11" ht="14.5" thickBot="1" x14ac:dyDescent="0.35">
      <c r="B90" s="99"/>
      <c r="C90" s="99"/>
      <c r="D90" s="100"/>
      <c r="E90" s="944"/>
      <c r="F90" s="944"/>
      <c r="G90" s="944"/>
      <c r="H90" s="944"/>
      <c r="I90" s="944"/>
      <c r="J90" s="944"/>
      <c r="K90" s="102"/>
    </row>
    <row r="91" spans="2:11" ht="90.5" thickBot="1" x14ac:dyDescent="0.45">
      <c r="B91" s="103" t="s">
        <v>1972</v>
      </c>
      <c r="C91" s="103" t="s">
        <v>1973</v>
      </c>
      <c r="D91" s="105" t="s">
        <v>1974</v>
      </c>
      <c r="E91" s="105" t="s">
        <v>1525</v>
      </c>
      <c r="F91" s="105" t="s">
        <v>1527</v>
      </c>
      <c r="G91" s="105" t="s">
        <v>1975</v>
      </c>
      <c r="H91" s="105" t="s">
        <v>1976</v>
      </c>
      <c r="I91" s="105" t="s">
        <v>1445</v>
      </c>
      <c r="J91" s="105" t="s">
        <v>1538</v>
      </c>
      <c r="K91" s="106" t="s">
        <v>1541</v>
      </c>
    </row>
    <row r="92" spans="2:11" x14ac:dyDescent="0.3">
      <c r="B92" s="107" t="s">
        <v>1985</v>
      </c>
      <c r="C92" s="108" t="s">
        <v>1416</v>
      </c>
      <c r="D92" s="109">
        <v>4.7500155995149607</v>
      </c>
      <c r="E92" s="109">
        <v>3.8495363435460948</v>
      </c>
      <c r="F92" s="109">
        <v>2.6240400541758548</v>
      </c>
      <c r="G92" s="109">
        <v>2.3578063779004315</v>
      </c>
      <c r="H92" s="109">
        <v>3.0745156155805331</v>
      </c>
      <c r="I92" s="109">
        <v>5.5429957603295508</v>
      </c>
      <c r="J92" s="109">
        <v>4.7786332183213229</v>
      </c>
      <c r="K92" s="110">
        <v>2.5383221818215627</v>
      </c>
    </row>
    <row r="93" spans="2:11" x14ac:dyDescent="0.3">
      <c r="B93" s="111"/>
      <c r="C93" s="112" t="s">
        <v>1483</v>
      </c>
      <c r="D93" s="1499">
        <v>4.7704257814791458</v>
      </c>
      <c r="E93" s="1499">
        <v>3.8708453635211559</v>
      </c>
      <c r="F93" s="1499">
        <v>2.6448525684535018</v>
      </c>
      <c r="G93" s="1499">
        <v>2.3795534533973868</v>
      </c>
      <c r="H93" s="1499">
        <v>3.0955543537193795</v>
      </c>
      <c r="I93" s="1499">
        <v>5.5628693983952306</v>
      </c>
      <c r="J93" s="1499">
        <v>4.7991842980542732</v>
      </c>
      <c r="K93" s="113">
        <v>2.5598791866957491</v>
      </c>
    </row>
    <row r="94" spans="2:11" x14ac:dyDescent="0.3">
      <c r="B94" s="111" t="s">
        <v>1986</v>
      </c>
      <c r="C94" s="112" t="s">
        <v>1489</v>
      </c>
      <c r="D94" s="1499">
        <v>4.7678295459842941</v>
      </c>
      <c r="E94" s="1499">
        <v>3.8682491280263047</v>
      </c>
      <c r="F94" s="1499">
        <v>2.6422563329586506</v>
      </c>
      <c r="G94" s="1499">
        <v>2.3769572179025351</v>
      </c>
      <c r="H94" s="1499">
        <v>3.0929581182245283</v>
      </c>
      <c r="I94" s="1499">
        <v>5.5602731629003799</v>
      </c>
      <c r="J94" s="1499">
        <v>4.7965880625594215</v>
      </c>
      <c r="K94" s="113">
        <v>2.5572829512008979</v>
      </c>
    </row>
    <row r="95" spans="2:11" x14ac:dyDescent="0.3">
      <c r="B95" s="114">
        <v>0</v>
      </c>
      <c r="C95" s="112" t="s">
        <v>1496</v>
      </c>
      <c r="D95" s="1499">
        <v>4.7639351927420179</v>
      </c>
      <c r="E95" s="1499">
        <v>3.8643547747840281</v>
      </c>
      <c r="F95" s="1499">
        <v>2.6383619797163735</v>
      </c>
      <c r="G95" s="1499">
        <v>2.3730628646602585</v>
      </c>
      <c r="H95" s="1499">
        <v>3.0890637649822512</v>
      </c>
      <c r="I95" s="1499">
        <v>5.5563788096581028</v>
      </c>
      <c r="J95" s="1499">
        <v>4.7926937093171444</v>
      </c>
      <c r="K95" s="113">
        <v>2.5533885979586208</v>
      </c>
    </row>
    <row r="96" spans="2:11" x14ac:dyDescent="0.3">
      <c r="B96" s="115"/>
      <c r="C96" s="112" t="s">
        <v>1500</v>
      </c>
      <c r="D96" s="1499">
        <v>4.7600408394997409</v>
      </c>
      <c r="E96" s="1499">
        <v>3.8604604215417511</v>
      </c>
      <c r="F96" s="1499">
        <v>2.6344676264740965</v>
      </c>
      <c r="G96" s="1499">
        <v>2.3691685114179815</v>
      </c>
      <c r="H96" s="1499">
        <v>3.0851694117399746</v>
      </c>
      <c r="I96" s="1499">
        <v>5.5524844564158258</v>
      </c>
      <c r="J96" s="1499">
        <v>4.7887993560748674</v>
      </c>
      <c r="K96" s="113">
        <v>2.5494942447163442</v>
      </c>
    </row>
    <row r="97" spans="2:11" x14ac:dyDescent="0.3">
      <c r="B97" s="115"/>
      <c r="C97" s="112" t="s">
        <v>1504</v>
      </c>
      <c r="D97" s="1499">
        <v>4.7663303594070321</v>
      </c>
      <c r="E97" s="1499">
        <v>3.8665033556864117</v>
      </c>
      <c r="F97" s="1499">
        <v>2.6406589059197989</v>
      </c>
      <c r="G97" s="1499">
        <v>2.3751684600862339</v>
      </c>
      <c r="H97" s="1499">
        <v>3.0913323837809963</v>
      </c>
      <c r="I97" s="1499">
        <v>5.5585548936679743</v>
      </c>
      <c r="J97" s="1499">
        <v>4.7948865014340889</v>
      </c>
      <c r="K97" s="113">
        <v>2.5555383132234981</v>
      </c>
    </row>
    <row r="98" spans="2:11" x14ac:dyDescent="0.3">
      <c r="B98" s="115"/>
      <c r="C98" s="112" t="s">
        <v>1508</v>
      </c>
      <c r="D98" s="1499">
        <v>4.7641665369513619</v>
      </c>
      <c r="E98" s="1499">
        <v>3.8643395332307415</v>
      </c>
      <c r="F98" s="1499">
        <v>2.6384950834641296</v>
      </c>
      <c r="G98" s="1499">
        <v>2.3730046376305642</v>
      </c>
      <c r="H98" s="1499">
        <v>3.0891685613253261</v>
      </c>
      <c r="I98" s="1499">
        <v>5.5563910712123041</v>
      </c>
      <c r="J98" s="1499">
        <v>4.7927226789784187</v>
      </c>
      <c r="K98" s="113">
        <v>2.5533744907678289</v>
      </c>
    </row>
    <row r="99" spans="2:11" x14ac:dyDescent="0.3">
      <c r="B99" s="115"/>
      <c r="C99" s="112" t="s">
        <v>1513</v>
      </c>
      <c r="D99" s="1499">
        <v>4.760920803267858</v>
      </c>
      <c r="E99" s="1499">
        <v>3.8610937995472372</v>
      </c>
      <c r="F99" s="1499">
        <v>2.6352493497806249</v>
      </c>
      <c r="G99" s="1499">
        <v>2.3697589039470599</v>
      </c>
      <c r="H99" s="1499">
        <v>3.0859228276418218</v>
      </c>
      <c r="I99" s="1499">
        <v>5.5531453375287994</v>
      </c>
      <c r="J99" s="1499">
        <v>4.7894769452949149</v>
      </c>
      <c r="K99" s="113">
        <v>2.5501287570843241</v>
      </c>
    </row>
    <row r="100" spans="2:11" x14ac:dyDescent="0.3">
      <c r="B100" s="115"/>
      <c r="C100" s="112" t="s">
        <v>1517</v>
      </c>
      <c r="D100" s="1499">
        <v>4.7576750695843533</v>
      </c>
      <c r="E100" s="1499">
        <v>3.8578480658637329</v>
      </c>
      <c r="F100" s="1499">
        <v>2.6320036160971201</v>
      </c>
      <c r="G100" s="1499">
        <v>2.3665131702635551</v>
      </c>
      <c r="H100" s="1499">
        <v>3.0826770939583175</v>
      </c>
      <c r="I100" s="1499">
        <v>5.5498996038452955</v>
      </c>
      <c r="J100" s="1499">
        <v>4.7862312116114101</v>
      </c>
      <c r="K100" s="113">
        <v>2.5468830234008193</v>
      </c>
    </row>
    <row r="101" spans="2:11" ht="14.5" thickBot="1" x14ac:dyDescent="0.35">
      <c r="B101" s="115"/>
      <c r="C101" s="116" t="s">
        <v>1519</v>
      </c>
      <c r="D101" s="117">
        <v>4.7704257814791458</v>
      </c>
      <c r="E101" s="117">
        <v>3.8708453635211559</v>
      </c>
      <c r="F101" s="117">
        <v>2.6448525684535018</v>
      </c>
      <c r="G101" s="117">
        <v>2.3795534533973868</v>
      </c>
      <c r="H101" s="117">
        <v>3.0955543537193795</v>
      </c>
      <c r="I101" s="117">
        <v>5.5628693983952306</v>
      </c>
      <c r="J101" s="117">
        <v>4.7991842980542732</v>
      </c>
      <c r="K101" s="118">
        <v>2.5598791866957491</v>
      </c>
    </row>
    <row r="102" spans="2:11" x14ac:dyDescent="0.3">
      <c r="B102" s="120" t="s">
        <v>1985</v>
      </c>
      <c r="C102" s="1234" t="s">
        <v>1416</v>
      </c>
      <c r="D102" s="109">
        <v>4.5954061211688924</v>
      </c>
      <c r="E102" s="109">
        <v>3.694926865200026</v>
      </c>
      <c r="F102" s="109">
        <v>2.4694305758297856</v>
      </c>
      <c r="G102" s="109">
        <v>2.2031968995543623</v>
      </c>
      <c r="H102" s="109">
        <v>2.9199061372344643</v>
      </c>
      <c r="I102" s="109">
        <v>5.3883862819834816</v>
      </c>
      <c r="J102" s="109">
        <v>4.6240237399752537</v>
      </c>
      <c r="K102" s="110">
        <v>2.3837127034754935</v>
      </c>
    </row>
    <row r="103" spans="2:11" x14ac:dyDescent="0.3">
      <c r="B103" s="121"/>
      <c r="C103" s="1500" t="s">
        <v>1483</v>
      </c>
      <c r="D103" s="1499">
        <v>4.6158163031330766</v>
      </c>
      <c r="E103" s="1499">
        <v>3.7162358851750872</v>
      </c>
      <c r="F103" s="1499">
        <v>2.4902430901074326</v>
      </c>
      <c r="G103" s="1499">
        <v>2.2249439750513176</v>
      </c>
      <c r="H103" s="1499">
        <v>2.9409448753733103</v>
      </c>
      <c r="I103" s="1499">
        <v>5.4082599200491623</v>
      </c>
      <c r="J103" s="1499">
        <v>4.644574819708204</v>
      </c>
      <c r="K103" s="113">
        <v>2.4052697083496799</v>
      </c>
    </row>
    <row r="104" spans="2:11" x14ac:dyDescent="0.3">
      <c r="B104" s="111" t="s">
        <v>1987</v>
      </c>
      <c r="C104" s="1500" t="s">
        <v>1489</v>
      </c>
      <c r="D104" s="1499">
        <v>4.6132200676382258</v>
      </c>
      <c r="E104" s="1499">
        <v>3.713639649680236</v>
      </c>
      <c r="F104" s="1499">
        <v>2.4876468546125814</v>
      </c>
      <c r="G104" s="1499">
        <v>2.2223477395564664</v>
      </c>
      <c r="H104" s="1499">
        <v>2.9383486398784591</v>
      </c>
      <c r="I104" s="1499">
        <v>5.4056636845543107</v>
      </c>
      <c r="J104" s="1499">
        <v>4.6419785842133523</v>
      </c>
      <c r="K104" s="113">
        <v>2.4026734728548287</v>
      </c>
    </row>
    <row r="105" spans="2:11" x14ac:dyDescent="0.3">
      <c r="B105" s="122">
        <v>0</v>
      </c>
      <c r="C105" s="1500" t="s">
        <v>1496</v>
      </c>
      <c r="D105" s="1499">
        <v>4.6093257143959487</v>
      </c>
      <c r="E105" s="1499">
        <v>3.7097452964379594</v>
      </c>
      <c r="F105" s="1499">
        <v>2.4837525013703043</v>
      </c>
      <c r="G105" s="1499">
        <v>2.2184533863141893</v>
      </c>
      <c r="H105" s="1499">
        <v>2.9344542866361825</v>
      </c>
      <c r="I105" s="1499">
        <v>5.4017693313120345</v>
      </c>
      <c r="J105" s="1499">
        <v>4.6380842309710761</v>
      </c>
      <c r="K105" s="113">
        <v>2.3987791196125521</v>
      </c>
    </row>
    <row r="106" spans="2:11" x14ac:dyDescent="0.3">
      <c r="B106" s="123"/>
      <c r="C106" s="1500" t="s">
        <v>1500</v>
      </c>
      <c r="D106" s="1499">
        <v>4.6054313611536717</v>
      </c>
      <c r="E106" s="1499">
        <v>3.7058509431956823</v>
      </c>
      <c r="F106" s="1499">
        <v>2.4798581481280277</v>
      </c>
      <c r="G106" s="1499">
        <v>2.2145590330719123</v>
      </c>
      <c r="H106" s="1499">
        <v>2.9305599333939054</v>
      </c>
      <c r="I106" s="1499">
        <v>5.3978749780697575</v>
      </c>
      <c r="J106" s="1499">
        <v>4.6341898777287991</v>
      </c>
      <c r="K106" s="113">
        <v>2.394884766370275</v>
      </c>
    </row>
    <row r="107" spans="2:11" x14ac:dyDescent="0.3">
      <c r="B107" s="123"/>
      <c r="C107" s="1500" t="s">
        <v>1504</v>
      </c>
      <c r="D107" s="1499">
        <v>4.6117208810609629</v>
      </c>
      <c r="E107" s="1499">
        <v>3.7118938773403429</v>
      </c>
      <c r="F107" s="1499">
        <v>2.4860494275737302</v>
      </c>
      <c r="G107" s="1499">
        <v>2.2205589817401652</v>
      </c>
      <c r="H107" s="1499">
        <v>2.9367229054349271</v>
      </c>
      <c r="I107" s="1499">
        <v>5.4039454153219051</v>
      </c>
      <c r="J107" s="1499">
        <v>4.6402770230880206</v>
      </c>
      <c r="K107" s="113">
        <v>2.4009288348774294</v>
      </c>
    </row>
    <row r="108" spans="2:11" x14ac:dyDescent="0.3">
      <c r="B108" s="123"/>
      <c r="C108" s="1500" t="s">
        <v>1508</v>
      </c>
      <c r="D108" s="1499">
        <v>4.6095570586052936</v>
      </c>
      <c r="E108" s="1499">
        <v>3.7097300548846728</v>
      </c>
      <c r="F108" s="1499">
        <v>2.4838856051180604</v>
      </c>
      <c r="G108" s="1499">
        <v>2.2183951592844955</v>
      </c>
      <c r="H108" s="1499">
        <v>2.9345590829792574</v>
      </c>
      <c r="I108" s="1499">
        <v>5.4017815928662349</v>
      </c>
      <c r="J108" s="1499">
        <v>4.6381132006323504</v>
      </c>
      <c r="K108" s="113">
        <v>2.3987650124217597</v>
      </c>
    </row>
    <row r="109" spans="2:11" x14ac:dyDescent="0.3">
      <c r="B109" s="123"/>
      <c r="C109" s="1500" t="s">
        <v>1513</v>
      </c>
      <c r="D109" s="1499">
        <v>4.6063113249217889</v>
      </c>
      <c r="E109" s="1499">
        <v>3.7064843212011684</v>
      </c>
      <c r="F109" s="1499">
        <v>2.4806398714345557</v>
      </c>
      <c r="G109" s="1499">
        <v>2.2151494256009907</v>
      </c>
      <c r="H109" s="1499">
        <v>2.9313133492957526</v>
      </c>
      <c r="I109" s="1499">
        <v>5.398535859182731</v>
      </c>
      <c r="J109" s="1499">
        <v>4.6348674669488457</v>
      </c>
      <c r="K109" s="113">
        <v>2.3955192787382549</v>
      </c>
    </row>
    <row r="110" spans="2:11" x14ac:dyDescent="0.3">
      <c r="B110" s="123"/>
      <c r="C110" s="1500" t="s">
        <v>1517</v>
      </c>
      <c r="D110" s="1499">
        <v>4.6030655912382841</v>
      </c>
      <c r="E110" s="1499">
        <v>3.7032385875176632</v>
      </c>
      <c r="F110" s="1499">
        <v>2.4773941377510509</v>
      </c>
      <c r="G110" s="1499">
        <v>2.2119036919174859</v>
      </c>
      <c r="H110" s="1499">
        <v>2.9280676156122483</v>
      </c>
      <c r="I110" s="1499">
        <v>5.3952901254992263</v>
      </c>
      <c r="J110" s="1499">
        <v>4.6316217332653409</v>
      </c>
      <c r="K110" s="113">
        <v>2.3922735450547501</v>
      </c>
    </row>
    <row r="111" spans="2:11" ht="14.5" thickBot="1" x14ac:dyDescent="0.35">
      <c r="B111" s="124"/>
      <c r="C111" s="125" t="s">
        <v>1519</v>
      </c>
      <c r="D111" s="117">
        <v>4.6158163031330766</v>
      </c>
      <c r="E111" s="117">
        <v>3.7162358851750872</v>
      </c>
      <c r="F111" s="117">
        <v>2.4902430901074326</v>
      </c>
      <c r="G111" s="117">
        <v>2.2249439750513176</v>
      </c>
      <c r="H111" s="117">
        <v>2.9409448753733103</v>
      </c>
      <c r="I111" s="117">
        <v>5.4082599200491623</v>
      </c>
      <c r="J111" s="117">
        <v>4.644574819708204</v>
      </c>
      <c r="K111" s="118">
        <v>2.4052697083496799</v>
      </c>
    </row>
    <row r="112" spans="2:11" x14ac:dyDescent="0.3">
      <c r="B112" s="119" t="s">
        <v>1985</v>
      </c>
      <c r="C112" s="108" t="s">
        <v>1416</v>
      </c>
      <c r="D112" s="109">
        <v>4.3634919036497877</v>
      </c>
      <c r="E112" s="109">
        <v>3.4630126476809218</v>
      </c>
      <c r="F112" s="109">
        <v>2.2375163583106823</v>
      </c>
      <c r="G112" s="109">
        <v>1.9712826820352587</v>
      </c>
      <c r="H112" s="109">
        <v>2.687991919715361</v>
      </c>
      <c r="I112" s="109">
        <v>5.1564720644643787</v>
      </c>
      <c r="J112" s="109">
        <v>4.3921095224561499</v>
      </c>
      <c r="K112" s="110">
        <v>2.1517984859563901</v>
      </c>
    </row>
    <row r="113" spans="2:11" x14ac:dyDescent="0.3">
      <c r="B113" s="111"/>
      <c r="C113" s="112" t="s">
        <v>1483</v>
      </c>
      <c r="D113" s="1499">
        <v>4.3839020856139728</v>
      </c>
      <c r="E113" s="1499">
        <v>3.4843216676559834</v>
      </c>
      <c r="F113" s="1499">
        <v>2.2583288725883293</v>
      </c>
      <c r="G113" s="1499">
        <v>1.993029757532214</v>
      </c>
      <c r="H113" s="1499">
        <v>2.7090306578542069</v>
      </c>
      <c r="I113" s="1499">
        <v>5.1763457025300585</v>
      </c>
      <c r="J113" s="1499">
        <v>4.4126606021891002</v>
      </c>
      <c r="K113" s="113">
        <v>2.1733554908305766</v>
      </c>
    </row>
    <row r="114" spans="2:11" ht="14.5" thickBot="1" x14ac:dyDescent="0.35">
      <c r="B114" s="111" t="s">
        <v>1988</v>
      </c>
      <c r="C114" s="112" t="s">
        <v>1489</v>
      </c>
      <c r="D114" s="1499">
        <v>4.381305850119122</v>
      </c>
      <c r="E114" s="1499">
        <v>3.4817254321611322</v>
      </c>
      <c r="F114" s="1501">
        <v>2.255732637093478</v>
      </c>
      <c r="G114" s="1499">
        <v>1.9904335220373628</v>
      </c>
      <c r="H114" s="1499">
        <v>2.7064344223593557</v>
      </c>
      <c r="I114" s="1499">
        <v>5.1737494670352078</v>
      </c>
      <c r="J114" s="1499">
        <v>4.4100643666942494</v>
      </c>
      <c r="K114" s="113">
        <v>2.1707592553357253</v>
      </c>
    </row>
    <row r="115" spans="2:11" ht="14.5" thickBot="1" x14ac:dyDescent="0.35">
      <c r="B115" s="114">
        <v>0</v>
      </c>
      <c r="C115" s="112" t="s">
        <v>1496</v>
      </c>
      <c r="D115" s="1499">
        <v>4.3774114968768449</v>
      </c>
      <c r="E115" s="1502">
        <v>3.4778310789188556</v>
      </c>
      <c r="F115" s="126">
        <v>2.251838283851201</v>
      </c>
      <c r="G115" s="1503">
        <v>1.9865391687950857</v>
      </c>
      <c r="H115" s="1499">
        <v>2.7025400691170787</v>
      </c>
      <c r="I115" s="1499">
        <v>5.1698551137929307</v>
      </c>
      <c r="J115" s="1499">
        <v>4.4061700134519723</v>
      </c>
      <c r="K115" s="113">
        <v>2.1668649020934483</v>
      </c>
    </row>
    <row r="116" spans="2:11" x14ac:dyDescent="0.3">
      <c r="B116" s="115"/>
      <c r="C116" s="112" t="s">
        <v>1500</v>
      </c>
      <c r="D116" s="1499">
        <v>4.3735171436345688</v>
      </c>
      <c r="E116" s="1499">
        <v>3.473936725676579</v>
      </c>
      <c r="F116" s="127">
        <v>2.2479439306089239</v>
      </c>
      <c r="G116" s="1499">
        <v>1.9826448155528089</v>
      </c>
      <c r="H116" s="1499">
        <v>2.6986457158748021</v>
      </c>
      <c r="I116" s="1499">
        <v>5.1659607605506537</v>
      </c>
      <c r="J116" s="1499">
        <v>4.4022756602096953</v>
      </c>
      <c r="K116" s="113">
        <v>2.1629705488511717</v>
      </c>
    </row>
    <row r="117" spans="2:11" x14ac:dyDescent="0.3">
      <c r="B117" s="115"/>
      <c r="C117" s="112" t="s">
        <v>1504</v>
      </c>
      <c r="D117" s="1499">
        <v>4.3798066635418591</v>
      </c>
      <c r="E117" s="1499">
        <v>3.4799796598212387</v>
      </c>
      <c r="F117" s="1499">
        <v>2.2541352100546264</v>
      </c>
      <c r="G117" s="1499">
        <v>1.9886447642210616</v>
      </c>
      <c r="H117" s="1499">
        <v>2.7048086879158237</v>
      </c>
      <c r="I117" s="1499">
        <v>5.1720311978028013</v>
      </c>
      <c r="J117" s="1499">
        <v>4.4083628055689168</v>
      </c>
      <c r="K117" s="113">
        <v>2.1690146173583256</v>
      </c>
    </row>
    <row r="118" spans="2:11" x14ac:dyDescent="0.3">
      <c r="B118" s="115"/>
      <c r="C118" s="112" t="s">
        <v>1508</v>
      </c>
      <c r="D118" s="1499">
        <v>4.3776428410861898</v>
      </c>
      <c r="E118" s="1499">
        <v>3.477815837365569</v>
      </c>
      <c r="F118" s="1499">
        <v>2.2519713875989567</v>
      </c>
      <c r="G118" s="1499">
        <v>1.9864809417653919</v>
      </c>
      <c r="H118" s="1499">
        <v>2.702644865460154</v>
      </c>
      <c r="I118" s="1499">
        <v>5.169867375347132</v>
      </c>
      <c r="J118" s="1499">
        <v>4.4061989831132475</v>
      </c>
      <c r="K118" s="113">
        <v>2.1668507949026559</v>
      </c>
    </row>
    <row r="119" spans="2:11" x14ac:dyDescent="0.3">
      <c r="B119" s="115"/>
      <c r="C119" s="112" t="s">
        <v>1513</v>
      </c>
      <c r="D119" s="1499">
        <v>4.3743971074026851</v>
      </c>
      <c r="E119" s="1499">
        <v>3.4745701036820646</v>
      </c>
      <c r="F119" s="1499">
        <v>2.2487256539154523</v>
      </c>
      <c r="G119" s="1499">
        <v>1.9832352080818871</v>
      </c>
      <c r="H119" s="1499">
        <v>2.6993991317766493</v>
      </c>
      <c r="I119" s="1499">
        <v>5.1666216416636273</v>
      </c>
      <c r="J119" s="1499">
        <v>4.4029532494297419</v>
      </c>
      <c r="K119" s="113">
        <v>2.1636050612191515</v>
      </c>
    </row>
    <row r="120" spans="2:11" x14ac:dyDescent="0.3">
      <c r="B120" s="115"/>
      <c r="C120" s="112" t="s">
        <v>1517</v>
      </c>
      <c r="D120" s="1499">
        <v>4.3711513737191812</v>
      </c>
      <c r="E120" s="1499">
        <v>3.4713243699985603</v>
      </c>
      <c r="F120" s="1499">
        <v>2.2454799202319475</v>
      </c>
      <c r="G120" s="1499">
        <v>1.9799894743983826</v>
      </c>
      <c r="H120" s="1499">
        <v>2.6961533980931445</v>
      </c>
      <c r="I120" s="1499">
        <v>5.1633759079801225</v>
      </c>
      <c r="J120" s="1499">
        <v>4.399707515746238</v>
      </c>
      <c r="K120" s="113">
        <v>2.1603593275356467</v>
      </c>
    </row>
    <row r="121" spans="2:11" ht="14.5" thickBot="1" x14ac:dyDescent="0.35">
      <c r="B121" s="1233"/>
      <c r="C121" s="116" t="s">
        <v>1519</v>
      </c>
      <c r="D121" s="117">
        <v>4.3839020856139728</v>
      </c>
      <c r="E121" s="117">
        <v>3.4843216676559834</v>
      </c>
      <c r="F121" s="117">
        <v>2.2583288725883293</v>
      </c>
      <c r="G121" s="117">
        <v>1.993029757532214</v>
      </c>
      <c r="H121" s="117">
        <v>2.7090306578542069</v>
      </c>
      <c r="I121" s="117">
        <v>5.1763457025300585</v>
      </c>
      <c r="J121" s="117">
        <v>4.4126606021891002</v>
      </c>
      <c r="K121" s="118">
        <v>2.1733554908305766</v>
      </c>
    </row>
    <row r="122" spans="2:11" x14ac:dyDescent="0.3">
      <c r="B122" s="107" t="s">
        <v>1985</v>
      </c>
      <c r="C122" s="108" t="s">
        <v>1416</v>
      </c>
      <c r="D122" s="109">
        <v>4.1315776861306848</v>
      </c>
      <c r="E122" s="109">
        <v>3.2310984301618189</v>
      </c>
      <c r="F122" s="109">
        <v>2.0056021407915785</v>
      </c>
      <c r="G122" s="109">
        <v>1.7393684645161553</v>
      </c>
      <c r="H122" s="109">
        <v>2.4560777021962572</v>
      </c>
      <c r="I122" s="109">
        <v>4.9245578469452749</v>
      </c>
      <c r="J122" s="109">
        <v>4.160195304937047</v>
      </c>
      <c r="K122" s="110">
        <v>1.9198842684372865</v>
      </c>
    </row>
    <row r="123" spans="2:11" x14ac:dyDescent="0.3">
      <c r="B123" s="111"/>
      <c r="C123" s="112" t="s">
        <v>1483</v>
      </c>
      <c r="D123" s="1499">
        <v>4.1519878680948699</v>
      </c>
      <c r="E123" s="1499">
        <v>3.2524074501368805</v>
      </c>
      <c r="F123" s="1499">
        <v>2.0264146550692259</v>
      </c>
      <c r="G123" s="1499">
        <v>1.7611155400131107</v>
      </c>
      <c r="H123" s="1499">
        <v>2.4771164403351036</v>
      </c>
      <c r="I123" s="1499">
        <v>4.9444314850109556</v>
      </c>
      <c r="J123" s="1499">
        <v>4.1807463846699973</v>
      </c>
      <c r="K123" s="113">
        <v>1.9414412733114732</v>
      </c>
    </row>
    <row r="124" spans="2:11" x14ac:dyDescent="0.3">
      <c r="B124" s="111" t="s">
        <v>1989</v>
      </c>
      <c r="C124" s="112" t="s">
        <v>1489</v>
      </c>
      <c r="D124" s="1499">
        <v>4.1493916326000191</v>
      </c>
      <c r="E124" s="1499">
        <v>3.2498112146420293</v>
      </c>
      <c r="F124" s="1499">
        <v>2.0238184195743742</v>
      </c>
      <c r="G124" s="1499">
        <v>1.7585193045182592</v>
      </c>
      <c r="H124" s="1499">
        <v>2.4745202048402524</v>
      </c>
      <c r="I124" s="1499">
        <v>4.941835249516104</v>
      </c>
      <c r="J124" s="1499">
        <v>4.1781501491751456</v>
      </c>
      <c r="K124" s="113">
        <v>1.9388450378166218</v>
      </c>
    </row>
    <row r="125" spans="2:11" x14ac:dyDescent="0.3">
      <c r="B125" s="114">
        <v>0</v>
      </c>
      <c r="C125" s="112" t="s">
        <v>1496</v>
      </c>
      <c r="D125" s="1499">
        <v>4.145497279357742</v>
      </c>
      <c r="E125" s="1499">
        <v>3.2459168613997527</v>
      </c>
      <c r="F125" s="1499">
        <v>2.0199240663320976</v>
      </c>
      <c r="G125" s="1499">
        <v>1.7546249512759824</v>
      </c>
      <c r="H125" s="1499">
        <v>2.4706258515979753</v>
      </c>
      <c r="I125" s="1499">
        <v>4.9379408962738278</v>
      </c>
      <c r="J125" s="1499">
        <v>4.1742557959328694</v>
      </c>
      <c r="K125" s="113">
        <v>1.9349506845743449</v>
      </c>
    </row>
    <row r="126" spans="2:11" x14ac:dyDescent="0.3">
      <c r="B126" s="115"/>
      <c r="C126" s="112" t="s">
        <v>1500</v>
      </c>
      <c r="D126" s="1499">
        <v>4.141602926115465</v>
      </c>
      <c r="E126" s="1499">
        <v>3.2420225081574752</v>
      </c>
      <c r="F126" s="1499">
        <v>2.0160297130898206</v>
      </c>
      <c r="G126" s="1499">
        <v>1.7507305980337053</v>
      </c>
      <c r="H126" s="1499">
        <v>2.4667314983556983</v>
      </c>
      <c r="I126" s="1499">
        <v>4.9340465430315499</v>
      </c>
      <c r="J126" s="1499">
        <v>4.1703614426905915</v>
      </c>
      <c r="K126" s="113">
        <v>1.9310563313320679</v>
      </c>
    </row>
    <row r="127" spans="2:11" x14ac:dyDescent="0.3">
      <c r="B127" s="115"/>
      <c r="C127" s="112" t="s">
        <v>1504</v>
      </c>
      <c r="D127" s="1499">
        <v>4.1478924460227562</v>
      </c>
      <c r="E127" s="1499">
        <v>3.2480654423021358</v>
      </c>
      <c r="F127" s="1499">
        <v>2.022220992535523</v>
      </c>
      <c r="G127" s="1499">
        <v>1.7567305467019581</v>
      </c>
      <c r="H127" s="1499">
        <v>2.4728944703967199</v>
      </c>
      <c r="I127" s="1499">
        <v>4.9401169802836984</v>
      </c>
      <c r="J127" s="1499">
        <v>4.176448588049813</v>
      </c>
      <c r="K127" s="113">
        <v>1.9371003998392222</v>
      </c>
    </row>
    <row r="128" spans="2:11" x14ac:dyDescent="0.3">
      <c r="B128" s="115"/>
      <c r="C128" s="112" t="s">
        <v>1508</v>
      </c>
      <c r="D128" s="1499">
        <v>4.145728623567086</v>
      </c>
      <c r="E128" s="1499">
        <v>3.2459016198464656</v>
      </c>
      <c r="F128" s="1499">
        <v>2.0200571700798533</v>
      </c>
      <c r="G128" s="1499">
        <v>1.7545667242462883</v>
      </c>
      <c r="H128" s="1499">
        <v>2.4707306479410507</v>
      </c>
      <c r="I128" s="1499">
        <v>4.9379531578280282</v>
      </c>
      <c r="J128" s="1499">
        <v>4.1742847655941437</v>
      </c>
      <c r="K128" s="113">
        <v>1.9349365773835525</v>
      </c>
    </row>
    <row r="129" spans="2:11" x14ac:dyDescent="0.3">
      <c r="B129" s="115"/>
      <c r="C129" s="112" t="s">
        <v>1513</v>
      </c>
      <c r="D129" s="1499">
        <v>4.1424828898835822</v>
      </c>
      <c r="E129" s="1499">
        <v>3.2426558861629613</v>
      </c>
      <c r="F129" s="1499">
        <v>2.0168114363963485</v>
      </c>
      <c r="G129" s="1499">
        <v>1.7513209905627838</v>
      </c>
      <c r="H129" s="1499">
        <v>2.4674849142575459</v>
      </c>
      <c r="I129" s="1499">
        <v>4.9347074241445243</v>
      </c>
      <c r="J129" s="1499">
        <v>4.171039031910639</v>
      </c>
      <c r="K129" s="113">
        <v>1.931690843700048</v>
      </c>
    </row>
    <row r="130" spans="2:11" x14ac:dyDescent="0.3">
      <c r="B130" s="115"/>
      <c r="C130" s="112" t="s">
        <v>1517</v>
      </c>
      <c r="D130" s="1499">
        <v>4.1392371562000774</v>
      </c>
      <c r="E130" s="1499">
        <v>3.2394101524794565</v>
      </c>
      <c r="F130" s="1499">
        <v>2.0135657027128442</v>
      </c>
      <c r="G130" s="1499">
        <v>1.748075256879279</v>
      </c>
      <c r="H130" s="1499">
        <v>2.4642391805740411</v>
      </c>
      <c r="I130" s="1499">
        <v>4.9314616904610187</v>
      </c>
      <c r="J130" s="1499">
        <v>4.1677932982271342</v>
      </c>
      <c r="K130" s="113">
        <v>1.9284451100165436</v>
      </c>
    </row>
    <row r="131" spans="2:11" ht="14.5" thickBot="1" x14ac:dyDescent="0.35">
      <c r="B131" s="1233"/>
      <c r="C131" s="116" t="s">
        <v>1519</v>
      </c>
      <c r="D131" s="117">
        <v>4.1519878680948699</v>
      </c>
      <c r="E131" s="117">
        <v>3.2524074501368805</v>
      </c>
      <c r="F131" s="117">
        <v>2.0264146550692259</v>
      </c>
      <c r="G131" s="117">
        <v>1.7611155400131107</v>
      </c>
      <c r="H131" s="117">
        <v>2.4771164403351036</v>
      </c>
      <c r="I131" s="117">
        <v>4.9444314850109556</v>
      </c>
      <c r="J131" s="117">
        <v>4.1807463846699973</v>
      </c>
      <c r="K131" s="118">
        <v>1.9414412733114732</v>
      </c>
    </row>
    <row r="132" spans="2:11" x14ac:dyDescent="0.3">
      <c r="B132" s="120" t="s">
        <v>1990</v>
      </c>
      <c r="C132" s="108" t="s">
        <v>1416</v>
      </c>
      <c r="D132" s="109">
        <v>4.4857157778405403</v>
      </c>
      <c r="E132" s="109">
        <v>3.5721842809479991</v>
      </c>
      <c r="F132" s="109">
        <v>2.3648023609507551</v>
      </c>
      <c r="G132" s="109">
        <v>2.0924199708060054</v>
      </c>
      <c r="H132" s="109">
        <v>2.8078592776085305</v>
      </c>
      <c r="I132" s="109">
        <v>5.2651515861197691</v>
      </c>
      <c r="J132" s="109">
        <v>4.500857488803149</v>
      </c>
      <c r="K132" s="110">
        <v>2.2683773214156204</v>
      </c>
    </row>
    <row r="133" spans="2:11" x14ac:dyDescent="0.3">
      <c r="B133" s="111"/>
      <c r="C133" s="112" t="s">
        <v>1483</v>
      </c>
      <c r="D133" s="1499">
        <v>4.5063528377101587</v>
      </c>
      <c r="E133" s="1499">
        <v>3.5938158007733261</v>
      </c>
      <c r="F133" s="1499">
        <v>2.3859274143088474</v>
      </c>
      <c r="G133" s="1499">
        <v>2.1134620401220863</v>
      </c>
      <c r="H133" s="1499">
        <v>2.8283632159324812</v>
      </c>
      <c r="I133" s="1499">
        <v>5.2853630533211469</v>
      </c>
      <c r="J133" s="1499">
        <v>4.521790085726721</v>
      </c>
      <c r="K133" s="113">
        <v>2.2902776795628115</v>
      </c>
    </row>
    <row r="134" spans="2:11" x14ac:dyDescent="0.3">
      <c r="B134" s="111" t="s">
        <v>1986</v>
      </c>
      <c r="C134" s="112" t="s">
        <v>1489</v>
      </c>
      <c r="D134" s="1499">
        <v>4.5037566022153079</v>
      </c>
      <c r="E134" s="1499">
        <v>3.5912195652784749</v>
      </c>
      <c r="F134" s="1499">
        <v>2.3833311788139961</v>
      </c>
      <c r="G134" s="1499">
        <v>2.1108658046272351</v>
      </c>
      <c r="H134" s="1499">
        <v>2.8257669804376295</v>
      </c>
      <c r="I134" s="1499">
        <v>5.2827668178262952</v>
      </c>
      <c r="J134" s="1499">
        <v>4.5191938502318694</v>
      </c>
      <c r="K134" s="113">
        <v>2.2876814440679603</v>
      </c>
    </row>
    <row r="135" spans="2:11" x14ac:dyDescent="0.3">
      <c r="B135" s="114">
        <v>0</v>
      </c>
      <c r="C135" s="112" t="s">
        <v>1496</v>
      </c>
      <c r="D135" s="1499">
        <v>4.4998622489730309</v>
      </c>
      <c r="E135" s="1499">
        <v>3.5873252120361978</v>
      </c>
      <c r="F135" s="1499">
        <v>2.3794368255717191</v>
      </c>
      <c r="G135" s="1499">
        <v>2.106971451384958</v>
      </c>
      <c r="H135" s="1499">
        <v>2.8218726271953529</v>
      </c>
      <c r="I135" s="1499">
        <v>5.2788724645840182</v>
      </c>
      <c r="J135" s="1499">
        <v>4.5152994969895923</v>
      </c>
      <c r="K135" s="113">
        <v>2.2837870908256832</v>
      </c>
    </row>
    <row r="136" spans="2:11" x14ac:dyDescent="0.3">
      <c r="B136" s="115"/>
      <c r="C136" s="112" t="s">
        <v>1500</v>
      </c>
      <c r="D136" s="1499">
        <v>4.4959678957307538</v>
      </c>
      <c r="E136" s="1499">
        <v>3.5834308587939212</v>
      </c>
      <c r="F136" s="1499">
        <v>2.375542472329442</v>
      </c>
      <c r="G136" s="1499">
        <v>2.103077098142681</v>
      </c>
      <c r="H136" s="1499">
        <v>2.8179782739530759</v>
      </c>
      <c r="I136" s="1499">
        <v>5.274978111341742</v>
      </c>
      <c r="J136" s="1499">
        <v>4.5114051437473162</v>
      </c>
      <c r="K136" s="113">
        <v>2.2798927375834066</v>
      </c>
    </row>
    <row r="137" spans="2:11" x14ac:dyDescent="0.3">
      <c r="B137" s="115"/>
      <c r="C137" s="112" t="s">
        <v>1504</v>
      </c>
      <c r="D137" s="1499">
        <v>4.5022272740497682</v>
      </c>
      <c r="E137" s="1499">
        <v>3.5894591722407174</v>
      </c>
      <c r="F137" s="1499">
        <v>2.3816490098833647</v>
      </c>
      <c r="G137" s="1499">
        <v>2.1092089943477861</v>
      </c>
      <c r="H137" s="1499">
        <v>2.8242582408966062</v>
      </c>
      <c r="I137" s="1499">
        <v>5.2810339198283334</v>
      </c>
      <c r="J137" s="1499">
        <v>4.5174312942225985</v>
      </c>
      <c r="K137" s="113">
        <v>2.2858586932925284</v>
      </c>
    </row>
    <row r="138" spans="2:11" x14ac:dyDescent="0.3">
      <c r="B138" s="115"/>
      <c r="C138" s="112" t="s">
        <v>1508</v>
      </c>
      <c r="D138" s="1499">
        <v>4.5000634515940989</v>
      </c>
      <c r="E138" s="1499">
        <v>3.5872953497850482</v>
      </c>
      <c r="F138" s="1499">
        <v>2.379485187427695</v>
      </c>
      <c r="G138" s="1499">
        <v>2.1070451718921164</v>
      </c>
      <c r="H138" s="1499">
        <v>2.8220944184409364</v>
      </c>
      <c r="I138" s="1499">
        <v>5.2788700973726641</v>
      </c>
      <c r="J138" s="1499">
        <v>4.5152674717669292</v>
      </c>
      <c r="K138" s="113">
        <v>2.2836948708368587</v>
      </c>
    </row>
    <row r="139" spans="2:11" x14ac:dyDescent="0.3">
      <c r="B139" s="115"/>
      <c r="C139" s="112" t="s">
        <v>1513</v>
      </c>
      <c r="D139" s="1499">
        <v>4.4968177179105941</v>
      </c>
      <c r="E139" s="1499">
        <v>3.5840496161015429</v>
      </c>
      <c r="F139" s="1499">
        <v>2.3762394537441902</v>
      </c>
      <c r="G139" s="1499">
        <v>2.1037994382086116</v>
      </c>
      <c r="H139" s="1499">
        <v>2.8188486847574317</v>
      </c>
      <c r="I139" s="1499">
        <v>5.2756243636891584</v>
      </c>
      <c r="J139" s="1499">
        <v>4.5120217380834235</v>
      </c>
      <c r="K139" s="113">
        <v>2.280449137153354</v>
      </c>
    </row>
    <row r="140" spans="2:11" x14ac:dyDescent="0.3">
      <c r="B140" s="115"/>
      <c r="C140" s="112" t="s">
        <v>1517</v>
      </c>
      <c r="D140" s="1499">
        <v>4.4935719842270903</v>
      </c>
      <c r="E140" s="1499">
        <v>3.5808038824180386</v>
      </c>
      <c r="F140" s="1499">
        <v>2.3729937200606859</v>
      </c>
      <c r="G140" s="1499">
        <v>2.1005537045251073</v>
      </c>
      <c r="H140" s="1499">
        <v>2.8156029510739273</v>
      </c>
      <c r="I140" s="1499">
        <v>5.2723786300056545</v>
      </c>
      <c r="J140" s="1499">
        <v>4.5087760043999197</v>
      </c>
      <c r="K140" s="113">
        <v>2.2772034034698496</v>
      </c>
    </row>
    <row r="141" spans="2:11" ht="14.5" thickBot="1" x14ac:dyDescent="0.35">
      <c r="B141" s="1233"/>
      <c r="C141" s="116" t="s">
        <v>1519</v>
      </c>
      <c r="D141" s="117">
        <v>4.5063528377101587</v>
      </c>
      <c r="E141" s="117">
        <v>3.5938158007733261</v>
      </c>
      <c r="F141" s="117">
        <v>2.3859274143088474</v>
      </c>
      <c r="G141" s="117">
        <v>2.1134620401220863</v>
      </c>
      <c r="H141" s="117">
        <v>2.8283632159324812</v>
      </c>
      <c r="I141" s="117">
        <v>5.2853630533211469</v>
      </c>
      <c r="J141" s="117">
        <v>4.521790085726721</v>
      </c>
      <c r="K141" s="118">
        <v>2.2902776795628115</v>
      </c>
    </row>
    <row r="142" spans="2:11" x14ac:dyDescent="0.3">
      <c r="B142" s="120" t="s">
        <v>1990</v>
      </c>
      <c r="C142" s="108" t="s">
        <v>1416</v>
      </c>
      <c r="D142" s="109">
        <v>4.3559292908525693</v>
      </c>
      <c r="E142" s="109">
        <v>3.4423977939600281</v>
      </c>
      <c r="F142" s="109">
        <v>2.2350158739627846</v>
      </c>
      <c r="G142" s="109">
        <v>1.9626334838180346</v>
      </c>
      <c r="H142" s="109">
        <v>2.6780727906205595</v>
      </c>
      <c r="I142" s="109">
        <v>5.1353650991317972</v>
      </c>
      <c r="J142" s="109">
        <v>4.3710710018151779</v>
      </c>
      <c r="K142" s="110">
        <v>2.1385908344276494</v>
      </c>
    </row>
    <row r="143" spans="2:11" x14ac:dyDescent="0.3">
      <c r="B143" s="111"/>
      <c r="C143" s="112" t="s">
        <v>1483</v>
      </c>
      <c r="D143" s="1499">
        <v>4.3765663507221877</v>
      </c>
      <c r="E143" s="1499">
        <v>3.4640293137853551</v>
      </c>
      <c r="F143" s="1499">
        <v>2.2561409273208763</v>
      </c>
      <c r="G143" s="1499">
        <v>1.9836755531341153</v>
      </c>
      <c r="H143" s="1499">
        <v>2.6985767289445102</v>
      </c>
      <c r="I143" s="1499">
        <v>5.1555765663331758</v>
      </c>
      <c r="J143" s="1499">
        <v>4.39200359873875</v>
      </c>
      <c r="K143" s="113">
        <v>2.1604911925748409</v>
      </c>
    </row>
    <row r="144" spans="2:11" x14ac:dyDescent="0.3">
      <c r="B144" s="111" t="s">
        <v>1987</v>
      </c>
      <c r="C144" s="112" t="s">
        <v>1489</v>
      </c>
      <c r="D144" s="1499">
        <v>4.3739701152273369</v>
      </c>
      <c r="E144" s="1499">
        <v>3.4614330782905038</v>
      </c>
      <c r="F144" s="1499">
        <v>2.2535446918260251</v>
      </c>
      <c r="G144" s="1499">
        <v>1.981079317639264</v>
      </c>
      <c r="H144" s="1499">
        <v>2.695980493449659</v>
      </c>
      <c r="I144" s="1499">
        <v>5.1529803308383242</v>
      </c>
      <c r="J144" s="1499">
        <v>4.3894073632438984</v>
      </c>
      <c r="K144" s="113">
        <v>2.1578949570799892</v>
      </c>
    </row>
    <row r="145" spans="2:11" x14ac:dyDescent="0.3">
      <c r="B145" s="114">
        <v>0</v>
      </c>
      <c r="C145" s="112" t="s">
        <v>1496</v>
      </c>
      <c r="D145" s="1499">
        <v>4.3700757619850599</v>
      </c>
      <c r="E145" s="1499">
        <v>3.4575387250482272</v>
      </c>
      <c r="F145" s="1499">
        <v>2.2496503385837481</v>
      </c>
      <c r="G145" s="1499">
        <v>1.9771849643969872</v>
      </c>
      <c r="H145" s="1499">
        <v>2.6920861402073819</v>
      </c>
      <c r="I145" s="1499">
        <v>5.149085977596048</v>
      </c>
      <c r="J145" s="1499">
        <v>4.3855130100016222</v>
      </c>
      <c r="K145" s="113">
        <v>2.1540006038377126</v>
      </c>
    </row>
    <row r="146" spans="2:11" x14ac:dyDescent="0.3">
      <c r="B146" s="115"/>
      <c r="C146" s="112" t="s">
        <v>1500</v>
      </c>
      <c r="D146" s="1499">
        <v>4.3661814087427828</v>
      </c>
      <c r="E146" s="1499">
        <v>3.4536443718059497</v>
      </c>
      <c r="F146" s="1499">
        <v>2.245755985341471</v>
      </c>
      <c r="G146" s="1499">
        <v>1.9732906111547102</v>
      </c>
      <c r="H146" s="1499">
        <v>2.6881917869651049</v>
      </c>
      <c r="I146" s="1499">
        <v>5.1451916243537701</v>
      </c>
      <c r="J146" s="1499">
        <v>4.3816186567593443</v>
      </c>
      <c r="K146" s="113">
        <v>2.1501062505954356</v>
      </c>
    </row>
    <row r="147" spans="2:11" x14ac:dyDescent="0.3">
      <c r="B147" s="115"/>
      <c r="C147" s="112" t="s">
        <v>1504</v>
      </c>
      <c r="D147" s="1499">
        <v>4.3724407870617981</v>
      </c>
      <c r="E147" s="1499">
        <v>3.4596726852527468</v>
      </c>
      <c r="F147" s="1499">
        <v>2.2518625228953937</v>
      </c>
      <c r="G147" s="1499">
        <v>1.9794225073598151</v>
      </c>
      <c r="H147" s="1499">
        <v>2.6944717539086351</v>
      </c>
      <c r="I147" s="1499">
        <v>5.1512474328403624</v>
      </c>
      <c r="J147" s="1499">
        <v>4.3876448072346275</v>
      </c>
      <c r="K147" s="113">
        <v>2.1560722063045574</v>
      </c>
    </row>
    <row r="148" spans="2:11" x14ac:dyDescent="0.3">
      <c r="B148" s="115"/>
      <c r="C148" s="112" t="s">
        <v>1508</v>
      </c>
      <c r="D148" s="1499">
        <v>4.3702769646061279</v>
      </c>
      <c r="E148" s="1499">
        <v>3.4575088627970767</v>
      </c>
      <c r="F148" s="1499">
        <v>2.249698700439724</v>
      </c>
      <c r="G148" s="1499">
        <v>1.9772586849041454</v>
      </c>
      <c r="H148" s="1499">
        <v>2.6923079314529654</v>
      </c>
      <c r="I148" s="1499">
        <v>5.1490836103846922</v>
      </c>
      <c r="J148" s="1499">
        <v>4.3854809847789573</v>
      </c>
      <c r="K148" s="113">
        <v>2.1539083838488877</v>
      </c>
    </row>
    <row r="149" spans="2:11" x14ac:dyDescent="0.3">
      <c r="B149" s="115"/>
      <c r="C149" s="112" t="s">
        <v>1513</v>
      </c>
      <c r="D149" s="1499">
        <v>4.367031230922624</v>
      </c>
      <c r="E149" s="1499">
        <v>3.4542631291135724</v>
      </c>
      <c r="F149" s="1499">
        <v>2.2464529667562192</v>
      </c>
      <c r="G149" s="1499">
        <v>1.9740129512206406</v>
      </c>
      <c r="H149" s="1499">
        <v>2.6890621977694606</v>
      </c>
      <c r="I149" s="1499">
        <v>5.1458378767011883</v>
      </c>
      <c r="J149" s="1499">
        <v>4.3822352510954534</v>
      </c>
      <c r="K149" s="113">
        <v>2.1506626501653834</v>
      </c>
    </row>
    <row r="150" spans="2:11" x14ac:dyDescent="0.3">
      <c r="B150" s="115"/>
      <c r="C150" s="112" t="s">
        <v>1517</v>
      </c>
      <c r="D150" s="1499">
        <v>4.3637854972391183</v>
      </c>
      <c r="E150" s="1499">
        <v>3.4510173954300676</v>
      </c>
      <c r="F150" s="1499">
        <v>2.2432072330727149</v>
      </c>
      <c r="G150" s="1499">
        <v>1.970767217537136</v>
      </c>
      <c r="H150" s="1499">
        <v>2.6858164640859563</v>
      </c>
      <c r="I150" s="1499">
        <v>5.1425921430176835</v>
      </c>
      <c r="J150" s="1499">
        <v>4.3789895174119486</v>
      </c>
      <c r="K150" s="113">
        <v>2.1474169164818786</v>
      </c>
    </row>
    <row r="151" spans="2:11" ht="14.5" thickBot="1" x14ac:dyDescent="0.35">
      <c r="B151" s="1233"/>
      <c r="C151" s="116" t="s">
        <v>1519</v>
      </c>
      <c r="D151" s="117">
        <v>4.3765663507221877</v>
      </c>
      <c r="E151" s="117">
        <v>3.4640293137853551</v>
      </c>
      <c r="F151" s="117">
        <v>2.2561409273208763</v>
      </c>
      <c r="G151" s="117">
        <v>1.9836755531341153</v>
      </c>
      <c r="H151" s="117">
        <v>2.6985767289445102</v>
      </c>
      <c r="I151" s="117">
        <v>5.1555765663331758</v>
      </c>
      <c r="J151" s="117">
        <v>4.39200359873875</v>
      </c>
      <c r="K151" s="118">
        <v>2.1604911925748409</v>
      </c>
    </row>
    <row r="152" spans="2:11" x14ac:dyDescent="0.3">
      <c r="B152" s="120" t="s">
        <v>1990</v>
      </c>
      <c r="C152" s="108" t="s">
        <v>1416</v>
      </c>
      <c r="D152" s="109">
        <v>4.1612495603706137</v>
      </c>
      <c r="E152" s="109">
        <v>3.2477180634780716</v>
      </c>
      <c r="F152" s="109">
        <v>2.040336143480828</v>
      </c>
      <c r="G152" s="109">
        <v>1.7679537533360781</v>
      </c>
      <c r="H152" s="109">
        <v>2.4833930601386029</v>
      </c>
      <c r="I152" s="109">
        <v>4.9406853686498415</v>
      </c>
      <c r="J152" s="109">
        <v>4.1763912713332214</v>
      </c>
      <c r="K152" s="110">
        <v>1.9439111039456931</v>
      </c>
    </row>
    <row r="153" spans="2:11" x14ac:dyDescent="0.3">
      <c r="B153" s="111"/>
      <c r="C153" s="112" t="s">
        <v>1483</v>
      </c>
      <c r="D153" s="1499">
        <v>4.1818866202402321</v>
      </c>
      <c r="E153" s="1499">
        <v>3.269349583303399</v>
      </c>
      <c r="F153" s="1499">
        <v>2.0614611968389198</v>
      </c>
      <c r="G153" s="1499">
        <v>1.7889958226521587</v>
      </c>
      <c r="H153" s="1499">
        <v>2.5038969984625536</v>
      </c>
      <c r="I153" s="1499">
        <v>4.9608968358512193</v>
      </c>
      <c r="J153" s="1499">
        <v>4.1973238682567935</v>
      </c>
      <c r="K153" s="113">
        <v>1.9658114620928842</v>
      </c>
    </row>
    <row r="154" spans="2:11" x14ac:dyDescent="0.3">
      <c r="B154" s="111" t="s">
        <v>1988</v>
      </c>
      <c r="C154" s="112" t="s">
        <v>1489</v>
      </c>
      <c r="D154" s="1499">
        <v>4.1792903847453804</v>
      </c>
      <c r="E154" s="1499">
        <v>3.2667533478085478</v>
      </c>
      <c r="F154" s="1499">
        <v>2.0588649613440686</v>
      </c>
      <c r="G154" s="1499">
        <v>1.7863995871573075</v>
      </c>
      <c r="H154" s="1499">
        <v>2.5013007629677024</v>
      </c>
      <c r="I154" s="1499">
        <v>4.9583006003563685</v>
      </c>
      <c r="J154" s="1499">
        <v>4.1947276327619418</v>
      </c>
      <c r="K154" s="113">
        <v>1.9632152265980329</v>
      </c>
    </row>
    <row r="155" spans="2:11" x14ac:dyDescent="0.3">
      <c r="B155" s="114">
        <v>0</v>
      </c>
      <c r="C155" s="112" t="s">
        <v>1496</v>
      </c>
      <c r="D155" s="1499">
        <v>4.1753960315031033</v>
      </c>
      <c r="E155" s="1499">
        <v>3.2628589945662703</v>
      </c>
      <c r="F155" s="1499">
        <v>2.0549706081017916</v>
      </c>
      <c r="G155" s="1499">
        <v>1.7825052339150307</v>
      </c>
      <c r="H155" s="1499">
        <v>2.4974064097254254</v>
      </c>
      <c r="I155" s="1499">
        <v>4.9544062471140906</v>
      </c>
      <c r="J155" s="1499">
        <v>4.1908332795196648</v>
      </c>
      <c r="K155" s="113">
        <v>1.9593208733557561</v>
      </c>
    </row>
    <row r="156" spans="2:11" x14ac:dyDescent="0.3">
      <c r="B156" s="115"/>
      <c r="C156" s="112" t="s">
        <v>1500</v>
      </c>
      <c r="D156" s="1499">
        <v>4.1715016782608263</v>
      </c>
      <c r="E156" s="1499">
        <v>3.2589646413239937</v>
      </c>
      <c r="F156" s="1499">
        <v>2.0510762548595149</v>
      </c>
      <c r="G156" s="1499">
        <v>1.7786108806727536</v>
      </c>
      <c r="H156" s="1499">
        <v>2.4935120564831488</v>
      </c>
      <c r="I156" s="1499">
        <v>4.9505118938718145</v>
      </c>
      <c r="J156" s="1499">
        <v>4.1869389262773886</v>
      </c>
      <c r="K156" s="113">
        <v>1.9554265201134791</v>
      </c>
    </row>
    <row r="157" spans="2:11" x14ac:dyDescent="0.3">
      <c r="B157" s="115"/>
      <c r="C157" s="112" t="s">
        <v>1504</v>
      </c>
      <c r="D157" s="1499">
        <v>4.1777610565798406</v>
      </c>
      <c r="E157" s="1499">
        <v>3.2649929547707899</v>
      </c>
      <c r="F157" s="1499">
        <v>2.0571827924134376</v>
      </c>
      <c r="G157" s="1499">
        <v>1.7847427768778585</v>
      </c>
      <c r="H157" s="1499">
        <v>2.4997920234266791</v>
      </c>
      <c r="I157" s="1499">
        <v>4.9565677023584058</v>
      </c>
      <c r="J157" s="1499">
        <v>4.1929650767526709</v>
      </c>
      <c r="K157" s="113">
        <v>1.9613924758226013</v>
      </c>
    </row>
    <row r="158" spans="2:11" x14ac:dyDescent="0.3">
      <c r="B158" s="115"/>
      <c r="C158" s="112" t="s">
        <v>1508</v>
      </c>
      <c r="D158" s="1499">
        <v>4.1755972341241714</v>
      </c>
      <c r="E158" s="1499">
        <v>3.2628291323151206</v>
      </c>
      <c r="F158" s="1499">
        <v>2.0550189699577674</v>
      </c>
      <c r="G158" s="1499">
        <v>1.7825789544221888</v>
      </c>
      <c r="H158" s="1499">
        <v>2.4976282009710089</v>
      </c>
      <c r="I158" s="1499">
        <v>4.9544038799027366</v>
      </c>
      <c r="J158" s="1499">
        <v>4.1908012542970017</v>
      </c>
      <c r="K158" s="113">
        <v>1.9592286533669314</v>
      </c>
    </row>
    <row r="159" spans="2:11" x14ac:dyDescent="0.3">
      <c r="B159" s="115"/>
      <c r="C159" s="112" t="s">
        <v>1513</v>
      </c>
      <c r="D159" s="1499">
        <v>4.1723515004406666</v>
      </c>
      <c r="E159" s="1499">
        <v>3.2595833986316158</v>
      </c>
      <c r="F159" s="1499">
        <v>2.0517732362742631</v>
      </c>
      <c r="G159" s="1499">
        <v>1.7793332207386841</v>
      </c>
      <c r="H159" s="1499">
        <v>2.4943824672875046</v>
      </c>
      <c r="I159" s="1499">
        <v>4.9511581462192318</v>
      </c>
      <c r="J159" s="1499">
        <v>4.1875555206134969</v>
      </c>
      <c r="K159" s="113">
        <v>1.9559829196834271</v>
      </c>
    </row>
    <row r="160" spans="2:11" x14ac:dyDescent="0.3">
      <c r="B160" s="115"/>
      <c r="C160" s="112" t="s">
        <v>1517</v>
      </c>
      <c r="D160" s="1499">
        <v>4.1691057667571627</v>
      </c>
      <c r="E160" s="1499">
        <v>3.2563376649481115</v>
      </c>
      <c r="F160" s="1499">
        <v>2.0485275025907588</v>
      </c>
      <c r="G160" s="1499">
        <v>1.7760874870551797</v>
      </c>
      <c r="H160" s="1499">
        <v>2.4911367336039998</v>
      </c>
      <c r="I160" s="1499">
        <v>4.947912412535727</v>
      </c>
      <c r="J160" s="1499">
        <v>4.1843097869299921</v>
      </c>
      <c r="K160" s="113">
        <v>1.9527371859999225</v>
      </c>
    </row>
    <row r="161" spans="2:11" ht="14.5" thickBot="1" x14ac:dyDescent="0.35">
      <c r="B161" s="1233"/>
      <c r="C161" s="116" t="s">
        <v>1519</v>
      </c>
      <c r="D161" s="117">
        <v>4.1818866202402321</v>
      </c>
      <c r="E161" s="117">
        <v>3.269349583303399</v>
      </c>
      <c r="F161" s="117">
        <v>2.0614611968389198</v>
      </c>
      <c r="G161" s="117">
        <v>1.7889958226521587</v>
      </c>
      <c r="H161" s="117">
        <v>2.5038969984625536</v>
      </c>
      <c r="I161" s="117">
        <v>4.9608968358512193</v>
      </c>
      <c r="J161" s="117">
        <v>4.1973238682567935</v>
      </c>
      <c r="K161" s="118">
        <v>1.9658114620928842</v>
      </c>
    </row>
    <row r="162" spans="2:11" x14ac:dyDescent="0.3">
      <c r="B162" s="120" t="s">
        <v>1990</v>
      </c>
      <c r="C162" s="108" t="s">
        <v>1416</v>
      </c>
      <c r="D162" s="109">
        <v>3.9665698298886563</v>
      </c>
      <c r="E162" s="109">
        <v>3.053038332996115</v>
      </c>
      <c r="F162" s="109">
        <v>1.8456564129988715</v>
      </c>
      <c r="G162" s="109">
        <v>1.5732740228541215</v>
      </c>
      <c r="H162" s="109">
        <v>2.2887133296566464</v>
      </c>
      <c r="I162" s="109">
        <v>4.7460056381678841</v>
      </c>
      <c r="J162" s="109">
        <v>3.9817115408512649</v>
      </c>
      <c r="K162" s="110">
        <v>1.749231373463737</v>
      </c>
    </row>
    <row r="163" spans="2:11" x14ac:dyDescent="0.3">
      <c r="B163" s="111"/>
      <c r="C163" s="112" t="s">
        <v>1483</v>
      </c>
      <c r="D163" s="1499">
        <v>3.9872068897582746</v>
      </c>
      <c r="E163" s="1499">
        <v>3.074669852821442</v>
      </c>
      <c r="F163" s="1499">
        <v>1.8667814663569633</v>
      </c>
      <c r="G163" s="1499">
        <v>1.5943160921702026</v>
      </c>
      <c r="H163" s="1499">
        <v>2.3092172679805971</v>
      </c>
      <c r="I163" s="1499">
        <v>4.7662171053692628</v>
      </c>
      <c r="J163" s="1499">
        <v>4.002644137774837</v>
      </c>
      <c r="K163" s="113">
        <v>1.7711317316109281</v>
      </c>
    </row>
    <row r="164" spans="2:11" x14ac:dyDescent="0.3">
      <c r="B164" s="111" t="s">
        <v>1989</v>
      </c>
      <c r="C164" s="112" t="s">
        <v>1489</v>
      </c>
      <c r="D164" s="1499">
        <v>3.9846106542634234</v>
      </c>
      <c r="E164" s="1499">
        <v>3.0720736173265908</v>
      </c>
      <c r="F164" s="1499">
        <v>1.8641852308621121</v>
      </c>
      <c r="G164" s="1499">
        <v>1.5917198566753514</v>
      </c>
      <c r="H164" s="1499">
        <v>2.3066210324857459</v>
      </c>
      <c r="I164" s="1499">
        <v>4.7636208698744111</v>
      </c>
      <c r="J164" s="1499">
        <v>4.0000479022799853</v>
      </c>
      <c r="K164" s="113">
        <v>1.7685354961160769</v>
      </c>
    </row>
    <row r="165" spans="2:11" x14ac:dyDescent="0.3">
      <c r="B165" s="114">
        <v>0</v>
      </c>
      <c r="C165" s="112" t="s">
        <v>1496</v>
      </c>
      <c r="D165" s="1499">
        <v>3.9807163010211468</v>
      </c>
      <c r="E165" s="1499">
        <v>3.0681792640843142</v>
      </c>
      <c r="F165" s="1499">
        <v>1.8602908776198355</v>
      </c>
      <c r="G165" s="1499">
        <v>1.5878255034330744</v>
      </c>
      <c r="H165" s="1499">
        <v>2.3027266792434693</v>
      </c>
      <c r="I165" s="1499">
        <v>4.759726516632135</v>
      </c>
      <c r="J165" s="1499">
        <v>3.9961535490377087</v>
      </c>
      <c r="K165" s="113">
        <v>1.7646411428737998</v>
      </c>
    </row>
    <row r="166" spans="2:11" x14ac:dyDescent="0.3">
      <c r="B166" s="115"/>
      <c r="C166" s="112" t="s">
        <v>1500</v>
      </c>
      <c r="D166" s="1499">
        <v>3.9768219477788698</v>
      </c>
      <c r="E166" s="1499">
        <v>3.0642849108420367</v>
      </c>
      <c r="F166" s="1499">
        <v>1.8563965243775584</v>
      </c>
      <c r="G166" s="1499">
        <v>1.5839311501907976</v>
      </c>
      <c r="H166" s="1499">
        <v>2.2988323260011922</v>
      </c>
      <c r="I166" s="1499">
        <v>4.755832163389857</v>
      </c>
      <c r="J166" s="1499">
        <v>3.9922591957954316</v>
      </c>
      <c r="K166" s="113">
        <v>1.760746789631523</v>
      </c>
    </row>
    <row r="167" spans="2:11" x14ac:dyDescent="0.3">
      <c r="B167" s="115"/>
      <c r="C167" s="112" t="s">
        <v>1504</v>
      </c>
      <c r="D167" s="1499">
        <v>3.983081326097885</v>
      </c>
      <c r="E167" s="1499">
        <v>3.0703132242888338</v>
      </c>
      <c r="F167" s="1499">
        <v>1.8625030619314811</v>
      </c>
      <c r="G167" s="1499">
        <v>1.5900630463959022</v>
      </c>
      <c r="H167" s="1499">
        <v>2.3051122929447225</v>
      </c>
      <c r="I167" s="1499">
        <v>4.7618879718764493</v>
      </c>
      <c r="J167" s="1499">
        <v>3.9982853462707149</v>
      </c>
      <c r="K167" s="113">
        <v>1.7667127453406448</v>
      </c>
    </row>
    <row r="168" spans="2:11" x14ac:dyDescent="0.3">
      <c r="B168" s="115"/>
      <c r="C168" s="112" t="s">
        <v>1508</v>
      </c>
      <c r="D168" s="1499">
        <v>3.9809175036422149</v>
      </c>
      <c r="E168" s="1499">
        <v>3.0681494018331636</v>
      </c>
      <c r="F168" s="1499">
        <v>1.8603392394758114</v>
      </c>
      <c r="G168" s="1499">
        <v>1.5878992239402323</v>
      </c>
      <c r="H168" s="1499">
        <v>2.3029484704890528</v>
      </c>
      <c r="I168" s="1499">
        <v>4.7597241494207791</v>
      </c>
      <c r="J168" s="1499">
        <v>3.9961215238150447</v>
      </c>
      <c r="K168" s="113">
        <v>1.7645489228849751</v>
      </c>
    </row>
    <row r="169" spans="2:11" x14ac:dyDescent="0.3">
      <c r="B169" s="115"/>
      <c r="C169" s="112" t="s">
        <v>1513</v>
      </c>
      <c r="D169" s="1499">
        <v>3.9776717699587105</v>
      </c>
      <c r="E169" s="1499">
        <v>3.0649036681496593</v>
      </c>
      <c r="F169" s="1499">
        <v>1.8570935057923068</v>
      </c>
      <c r="G169" s="1499">
        <v>1.584653490256728</v>
      </c>
      <c r="H169" s="1499">
        <v>2.299702736805548</v>
      </c>
      <c r="I169" s="1499">
        <v>4.7564784157372753</v>
      </c>
      <c r="J169" s="1499">
        <v>3.9928757901315404</v>
      </c>
      <c r="K169" s="113">
        <v>1.7613031892014706</v>
      </c>
    </row>
    <row r="170" spans="2:11" x14ac:dyDescent="0.3">
      <c r="B170" s="115"/>
      <c r="C170" s="112" t="s">
        <v>1517</v>
      </c>
      <c r="D170" s="1499">
        <v>3.9744260362752057</v>
      </c>
      <c r="E170" s="1499">
        <v>3.061657934466155</v>
      </c>
      <c r="F170" s="1499">
        <v>1.853847772108802</v>
      </c>
      <c r="G170" s="1499">
        <v>1.5814077565732234</v>
      </c>
      <c r="H170" s="1499">
        <v>2.2964570031220433</v>
      </c>
      <c r="I170" s="1499">
        <v>4.7532326820537705</v>
      </c>
      <c r="J170" s="1499">
        <v>3.989630056448036</v>
      </c>
      <c r="K170" s="113">
        <v>1.758057455517966</v>
      </c>
    </row>
    <row r="171" spans="2:11" ht="14.5" thickBot="1" x14ac:dyDescent="0.35">
      <c r="B171" s="1233"/>
      <c r="C171" s="116" t="s">
        <v>1519</v>
      </c>
      <c r="D171" s="117">
        <v>3.9872068897582746</v>
      </c>
      <c r="E171" s="117">
        <v>3.074669852821442</v>
      </c>
      <c r="F171" s="117">
        <v>1.8667814663569633</v>
      </c>
      <c r="G171" s="117">
        <v>1.5943160921702026</v>
      </c>
      <c r="H171" s="117">
        <v>2.3092172679805971</v>
      </c>
      <c r="I171" s="117">
        <v>4.7662171053692628</v>
      </c>
      <c r="J171" s="117">
        <v>4.002644137774837</v>
      </c>
      <c r="K171" s="118">
        <v>1.7711317316109281</v>
      </c>
    </row>
    <row r="173" spans="2:11" ht="14.5" thickBot="1" x14ac:dyDescent="0.35"/>
    <row r="174" spans="2:11" ht="25.5" thickBot="1" x14ac:dyDescent="0.55000000000000004">
      <c r="B174" s="88" t="s">
        <v>1960</v>
      </c>
      <c r="C174" s="89"/>
      <c r="D174" s="90">
        <v>7</v>
      </c>
      <c r="E174" s="91" t="s">
        <v>1991</v>
      </c>
      <c r="F174" s="92"/>
      <c r="G174" s="92"/>
      <c r="H174" s="92"/>
      <c r="I174" s="93"/>
      <c r="J174" s="89" t="s">
        <v>176</v>
      </c>
      <c r="K174" s="94" t="s">
        <v>239</v>
      </c>
    </row>
    <row r="175" spans="2:11" ht="14.5" thickBot="1" x14ac:dyDescent="0.35">
      <c r="B175" s="95" t="s">
        <v>1962</v>
      </c>
      <c r="C175" s="96" t="s">
        <v>1963</v>
      </c>
      <c r="D175" s="95" t="s">
        <v>1964</v>
      </c>
      <c r="E175" s="97" t="s">
        <v>1965</v>
      </c>
      <c r="F175" s="97" t="s">
        <v>1966</v>
      </c>
      <c r="G175" s="97" t="s">
        <v>1967</v>
      </c>
      <c r="H175" s="97" t="s">
        <v>1968</v>
      </c>
      <c r="I175" s="97" t="s">
        <v>1969</v>
      </c>
      <c r="J175" s="97" t="s">
        <v>1970</v>
      </c>
      <c r="K175" s="98" t="s">
        <v>1971</v>
      </c>
    </row>
    <row r="176" spans="2:11" ht="14.5" thickBot="1" x14ac:dyDescent="0.35">
      <c r="B176" s="99"/>
      <c r="C176" s="99"/>
      <c r="D176" s="100"/>
      <c r="E176" s="944"/>
      <c r="F176" s="944"/>
      <c r="G176" s="944"/>
      <c r="H176" s="944"/>
      <c r="I176" s="944"/>
      <c r="J176" s="944"/>
      <c r="K176" s="102"/>
    </row>
    <row r="177" spans="2:11" ht="90.5" thickBot="1" x14ac:dyDescent="0.45">
      <c r="B177" s="103" t="s">
        <v>1972</v>
      </c>
      <c r="C177" s="103" t="s">
        <v>1973</v>
      </c>
      <c r="D177" s="105" t="s">
        <v>1974</v>
      </c>
      <c r="E177" s="105" t="s">
        <v>1525</v>
      </c>
      <c r="F177" s="105" t="s">
        <v>1527</v>
      </c>
      <c r="G177" s="105" t="s">
        <v>1975</v>
      </c>
      <c r="H177" s="105" t="s">
        <v>1976</v>
      </c>
      <c r="I177" s="105" t="s">
        <v>1445</v>
      </c>
      <c r="J177" s="105" t="s">
        <v>1538</v>
      </c>
      <c r="K177" s="106" t="s">
        <v>1541</v>
      </c>
    </row>
    <row r="178" spans="2:11" x14ac:dyDescent="0.3">
      <c r="B178" s="120" t="s">
        <v>1992</v>
      </c>
      <c r="C178" s="108" t="s">
        <v>1416</v>
      </c>
      <c r="D178" s="109">
        <v>8.1920724923639519</v>
      </c>
      <c r="E178" s="109">
        <v>7.4058342255610334</v>
      </c>
      <c r="F178" s="109">
        <v>6.0811474071013309</v>
      </c>
      <c r="G178" s="109">
        <v>5.8678856731402718</v>
      </c>
      <c r="H178" s="109">
        <v>6.5721355170008309</v>
      </c>
      <c r="I178" s="109">
        <v>9.090019534690315</v>
      </c>
      <c r="J178" s="109">
        <v>8.3359812822743073</v>
      </c>
      <c r="K178" s="110">
        <v>6.058096333030341</v>
      </c>
    </row>
    <row r="179" spans="2:11" x14ac:dyDescent="0.3">
      <c r="B179" s="128"/>
      <c r="C179" s="112" t="s">
        <v>1483</v>
      </c>
      <c r="D179" s="1499">
        <v>8.2156657324625009</v>
      </c>
      <c r="E179" s="1499">
        <v>7.4293715223480179</v>
      </c>
      <c r="F179" s="1499">
        <v>6.106589032050513</v>
      </c>
      <c r="G179" s="1499">
        <v>5.8929659412294741</v>
      </c>
      <c r="H179" s="1499">
        <v>6.5964866644915769</v>
      </c>
      <c r="I179" s="1499">
        <v>9.1116849607168966</v>
      </c>
      <c r="J179" s="1499">
        <v>8.3585312703826471</v>
      </c>
      <c r="K179" s="113">
        <v>6.0831154778364045</v>
      </c>
    </row>
    <row r="180" spans="2:11" x14ac:dyDescent="0.3">
      <c r="B180" s="128"/>
      <c r="C180" s="112" t="s">
        <v>1489</v>
      </c>
      <c r="D180" s="1499">
        <v>8.2130694969676501</v>
      </c>
      <c r="E180" s="1499">
        <v>7.4267752868531671</v>
      </c>
      <c r="F180" s="1499">
        <v>6.1039927965556622</v>
      </c>
      <c r="G180" s="1499">
        <v>5.8903697057346225</v>
      </c>
      <c r="H180" s="1499">
        <v>6.5938904289967262</v>
      </c>
      <c r="I180" s="1499">
        <v>9.1090887252220458</v>
      </c>
      <c r="J180" s="1499">
        <v>8.3559350348877963</v>
      </c>
      <c r="K180" s="113">
        <v>6.0805192423415537</v>
      </c>
    </row>
    <row r="181" spans="2:11" x14ac:dyDescent="0.3">
      <c r="B181" s="122">
        <v>0</v>
      </c>
      <c r="C181" s="112" t="s">
        <v>1496</v>
      </c>
      <c r="D181" s="1499">
        <v>8.209175143725373</v>
      </c>
      <c r="E181" s="1499">
        <v>7.422880933610891</v>
      </c>
      <c r="F181" s="1499">
        <v>6.1000984433133851</v>
      </c>
      <c r="G181" s="1499">
        <v>5.8864753524923463</v>
      </c>
      <c r="H181" s="1499">
        <v>6.58999607575445</v>
      </c>
      <c r="I181" s="1499">
        <v>9.1051943719797688</v>
      </c>
      <c r="J181" s="1499">
        <v>8.352040681645521</v>
      </c>
      <c r="K181" s="113">
        <v>6.0766248890992767</v>
      </c>
    </row>
    <row r="182" spans="2:11" x14ac:dyDescent="0.3">
      <c r="B182" s="123"/>
      <c r="C182" s="112" t="s">
        <v>1500</v>
      </c>
      <c r="D182" s="1499">
        <v>8.205280790483096</v>
      </c>
      <c r="E182" s="1499">
        <v>7.4189865803686139</v>
      </c>
      <c r="F182" s="1499">
        <v>6.0962040900711081</v>
      </c>
      <c r="G182" s="1499">
        <v>5.8825809992500693</v>
      </c>
      <c r="H182" s="1499">
        <v>6.586101722512173</v>
      </c>
      <c r="I182" s="1499">
        <v>9.1013000187374917</v>
      </c>
      <c r="J182" s="1499">
        <v>8.348146328403244</v>
      </c>
      <c r="K182" s="113">
        <v>6.0727305358569996</v>
      </c>
    </row>
    <row r="183" spans="2:11" x14ac:dyDescent="0.3">
      <c r="B183" s="123"/>
      <c r="C183" s="112" t="s">
        <v>1504</v>
      </c>
      <c r="D183" s="1499">
        <v>8.2109807755202304</v>
      </c>
      <c r="E183" s="1499">
        <v>7.4244755554570201</v>
      </c>
      <c r="F183" s="1499">
        <v>6.1014719384353384</v>
      </c>
      <c r="G183" s="1499">
        <v>5.8878259472649015</v>
      </c>
      <c r="H183" s="1499">
        <v>6.5914325509091505</v>
      </c>
      <c r="I183" s="1499">
        <v>9.1071265211453412</v>
      </c>
      <c r="J183" s="1499">
        <v>8.3537431264789515</v>
      </c>
      <c r="K183" s="113">
        <v>6.0779446507551373</v>
      </c>
    </row>
    <row r="184" spans="2:11" x14ac:dyDescent="0.3">
      <c r="B184" s="123"/>
      <c r="C184" s="112" t="s">
        <v>1508</v>
      </c>
      <c r="D184" s="1499">
        <v>8.2088169530645612</v>
      </c>
      <c r="E184" s="1499">
        <v>7.4223117330013499</v>
      </c>
      <c r="F184" s="1499">
        <v>6.0993081159796692</v>
      </c>
      <c r="G184" s="1499">
        <v>5.8856621248092313</v>
      </c>
      <c r="H184" s="1499">
        <v>6.5892687284534803</v>
      </c>
      <c r="I184" s="1499">
        <v>9.1049626986896701</v>
      </c>
      <c r="J184" s="1499">
        <v>8.3515793040232804</v>
      </c>
      <c r="K184" s="113">
        <v>6.0757808282994681</v>
      </c>
    </row>
    <row r="185" spans="2:11" x14ac:dyDescent="0.3">
      <c r="B185" s="123"/>
      <c r="C185" s="112" t="s">
        <v>1513</v>
      </c>
      <c r="D185" s="1499">
        <v>8.2055712193810564</v>
      </c>
      <c r="E185" s="1499">
        <v>7.4190659993178452</v>
      </c>
      <c r="F185" s="1499">
        <v>6.0960623822961644</v>
      </c>
      <c r="G185" s="1499">
        <v>5.8824163911257266</v>
      </c>
      <c r="H185" s="1499">
        <v>6.5860229947699755</v>
      </c>
      <c r="I185" s="1499">
        <v>9.1017169650061653</v>
      </c>
      <c r="J185" s="1499">
        <v>8.3483335703397756</v>
      </c>
      <c r="K185" s="113">
        <v>6.0725350946159633</v>
      </c>
    </row>
    <row r="186" spans="2:11" x14ac:dyDescent="0.3">
      <c r="B186" s="123"/>
      <c r="C186" s="112" t="s">
        <v>1517</v>
      </c>
      <c r="D186" s="1499">
        <v>8.2023254856975516</v>
      </c>
      <c r="E186" s="1499">
        <v>7.4158202656343413</v>
      </c>
      <c r="F186" s="1499">
        <v>6.0928166486126596</v>
      </c>
      <c r="G186" s="1499">
        <v>5.8791706574422218</v>
      </c>
      <c r="H186" s="1499">
        <v>6.5827772610864717</v>
      </c>
      <c r="I186" s="1499">
        <v>9.0984712313226623</v>
      </c>
      <c r="J186" s="1499">
        <v>8.3450878366562726</v>
      </c>
      <c r="K186" s="113">
        <v>6.0692893609324585</v>
      </c>
    </row>
    <row r="187" spans="2:11" ht="14.5" thickBot="1" x14ac:dyDescent="0.35">
      <c r="B187" s="124"/>
      <c r="C187" s="116" t="s">
        <v>1519</v>
      </c>
      <c r="D187" s="117">
        <v>8.2156657324625009</v>
      </c>
      <c r="E187" s="117">
        <v>7.4293715223480179</v>
      </c>
      <c r="F187" s="117">
        <v>6.106589032050513</v>
      </c>
      <c r="G187" s="117">
        <v>5.8929659412294741</v>
      </c>
      <c r="H187" s="117">
        <v>6.5964866644915769</v>
      </c>
      <c r="I187" s="117">
        <v>9.1116849607168966</v>
      </c>
      <c r="J187" s="117">
        <v>8.3585312703826471</v>
      </c>
      <c r="K187" s="118">
        <v>6.0831154778364045</v>
      </c>
    </row>
    <row r="188" spans="2:11" x14ac:dyDescent="0.3">
      <c r="B188" s="120" t="s">
        <v>1993</v>
      </c>
      <c r="C188" s="1234" t="s">
        <v>1416</v>
      </c>
      <c r="D188" s="109">
        <v>5.8531214219146008</v>
      </c>
      <c r="E188" s="109">
        <v>5.0695169385865766</v>
      </c>
      <c r="F188" s="109">
        <v>3.7066570314345944</v>
      </c>
      <c r="G188" s="109">
        <v>3.4966855054261234</v>
      </c>
      <c r="H188" s="109">
        <v>4.1875880399982899</v>
      </c>
      <c r="I188" s="109">
        <v>6.8186833117215073</v>
      </c>
      <c r="J188" s="109">
        <v>6.0337804772492394</v>
      </c>
      <c r="K188" s="110">
        <v>3.6907506239866033</v>
      </c>
    </row>
    <row r="189" spans="2:11" x14ac:dyDescent="0.3">
      <c r="B189" s="121"/>
      <c r="C189" s="1500" t="s">
        <v>1483</v>
      </c>
      <c r="D189" s="1499">
        <v>5.8799776836947375</v>
      </c>
      <c r="E189" s="1499">
        <v>5.0965877084964424</v>
      </c>
      <c r="F189" s="1499">
        <v>3.7350308054829924</v>
      </c>
      <c r="G189" s="1499">
        <v>3.5253771485680976</v>
      </c>
      <c r="H189" s="1499">
        <v>4.2152542854836375</v>
      </c>
      <c r="I189" s="1499">
        <v>6.8439447653426955</v>
      </c>
      <c r="J189" s="1499">
        <v>6.0599053176740698</v>
      </c>
      <c r="K189" s="113">
        <v>3.7193120691075334</v>
      </c>
    </row>
    <row r="190" spans="2:11" x14ac:dyDescent="0.3">
      <c r="B190" s="128"/>
      <c r="C190" s="1500" t="s">
        <v>1489</v>
      </c>
      <c r="D190" s="1499">
        <v>5.8773814481998858</v>
      </c>
      <c r="E190" s="1499">
        <v>5.0939914730015907</v>
      </c>
      <c r="F190" s="1499">
        <v>3.7324345699881412</v>
      </c>
      <c r="G190" s="1499">
        <v>3.5227809130732464</v>
      </c>
      <c r="H190" s="1499">
        <v>4.2126580499887867</v>
      </c>
      <c r="I190" s="1499">
        <v>6.8413485298478447</v>
      </c>
      <c r="J190" s="1499">
        <v>6.057309082179219</v>
      </c>
      <c r="K190" s="113">
        <v>3.7167158336126822</v>
      </c>
    </row>
    <row r="191" spans="2:11" x14ac:dyDescent="0.3">
      <c r="B191" s="122">
        <v>0</v>
      </c>
      <c r="C191" s="1500" t="s">
        <v>1496</v>
      </c>
      <c r="D191" s="1499">
        <v>5.8734870949576097</v>
      </c>
      <c r="E191" s="1499">
        <v>5.0900971197593146</v>
      </c>
      <c r="F191" s="1499">
        <v>3.7285402167458646</v>
      </c>
      <c r="G191" s="1499">
        <v>3.5188865598309698</v>
      </c>
      <c r="H191" s="1499">
        <v>4.2087636967465096</v>
      </c>
      <c r="I191" s="1499">
        <v>6.8374541766055676</v>
      </c>
      <c r="J191" s="1499">
        <v>6.053414728936942</v>
      </c>
      <c r="K191" s="113">
        <v>3.7128214803704056</v>
      </c>
    </row>
    <row r="192" spans="2:11" x14ac:dyDescent="0.3">
      <c r="B192" s="123"/>
      <c r="C192" s="1500" t="s">
        <v>1500</v>
      </c>
      <c r="D192" s="1499">
        <v>5.8695927417153326</v>
      </c>
      <c r="E192" s="1499">
        <v>5.0862027665170366</v>
      </c>
      <c r="F192" s="1499">
        <v>3.7246458635035871</v>
      </c>
      <c r="G192" s="1499">
        <v>3.5149922065886927</v>
      </c>
      <c r="H192" s="1499">
        <v>4.2048693435042326</v>
      </c>
      <c r="I192" s="1499">
        <v>6.8335598233632915</v>
      </c>
      <c r="J192" s="1499">
        <v>6.0495203756946649</v>
      </c>
      <c r="K192" s="113">
        <v>3.7089271271281286</v>
      </c>
    </row>
    <row r="193" spans="2:11" x14ac:dyDescent="0.3">
      <c r="B193" s="123"/>
      <c r="C193" s="1500" t="s">
        <v>1504</v>
      </c>
      <c r="D193" s="1499">
        <v>5.8746898486599433</v>
      </c>
      <c r="E193" s="1499">
        <v>5.0911684050744164</v>
      </c>
      <c r="F193" s="1499">
        <v>3.7296108095317937</v>
      </c>
      <c r="G193" s="1499">
        <v>3.5198634089010499</v>
      </c>
      <c r="H193" s="1499">
        <v>4.2098734536044313</v>
      </c>
      <c r="I193" s="1499">
        <v>6.8387092669243588</v>
      </c>
      <c r="J193" s="1499">
        <v>6.0545193422662908</v>
      </c>
      <c r="K193" s="113">
        <v>3.7138076322660543</v>
      </c>
    </row>
    <row r="194" spans="2:11" x14ac:dyDescent="0.3">
      <c r="B194" s="123"/>
      <c r="C194" s="1500" t="s">
        <v>1508</v>
      </c>
      <c r="D194" s="1499">
        <v>5.8725260262042731</v>
      </c>
      <c r="E194" s="1499">
        <v>5.0890045826187462</v>
      </c>
      <c r="F194" s="1499">
        <v>3.7274469870761235</v>
      </c>
      <c r="G194" s="1499">
        <v>3.5176995864453797</v>
      </c>
      <c r="H194" s="1499">
        <v>4.2077096311487612</v>
      </c>
      <c r="I194" s="1499">
        <v>6.8365454444686886</v>
      </c>
      <c r="J194" s="1499">
        <v>6.0523555198106207</v>
      </c>
      <c r="K194" s="113">
        <v>3.7116438098103841</v>
      </c>
    </row>
    <row r="195" spans="2:11" x14ac:dyDescent="0.3">
      <c r="B195" s="123"/>
      <c r="C195" s="1500" t="s">
        <v>1513</v>
      </c>
      <c r="D195" s="1499">
        <v>5.8692802925207692</v>
      </c>
      <c r="E195" s="1499">
        <v>5.0857588489352423</v>
      </c>
      <c r="F195" s="1499">
        <v>3.7242012533926192</v>
      </c>
      <c r="G195" s="1499">
        <v>3.5144538527618754</v>
      </c>
      <c r="H195" s="1499">
        <v>4.2044638974652573</v>
      </c>
      <c r="I195" s="1499">
        <v>6.8332997107851838</v>
      </c>
      <c r="J195" s="1499">
        <v>6.0491097861271168</v>
      </c>
      <c r="K195" s="113">
        <v>3.7083980761268798</v>
      </c>
    </row>
    <row r="196" spans="2:11" x14ac:dyDescent="0.3">
      <c r="B196" s="123"/>
      <c r="C196" s="1500" t="s">
        <v>1517</v>
      </c>
      <c r="D196" s="1499">
        <v>5.8660345588372644</v>
      </c>
      <c r="E196" s="1499">
        <v>5.0825131152517367</v>
      </c>
      <c r="F196" s="1499">
        <v>3.7209555197091144</v>
      </c>
      <c r="G196" s="1499">
        <v>3.5112081190783706</v>
      </c>
      <c r="H196" s="1499">
        <v>4.2012181637817516</v>
      </c>
      <c r="I196" s="1499">
        <v>6.8300539771016799</v>
      </c>
      <c r="J196" s="1499">
        <v>6.045864052443612</v>
      </c>
      <c r="K196" s="113">
        <v>3.705152342443375</v>
      </c>
    </row>
    <row r="197" spans="2:11" ht="14.5" thickBot="1" x14ac:dyDescent="0.35">
      <c r="B197" s="124"/>
      <c r="C197" s="125" t="s">
        <v>1519</v>
      </c>
      <c r="D197" s="117">
        <v>5.8799776836947375</v>
      </c>
      <c r="E197" s="117">
        <v>5.0965877084964424</v>
      </c>
      <c r="F197" s="117">
        <v>3.7350308054829924</v>
      </c>
      <c r="G197" s="117">
        <v>3.5253771485680976</v>
      </c>
      <c r="H197" s="117">
        <v>4.2152542854836375</v>
      </c>
      <c r="I197" s="117">
        <v>6.8439447653426955</v>
      </c>
      <c r="J197" s="117">
        <v>6.0599053176740698</v>
      </c>
      <c r="K197" s="118">
        <v>3.7193120691075334</v>
      </c>
    </row>
    <row r="198" spans="2:11" x14ac:dyDescent="0.3">
      <c r="B198" s="119" t="s">
        <v>1994</v>
      </c>
      <c r="C198" s="108" t="s">
        <v>1416</v>
      </c>
      <c r="D198" s="109">
        <v>7.7087368436716304</v>
      </c>
      <c r="E198" s="109">
        <v>7.0041511318446394</v>
      </c>
      <c r="F198" s="109">
        <v>5.5915108374506701</v>
      </c>
      <c r="G198" s="109">
        <v>5.4127394034642444</v>
      </c>
      <c r="H198" s="109">
        <v>6.0841059016065815</v>
      </c>
      <c r="I198" s="109">
        <v>8.7646654308960148</v>
      </c>
      <c r="J198" s="109">
        <v>7.9776308488905414</v>
      </c>
      <c r="K198" s="110">
        <v>5.6119969106563659</v>
      </c>
    </row>
    <row r="199" spans="2:11" x14ac:dyDescent="0.3">
      <c r="B199" s="111"/>
      <c r="C199" s="112" t="s">
        <v>1483</v>
      </c>
      <c r="D199" s="1499">
        <v>7.7338349956956431</v>
      </c>
      <c r="E199" s="1499">
        <v>7.0291330578452076</v>
      </c>
      <c r="F199" s="1499">
        <v>5.618549452997275</v>
      </c>
      <c r="G199" s="1499">
        <v>5.4394675871126665</v>
      </c>
      <c r="H199" s="1499">
        <v>6.1100192893096681</v>
      </c>
      <c r="I199" s="1499">
        <v>8.7876221266756023</v>
      </c>
      <c r="J199" s="1499">
        <v>8.0015520242270242</v>
      </c>
      <c r="K199" s="113">
        <v>5.6385191575633007</v>
      </c>
    </row>
    <row r="200" spans="2:11" x14ac:dyDescent="0.3">
      <c r="B200" s="111"/>
      <c r="C200" s="112" t="s">
        <v>1489</v>
      </c>
      <c r="D200" s="1499">
        <v>7.7312387602007924</v>
      </c>
      <c r="E200" s="1499">
        <v>7.0265368223503568</v>
      </c>
      <c r="F200" s="1499">
        <v>5.6159532175024234</v>
      </c>
      <c r="G200" s="1499">
        <v>5.4368713516178158</v>
      </c>
      <c r="H200" s="1499">
        <v>6.1074230538148173</v>
      </c>
      <c r="I200" s="1499">
        <v>8.7850258911807515</v>
      </c>
      <c r="J200" s="1499">
        <v>7.9989557887321743</v>
      </c>
      <c r="K200" s="113">
        <v>5.635922922068449</v>
      </c>
    </row>
    <row r="201" spans="2:11" x14ac:dyDescent="0.3">
      <c r="B201" s="114">
        <v>0</v>
      </c>
      <c r="C201" s="112" t="s">
        <v>1496</v>
      </c>
      <c r="D201" s="1499">
        <v>7.7273444069585162</v>
      </c>
      <c r="E201" s="1499">
        <v>7.0226424691080807</v>
      </c>
      <c r="F201" s="1499">
        <v>5.6120588642601472</v>
      </c>
      <c r="G201" s="1499">
        <v>5.4329769983755387</v>
      </c>
      <c r="H201" s="1499">
        <v>6.1035287005725403</v>
      </c>
      <c r="I201" s="1499">
        <v>8.7811315379384762</v>
      </c>
      <c r="J201" s="1499">
        <v>7.9950614354898972</v>
      </c>
      <c r="K201" s="113">
        <v>5.6320285688261729</v>
      </c>
    </row>
    <row r="202" spans="2:11" x14ac:dyDescent="0.3">
      <c r="B202" s="115"/>
      <c r="C202" s="112" t="s">
        <v>1500</v>
      </c>
      <c r="D202" s="1499">
        <v>7.7234500537162392</v>
      </c>
      <c r="E202" s="1499">
        <v>7.0187481158658036</v>
      </c>
      <c r="F202" s="1499">
        <v>5.6081645110178702</v>
      </c>
      <c r="G202" s="1499">
        <v>5.4290826451332617</v>
      </c>
      <c r="H202" s="1499">
        <v>6.0996343473302632</v>
      </c>
      <c r="I202" s="1499">
        <v>8.7772371846961992</v>
      </c>
      <c r="J202" s="1499">
        <v>7.9911670822476211</v>
      </c>
      <c r="K202" s="113">
        <v>5.6281342155838949</v>
      </c>
    </row>
    <row r="203" spans="2:11" x14ac:dyDescent="0.3">
      <c r="B203" s="115"/>
      <c r="C203" s="112" t="s">
        <v>1504</v>
      </c>
      <c r="D203" s="1499">
        <v>7.728864257775184</v>
      </c>
      <c r="E203" s="1499">
        <v>7.0239666147301349</v>
      </c>
      <c r="F203" s="1499">
        <v>5.6131641723248418</v>
      </c>
      <c r="G203" s="1499">
        <v>5.4340839764400855</v>
      </c>
      <c r="H203" s="1499">
        <v>6.1046941141427045</v>
      </c>
      <c r="I203" s="1499">
        <v>8.7828307933261076</v>
      </c>
      <c r="J203" s="1499">
        <v>7.996516220548382</v>
      </c>
      <c r="K203" s="113">
        <v>5.6331335370502016</v>
      </c>
    </row>
    <row r="204" spans="2:11" x14ac:dyDescent="0.3">
      <c r="B204" s="115"/>
      <c r="C204" s="112" t="s">
        <v>1508</v>
      </c>
      <c r="D204" s="1499">
        <v>7.7267004353195148</v>
      </c>
      <c r="E204" s="1499">
        <v>7.0218027922744648</v>
      </c>
      <c r="F204" s="1499">
        <v>5.6110003498691716</v>
      </c>
      <c r="G204" s="1499">
        <v>5.4319201539844162</v>
      </c>
      <c r="H204" s="1499">
        <v>6.1025302916870343</v>
      </c>
      <c r="I204" s="1499">
        <v>8.7806669708704366</v>
      </c>
      <c r="J204" s="1499">
        <v>7.9943523980927118</v>
      </c>
      <c r="K204" s="113">
        <v>5.6309697145945314</v>
      </c>
    </row>
    <row r="205" spans="2:11" x14ac:dyDescent="0.3">
      <c r="B205" s="115"/>
      <c r="C205" s="112" t="s">
        <v>1513</v>
      </c>
      <c r="D205" s="1499">
        <v>7.7234547016360091</v>
      </c>
      <c r="E205" s="1499">
        <v>7.01855705859096</v>
      </c>
      <c r="F205" s="1499">
        <v>5.6077546161856677</v>
      </c>
      <c r="G205" s="1499">
        <v>5.4286744203009114</v>
      </c>
      <c r="H205" s="1499">
        <v>6.0992845580035304</v>
      </c>
      <c r="I205" s="1499">
        <v>8.7774212371869318</v>
      </c>
      <c r="J205" s="1499">
        <v>7.991106664409207</v>
      </c>
      <c r="K205" s="113">
        <v>5.6277239809110275</v>
      </c>
    </row>
    <row r="206" spans="2:11" x14ac:dyDescent="0.3">
      <c r="B206" s="115"/>
      <c r="C206" s="112" t="s">
        <v>1517</v>
      </c>
      <c r="D206" s="1499">
        <v>7.7202089679525061</v>
      </c>
      <c r="E206" s="1499">
        <v>7.015311324907457</v>
      </c>
      <c r="F206" s="1499">
        <v>5.6045088825021621</v>
      </c>
      <c r="G206" s="1499">
        <v>5.4254286866174066</v>
      </c>
      <c r="H206" s="1499">
        <v>6.0960388243200248</v>
      </c>
      <c r="I206" s="1499">
        <v>8.7741755035034288</v>
      </c>
      <c r="J206" s="1499">
        <v>7.9878609307257031</v>
      </c>
      <c r="K206" s="113">
        <v>5.6244782472275228</v>
      </c>
    </row>
    <row r="207" spans="2:11" ht="14.5" thickBot="1" x14ac:dyDescent="0.35">
      <c r="B207" s="1233"/>
      <c r="C207" s="116" t="s">
        <v>1519</v>
      </c>
      <c r="D207" s="117">
        <v>7.7338349956956431</v>
      </c>
      <c r="E207" s="117">
        <v>7.0291330578452076</v>
      </c>
      <c r="F207" s="117">
        <v>5.618549452997275</v>
      </c>
      <c r="G207" s="117">
        <v>5.4394675871126665</v>
      </c>
      <c r="H207" s="117">
        <v>6.1100192893096681</v>
      </c>
      <c r="I207" s="117">
        <v>8.7876221266756023</v>
      </c>
      <c r="J207" s="117">
        <v>8.0015520242270242</v>
      </c>
      <c r="K207" s="118">
        <v>5.6385191575633007</v>
      </c>
    </row>
    <row r="208" spans="2:11" x14ac:dyDescent="0.3">
      <c r="B208" s="120" t="s">
        <v>1519</v>
      </c>
      <c r="C208" s="108" t="s">
        <v>1416</v>
      </c>
      <c r="D208" s="129">
        <v>4.7500155995149607</v>
      </c>
      <c r="E208" s="109">
        <v>3.8495363435460948</v>
      </c>
      <c r="F208" s="109">
        <v>2.6240400541758548</v>
      </c>
      <c r="G208" s="109">
        <v>2.3578063779004315</v>
      </c>
      <c r="H208" s="109">
        <v>3.0745156155805331</v>
      </c>
      <c r="I208" s="109">
        <v>5.5429957603295508</v>
      </c>
      <c r="J208" s="109">
        <v>4.7786332183213229</v>
      </c>
      <c r="K208" s="110">
        <v>2.5383221818215627</v>
      </c>
    </row>
    <row r="209" spans="2:11" x14ac:dyDescent="0.3">
      <c r="B209" s="111"/>
      <c r="C209" s="112" t="s">
        <v>1483</v>
      </c>
      <c r="D209" s="130">
        <v>4.7704257814791458</v>
      </c>
      <c r="E209" s="1499">
        <v>3.8708453635211559</v>
      </c>
      <c r="F209" s="1499">
        <v>2.6448525684535018</v>
      </c>
      <c r="G209" s="1499">
        <v>2.3795534533973868</v>
      </c>
      <c r="H209" s="1499">
        <v>3.0955543537193795</v>
      </c>
      <c r="I209" s="1499">
        <v>5.5628693983952306</v>
      </c>
      <c r="J209" s="1499">
        <v>4.7991842980542732</v>
      </c>
      <c r="K209" s="113">
        <v>2.5598791866957491</v>
      </c>
    </row>
    <row r="210" spans="2:11" x14ac:dyDescent="0.3">
      <c r="B210" s="111"/>
      <c r="C210" s="112" t="s">
        <v>1489</v>
      </c>
      <c r="D210" s="130">
        <v>4.7678295459842941</v>
      </c>
      <c r="E210" s="1499">
        <v>3.8682491280263047</v>
      </c>
      <c r="F210" s="1499">
        <v>2.6422563329586506</v>
      </c>
      <c r="G210" s="1499">
        <v>2.3769572179025351</v>
      </c>
      <c r="H210" s="1499">
        <v>3.0929581182245283</v>
      </c>
      <c r="I210" s="1499">
        <v>5.5602731629003799</v>
      </c>
      <c r="J210" s="1499">
        <v>4.7965880625594215</v>
      </c>
      <c r="K210" s="113">
        <v>2.5572829512008979</v>
      </c>
    </row>
    <row r="211" spans="2:11" x14ac:dyDescent="0.3">
      <c r="B211" s="114">
        <v>0</v>
      </c>
      <c r="C211" s="112" t="s">
        <v>1496</v>
      </c>
      <c r="D211" s="130">
        <v>4.7639351927420179</v>
      </c>
      <c r="E211" s="1499">
        <v>3.8643547747840281</v>
      </c>
      <c r="F211" s="1499">
        <v>2.6383619797163735</v>
      </c>
      <c r="G211" s="1499">
        <v>2.3730628646602585</v>
      </c>
      <c r="H211" s="1499">
        <v>3.0890637649822512</v>
      </c>
      <c r="I211" s="1499">
        <v>5.5563788096581028</v>
      </c>
      <c r="J211" s="1499">
        <v>4.7926937093171444</v>
      </c>
      <c r="K211" s="113">
        <v>2.5533885979586208</v>
      </c>
    </row>
    <row r="212" spans="2:11" x14ac:dyDescent="0.3">
      <c r="B212" s="115"/>
      <c r="C212" s="112" t="s">
        <v>1500</v>
      </c>
      <c r="D212" s="130">
        <v>4.7600408394997409</v>
      </c>
      <c r="E212" s="1499">
        <v>3.8604604215417511</v>
      </c>
      <c r="F212" s="1499">
        <v>2.6344676264740965</v>
      </c>
      <c r="G212" s="1499">
        <v>2.3691685114179815</v>
      </c>
      <c r="H212" s="1499">
        <v>3.0851694117399746</v>
      </c>
      <c r="I212" s="1499">
        <v>5.5524844564158258</v>
      </c>
      <c r="J212" s="1499">
        <v>4.7887993560748674</v>
      </c>
      <c r="K212" s="113">
        <v>2.5494942447163442</v>
      </c>
    </row>
    <row r="213" spans="2:11" x14ac:dyDescent="0.3">
      <c r="B213" s="115"/>
      <c r="C213" s="112" t="s">
        <v>1504</v>
      </c>
      <c r="D213" s="130">
        <v>4.7663303594070321</v>
      </c>
      <c r="E213" s="1499">
        <v>3.8665033556864117</v>
      </c>
      <c r="F213" s="1499">
        <v>2.6406589059197989</v>
      </c>
      <c r="G213" s="1499">
        <v>2.3751684600862339</v>
      </c>
      <c r="H213" s="1499">
        <v>3.0913323837809963</v>
      </c>
      <c r="I213" s="1499">
        <v>5.5585548936679743</v>
      </c>
      <c r="J213" s="1499">
        <v>4.7948865014340889</v>
      </c>
      <c r="K213" s="113">
        <v>2.5555383132234981</v>
      </c>
    </row>
    <row r="214" spans="2:11" x14ac:dyDescent="0.3">
      <c r="B214" s="115"/>
      <c r="C214" s="112" t="s">
        <v>1508</v>
      </c>
      <c r="D214" s="130">
        <v>4.7641665369513619</v>
      </c>
      <c r="E214" s="1499">
        <v>3.8643395332307415</v>
      </c>
      <c r="F214" s="1499">
        <v>2.6384950834641296</v>
      </c>
      <c r="G214" s="1499">
        <v>2.3730046376305642</v>
      </c>
      <c r="H214" s="1499">
        <v>3.0891685613253261</v>
      </c>
      <c r="I214" s="1499">
        <v>5.5563910712123041</v>
      </c>
      <c r="J214" s="1499">
        <v>4.7927226789784187</v>
      </c>
      <c r="K214" s="113">
        <v>2.5533744907678289</v>
      </c>
    </row>
    <row r="215" spans="2:11" x14ac:dyDescent="0.3">
      <c r="B215" s="115"/>
      <c r="C215" s="112" t="s">
        <v>1513</v>
      </c>
      <c r="D215" s="130">
        <v>4.760920803267858</v>
      </c>
      <c r="E215" s="1499">
        <v>3.8610937995472372</v>
      </c>
      <c r="F215" s="1499">
        <v>2.6352493497806249</v>
      </c>
      <c r="G215" s="1499">
        <v>2.3697589039470599</v>
      </c>
      <c r="H215" s="1499">
        <v>3.0859228276418218</v>
      </c>
      <c r="I215" s="1499">
        <v>5.5531453375287994</v>
      </c>
      <c r="J215" s="1499">
        <v>4.7894769452949149</v>
      </c>
      <c r="K215" s="113">
        <v>2.5501287570843241</v>
      </c>
    </row>
    <row r="216" spans="2:11" x14ac:dyDescent="0.3">
      <c r="B216" s="115"/>
      <c r="C216" s="112" t="s">
        <v>1517</v>
      </c>
      <c r="D216" s="130">
        <v>4.7576750695843533</v>
      </c>
      <c r="E216" s="1499">
        <v>3.8578480658637329</v>
      </c>
      <c r="F216" s="1499">
        <v>2.6320036160971201</v>
      </c>
      <c r="G216" s="1499">
        <v>2.3665131702635551</v>
      </c>
      <c r="H216" s="1499">
        <v>3.0826770939583175</v>
      </c>
      <c r="I216" s="1499">
        <v>5.5498996038452955</v>
      </c>
      <c r="J216" s="1499">
        <v>4.7862312116114101</v>
      </c>
      <c r="K216" s="113">
        <v>2.5468830234008193</v>
      </c>
    </row>
    <row r="217" spans="2:11" ht="14.5" thickBot="1" x14ac:dyDescent="0.35">
      <c r="B217" s="1233"/>
      <c r="C217" s="116" t="s">
        <v>1519</v>
      </c>
      <c r="D217" s="131">
        <v>4.7704257814791458</v>
      </c>
      <c r="E217" s="117">
        <v>3.8708453635211559</v>
      </c>
      <c r="F217" s="117">
        <v>2.6448525684535018</v>
      </c>
      <c r="G217" s="117">
        <v>2.3795534533973868</v>
      </c>
      <c r="H217" s="117">
        <v>3.0955543537193795</v>
      </c>
      <c r="I217" s="117">
        <v>5.5628693983952306</v>
      </c>
      <c r="J217" s="117">
        <v>4.7991842980542732</v>
      </c>
      <c r="K217" s="118">
        <v>2.5598791866957491</v>
      </c>
    </row>
    <row r="221" spans="2:11" ht="14.5" thickBot="1" x14ac:dyDescent="0.35"/>
    <row r="222" spans="2:11" x14ac:dyDescent="0.3">
      <c r="C222" s="132" t="s">
        <v>1995</v>
      </c>
      <c r="D222" s="132"/>
      <c r="E222" s="132"/>
      <c r="F222" s="132"/>
    </row>
    <row r="223" spans="2:11" x14ac:dyDescent="0.3">
      <c r="C223" s="1504" t="s">
        <v>1996</v>
      </c>
      <c r="D223" s="1504" t="s">
        <v>1997</v>
      </c>
      <c r="E223" s="1504" t="s">
        <v>1998</v>
      </c>
      <c r="F223" s="1504" t="s">
        <v>1999</v>
      </c>
    </row>
    <row r="224" spans="2:11" x14ac:dyDescent="0.3">
      <c r="C224" s="1498">
        <v>1</v>
      </c>
      <c r="D224" s="1505">
        <v>256.67614111972881</v>
      </c>
      <c r="E224" s="1506">
        <v>6.1171917196871484E-2</v>
      </c>
      <c r="F224" s="1507">
        <v>2.4468766878748593</v>
      </c>
      <c r="H224" s="134" t="s">
        <v>2000</v>
      </c>
    </row>
    <row r="225" spans="2:11" x14ac:dyDescent="0.3">
      <c r="C225" s="1498">
        <v>1.5</v>
      </c>
      <c r="D225" s="1505">
        <v>216.74704343527392</v>
      </c>
      <c r="E225" s="1506">
        <v>5.1655880970660949E-2</v>
      </c>
      <c r="F225" s="1507">
        <v>2.066235238826438</v>
      </c>
      <c r="H225" s="134" t="s">
        <v>2001</v>
      </c>
    </row>
    <row r="226" spans="2:11" x14ac:dyDescent="0.3">
      <c r="C226" s="1498">
        <v>2</v>
      </c>
      <c r="D226" s="1505">
        <v>188.41689777467792</v>
      </c>
      <c r="E226" s="1506">
        <v>4.490414581925508E-2</v>
      </c>
      <c r="F226" s="1507">
        <v>1.796165832770203</v>
      </c>
    </row>
    <row r="227" spans="2:11" x14ac:dyDescent="0.3">
      <c r="C227" s="1498">
        <v>2.5</v>
      </c>
      <c r="D227" s="1505">
        <v>166.44232960615284</v>
      </c>
      <c r="E227" s="1506">
        <v>3.966709317159587E-2</v>
      </c>
      <c r="F227" s="1507">
        <v>1.586683726863835</v>
      </c>
    </row>
    <row r="228" spans="2:11" x14ac:dyDescent="0.3">
      <c r="B228" s="2"/>
      <c r="C228" s="1498">
        <v>3</v>
      </c>
      <c r="D228" s="1505">
        <v>148.48780009022306</v>
      </c>
      <c r="E228" s="1506">
        <v>3.5388109593044545E-2</v>
      </c>
      <c r="F228" s="1507">
        <v>1.4155243837217819</v>
      </c>
      <c r="I228" s="135"/>
      <c r="J228" s="135"/>
      <c r="K228" s="135"/>
    </row>
    <row r="229" spans="2:11" x14ac:dyDescent="0.3">
      <c r="B229" s="136"/>
      <c r="C229" s="1498">
        <v>3.5</v>
      </c>
      <c r="D229" s="1505">
        <v>133.30746168412338</v>
      </c>
      <c r="E229" s="1506">
        <v>3.1770280526628669E-2</v>
      </c>
      <c r="F229" s="1507">
        <v>1.2708112210651468</v>
      </c>
      <c r="I229" s="135"/>
      <c r="J229" s="135"/>
      <c r="K229" s="135"/>
    </row>
    <row r="230" spans="2:11" x14ac:dyDescent="0.3">
      <c r="B230" s="136"/>
      <c r="C230" s="1498">
        <v>4</v>
      </c>
      <c r="D230" s="1505">
        <v>120.15765442962712</v>
      </c>
      <c r="E230" s="1506">
        <v>2.8636374441638687E-2</v>
      </c>
      <c r="F230" s="1507">
        <v>1.1454549776655476</v>
      </c>
      <c r="I230" s="135"/>
      <c r="J230" s="135"/>
      <c r="K230" s="135"/>
    </row>
    <row r="231" spans="2:11" x14ac:dyDescent="0.3">
      <c r="B231" s="137"/>
      <c r="C231" s="1498">
        <v>4.5</v>
      </c>
      <c r="D231" s="1505">
        <v>108.55870240576817</v>
      </c>
      <c r="E231" s="1506">
        <v>2.5872073366834013E-2</v>
      </c>
      <c r="F231" s="1507">
        <v>1.0348829346733606</v>
      </c>
      <c r="I231" s="135"/>
      <c r="J231" s="135"/>
      <c r="K231" s="135"/>
    </row>
    <row r="232" spans="2:11" x14ac:dyDescent="0.3">
      <c r="C232" s="1498">
        <v>5</v>
      </c>
      <c r="D232" s="1505">
        <v>98.183086261102005</v>
      </c>
      <c r="E232" s="1506">
        <v>2.339932179397948E-2</v>
      </c>
      <c r="F232" s="1507">
        <v>0.9359728717591792</v>
      </c>
      <c r="I232" s="135"/>
      <c r="J232" s="135"/>
      <c r="K232" s="135"/>
    </row>
    <row r="233" spans="2:11" x14ac:dyDescent="0.3">
      <c r="C233" s="1498">
        <v>5.5</v>
      </c>
      <c r="D233" s="1505">
        <v>88.797199772653215</v>
      </c>
      <c r="E233" s="1506">
        <v>2.1162445905998889E-2</v>
      </c>
      <c r="F233" s="1507">
        <v>0.84649783623995556</v>
      </c>
      <c r="I233" s="135"/>
      <c r="J233" s="135"/>
      <c r="K233" s="135"/>
    </row>
    <row r="234" spans="2:11" x14ac:dyDescent="0.3">
      <c r="C234" s="1498">
        <v>6</v>
      </c>
      <c r="D234" s="1505">
        <v>80.228556745172227</v>
      </c>
      <c r="E234" s="1506">
        <v>1.9120338215428155E-2</v>
      </c>
      <c r="F234" s="1507">
        <v>0.76481352861712604</v>
      </c>
      <c r="I234" s="135"/>
      <c r="J234" s="135"/>
      <c r="K234" s="135"/>
    </row>
    <row r="235" spans="2:11" x14ac:dyDescent="0.3">
      <c r="C235" s="1498">
        <v>6.5</v>
      </c>
      <c r="D235" s="1505">
        <v>72.346169260495458</v>
      </c>
      <c r="E235" s="1506">
        <v>1.7241781243117333E-2</v>
      </c>
      <c r="F235" s="1507">
        <v>0.68967124972469329</v>
      </c>
      <c r="I235" s="135"/>
      <c r="J235" s="135"/>
      <c r="K235" s="135"/>
    </row>
    <row r="236" spans="2:11" x14ac:dyDescent="0.3">
      <c r="C236" s="1498">
        <v>7</v>
      </c>
      <c r="D236" s="1505">
        <v>65.048218339072548</v>
      </c>
      <c r="E236" s="1506">
        <v>1.5502509149012283E-2</v>
      </c>
      <c r="F236" s="1507">
        <v>0.62010036596049123</v>
      </c>
      <c r="I236" s="135"/>
      <c r="J236" s="135"/>
      <c r="K236" s="135"/>
    </row>
    <row r="237" spans="2:11" x14ac:dyDescent="0.3">
      <c r="C237" s="1498">
        <v>7.5</v>
      </c>
      <c r="D237" s="1505">
        <v>58.253988576647146</v>
      </c>
      <c r="E237" s="1506">
        <v>1.3883285567768947E-2</v>
      </c>
      <c r="F237" s="1507">
        <v>0.55533142271075786</v>
      </c>
      <c r="I237" s="135"/>
      <c r="J237" s="135"/>
      <c r="K237" s="135"/>
    </row>
    <row r="238" spans="2:11" x14ac:dyDescent="0.3">
      <c r="B238" s="2"/>
      <c r="C238" s="1498">
        <v>8</v>
      </c>
      <c r="D238" s="1505">
        <v>51.898411084576267</v>
      </c>
      <c r="E238" s="1506">
        <v>1.2368603064022293E-2</v>
      </c>
      <c r="F238" s="1507">
        <v>0.49474412256089179</v>
      </c>
      <c r="I238" s="135"/>
      <c r="J238" s="135"/>
      <c r="K238" s="135"/>
    </row>
    <row r="239" spans="2:11" x14ac:dyDescent="0.3">
      <c r="B239" s="136"/>
      <c r="C239" s="1498">
        <v>8.5</v>
      </c>
      <c r="D239" s="1505">
        <v>45.928263720019771</v>
      </c>
      <c r="E239" s="1506">
        <v>1.094577755852501E-2</v>
      </c>
      <c r="F239" s="1507">
        <v>0.43783110234100031</v>
      </c>
      <c r="I239" s="135"/>
      <c r="J239" s="135"/>
      <c r="K239" s="135"/>
    </row>
    <row r="240" spans="2:11" x14ac:dyDescent="0.3">
      <c r="B240" s="136"/>
      <c r="C240" s="1498">
        <v>9</v>
      </c>
      <c r="D240" s="1505">
        <v>40.299459060717318</v>
      </c>
      <c r="E240" s="1506">
        <v>9.6043019892176132E-3</v>
      </c>
      <c r="F240" s="1507">
        <v>0.38417207956870453</v>
      </c>
      <c r="I240" s="135"/>
      <c r="J240" s="135"/>
      <c r="K240" s="135"/>
    </row>
    <row r="241" spans="2:11" x14ac:dyDescent="0.3">
      <c r="B241" s="137"/>
      <c r="C241" s="1498">
        <v>9.5</v>
      </c>
      <c r="D241" s="1505">
        <v>34.975066612497145</v>
      </c>
      <c r="E241" s="1506">
        <v>8.3353749571011167E-3</v>
      </c>
      <c r="F241" s="1507">
        <v>0.33341499828404469</v>
      </c>
      <c r="I241" s="135"/>
      <c r="J241" s="135"/>
      <c r="K241" s="135"/>
    </row>
    <row r="242" spans="2:11" x14ac:dyDescent="0.3">
      <c r="C242" s="1498">
        <v>10</v>
      </c>
      <c r="D242" s="1505">
        <v>29.923842916051154</v>
      </c>
      <c r="E242" s="1506">
        <v>7.131550416363079E-3</v>
      </c>
      <c r="F242" s="1507">
        <v>0.28526201665452317</v>
      </c>
      <c r="I242" s="135"/>
      <c r="J242" s="135"/>
      <c r="K242" s="135"/>
    </row>
    <row r="243" spans="2:11" x14ac:dyDescent="0.3">
      <c r="I243" s="135"/>
      <c r="J243" s="135"/>
      <c r="K243" s="135"/>
    </row>
    <row r="244" spans="2:11" ht="14.5" thickBot="1" x14ac:dyDescent="0.35">
      <c r="I244" s="135"/>
      <c r="J244" s="135"/>
      <c r="K244" s="135"/>
    </row>
    <row r="245" spans="2:11" x14ac:dyDescent="0.3">
      <c r="C245" s="132" t="s">
        <v>2002</v>
      </c>
      <c r="D245" s="132"/>
      <c r="E245" s="132"/>
      <c r="F245" s="132"/>
      <c r="H245" s="134" t="s">
        <v>2003</v>
      </c>
      <c r="I245" s="135"/>
      <c r="J245" s="135"/>
      <c r="K245" s="135"/>
    </row>
    <row r="246" spans="2:11" x14ac:dyDescent="0.3">
      <c r="C246" s="1508" t="s">
        <v>1996</v>
      </c>
      <c r="D246" s="1508" t="s">
        <v>2004</v>
      </c>
      <c r="E246" s="1508" t="s">
        <v>2005</v>
      </c>
      <c r="F246" s="1508" t="s">
        <v>2006</v>
      </c>
      <c r="H246" s="134" t="s">
        <v>2007</v>
      </c>
      <c r="I246" s="135"/>
      <c r="J246" s="135"/>
      <c r="K246" s="135"/>
    </row>
    <row r="247" spans="2:11" x14ac:dyDescent="0.3">
      <c r="C247" s="1498" t="s">
        <v>376</v>
      </c>
      <c r="D247" s="1509">
        <v>304.45979845637873</v>
      </c>
      <c r="E247" s="1510">
        <v>7.2559878373199771E-2</v>
      </c>
      <c r="F247" s="1511">
        <v>2.9023951349279904</v>
      </c>
      <c r="I247" s="135"/>
      <c r="J247" s="135"/>
      <c r="K247" s="135"/>
    </row>
    <row r="248" spans="2:11" x14ac:dyDescent="0.3">
      <c r="B248" s="2"/>
      <c r="D248" s="135"/>
      <c r="E248" s="135"/>
      <c r="F248" s="135"/>
      <c r="G248" s="135"/>
      <c r="H248" s="135"/>
      <c r="I248" s="135"/>
      <c r="J248" s="135"/>
      <c r="K248" s="135"/>
    </row>
    <row r="249" spans="2:11" x14ac:dyDescent="0.3">
      <c r="B249" s="136"/>
      <c r="D249" s="135"/>
      <c r="E249" s="135"/>
      <c r="F249" s="135"/>
      <c r="G249" s="135"/>
      <c r="H249" s="135"/>
      <c r="I249" s="135"/>
      <c r="J249" s="135"/>
      <c r="K249" s="135"/>
    </row>
    <row r="250" spans="2:11" x14ac:dyDescent="0.3">
      <c r="B250" s="136"/>
      <c r="D250" s="135"/>
      <c r="E250" s="135"/>
      <c r="F250" s="135"/>
      <c r="G250" s="135"/>
      <c r="H250" s="135"/>
      <c r="I250" s="135"/>
      <c r="J250" s="135"/>
      <c r="K250" s="135"/>
    </row>
    <row r="251" spans="2:11" x14ac:dyDescent="0.3">
      <c r="B251" s="137"/>
      <c r="D251" s="135"/>
      <c r="E251" s="135"/>
      <c r="F251" s="135"/>
      <c r="G251" s="135"/>
      <c r="H251" s="135"/>
      <c r="I251" s="135"/>
      <c r="J251" s="135"/>
      <c r="K251" s="135"/>
    </row>
    <row r="252" spans="2:11" x14ac:dyDescent="0.3">
      <c r="D252" s="135"/>
      <c r="E252" s="135"/>
      <c r="F252" s="135"/>
      <c r="G252" s="135"/>
      <c r="H252" s="135"/>
      <c r="I252" s="135"/>
      <c r="J252" s="135"/>
      <c r="K252" s="135"/>
    </row>
    <row r="253" spans="2:11" x14ac:dyDescent="0.3">
      <c r="D253" s="135"/>
      <c r="E253" s="135"/>
      <c r="F253" s="135"/>
      <c r="G253" s="135"/>
      <c r="H253" s="135"/>
      <c r="I253" s="135"/>
      <c r="J253" s="135"/>
      <c r="K253" s="135"/>
    </row>
    <row r="254" spans="2:11" x14ac:dyDescent="0.3">
      <c r="D254" s="135"/>
      <c r="E254" s="135"/>
      <c r="F254" s="135"/>
      <c r="G254" s="135"/>
      <c r="H254" s="135"/>
      <c r="I254" s="135"/>
      <c r="J254" s="135"/>
      <c r="K254" s="135"/>
    </row>
    <row r="255" spans="2:11" x14ac:dyDescent="0.3">
      <c r="D255" s="135"/>
      <c r="E255" s="135"/>
      <c r="F255" s="135"/>
      <c r="G255" s="135"/>
      <c r="H255" s="135"/>
      <c r="I255" s="135"/>
      <c r="J255" s="135"/>
      <c r="K255" s="135"/>
    </row>
    <row r="256" spans="2:11" x14ac:dyDescent="0.3">
      <c r="D256" s="135"/>
      <c r="E256" s="135"/>
      <c r="F256" s="135"/>
      <c r="G256" s="135"/>
      <c r="H256" s="135"/>
      <c r="I256" s="135"/>
      <c r="J256" s="135"/>
      <c r="K256" s="135"/>
    </row>
    <row r="257" spans="4:11" x14ac:dyDescent="0.3">
      <c r="D257" s="135"/>
      <c r="E257" s="135"/>
      <c r="F257" s="135"/>
      <c r="G257" s="135"/>
      <c r="H257" s="135"/>
      <c r="I257" s="135"/>
      <c r="J257" s="135"/>
      <c r="K257" s="135"/>
    </row>
  </sheetData>
  <sheetProtection algorithmName="SHA-512" hashValue="2BwoE961bWyRbhT/ASlUcwbekl/kQcR15YwK6T+TdYhC2NZ9M8B9XqH0H0MoAkucR9tf44ApfUa/tnweSzsrag==" saltValue="NcY1lcCuGkcz2x+3EytZPw==" spinCount="100000" sheet="1" objects="1" scenarios="1" autoFilter="0"/>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9"/>
  <dimension ref="B1:K257"/>
  <sheetViews>
    <sheetView workbookViewId="0">
      <selection activeCell="G9" sqref="G9"/>
    </sheetView>
  </sheetViews>
  <sheetFormatPr defaultColWidth="7.58203125" defaultRowHeight="14" x14ac:dyDescent="0.3"/>
  <cols>
    <col min="2" max="2" width="25.58203125" customWidth="1"/>
    <col min="3" max="3" width="29.08203125" customWidth="1"/>
    <col min="4" max="4" width="12.33203125" customWidth="1"/>
    <col min="5" max="5" width="11.58203125" customWidth="1"/>
    <col min="6" max="6" width="10.58203125" customWidth="1"/>
  </cols>
  <sheetData>
    <row r="1" spans="2:11" ht="14.5" thickBot="1" x14ac:dyDescent="0.35"/>
    <row r="2" spans="2:11" ht="25.5" thickBot="1" x14ac:dyDescent="0.55000000000000004">
      <c r="B2" s="88" t="s">
        <v>1960</v>
      </c>
      <c r="C2" s="89"/>
      <c r="D2" s="90">
        <v>7</v>
      </c>
      <c r="E2" s="91" t="s">
        <v>1961</v>
      </c>
      <c r="F2" s="92"/>
      <c r="G2" s="92"/>
      <c r="H2" s="92"/>
      <c r="I2" s="93"/>
      <c r="J2" s="89" t="s">
        <v>176</v>
      </c>
      <c r="K2" s="94" t="s">
        <v>200</v>
      </c>
    </row>
    <row r="3" spans="2:11" ht="14.5" thickBot="1" x14ac:dyDescent="0.35">
      <c r="B3" s="95" t="s">
        <v>1962</v>
      </c>
      <c r="C3" s="96" t="s">
        <v>1963</v>
      </c>
      <c r="D3" s="95" t="s">
        <v>1964</v>
      </c>
      <c r="E3" s="97" t="s">
        <v>1965</v>
      </c>
      <c r="F3" s="97" t="s">
        <v>1966</v>
      </c>
      <c r="G3" s="97" t="s">
        <v>1967</v>
      </c>
      <c r="H3" s="97" t="s">
        <v>1968</v>
      </c>
      <c r="I3" s="97" t="s">
        <v>1969</v>
      </c>
      <c r="J3" s="97" t="s">
        <v>1970</v>
      </c>
      <c r="K3" s="98" t="s">
        <v>1971</v>
      </c>
    </row>
    <row r="4" spans="2:11" ht="18.5" thickBot="1" x14ac:dyDescent="0.45">
      <c r="B4" s="99" t="s">
        <v>34</v>
      </c>
      <c r="C4" s="100" t="s">
        <v>34</v>
      </c>
      <c r="D4" s="101" t="s">
        <v>34</v>
      </c>
      <c r="E4" s="944"/>
      <c r="F4" s="944"/>
      <c r="G4" s="944"/>
      <c r="H4" s="944"/>
      <c r="I4" s="944" t="s">
        <v>34</v>
      </c>
      <c r="J4" s="944" t="s">
        <v>34</v>
      </c>
      <c r="K4" s="102"/>
    </row>
    <row r="5" spans="2:11" ht="85.5" thickBot="1" x14ac:dyDescent="0.45">
      <c r="B5" s="103" t="s">
        <v>1972</v>
      </c>
      <c r="C5" s="104" t="s">
        <v>1973</v>
      </c>
      <c r="D5" s="105" t="s">
        <v>1974</v>
      </c>
      <c r="E5" s="105" t="s">
        <v>1525</v>
      </c>
      <c r="F5" s="105" t="s">
        <v>1527</v>
      </c>
      <c r="G5" s="105" t="s">
        <v>1975</v>
      </c>
      <c r="H5" s="105" t="s">
        <v>1976</v>
      </c>
      <c r="I5" s="105" t="s">
        <v>1445</v>
      </c>
      <c r="J5" s="105" t="s">
        <v>1538</v>
      </c>
      <c r="K5" s="106" t="s">
        <v>1541</v>
      </c>
    </row>
    <row r="6" spans="2:11" x14ac:dyDescent="0.3">
      <c r="B6" s="107" t="s">
        <v>1977</v>
      </c>
      <c r="C6" s="108" t="s">
        <v>1416</v>
      </c>
      <c r="D6" s="109">
        <v>7.4976882569845342</v>
      </c>
      <c r="E6" s="109">
        <v>7.0080177214814521</v>
      </c>
      <c r="F6" s="109">
        <v>5.6653411672054261</v>
      </c>
      <c r="G6" s="109">
        <v>5.5577527353738434</v>
      </c>
      <c r="H6" s="109">
        <v>5.5594796160545812</v>
      </c>
      <c r="I6" s="109">
        <v>8.2427509628777056</v>
      </c>
      <c r="J6" s="109">
        <v>7.5807281204572092</v>
      </c>
      <c r="K6" s="110">
        <v>5.2719431465643245</v>
      </c>
    </row>
    <row r="7" spans="2:11" x14ac:dyDescent="0.3">
      <c r="B7" s="111" t="s">
        <v>1978</v>
      </c>
      <c r="C7" s="112" t="s">
        <v>1483</v>
      </c>
      <c r="D7" s="1499">
        <v>7.8328310160482451</v>
      </c>
      <c r="E7" s="1499">
        <v>7.3446388814154586</v>
      </c>
      <c r="F7" s="1499">
        <v>6.0099824172376968</v>
      </c>
      <c r="G7" s="1499">
        <v>5.9023615023228171</v>
      </c>
      <c r="H7" s="1499">
        <v>5.9012372910184308</v>
      </c>
      <c r="I7" s="1499">
        <v>8.5742674824033198</v>
      </c>
      <c r="J7" s="1499">
        <v>7.9160769153441652</v>
      </c>
      <c r="K7" s="113">
        <v>5.6186660758887621</v>
      </c>
    </row>
    <row r="8" spans="2:11" x14ac:dyDescent="0.3">
      <c r="B8" s="111" t="s">
        <v>1979</v>
      </c>
      <c r="C8" s="112" t="s">
        <v>1489</v>
      </c>
      <c r="D8" s="1499">
        <v>7.7901385810525055</v>
      </c>
      <c r="E8" s="1499">
        <v>7.301946446419719</v>
      </c>
      <c r="F8" s="1499">
        <v>5.9672899822419581</v>
      </c>
      <c r="G8" s="1499">
        <v>5.8596690673270775</v>
      </c>
      <c r="H8" s="1499">
        <v>5.8585448560226929</v>
      </c>
      <c r="I8" s="1499">
        <v>8.5315750474075802</v>
      </c>
      <c r="J8" s="1499">
        <v>7.8733844803484256</v>
      </c>
      <c r="K8" s="113">
        <v>5.5759736408930234</v>
      </c>
    </row>
    <row r="9" spans="2:11" x14ac:dyDescent="0.3">
      <c r="B9" s="114">
        <v>0</v>
      </c>
      <c r="C9" s="112" t="s">
        <v>1496</v>
      </c>
      <c r="D9" s="1499">
        <v>7.7260999285588978</v>
      </c>
      <c r="E9" s="1499">
        <v>7.2379077939261105</v>
      </c>
      <c r="F9" s="1499">
        <v>5.9032513297483495</v>
      </c>
      <c r="G9" s="1499">
        <v>5.7956304148334699</v>
      </c>
      <c r="H9" s="1499">
        <v>5.7945062035290835</v>
      </c>
      <c r="I9" s="1499">
        <v>8.4675363949139726</v>
      </c>
      <c r="J9" s="1499">
        <v>7.809345827854818</v>
      </c>
      <c r="K9" s="113">
        <v>5.511934988399414</v>
      </c>
    </row>
    <row r="10" spans="2:11" x14ac:dyDescent="0.3">
      <c r="B10" s="115"/>
      <c r="C10" s="112" t="s">
        <v>1500</v>
      </c>
      <c r="D10" s="1499">
        <v>7.6620612760652884</v>
      </c>
      <c r="E10" s="1499">
        <v>7.173869141432502</v>
      </c>
      <c r="F10" s="1499">
        <v>5.8392126772547401</v>
      </c>
      <c r="G10" s="1499">
        <v>5.7315917623398605</v>
      </c>
      <c r="H10" s="1499">
        <v>5.7304675510354741</v>
      </c>
      <c r="I10" s="1499">
        <v>8.4034977424203632</v>
      </c>
      <c r="J10" s="1499">
        <v>7.7453071753612086</v>
      </c>
      <c r="K10" s="113">
        <v>5.4478963359058046</v>
      </c>
    </row>
    <row r="11" spans="2:11" x14ac:dyDescent="0.3">
      <c r="B11" s="115"/>
      <c r="C11" s="112" t="s">
        <v>1504</v>
      </c>
      <c r="D11" s="1499">
        <v>7.7655472023150924</v>
      </c>
      <c r="E11" s="1499">
        <v>7.2764272781338546</v>
      </c>
      <c r="F11" s="1499">
        <v>5.9409601682287487</v>
      </c>
      <c r="G11" s="1499">
        <v>5.8332008271217566</v>
      </c>
      <c r="H11" s="1499">
        <v>5.8326507077962377</v>
      </c>
      <c r="I11" s="1499">
        <v>8.5062619712795851</v>
      </c>
      <c r="J11" s="1499">
        <v>7.8477683154699323</v>
      </c>
      <c r="K11" s="113">
        <v>5.5491565990615568</v>
      </c>
    </row>
    <row r="12" spans="2:11" x14ac:dyDescent="0.3">
      <c r="B12" s="115"/>
      <c r="C12" s="112" t="s">
        <v>1508</v>
      </c>
      <c r="D12" s="1499">
        <v>7.7304227476848117</v>
      </c>
      <c r="E12" s="1499">
        <v>7.2413028235035739</v>
      </c>
      <c r="F12" s="1499">
        <v>5.905835713598468</v>
      </c>
      <c r="G12" s="1499">
        <v>5.7980763724914759</v>
      </c>
      <c r="H12" s="1499">
        <v>5.7975262531659579</v>
      </c>
      <c r="I12" s="1499">
        <v>8.4711375166493053</v>
      </c>
      <c r="J12" s="1499">
        <v>7.8126438608396507</v>
      </c>
      <c r="K12" s="113">
        <v>5.514032144431277</v>
      </c>
    </row>
    <row r="13" spans="2:11" x14ac:dyDescent="0.3">
      <c r="B13" s="115"/>
      <c r="C13" s="112" t="s">
        <v>1513</v>
      </c>
      <c r="D13" s="1499">
        <v>7.6777360657393912</v>
      </c>
      <c r="E13" s="1499">
        <v>7.1886161415581533</v>
      </c>
      <c r="F13" s="1499">
        <v>5.8531490316530475</v>
      </c>
      <c r="G13" s="1499">
        <v>5.7453896905460553</v>
      </c>
      <c r="H13" s="1499">
        <v>5.7448395712205365</v>
      </c>
      <c r="I13" s="1499">
        <v>8.4184508347038847</v>
      </c>
      <c r="J13" s="1499">
        <v>7.759957178894231</v>
      </c>
      <c r="K13" s="113">
        <v>5.4613454624858555</v>
      </c>
    </row>
    <row r="14" spans="2:11" x14ac:dyDescent="0.3">
      <c r="B14" s="115"/>
      <c r="C14" s="112" t="s">
        <v>1517</v>
      </c>
      <c r="D14" s="1499">
        <v>7.6250493837939697</v>
      </c>
      <c r="E14" s="1499">
        <v>7.1359294596127318</v>
      </c>
      <c r="F14" s="1499">
        <v>5.800462349707626</v>
      </c>
      <c r="G14" s="1499">
        <v>5.6927030086006338</v>
      </c>
      <c r="H14" s="1499">
        <v>5.692152889275115</v>
      </c>
      <c r="I14" s="1499">
        <v>8.3657641527584623</v>
      </c>
      <c r="J14" s="1499">
        <v>7.7072704969488095</v>
      </c>
      <c r="K14" s="113">
        <v>5.408658780540434</v>
      </c>
    </row>
    <row r="15" spans="2:11" ht="14.5" thickBot="1" x14ac:dyDescent="0.35">
      <c r="B15" s="1233"/>
      <c r="C15" s="116" t="s">
        <v>1519</v>
      </c>
      <c r="D15" s="117">
        <v>7.8328310160482451</v>
      </c>
      <c r="E15" s="117">
        <v>7.3446388814154586</v>
      </c>
      <c r="F15" s="117">
        <v>6.0099824172376968</v>
      </c>
      <c r="G15" s="117">
        <v>5.9023615023228171</v>
      </c>
      <c r="H15" s="117">
        <v>5.9012372910184308</v>
      </c>
      <c r="I15" s="117">
        <v>8.5742674824033198</v>
      </c>
      <c r="J15" s="117">
        <v>7.9160769153441652</v>
      </c>
      <c r="K15" s="118">
        <v>5.6186660758887621</v>
      </c>
    </row>
    <row r="16" spans="2:11" x14ac:dyDescent="0.3">
      <c r="B16" s="107" t="s">
        <v>1977</v>
      </c>
      <c r="C16" s="108" t="s">
        <v>1416</v>
      </c>
      <c r="D16" s="109">
        <v>7.0183142188465775</v>
      </c>
      <c r="E16" s="109">
        <v>6.5286436833434962</v>
      </c>
      <c r="F16" s="109">
        <v>5.1859671290674703</v>
      </c>
      <c r="G16" s="109">
        <v>5.0783786972358866</v>
      </c>
      <c r="H16" s="109">
        <v>5.0801055779166244</v>
      </c>
      <c r="I16" s="109">
        <v>7.7633769247397506</v>
      </c>
      <c r="J16" s="109">
        <v>7.1013540823192525</v>
      </c>
      <c r="K16" s="110">
        <v>4.7925691084263677</v>
      </c>
    </row>
    <row r="17" spans="2:11" x14ac:dyDescent="0.3">
      <c r="B17" s="111" t="s">
        <v>1978</v>
      </c>
      <c r="C17" s="112" t="s">
        <v>1483</v>
      </c>
      <c r="D17" s="1499">
        <v>7.3534569779102892</v>
      </c>
      <c r="E17" s="1499">
        <v>6.8652648432775027</v>
      </c>
      <c r="F17" s="1499">
        <v>5.5306083790997409</v>
      </c>
      <c r="G17" s="1499">
        <v>5.4229874641848612</v>
      </c>
      <c r="H17" s="1499">
        <v>5.4218632528804749</v>
      </c>
      <c r="I17" s="1499">
        <v>8.0948934442653648</v>
      </c>
      <c r="J17" s="1499">
        <v>7.4367028772062094</v>
      </c>
      <c r="K17" s="113">
        <v>5.1392920377508062</v>
      </c>
    </row>
    <row r="18" spans="2:11" x14ac:dyDescent="0.3">
      <c r="B18" s="111" t="s">
        <v>1980</v>
      </c>
      <c r="C18" s="112" t="s">
        <v>1489</v>
      </c>
      <c r="D18" s="1499">
        <v>7.3107645429145496</v>
      </c>
      <c r="E18" s="1499">
        <v>6.8225724082817631</v>
      </c>
      <c r="F18" s="1499">
        <v>5.4879159441040013</v>
      </c>
      <c r="G18" s="1499">
        <v>5.3802950291891216</v>
      </c>
      <c r="H18" s="1499">
        <v>5.3791708178847362</v>
      </c>
      <c r="I18" s="1499">
        <v>8.0522010092696252</v>
      </c>
      <c r="J18" s="1499">
        <v>7.3940104422104698</v>
      </c>
      <c r="K18" s="113">
        <v>5.0965996027550666</v>
      </c>
    </row>
    <row r="19" spans="2:11" x14ac:dyDescent="0.3">
      <c r="B19" s="114">
        <v>0</v>
      </c>
      <c r="C19" s="112" t="s">
        <v>1496</v>
      </c>
      <c r="D19" s="1499">
        <v>7.2467258904209402</v>
      </c>
      <c r="E19" s="1499">
        <v>6.7585337557881537</v>
      </c>
      <c r="F19" s="1499">
        <v>5.4238772916103919</v>
      </c>
      <c r="G19" s="1499">
        <v>5.3162563766955131</v>
      </c>
      <c r="H19" s="1499">
        <v>5.3151321653911268</v>
      </c>
      <c r="I19" s="1499">
        <v>7.9881623567760158</v>
      </c>
      <c r="J19" s="1499">
        <v>7.3299717897168613</v>
      </c>
      <c r="K19" s="113">
        <v>5.0325609502614572</v>
      </c>
    </row>
    <row r="20" spans="2:11" x14ac:dyDescent="0.3">
      <c r="B20" s="115"/>
      <c r="C20" s="112" t="s">
        <v>1500</v>
      </c>
      <c r="D20" s="1499">
        <v>7.1826872379273317</v>
      </c>
      <c r="E20" s="1499">
        <v>6.6944951032945443</v>
      </c>
      <c r="F20" s="1499">
        <v>5.3598386391167834</v>
      </c>
      <c r="G20" s="1499">
        <v>5.2522177242019037</v>
      </c>
      <c r="H20" s="1499">
        <v>5.2510935128975174</v>
      </c>
      <c r="I20" s="1499">
        <v>7.9241237042824064</v>
      </c>
      <c r="J20" s="1499">
        <v>7.2659331372232518</v>
      </c>
      <c r="K20" s="113">
        <v>4.9685222977678478</v>
      </c>
    </row>
    <row r="21" spans="2:11" x14ac:dyDescent="0.3">
      <c r="B21" s="115"/>
      <c r="C21" s="112" t="s">
        <v>1504</v>
      </c>
      <c r="D21" s="1499">
        <v>7.2861731641771366</v>
      </c>
      <c r="E21" s="1499">
        <v>6.7970532399958987</v>
      </c>
      <c r="F21" s="1499">
        <v>5.4615861300907929</v>
      </c>
      <c r="G21" s="1499">
        <v>5.3538267889838007</v>
      </c>
      <c r="H21" s="1499">
        <v>5.3532766696582819</v>
      </c>
      <c r="I21" s="1499">
        <v>8.0268879331416301</v>
      </c>
      <c r="J21" s="1499">
        <v>7.3683942773319764</v>
      </c>
      <c r="K21" s="113">
        <v>5.0697825609236009</v>
      </c>
    </row>
    <row r="22" spans="2:11" x14ac:dyDescent="0.3">
      <c r="B22" s="115"/>
      <c r="C22" s="112" t="s">
        <v>1508</v>
      </c>
      <c r="D22" s="1499">
        <v>7.2510487095468559</v>
      </c>
      <c r="E22" s="1499">
        <v>6.761928785365618</v>
      </c>
      <c r="F22" s="1499">
        <v>5.4264616754605122</v>
      </c>
      <c r="G22" s="1499">
        <v>5.31870233435352</v>
      </c>
      <c r="H22" s="1499">
        <v>5.3181522150280012</v>
      </c>
      <c r="I22" s="1499">
        <v>7.9917634785113485</v>
      </c>
      <c r="J22" s="1499">
        <v>7.3332698227016948</v>
      </c>
      <c r="K22" s="113">
        <v>5.0346581062933193</v>
      </c>
    </row>
    <row r="23" spans="2:11" x14ac:dyDescent="0.3">
      <c r="B23" s="115"/>
      <c r="C23" s="112" t="s">
        <v>1513</v>
      </c>
      <c r="D23" s="1499">
        <v>7.1983620276014344</v>
      </c>
      <c r="E23" s="1499">
        <v>6.7092421034201966</v>
      </c>
      <c r="F23" s="1499">
        <v>5.3737749935150907</v>
      </c>
      <c r="G23" s="1499">
        <v>5.2660156524080985</v>
      </c>
      <c r="H23" s="1499">
        <v>5.2654655330825797</v>
      </c>
      <c r="I23" s="1499">
        <v>7.9390767965659279</v>
      </c>
      <c r="J23" s="1499">
        <v>7.2805831407562742</v>
      </c>
      <c r="K23" s="113">
        <v>4.9819714243478987</v>
      </c>
    </row>
    <row r="24" spans="2:11" x14ac:dyDescent="0.3">
      <c r="B24" s="115"/>
      <c r="C24" s="112" t="s">
        <v>1517</v>
      </c>
      <c r="D24" s="1499">
        <v>7.1456753456560129</v>
      </c>
      <c r="E24" s="1499">
        <v>6.6565554214747751</v>
      </c>
      <c r="F24" s="1499">
        <v>5.3210883115696692</v>
      </c>
      <c r="G24" s="1499">
        <v>5.2133289704626771</v>
      </c>
      <c r="H24" s="1499">
        <v>5.2127788511371582</v>
      </c>
      <c r="I24" s="1499">
        <v>7.8863901146205064</v>
      </c>
      <c r="J24" s="1499">
        <v>7.2278964588108527</v>
      </c>
      <c r="K24" s="113">
        <v>4.9292847424024773</v>
      </c>
    </row>
    <row r="25" spans="2:11" ht="14.5" thickBot="1" x14ac:dyDescent="0.35">
      <c r="B25" s="1233"/>
      <c r="C25" s="116" t="s">
        <v>1519</v>
      </c>
      <c r="D25" s="117">
        <v>7.3534569779102892</v>
      </c>
      <c r="E25" s="117">
        <v>6.8652648432775027</v>
      </c>
      <c r="F25" s="117">
        <v>5.5306083790997409</v>
      </c>
      <c r="G25" s="117">
        <v>5.4229874641848612</v>
      </c>
      <c r="H25" s="117">
        <v>5.4218632528804749</v>
      </c>
      <c r="I25" s="117">
        <v>8.0948934442653648</v>
      </c>
      <c r="J25" s="117">
        <v>7.4367028772062094</v>
      </c>
      <c r="K25" s="118">
        <v>5.1392920377508062</v>
      </c>
    </row>
    <row r="26" spans="2:11" x14ac:dyDescent="0.3">
      <c r="B26" s="107" t="s">
        <v>1977</v>
      </c>
      <c r="C26" s="108" t="s">
        <v>1416</v>
      </c>
      <c r="D26" s="109">
        <v>6.2992531616396432</v>
      </c>
      <c r="E26" s="109">
        <v>5.809582626136562</v>
      </c>
      <c r="F26" s="109">
        <v>4.466906071860536</v>
      </c>
      <c r="G26" s="109">
        <v>4.3593176400289524</v>
      </c>
      <c r="H26" s="109">
        <v>4.3610445207096902</v>
      </c>
      <c r="I26" s="109">
        <v>7.0443158675328164</v>
      </c>
      <c r="J26" s="109">
        <v>6.3822930251123182</v>
      </c>
      <c r="K26" s="110">
        <v>4.0735080512194335</v>
      </c>
    </row>
    <row r="27" spans="2:11" x14ac:dyDescent="0.3">
      <c r="B27" s="111" t="s">
        <v>1978</v>
      </c>
      <c r="C27" s="112" t="s">
        <v>1483</v>
      </c>
      <c r="D27" s="1499">
        <v>6.6343959207033549</v>
      </c>
      <c r="E27" s="1499">
        <v>6.1462037860705685</v>
      </c>
      <c r="F27" s="1499">
        <v>4.8115473218928058</v>
      </c>
      <c r="G27" s="1499">
        <v>4.703926406977927</v>
      </c>
      <c r="H27" s="1499">
        <v>4.7028021956735406</v>
      </c>
      <c r="I27" s="1499">
        <v>7.3758323870584306</v>
      </c>
      <c r="J27" s="1499">
        <v>6.7176418199992751</v>
      </c>
      <c r="K27" s="113">
        <v>4.4202309805438711</v>
      </c>
    </row>
    <row r="28" spans="2:11" x14ac:dyDescent="0.3">
      <c r="B28" s="111" t="s">
        <v>1981</v>
      </c>
      <c r="C28" s="112" t="s">
        <v>1489</v>
      </c>
      <c r="D28" s="1499">
        <v>6.5917034857076153</v>
      </c>
      <c r="E28" s="1499">
        <v>6.1035113510748289</v>
      </c>
      <c r="F28" s="1499">
        <v>4.768854886897067</v>
      </c>
      <c r="G28" s="1499">
        <v>4.6612339719821874</v>
      </c>
      <c r="H28" s="1499">
        <v>4.6601097606778019</v>
      </c>
      <c r="I28" s="1499">
        <v>7.333139952062691</v>
      </c>
      <c r="J28" s="1499">
        <v>6.6749493850035355</v>
      </c>
      <c r="K28" s="113">
        <v>4.3775385455481324</v>
      </c>
    </row>
    <row r="29" spans="2:11" x14ac:dyDescent="0.3">
      <c r="B29" s="114">
        <v>0</v>
      </c>
      <c r="C29" s="112" t="s">
        <v>1496</v>
      </c>
      <c r="D29" s="1499">
        <v>6.5276648332140059</v>
      </c>
      <c r="E29" s="1499">
        <v>6.0394726985812195</v>
      </c>
      <c r="F29" s="1499">
        <v>4.7048162344034576</v>
      </c>
      <c r="G29" s="1499">
        <v>4.5971953194885788</v>
      </c>
      <c r="H29" s="1499">
        <v>4.5960711081841925</v>
      </c>
      <c r="I29" s="1499">
        <v>7.2691012995690816</v>
      </c>
      <c r="J29" s="1499">
        <v>6.610910732509927</v>
      </c>
      <c r="K29" s="113">
        <v>4.313499893054523</v>
      </c>
    </row>
    <row r="30" spans="2:11" x14ac:dyDescent="0.3">
      <c r="B30" s="115"/>
      <c r="C30" s="112" t="s">
        <v>1500</v>
      </c>
      <c r="D30" s="1499">
        <v>6.4636261807203974</v>
      </c>
      <c r="E30" s="1499">
        <v>5.9754340460876101</v>
      </c>
      <c r="F30" s="1499">
        <v>4.6407775819098491</v>
      </c>
      <c r="G30" s="1499">
        <v>4.5331566669949694</v>
      </c>
      <c r="H30" s="1499">
        <v>4.5320324556905831</v>
      </c>
      <c r="I30" s="1499">
        <v>7.2050626470754722</v>
      </c>
      <c r="J30" s="1499">
        <v>6.5468720800163176</v>
      </c>
      <c r="K30" s="113">
        <v>4.2494612405609136</v>
      </c>
    </row>
    <row r="31" spans="2:11" x14ac:dyDescent="0.3">
      <c r="B31" s="115"/>
      <c r="C31" s="112" t="s">
        <v>1504</v>
      </c>
      <c r="D31" s="1499">
        <v>6.5671121069702014</v>
      </c>
      <c r="E31" s="1499">
        <v>6.0779921827889636</v>
      </c>
      <c r="F31" s="1499">
        <v>4.7425250728838586</v>
      </c>
      <c r="G31" s="1499">
        <v>4.6347657317768665</v>
      </c>
      <c r="H31" s="1499">
        <v>4.6342156124513476</v>
      </c>
      <c r="I31" s="1499">
        <v>7.3078268759346949</v>
      </c>
      <c r="J31" s="1499">
        <v>6.6493332201250412</v>
      </c>
      <c r="K31" s="113">
        <v>4.3507215037166658</v>
      </c>
    </row>
    <row r="32" spans="2:11" x14ac:dyDescent="0.3">
      <c r="B32" s="115"/>
      <c r="C32" s="112" t="s">
        <v>1508</v>
      </c>
      <c r="D32" s="1499">
        <v>6.5319876523399216</v>
      </c>
      <c r="E32" s="1499">
        <v>6.0428677281586838</v>
      </c>
      <c r="F32" s="1499">
        <v>4.7074006182535779</v>
      </c>
      <c r="G32" s="1499">
        <v>4.5996412771465858</v>
      </c>
      <c r="H32" s="1499">
        <v>4.5990911578210669</v>
      </c>
      <c r="I32" s="1499">
        <v>7.2727024213044142</v>
      </c>
      <c r="J32" s="1499">
        <v>6.6142087654947606</v>
      </c>
      <c r="K32" s="113">
        <v>4.3155970490863851</v>
      </c>
    </row>
    <row r="33" spans="2:11" x14ac:dyDescent="0.3">
      <c r="B33" s="115"/>
      <c r="C33" s="112" t="s">
        <v>1513</v>
      </c>
      <c r="D33" s="1499">
        <v>6.4793009703945001</v>
      </c>
      <c r="E33" s="1499">
        <v>5.9901810462132623</v>
      </c>
      <c r="F33" s="1499">
        <v>4.6547139363081564</v>
      </c>
      <c r="G33" s="1499">
        <v>4.5469545952011643</v>
      </c>
      <c r="H33" s="1499">
        <v>4.5464044758756454</v>
      </c>
      <c r="I33" s="1499">
        <v>7.2200157393589937</v>
      </c>
      <c r="J33" s="1499">
        <v>6.56152208354934</v>
      </c>
      <c r="K33" s="113">
        <v>4.2629103671409645</v>
      </c>
    </row>
    <row r="34" spans="2:11" x14ac:dyDescent="0.3">
      <c r="B34" s="115"/>
      <c r="C34" s="112" t="s">
        <v>1517</v>
      </c>
      <c r="D34" s="1499">
        <v>6.4266142884490787</v>
      </c>
      <c r="E34" s="1499">
        <v>5.9374943642678408</v>
      </c>
      <c r="F34" s="1499">
        <v>4.602027254362735</v>
      </c>
      <c r="G34" s="1499">
        <v>4.4942679132557428</v>
      </c>
      <c r="H34" s="1499">
        <v>4.493717793930224</v>
      </c>
      <c r="I34" s="1499">
        <v>7.1673290574135722</v>
      </c>
      <c r="J34" s="1499">
        <v>6.5088354016039185</v>
      </c>
      <c r="K34" s="113">
        <v>4.210223685195543</v>
      </c>
    </row>
    <row r="35" spans="2:11" ht="14.5" thickBot="1" x14ac:dyDescent="0.35">
      <c r="B35" s="1233"/>
      <c r="C35" s="116" t="s">
        <v>1519</v>
      </c>
      <c r="D35" s="117">
        <v>6.6343959207033549</v>
      </c>
      <c r="E35" s="117">
        <v>6.1462037860705685</v>
      </c>
      <c r="F35" s="117">
        <v>4.8115473218928058</v>
      </c>
      <c r="G35" s="117">
        <v>4.703926406977927</v>
      </c>
      <c r="H35" s="117">
        <v>4.7028021956735406</v>
      </c>
      <c r="I35" s="117">
        <v>7.3758323870584306</v>
      </c>
      <c r="J35" s="117">
        <v>6.7176418199992751</v>
      </c>
      <c r="K35" s="118">
        <v>4.4202309805438711</v>
      </c>
    </row>
    <row r="36" spans="2:11" x14ac:dyDescent="0.3">
      <c r="B36" s="107" t="s">
        <v>1977</v>
      </c>
      <c r="C36" s="108" t="s">
        <v>1416</v>
      </c>
      <c r="D36" s="109">
        <v>5.580192104432709</v>
      </c>
      <c r="E36" s="109">
        <v>5.0905215689296268</v>
      </c>
      <c r="F36" s="109">
        <v>3.7478450146536013</v>
      </c>
      <c r="G36" s="109">
        <v>3.6402565828220177</v>
      </c>
      <c r="H36" s="109">
        <v>3.641983463502755</v>
      </c>
      <c r="I36" s="109">
        <v>6.3252548103258812</v>
      </c>
      <c r="J36" s="109">
        <v>5.663231967905384</v>
      </c>
      <c r="K36" s="110">
        <v>3.3544469940124992</v>
      </c>
    </row>
    <row r="37" spans="2:11" x14ac:dyDescent="0.3">
      <c r="B37" s="111" t="s">
        <v>1978</v>
      </c>
      <c r="C37" s="112" t="s">
        <v>1483</v>
      </c>
      <c r="D37" s="1499">
        <v>5.9153348634964198</v>
      </c>
      <c r="E37" s="1499">
        <v>5.4271427288636334</v>
      </c>
      <c r="F37" s="1499">
        <v>4.0924862646858715</v>
      </c>
      <c r="G37" s="1499">
        <v>3.9848653497709923</v>
      </c>
      <c r="H37" s="1499">
        <v>3.9837411384666064</v>
      </c>
      <c r="I37" s="1499">
        <v>6.6567713298514954</v>
      </c>
      <c r="J37" s="1499">
        <v>5.99858076279234</v>
      </c>
      <c r="K37" s="113">
        <v>3.7011699233369368</v>
      </c>
    </row>
    <row r="38" spans="2:11" x14ac:dyDescent="0.3">
      <c r="B38" s="111" t="s">
        <v>1982</v>
      </c>
      <c r="C38" s="112" t="s">
        <v>1489</v>
      </c>
      <c r="D38" s="1499">
        <v>5.8726424285006802</v>
      </c>
      <c r="E38" s="1499">
        <v>5.3844502938678938</v>
      </c>
      <c r="F38" s="1499">
        <v>4.0497938296901328</v>
      </c>
      <c r="G38" s="1499">
        <v>3.9421729147752531</v>
      </c>
      <c r="H38" s="1499">
        <v>3.9410487034708668</v>
      </c>
      <c r="I38" s="1499">
        <v>6.6140788948557558</v>
      </c>
      <c r="J38" s="1499">
        <v>5.9558883277966004</v>
      </c>
      <c r="K38" s="113">
        <v>3.6584774883411972</v>
      </c>
    </row>
    <row r="39" spans="2:11" x14ac:dyDescent="0.3">
      <c r="B39" s="114">
        <v>0</v>
      </c>
      <c r="C39" s="112" t="s">
        <v>1496</v>
      </c>
      <c r="D39" s="1499">
        <v>5.8086037760070708</v>
      </c>
      <c r="E39" s="1499">
        <v>5.3204116413742844</v>
      </c>
      <c r="F39" s="1499">
        <v>3.9857551771965234</v>
      </c>
      <c r="G39" s="1499">
        <v>3.8781342622816437</v>
      </c>
      <c r="H39" s="1499">
        <v>3.8770100509772574</v>
      </c>
      <c r="I39" s="1499">
        <v>6.5500402423621464</v>
      </c>
      <c r="J39" s="1499">
        <v>5.891849675302991</v>
      </c>
      <c r="K39" s="113">
        <v>3.5944388358475883</v>
      </c>
    </row>
    <row r="40" spans="2:11" x14ac:dyDescent="0.3">
      <c r="B40" s="115"/>
      <c r="C40" s="112" t="s">
        <v>1500</v>
      </c>
      <c r="D40" s="1499">
        <v>5.7445651235134632</v>
      </c>
      <c r="E40" s="1499">
        <v>5.2563729888806758</v>
      </c>
      <c r="F40" s="1499">
        <v>3.9217165247029144</v>
      </c>
      <c r="G40" s="1499">
        <v>3.8140956097880352</v>
      </c>
      <c r="H40" s="1499">
        <v>3.8129713984836489</v>
      </c>
      <c r="I40" s="1499">
        <v>6.4860015898685379</v>
      </c>
      <c r="J40" s="1499">
        <v>5.8278110228093833</v>
      </c>
      <c r="K40" s="113">
        <v>3.5304001833539798</v>
      </c>
    </row>
    <row r="41" spans="2:11" x14ac:dyDescent="0.3">
      <c r="B41" s="115"/>
      <c r="C41" s="112" t="s">
        <v>1504</v>
      </c>
      <c r="D41" s="1499">
        <v>5.8480510497632672</v>
      </c>
      <c r="E41" s="1499">
        <v>5.3589311255820293</v>
      </c>
      <c r="F41" s="1499">
        <v>4.0234640156769235</v>
      </c>
      <c r="G41" s="1499">
        <v>3.9157046745699313</v>
      </c>
      <c r="H41" s="1499">
        <v>3.9151545552444125</v>
      </c>
      <c r="I41" s="1499">
        <v>6.5887658187277607</v>
      </c>
      <c r="J41" s="1499">
        <v>5.930272162918107</v>
      </c>
      <c r="K41" s="113">
        <v>3.6316604465097315</v>
      </c>
    </row>
    <row r="42" spans="2:11" x14ac:dyDescent="0.3">
      <c r="B42" s="115"/>
      <c r="C42" s="112" t="s">
        <v>1508</v>
      </c>
      <c r="D42" s="1499">
        <v>5.8129265951329865</v>
      </c>
      <c r="E42" s="1499">
        <v>5.3238066709517486</v>
      </c>
      <c r="F42" s="1499">
        <v>3.9883395610466432</v>
      </c>
      <c r="G42" s="1499">
        <v>3.8805802199396506</v>
      </c>
      <c r="H42" s="1499">
        <v>3.8800301006141318</v>
      </c>
      <c r="I42" s="1499">
        <v>6.55364136409748</v>
      </c>
      <c r="J42" s="1499">
        <v>5.8951477082878254</v>
      </c>
      <c r="K42" s="113">
        <v>3.5965359918794508</v>
      </c>
    </row>
    <row r="43" spans="2:11" x14ac:dyDescent="0.3">
      <c r="B43" s="115"/>
      <c r="C43" s="112" t="s">
        <v>1513</v>
      </c>
      <c r="D43" s="1499">
        <v>5.7602399131875659</v>
      </c>
      <c r="E43" s="1499">
        <v>5.2711199890063281</v>
      </c>
      <c r="F43" s="1499">
        <v>3.9356528791012222</v>
      </c>
      <c r="G43" s="1499">
        <v>3.82789353799423</v>
      </c>
      <c r="H43" s="1499">
        <v>3.8273434186687108</v>
      </c>
      <c r="I43" s="1499">
        <v>6.5009546821520594</v>
      </c>
      <c r="J43" s="1499">
        <v>5.8424610263424057</v>
      </c>
      <c r="K43" s="113">
        <v>3.5438493099340298</v>
      </c>
    </row>
    <row r="44" spans="2:11" x14ac:dyDescent="0.3">
      <c r="B44" s="115"/>
      <c r="C44" s="112" t="s">
        <v>1517</v>
      </c>
      <c r="D44" s="1499">
        <v>5.7075532312421444</v>
      </c>
      <c r="E44" s="1499">
        <v>5.2184333070609066</v>
      </c>
      <c r="F44" s="1499">
        <v>3.8829661971558007</v>
      </c>
      <c r="G44" s="1499">
        <v>3.7752068560488086</v>
      </c>
      <c r="H44" s="1499">
        <v>3.7746567367232897</v>
      </c>
      <c r="I44" s="1499">
        <v>6.4482680002066379</v>
      </c>
      <c r="J44" s="1499">
        <v>5.7897743443969842</v>
      </c>
      <c r="K44" s="113">
        <v>3.4911626279886088</v>
      </c>
    </row>
    <row r="45" spans="2:11" ht="14.5" thickBot="1" x14ac:dyDescent="0.35">
      <c r="B45" s="1233"/>
      <c r="C45" s="116" t="s">
        <v>1519</v>
      </c>
      <c r="D45" s="117">
        <v>5.9153348634964198</v>
      </c>
      <c r="E45" s="117">
        <v>5.4271427288636334</v>
      </c>
      <c r="F45" s="117">
        <v>4.0924862646858715</v>
      </c>
      <c r="G45" s="117">
        <v>3.9848653497709923</v>
      </c>
      <c r="H45" s="117">
        <v>3.9837411384666064</v>
      </c>
      <c r="I45" s="117">
        <v>6.6567713298514954</v>
      </c>
      <c r="J45" s="117">
        <v>5.99858076279234</v>
      </c>
      <c r="K45" s="118">
        <v>3.7011699233369368</v>
      </c>
    </row>
    <row r="46" spans="2:11" x14ac:dyDescent="0.3">
      <c r="B46" s="119" t="s">
        <v>1983</v>
      </c>
      <c r="C46" s="108" t="s">
        <v>1416</v>
      </c>
      <c r="D46" s="109">
        <v>6.3243937923466804</v>
      </c>
      <c r="E46" s="109">
        <v>5.812315810470265</v>
      </c>
      <c r="F46" s="109">
        <v>4.4784873544837689</v>
      </c>
      <c r="G46" s="109">
        <v>4.3630191547877972</v>
      </c>
      <c r="H46" s="109">
        <v>4.3696159234287126</v>
      </c>
      <c r="I46" s="109">
        <v>7.0423649572630538</v>
      </c>
      <c r="J46" s="109">
        <v>6.3800854527588662</v>
      </c>
      <c r="K46" s="110">
        <v>4.0788790512525379</v>
      </c>
    </row>
    <row r="47" spans="2:11" x14ac:dyDescent="0.3">
      <c r="B47" s="111"/>
      <c r="C47" s="112" t="s">
        <v>1483</v>
      </c>
      <c r="D47" s="1499">
        <v>6.6646827294043449</v>
      </c>
      <c r="E47" s="1499">
        <v>6.15350713448266</v>
      </c>
      <c r="F47" s="1499">
        <v>4.8289393871808395</v>
      </c>
      <c r="G47" s="1499">
        <v>4.7138038082436751</v>
      </c>
      <c r="H47" s="1499">
        <v>4.7171234898234191</v>
      </c>
      <c r="I47" s="1499">
        <v>7.3795531648801331</v>
      </c>
      <c r="J47" s="1499">
        <v>6.7210014202965933</v>
      </c>
      <c r="K47" s="113">
        <v>4.4307578232355196</v>
      </c>
    </row>
    <row r="48" spans="2:11" x14ac:dyDescent="0.3">
      <c r="B48" s="111" t="s">
        <v>1979</v>
      </c>
      <c r="C48" s="112" t="s">
        <v>1489</v>
      </c>
      <c r="D48" s="1499">
        <v>6.6219902944086053</v>
      </c>
      <c r="E48" s="1499">
        <v>6.1108146994869204</v>
      </c>
      <c r="F48" s="1499">
        <v>4.7862469521850999</v>
      </c>
      <c r="G48" s="1499">
        <v>4.6711113732479355</v>
      </c>
      <c r="H48" s="1499">
        <v>4.6744310548276795</v>
      </c>
      <c r="I48" s="1499">
        <v>7.3368607298843944</v>
      </c>
      <c r="J48" s="1499">
        <v>6.6783089853008537</v>
      </c>
      <c r="K48" s="113">
        <v>4.38806538823978</v>
      </c>
    </row>
    <row r="49" spans="2:11" x14ac:dyDescent="0.3">
      <c r="B49" s="114">
        <v>0</v>
      </c>
      <c r="C49" s="112" t="s">
        <v>1496</v>
      </c>
      <c r="D49" s="1499">
        <v>6.5579516419149959</v>
      </c>
      <c r="E49" s="1499">
        <v>6.0467760469933109</v>
      </c>
      <c r="F49" s="1499">
        <v>4.7222082996914905</v>
      </c>
      <c r="G49" s="1499">
        <v>4.6070727207543269</v>
      </c>
      <c r="H49" s="1499">
        <v>4.610392402334071</v>
      </c>
      <c r="I49" s="1499">
        <v>7.272822077390785</v>
      </c>
      <c r="J49" s="1499">
        <v>6.6142703328072443</v>
      </c>
      <c r="K49" s="113">
        <v>4.3240267357461706</v>
      </c>
    </row>
    <row r="50" spans="2:11" x14ac:dyDescent="0.3">
      <c r="B50" s="115"/>
      <c r="C50" s="112" t="s">
        <v>1500</v>
      </c>
      <c r="D50" s="1499">
        <v>6.4939129894213865</v>
      </c>
      <c r="E50" s="1499">
        <v>5.9827373944997015</v>
      </c>
      <c r="F50" s="1499">
        <v>4.6581696471978811</v>
      </c>
      <c r="G50" s="1499">
        <v>4.5430340682607175</v>
      </c>
      <c r="H50" s="1499">
        <v>4.5463537498404616</v>
      </c>
      <c r="I50" s="1499">
        <v>7.2087834248971756</v>
      </c>
      <c r="J50" s="1499">
        <v>6.5502316803136349</v>
      </c>
      <c r="K50" s="113">
        <v>4.2599880832525612</v>
      </c>
    </row>
    <row r="51" spans="2:11" x14ac:dyDescent="0.3">
      <c r="B51" s="115"/>
      <c r="C51" s="112" t="s">
        <v>1504</v>
      </c>
      <c r="D51" s="1499">
        <v>6.5966508785056179</v>
      </c>
      <c r="E51" s="1499">
        <v>6.0848736097232665</v>
      </c>
      <c r="F51" s="1499">
        <v>4.7578942568301992</v>
      </c>
      <c r="G51" s="1499">
        <v>4.64285897070378</v>
      </c>
      <c r="H51" s="1499">
        <v>4.6467696311054132</v>
      </c>
      <c r="I51" s="1499">
        <v>7.3110443970347205</v>
      </c>
      <c r="J51" s="1499">
        <v>6.6521969440428679</v>
      </c>
      <c r="K51" s="113">
        <v>4.3591108839602448</v>
      </c>
    </row>
    <row r="52" spans="2:11" x14ac:dyDescent="0.3">
      <c r="B52" s="115"/>
      <c r="C52" s="112" t="s">
        <v>1508</v>
      </c>
      <c r="D52" s="1499">
        <v>6.5615264238753381</v>
      </c>
      <c r="E52" s="1499">
        <v>6.0497491550929858</v>
      </c>
      <c r="F52" s="1499">
        <v>4.7227698021999185</v>
      </c>
      <c r="G52" s="1499">
        <v>4.6077345160734993</v>
      </c>
      <c r="H52" s="1499">
        <v>4.6116451764751325</v>
      </c>
      <c r="I52" s="1499">
        <v>7.2759199424044407</v>
      </c>
      <c r="J52" s="1499">
        <v>6.6170724894125881</v>
      </c>
      <c r="K52" s="113">
        <v>4.3239864293299641</v>
      </c>
    </row>
    <row r="53" spans="2:11" x14ac:dyDescent="0.3">
      <c r="B53" s="115"/>
      <c r="C53" s="112" t="s">
        <v>1513</v>
      </c>
      <c r="D53" s="1499">
        <v>6.5088397419299167</v>
      </c>
      <c r="E53" s="1499">
        <v>5.9970624731475652</v>
      </c>
      <c r="F53" s="1499">
        <v>4.670083120254497</v>
      </c>
      <c r="G53" s="1499">
        <v>4.5550478341280778</v>
      </c>
      <c r="H53" s="1499">
        <v>4.558958494529711</v>
      </c>
      <c r="I53" s="1499">
        <v>7.2232332604590193</v>
      </c>
      <c r="J53" s="1499">
        <v>6.5643858074671666</v>
      </c>
      <c r="K53" s="113">
        <v>4.2712997473845427</v>
      </c>
    </row>
    <row r="54" spans="2:11" x14ac:dyDescent="0.3">
      <c r="B54" s="115"/>
      <c r="C54" s="112" t="s">
        <v>1517</v>
      </c>
      <c r="D54" s="1499">
        <v>6.4561530599844952</v>
      </c>
      <c r="E54" s="1499">
        <v>5.9443757912021438</v>
      </c>
      <c r="F54" s="1499">
        <v>4.6173964383090764</v>
      </c>
      <c r="G54" s="1499">
        <v>4.5023611521826572</v>
      </c>
      <c r="H54" s="1499">
        <v>4.5062718125842904</v>
      </c>
      <c r="I54" s="1499">
        <v>7.1705465785135978</v>
      </c>
      <c r="J54" s="1499">
        <v>6.5116991255217451</v>
      </c>
      <c r="K54" s="113">
        <v>4.2186130654391212</v>
      </c>
    </row>
    <row r="55" spans="2:11" ht="14.5" thickBot="1" x14ac:dyDescent="0.35">
      <c r="B55" s="1233"/>
      <c r="C55" s="116" t="s">
        <v>1519</v>
      </c>
      <c r="D55" s="117">
        <v>6.6646827294043449</v>
      </c>
      <c r="E55" s="117">
        <v>6.15350713448266</v>
      </c>
      <c r="F55" s="117">
        <v>4.8289393871808395</v>
      </c>
      <c r="G55" s="117">
        <v>4.7138038082436751</v>
      </c>
      <c r="H55" s="117">
        <v>4.7171234898234191</v>
      </c>
      <c r="I55" s="117">
        <v>7.3795531648801331</v>
      </c>
      <c r="J55" s="117">
        <v>6.7210014202965933</v>
      </c>
      <c r="K55" s="118">
        <v>4.4307578232355196</v>
      </c>
    </row>
    <row r="56" spans="2:11" x14ac:dyDescent="0.3">
      <c r="B56" s="119" t="s">
        <v>1983</v>
      </c>
      <c r="C56" s="108" t="s">
        <v>1416</v>
      </c>
      <c r="D56" s="109">
        <v>6.0739328431403283</v>
      </c>
      <c r="E56" s="109">
        <v>5.5618548612639129</v>
      </c>
      <c r="F56" s="109">
        <v>4.2280264052774168</v>
      </c>
      <c r="G56" s="109">
        <v>4.1125582055814451</v>
      </c>
      <c r="H56" s="109">
        <v>4.1191549742223605</v>
      </c>
      <c r="I56" s="109">
        <v>6.7919040080567017</v>
      </c>
      <c r="J56" s="109">
        <v>6.129624503552515</v>
      </c>
      <c r="K56" s="110">
        <v>3.8284181020461858</v>
      </c>
    </row>
    <row r="57" spans="2:11" x14ac:dyDescent="0.3">
      <c r="B57" s="111"/>
      <c r="C57" s="112" t="s">
        <v>1483</v>
      </c>
      <c r="D57" s="1499">
        <v>6.4142217801979928</v>
      </c>
      <c r="E57" s="1499">
        <v>5.9030461852763079</v>
      </c>
      <c r="F57" s="1499">
        <v>4.5784784379744874</v>
      </c>
      <c r="G57" s="1499">
        <v>4.463342859037323</v>
      </c>
      <c r="H57" s="1499">
        <v>4.466662540617067</v>
      </c>
      <c r="I57" s="1499">
        <v>7.1290922156737819</v>
      </c>
      <c r="J57" s="1499">
        <v>6.4705404710902412</v>
      </c>
      <c r="K57" s="113">
        <v>4.1802968740291675</v>
      </c>
    </row>
    <row r="58" spans="2:11" x14ac:dyDescent="0.3">
      <c r="B58" s="111" t="s">
        <v>1980</v>
      </c>
      <c r="C58" s="112" t="s">
        <v>1489</v>
      </c>
      <c r="D58" s="1499">
        <v>6.3715293452022532</v>
      </c>
      <c r="E58" s="1499">
        <v>5.8603537502805683</v>
      </c>
      <c r="F58" s="1499">
        <v>4.5357860029787478</v>
      </c>
      <c r="G58" s="1499">
        <v>4.4206504240415843</v>
      </c>
      <c r="H58" s="1499">
        <v>4.4239701056213283</v>
      </c>
      <c r="I58" s="1499">
        <v>7.0863997806780423</v>
      </c>
      <c r="J58" s="1499">
        <v>6.4278480360945016</v>
      </c>
      <c r="K58" s="113">
        <v>4.1376044390334279</v>
      </c>
    </row>
    <row r="59" spans="2:11" x14ac:dyDescent="0.3">
      <c r="B59" s="114">
        <v>0</v>
      </c>
      <c r="C59" s="112" t="s">
        <v>1496</v>
      </c>
      <c r="D59" s="1499">
        <v>6.3074906927086438</v>
      </c>
      <c r="E59" s="1499">
        <v>5.7963150977869589</v>
      </c>
      <c r="F59" s="1499">
        <v>4.4717473504851384</v>
      </c>
      <c r="G59" s="1499">
        <v>4.3566117715479749</v>
      </c>
      <c r="H59" s="1499">
        <v>4.3599314531277189</v>
      </c>
      <c r="I59" s="1499">
        <v>7.0223611281844329</v>
      </c>
      <c r="J59" s="1499">
        <v>6.3638093836008922</v>
      </c>
      <c r="K59" s="113">
        <v>4.0735657865398185</v>
      </c>
    </row>
    <row r="60" spans="2:11" x14ac:dyDescent="0.3">
      <c r="B60" s="115"/>
      <c r="C60" s="112" t="s">
        <v>1500</v>
      </c>
      <c r="D60" s="1499">
        <v>6.2434520402150344</v>
      </c>
      <c r="E60" s="1499">
        <v>5.7322764452933495</v>
      </c>
      <c r="F60" s="1499">
        <v>4.4077086979915299</v>
      </c>
      <c r="G60" s="1499">
        <v>4.2925731190543654</v>
      </c>
      <c r="H60" s="1499">
        <v>4.2958928006341095</v>
      </c>
      <c r="I60" s="1499">
        <v>6.9583224756908235</v>
      </c>
      <c r="J60" s="1499">
        <v>6.2997707311072837</v>
      </c>
      <c r="K60" s="113">
        <v>4.0095271340462091</v>
      </c>
    </row>
    <row r="61" spans="2:11" x14ac:dyDescent="0.3">
      <c r="B61" s="115"/>
      <c r="C61" s="112" t="s">
        <v>1504</v>
      </c>
      <c r="D61" s="1499">
        <v>6.3461899292992676</v>
      </c>
      <c r="E61" s="1499">
        <v>5.8344126605169153</v>
      </c>
      <c r="F61" s="1499">
        <v>4.507433307623848</v>
      </c>
      <c r="G61" s="1499">
        <v>4.3923980214974288</v>
      </c>
      <c r="H61" s="1499">
        <v>4.396308681899062</v>
      </c>
      <c r="I61" s="1499">
        <v>7.0605834478283702</v>
      </c>
      <c r="J61" s="1499">
        <v>6.4017359948365176</v>
      </c>
      <c r="K61" s="113">
        <v>4.1086499347538927</v>
      </c>
    </row>
    <row r="62" spans="2:11" x14ac:dyDescent="0.3">
      <c r="B62" s="115"/>
      <c r="C62" s="112" t="s">
        <v>1508</v>
      </c>
      <c r="D62" s="1499">
        <v>6.311065474668986</v>
      </c>
      <c r="E62" s="1499">
        <v>5.7992882058866346</v>
      </c>
      <c r="F62" s="1499">
        <v>4.4723088529935673</v>
      </c>
      <c r="G62" s="1499">
        <v>4.3572735668671472</v>
      </c>
      <c r="H62" s="1499">
        <v>4.3611842272687813</v>
      </c>
      <c r="I62" s="1499">
        <v>7.0254589931980886</v>
      </c>
      <c r="J62" s="1499">
        <v>6.366611540206236</v>
      </c>
      <c r="K62" s="113">
        <v>4.073525480123612</v>
      </c>
    </row>
    <row r="63" spans="2:11" x14ac:dyDescent="0.3">
      <c r="B63" s="115"/>
      <c r="C63" s="112" t="s">
        <v>1513</v>
      </c>
      <c r="D63" s="1499">
        <v>6.2583787927235646</v>
      </c>
      <c r="E63" s="1499">
        <v>5.7466015239412132</v>
      </c>
      <c r="F63" s="1499">
        <v>4.4196221710481458</v>
      </c>
      <c r="G63" s="1499">
        <v>4.3045868849217266</v>
      </c>
      <c r="H63" s="1499">
        <v>4.3084975453233598</v>
      </c>
      <c r="I63" s="1499">
        <v>6.9727723112526681</v>
      </c>
      <c r="J63" s="1499">
        <v>6.3139248582608145</v>
      </c>
      <c r="K63" s="113">
        <v>4.0208387981781906</v>
      </c>
    </row>
    <row r="64" spans="2:11" x14ac:dyDescent="0.3">
      <c r="B64" s="115"/>
      <c r="C64" s="112" t="s">
        <v>1517</v>
      </c>
      <c r="D64" s="1499">
        <v>6.2056921107781431</v>
      </c>
      <c r="E64" s="1499">
        <v>5.6939148419957917</v>
      </c>
      <c r="F64" s="1499">
        <v>4.3669354891027252</v>
      </c>
      <c r="G64" s="1499">
        <v>4.2519002029763051</v>
      </c>
      <c r="H64" s="1499">
        <v>4.2558108633779392</v>
      </c>
      <c r="I64" s="1499">
        <v>6.9200856293072466</v>
      </c>
      <c r="J64" s="1499">
        <v>6.261238176315393</v>
      </c>
      <c r="K64" s="113">
        <v>3.96815211623277</v>
      </c>
    </row>
    <row r="65" spans="2:11" ht="14.5" thickBot="1" x14ac:dyDescent="0.35">
      <c r="B65" s="1233"/>
      <c r="C65" s="116" t="s">
        <v>1519</v>
      </c>
      <c r="D65" s="117">
        <v>6.4142217801979928</v>
      </c>
      <c r="E65" s="117">
        <v>5.9030461852763079</v>
      </c>
      <c r="F65" s="117">
        <v>4.5784784379744874</v>
      </c>
      <c r="G65" s="117">
        <v>4.463342859037323</v>
      </c>
      <c r="H65" s="117">
        <v>4.466662540617067</v>
      </c>
      <c r="I65" s="117">
        <v>7.1290922156737819</v>
      </c>
      <c r="J65" s="117">
        <v>6.4705404710902412</v>
      </c>
      <c r="K65" s="118">
        <v>4.1802968740291675</v>
      </c>
    </row>
    <row r="66" spans="2:11" x14ac:dyDescent="0.3">
      <c r="B66" s="119" t="s">
        <v>1983</v>
      </c>
      <c r="C66" s="108" t="s">
        <v>1416</v>
      </c>
      <c r="D66" s="109">
        <v>5.6982414193308015</v>
      </c>
      <c r="E66" s="109">
        <v>5.1861634374543861</v>
      </c>
      <c r="F66" s="109">
        <v>3.8523349814678887</v>
      </c>
      <c r="G66" s="109">
        <v>3.736866781771917</v>
      </c>
      <c r="H66" s="109">
        <v>3.7434635504128329</v>
      </c>
      <c r="I66" s="109">
        <v>6.4162125842471749</v>
      </c>
      <c r="J66" s="109">
        <v>5.7539330797429873</v>
      </c>
      <c r="K66" s="110">
        <v>3.4527266782366581</v>
      </c>
    </row>
    <row r="67" spans="2:11" x14ac:dyDescent="0.3">
      <c r="B67" s="111"/>
      <c r="C67" s="112" t="s">
        <v>1483</v>
      </c>
      <c r="D67" s="1499">
        <v>6.0385303563884651</v>
      </c>
      <c r="E67" s="1499">
        <v>5.5273547614667802</v>
      </c>
      <c r="F67" s="1499">
        <v>4.2027870141649597</v>
      </c>
      <c r="G67" s="1499">
        <v>4.0876514352277953</v>
      </c>
      <c r="H67" s="1499">
        <v>4.0909711168075393</v>
      </c>
      <c r="I67" s="1499">
        <v>6.7534007918642542</v>
      </c>
      <c r="J67" s="1499">
        <v>6.0948490472807144</v>
      </c>
      <c r="K67" s="113">
        <v>3.8046054502196394</v>
      </c>
    </row>
    <row r="68" spans="2:11" x14ac:dyDescent="0.3">
      <c r="B68" s="111" t="s">
        <v>1981</v>
      </c>
      <c r="C68" s="112" t="s">
        <v>1489</v>
      </c>
      <c r="D68" s="1499">
        <v>5.9958379213927264</v>
      </c>
      <c r="E68" s="1499">
        <v>5.4846623264710406</v>
      </c>
      <c r="F68" s="1499">
        <v>4.1600945791692201</v>
      </c>
      <c r="G68" s="1499">
        <v>4.0449590002320557</v>
      </c>
      <c r="H68" s="1499">
        <v>4.0482786818118006</v>
      </c>
      <c r="I68" s="1499">
        <v>6.7107083568685146</v>
      </c>
      <c r="J68" s="1499">
        <v>6.0521566122849748</v>
      </c>
      <c r="K68" s="113">
        <v>3.7619130152239002</v>
      </c>
    </row>
    <row r="69" spans="2:11" x14ac:dyDescent="0.3">
      <c r="B69" s="114">
        <v>0</v>
      </c>
      <c r="C69" s="112" t="s">
        <v>1496</v>
      </c>
      <c r="D69" s="1499">
        <v>5.931799268899117</v>
      </c>
      <c r="E69" s="1499">
        <v>5.4206236739774321</v>
      </c>
      <c r="F69" s="1499">
        <v>4.0960559266756116</v>
      </c>
      <c r="G69" s="1499">
        <v>3.9809203477384476</v>
      </c>
      <c r="H69" s="1499">
        <v>3.9842400293181917</v>
      </c>
      <c r="I69" s="1499">
        <v>6.6466697043749052</v>
      </c>
      <c r="J69" s="1499">
        <v>5.9881179597913654</v>
      </c>
      <c r="K69" s="113">
        <v>3.6978743627302912</v>
      </c>
    </row>
    <row r="70" spans="2:11" x14ac:dyDescent="0.3">
      <c r="B70" s="115"/>
      <c r="C70" s="112" t="s">
        <v>1500</v>
      </c>
      <c r="D70" s="1499">
        <v>5.8677606164055076</v>
      </c>
      <c r="E70" s="1499">
        <v>5.3565850214838227</v>
      </c>
      <c r="F70" s="1499">
        <v>4.0320172741820022</v>
      </c>
      <c r="G70" s="1499">
        <v>3.9168816952448382</v>
      </c>
      <c r="H70" s="1499">
        <v>3.9202013768245823</v>
      </c>
      <c r="I70" s="1499">
        <v>6.5826310518812967</v>
      </c>
      <c r="J70" s="1499">
        <v>5.924079307297756</v>
      </c>
      <c r="K70" s="113">
        <v>3.6338357102366823</v>
      </c>
    </row>
    <row r="71" spans="2:11" x14ac:dyDescent="0.3">
      <c r="B71" s="115"/>
      <c r="C71" s="112" t="s">
        <v>1504</v>
      </c>
      <c r="D71" s="1499">
        <v>5.970498505489739</v>
      </c>
      <c r="E71" s="1499">
        <v>5.4587212367073876</v>
      </c>
      <c r="F71" s="1499">
        <v>4.1317418838143194</v>
      </c>
      <c r="G71" s="1499">
        <v>4.0167065976879002</v>
      </c>
      <c r="H71" s="1499">
        <v>4.0206172580895334</v>
      </c>
      <c r="I71" s="1499">
        <v>6.6848920240188416</v>
      </c>
      <c r="J71" s="1499">
        <v>6.026044571026989</v>
      </c>
      <c r="K71" s="113">
        <v>3.7329585109443655</v>
      </c>
    </row>
    <row r="72" spans="2:11" x14ac:dyDescent="0.3">
      <c r="B72" s="115"/>
      <c r="C72" s="112" t="s">
        <v>1508</v>
      </c>
      <c r="D72" s="1499">
        <v>5.9353740508594584</v>
      </c>
      <c r="E72" s="1499">
        <v>5.4235967820771069</v>
      </c>
      <c r="F72" s="1499">
        <v>4.0966174291840387</v>
      </c>
      <c r="G72" s="1499">
        <v>3.9815821430576199</v>
      </c>
      <c r="H72" s="1499">
        <v>3.9854928034592532</v>
      </c>
      <c r="I72" s="1499">
        <v>6.6497675693885618</v>
      </c>
      <c r="J72" s="1499">
        <v>5.9909201163967092</v>
      </c>
      <c r="K72" s="113">
        <v>3.6978340563140843</v>
      </c>
    </row>
    <row r="73" spans="2:11" x14ac:dyDescent="0.3">
      <c r="B73" s="115"/>
      <c r="C73" s="112" t="s">
        <v>1513</v>
      </c>
      <c r="D73" s="1499">
        <v>5.8826873689140378</v>
      </c>
      <c r="E73" s="1499">
        <v>5.3709101001316855</v>
      </c>
      <c r="F73" s="1499">
        <v>4.0439307472386181</v>
      </c>
      <c r="G73" s="1499">
        <v>3.9288954611121989</v>
      </c>
      <c r="H73" s="1499">
        <v>3.9328061215138321</v>
      </c>
      <c r="I73" s="1499">
        <v>6.5970808874431404</v>
      </c>
      <c r="J73" s="1499">
        <v>5.9382334344512877</v>
      </c>
      <c r="K73" s="113">
        <v>3.6451473743686638</v>
      </c>
    </row>
    <row r="74" spans="2:11" x14ac:dyDescent="0.3">
      <c r="B74" s="115"/>
      <c r="C74" s="112" t="s">
        <v>1517</v>
      </c>
      <c r="D74" s="1499">
        <v>5.8300006869686163</v>
      </c>
      <c r="E74" s="1499">
        <v>5.318223418186264</v>
      </c>
      <c r="F74" s="1499">
        <v>3.9912440652931971</v>
      </c>
      <c r="G74" s="1499">
        <v>3.8762087791667779</v>
      </c>
      <c r="H74" s="1499">
        <v>3.8801194395684111</v>
      </c>
      <c r="I74" s="1499">
        <v>6.5443942054977189</v>
      </c>
      <c r="J74" s="1499">
        <v>5.8855467525058662</v>
      </c>
      <c r="K74" s="113">
        <v>3.5924606924232423</v>
      </c>
    </row>
    <row r="75" spans="2:11" ht="14.5" thickBot="1" x14ac:dyDescent="0.35">
      <c r="B75" s="1233"/>
      <c r="C75" s="116" t="s">
        <v>1519</v>
      </c>
      <c r="D75" s="117">
        <v>6.0385303563884651</v>
      </c>
      <c r="E75" s="117">
        <v>5.5273547614667802</v>
      </c>
      <c r="F75" s="117">
        <v>4.2027870141649597</v>
      </c>
      <c r="G75" s="117">
        <v>4.0876514352277953</v>
      </c>
      <c r="H75" s="117">
        <v>4.0909711168075393</v>
      </c>
      <c r="I75" s="117">
        <v>6.7534007918642542</v>
      </c>
      <c r="J75" s="117">
        <v>6.0948490472807144</v>
      </c>
      <c r="K75" s="118">
        <v>3.8046054502196394</v>
      </c>
    </row>
    <row r="76" spans="2:11" x14ac:dyDescent="0.3">
      <c r="B76" s="119" t="s">
        <v>1983</v>
      </c>
      <c r="C76" s="108" t="s">
        <v>1416</v>
      </c>
      <c r="D76" s="109">
        <v>5.3225499955212729</v>
      </c>
      <c r="E76" s="109">
        <v>4.8104720136448575</v>
      </c>
      <c r="F76" s="109">
        <v>3.4766435576583614</v>
      </c>
      <c r="G76" s="109">
        <v>3.3611753579623898</v>
      </c>
      <c r="H76" s="109">
        <v>3.3677721266033056</v>
      </c>
      <c r="I76" s="109">
        <v>6.0405211604376463</v>
      </c>
      <c r="J76" s="109">
        <v>5.3782416559334587</v>
      </c>
      <c r="K76" s="110">
        <v>3.0770352544271309</v>
      </c>
    </row>
    <row r="77" spans="2:11" x14ac:dyDescent="0.3">
      <c r="B77" s="111"/>
      <c r="C77" s="112" t="s">
        <v>1483</v>
      </c>
      <c r="D77" s="1499">
        <v>5.6628389325789374</v>
      </c>
      <c r="E77" s="1499">
        <v>5.1516633376572525</v>
      </c>
      <c r="F77" s="1499">
        <v>3.8270955903554325</v>
      </c>
      <c r="G77" s="1499">
        <v>3.7119600114182685</v>
      </c>
      <c r="H77" s="1499">
        <v>3.7152796929980125</v>
      </c>
      <c r="I77" s="1499">
        <v>6.3777093680547257</v>
      </c>
      <c r="J77" s="1499">
        <v>5.7191576234711858</v>
      </c>
      <c r="K77" s="113">
        <v>3.4289140264101121</v>
      </c>
    </row>
    <row r="78" spans="2:11" x14ac:dyDescent="0.3">
      <c r="B78" s="111" t="s">
        <v>1982</v>
      </c>
      <c r="C78" s="112" t="s">
        <v>1489</v>
      </c>
      <c r="D78" s="1499">
        <v>5.6201464975831978</v>
      </c>
      <c r="E78" s="1499">
        <v>5.1089709026615129</v>
      </c>
      <c r="F78" s="1499">
        <v>3.7844031553596928</v>
      </c>
      <c r="G78" s="1499">
        <v>3.6692675764225289</v>
      </c>
      <c r="H78" s="1499">
        <v>3.6725872580022729</v>
      </c>
      <c r="I78" s="1499">
        <v>6.3350169330589869</v>
      </c>
      <c r="J78" s="1499">
        <v>5.6764651884754462</v>
      </c>
      <c r="K78" s="113">
        <v>3.386221591414373</v>
      </c>
    </row>
    <row r="79" spans="2:11" x14ac:dyDescent="0.3">
      <c r="B79" s="114">
        <v>0</v>
      </c>
      <c r="C79" s="112" t="s">
        <v>1496</v>
      </c>
      <c r="D79" s="1499">
        <v>5.5561078450895893</v>
      </c>
      <c r="E79" s="1499">
        <v>5.0449322501679035</v>
      </c>
      <c r="F79" s="1499">
        <v>3.7203645028660839</v>
      </c>
      <c r="G79" s="1499">
        <v>3.6052289239289195</v>
      </c>
      <c r="H79" s="1499">
        <v>3.6085486055086635</v>
      </c>
      <c r="I79" s="1499">
        <v>6.2709782805653775</v>
      </c>
      <c r="J79" s="1499">
        <v>5.6124265359818377</v>
      </c>
      <c r="K79" s="113">
        <v>3.3221829389207636</v>
      </c>
    </row>
    <row r="80" spans="2:11" x14ac:dyDescent="0.3">
      <c r="B80" s="115"/>
      <c r="C80" s="112" t="s">
        <v>1500</v>
      </c>
      <c r="D80" s="1499">
        <v>5.4920691925959799</v>
      </c>
      <c r="E80" s="1499">
        <v>4.980893597674295</v>
      </c>
      <c r="F80" s="1499">
        <v>3.6563258503724745</v>
      </c>
      <c r="G80" s="1499">
        <v>3.5411902714353105</v>
      </c>
      <c r="H80" s="1499">
        <v>3.5445099530150546</v>
      </c>
      <c r="I80" s="1499">
        <v>6.206939628071769</v>
      </c>
      <c r="J80" s="1499">
        <v>5.5483878834882292</v>
      </c>
      <c r="K80" s="113">
        <v>3.2581442864271546</v>
      </c>
    </row>
    <row r="81" spans="2:11" x14ac:dyDescent="0.3">
      <c r="B81" s="115"/>
      <c r="C81" s="112" t="s">
        <v>1504</v>
      </c>
      <c r="D81" s="1499">
        <v>5.5948070816802113</v>
      </c>
      <c r="E81" s="1499">
        <v>5.0830298128978599</v>
      </c>
      <c r="F81" s="1499">
        <v>3.7560504600047926</v>
      </c>
      <c r="G81" s="1499">
        <v>3.6410151738783734</v>
      </c>
      <c r="H81" s="1499">
        <v>3.6449258342800066</v>
      </c>
      <c r="I81" s="1499">
        <v>6.3092006002093148</v>
      </c>
      <c r="J81" s="1499">
        <v>5.6503531472174613</v>
      </c>
      <c r="K81" s="113">
        <v>3.3572670871348378</v>
      </c>
    </row>
    <row r="82" spans="2:11" x14ac:dyDescent="0.3">
      <c r="B82" s="115"/>
      <c r="C82" s="112" t="s">
        <v>1508</v>
      </c>
      <c r="D82" s="1499">
        <v>5.5596826270499307</v>
      </c>
      <c r="E82" s="1499">
        <v>5.0479053582675784</v>
      </c>
      <c r="F82" s="1499">
        <v>3.7209260053745119</v>
      </c>
      <c r="G82" s="1499">
        <v>3.6058907192480927</v>
      </c>
      <c r="H82" s="1499">
        <v>3.6098013796497259</v>
      </c>
      <c r="I82" s="1499">
        <v>6.2740761455790333</v>
      </c>
      <c r="J82" s="1499">
        <v>5.6152286925871806</v>
      </c>
      <c r="K82" s="113">
        <v>3.3221426325045571</v>
      </c>
    </row>
    <row r="83" spans="2:11" x14ac:dyDescent="0.3">
      <c r="B83" s="115"/>
      <c r="C83" s="112" t="s">
        <v>1513</v>
      </c>
      <c r="D83" s="1499">
        <v>5.5069959451045092</v>
      </c>
      <c r="E83" s="1499">
        <v>4.9952186763221578</v>
      </c>
      <c r="F83" s="1499">
        <v>3.6682393234290904</v>
      </c>
      <c r="G83" s="1499">
        <v>3.5532040373026712</v>
      </c>
      <c r="H83" s="1499">
        <v>3.5571146977043044</v>
      </c>
      <c r="I83" s="1499">
        <v>6.2213894636336118</v>
      </c>
      <c r="J83" s="1499">
        <v>5.5625420106417591</v>
      </c>
      <c r="K83" s="113">
        <v>3.2694559505591356</v>
      </c>
    </row>
    <row r="84" spans="2:11" x14ac:dyDescent="0.3">
      <c r="B84" s="115"/>
      <c r="C84" s="112" t="s">
        <v>1517</v>
      </c>
      <c r="D84" s="1499">
        <v>5.4543092631590886</v>
      </c>
      <c r="E84" s="1499">
        <v>4.9425319943767363</v>
      </c>
      <c r="F84" s="1499">
        <v>3.6155526414836694</v>
      </c>
      <c r="G84" s="1499">
        <v>3.5005173553572497</v>
      </c>
      <c r="H84" s="1499">
        <v>3.504428015758883</v>
      </c>
      <c r="I84" s="1499">
        <v>6.1687027816881921</v>
      </c>
      <c r="J84" s="1499">
        <v>5.5098553286963385</v>
      </c>
      <c r="K84" s="113">
        <v>3.2167692686137146</v>
      </c>
    </row>
    <row r="85" spans="2:11" ht="14.5" thickBot="1" x14ac:dyDescent="0.35">
      <c r="B85" s="1233"/>
      <c r="C85" s="116" t="s">
        <v>1519</v>
      </c>
      <c r="D85" s="117">
        <v>5.6628389325789374</v>
      </c>
      <c r="E85" s="117">
        <v>5.1516633376572525</v>
      </c>
      <c r="F85" s="117">
        <v>3.8270955903554325</v>
      </c>
      <c r="G85" s="117">
        <v>3.7119600114182685</v>
      </c>
      <c r="H85" s="117">
        <v>3.7152796929980125</v>
      </c>
      <c r="I85" s="117">
        <v>6.3777093680547257</v>
      </c>
      <c r="J85" s="117">
        <v>5.7191576234711858</v>
      </c>
      <c r="K85" s="118">
        <v>3.4289140264101121</v>
      </c>
    </row>
    <row r="87" spans="2:11" ht="14.5" thickBot="1" x14ac:dyDescent="0.35"/>
    <row r="88" spans="2:11" ht="25.5" thickBot="1" x14ac:dyDescent="0.55000000000000004">
      <c r="B88" s="88" t="s">
        <v>1960</v>
      </c>
      <c r="C88" s="89"/>
      <c r="D88" s="90">
        <v>7</v>
      </c>
      <c r="E88" s="91" t="s">
        <v>1984</v>
      </c>
      <c r="F88" s="92"/>
      <c r="G88" s="92"/>
      <c r="H88" s="92"/>
      <c r="I88" s="93"/>
      <c r="J88" s="89" t="s">
        <v>176</v>
      </c>
      <c r="K88" s="94" t="s">
        <v>200</v>
      </c>
    </row>
    <row r="89" spans="2:11" ht="14.5" thickBot="1" x14ac:dyDescent="0.35">
      <c r="B89" s="95" t="s">
        <v>1962</v>
      </c>
      <c r="C89" s="96" t="s">
        <v>1963</v>
      </c>
      <c r="D89" s="95" t="s">
        <v>1964</v>
      </c>
      <c r="E89" s="97" t="s">
        <v>1965</v>
      </c>
      <c r="F89" s="97" t="s">
        <v>1966</v>
      </c>
      <c r="G89" s="97" t="s">
        <v>1967</v>
      </c>
      <c r="H89" s="97" t="s">
        <v>1968</v>
      </c>
      <c r="I89" s="97" t="s">
        <v>1969</v>
      </c>
      <c r="J89" s="97" t="s">
        <v>1970</v>
      </c>
      <c r="K89" s="98" t="s">
        <v>1971</v>
      </c>
    </row>
    <row r="90" spans="2:11" ht="14.5" thickBot="1" x14ac:dyDescent="0.35">
      <c r="B90" s="99"/>
      <c r="C90" s="99"/>
      <c r="D90" s="100"/>
      <c r="E90" s="944"/>
      <c r="F90" s="944"/>
      <c r="G90" s="944"/>
      <c r="H90" s="944"/>
      <c r="I90" s="944"/>
      <c r="J90" s="944"/>
      <c r="K90" s="102"/>
    </row>
    <row r="91" spans="2:11" ht="81.5" thickBot="1" x14ac:dyDescent="0.45">
      <c r="B91" s="103" t="s">
        <v>1972</v>
      </c>
      <c r="C91" s="103" t="s">
        <v>1973</v>
      </c>
      <c r="D91" s="105" t="s">
        <v>1974</v>
      </c>
      <c r="E91" s="105" t="s">
        <v>1525</v>
      </c>
      <c r="F91" s="105" t="s">
        <v>1527</v>
      </c>
      <c r="G91" s="105" t="s">
        <v>1975</v>
      </c>
      <c r="H91" s="105" t="s">
        <v>1976</v>
      </c>
      <c r="I91" s="105" t="s">
        <v>1445</v>
      </c>
      <c r="J91" s="105" t="s">
        <v>1538</v>
      </c>
      <c r="K91" s="106" t="s">
        <v>1541</v>
      </c>
    </row>
    <row r="92" spans="2:11" x14ac:dyDescent="0.3">
      <c r="B92" s="107" t="s">
        <v>1985</v>
      </c>
      <c r="C92" s="108" t="s">
        <v>1416</v>
      </c>
      <c r="D92" s="109">
        <v>3.9502552574298297</v>
      </c>
      <c r="E92" s="109">
        <v>3.2194897920762053</v>
      </c>
      <c r="F92" s="109">
        <v>2.1129407416370567</v>
      </c>
      <c r="G92" s="109">
        <v>1.9056098648496955</v>
      </c>
      <c r="H92" s="109">
        <v>2.0142321122057161</v>
      </c>
      <c r="I92" s="109">
        <v>4.3453446355682575</v>
      </c>
      <c r="J92" s="109">
        <v>3.7215549003166535</v>
      </c>
      <c r="K92" s="110">
        <v>1.6606589996054377</v>
      </c>
    </row>
    <row r="93" spans="2:11" x14ac:dyDescent="0.3">
      <c r="B93" s="111"/>
      <c r="C93" s="112" t="s">
        <v>1483</v>
      </c>
      <c r="D93" s="1499">
        <v>4.2837766407457289</v>
      </c>
      <c r="E93" s="1499">
        <v>3.5618753427872614</v>
      </c>
      <c r="F93" s="1499">
        <v>2.467961675076916</v>
      </c>
      <c r="G93" s="1499">
        <v>2.2591212304801647</v>
      </c>
      <c r="H93" s="1499">
        <v>2.3615367124165401</v>
      </c>
      <c r="I93" s="1499">
        <v>4.6859227011834603</v>
      </c>
      <c r="J93" s="1499">
        <v>4.0658259696940036</v>
      </c>
      <c r="K93" s="113">
        <v>2.0245816726799832</v>
      </c>
    </row>
    <row r="94" spans="2:11" x14ac:dyDescent="0.3">
      <c r="B94" s="111" t="s">
        <v>1986</v>
      </c>
      <c r="C94" s="112" t="s">
        <v>1489</v>
      </c>
      <c r="D94" s="1499">
        <v>4.2410842057499902</v>
      </c>
      <c r="E94" s="1499">
        <v>3.5191829077915222</v>
      </c>
      <c r="F94" s="1499">
        <v>2.4252692400811764</v>
      </c>
      <c r="G94" s="1499">
        <v>2.2164287954844255</v>
      </c>
      <c r="H94" s="1499">
        <v>2.3188442774208009</v>
      </c>
      <c r="I94" s="1499">
        <v>4.6432302661877216</v>
      </c>
      <c r="J94" s="1499">
        <v>4.023133534698264</v>
      </c>
      <c r="K94" s="113">
        <v>1.9818892376842439</v>
      </c>
    </row>
    <row r="95" spans="2:11" x14ac:dyDescent="0.3">
      <c r="B95" s="114">
        <v>0</v>
      </c>
      <c r="C95" s="112" t="s">
        <v>1496</v>
      </c>
      <c r="D95" s="1499">
        <v>4.1770455532563808</v>
      </c>
      <c r="E95" s="1499">
        <v>3.4551442552979128</v>
      </c>
      <c r="F95" s="1499">
        <v>2.3612305875875674</v>
      </c>
      <c r="G95" s="1499">
        <v>2.1523901429908165</v>
      </c>
      <c r="H95" s="1499">
        <v>2.2548056249271919</v>
      </c>
      <c r="I95" s="1499">
        <v>4.5791916136941122</v>
      </c>
      <c r="J95" s="1499">
        <v>3.9590948822046546</v>
      </c>
      <c r="K95" s="113">
        <v>1.9178505851906349</v>
      </c>
    </row>
    <row r="96" spans="2:11" x14ac:dyDescent="0.3">
      <c r="B96" s="115"/>
      <c r="C96" s="112" t="s">
        <v>1500</v>
      </c>
      <c r="D96" s="1499">
        <v>4.1130069007627714</v>
      </c>
      <c r="E96" s="1499">
        <v>3.3911056028043038</v>
      </c>
      <c r="F96" s="1499">
        <v>2.2971919350939585</v>
      </c>
      <c r="G96" s="1499">
        <v>2.0883514904972071</v>
      </c>
      <c r="H96" s="1499">
        <v>2.1907669724335825</v>
      </c>
      <c r="I96" s="1499">
        <v>4.5151529612005028</v>
      </c>
      <c r="J96" s="1499">
        <v>3.8950562297110456</v>
      </c>
      <c r="K96" s="113">
        <v>1.8538119326970257</v>
      </c>
    </row>
    <row r="97" spans="2:11" x14ac:dyDescent="0.3">
      <c r="B97" s="115"/>
      <c r="C97" s="112" t="s">
        <v>1504</v>
      </c>
      <c r="D97" s="1499">
        <v>4.2154225715251767</v>
      </c>
      <c r="E97" s="1499">
        <v>3.4911153057016695</v>
      </c>
      <c r="F97" s="1499">
        <v>2.3944738631103379</v>
      </c>
      <c r="G97" s="1499">
        <v>2.1847956071241859</v>
      </c>
      <c r="H97" s="1499">
        <v>2.2876108144615497</v>
      </c>
      <c r="I97" s="1499">
        <v>4.6172493559013024</v>
      </c>
      <c r="J97" s="1499">
        <v>3.9952979930836765</v>
      </c>
      <c r="K97" s="113">
        <v>1.950156858309567</v>
      </c>
    </row>
    <row r="98" spans="2:11" x14ac:dyDescent="0.3">
      <c r="B98" s="115"/>
      <c r="C98" s="112" t="s">
        <v>1508</v>
      </c>
      <c r="D98" s="1499">
        <v>4.1802981168948961</v>
      </c>
      <c r="E98" s="1499">
        <v>3.4559908510713888</v>
      </c>
      <c r="F98" s="1499">
        <v>2.3593494084800568</v>
      </c>
      <c r="G98" s="1499">
        <v>2.1496711524939047</v>
      </c>
      <c r="H98" s="1499">
        <v>2.2524863598312685</v>
      </c>
      <c r="I98" s="1499">
        <v>4.5821249012710217</v>
      </c>
      <c r="J98" s="1499">
        <v>3.9601735384533958</v>
      </c>
      <c r="K98" s="113">
        <v>1.9150324036792861</v>
      </c>
    </row>
    <row r="99" spans="2:11" x14ac:dyDescent="0.3">
      <c r="B99" s="115"/>
      <c r="C99" s="112" t="s">
        <v>1513</v>
      </c>
      <c r="D99" s="1499">
        <v>4.1276114349494755</v>
      </c>
      <c r="E99" s="1499">
        <v>3.4033041691259673</v>
      </c>
      <c r="F99" s="1499">
        <v>2.3066627265346358</v>
      </c>
      <c r="G99" s="1499">
        <v>2.0969844705484837</v>
      </c>
      <c r="H99" s="1499">
        <v>2.1997996778858475</v>
      </c>
      <c r="I99" s="1499">
        <v>4.5294382193256002</v>
      </c>
      <c r="J99" s="1499">
        <v>3.9074868565079743</v>
      </c>
      <c r="K99" s="113">
        <v>1.862345721733865</v>
      </c>
    </row>
    <row r="100" spans="2:11" x14ac:dyDescent="0.3">
      <c r="B100" s="115"/>
      <c r="C100" s="112" t="s">
        <v>1517</v>
      </c>
      <c r="D100" s="1499">
        <v>4.074924753004054</v>
      </c>
      <c r="E100" s="1499">
        <v>3.3506174871805463</v>
      </c>
      <c r="F100" s="1499">
        <v>2.2539760445892147</v>
      </c>
      <c r="G100" s="1499">
        <v>2.0442977886030627</v>
      </c>
      <c r="H100" s="1499">
        <v>2.1471129959404265</v>
      </c>
      <c r="I100" s="1499">
        <v>4.4767515373801787</v>
      </c>
      <c r="J100" s="1499">
        <v>3.8548001745625533</v>
      </c>
      <c r="K100" s="113">
        <v>1.8096590397884438</v>
      </c>
    </row>
    <row r="101" spans="2:11" ht="14.5" thickBot="1" x14ac:dyDescent="0.35">
      <c r="B101" s="115"/>
      <c r="C101" s="116" t="s">
        <v>1519</v>
      </c>
      <c r="D101" s="117">
        <v>4.2837766407457289</v>
      </c>
      <c r="E101" s="117">
        <v>3.5618753427872614</v>
      </c>
      <c r="F101" s="117">
        <v>2.467961675076916</v>
      </c>
      <c r="G101" s="117">
        <v>2.2591212304801647</v>
      </c>
      <c r="H101" s="117">
        <v>2.3615367124165401</v>
      </c>
      <c r="I101" s="117">
        <v>4.6859227011834603</v>
      </c>
      <c r="J101" s="117">
        <v>4.0658259696940036</v>
      </c>
      <c r="K101" s="118">
        <v>2.0245816726799832</v>
      </c>
    </row>
    <row r="102" spans="2:11" x14ac:dyDescent="0.3">
      <c r="B102" s="120" t="s">
        <v>1985</v>
      </c>
      <c r="C102" s="1234" t="s">
        <v>1416</v>
      </c>
      <c r="D102" s="109">
        <v>3.8293438906857591</v>
      </c>
      <c r="E102" s="109">
        <v>3.0985784253321351</v>
      </c>
      <c r="F102" s="109">
        <v>1.9920293748929863</v>
      </c>
      <c r="G102" s="109">
        <v>1.7846984981056251</v>
      </c>
      <c r="H102" s="109">
        <v>1.8933207454616459</v>
      </c>
      <c r="I102" s="109">
        <v>4.2244332688241872</v>
      </c>
      <c r="J102" s="109">
        <v>3.6006435335725828</v>
      </c>
      <c r="K102" s="110">
        <v>1.5397476328613675</v>
      </c>
    </row>
    <row r="103" spans="2:11" x14ac:dyDescent="0.3">
      <c r="B103" s="121"/>
      <c r="C103" s="1500" t="s">
        <v>1483</v>
      </c>
      <c r="D103" s="1499">
        <v>4.1628652740016587</v>
      </c>
      <c r="E103" s="1499">
        <v>3.4409639760431912</v>
      </c>
      <c r="F103" s="1499">
        <v>2.3470503083328458</v>
      </c>
      <c r="G103" s="1499">
        <v>2.1382098637360945</v>
      </c>
      <c r="H103" s="1499">
        <v>2.2406253456724698</v>
      </c>
      <c r="I103" s="1499">
        <v>4.5650113344393901</v>
      </c>
      <c r="J103" s="1499">
        <v>3.9449146029499329</v>
      </c>
      <c r="K103" s="113">
        <v>1.903670305935913</v>
      </c>
    </row>
    <row r="104" spans="2:11" x14ac:dyDescent="0.3">
      <c r="B104" s="111" t="s">
        <v>1987</v>
      </c>
      <c r="C104" s="1500" t="s">
        <v>1489</v>
      </c>
      <c r="D104" s="1499">
        <v>4.12017283900592</v>
      </c>
      <c r="E104" s="1499">
        <v>3.3982715410474515</v>
      </c>
      <c r="F104" s="1499">
        <v>2.3043578733371062</v>
      </c>
      <c r="G104" s="1499">
        <v>2.0955174287403548</v>
      </c>
      <c r="H104" s="1499">
        <v>2.1979329106767302</v>
      </c>
      <c r="I104" s="1499">
        <v>4.5223188994436505</v>
      </c>
      <c r="J104" s="1499">
        <v>3.9022221679541933</v>
      </c>
      <c r="K104" s="113">
        <v>1.8609778709401734</v>
      </c>
    </row>
    <row r="105" spans="2:11" x14ac:dyDescent="0.3">
      <c r="B105" s="122">
        <v>0</v>
      </c>
      <c r="C105" s="1500" t="s">
        <v>1496</v>
      </c>
      <c r="D105" s="1499">
        <v>4.0561341865123106</v>
      </c>
      <c r="E105" s="1499">
        <v>3.3342328885538421</v>
      </c>
      <c r="F105" s="1499">
        <v>2.2403192208434972</v>
      </c>
      <c r="G105" s="1499">
        <v>2.0314787762467459</v>
      </c>
      <c r="H105" s="1499">
        <v>2.1338942581831213</v>
      </c>
      <c r="I105" s="1499">
        <v>4.4582802469500411</v>
      </c>
      <c r="J105" s="1499">
        <v>3.8381835154605843</v>
      </c>
      <c r="K105" s="113">
        <v>1.7969392184465642</v>
      </c>
    </row>
    <row r="106" spans="2:11" x14ac:dyDescent="0.3">
      <c r="B106" s="123"/>
      <c r="C106" s="1500" t="s">
        <v>1500</v>
      </c>
      <c r="D106" s="1499">
        <v>3.9920955340187012</v>
      </c>
      <c r="E106" s="1499">
        <v>3.2701942360602332</v>
      </c>
      <c r="F106" s="1499">
        <v>2.1762805683498883</v>
      </c>
      <c r="G106" s="1499">
        <v>1.9674401237531369</v>
      </c>
      <c r="H106" s="1499">
        <v>2.0698556056895123</v>
      </c>
      <c r="I106" s="1499">
        <v>4.3942415944564326</v>
      </c>
      <c r="J106" s="1499">
        <v>3.7741448629669749</v>
      </c>
      <c r="K106" s="113">
        <v>1.7329005659529553</v>
      </c>
    </row>
    <row r="107" spans="2:11" x14ac:dyDescent="0.3">
      <c r="B107" s="123"/>
      <c r="C107" s="1500" t="s">
        <v>1504</v>
      </c>
      <c r="D107" s="1499">
        <v>4.0945112047811065</v>
      </c>
      <c r="E107" s="1499">
        <v>3.3702039389575988</v>
      </c>
      <c r="F107" s="1499">
        <v>2.2735624963662673</v>
      </c>
      <c r="G107" s="1499">
        <v>2.0638842403801152</v>
      </c>
      <c r="H107" s="1499">
        <v>2.166699447717479</v>
      </c>
      <c r="I107" s="1499">
        <v>4.4963379891572322</v>
      </c>
      <c r="J107" s="1499">
        <v>3.8743866263396058</v>
      </c>
      <c r="K107" s="113">
        <v>1.8292454915654963</v>
      </c>
    </row>
    <row r="108" spans="2:11" x14ac:dyDescent="0.3">
      <c r="B108" s="123"/>
      <c r="C108" s="1500" t="s">
        <v>1508</v>
      </c>
      <c r="D108" s="1499">
        <v>4.0593867501508258</v>
      </c>
      <c r="E108" s="1499">
        <v>3.3350794843273182</v>
      </c>
      <c r="F108" s="1499">
        <v>2.2384380417359866</v>
      </c>
      <c r="G108" s="1499">
        <v>2.0287597857498345</v>
      </c>
      <c r="H108" s="1499">
        <v>2.1315749930871983</v>
      </c>
      <c r="I108" s="1499">
        <v>4.4612135345269515</v>
      </c>
      <c r="J108" s="1499">
        <v>3.8392621717093252</v>
      </c>
      <c r="K108" s="113">
        <v>1.7941210369352156</v>
      </c>
    </row>
    <row r="109" spans="2:11" x14ac:dyDescent="0.3">
      <c r="B109" s="123"/>
      <c r="C109" s="1500" t="s">
        <v>1513</v>
      </c>
      <c r="D109" s="1499">
        <v>4.0067000682054044</v>
      </c>
      <c r="E109" s="1499">
        <v>3.2823928023818967</v>
      </c>
      <c r="F109" s="1499">
        <v>2.1857513597905656</v>
      </c>
      <c r="G109" s="1499">
        <v>1.9760731038044135</v>
      </c>
      <c r="H109" s="1499">
        <v>2.0788883111417773</v>
      </c>
      <c r="I109" s="1499">
        <v>4.40852685258153</v>
      </c>
      <c r="J109" s="1499">
        <v>3.7865754897639041</v>
      </c>
      <c r="K109" s="113">
        <v>1.7414343549897946</v>
      </c>
    </row>
    <row r="110" spans="2:11" x14ac:dyDescent="0.3">
      <c r="B110" s="123"/>
      <c r="C110" s="1500" t="s">
        <v>1517</v>
      </c>
      <c r="D110" s="1499">
        <v>3.9540133862599838</v>
      </c>
      <c r="E110" s="1499">
        <v>3.2297061204364761</v>
      </c>
      <c r="F110" s="1499">
        <v>2.1330646778451445</v>
      </c>
      <c r="G110" s="1499">
        <v>1.9233864218589922</v>
      </c>
      <c r="H110" s="1499">
        <v>2.0262016291963563</v>
      </c>
      <c r="I110" s="1499">
        <v>4.3558401706361094</v>
      </c>
      <c r="J110" s="1499">
        <v>3.7338888078184831</v>
      </c>
      <c r="K110" s="113">
        <v>1.6887476730443733</v>
      </c>
    </row>
    <row r="111" spans="2:11" ht="14.5" thickBot="1" x14ac:dyDescent="0.35">
      <c r="B111" s="124"/>
      <c r="C111" s="125" t="s">
        <v>1519</v>
      </c>
      <c r="D111" s="117">
        <v>4.1628652740016587</v>
      </c>
      <c r="E111" s="117">
        <v>3.4409639760431912</v>
      </c>
      <c r="F111" s="117">
        <v>2.3470503083328458</v>
      </c>
      <c r="G111" s="117">
        <v>2.1382098637360945</v>
      </c>
      <c r="H111" s="117">
        <v>2.2406253456724698</v>
      </c>
      <c r="I111" s="117">
        <v>4.5650113344393901</v>
      </c>
      <c r="J111" s="117">
        <v>3.9449146029499329</v>
      </c>
      <c r="K111" s="118">
        <v>1.903670305935913</v>
      </c>
    </row>
    <row r="112" spans="2:11" x14ac:dyDescent="0.3">
      <c r="B112" s="119" t="s">
        <v>1985</v>
      </c>
      <c r="C112" s="108" t="s">
        <v>1416</v>
      </c>
      <c r="D112" s="109">
        <v>3.6479768405696533</v>
      </c>
      <c r="E112" s="109">
        <v>2.9172113752160289</v>
      </c>
      <c r="F112" s="109">
        <v>1.8106623247768807</v>
      </c>
      <c r="G112" s="109">
        <v>1.6033314479895195</v>
      </c>
      <c r="H112" s="109">
        <v>1.7119536953455403</v>
      </c>
      <c r="I112" s="109">
        <v>4.0430662187080815</v>
      </c>
      <c r="J112" s="109">
        <v>3.4192764834564775</v>
      </c>
      <c r="K112" s="110">
        <v>1.358380582745262</v>
      </c>
    </row>
    <row r="113" spans="2:11" x14ac:dyDescent="0.3">
      <c r="B113" s="111"/>
      <c r="C113" s="112" t="s">
        <v>1483</v>
      </c>
      <c r="D113" s="1499">
        <v>3.9814982238855534</v>
      </c>
      <c r="E113" s="1499">
        <v>3.2595969259270854</v>
      </c>
      <c r="F113" s="1499">
        <v>2.16568325821674</v>
      </c>
      <c r="G113" s="1499">
        <v>1.9568428136199889</v>
      </c>
      <c r="H113" s="1499">
        <v>2.0592582955563645</v>
      </c>
      <c r="I113" s="1499">
        <v>4.3836442843232843</v>
      </c>
      <c r="J113" s="1499">
        <v>3.7635475528338271</v>
      </c>
      <c r="K113" s="113">
        <v>1.7223032558198075</v>
      </c>
    </row>
    <row r="114" spans="2:11" ht="14.5" thickBot="1" x14ac:dyDescent="0.35">
      <c r="B114" s="111" t="s">
        <v>1988</v>
      </c>
      <c r="C114" s="112" t="s">
        <v>1489</v>
      </c>
      <c r="D114" s="1499">
        <v>3.9388057888898143</v>
      </c>
      <c r="E114" s="1499">
        <v>3.2169044909313458</v>
      </c>
      <c r="F114" s="1501">
        <v>2.1229908232210009</v>
      </c>
      <c r="G114" s="1499">
        <v>1.9141503786242495</v>
      </c>
      <c r="H114" s="1499">
        <v>2.0165658605606249</v>
      </c>
      <c r="I114" s="1499">
        <v>4.3409518493275447</v>
      </c>
      <c r="J114" s="1499">
        <v>3.7208551178380875</v>
      </c>
      <c r="K114" s="113">
        <v>1.6796108208240679</v>
      </c>
    </row>
    <row r="115" spans="2:11" ht="14.5" thickBot="1" x14ac:dyDescent="0.35">
      <c r="B115" s="114">
        <v>0</v>
      </c>
      <c r="C115" s="112" t="s">
        <v>1496</v>
      </c>
      <c r="D115" s="1499">
        <v>3.8747671363962053</v>
      </c>
      <c r="E115" s="1502">
        <v>3.1528658384377373</v>
      </c>
      <c r="F115" s="126">
        <v>2.0589521707273919</v>
      </c>
      <c r="G115" s="1503">
        <v>1.8501117261306406</v>
      </c>
      <c r="H115" s="1499">
        <v>1.952527208067016</v>
      </c>
      <c r="I115" s="1499">
        <v>4.2769131968339362</v>
      </c>
      <c r="J115" s="1499">
        <v>3.656816465344479</v>
      </c>
      <c r="K115" s="113">
        <v>1.6155721683304587</v>
      </c>
    </row>
    <row r="116" spans="2:11" x14ac:dyDescent="0.3">
      <c r="B116" s="115"/>
      <c r="C116" s="112" t="s">
        <v>1500</v>
      </c>
      <c r="D116" s="1499">
        <v>3.8107284839025959</v>
      </c>
      <c r="E116" s="1499">
        <v>3.0888271859441279</v>
      </c>
      <c r="F116" s="127">
        <v>1.9949135182337825</v>
      </c>
      <c r="G116" s="1499">
        <v>1.7860730736370314</v>
      </c>
      <c r="H116" s="1499">
        <v>1.8884885555734068</v>
      </c>
      <c r="I116" s="1499">
        <v>4.2128745443403268</v>
      </c>
      <c r="J116" s="1499">
        <v>3.5927778128508696</v>
      </c>
      <c r="K116" s="113">
        <v>1.5515335158368497</v>
      </c>
    </row>
    <row r="117" spans="2:11" x14ac:dyDescent="0.3">
      <c r="B117" s="115"/>
      <c r="C117" s="112" t="s">
        <v>1504</v>
      </c>
      <c r="D117" s="1499">
        <v>3.9131441546650012</v>
      </c>
      <c r="E117" s="1499">
        <v>3.1888368888414935</v>
      </c>
      <c r="F117" s="1499">
        <v>2.092195446250162</v>
      </c>
      <c r="G117" s="1499">
        <v>1.8825171902640097</v>
      </c>
      <c r="H117" s="1499">
        <v>1.9853323976013735</v>
      </c>
      <c r="I117" s="1499">
        <v>4.3149709390411264</v>
      </c>
      <c r="J117" s="1499">
        <v>3.6930195762235005</v>
      </c>
      <c r="K117" s="113">
        <v>1.6478784414493908</v>
      </c>
    </row>
    <row r="118" spans="2:11" x14ac:dyDescent="0.3">
      <c r="B118" s="115"/>
      <c r="C118" s="112" t="s">
        <v>1508</v>
      </c>
      <c r="D118" s="1499">
        <v>3.8780197000347201</v>
      </c>
      <c r="E118" s="1499">
        <v>3.1537124342112128</v>
      </c>
      <c r="F118" s="1499">
        <v>2.0570709916198813</v>
      </c>
      <c r="G118" s="1499">
        <v>1.847392735633729</v>
      </c>
      <c r="H118" s="1499">
        <v>1.9502079429710928</v>
      </c>
      <c r="I118" s="1499">
        <v>4.2798464844108457</v>
      </c>
      <c r="J118" s="1499">
        <v>3.6578951215932194</v>
      </c>
      <c r="K118" s="113">
        <v>1.6127539868191101</v>
      </c>
    </row>
    <row r="119" spans="2:11" x14ac:dyDescent="0.3">
      <c r="B119" s="115"/>
      <c r="C119" s="112" t="s">
        <v>1513</v>
      </c>
      <c r="D119" s="1499">
        <v>3.8253330180892995</v>
      </c>
      <c r="E119" s="1499">
        <v>3.1010257522657918</v>
      </c>
      <c r="F119" s="1499">
        <v>2.0043843096744602</v>
      </c>
      <c r="G119" s="1499">
        <v>1.7947060536883079</v>
      </c>
      <c r="H119" s="1499">
        <v>1.8975212610256718</v>
      </c>
      <c r="I119" s="1499">
        <v>4.2271598024654242</v>
      </c>
      <c r="J119" s="1499">
        <v>3.6052084396477988</v>
      </c>
      <c r="K119" s="113">
        <v>1.5600673048736891</v>
      </c>
    </row>
    <row r="120" spans="2:11" x14ac:dyDescent="0.3">
      <c r="B120" s="115"/>
      <c r="C120" s="112" t="s">
        <v>1517</v>
      </c>
      <c r="D120" s="1499">
        <v>3.772646336143878</v>
      </c>
      <c r="E120" s="1499">
        <v>3.0483390703203703</v>
      </c>
      <c r="F120" s="1499">
        <v>1.9516976277290388</v>
      </c>
      <c r="G120" s="1499">
        <v>1.7420193717428867</v>
      </c>
      <c r="H120" s="1499">
        <v>1.8448345790802505</v>
      </c>
      <c r="I120" s="1499">
        <v>4.1744731205200027</v>
      </c>
      <c r="J120" s="1499">
        <v>3.5525217577023773</v>
      </c>
      <c r="K120" s="113">
        <v>1.5073806229282678</v>
      </c>
    </row>
    <row r="121" spans="2:11" ht="14.5" thickBot="1" x14ac:dyDescent="0.35">
      <c r="B121" s="1233"/>
      <c r="C121" s="116" t="s">
        <v>1519</v>
      </c>
      <c r="D121" s="117">
        <v>3.9814982238855534</v>
      </c>
      <c r="E121" s="117">
        <v>3.2595969259270854</v>
      </c>
      <c r="F121" s="117">
        <v>2.16568325821674</v>
      </c>
      <c r="G121" s="117">
        <v>1.9568428136199889</v>
      </c>
      <c r="H121" s="117">
        <v>2.0592582955563645</v>
      </c>
      <c r="I121" s="117">
        <v>4.3836442843232843</v>
      </c>
      <c r="J121" s="117">
        <v>3.7635475528338271</v>
      </c>
      <c r="K121" s="118">
        <v>1.7223032558198075</v>
      </c>
    </row>
    <row r="122" spans="2:11" x14ac:dyDescent="0.3">
      <c r="B122" s="107" t="s">
        <v>1985</v>
      </c>
      <c r="C122" s="108" t="s">
        <v>1416</v>
      </c>
      <c r="D122" s="109">
        <v>3.466609790453548</v>
      </c>
      <c r="E122" s="109">
        <v>2.735844325099924</v>
      </c>
      <c r="F122" s="109">
        <v>1.6292952746607752</v>
      </c>
      <c r="G122" s="109">
        <v>1.421964397873414</v>
      </c>
      <c r="H122" s="109">
        <v>1.5305866452294348</v>
      </c>
      <c r="I122" s="109">
        <v>3.8616991685919762</v>
      </c>
      <c r="J122" s="109">
        <v>3.2379094333403717</v>
      </c>
      <c r="K122" s="110">
        <v>1.1770135326291564</v>
      </c>
    </row>
    <row r="123" spans="2:11" x14ac:dyDescent="0.3">
      <c r="B123" s="111"/>
      <c r="C123" s="112" t="s">
        <v>1483</v>
      </c>
      <c r="D123" s="1499">
        <v>3.8001311737694481</v>
      </c>
      <c r="E123" s="1499">
        <v>3.0782298758109801</v>
      </c>
      <c r="F123" s="1499">
        <v>1.9843162081006345</v>
      </c>
      <c r="G123" s="1499">
        <v>1.7754757635038834</v>
      </c>
      <c r="H123" s="1499">
        <v>1.8778912454402588</v>
      </c>
      <c r="I123" s="1499">
        <v>4.2022772342071795</v>
      </c>
      <c r="J123" s="1499">
        <v>3.5821805027177218</v>
      </c>
      <c r="K123" s="113">
        <v>1.5409362057037019</v>
      </c>
    </row>
    <row r="124" spans="2:11" x14ac:dyDescent="0.3">
      <c r="B124" s="111" t="s">
        <v>1989</v>
      </c>
      <c r="C124" s="112" t="s">
        <v>1489</v>
      </c>
      <c r="D124" s="1499">
        <v>3.7574387387737085</v>
      </c>
      <c r="E124" s="1499">
        <v>3.0355374408152405</v>
      </c>
      <c r="F124" s="1499">
        <v>1.9416237731048951</v>
      </c>
      <c r="G124" s="1499">
        <v>1.732783328508144</v>
      </c>
      <c r="H124" s="1499">
        <v>1.8351988104445194</v>
      </c>
      <c r="I124" s="1499">
        <v>4.1595847992114399</v>
      </c>
      <c r="J124" s="1499">
        <v>3.5394880677219822</v>
      </c>
      <c r="K124" s="113">
        <v>1.4982437707079623</v>
      </c>
    </row>
    <row r="125" spans="2:11" x14ac:dyDescent="0.3">
      <c r="B125" s="114">
        <v>0</v>
      </c>
      <c r="C125" s="112" t="s">
        <v>1496</v>
      </c>
      <c r="D125" s="1499">
        <v>3.6934000862800991</v>
      </c>
      <c r="E125" s="1499">
        <v>2.9714987883216311</v>
      </c>
      <c r="F125" s="1499">
        <v>1.8775851206112859</v>
      </c>
      <c r="G125" s="1499">
        <v>1.6687446760145346</v>
      </c>
      <c r="H125" s="1499">
        <v>1.7711601579509102</v>
      </c>
      <c r="I125" s="1499">
        <v>4.0955461467178305</v>
      </c>
      <c r="J125" s="1499">
        <v>3.4754494152283728</v>
      </c>
      <c r="K125" s="113">
        <v>1.4342051182143534</v>
      </c>
    </row>
    <row r="126" spans="2:11" x14ac:dyDescent="0.3">
      <c r="B126" s="115"/>
      <c r="C126" s="112" t="s">
        <v>1500</v>
      </c>
      <c r="D126" s="1499">
        <v>3.6293614337864901</v>
      </c>
      <c r="E126" s="1499">
        <v>2.9074601358280225</v>
      </c>
      <c r="F126" s="1499">
        <v>1.8135464681176769</v>
      </c>
      <c r="G126" s="1499">
        <v>1.6047060235209258</v>
      </c>
      <c r="H126" s="1499">
        <v>1.7071215054573012</v>
      </c>
      <c r="I126" s="1499">
        <v>4.0315074942242219</v>
      </c>
      <c r="J126" s="1499">
        <v>3.4114107627347643</v>
      </c>
      <c r="K126" s="113">
        <v>1.3701664657207442</v>
      </c>
    </row>
    <row r="127" spans="2:11" x14ac:dyDescent="0.3">
      <c r="B127" s="115"/>
      <c r="C127" s="112" t="s">
        <v>1504</v>
      </c>
      <c r="D127" s="1499">
        <v>3.7317771045488954</v>
      </c>
      <c r="E127" s="1499">
        <v>3.0074698387253878</v>
      </c>
      <c r="F127" s="1499">
        <v>1.9108283961340564</v>
      </c>
      <c r="G127" s="1499">
        <v>1.7011501401479041</v>
      </c>
      <c r="H127" s="1499">
        <v>1.8039653474852679</v>
      </c>
      <c r="I127" s="1499">
        <v>4.1336038889250206</v>
      </c>
      <c r="J127" s="1499">
        <v>3.5116525261073948</v>
      </c>
      <c r="K127" s="113">
        <v>1.4665113913332852</v>
      </c>
    </row>
    <row r="128" spans="2:11" x14ac:dyDescent="0.3">
      <c r="B128" s="115"/>
      <c r="C128" s="112" t="s">
        <v>1508</v>
      </c>
      <c r="D128" s="1499">
        <v>3.6966526499186148</v>
      </c>
      <c r="E128" s="1499">
        <v>2.9723453840951071</v>
      </c>
      <c r="F128" s="1499">
        <v>1.8757039415037757</v>
      </c>
      <c r="G128" s="1499">
        <v>1.6660256855176234</v>
      </c>
      <c r="H128" s="1499">
        <v>1.7688408928549872</v>
      </c>
      <c r="I128" s="1499">
        <v>4.0984794342947399</v>
      </c>
      <c r="J128" s="1499">
        <v>3.4765280714771141</v>
      </c>
      <c r="K128" s="113">
        <v>1.4313869367030045</v>
      </c>
    </row>
    <row r="129" spans="2:11" x14ac:dyDescent="0.3">
      <c r="B129" s="115"/>
      <c r="C129" s="112" t="s">
        <v>1513</v>
      </c>
      <c r="D129" s="1499">
        <v>3.6439659679731933</v>
      </c>
      <c r="E129" s="1499">
        <v>2.9196587021496856</v>
      </c>
      <c r="F129" s="1499">
        <v>1.8230172595583543</v>
      </c>
      <c r="G129" s="1499">
        <v>1.6133390035722022</v>
      </c>
      <c r="H129" s="1499">
        <v>1.716154210909566</v>
      </c>
      <c r="I129" s="1499">
        <v>4.0457927523493185</v>
      </c>
      <c r="J129" s="1499">
        <v>3.423841389531693</v>
      </c>
      <c r="K129" s="113">
        <v>1.3787002547575835</v>
      </c>
    </row>
    <row r="130" spans="2:11" x14ac:dyDescent="0.3">
      <c r="B130" s="115"/>
      <c r="C130" s="112" t="s">
        <v>1517</v>
      </c>
      <c r="D130" s="1499">
        <v>3.5912792860277727</v>
      </c>
      <c r="E130" s="1499">
        <v>2.866972020204265</v>
      </c>
      <c r="F130" s="1499">
        <v>1.7703305776129332</v>
      </c>
      <c r="G130" s="1499">
        <v>1.5606523216267811</v>
      </c>
      <c r="H130" s="1499">
        <v>1.663467528964145</v>
      </c>
      <c r="I130" s="1499">
        <v>3.9931060704038979</v>
      </c>
      <c r="J130" s="1499">
        <v>3.371154707586272</v>
      </c>
      <c r="K130" s="113">
        <v>1.3260135728121623</v>
      </c>
    </row>
    <row r="131" spans="2:11" ht="14.5" thickBot="1" x14ac:dyDescent="0.35">
      <c r="B131" s="1233"/>
      <c r="C131" s="116" t="s">
        <v>1519</v>
      </c>
      <c r="D131" s="117">
        <v>3.8001311737694481</v>
      </c>
      <c r="E131" s="117">
        <v>3.0782298758109801</v>
      </c>
      <c r="F131" s="117">
        <v>1.9843162081006345</v>
      </c>
      <c r="G131" s="117">
        <v>1.7754757635038834</v>
      </c>
      <c r="H131" s="117">
        <v>1.8778912454402588</v>
      </c>
      <c r="I131" s="117">
        <v>4.2022772342071795</v>
      </c>
      <c r="J131" s="117">
        <v>3.5821805027177218</v>
      </c>
      <c r="K131" s="118">
        <v>1.5409362057037019</v>
      </c>
    </row>
    <row r="132" spans="2:11" x14ac:dyDescent="0.3">
      <c r="B132" s="120" t="s">
        <v>1990</v>
      </c>
      <c r="C132" s="108" t="s">
        <v>1416</v>
      </c>
      <c r="D132" s="109">
        <v>3.7397831829015677</v>
      </c>
      <c r="E132" s="109">
        <v>3.0024914038574382</v>
      </c>
      <c r="F132" s="109">
        <v>1.9143971575829581</v>
      </c>
      <c r="G132" s="109">
        <v>1.6967983865505056</v>
      </c>
      <c r="H132" s="109">
        <v>1.8100416496977716</v>
      </c>
      <c r="I132" s="109">
        <v>4.1285208217016036</v>
      </c>
      <c r="J132" s="109">
        <v>3.5034545608326342</v>
      </c>
      <c r="K132" s="110">
        <v>1.451929027275936</v>
      </c>
    </row>
    <row r="133" spans="2:11" x14ac:dyDescent="0.3">
      <c r="B133" s="111"/>
      <c r="C133" s="112" t="s">
        <v>1483</v>
      </c>
      <c r="D133" s="1499">
        <v>4.0790711282711092</v>
      </c>
      <c r="E133" s="1499">
        <v>3.3523273613202944</v>
      </c>
      <c r="F133" s="1499">
        <v>2.2619268023063426</v>
      </c>
      <c r="G133" s="1499">
        <v>2.059870007459446</v>
      </c>
      <c r="H133" s="1499">
        <v>2.1558853696558979</v>
      </c>
      <c r="I133" s="1499">
        <v>4.471115017844328</v>
      </c>
      <c r="J133" s="1499">
        <v>3.8520235069625373</v>
      </c>
      <c r="K133" s="113">
        <v>1.825692797236852</v>
      </c>
    </row>
    <row r="134" spans="2:11" x14ac:dyDescent="0.3">
      <c r="B134" s="111" t="s">
        <v>1986</v>
      </c>
      <c r="C134" s="112" t="s">
        <v>1489</v>
      </c>
      <c r="D134" s="1499">
        <v>4.0363786932753696</v>
      </c>
      <c r="E134" s="1499">
        <v>3.3096349263245548</v>
      </c>
      <c r="F134" s="1499">
        <v>2.2192343673106034</v>
      </c>
      <c r="G134" s="1499">
        <v>2.0171775724637064</v>
      </c>
      <c r="H134" s="1499">
        <v>2.1131929346601583</v>
      </c>
      <c r="I134" s="1499">
        <v>4.4284225828485884</v>
      </c>
      <c r="J134" s="1499">
        <v>3.8093310719667981</v>
      </c>
      <c r="K134" s="113">
        <v>1.7830003622411126</v>
      </c>
    </row>
    <row r="135" spans="2:11" x14ac:dyDescent="0.3">
      <c r="B135" s="114">
        <v>0</v>
      </c>
      <c r="C135" s="112" t="s">
        <v>1496</v>
      </c>
      <c r="D135" s="1499">
        <v>3.9723400407817606</v>
      </c>
      <c r="E135" s="1499">
        <v>3.2455962738309458</v>
      </c>
      <c r="F135" s="1499">
        <v>2.1551957148169945</v>
      </c>
      <c r="G135" s="1499">
        <v>1.9531389199700977</v>
      </c>
      <c r="H135" s="1499">
        <v>2.0491542821665494</v>
      </c>
      <c r="I135" s="1499">
        <v>4.364383930354979</v>
      </c>
      <c r="J135" s="1499">
        <v>3.7452924194731887</v>
      </c>
      <c r="K135" s="113">
        <v>1.7189617097475036</v>
      </c>
    </row>
    <row r="136" spans="2:11" x14ac:dyDescent="0.3">
      <c r="B136" s="115"/>
      <c r="C136" s="112" t="s">
        <v>1500</v>
      </c>
      <c r="D136" s="1499">
        <v>3.9083013882881512</v>
      </c>
      <c r="E136" s="1499">
        <v>3.1815576213373364</v>
      </c>
      <c r="F136" s="1499">
        <v>2.0911570623233851</v>
      </c>
      <c r="G136" s="1499">
        <v>1.8891002674764885</v>
      </c>
      <c r="H136" s="1499">
        <v>1.9851156296729404</v>
      </c>
      <c r="I136" s="1499">
        <v>4.3003452778613696</v>
      </c>
      <c r="J136" s="1499">
        <v>3.6812537669795793</v>
      </c>
      <c r="K136" s="113">
        <v>1.6549230572538944</v>
      </c>
    </row>
    <row r="137" spans="2:11" x14ac:dyDescent="0.3">
      <c r="B137" s="115"/>
      <c r="C137" s="112" t="s">
        <v>1504</v>
      </c>
      <c r="D137" s="1499">
        <v>4.0100056949463365</v>
      </c>
      <c r="E137" s="1499">
        <v>3.2799700327185586</v>
      </c>
      <c r="F137" s="1499">
        <v>2.1870408318699091</v>
      </c>
      <c r="G137" s="1499">
        <v>1.9857681722979565</v>
      </c>
      <c r="H137" s="1499">
        <v>2.0856138001450195</v>
      </c>
      <c r="I137" s="1499">
        <v>4.4014870434281343</v>
      </c>
      <c r="J137" s="1499">
        <v>3.7799759920132532</v>
      </c>
      <c r="K137" s="113">
        <v>1.7481224893660579</v>
      </c>
    </row>
    <row r="138" spans="2:11" x14ac:dyDescent="0.3">
      <c r="B138" s="115"/>
      <c r="C138" s="112" t="s">
        <v>1508</v>
      </c>
      <c r="D138" s="1499">
        <v>3.9748812403160558</v>
      </c>
      <c r="E138" s="1499">
        <v>3.2448455780882779</v>
      </c>
      <c r="F138" s="1499">
        <v>2.1519163772396279</v>
      </c>
      <c r="G138" s="1499">
        <v>1.9506437176676756</v>
      </c>
      <c r="H138" s="1499">
        <v>2.0504893455147384</v>
      </c>
      <c r="I138" s="1499">
        <v>4.3663625887978537</v>
      </c>
      <c r="J138" s="1499">
        <v>3.7448515373829725</v>
      </c>
      <c r="K138" s="113">
        <v>1.7129980347357769</v>
      </c>
    </row>
    <row r="139" spans="2:11" x14ac:dyDescent="0.3">
      <c r="B139" s="115"/>
      <c r="C139" s="112" t="s">
        <v>1513</v>
      </c>
      <c r="D139" s="1499">
        <v>3.9221945583706344</v>
      </c>
      <c r="E139" s="1499">
        <v>3.1921588961428569</v>
      </c>
      <c r="F139" s="1499">
        <v>2.0992296952942069</v>
      </c>
      <c r="G139" s="1499">
        <v>1.8979570357222546</v>
      </c>
      <c r="H139" s="1499">
        <v>1.9978026635693173</v>
      </c>
      <c r="I139" s="1499">
        <v>4.3136759068524322</v>
      </c>
      <c r="J139" s="1499">
        <v>3.6921648554375515</v>
      </c>
      <c r="K139" s="113">
        <v>1.6603113527903559</v>
      </c>
    </row>
    <row r="140" spans="2:11" x14ac:dyDescent="0.3">
      <c r="B140" s="115"/>
      <c r="C140" s="112" t="s">
        <v>1517</v>
      </c>
      <c r="D140" s="1499">
        <v>3.8695078764252133</v>
      </c>
      <c r="E140" s="1499">
        <v>3.1394722141974354</v>
      </c>
      <c r="F140" s="1499">
        <v>2.0465430133487859</v>
      </c>
      <c r="G140" s="1499">
        <v>1.8452703537768336</v>
      </c>
      <c r="H140" s="1499">
        <v>1.9451159816238963</v>
      </c>
      <c r="I140" s="1499">
        <v>4.2609892249070107</v>
      </c>
      <c r="J140" s="1499">
        <v>3.63947817349213</v>
      </c>
      <c r="K140" s="113">
        <v>1.6076246708449349</v>
      </c>
    </row>
    <row r="141" spans="2:11" ht="14.5" thickBot="1" x14ac:dyDescent="0.35">
      <c r="B141" s="1233"/>
      <c r="C141" s="116" t="s">
        <v>1519</v>
      </c>
      <c r="D141" s="117">
        <v>4.0790711282711092</v>
      </c>
      <c r="E141" s="117">
        <v>3.3523273613202944</v>
      </c>
      <c r="F141" s="117">
        <v>2.2619268023063426</v>
      </c>
      <c r="G141" s="117">
        <v>2.059870007459446</v>
      </c>
      <c r="H141" s="117">
        <v>2.1558853696558979</v>
      </c>
      <c r="I141" s="117">
        <v>4.471115017844328</v>
      </c>
      <c r="J141" s="117">
        <v>3.8520235069625373</v>
      </c>
      <c r="K141" s="118">
        <v>1.825692797236852</v>
      </c>
    </row>
    <row r="142" spans="2:11" x14ac:dyDescent="0.3">
      <c r="B142" s="120" t="s">
        <v>1990</v>
      </c>
      <c r="C142" s="108" t="s">
        <v>1416</v>
      </c>
      <c r="D142" s="109">
        <v>3.6383973990591061</v>
      </c>
      <c r="E142" s="109">
        <v>2.9011056200149761</v>
      </c>
      <c r="F142" s="109">
        <v>1.8130113737404965</v>
      </c>
      <c r="G142" s="109">
        <v>1.595412602708044</v>
      </c>
      <c r="H142" s="109">
        <v>1.7086558658553102</v>
      </c>
      <c r="I142" s="109">
        <v>4.027135037859142</v>
      </c>
      <c r="J142" s="109">
        <v>3.4020687769901721</v>
      </c>
      <c r="K142" s="110">
        <v>1.3505432434334743</v>
      </c>
    </row>
    <row r="143" spans="2:11" x14ac:dyDescent="0.3">
      <c r="B143" s="111"/>
      <c r="C143" s="112" t="s">
        <v>1483</v>
      </c>
      <c r="D143" s="1499">
        <v>3.9776853444286475</v>
      </c>
      <c r="E143" s="1499">
        <v>3.2509415774778327</v>
      </c>
      <c r="F143" s="1499">
        <v>2.1605410184638814</v>
      </c>
      <c r="G143" s="1499">
        <v>1.9584842236169844</v>
      </c>
      <c r="H143" s="1499">
        <v>2.0544995858134363</v>
      </c>
      <c r="I143" s="1499">
        <v>4.3697292340018654</v>
      </c>
      <c r="J143" s="1499">
        <v>3.7506377231200756</v>
      </c>
      <c r="K143" s="113">
        <v>1.7243070133943905</v>
      </c>
    </row>
    <row r="144" spans="2:11" x14ac:dyDescent="0.3">
      <c r="B144" s="111" t="s">
        <v>1987</v>
      </c>
      <c r="C144" s="112" t="s">
        <v>1489</v>
      </c>
      <c r="D144" s="1499">
        <v>3.9349929094329079</v>
      </c>
      <c r="E144" s="1499">
        <v>3.2082491424820931</v>
      </c>
      <c r="F144" s="1499">
        <v>2.1178485834681418</v>
      </c>
      <c r="G144" s="1499">
        <v>1.915791788621245</v>
      </c>
      <c r="H144" s="1499">
        <v>2.0118071508176971</v>
      </c>
      <c r="I144" s="1499">
        <v>4.3270367990061267</v>
      </c>
      <c r="J144" s="1499">
        <v>3.707945288124336</v>
      </c>
      <c r="K144" s="113">
        <v>1.6816145783986509</v>
      </c>
    </row>
    <row r="145" spans="2:11" x14ac:dyDescent="0.3">
      <c r="B145" s="114">
        <v>0</v>
      </c>
      <c r="C145" s="112" t="s">
        <v>1496</v>
      </c>
      <c r="D145" s="1499">
        <v>3.870954256939299</v>
      </c>
      <c r="E145" s="1499">
        <v>3.1442104899884837</v>
      </c>
      <c r="F145" s="1499">
        <v>2.0538099309745323</v>
      </c>
      <c r="G145" s="1499">
        <v>1.8517531361276358</v>
      </c>
      <c r="H145" s="1499">
        <v>1.9477684983240877</v>
      </c>
      <c r="I145" s="1499">
        <v>4.2629981465125173</v>
      </c>
      <c r="J145" s="1499">
        <v>3.643906635630727</v>
      </c>
      <c r="K145" s="113">
        <v>1.6175759259050417</v>
      </c>
    </row>
    <row r="146" spans="2:11" x14ac:dyDescent="0.3">
      <c r="B146" s="115"/>
      <c r="C146" s="112" t="s">
        <v>1500</v>
      </c>
      <c r="D146" s="1499">
        <v>3.8069156044456895</v>
      </c>
      <c r="E146" s="1499">
        <v>3.0801718374948748</v>
      </c>
      <c r="F146" s="1499">
        <v>1.9897712784809236</v>
      </c>
      <c r="G146" s="1499">
        <v>1.7877144836340269</v>
      </c>
      <c r="H146" s="1499">
        <v>1.8837298458304788</v>
      </c>
      <c r="I146" s="1499">
        <v>4.1989594940189079</v>
      </c>
      <c r="J146" s="1499">
        <v>3.5798679831371176</v>
      </c>
      <c r="K146" s="113">
        <v>1.5535372734114328</v>
      </c>
    </row>
    <row r="147" spans="2:11" x14ac:dyDescent="0.3">
      <c r="B147" s="115"/>
      <c r="C147" s="112" t="s">
        <v>1504</v>
      </c>
      <c r="D147" s="1499">
        <v>3.9086199111038744</v>
      </c>
      <c r="E147" s="1499">
        <v>3.1785842488760969</v>
      </c>
      <c r="F147" s="1499">
        <v>2.0856550480274474</v>
      </c>
      <c r="G147" s="1499">
        <v>1.8843823884554949</v>
      </c>
      <c r="H147" s="1499">
        <v>1.9842280163025576</v>
      </c>
      <c r="I147" s="1499">
        <v>4.3001012595856727</v>
      </c>
      <c r="J147" s="1499">
        <v>3.6785902081707915</v>
      </c>
      <c r="K147" s="113">
        <v>1.646736705523596</v>
      </c>
    </row>
    <row r="148" spans="2:11" x14ac:dyDescent="0.3">
      <c r="B148" s="115"/>
      <c r="C148" s="112" t="s">
        <v>1508</v>
      </c>
      <c r="D148" s="1499">
        <v>3.8734954564735937</v>
      </c>
      <c r="E148" s="1499">
        <v>3.1434597942458162</v>
      </c>
      <c r="F148" s="1499">
        <v>2.0505305933971667</v>
      </c>
      <c r="G148" s="1499">
        <v>1.8492579338252142</v>
      </c>
      <c r="H148" s="1499">
        <v>1.9491035616722769</v>
      </c>
      <c r="I148" s="1499">
        <v>4.264976804955392</v>
      </c>
      <c r="J148" s="1499">
        <v>3.6434657535405108</v>
      </c>
      <c r="K148" s="113">
        <v>1.6116122508933153</v>
      </c>
    </row>
    <row r="149" spans="2:11" x14ac:dyDescent="0.3">
      <c r="B149" s="115"/>
      <c r="C149" s="112" t="s">
        <v>1513</v>
      </c>
      <c r="D149" s="1499">
        <v>3.8208087745281727</v>
      </c>
      <c r="E149" s="1499">
        <v>3.0907731123003948</v>
      </c>
      <c r="F149" s="1499">
        <v>1.9978439114517454</v>
      </c>
      <c r="G149" s="1499">
        <v>1.7965712518797932</v>
      </c>
      <c r="H149" s="1499">
        <v>1.8964168797268559</v>
      </c>
      <c r="I149" s="1499">
        <v>4.2122901230099705</v>
      </c>
      <c r="J149" s="1499">
        <v>3.5907790715950894</v>
      </c>
      <c r="K149" s="113">
        <v>1.5589255689478942</v>
      </c>
    </row>
    <row r="150" spans="2:11" x14ac:dyDescent="0.3">
      <c r="B150" s="115"/>
      <c r="C150" s="112" t="s">
        <v>1517</v>
      </c>
      <c r="D150" s="1499">
        <v>3.7681220925827517</v>
      </c>
      <c r="E150" s="1499">
        <v>3.0380864303549742</v>
      </c>
      <c r="F150" s="1499">
        <v>1.9451572295063242</v>
      </c>
      <c r="G150" s="1499">
        <v>1.7438845699343717</v>
      </c>
      <c r="H150" s="1499">
        <v>1.8437301977814344</v>
      </c>
      <c r="I150" s="1499">
        <v>4.159603441064549</v>
      </c>
      <c r="J150" s="1499">
        <v>3.5380923896496688</v>
      </c>
      <c r="K150" s="113">
        <v>1.506238887002473</v>
      </c>
    </row>
    <row r="151" spans="2:11" ht="14.5" thickBot="1" x14ac:dyDescent="0.35">
      <c r="B151" s="1233"/>
      <c r="C151" s="116" t="s">
        <v>1519</v>
      </c>
      <c r="D151" s="117">
        <v>3.9776853444286475</v>
      </c>
      <c r="E151" s="117">
        <v>3.2509415774778327</v>
      </c>
      <c r="F151" s="117">
        <v>2.1605410184638814</v>
      </c>
      <c r="G151" s="117">
        <v>1.9584842236169844</v>
      </c>
      <c r="H151" s="117">
        <v>2.0544995858134363</v>
      </c>
      <c r="I151" s="117">
        <v>4.3697292340018654</v>
      </c>
      <c r="J151" s="117">
        <v>3.7506377231200756</v>
      </c>
      <c r="K151" s="118">
        <v>1.7243070133943905</v>
      </c>
    </row>
    <row r="152" spans="2:11" x14ac:dyDescent="0.3">
      <c r="B152" s="120" t="s">
        <v>1990</v>
      </c>
      <c r="C152" s="108" t="s">
        <v>1416</v>
      </c>
      <c r="D152" s="109">
        <v>3.4863187232954136</v>
      </c>
      <c r="E152" s="109">
        <v>2.7490269442512836</v>
      </c>
      <c r="F152" s="109">
        <v>1.660932697976804</v>
      </c>
      <c r="G152" s="109">
        <v>1.4433339269443515</v>
      </c>
      <c r="H152" s="109">
        <v>1.5565771900916177</v>
      </c>
      <c r="I152" s="109">
        <v>3.8750563620954495</v>
      </c>
      <c r="J152" s="109">
        <v>3.2499901012264796</v>
      </c>
      <c r="K152" s="110">
        <v>1.1984645676697818</v>
      </c>
    </row>
    <row r="153" spans="2:11" x14ac:dyDescent="0.3">
      <c r="B153" s="111"/>
      <c r="C153" s="112" t="s">
        <v>1483</v>
      </c>
      <c r="D153" s="1499">
        <v>3.825606668664955</v>
      </c>
      <c r="E153" s="1499">
        <v>3.0988629017141402</v>
      </c>
      <c r="F153" s="1499">
        <v>2.0084623427001889</v>
      </c>
      <c r="G153" s="1499">
        <v>1.8064055478532919</v>
      </c>
      <c r="H153" s="1499">
        <v>1.9024209100497438</v>
      </c>
      <c r="I153" s="1499">
        <v>4.2176505582381729</v>
      </c>
      <c r="J153" s="1499">
        <v>3.5985590473563831</v>
      </c>
      <c r="K153" s="113">
        <v>1.572228337630698</v>
      </c>
    </row>
    <row r="154" spans="2:11" x14ac:dyDescent="0.3">
      <c r="B154" s="111" t="s">
        <v>1988</v>
      </c>
      <c r="C154" s="112" t="s">
        <v>1489</v>
      </c>
      <c r="D154" s="1499">
        <v>3.7829142336692154</v>
      </c>
      <c r="E154" s="1499">
        <v>3.0561704667184006</v>
      </c>
      <c r="F154" s="1499">
        <v>1.9657699077044493</v>
      </c>
      <c r="G154" s="1499">
        <v>1.7637131128575525</v>
      </c>
      <c r="H154" s="1499">
        <v>1.8597284750540044</v>
      </c>
      <c r="I154" s="1499">
        <v>4.1749581232424342</v>
      </c>
      <c r="J154" s="1499">
        <v>3.5558666123606435</v>
      </c>
      <c r="K154" s="113">
        <v>1.5295359026349584</v>
      </c>
    </row>
    <row r="155" spans="2:11" x14ac:dyDescent="0.3">
      <c r="B155" s="114">
        <v>0</v>
      </c>
      <c r="C155" s="112" t="s">
        <v>1496</v>
      </c>
      <c r="D155" s="1499">
        <v>3.7188755811756065</v>
      </c>
      <c r="E155" s="1499">
        <v>2.9921318142247912</v>
      </c>
      <c r="F155" s="1499">
        <v>1.9017312552108401</v>
      </c>
      <c r="G155" s="1499">
        <v>1.6996744603639433</v>
      </c>
      <c r="H155" s="1499">
        <v>1.7956898225603952</v>
      </c>
      <c r="I155" s="1499">
        <v>4.1109194707488248</v>
      </c>
      <c r="J155" s="1499">
        <v>3.4918279598670345</v>
      </c>
      <c r="K155" s="113">
        <v>1.4654972501413492</v>
      </c>
    </row>
    <row r="156" spans="2:11" x14ac:dyDescent="0.3">
      <c r="B156" s="115"/>
      <c r="C156" s="112" t="s">
        <v>1500</v>
      </c>
      <c r="D156" s="1499">
        <v>3.6548369286819971</v>
      </c>
      <c r="E156" s="1499">
        <v>2.9280931617311823</v>
      </c>
      <c r="F156" s="1499">
        <v>1.8376926027172311</v>
      </c>
      <c r="G156" s="1499">
        <v>1.6356358078703344</v>
      </c>
      <c r="H156" s="1499">
        <v>1.7316511700667863</v>
      </c>
      <c r="I156" s="1499">
        <v>4.0468808182552154</v>
      </c>
      <c r="J156" s="1499">
        <v>3.4277893073734251</v>
      </c>
      <c r="K156" s="113">
        <v>1.4014585976477403</v>
      </c>
    </row>
    <row r="157" spans="2:11" x14ac:dyDescent="0.3">
      <c r="B157" s="115"/>
      <c r="C157" s="112" t="s">
        <v>1504</v>
      </c>
      <c r="D157" s="1499">
        <v>3.7565412353401819</v>
      </c>
      <c r="E157" s="1499">
        <v>3.0265055731124044</v>
      </c>
      <c r="F157" s="1499">
        <v>1.9335763722637547</v>
      </c>
      <c r="G157" s="1499">
        <v>1.7323037126918024</v>
      </c>
      <c r="H157" s="1499">
        <v>1.8321493405388651</v>
      </c>
      <c r="I157" s="1499">
        <v>4.1480225838219802</v>
      </c>
      <c r="J157" s="1499">
        <v>3.526511532407099</v>
      </c>
      <c r="K157" s="113">
        <v>1.4946580297599035</v>
      </c>
    </row>
    <row r="158" spans="2:11" x14ac:dyDescent="0.3">
      <c r="B158" s="115"/>
      <c r="C158" s="112" t="s">
        <v>1508</v>
      </c>
      <c r="D158" s="1499">
        <v>3.7214167807099012</v>
      </c>
      <c r="E158" s="1499">
        <v>2.9913811184821237</v>
      </c>
      <c r="F158" s="1499">
        <v>1.898451917633474</v>
      </c>
      <c r="G158" s="1499">
        <v>1.6971792580615217</v>
      </c>
      <c r="H158" s="1499">
        <v>1.7970248859085844</v>
      </c>
      <c r="I158" s="1499">
        <v>4.1128981291916995</v>
      </c>
      <c r="J158" s="1499">
        <v>3.4913870777768183</v>
      </c>
      <c r="K158" s="113">
        <v>1.4595335751296228</v>
      </c>
    </row>
    <row r="159" spans="2:11" x14ac:dyDescent="0.3">
      <c r="B159" s="115"/>
      <c r="C159" s="112" t="s">
        <v>1513</v>
      </c>
      <c r="D159" s="1499">
        <v>3.6687300987644802</v>
      </c>
      <c r="E159" s="1499">
        <v>2.9386944365367023</v>
      </c>
      <c r="F159" s="1499">
        <v>1.8457652356880527</v>
      </c>
      <c r="G159" s="1499">
        <v>1.6444925761161002</v>
      </c>
      <c r="H159" s="1499">
        <v>1.7443382039631634</v>
      </c>
      <c r="I159" s="1499">
        <v>4.060211447246278</v>
      </c>
      <c r="J159" s="1499">
        <v>3.4387003958313969</v>
      </c>
      <c r="K159" s="113">
        <v>1.4068468931842018</v>
      </c>
    </row>
    <row r="160" spans="2:11" x14ac:dyDescent="0.3">
      <c r="B160" s="115"/>
      <c r="C160" s="112" t="s">
        <v>1517</v>
      </c>
      <c r="D160" s="1499">
        <v>3.6160434168190587</v>
      </c>
      <c r="E160" s="1499">
        <v>2.8860077545912817</v>
      </c>
      <c r="F160" s="1499">
        <v>1.7930785537426317</v>
      </c>
      <c r="G160" s="1499">
        <v>1.5918058941706792</v>
      </c>
      <c r="H160" s="1499">
        <v>1.6916515220177419</v>
      </c>
      <c r="I160" s="1499">
        <v>4.0075247653008566</v>
      </c>
      <c r="J160" s="1499">
        <v>3.3860137138859763</v>
      </c>
      <c r="K160" s="113">
        <v>1.3541602112387805</v>
      </c>
    </row>
    <row r="161" spans="2:11" ht="14.5" thickBot="1" x14ac:dyDescent="0.35">
      <c r="B161" s="1233"/>
      <c r="C161" s="116" t="s">
        <v>1519</v>
      </c>
      <c r="D161" s="117">
        <v>3.825606668664955</v>
      </c>
      <c r="E161" s="117">
        <v>3.0988629017141402</v>
      </c>
      <c r="F161" s="117">
        <v>2.0084623427001889</v>
      </c>
      <c r="G161" s="117">
        <v>1.8064055478532919</v>
      </c>
      <c r="H161" s="117">
        <v>1.9024209100497438</v>
      </c>
      <c r="I161" s="117">
        <v>4.2176505582381729</v>
      </c>
      <c r="J161" s="117">
        <v>3.5985590473563831</v>
      </c>
      <c r="K161" s="118">
        <v>1.572228337630698</v>
      </c>
    </row>
    <row r="162" spans="2:11" x14ac:dyDescent="0.3">
      <c r="B162" s="120" t="s">
        <v>1990</v>
      </c>
      <c r="C162" s="108" t="s">
        <v>1416</v>
      </c>
      <c r="D162" s="109">
        <v>3.3342400475317211</v>
      </c>
      <c r="E162" s="109">
        <v>2.5969482684875911</v>
      </c>
      <c r="F162" s="109">
        <v>1.5088540222131115</v>
      </c>
      <c r="G162" s="109">
        <v>1.291255251180659</v>
      </c>
      <c r="H162" s="109">
        <v>1.4044985143279252</v>
      </c>
      <c r="I162" s="109">
        <v>3.722977686331757</v>
      </c>
      <c r="J162" s="109">
        <v>3.0979114254627871</v>
      </c>
      <c r="K162" s="110">
        <v>1.0463858919060893</v>
      </c>
    </row>
    <row r="163" spans="2:11" x14ac:dyDescent="0.3">
      <c r="B163" s="111"/>
      <c r="C163" s="112" t="s">
        <v>1483</v>
      </c>
      <c r="D163" s="1499">
        <v>3.6735279929012625</v>
      </c>
      <c r="E163" s="1499">
        <v>2.9467842259504478</v>
      </c>
      <c r="F163" s="1499">
        <v>1.8563836669364959</v>
      </c>
      <c r="G163" s="1499">
        <v>1.6543268720895996</v>
      </c>
      <c r="H163" s="1499">
        <v>1.7503422342860515</v>
      </c>
      <c r="I163" s="1499">
        <v>4.0655718824744804</v>
      </c>
      <c r="J163" s="1499">
        <v>3.4464803715926906</v>
      </c>
      <c r="K163" s="113">
        <v>1.4201496618670055</v>
      </c>
    </row>
    <row r="164" spans="2:11" x14ac:dyDescent="0.3">
      <c r="B164" s="111" t="s">
        <v>1989</v>
      </c>
      <c r="C164" s="112" t="s">
        <v>1489</v>
      </c>
      <c r="D164" s="1499">
        <v>3.6308355579055229</v>
      </c>
      <c r="E164" s="1499">
        <v>2.9040917909547082</v>
      </c>
      <c r="F164" s="1499">
        <v>1.8136912319407568</v>
      </c>
      <c r="G164" s="1499">
        <v>1.61163443709386</v>
      </c>
      <c r="H164" s="1499">
        <v>1.7076497992903119</v>
      </c>
      <c r="I164" s="1499">
        <v>4.0228794474787417</v>
      </c>
      <c r="J164" s="1499">
        <v>3.403787936596951</v>
      </c>
      <c r="K164" s="113">
        <v>1.3774572268712659</v>
      </c>
    </row>
    <row r="165" spans="2:11" x14ac:dyDescent="0.3">
      <c r="B165" s="114">
        <v>0</v>
      </c>
      <c r="C165" s="112" t="s">
        <v>1496</v>
      </c>
      <c r="D165" s="1499">
        <v>3.566796905411914</v>
      </c>
      <c r="E165" s="1499">
        <v>2.8400531384610987</v>
      </c>
      <c r="F165" s="1499">
        <v>1.7496525794471476</v>
      </c>
      <c r="G165" s="1499">
        <v>1.5475957846002508</v>
      </c>
      <c r="H165" s="1499">
        <v>1.6436111467967027</v>
      </c>
      <c r="I165" s="1499">
        <v>3.9588407949851323</v>
      </c>
      <c r="J165" s="1499">
        <v>3.339749284103342</v>
      </c>
      <c r="K165" s="113">
        <v>1.3134185743776567</v>
      </c>
    </row>
    <row r="166" spans="2:11" x14ac:dyDescent="0.3">
      <c r="B166" s="115"/>
      <c r="C166" s="112" t="s">
        <v>1500</v>
      </c>
      <c r="D166" s="1499">
        <v>3.5027582529183046</v>
      </c>
      <c r="E166" s="1499">
        <v>2.7760144859674898</v>
      </c>
      <c r="F166" s="1499">
        <v>1.6856139269535386</v>
      </c>
      <c r="G166" s="1499">
        <v>1.4835571321066419</v>
      </c>
      <c r="H166" s="1499">
        <v>1.5795724943030938</v>
      </c>
      <c r="I166" s="1499">
        <v>3.8948021424915229</v>
      </c>
      <c r="J166" s="1499">
        <v>3.2757106316097326</v>
      </c>
      <c r="K166" s="113">
        <v>1.2493799218840478</v>
      </c>
    </row>
    <row r="167" spans="2:11" x14ac:dyDescent="0.3">
      <c r="B167" s="115"/>
      <c r="C167" s="112" t="s">
        <v>1504</v>
      </c>
      <c r="D167" s="1499">
        <v>3.6044625595764899</v>
      </c>
      <c r="E167" s="1499">
        <v>2.8744268973487119</v>
      </c>
      <c r="F167" s="1499">
        <v>1.7814976965000622</v>
      </c>
      <c r="G167" s="1499">
        <v>1.5802250369281099</v>
      </c>
      <c r="H167" s="1499">
        <v>1.6800706647751726</v>
      </c>
      <c r="I167" s="1499">
        <v>3.9959439080582873</v>
      </c>
      <c r="J167" s="1499">
        <v>3.3744328566434065</v>
      </c>
      <c r="K167" s="113">
        <v>1.342579353996211</v>
      </c>
    </row>
    <row r="168" spans="2:11" x14ac:dyDescent="0.3">
      <c r="B168" s="115"/>
      <c r="C168" s="112" t="s">
        <v>1508</v>
      </c>
      <c r="D168" s="1499">
        <v>3.5693381049462087</v>
      </c>
      <c r="E168" s="1499">
        <v>2.8393024427184312</v>
      </c>
      <c r="F168" s="1499">
        <v>1.7463732418697815</v>
      </c>
      <c r="G168" s="1499">
        <v>1.5451005822978292</v>
      </c>
      <c r="H168" s="1499">
        <v>1.644946210144892</v>
      </c>
      <c r="I168" s="1499">
        <v>3.9608194534280066</v>
      </c>
      <c r="J168" s="1499">
        <v>3.3393084020131258</v>
      </c>
      <c r="K168" s="113">
        <v>1.3074548993659303</v>
      </c>
    </row>
    <row r="169" spans="2:11" x14ac:dyDescent="0.3">
      <c r="B169" s="115"/>
      <c r="C169" s="112" t="s">
        <v>1513</v>
      </c>
      <c r="D169" s="1499">
        <v>3.5166514230007877</v>
      </c>
      <c r="E169" s="1499">
        <v>2.7866157607730098</v>
      </c>
      <c r="F169" s="1499">
        <v>1.6936865599243602</v>
      </c>
      <c r="G169" s="1499">
        <v>1.4924139003524077</v>
      </c>
      <c r="H169" s="1499">
        <v>1.5922595281994705</v>
      </c>
      <c r="I169" s="1499">
        <v>3.9081327714825851</v>
      </c>
      <c r="J169" s="1499">
        <v>3.2866217200677044</v>
      </c>
      <c r="K169" s="113">
        <v>1.254768217420509</v>
      </c>
    </row>
    <row r="170" spans="2:11" x14ac:dyDescent="0.3">
      <c r="B170" s="115"/>
      <c r="C170" s="112" t="s">
        <v>1517</v>
      </c>
      <c r="D170" s="1499">
        <v>3.4639647410553667</v>
      </c>
      <c r="E170" s="1499">
        <v>2.7339290788275887</v>
      </c>
      <c r="F170" s="1499">
        <v>1.6409998779789392</v>
      </c>
      <c r="G170" s="1499">
        <v>1.4397272184069867</v>
      </c>
      <c r="H170" s="1499">
        <v>1.5395728462540494</v>
      </c>
      <c r="I170" s="1499">
        <v>3.8554460895371641</v>
      </c>
      <c r="J170" s="1499">
        <v>3.2339350381222829</v>
      </c>
      <c r="K170" s="113">
        <v>1.202081535475088</v>
      </c>
    </row>
    <row r="171" spans="2:11" ht="14.5" thickBot="1" x14ac:dyDescent="0.35">
      <c r="B171" s="1233"/>
      <c r="C171" s="116" t="s">
        <v>1519</v>
      </c>
      <c r="D171" s="117">
        <v>3.6735279929012625</v>
      </c>
      <c r="E171" s="117">
        <v>2.9467842259504478</v>
      </c>
      <c r="F171" s="117">
        <v>1.8563836669364959</v>
      </c>
      <c r="G171" s="117">
        <v>1.6543268720895996</v>
      </c>
      <c r="H171" s="117">
        <v>1.7503422342860515</v>
      </c>
      <c r="I171" s="117">
        <v>4.0655718824744804</v>
      </c>
      <c r="J171" s="117">
        <v>3.4464803715926906</v>
      </c>
      <c r="K171" s="118">
        <v>1.4201496618670055</v>
      </c>
    </row>
    <row r="173" spans="2:11" ht="14.5" thickBot="1" x14ac:dyDescent="0.35"/>
    <row r="174" spans="2:11" ht="25.5" thickBot="1" x14ac:dyDescent="0.55000000000000004">
      <c r="B174" s="88" t="s">
        <v>1960</v>
      </c>
      <c r="C174" s="89"/>
      <c r="D174" s="90">
        <v>7</v>
      </c>
      <c r="E174" s="91" t="s">
        <v>1991</v>
      </c>
      <c r="F174" s="92"/>
      <c r="G174" s="92"/>
      <c r="H174" s="92"/>
      <c r="I174" s="93"/>
      <c r="J174" s="89" t="s">
        <v>176</v>
      </c>
      <c r="K174" s="94" t="s">
        <v>200</v>
      </c>
    </row>
    <row r="175" spans="2:11" ht="14.5" thickBot="1" x14ac:dyDescent="0.35">
      <c r="B175" s="95" t="s">
        <v>1962</v>
      </c>
      <c r="C175" s="96" t="s">
        <v>1963</v>
      </c>
      <c r="D175" s="95" t="s">
        <v>1964</v>
      </c>
      <c r="E175" s="97" t="s">
        <v>1965</v>
      </c>
      <c r="F175" s="97" t="s">
        <v>1966</v>
      </c>
      <c r="G175" s="97" t="s">
        <v>1967</v>
      </c>
      <c r="H175" s="97" t="s">
        <v>1968</v>
      </c>
      <c r="I175" s="97" t="s">
        <v>1969</v>
      </c>
      <c r="J175" s="97" t="s">
        <v>1970</v>
      </c>
      <c r="K175" s="98" t="s">
        <v>1971</v>
      </c>
    </row>
    <row r="176" spans="2:11" ht="14.5" thickBot="1" x14ac:dyDescent="0.35">
      <c r="B176" s="99"/>
      <c r="C176" s="99"/>
      <c r="D176" s="100"/>
      <c r="E176" s="944"/>
      <c r="F176" s="944"/>
      <c r="G176" s="944"/>
      <c r="H176" s="944"/>
      <c r="I176" s="944"/>
      <c r="J176" s="944"/>
      <c r="K176" s="102"/>
    </row>
    <row r="177" spans="2:11" ht="81.5" thickBot="1" x14ac:dyDescent="0.45">
      <c r="B177" s="103" t="s">
        <v>1972</v>
      </c>
      <c r="C177" s="103" t="s">
        <v>1973</v>
      </c>
      <c r="D177" s="105" t="s">
        <v>1974</v>
      </c>
      <c r="E177" s="105" t="s">
        <v>1525</v>
      </c>
      <c r="F177" s="105" t="s">
        <v>1527</v>
      </c>
      <c r="G177" s="105" t="s">
        <v>1975</v>
      </c>
      <c r="H177" s="105" t="s">
        <v>1976</v>
      </c>
      <c r="I177" s="105" t="s">
        <v>1445</v>
      </c>
      <c r="J177" s="105" t="s">
        <v>1538</v>
      </c>
      <c r="K177" s="106" t="s">
        <v>1541</v>
      </c>
    </row>
    <row r="178" spans="2:11" x14ac:dyDescent="0.3">
      <c r="B178" s="120" t="s">
        <v>1992</v>
      </c>
      <c r="C178" s="108" t="s">
        <v>1416</v>
      </c>
      <c r="D178" s="109">
        <v>6.6872014653369769</v>
      </c>
      <c r="E178" s="109">
        <v>6.0158999174372196</v>
      </c>
      <c r="F178" s="109">
        <v>4.8460965379600438</v>
      </c>
      <c r="G178" s="109">
        <v>4.6706922774276887</v>
      </c>
      <c r="H178" s="109">
        <v>4.7644647779686276</v>
      </c>
      <c r="I178" s="109">
        <v>7.1480597723748378</v>
      </c>
      <c r="J178" s="109">
        <v>6.5352767824989515</v>
      </c>
      <c r="K178" s="110">
        <v>4.4136303975407083</v>
      </c>
    </row>
    <row r="179" spans="2:11" x14ac:dyDescent="0.3">
      <c r="B179" s="128"/>
      <c r="C179" s="112" t="s">
        <v>1483</v>
      </c>
      <c r="D179" s="1499">
        <v>7.0970317054822809</v>
      </c>
      <c r="E179" s="1499">
        <v>6.4304442269164479</v>
      </c>
      <c r="F179" s="1499">
        <v>5.2647347792905812</v>
      </c>
      <c r="G179" s="1499">
        <v>5.088545469967328</v>
      </c>
      <c r="H179" s="1499">
        <v>5.1785982678628271</v>
      </c>
      <c r="I179" s="1499">
        <v>7.5587031108243306</v>
      </c>
      <c r="J179" s="1499">
        <v>6.9497852300542737</v>
      </c>
      <c r="K179" s="113">
        <v>4.8302642164450766</v>
      </c>
    </row>
    <row r="180" spans="2:11" x14ac:dyDescent="0.3">
      <c r="B180" s="128"/>
      <c r="C180" s="112" t="s">
        <v>1489</v>
      </c>
      <c r="D180" s="1499">
        <v>7.0543392704865413</v>
      </c>
      <c r="E180" s="1499">
        <v>6.3877517919207083</v>
      </c>
      <c r="F180" s="1499">
        <v>5.2220423442948416</v>
      </c>
      <c r="G180" s="1499">
        <v>5.0458530349715893</v>
      </c>
      <c r="H180" s="1499">
        <v>5.1359058328670883</v>
      </c>
      <c r="I180" s="1499">
        <v>7.5160106758285909</v>
      </c>
      <c r="J180" s="1499">
        <v>6.9070927950585341</v>
      </c>
      <c r="K180" s="113">
        <v>4.787571781449337</v>
      </c>
    </row>
    <row r="181" spans="2:11" x14ac:dyDescent="0.3">
      <c r="B181" s="122">
        <v>0</v>
      </c>
      <c r="C181" s="112" t="s">
        <v>1496</v>
      </c>
      <c r="D181" s="1499">
        <v>6.9903006179929328</v>
      </c>
      <c r="E181" s="1499">
        <v>6.3237131394270989</v>
      </c>
      <c r="F181" s="1499">
        <v>5.1580036918012322</v>
      </c>
      <c r="G181" s="1499">
        <v>4.9818143824779799</v>
      </c>
      <c r="H181" s="1499">
        <v>5.0718671803734789</v>
      </c>
      <c r="I181" s="1499">
        <v>7.4519720233349824</v>
      </c>
      <c r="J181" s="1499">
        <v>6.8430541425649256</v>
      </c>
      <c r="K181" s="113">
        <v>4.7235331289557276</v>
      </c>
    </row>
    <row r="182" spans="2:11" x14ac:dyDescent="0.3">
      <c r="B182" s="123"/>
      <c r="C182" s="112" t="s">
        <v>1500</v>
      </c>
      <c r="D182" s="1499">
        <v>6.9262619654993234</v>
      </c>
      <c r="E182" s="1499">
        <v>6.2596744869334895</v>
      </c>
      <c r="F182" s="1499">
        <v>5.0939650393076228</v>
      </c>
      <c r="G182" s="1499">
        <v>4.9177757299843705</v>
      </c>
      <c r="H182" s="1499">
        <v>5.0078285278798695</v>
      </c>
      <c r="I182" s="1499">
        <v>7.387933370841373</v>
      </c>
      <c r="J182" s="1499">
        <v>6.7790154900713162</v>
      </c>
      <c r="K182" s="113">
        <v>4.6594944764621182</v>
      </c>
    </row>
    <row r="183" spans="2:11" x14ac:dyDescent="0.3">
      <c r="B183" s="123"/>
      <c r="C183" s="112" t="s">
        <v>1504</v>
      </c>
      <c r="D183" s="1499">
        <v>7.0199342092151262</v>
      </c>
      <c r="E183" s="1499">
        <v>6.3509007180238646</v>
      </c>
      <c r="F183" s="1499">
        <v>5.1839550766513698</v>
      </c>
      <c r="G183" s="1499">
        <v>5.0075275992662096</v>
      </c>
      <c r="H183" s="1499">
        <v>5.0987496524918736</v>
      </c>
      <c r="I183" s="1499">
        <v>7.4799967926096018</v>
      </c>
      <c r="J183" s="1499">
        <v>6.8705000862495735</v>
      </c>
      <c r="K183" s="113">
        <v>4.7496053701913423</v>
      </c>
    </row>
    <row r="184" spans="2:11" x14ac:dyDescent="0.3">
      <c r="B184" s="123"/>
      <c r="C184" s="112" t="s">
        <v>1508</v>
      </c>
      <c r="D184" s="1499">
        <v>6.9848097545848447</v>
      </c>
      <c r="E184" s="1499">
        <v>6.3157762633935839</v>
      </c>
      <c r="F184" s="1499">
        <v>5.1488306220210891</v>
      </c>
      <c r="G184" s="1499">
        <v>4.9724031446359289</v>
      </c>
      <c r="H184" s="1499">
        <v>5.0636251978615929</v>
      </c>
      <c r="I184" s="1499">
        <v>7.4448723379793211</v>
      </c>
      <c r="J184" s="1499">
        <v>6.8353756316192928</v>
      </c>
      <c r="K184" s="113">
        <v>4.7144809155610616</v>
      </c>
    </row>
    <row r="185" spans="2:11" x14ac:dyDescent="0.3">
      <c r="B185" s="123"/>
      <c r="C185" s="112" t="s">
        <v>1513</v>
      </c>
      <c r="D185" s="1499">
        <v>6.9321230726394241</v>
      </c>
      <c r="E185" s="1499">
        <v>6.2630895814481624</v>
      </c>
      <c r="F185" s="1499">
        <v>5.0961439400756676</v>
      </c>
      <c r="G185" s="1499">
        <v>4.9197164626905074</v>
      </c>
      <c r="H185" s="1499">
        <v>5.0109385159161715</v>
      </c>
      <c r="I185" s="1499">
        <v>7.3921856560338997</v>
      </c>
      <c r="J185" s="1499">
        <v>6.7826889496738714</v>
      </c>
      <c r="K185" s="113">
        <v>4.6617942336156402</v>
      </c>
    </row>
    <row r="186" spans="2:11" x14ac:dyDescent="0.3">
      <c r="B186" s="123"/>
      <c r="C186" s="112" t="s">
        <v>1517</v>
      </c>
      <c r="D186" s="1499">
        <v>6.8794363906940026</v>
      </c>
      <c r="E186" s="1499">
        <v>6.2104028995027409</v>
      </c>
      <c r="F186" s="1499">
        <v>5.0434572581302461</v>
      </c>
      <c r="G186" s="1499">
        <v>4.8670297807450869</v>
      </c>
      <c r="H186" s="1499">
        <v>4.95825183397075</v>
      </c>
      <c r="I186" s="1499">
        <v>7.3394989740884782</v>
      </c>
      <c r="J186" s="1499">
        <v>6.7300022677284499</v>
      </c>
      <c r="K186" s="113">
        <v>4.6091075516702196</v>
      </c>
    </row>
    <row r="187" spans="2:11" ht="14.5" thickBot="1" x14ac:dyDescent="0.35">
      <c r="B187" s="124"/>
      <c r="C187" s="116" t="s">
        <v>1519</v>
      </c>
      <c r="D187" s="117">
        <v>7.0970317054822809</v>
      </c>
      <c r="E187" s="117">
        <v>6.4304442269164479</v>
      </c>
      <c r="F187" s="117">
        <v>5.2647347792905812</v>
      </c>
      <c r="G187" s="117">
        <v>5.088545469967328</v>
      </c>
      <c r="H187" s="117">
        <v>5.1785982678628271</v>
      </c>
      <c r="I187" s="117">
        <v>7.5587031108243306</v>
      </c>
      <c r="J187" s="117">
        <v>6.9497852300542737</v>
      </c>
      <c r="K187" s="118">
        <v>4.8302642164450766</v>
      </c>
    </row>
    <row r="188" spans="2:11" x14ac:dyDescent="0.3">
      <c r="B188" s="120" t="s">
        <v>1993</v>
      </c>
      <c r="C188" s="1234" t="s">
        <v>1416</v>
      </c>
      <c r="D188" s="109">
        <v>4.7194133805768672</v>
      </c>
      <c r="E188" s="109">
        <v>4.1395062919019248</v>
      </c>
      <c r="F188" s="109">
        <v>2.8532493092321531</v>
      </c>
      <c r="G188" s="109">
        <v>2.7050069045685743</v>
      </c>
      <c r="H188" s="109">
        <v>2.7422486554578955</v>
      </c>
      <c r="I188" s="109">
        <v>5.3482127783133375</v>
      </c>
      <c r="J188" s="109">
        <v>4.6901906390162136</v>
      </c>
      <c r="K188" s="110">
        <v>2.4269260072976753</v>
      </c>
    </row>
    <row r="189" spans="2:11" x14ac:dyDescent="0.3">
      <c r="B189" s="121"/>
      <c r="C189" s="1500" t="s">
        <v>1483</v>
      </c>
      <c r="D189" s="1499">
        <v>5.1714827028622334</v>
      </c>
      <c r="E189" s="1499">
        <v>4.5955406938345442</v>
      </c>
      <c r="F189" s="1499">
        <v>3.3330342163674187</v>
      </c>
      <c r="G189" s="1499">
        <v>3.1903254442974402</v>
      </c>
      <c r="H189" s="1499">
        <v>3.2182467780519723</v>
      </c>
      <c r="I189" s="1499">
        <v>5.7962268416960958</v>
      </c>
      <c r="J189" s="1499">
        <v>5.1438733188677936</v>
      </c>
      <c r="K189" s="113">
        <v>2.9176097929929536</v>
      </c>
    </row>
    <row r="190" spans="2:11" x14ac:dyDescent="0.3">
      <c r="B190" s="128"/>
      <c r="C190" s="1500" t="s">
        <v>1489</v>
      </c>
      <c r="D190" s="1499">
        <v>5.1287902678664938</v>
      </c>
      <c r="E190" s="1499">
        <v>4.5528482588388046</v>
      </c>
      <c r="F190" s="1499">
        <v>3.2903417813716791</v>
      </c>
      <c r="G190" s="1499">
        <v>3.1476330093017011</v>
      </c>
      <c r="H190" s="1499">
        <v>3.1755543430562327</v>
      </c>
      <c r="I190" s="1499">
        <v>5.7535344067003562</v>
      </c>
      <c r="J190" s="1499">
        <v>5.1011808838720549</v>
      </c>
      <c r="K190" s="113">
        <v>2.8749173579972145</v>
      </c>
    </row>
    <row r="191" spans="2:11" x14ac:dyDescent="0.3">
      <c r="B191" s="122">
        <v>0</v>
      </c>
      <c r="C191" s="1500" t="s">
        <v>1496</v>
      </c>
      <c r="D191" s="1499">
        <v>5.0647516153728844</v>
      </c>
      <c r="E191" s="1499">
        <v>4.4888096063451952</v>
      </c>
      <c r="F191" s="1499">
        <v>3.2263031288780701</v>
      </c>
      <c r="G191" s="1499">
        <v>3.0835943568080917</v>
      </c>
      <c r="H191" s="1499">
        <v>3.1115156905626233</v>
      </c>
      <c r="I191" s="1499">
        <v>5.6894957542067477</v>
      </c>
      <c r="J191" s="1499">
        <v>5.0371422313784455</v>
      </c>
      <c r="K191" s="113">
        <v>2.8108787055036051</v>
      </c>
    </row>
    <row r="192" spans="2:11" x14ac:dyDescent="0.3">
      <c r="B192" s="123"/>
      <c r="C192" s="1500" t="s">
        <v>1500</v>
      </c>
      <c r="D192" s="1499">
        <v>5.000712962879275</v>
      </c>
      <c r="E192" s="1499">
        <v>4.4247709538515867</v>
      </c>
      <c r="F192" s="1499">
        <v>3.1622644763844607</v>
      </c>
      <c r="G192" s="1499">
        <v>3.0195557043144827</v>
      </c>
      <c r="H192" s="1499">
        <v>3.0474770380690144</v>
      </c>
      <c r="I192" s="1499">
        <v>5.6254571017131383</v>
      </c>
      <c r="J192" s="1499">
        <v>4.9731035788848361</v>
      </c>
      <c r="K192" s="113">
        <v>2.7468400530099961</v>
      </c>
    </row>
    <row r="193" spans="2:11" x14ac:dyDescent="0.3">
      <c r="B193" s="123"/>
      <c r="C193" s="1500" t="s">
        <v>1504</v>
      </c>
      <c r="D193" s="1499">
        <v>5.0828725512896273</v>
      </c>
      <c r="E193" s="1499">
        <v>4.5065895183278126</v>
      </c>
      <c r="F193" s="1499">
        <v>3.2394885301346252</v>
      </c>
      <c r="G193" s="1499">
        <v>3.094798853659904</v>
      </c>
      <c r="H193" s="1499">
        <v>3.1247551337883768</v>
      </c>
      <c r="I193" s="1499">
        <v>5.7107653670068661</v>
      </c>
      <c r="J193" s="1499">
        <v>5.056347754456425</v>
      </c>
      <c r="K193" s="113">
        <v>2.8198154526997876</v>
      </c>
    </row>
    <row r="194" spans="2:11" x14ac:dyDescent="0.3">
      <c r="B194" s="123"/>
      <c r="C194" s="1500" t="s">
        <v>1508</v>
      </c>
      <c r="D194" s="1499">
        <v>5.0477480966593467</v>
      </c>
      <c r="E194" s="1499">
        <v>4.4714650636975319</v>
      </c>
      <c r="F194" s="1499">
        <v>3.2043640755043445</v>
      </c>
      <c r="G194" s="1499">
        <v>3.0596743990296233</v>
      </c>
      <c r="H194" s="1499">
        <v>3.0896306791580961</v>
      </c>
      <c r="I194" s="1499">
        <v>5.6756409123765845</v>
      </c>
      <c r="J194" s="1499">
        <v>5.0212232998261435</v>
      </c>
      <c r="K194" s="113">
        <v>2.7846909980695069</v>
      </c>
    </row>
    <row r="195" spans="2:11" x14ac:dyDescent="0.3">
      <c r="B195" s="123"/>
      <c r="C195" s="1500" t="s">
        <v>1513</v>
      </c>
      <c r="D195" s="1499">
        <v>4.9950614147139252</v>
      </c>
      <c r="E195" s="1499">
        <v>4.4187783817521105</v>
      </c>
      <c r="F195" s="1499">
        <v>3.1516773935589235</v>
      </c>
      <c r="G195" s="1499">
        <v>3.0069877170842019</v>
      </c>
      <c r="H195" s="1499">
        <v>3.0369439972126746</v>
      </c>
      <c r="I195" s="1499">
        <v>5.622954230431163</v>
      </c>
      <c r="J195" s="1499">
        <v>4.968536617880722</v>
      </c>
      <c r="K195" s="113">
        <v>2.7320043161240855</v>
      </c>
    </row>
    <row r="196" spans="2:11" x14ac:dyDescent="0.3">
      <c r="B196" s="123"/>
      <c r="C196" s="1500" t="s">
        <v>1517</v>
      </c>
      <c r="D196" s="1499">
        <v>4.9423747327685046</v>
      </c>
      <c r="E196" s="1499">
        <v>4.3660916998066899</v>
      </c>
      <c r="F196" s="1499">
        <v>3.0989907116135025</v>
      </c>
      <c r="G196" s="1499">
        <v>2.9543010351387813</v>
      </c>
      <c r="H196" s="1499">
        <v>2.984257315267254</v>
      </c>
      <c r="I196" s="1499">
        <v>5.5702675484857416</v>
      </c>
      <c r="J196" s="1499">
        <v>4.9158499359353014</v>
      </c>
      <c r="K196" s="113">
        <v>2.6793176341786649</v>
      </c>
    </row>
    <row r="197" spans="2:11" ht="14.5" thickBot="1" x14ac:dyDescent="0.35">
      <c r="B197" s="124"/>
      <c r="C197" s="125" t="s">
        <v>1519</v>
      </c>
      <c r="D197" s="117">
        <v>5.1714827028622334</v>
      </c>
      <c r="E197" s="117">
        <v>4.5955406938345442</v>
      </c>
      <c r="F197" s="117">
        <v>3.3330342163674187</v>
      </c>
      <c r="G197" s="117">
        <v>3.1903254442974402</v>
      </c>
      <c r="H197" s="117">
        <v>3.2182467780519723</v>
      </c>
      <c r="I197" s="117">
        <v>5.7962268416960958</v>
      </c>
      <c r="J197" s="117">
        <v>5.1438733188677936</v>
      </c>
      <c r="K197" s="118">
        <v>2.9176097929929536</v>
      </c>
    </row>
    <row r="198" spans="2:11" x14ac:dyDescent="0.3">
      <c r="B198" s="119" t="s">
        <v>1994</v>
      </c>
      <c r="C198" s="108" t="s">
        <v>1416</v>
      </c>
      <c r="D198" s="109">
        <v>6.5157573336574401</v>
      </c>
      <c r="E198" s="109">
        <v>6.0245765192491891</v>
      </c>
      <c r="F198" s="109">
        <v>4.6784675988425413</v>
      </c>
      <c r="G198" s="109">
        <v>4.5731006583589418</v>
      </c>
      <c r="H198" s="109">
        <v>4.5688503675470375</v>
      </c>
      <c r="I198" s="109">
        <v>7.2561828550910628</v>
      </c>
      <c r="J198" s="109">
        <v>6.5938026674218051</v>
      </c>
      <c r="K198" s="110">
        <v>4.2862808390065954</v>
      </c>
    </row>
    <row r="199" spans="2:11" x14ac:dyDescent="0.3">
      <c r="B199" s="111"/>
      <c r="C199" s="112" t="s">
        <v>1483</v>
      </c>
      <c r="D199" s="1499">
        <v>6.9555038177986495</v>
      </c>
      <c r="E199" s="1499">
        <v>6.4661195432517173</v>
      </c>
      <c r="F199" s="1499">
        <v>5.1337488772562123</v>
      </c>
      <c r="G199" s="1499">
        <v>5.0266838171549555</v>
      </c>
      <c r="H199" s="1499">
        <v>5.0187132537611214</v>
      </c>
      <c r="I199" s="1499">
        <v>7.6920981889193865</v>
      </c>
      <c r="J199" s="1499">
        <v>7.0344476201311759</v>
      </c>
      <c r="K199" s="113">
        <v>4.7438530565886694</v>
      </c>
    </row>
    <row r="200" spans="2:11" x14ac:dyDescent="0.3">
      <c r="B200" s="111"/>
      <c r="C200" s="112" t="s">
        <v>1489</v>
      </c>
      <c r="D200" s="1499">
        <v>6.9128113828029099</v>
      </c>
      <c r="E200" s="1499">
        <v>6.4234271082559777</v>
      </c>
      <c r="F200" s="1499">
        <v>5.0910564422604727</v>
      </c>
      <c r="G200" s="1499">
        <v>4.9839913821592159</v>
      </c>
      <c r="H200" s="1499">
        <v>4.9760208187653818</v>
      </c>
      <c r="I200" s="1499">
        <v>7.6494057539236469</v>
      </c>
      <c r="J200" s="1499">
        <v>6.9917551851354363</v>
      </c>
      <c r="K200" s="113">
        <v>4.7011606215929307</v>
      </c>
    </row>
    <row r="201" spans="2:11" x14ac:dyDescent="0.3">
      <c r="B201" s="114">
        <v>0</v>
      </c>
      <c r="C201" s="112" t="s">
        <v>1496</v>
      </c>
      <c r="D201" s="1499">
        <v>6.8487727303093013</v>
      </c>
      <c r="E201" s="1499">
        <v>6.3593884557623683</v>
      </c>
      <c r="F201" s="1499">
        <v>5.0270177897668633</v>
      </c>
      <c r="G201" s="1499">
        <v>4.9199527296656065</v>
      </c>
      <c r="H201" s="1499">
        <v>4.9119821662717724</v>
      </c>
      <c r="I201" s="1499">
        <v>7.5853671014300383</v>
      </c>
      <c r="J201" s="1499">
        <v>6.9277165326418269</v>
      </c>
      <c r="K201" s="113">
        <v>4.6371219690993213</v>
      </c>
    </row>
    <row r="202" spans="2:11" x14ac:dyDescent="0.3">
      <c r="B202" s="115"/>
      <c r="C202" s="112" t="s">
        <v>1500</v>
      </c>
      <c r="D202" s="1499">
        <v>6.7847340778156919</v>
      </c>
      <c r="E202" s="1499">
        <v>6.2953498032687589</v>
      </c>
      <c r="F202" s="1499">
        <v>4.9629791372732548</v>
      </c>
      <c r="G202" s="1499">
        <v>4.8559140771719971</v>
      </c>
      <c r="H202" s="1499">
        <v>4.847943513778163</v>
      </c>
      <c r="I202" s="1499">
        <v>7.5213284489364289</v>
      </c>
      <c r="J202" s="1499">
        <v>6.8636778801482174</v>
      </c>
      <c r="K202" s="113">
        <v>4.5730833166057119</v>
      </c>
    </row>
    <row r="203" spans="2:11" x14ac:dyDescent="0.3">
      <c r="B203" s="115"/>
      <c r="C203" s="112" t="s">
        <v>1504</v>
      </c>
      <c r="D203" s="1499">
        <v>6.8724451940133156</v>
      </c>
      <c r="E203" s="1499">
        <v>6.3816415256983632</v>
      </c>
      <c r="F203" s="1499">
        <v>5.0451047856539244</v>
      </c>
      <c r="G203" s="1499">
        <v>4.9388269484369332</v>
      </c>
      <c r="H203" s="1499">
        <v>4.9313430275836616</v>
      </c>
      <c r="I203" s="1499">
        <v>7.6085007204787551</v>
      </c>
      <c r="J203" s="1499">
        <v>6.9501279796017723</v>
      </c>
      <c r="K203" s="113">
        <v>4.6550314011422929</v>
      </c>
    </row>
    <row r="204" spans="2:11" x14ac:dyDescent="0.3">
      <c r="B204" s="115"/>
      <c r="C204" s="112" t="s">
        <v>1508</v>
      </c>
      <c r="D204" s="1499">
        <v>6.837320739383034</v>
      </c>
      <c r="E204" s="1499">
        <v>6.3465170710680825</v>
      </c>
      <c r="F204" s="1499">
        <v>5.0099803310236428</v>
      </c>
      <c r="G204" s="1499">
        <v>4.9037024938066525</v>
      </c>
      <c r="H204" s="1499">
        <v>4.8962185729533809</v>
      </c>
      <c r="I204" s="1499">
        <v>7.5733762658484736</v>
      </c>
      <c r="J204" s="1499">
        <v>6.9150035249714907</v>
      </c>
      <c r="K204" s="113">
        <v>4.6199069465120122</v>
      </c>
    </row>
    <row r="205" spans="2:11" x14ac:dyDescent="0.3">
      <c r="B205" s="115"/>
      <c r="C205" s="112" t="s">
        <v>1513</v>
      </c>
      <c r="D205" s="1499">
        <v>6.7846340574376125</v>
      </c>
      <c r="E205" s="1499">
        <v>6.293830389122661</v>
      </c>
      <c r="F205" s="1499">
        <v>4.9572936490782213</v>
      </c>
      <c r="G205" s="1499">
        <v>4.8510158118612319</v>
      </c>
      <c r="H205" s="1499">
        <v>4.8435318910079594</v>
      </c>
      <c r="I205" s="1499">
        <v>7.5206895839030521</v>
      </c>
      <c r="J205" s="1499">
        <v>6.8623168430260701</v>
      </c>
      <c r="K205" s="113">
        <v>4.5672202645665907</v>
      </c>
    </row>
    <row r="206" spans="2:11" x14ac:dyDescent="0.3">
      <c r="B206" s="115"/>
      <c r="C206" s="112" t="s">
        <v>1517</v>
      </c>
      <c r="D206" s="1499">
        <v>6.731947375492191</v>
      </c>
      <c r="E206" s="1499">
        <v>6.2411437071772395</v>
      </c>
      <c r="F206" s="1499">
        <v>4.9046069671328008</v>
      </c>
      <c r="G206" s="1499">
        <v>4.7983291299158104</v>
      </c>
      <c r="H206" s="1499">
        <v>4.7908452090625389</v>
      </c>
      <c r="I206" s="1499">
        <v>7.4680029019576315</v>
      </c>
      <c r="J206" s="1499">
        <v>6.8096301610806487</v>
      </c>
      <c r="K206" s="113">
        <v>4.5145335826211701</v>
      </c>
    </row>
    <row r="207" spans="2:11" ht="14.5" thickBot="1" x14ac:dyDescent="0.35">
      <c r="B207" s="1233"/>
      <c r="C207" s="116" t="s">
        <v>1519</v>
      </c>
      <c r="D207" s="117">
        <v>6.9555038177986495</v>
      </c>
      <c r="E207" s="117">
        <v>6.4661195432517173</v>
      </c>
      <c r="F207" s="117">
        <v>5.1337488772562123</v>
      </c>
      <c r="G207" s="117">
        <v>5.0266838171549555</v>
      </c>
      <c r="H207" s="117">
        <v>5.0187132537611214</v>
      </c>
      <c r="I207" s="117">
        <v>7.6920981889193865</v>
      </c>
      <c r="J207" s="117">
        <v>7.0344476201311759</v>
      </c>
      <c r="K207" s="118">
        <v>4.7438530565886694</v>
      </c>
    </row>
    <row r="208" spans="2:11" x14ac:dyDescent="0.3">
      <c r="B208" s="120" t="s">
        <v>1519</v>
      </c>
      <c r="C208" s="108" t="s">
        <v>1416</v>
      </c>
      <c r="D208" s="129">
        <v>3.9502552574298297</v>
      </c>
      <c r="E208" s="109">
        <v>3.2194897920762053</v>
      </c>
      <c r="F208" s="109">
        <v>2.1129407416370567</v>
      </c>
      <c r="G208" s="109">
        <v>1.9056098648496955</v>
      </c>
      <c r="H208" s="109">
        <v>2.0142321122057161</v>
      </c>
      <c r="I208" s="109">
        <v>4.3453446355682575</v>
      </c>
      <c r="J208" s="109">
        <v>3.7215549003166535</v>
      </c>
      <c r="K208" s="110">
        <v>1.6606589996054377</v>
      </c>
    </row>
    <row r="209" spans="2:11" x14ac:dyDescent="0.3">
      <c r="B209" s="111"/>
      <c r="C209" s="112" t="s">
        <v>1483</v>
      </c>
      <c r="D209" s="130">
        <v>4.2837766407457289</v>
      </c>
      <c r="E209" s="1499">
        <v>3.5618753427872614</v>
      </c>
      <c r="F209" s="1499">
        <v>2.467961675076916</v>
      </c>
      <c r="G209" s="1499">
        <v>2.2591212304801647</v>
      </c>
      <c r="H209" s="1499">
        <v>2.3615367124165401</v>
      </c>
      <c r="I209" s="1499">
        <v>4.6859227011834603</v>
      </c>
      <c r="J209" s="1499">
        <v>4.0658259696940036</v>
      </c>
      <c r="K209" s="113">
        <v>2.0245816726799832</v>
      </c>
    </row>
    <row r="210" spans="2:11" x14ac:dyDescent="0.3">
      <c r="B210" s="111"/>
      <c r="C210" s="112" t="s">
        <v>1489</v>
      </c>
      <c r="D210" s="130">
        <v>4.2410842057499902</v>
      </c>
      <c r="E210" s="1499">
        <v>3.5191829077915222</v>
      </c>
      <c r="F210" s="1499">
        <v>2.4252692400811764</v>
      </c>
      <c r="G210" s="1499">
        <v>2.2164287954844255</v>
      </c>
      <c r="H210" s="1499">
        <v>2.3188442774208009</v>
      </c>
      <c r="I210" s="1499">
        <v>4.6432302661877216</v>
      </c>
      <c r="J210" s="1499">
        <v>4.023133534698264</v>
      </c>
      <c r="K210" s="113">
        <v>1.9818892376842439</v>
      </c>
    </row>
    <row r="211" spans="2:11" x14ac:dyDescent="0.3">
      <c r="B211" s="114">
        <v>0</v>
      </c>
      <c r="C211" s="112" t="s">
        <v>1496</v>
      </c>
      <c r="D211" s="130">
        <v>4.1770455532563808</v>
      </c>
      <c r="E211" s="1499">
        <v>3.4551442552979128</v>
      </c>
      <c r="F211" s="1499">
        <v>2.3612305875875674</v>
      </c>
      <c r="G211" s="1499">
        <v>2.1523901429908165</v>
      </c>
      <c r="H211" s="1499">
        <v>2.2548056249271919</v>
      </c>
      <c r="I211" s="1499">
        <v>4.5791916136941122</v>
      </c>
      <c r="J211" s="1499">
        <v>3.9590948822046546</v>
      </c>
      <c r="K211" s="113">
        <v>1.9178505851906349</v>
      </c>
    </row>
    <row r="212" spans="2:11" x14ac:dyDescent="0.3">
      <c r="B212" s="115"/>
      <c r="C212" s="112" t="s">
        <v>1500</v>
      </c>
      <c r="D212" s="130">
        <v>4.1130069007627714</v>
      </c>
      <c r="E212" s="1499">
        <v>3.3911056028043038</v>
      </c>
      <c r="F212" s="1499">
        <v>2.2971919350939585</v>
      </c>
      <c r="G212" s="1499">
        <v>2.0883514904972071</v>
      </c>
      <c r="H212" s="1499">
        <v>2.1907669724335825</v>
      </c>
      <c r="I212" s="1499">
        <v>4.5151529612005028</v>
      </c>
      <c r="J212" s="1499">
        <v>3.8950562297110456</v>
      </c>
      <c r="K212" s="113">
        <v>1.8538119326970257</v>
      </c>
    </row>
    <row r="213" spans="2:11" x14ac:dyDescent="0.3">
      <c r="B213" s="115"/>
      <c r="C213" s="112" t="s">
        <v>1504</v>
      </c>
      <c r="D213" s="130">
        <v>4.2154225715251767</v>
      </c>
      <c r="E213" s="1499">
        <v>3.4911153057016695</v>
      </c>
      <c r="F213" s="1499">
        <v>2.3944738631103379</v>
      </c>
      <c r="G213" s="1499">
        <v>2.1847956071241859</v>
      </c>
      <c r="H213" s="1499">
        <v>2.2876108144615497</v>
      </c>
      <c r="I213" s="1499">
        <v>4.6172493559013024</v>
      </c>
      <c r="J213" s="1499">
        <v>3.9952979930836765</v>
      </c>
      <c r="K213" s="113">
        <v>1.950156858309567</v>
      </c>
    </row>
    <row r="214" spans="2:11" x14ac:dyDescent="0.3">
      <c r="B214" s="115"/>
      <c r="C214" s="112" t="s">
        <v>1508</v>
      </c>
      <c r="D214" s="130">
        <v>4.1802981168948961</v>
      </c>
      <c r="E214" s="1499">
        <v>3.4559908510713888</v>
      </c>
      <c r="F214" s="1499">
        <v>2.3593494084800568</v>
      </c>
      <c r="G214" s="1499">
        <v>2.1496711524939047</v>
      </c>
      <c r="H214" s="1499">
        <v>2.2524863598312685</v>
      </c>
      <c r="I214" s="1499">
        <v>4.5821249012710217</v>
      </c>
      <c r="J214" s="1499">
        <v>3.9601735384533958</v>
      </c>
      <c r="K214" s="113">
        <v>1.9150324036792861</v>
      </c>
    </row>
    <row r="215" spans="2:11" x14ac:dyDescent="0.3">
      <c r="B215" s="115"/>
      <c r="C215" s="112" t="s">
        <v>1513</v>
      </c>
      <c r="D215" s="130">
        <v>4.1276114349494755</v>
      </c>
      <c r="E215" s="1499">
        <v>3.4033041691259673</v>
      </c>
      <c r="F215" s="1499">
        <v>2.3066627265346358</v>
      </c>
      <c r="G215" s="1499">
        <v>2.0969844705484837</v>
      </c>
      <c r="H215" s="1499">
        <v>2.1997996778858475</v>
      </c>
      <c r="I215" s="1499">
        <v>4.5294382193256002</v>
      </c>
      <c r="J215" s="1499">
        <v>3.9074868565079743</v>
      </c>
      <c r="K215" s="113">
        <v>1.862345721733865</v>
      </c>
    </row>
    <row r="216" spans="2:11" x14ac:dyDescent="0.3">
      <c r="B216" s="115"/>
      <c r="C216" s="112" t="s">
        <v>1517</v>
      </c>
      <c r="D216" s="130">
        <v>4.074924753004054</v>
      </c>
      <c r="E216" s="1499">
        <v>3.3506174871805463</v>
      </c>
      <c r="F216" s="1499">
        <v>2.2539760445892147</v>
      </c>
      <c r="G216" s="1499">
        <v>2.0442977886030627</v>
      </c>
      <c r="H216" s="1499">
        <v>2.1471129959404265</v>
      </c>
      <c r="I216" s="1499">
        <v>4.4767515373801787</v>
      </c>
      <c r="J216" s="1499">
        <v>3.8548001745625533</v>
      </c>
      <c r="K216" s="113">
        <v>1.8096590397884438</v>
      </c>
    </row>
    <row r="217" spans="2:11" ht="14.5" thickBot="1" x14ac:dyDescent="0.35">
      <c r="B217" s="1233"/>
      <c r="C217" s="116" t="s">
        <v>1519</v>
      </c>
      <c r="D217" s="131">
        <v>4.2837766407457289</v>
      </c>
      <c r="E217" s="117">
        <v>3.5618753427872614</v>
      </c>
      <c r="F217" s="117">
        <v>2.467961675076916</v>
      </c>
      <c r="G217" s="117">
        <v>2.2591212304801647</v>
      </c>
      <c r="H217" s="117">
        <v>2.3615367124165401</v>
      </c>
      <c r="I217" s="117">
        <v>4.6859227011834603</v>
      </c>
      <c r="J217" s="117">
        <v>4.0658259696940036</v>
      </c>
      <c r="K217" s="118">
        <v>2.0245816726799832</v>
      </c>
    </row>
    <row r="221" spans="2:11" ht="14.5" thickBot="1" x14ac:dyDescent="0.35"/>
    <row r="222" spans="2:11" x14ac:dyDescent="0.3">
      <c r="C222" s="132" t="s">
        <v>1995</v>
      </c>
      <c r="D222" s="132"/>
      <c r="E222" s="132"/>
      <c r="F222" s="132"/>
    </row>
    <row r="223" spans="2:11" x14ac:dyDescent="0.3">
      <c r="C223" s="1504" t="s">
        <v>1996</v>
      </c>
      <c r="D223" s="1504" t="s">
        <v>1997</v>
      </c>
      <c r="E223" s="1504" t="s">
        <v>1998</v>
      </c>
      <c r="F223" s="1504" t="s">
        <v>1999</v>
      </c>
    </row>
    <row r="224" spans="2:11" x14ac:dyDescent="0.3">
      <c r="C224" s="1498">
        <v>1</v>
      </c>
      <c r="D224" s="1505">
        <v>291.7513971553056</v>
      </c>
      <c r="E224" s="1506">
        <v>5.6475299488057608E-2</v>
      </c>
      <c r="F224" s="1507">
        <v>2.2590119795223043</v>
      </c>
      <c r="H224" s="134" t="s">
        <v>2000</v>
      </c>
    </row>
    <row r="225" spans="2:11" x14ac:dyDescent="0.3">
      <c r="C225" s="1498">
        <v>1.5</v>
      </c>
      <c r="D225" s="1505">
        <v>246.36452251243796</v>
      </c>
      <c r="E225" s="1506">
        <v>4.7689609468145169E-2</v>
      </c>
      <c r="F225" s="1507">
        <v>1.9075843787258071</v>
      </c>
      <c r="H225" s="134" t="s">
        <v>2001</v>
      </c>
    </row>
    <row r="226" spans="2:11" x14ac:dyDescent="0.3">
      <c r="C226" s="1498">
        <v>2</v>
      </c>
      <c r="D226" s="1505">
        <v>214.16202247417039</v>
      </c>
      <c r="E226" s="1506">
        <v>4.1456063196703523E-2</v>
      </c>
      <c r="F226" s="1507">
        <v>1.6582425278681405</v>
      </c>
    </row>
    <row r="227" spans="2:11" x14ac:dyDescent="0.3">
      <c r="C227" s="1498">
        <v>2.5</v>
      </c>
      <c r="D227" s="1505">
        <v>189.18382289957074</v>
      </c>
      <c r="E227" s="1506">
        <v>3.6620949070764755E-2</v>
      </c>
      <c r="F227" s="1507">
        <v>1.4648379628305903</v>
      </c>
    </row>
    <row r="228" spans="2:11" x14ac:dyDescent="0.3">
      <c r="B228" s="2"/>
      <c r="C228" s="1498">
        <v>3</v>
      </c>
      <c r="D228" s="1505">
        <v>168.77514783130272</v>
      </c>
      <c r="E228" s="1506">
        <v>3.2670373176791084E-2</v>
      </c>
      <c r="F228" s="1507">
        <v>1.3068149270716434</v>
      </c>
      <c r="I228" s="135"/>
      <c r="J228" s="135"/>
      <c r="K228" s="135"/>
    </row>
    <row r="229" spans="2:11" x14ac:dyDescent="0.3">
      <c r="B229" s="136"/>
      <c r="C229" s="1498">
        <v>3.5</v>
      </c>
      <c r="D229" s="1505">
        <v>151.51985892598418</v>
      </c>
      <c r="E229" s="1506">
        <v>2.9330208851332591E-2</v>
      </c>
      <c r="F229" s="1507">
        <v>1.1732083540533036</v>
      </c>
      <c r="I229" s="135"/>
      <c r="J229" s="135"/>
      <c r="K229" s="135"/>
    </row>
    <row r="230" spans="2:11" x14ac:dyDescent="0.3">
      <c r="B230" s="136"/>
      <c r="C230" s="1498">
        <v>4</v>
      </c>
      <c r="D230" s="1505">
        <v>136.57264779303515</v>
      </c>
      <c r="E230" s="1506">
        <v>2.6436826905349427E-2</v>
      </c>
      <c r="F230" s="1507">
        <v>1.057473076213977</v>
      </c>
      <c r="I230" s="135"/>
      <c r="J230" s="135"/>
      <c r="K230" s="135"/>
    </row>
    <row r="231" spans="2:11" x14ac:dyDescent="0.3">
      <c r="B231" s="137"/>
      <c r="C231" s="1498">
        <v>4.5</v>
      </c>
      <c r="D231" s="1505">
        <v>123.38827318843509</v>
      </c>
      <c r="E231" s="1506">
        <v>2.3884683156878646E-2</v>
      </c>
      <c r="F231" s="1507">
        <v>0.955387326275146</v>
      </c>
      <c r="I231" s="135"/>
      <c r="J231" s="135"/>
      <c r="K231" s="135"/>
    </row>
    <row r="232" spans="2:11" x14ac:dyDescent="0.3">
      <c r="C232" s="1498">
        <v>5</v>
      </c>
      <c r="D232" s="1505">
        <v>111.5944482184355</v>
      </c>
      <c r="E232" s="1506">
        <v>2.160171277941067E-2</v>
      </c>
      <c r="F232" s="1507">
        <v>0.8640685111764268</v>
      </c>
      <c r="I232" s="135"/>
      <c r="J232" s="135"/>
      <c r="K232" s="135"/>
    </row>
    <row r="233" spans="2:11" x14ac:dyDescent="0.3">
      <c r="C233" s="1498">
        <v>5.5</v>
      </c>
      <c r="D233" s="1505">
        <v>100.92563579422543</v>
      </c>
      <c r="E233" s="1506">
        <v>1.9536514865316577E-2</v>
      </c>
      <c r="F233" s="1507">
        <v>0.78146059461266293</v>
      </c>
      <c r="I233" s="135"/>
      <c r="J233" s="135"/>
      <c r="K233" s="135"/>
    </row>
    <row r="234" spans="2:11" x14ac:dyDescent="0.3">
      <c r="C234" s="1498">
        <v>6</v>
      </c>
      <c r="D234" s="1505">
        <v>91.185773150167506</v>
      </c>
      <c r="E234" s="1506">
        <v>1.7651136885436992E-2</v>
      </c>
      <c r="F234" s="1507">
        <v>0.70604547541747964</v>
      </c>
      <c r="I234" s="135"/>
      <c r="J234" s="135"/>
      <c r="K234" s="135"/>
    </row>
    <row r="235" spans="2:11" x14ac:dyDescent="0.3">
      <c r="C235" s="1498">
        <v>6.5</v>
      </c>
      <c r="D235" s="1505">
        <v>82.225968060637157</v>
      </c>
      <c r="E235" s="1506">
        <v>1.59167572707389E-2</v>
      </c>
      <c r="F235" s="1507">
        <v>0.63667029082955606</v>
      </c>
      <c r="I235" s="135"/>
      <c r="J235" s="135"/>
      <c r="K235" s="135"/>
    </row>
    <row r="236" spans="2:11" x14ac:dyDescent="0.3">
      <c r="C236" s="1498">
        <v>7</v>
      </c>
      <c r="D236" s="1505">
        <v>73.930484244848969</v>
      </c>
      <c r="E236" s="1506">
        <v>1.4310972559978506E-2</v>
      </c>
      <c r="F236" s="1507">
        <v>0.57243890239914019</v>
      </c>
      <c r="I236" s="135"/>
      <c r="J236" s="135"/>
      <c r="K236" s="135"/>
    </row>
    <row r="237" spans="2:11" x14ac:dyDescent="0.3">
      <c r="C237" s="1498">
        <v>7.5</v>
      </c>
      <c r="D237" s="1505">
        <v>66.207573575567906</v>
      </c>
      <c r="E237" s="1506">
        <v>1.281602275949824E-2</v>
      </c>
      <c r="F237" s="1507">
        <v>0.51264091037992954</v>
      </c>
      <c r="I237" s="135"/>
      <c r="J237" s="135"/>
      <c r="K237" s="135"/>
    </row>
    <row r="238" spans="2:11" x14ac:dyDescent="0.3">
      <c r="B238" s="2"/>
      <c r="C238" s="1498">
        <v>8</v>
      </c>
      <c r="D238" s="1505">
        <v>58.983273111899919</v>
      </c>
      <c r="E238" s="1506">
        <v>1.1417590613995337E-2</v>
      </c>
      <c r="F238" s="1507">
        <v>0.45670362455981356</v>
      </c>
      <c r="I238" s="135"/>
      <c r="J238" s="135"/>
      <c r="K238" s="135"/>
    </row>
    <row r="239" spans="2:11" x14ac:dyDescent="0.3">
      <c r="B239" s="136"/>
      <c r="C239" s="1498">
        <v>8.5</v>
      </c>
      <c r="D239" s="1505">
        <v>52.197085951450667</v>
      </c>
      <c r="E239" s="1506">
        <v>1.0103965534543295E-2</v>
      </c>
      <c r="F239" s="1507">
        <v>0.40415862138173175</v>
      </c>
      <c r="I239" s="135"/>
      <c r="J239" s="135"/>
      <c r="K239" s="135"/>
    </row>
    <row r="240" spans="2:11" x14ac:dyDescent="0.3">
      <c r="B240" s="136"/>
      <c r="C240" s="1498">
        <v>9</v>
      </c>
      <c r="D240" s="1505">
        <v>45.798898507299874</v>
      </c>
      <c r="E240" s="1506">
        <v>8.8654468655245591E-3</v>
      </c>
      <c r="F240" s="1507">
        <v>0.35461787462098238</v>
      </c>
      <c r="I240" s="135"/>
      <c r="J240" s="135"/>
      <c r="K240" s="135"/>
    </row>
    <row r="241" spans="2:11" x14ac:dyDescent="0.3">
      <c r="B241" s="137"/>
      <c r="C241" s="1498">
        <v>9.5</v>
      </c>
      <c r="D241" s="1505">
        <v>39.746732377563326</v>
      </c>
      <c r="E241" s="1506">
        <v>7.6939087064582514E-3</v>
      </c>
      <c r="F241" s="1507">
        <v>0.30775634825833004</v>
      </c>
      <c r="I241" s="135"/>
      <c r="J241" s="135"/>
      <c r="K241" s="135"/>
    </row>
    <row r="242" spans="2:11" x14ac:dyDescent="0.3">
      <c r="C242" s="1498">
        <v>10</v>
      </c>
      <c r="D242" s="1505">
        <v>34.005073537300269</v>
      </c>
      <c r="E242" s="1506">
        <v>6.5824764880565746E-3</v>
      </c>
      <c r="F242" s="1507">
        <v>0.26329905952226301</v>
      </c>
      <c r="I242" s="135"/>
      <c r="J242" s="135"/>
      <c r="K242" s="135"/>
    </row>
    <row r="243" spans="2:11" x14ac:dyDescent="0.3">
      <c r="I243" s="135"/>
      <c r="J243" s="135"/>
      <c r="K243" s="135"/>
    </row>
    <row r="244" spans="2:11" ht="14.5" thickBot="1" x14ac:dyDescent="0.35">
      <c r="I244" s="135"/>
      <c r="J244" s="135"/>
      <c r="K244" s="135"/>
    </row>
    <row r="245" spans="2:11" x14ac:dyDescent="0.3">
      <c r="C245" s="132" t="s">
        <v>2002</v>
      </c>
      <c r="D245" s="132"/>
      <c r="E245" s="132"/>
      <c r="F245" s="132"/>
      <c r="H245" s="134" t="s">
        <v>2003</v>
      </c>
      <c r="I245" s="135"/>
      <c r="J245" s="135"/>
      <c r="K245" s="135"/>
    </row>
    <row r="246" spans="2:11" x14ac:dyDescent="0.3">
      <c r="C246" s="1508" t="s">
        <v>1996</v>
      </c>
      <c r="D246" s="1508" t="s">
        <v>2004</v>
      </c>
      <c r="E246" s="1508" t="s">
        <v>2005</v>
      </c>
      <c r="F246" s="1508" t="s">
        <v>2006</v>
      </c>
      <c r="H246" s="134" t="s">
        <v>2007</v>
      </c>
      <c r="I246" s="135"/>
      <c r="J246" s="135"/>
      <c r="K246" s="135"/>
    </row>
    <row r="247" spans="2:11" x14ac:dyDescent="0.3">
      <c r="C247" s="1498" t="s">
        <v>376</v>
      </c>
      <c r="D247" s="1509">
        <v>344.99479097695792</v>
      </c>
      <c r="E247" s="1510">
        <v>6.6781802357134712E-2</v>
      </c>
      <c r="F247" s="1511">
        <v>2.6712720942853885</v>
      </c>
      <c r="I247" s="135"/>
      <c r="J247" s="135"/>
      <c r="K247" s="135"/>
    </row>
    <row r="248" spans="2:11" x14ac:dyDescent="0.3">
      <c r="B248" s="2"/>
      <c r="D248" s="135"/>
      <c r="E248" s="135"/>
      <c r="F248" s="135"/>
      <c r="G248" s="135"/>
      <c r="H248" s="135"/>
      <c r="I248" s="135"/>
      <c r="J248" s="135"/>
      <c r="K248" s="135"/>
    </row>
    <row r="249" spans="2:11" x14ac:dyDescent="0.3">
      <c r="B249" s="136"/>
      <c r="D249" s="135"/>
      <c r="E249" s="135"/>
      <c r="F249" s="135"/>
      <c r="G249" s="135"/>
      <c r="H249" s="135"/>
      <c r="I249" s="135"/>
      <c r="J249" s="135"/>
      <c r="K249" s="135"/>
    </row>
    <row r="250" spans="2:11" x14ac:dyDescent="0.3">
      <c r="B250" s="136"/>
      <c r="D250" s="135"/>
      <c r="E250" s="135"/>
      <c r="F250" s="135"/>
      <c r="G250" s="135"/>
      <c r="H250" s="135"/>
      <c r="I250" s="135"/>
      <c r="J250" s="135"/>
      <c r="K250" s="135"/>
    </row>
    <row r="251" spans="2:11" x14ac:dyDescent="0.3">
      <c r="B251" s="137"/>
      <c r="D251" s="135"/>
      <c r="E251" s="135"/>
      <c r="F251" s="135"/>
      <c r="G251" s="135"/>
      <c r="H251" s="135"/>
      <c r="I251" s="135"/>
      <c r="J251" s="135"/>
      <c r="K251" s="135"/>
    </row>
    <row r="252" spans="2:11" x14ac:dyDescent="0.3">
      <c r="D252" s="135"/>
      <c r="E252" s="135"/>
      <c r="F252" s="135"/>
      <c r="G252" s="135"/>
      <c r="H252" s="135"/>
      <c r="I252" s="135"/>
      <c r="J252" s="135"/>
      <c r="K252" s="135"/>
    </row>
    <row r="253" spans="2:11" x14ac:dyDescent="0.3">
      <c r="D253" s="135"/>
      <c r="E253" s="135"/>
      <c r="F253" s="135"/>
      <c r="G253" s="135"/>
      <c r="H253" s="135"/>
      <c r="I253" s="135"/>
      <c r="J253" s="135"/>
      <c r="K253" s="135"/>
    </row>
    <row r="254" spans="2:11" x14ac:dyDescent="0.3">
      <c r="D254" s="135"/>
      <c r="E254" s="135"/>
      <c r="F254" s="135"/>
      <c r="G254" s="135"/>
      <c r="H254" s="135"/>
      <c r="I254" s="135"/>
      <c r="J254" s="135"/>
      <c r="K254" s="135"/>
    </row>
    <row r="255" spans="2:11" x14ac:dyDescent="0.3">
      <c r="D255" s="135"/>
      <c r="E255" s="135"/>
      <c r="F255" s="135"/>
      <c r="G255" s="135"/>
      <c r="H255" s="135"/>
      <c r="I255" s="135"/>
      <c r="J255" s="135"/>
      <c r="K255" s="135"/>
    </row>
    <row r="256" spans="2:11" x14ac:dyDescent="0.3">
      <c r="D256" s="135"/>
      <c r="E256" s="135"/>
      <c r="F256" s="135"/>
      <c r="G256" s="135"/>
      <c r="H256" s="135"/>
      <c r="I256" s="135"/>
      <c r="J256" s="135"/>
      <c r="K256" s="135"/>
    </row>
    <row r="257" spans="4:11" x14ac:dyDescent="0.3">
      <c r="D257" s="135"/>
      <c r="E257" s="135"/>
      <c r="F257" s="135"/>
      <c r="G257" s="135"/>
      <c r="H257" s="135"/>
      <c r="I257" s="135"/>
      <c r="J257" s="135"/>
      <c r="K257" s="135"/>
    </row>
  </sheetData>
  <sheetProtection algorithmName="SHA-512" hashValue="7JosxzO/haIa/g8Qh+YfiSIY09+DUbx/pVn5TVVAOLVSKe2JUPyXEDOkxTcO9Bs3KBItENxcSdUnfRM54h9WGw==" saltValue="iDiRGj18xkqo/Qe1LS4UFg==" spinCount="100000" sheet="1" objects="1" scenarios="1" autoFilter="0"/>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0"/>
  <dimension ref="B1:K257"/>
  <sheetViews>
    <sheetView topLeftCell="A202" workbookViewId="0">
      <selection activeCell="G9" sqref="G9"/>
    </sheetView>
  </sheetViews>
  <sheetFormatPr defaultColWidth="7.58203125" defaultRowHeight="14" x14ac:dyDescent="0.3"/>
  <cols>
    <col min="2" max="3" width="26.58203125" customWidth="1"/>
  </cols>
  <sheetData>
    <row r="1" spans="2:11" ht="14.5" thickBot="1" x14ac:dyDescent="0.35"/>
    <row r="2" spans="2:11" ht="25.5" thickBot="1" x14ac:dyDescent="0.55000000000000004">
      <c r="B2" s="88" t="s">
        <v>1960</v>
      </c>
      <c r="C2" s="89"/>
      <c r="D2" s="90">
        <v>8</v>
      </c>
      <c r="E2" s="91" t="s">
        <v>1961</v>
      </c>
      <c r="F2" s="92"/>
      <c r="G2" s="92"/>
      <c r="H2" s="92"/>
      <c r="I2" s="93"/>
      <c r="J2" s="89" t="s">
        <v>176</v>
      </c>
      <c r="K2" s="94" t="s">
        <v>214</v>
      </c>
    </row>
    <row r="3" spans="2:11" ht="14.5" thickBot="1" x14ac:dyDescent="0.35">
      <c r="B3" s="95" t="s">
        <v>1962</v>
      </c>
      <c r="C3" s="96" t="s">
        <v>1963</v>
      </c>
      <c r="D3" s="95" t="s">
        <v>1964</v>
      </c>
      <c r="E3" s="97" t="s">
        <v>1965</v>
      </c>
      <c r="F3" s="97" t="s">
        <v>1966</v>
      </c>
      <c r="G3" s="97" t="s">
        <v>1967</v>
      </c>
      <c r="H3" s="97" t="s">
        <v>1968</v>
      </c>
      <c r="I3" s="97" t="s">
        <v>1969</v>
      </c>
      <c r="J3" s="97" t="s">
        <v>1970</v>
      </c>
      <c r="K3" s="98" t="s">
        <v>1971</v>
      </c>
    </row>
    <row r="4" spans="2:11" ht="18.5" thickBot="1" x14ac:dyDescent="0.45">
      <c r="B4" s="99" t="s">
        <v>34</v>
      </c>
      <c r="C4" s="100" t="s">
        <v>34</v>
      </c>
      <c r="D4" s="101" t="s">
        <v>34</v>
      </c>
      <c r="E4" s="944"/>
      <c r="F4" s="944"/>
      <c r="G4" s="944"/>
      <c r="H4" s="944"/>
      <c r="I4" s="944" t="s">
        <v>34</v>
      </c>
      <c r="J4" s="944" t="s">
        <v>34</v>
      </c>
      <c r="K4" s="102"/>
    </row>
    <row r="5" spans="2:11" ht="86.5" thickBot="1" x14ac:dyDescent="0.45">
      <c r="B5" s="138" t="s">
        <v>1972</v>
      </c>
      <c r="C5" s="104" t="s">
        <v>1973</v>
      </c>
      <c r="D5" s="105" t="s">
        <v>1974</v>
      </c>
      <c r="E5" s="105" t="s">
        <v>1525</v>
      </c>
      <c r="F5" s="105" t="s">
        <v>1527</v>
      </c>
      <c r="G5" s="105" t="s">
        <v>1975</v>
      </c>
      <c r="H5" s="105" t="s">
        <v>1976</v>
      </c>
      <c r="I5" s="105" t="s">
        <v>1445</v>
      </c>
      <c r="J5" s="105" t="s">
        <v>1538</v>
      </c>
      <c r="K5" s="106" t="s">
        <v>1541</v>
      </c>
    </row>
    <row r="6" spans="2:11" x14ac:dyDescent="0.3">
      <c r="B6" s="107" t="s">
        <v>1977</v>
      </c>
      <c r="C6" s="108" t="s">
        <v>1416</v>
      </c>
      <c r="D6" s="109">
        <v>15.090444751388999</v>
      </c>
      <c r="E6" s="109">
        <v>14.346857659860822</v>
      </c>
      <c r="F6" s="109">
        <v>13.135966104480827</v>
      </c>
      <c r="G6" s="109">
        <v>12.911484554126169</v>
      </c>
      <c r="H6" s="109">
        <v>13.583824514187219</v>
      </c>
      <c r="I6" s="109">
        <v>15.594408619631965</v>
      </c>
      <c r="J6" s="109">
        <v>14.882051032060419</v>
      </c>
      <c r="K6" s="110">
        <v>13.010387408098362</v>
      </c>
    </row>
    <row r="7" spans="2:11" x14ac:dyDescent="0.3">
      <c r="B7" s="111" t="s">
        <v>1978</v>
      </c>
      <c r="C7" s="112" t="s">
        <v>1483</v>
      </c>
      <c r="D7" s="1499">
        <v>15.094653645690673</v>
      </c>
      <c r="E7" s="1499">
        <v>14.353594468834908</v>
      </c>
      <c r="F7" s="1499">
        <v>13.142343209405791</v>
      </c>
      <c r="G7" s="1499">
        <v>12.91894675858698</v>
      </c>
      <c r="H7" s="1499">
        <v>13.590713849764896</v>
      </c>
      <c r="I7" s="1499">
        <v>15.600557090641519</v>
      </c>
      <c r="J7" s="1499">
        <v>14.888482932289861</v>
      </c>
      <c r="K7" s="113">
        <v>13.017803271695103</v>
      </c>
    </row>
    <row r="8" spans="2:11" x14ac:dyDescent="0.3">
      <c r="B8" s="111" t="s">
        <v>1979</v>
      </c>
      <c r="C8" s="112" t="s">
        <v>1489</v>
      </c>
      <c r="D8" s="1499">
        <v>15.093225268709292</v>
      </c>
      <c r="E8" s="1499">
        <v>14.352166091853526</v>
      </c>
      <c r="F8" s="1499">
        <v>13.140914832424407</v>
      </c>
      <c r="G8" s="1499">
        <v>12.917518381605598</v>
      </c>
      <c r="H8" s="1499">
        <v>13.589285472783514</v>
      </c>
      <c r="I8" s="1499">
        <v>15.599128713660138</v>
      </c>
      <c r="J8" s="1499">
        <v>14.887054555308477</v>
      </c>
      <c r="K8" s="113">
        <v>13.016374894713721</v>
      </c>
    </row>
    <row r="9" spans="2:11" x14ac:dyDescent="0.3">
      <c r="B9" s="114">
        <v>0</v>
      </c>
      <c r="C9" s="112" t="s">
        <v>1496</v>
      </c>
      <c r="D9" s="1499">
        <v>15.091082703237214</v>
      </c>
      <c r="E9" s="1499">
        <v>14.350023526381449</v>
      </c>
      <c r="F9" s="1499">
        <v>13.13877226695233</v>
      </c>
      <c r="G9" s="1499">
        <v>12.915375816133521</v>
      </c>
      <c r="H9" s="1499">
        <v>13.587142907311437</v>
      </c>
      <c r="I9" s="1499">
        <v>15.59698614818806</v>
      </c>
      <c r="J9" s="1499">
        <v>14.8849119898364</v>
      </c>
      <c r="K9" s="113">
        <v>13.014232329241644</v>
      </c>
    </row>
    <row r="10" spans="2:11" x14ac:dyDescent="0.3">
      <c r="B10" s="115"/>
      <c r="C10" s="112" t="s">
        <v>1500</v>
      </c>
      <c r="D10" s="1499">
        <v>15.088940137765139</v>
      </c>
      <c r="E10" s="1499">
        <v>14.347880960909375</v>
      </c>
      <c r="F10" s="1499">
        <v>13.136629701480256</v>
      </c>
      <c r="G10" s="1499">
        <v>12.913233250661447</v>
      </c>
      <c r="H10" s="1499">
        <v>13.585000341839363</v>
      </c>
      <c r="I10" s="1499">
        <v>15.594843582715987</v>
      </c>
      <c r="J10" s="1499">
        <v>14.882769424364326</v>
      </c>
      <c r="K10" s="113">
        <v>13.012089763769568</v>
      </c>
    </row>
    <row r="11" spans="2:11" x14ac:dyDescent="0.3">
      <c r="B11" s="115"/>
      <c r="C11" s="112" t="s">
        <v>1504</v>
      </c>
      <c r="D11" s="1499">
        <v>15.092632582841961</v>
      </c>
      <c r="E11" s="1499">
        <v>14.353190937301964</v>
      </c>
      <c r="F11" s="1499">
        <v>13.141453007127378</v>
      </c>
      <c r="G11" s="1499">
        <v>12.918167441774839</v>
      </c>
      <c r="H11" s="1499">
        <v>13.590280164370217</v>
      </c>
      <c r="I11" s="1499">
        <v>15.600479132547113</v>
      </c>
      <c r="J11" s="1499">
        <v>14.88830596846238</v>
      </c>
      <c r="K11" s="113">
        <v>13.017054863496881</v>
      </c>
    </row>
    <row r="12" spans="2:11" x14ac:dyDescent="0.3">
      <c r="B12" s="115"/>
      <c r="C12" s="112" t="s">
        <v>1508</v>
      </c>
      <c r="D12" s="1499">
        <v>15.091455017111972</v>
      </c>
      <c r="E12" s="1499">
        <v>14.352013371571974</v>
      </c>
      <c r="F12" s="1499">
        <v>13.140275441397389</v>
      </c>
      <c r="G12" s="1499">
        <v>12.91698987604485</v>
      </c>
      <c r="H12" s="1499">
        <v>13.589102598640228</v>
      </c>
      <c r="I12" s="1499">
        <v>15.599301566817124</v>
      </c>
      <c r="J12" s="1499">
        <v>14.88712840273239</v>
      </c>
      <c r="K12" s="113">
        <v>13.015877297766892</v>
      </c>
    </row>
    <row r="13" spans="2:11" x14ac:dyDescent="0.3">
      <c r="B13" s="115"/>
      <c r="C13" s="112" t="s">
        <v>1513</v>
      </c>
      <c r="D13" s="1499">
        <v>15.089688668516988</v>
      </c>
      <c r="E13" s="1499">
        <v>14.350247022976991</v>
      </c>
      <c r="F13" s="1499">
        <v>13.138509092802405</v>
      </c>
      <c r="G13" s="1499">
        <v>12.915223527449866</v>
      </c>
      <c r="H13" s="1499">
        <v>13.587336250045244</v>
      </c>
      <c r="I13" s="1499">
        <v>15.59753521822214</v>
      </c>
      <c r="J13" s="1499">
        <v>14.885362054137406</v>
      </c>
      <c r="K13" s="113">
        <v>13.014110949171908</v>
      </c>
    </row>
    <row r="14" spans="2:11" x14ac:dyDescent="0.3">
      <c r="B14" s="115"/>
      <c r="C14" s="112" t="s">
        <v>1517</v>
      </c>
      <c r="D14" s="1499">
        <v>15.087922319922004</v>
      </c>
      <c r="E14" s="1499">
        <v>14.348480674382007</v>
      </c>
      <c r="F14" s="1499">
        <v>13.136742744207421</v>
      </c>
      <c r="G14" s="1499">
        <v>12.913457178854882</v>
      </c>
      <c r="H14" s="1499">
        <v>13.58556990145026</v>
      </c>
      <c r="I14" s="1499">
        <v>15.595768869627156</v>
      </c>
      <c r="J14" s="1499">
        <v>14.883595705542422</v>
      </c>
      <c r="K14" s="113">
        <v>13.012344600576924</v>
      </c>
    </row>
    <row r="15" spans="2:11" ht="14.5" thickBot="1" x14ac:dyDescent="0.35">
      <c r="B15" s="1233"/>
      <c r="C15" s="116" t="s">
        <v>1519</v>
      </c>
      <c r="D15" s="117">
        <v>15.094653645690673</v>
      </c>
      <c r="E15" s="117">
        <v>14.353594468834908</v>
      </c>
      <c r="F15" s="117">
        <v>13.142343209405791</v>
      </c>
      <c r="G15" s="117">
        <v>12.91894675858698</v>
      </c>
      <c r="H15" s="117">
        <v>13.590713849764896</v>
      </c>
      <c r="I15" s="117">
        <v>15.600557090641519</v>
      </c>
      <c r="J15" s="117">
        <v>14.888482932289861</v>
      </c>
      <c r="K15" s="118">
        <v>13.017803271695103</v>
      </c>
    </row>
    <row r="16" spans="2:11" x14ac:dyDescent="0.3">
      <c r="B16" s="107" t="s">
        <v>1977</v>
      </c>
      <c r="C16" s="108" t="s">
        <v>1416</v>
      </c>
      <c r="D16" s="109">
        <v>13.941226545262822</v>
      </c>
      <c r="E16" s="109">
        <v>13.197639453734645</v>
      </c>
      <c r="F16" s="109">
        <v>11.98674789835465</v>
      </c>
      <c r="G16" s="109">
        <v>11.762266347999992</v>
      </c>
      <c r="H16" s="109">
        <v>12.434606308061042</v>
      </c>
      <c r="I16" s="109">
        <v>14.445190413505788</v>
      </c>
      <c r="J16" s="109">
        <v>13.732832825934242</v>
      </c>
      <c r="K16" s="110">
        <v>11.861169201972185</v>
      </c>
    </row>
    <row r="17" spans="2:11" x14ac:dyDescent="0.3">
      <c r="B17" s="111" t="s">
        <v>1978</v>
      </c>
      <c r="C17" s="112" t="s">
        <v>1483</v>
      </c>
      <c r="D17" s="1499">
        <v>13.945435439564498</v>
      </c>
      <c r="E17" s="1499">
        <v>13.204376262708735</v>
      </c>
      <c r="F17" s="1499">
        <v>11.993125003279616</v>
      </c>
      <c r="G17" s="1499">
        <v>11.769728552460807</v>
      </c>
      <c r="H17" s="1499">
        <v>12.441495643638723</v>
      </c>
      <c r="I17" s="1499">
        <v>14.451338884515346</v>
      </c>
      <c r="J17" s="1499">
        <v>13.739264726163686</v>
      </c>
      <c r="K17" s="113">
        <v>11.868585065568928</v>
      </c>
    </row>
    <row r="18" spans="2:11" x14ac:dyDescent="0.3">
      <c r="B18" s="111" t="s">
        <v>1980</v>
      </c>
      <c r="C18" s="112" t="s">
        <v>1489</v>
      </c>
      <c r="D18" s="1499">
        <v>13.944007062583115</v>
      </c>
      <c r="E18" s="1499">
        <v>13.202947885727349</v>
      </c>
      <c r="F18" s="1499">
        <v>11.99169662629823</v>
      </c>
      <c r="G18" s="1499">
        <v>11.768300175479421</v>
      </c>
      <c r="H18" s="1499">
        <v>12.440067266657337</v>
      </c>
      <c r="I18" s="1499">
        <v>14.449910507533961</v>
      </c>
      <c r="J18" s="1499">
        <v>13.737836349182301</v>
      </c>
      <c r="K18" s="113">
        <v>11.867156688587544</v>
      </c>
    </row>
    <row r="19" spans="2:11" x14ac:dyDescent="0.3">
      <c r="B19" s="114">
        <v>0</v>
      </c>
      <c r="C19" s="112" t="s">
        <v>1496</v>
      </c>
      <c r="D19" s="1499">
        <v>13.941864497111039</v>
      </c>
      <c r="E19" s="1499">
        <v>13.200805320255276</v>
      </c>
      <c r="F19" s="1499">
        <v>11.989554060826157</v>
      </c>
      <c r="G19" s="1499">
        <v>11.766157610007348</v>
      </c>
      <c r="H19" s="1499">
        <v>12.437924701185263</v>
      </c>
      <c r="I19" s="1499">
        <v>14.447767942061887</v>
      </c>
      <c r="J19" s="1499">
        <v>13.735693783710227</v>
      </c>
      <c r="K19" s="113">
        <v>11.865014123115468</v>
      </c>
    </row>
    <row r="20" spans="2:11" x14ac:dyDescent="0.3">
      <c r="B20" s="115"/>
      <c r="C20" s="112" t="s">
        <v>1500</v>
      </c>
      <c r="D20" s="1499">
        <v>13.939721931638962</v>
      </c>
      <c r="E20" s="1499">
        <v>13.198662754783198</v>
      </c>
      <c r="F20" s="1499">
        <v>11.987411495354079</v>
      </c>
      <c r="G20" s="1499">
        <v>11.76401504453527</v>
      </c>
      <c r="H20" s="1499">
        <v>12.435782135713186</v>
      </c>
      <c r="I20" s="1499">
        <v>14.44562537658981</v>
      </c>
      <c r="J20" s="1499">
        <v>13.73355121823815</v>
      </c>
      <c r="K20" s="113">
        <v>11.862871557643391</v>
      </c>
    </row>
    <row r="21" spans="2:11" x14ac:dyDescent="0.3">
      <c r="B21" s="115"/>
      <c r="C21" s="112" t="s">
        <v>1504</v>
      </c>
      <c r="D21" s="1499">
        <v>13.943414376715785</v>
      </c>
      <c r="E21" s="1499">
        <v>13.203972731175787</v>
      </c>
      <c r="F21" s="1499">
        <v>11.992234801001203</v>
      </c>
      <c r="G21" s="1499">
        <v>11.768949235648662</v>
      </c>
      <c r="H21" s="1499">
        <v>12.44106195824404</v>
      </c>
      <c r="I21" s="1499">
        <v>14.451260926420936</v>
      </c>
      <c r="J21" s="1499">
        <v>13.739087762336203</v>
      </c>
      <c r="K21" s="113">
        <v>11.867836657370704</v>
      </c>
    </row>
    <row r="22" spans="2:11" x14ac:dyDescent="0.3">
      <c r="B22" s="115"/>
      <c r="C22" s="112" t="s">
        <v>1508</v>
      </c>
      <c r="D22" s="1499">
        <v>13.942236810985795</v>
      </c>
      <c r="E22" s="1499">
        <v>13.202795165445798</v>
      </c>
      <c r="F22" s="1499">
        <v>11.991057235271214</v>
      </c>
      <c r="G22" s="1499">
        <v>11.767771669918673</v>
      </c>
      <c r="H22" s="1499">
        <v>12.439884392514051</v>
      </c>
      <c r="I22" s="1499">
        <v>14.450083360690947</v>
      </c>
      <c r="J22" s="1499">
        <v>13.737910196606213</v>
      </c>
      <c r="K22" s="113">
        <v>11.866659091640715</v>
      </c>
    </row>
    <row r="23" spans="2:11" x14ac:dyDescent="0.3">
      <c r="B23" s="115"/>
      <c r="C23" s="112" t="s">
        <v>1513</v>
      </c>
      <c r="D23" s="1499">
        <v>13.940470462390811</v>
      </c>
      <c r="E23" s="1499">
        <v>13.201028816850814</v>
      </c>
      <c r="F23" s="1499">
        <v>11.989290886676228</v>
      </c>
      <c r="G23" s="1499">
        <v>11.766005321323689</v>
      </c>
      <c r="H23" s="1499">
        <v>12.438118043919067</v>
      </c>
      <c r="I23" s="1499">
        <v>14.448317012095963</v>
      </c>
      <c r="J23" s="1499">
        <v>13.736143848011229</v>
      </c>
      <c r="K23" s="113">
        <v>11.864892743045731</v>
      </c>
    </row>
    <row r="24" spans="2:11" x14ac:dyDescent="0.3">
      <c r="B24" s="115"/>
      <c r="C24" s="112" t="s">
        <v>1517</v>
      </c>
      <c r="D24" s="1499">
        <v>13.938704113795827</v>
      </c>
      <c r="E24" s="1499">
        <v>13.19926246825583</v>
      </c>
      <c r="F24" s="1499">
        <v>11.987524538081244</v>
      </c>
      <c r="G24" s="1499">
        <v>11.764238972728705</v>
      </c>
      <c r="H24" s="1499">
        <v>12.436351695324083</v>
      </c>
      <c r="I24" s="1499">
        <v>14.446550663500979</v>
      </c>
      <c r="J24" s="1499">
        <v>13.734377499416246</v>
      </c>
      <c r="K24" s="113">
        <v>11.863126394450747</v>
      </c>
    </row>
    <row r="25" spans="2:11" ht="14.5" thickBot="1" x14ac:dyDescent="0.35">
      <c r="B25" s="1233"/>
      <c r="C25" s="116" t="s">
        <v>1519</v>
      </c>
      <c r="D25" s="117">
        <v>13.945435439564498</v>
      </c>
      <c r="E25" s="117">
        <v>13.204376262708735</v>
      </c>
      <c r="F25" s="117">
        <v>11.993125003279616</v>
      </c>
      <c r="G25" s="117">
        <v>11.769728552460807</v>
      </c>
      <c r="H25" s="117">
        <v>12.441495643638723</v>
      </c>
      <c r="I25" s="117">
        <v>14.451338884515346</v>
      </c>
      <c r="J25" s="117">
        <v>13.739264726163686</v>
      </c>
      <c r="K25" s="118">
        <v>11.868585065568928</v>
      </c>
    </row>
    <row r="26" spans="2:11" x14ac:dyDescent="0.3">
      <c r="B26" s="107" t="s">
        <v>1977</v>
      </c>
      <c r="C26" s="108" t="s">
        <v>1416</v>
      </c>
      <c r="D26" s="109">
        <v>12.217399236073557</v>
      </c>
      <c r="E26" s="109">
        <v>11.473812144545381</v>
      </c>
      <c r="F26" s="109">
        <v>10.262920589165388</v>
      </c>
      <c r="G26" s="109">
        <v>10.038439038810727</v>
      </c>
      <c r="H26" s="109">
        <v>10.710778998871779</v>
      </c>
      <c r="I26" s="109">
        <v>12.721363104316525</v>
      </c>
      <c r="J26" s="109">
        <v>12.009005516744979</v>
      </c>
      <c r="K26" s="110">
        <v>10.137341892782922</v>
      </c>
    </row>
    <row r="27" spans="2:11" x14ac:dyDescent="0.3">
      <c r="B27" s="111" t="s">
        <v>1978</v>
      </c>
      <c r="C27" s="112" t="s">
        <v>1483</v>
      </c>
      <c r="D27" s="1499">
        <v>12.221608130375232</v>
      </c>
      <c r="E27" s="1499">
        <v>11.480548953519468</v>
      </c>
      <c r="F27" s="1499">
        <v>10.269297694090351</v>
      </c>
      <c r="G27" s="1499">
        <v>10.045901243271542</v>
      </c>
      <c r="H27" s="1499">
        <v>10.717668334449456</v>
      </c>
      <c r="I27" s="1499">
        <v>12.72751157532608</v>
      </c>
      <c r="J27" s="1499">
        <v>12.01543741697442</v>
      </c>
      <c r="K27" s="113">
        <v>10.144757756379663</v>
      </c>
    </row>
    <row r="28" spans="2:11" x14ac:dyDescent="0.3">
      <c r="B28" s="111" t="s">
        <v>1981</v>
      </c>
      <c r="C28" s="112" t="s">
        <v>1489</v>
      </c>
      <c r="D28" s="1499">
        <v>12.22017975339385</v>
      </c>
      <c r="E28" s="1499">
        <v>11.479120576538087</v>
      </c>
      <c r="F28" s="1499">
        <v>10.267869317108968</v>
      </c>
      <c r="G28" s="1499">
        <v>10.044472866290159</v>
      </c>
      <c r="H28" s="1499">
        <v>10.716239957468073</v>
      </c>
      <c r="I28" s="1499">
        <v>12.726083198344698</v>
      </c>
      <c r="J28" s="1499">
        <v>12.014009039993038</v>
      </c>
      <c r="K28" s="113">
        <v>10.143329379398279</v>
      </c>
    </row>
    <row r="29" spans="2:11" x14ac:dyDescent="0.3">
      <c r="B29" s="114">
        <v>0</v>
      </c>
      <c r="C29" s="112" t="s">
        <v>1496</v>
      </c>
      <c r="D29" s="1499">
        <v>12.218037187921777</v>
      </c>
      <c r="E29" s="1499">
        <v>11.476978011066011</v>
      </c>
      <c r="F29" s="1499">
        <v>10.26572675163689</v>
      </c>
      <c r="G29" s="1499">
        <v>10.042330300818081</v>
      </c>
      <c r="H29" s="1499">
        <v>10.714097391995997</v>
      </c>
      <c r="I29" s="1499">
        <v>12.723940632872623</v>
      </c>
      <c r="J29" s="1499">
        <v>12.011866474520962</v>
      </c>
      <c r="K29" s="113">
        <v>10.141186813926204</v>
      </c>
    </row>
    <row r="30" spans="2:11" x14ac:dyDescent="0.3">
      <c r="B30" s="115"/>
      <c r="C30" s="112" t="s">
        <v>1500</v>
      </c>
      <c r="D30" s="1499">
        <v>12.215894622449699</v>
      </c>
      <c r="E30" s="1499">
        <v>11.474835445593934</v>
      </c>
      <c r="F30" s="1499">
        <v>10.263584186164815</v>
      </c>
      <c r="G30" s="1499">
        <v>10.040187735346006</v>
      </c>
      <c r="H30" s="1499">
        <v>10.711954826523922</v>
      </c>
      <c r="I30" s="1499">
        <v>12.721798067400545</v>
      </c>
      <c r="J30" s="1499">
        <v>12.009723909048885</v>
      </c>
      <c r="K30" s="113">
        <v>10.139044248454129</v>
      </c>
    </row>
    <row r="31" spans="2:11" x14ac:dyDescent="0.3">
      <c r="B31" s="115"/>
      <c r="C31" s="112" t="s">
        <v>1504</v>
      </c>
      <c r="D31" s="1499">
        <v>12.219587067526522</v>
      </c>
      <c r="E31" s="1499">
        <v>11.480145421986522</v>
      </c>
      <c r="F31" s="1499">
        <v>10.268407491811939</v>
      </c>
      <c r="G31" s="1499">
        <v>10.045121926459398</v>
      </c>
      <c r="H31" s="1499">
        <v>10.717234649054777</v>
      </c>
      <c r="I31" s="1499">
        <v>12.727433617231673</v>
      </c>
      <c r="J31" s="1499">
        <v>12.015260453146938</v>
      </c>
      <c r="K31" s="113">
        <v>10.144009348181442</v>
      </c>
    </row>
    <row r="32" spans="2:11" x14ac:dyDescent="0.3">
      <c r="B32" s="115"/>
      <c r="C32" s="112" t="s">
        <v>1508</v>
      </c>
      <c r="D32" s="1499">
        <v>12.218409501796533</v>
      </c>
      <c r="E32" s="1499">
        <v>11.478967856256533</v>
      </c>
      <c r="F32" s="1499">
        <v>10.267229926081949</v>
      </c>
      <c r="G32" s="1499">
        <v>10.043944360729409</v>
      </c>
      <c r="H32" s="1499">
        <v>10.716057083324788</v>
      </c>
      <c r="I32" s="1499">
        <v>12.726256051501684</v>
      </c>
      <c r="J32" s="1499">
        <v>12.014082887416949</v>
      </c>
      <c r="K32" s="113">
        <v>10.142831782451452</v>
      </c>
    </row>
    <row r="33" spans="2:11" x14ac:dyDescent="0.3">
      <c r="B33" s="115"/>
      <c r="C33" s="112" t="s">
        <v>1513</v>
      </c>
      <c r="D33" s="1499">
        <v>12.216643153201547</v>
      </c>
      <c r="E33" s="1499">
        <v>11.477201507661549</v>
      </c>
      <c r="F33" s="1499">
        <v>10.265463577486965</v>
      </c>
      <c r="G33" s="1499">
        <v>10.042178012134425</v>
      </c>
      <c r="H33" s="1499">
        <v>10.714290734729802</v>
      </c>
      <c r="I33" s="1499">
        <v>12.7244897029067</v>
      </c>
      <c r="J33" s="1499">
        <v>12.012316538821965</v>
      </c>
      <c r="K33" s="113">
        <v>10.141065433856467</v>
      </c>
    </row>
    <row r="34" spans="2:11" x14ac:dyDescent="0.3">
      <c r="B34" s="115"/>
      <c r="C34" s="112" t="s">
        <v>1517</v>
      </c>
      <c r="D34" s="1499">
        <v>12.214876804606563</v>
      </c>
      <c r="E34" s="1499">
        <v>11.475435159066565</v>
      </c>
      <c r="F34" s="1499">
        <v>10.263697228891981</v>
      </c>
      <c r="G34" s="1499">
        <v>10.040411663539441</v>
      </c>
      <c r="H34" s="1499">
        <v>10.712524386134818</v>
      </c>
      <c r="I34" s="1499">
        <v>12.722723354311714</v>
      </c>
      <c r="J34" s="1499">
        <v>12.010550190226981</v>
      </c>
      <c r="K34" s="113">
        <v>10.139299085261483</v>
      </c>
    </row>
    <row r="35" spans="2:11" ht="14.5" thickBot="1" x14ac:dyDescent="0.35">
      <c r="B35" s="1233"/>
      <c r="C35" s="116" t="s">
        <v>1519</v>
      </c>
      <c r="D35" s="117">
        <v>12.221608130375232</v>
      </c>
      <c r="E35" s="117">
        <v>11.480548953519468</v>
      </c>
      <c r="F35" s="117">
        <v>10.269297694090351</v>
      </c>
      <c r="G35" s="117">
        <v>10.045901243271542</v>
      </c>
      <c r="H35" s="117">
        <v>10.717668334449456</v>
      </c>
      <c r="I35" s="117">
        <v>12.72751157532608</v>
      </c>
      <c r="J35" s="117">
        <v>12.01543741697442</v>
      </c>
      <c r="K35" s="118">
        <v>10.144757756379663</v>
      </c>
    </row>
    <row r="36" spans="2:11" x14ac:dyDescent="0.3">
      <c r="B36" s="107" t="s">
        <v>1977</v>
      </c>
      <c r="C36" s="108" t="s">
        <v>1416</v>
      </c>
      <c r="D36" s="109">
        <v>10.493571926884293</v>
      </c>
      <c r="E36" s="109">
        <v>9.749984835356118</v>
      </c>
      <c r="F36" s="109">
        <v>8.5390932799761234</v>
      </c>
      <c r="G36" s="109">
        <v>8.3146117296214648</v>
      </c>
      <c r="H36" s="109">
        <v>8.986951689682515</v>
      </c>
      <c r="I36" s="109">
        <v>10.997535795127261</v>
      </c>
      <c r="J36" s="109">
        <v>10.285178207555715</v>
      </c>
      <c r="K36" s="110">
        <v>8.413514583593658</v>
      </c>
    </row>
    <row r="37" spans="2:11" x14ac:dyDescent="0.3">
      <c r="B37" s="111" t="s">
        <v>1978</v>
      </c>
      <c r="C37" s="112" t="s">
        <v>1483</v>
      </c>
      <c r="D37" s="1499">
        <v>10.49778082118597</v>
      </c>
      <c r="E37" s="1499">
        <v>9.7567216443302041</v>
      </c>
      <c r="F37" s="1499">
        <v>8.5454703849010851</v>
      </c>
      <c r="G37" s="1499">
        <v>8.322073934082276</v>
      </c>
      <c r="H37" s="1499">
        <v>8.9938410252601919</v>
      </c>
      <c r="I37" s="1499">
        <v>11.003684266136815</v>
      </c>
      <c r="J37" s="1499">
        <v>10.291610107785155</v>
      </c>
      <c r="K37" s="113">
        <v>8.4209304471903987</v>
      </c>
    </row>
    <row r="38" spans="2:11" x14ac:dyDescent="0.3">
      <c r="B38" s="111" t="s">
        <v>1982</v>
      </c>
      <c r="C38" s="112" t="s">
        <v>1489</v>
      </c>
      <c r="D38" s="1499">
        <v>10.496352444204586</v>
      </c>
      <c r="E38" s="1499">
        <v>9.7552932673488222</v>
      </c>
      <c r="F38" s="1499">
        <v>8.5440420079197033</v>
      </c>
      <c r="G38" s="1499">
        <v>8.3206455571008942</v>
      </c>
      <c r="H38" s="1499">
        <v>8.99241264827881</v>
      </c>
      <c r="I38" s="1499">
        <v>11.002255889155434</v>
      </c>
      <c r="J38" s="1499">
        <v>10.290181730803774</v>
      </c>
      <c r="K38" s="113">
        <v>8.4195020702090151</v>
      </c>
    </row>
    <row r="39" spans="2:11" x14ac:dyDescent="0.3">
      <c r="B39" s="114">
        <v>0</v>
      </c>
      <c r="C39" s="112" t="s">
        <v>1496</v>
      </c>
      <c r="D39" s="1499">
        <v>10.49420987873251</v>
      </c>
      <c r="E39" s="1499">
        <v>9.7531507018767467</v>
      </c>
      <c r="F39" s="1499">
        <v>8.5418994424476278</v>
      </c>
      <c r="G39" s="1499">
        <v>8.3185029916288187</v>
      </c>
      <c r="H39" s="1499">
        <v>8.9902700828067328</v>
      </c>
      <c r="I39" s="1499">
        <v>11.000113323683356</v>
      </c>
      <c r="J39" s="1499">
        <v>10.288039165331698</v>
      </c>
      <c r="K39" s="113">
        <v>8.4173595047369396</v>
      </c>
    </row>
    <row r="40" spans="2:11" x14ac:dyDescent="0.3">
      <c r="B40" s="115"/>
      <c r="C40" s="112" t="s">
        <v>1500</v>
      </c>
      <c r="D40" s="1499">
        <v>10.492067313260435</v>
      </c>
      <c r="E40" s="1499">
        <v>9.7510081364046695</v>
      </c>
      <c r="F40" s="1499">
        <v>8.5397568769755505</v>
      </c>
      <c r="G40" s="1499">
        <v>8.3163604261567414</v>
      </c>
      <c r="H40" s="1499">
        <v>8.9881275173346573</v>
      </c>
      <c r="I40" s="1499">
        <v>10.997970758211281</v>
      </c>
      <c r="J40" s="1499">
        <v>10.285896599859623</v>
      </c>
      <c r="K40" s="113">
        <v>8.4152169392648641</v>
      </c>
    </row>
    <row r="41" spans="2:11" x14ac:dyDescent="0.3">
      <c r="B41" s="115"/>
      <c r="C41" s="112" t="s">
        <v>1504</v>
      </c>
      <c r="D41" s="1499">
        <v>10.495759758337257</v>
      </c>
      <c r="E41" s="1499">
        <v>9.7563181127972598</v>
      </c>
      <c r="F41" s="1499">
        <v>8.5445801826226742</v>
      </c>
      <c r="G41" s="1499">
        <v>8.3212946172701336</v>
      </c>
      <c r="H41" s="1499">
        <v>8.993407339865513</v>
      </c>
      <c r="I41" s="1499">
        <v>11.003606308042409</v>
      </c>
      <c r="J41" s="1499">
        <v>10.291433143957676</v>
      </c>
      <c r="K41" s="113">
        <v>8.4201820389921771</v>
      </c>
    </row>
    <row r="42" spans="2:11" x14ac:dyDescent="0.3">
      <c r="B42" s="115"/>
      <c r="C42" s="112" t="s">
        <v>1508</v>
      </c>
      <c r="D42" s="1499">
        <v>10.494582192607268</v>
      </c>
      <c r="E42" s="1499">
        <v>9.7551405470672705</v>
      </c>
      <c r="F42" s="1499">
        <v>8.5434026168926849</v>
      </c>
      <c r="G42" s="1499">
        <v>8.3201170515401444</v>
      </c>
      <c r="H42" s="1499">
        <v>8.9922297741355237</v>
      </c>
      <c r="I42" s="1499">
        <v>11.00242874231242</v>
      </c>
      <c r="J42" s="1499">
        <v>10.290255578227686</v>
      </c>
      <c r="K42" s="113">
        <v>8.4190044732621878</v>
      </c>
    </row>
    <row r="43" spans="2:11" x14ac:dyDescent="0.3">
      <c r="B43" s="115"/>
      <c r="C43" s="112" t="s">
        <v>1513</v>
      </c>
      <c r="D43" s="1499">
        <v>10.492815844012284</v>
      </c>
      <c r="E43" s="1499">
        <v>9.7533741984722866</v>
      </c>
      <c r="F43" s="1499">
        <v>8.541636268297701</v>
      </c>
      <c r="G43" s="1499">
        <v>8.3183507029451604</v>
      </c>
      <c r="H43" s="1499">
        <v>8.9904634255405398</v>
      </c>
      <c r="I43" s="1499">
        <v>11.000662393717436</v>
      </c>
      <c r="J43" s="1499">
        <v>10.288489229632702</v>
      </c>
      <c r="K43" s="113">
        <v>8.4172381246672039</v>
      </c>
    </row>
    <row r="44" spans="2:11" x14ac:dyDescent="0.3">
      <c r="B44" s="115"/>
      <c r="C44" s="112" t="s">
        <v>1517</v>
      </c>
      <c r="D44" s="1499">
        <v>10.4910494954173</v>
      </c>
      <c r="E44" s="1499">
        <v>9.7516078498773027</v>
      </c>
      <c r="F44" s="1499">
        <v>8.539869919702717</v>
      </c>
      <c r="G44" s="1499">
        <v>8.3165843543501765</v>
      </c>
      <c r="H44" s="1499">
        <v>8.9886970769455559</v>
      </c>
      <c r="I44" s="1499">
        <v>10.998896045122452</v>
      </c>
      <c r="J44" s="1499">
        <v>10.286722881037718</v>
      </c>
      <c r="K44" s="113">
        <v>8.41547177607222</v>
      </c>
    </row>
    <row r="45" spans="2:11" ht="14.5" thickBot="1" x14ac:dyDescent="0.35">
      <c r="B45" s="1233"/>
      <c r="C45" s="116" t="s">
        <v>1519</v>
      </c>
      <c r="D45" s="117">
        <v>10.49778082118597</v>
      </c>
      <c r="E45" s="117">
        <v>9.7567216443302041</v>
      </c>
      <c r="F45" s="117">
        <v>8.5454703849010851</v>
      </c>
      <c r="G45" s="117">
        <v>8.322073934082276</v>
      </c>
      <c r="H45" s="117">
        <v>8.9938410252601919</v>
      </c>
      <c r="I45" s="117">
        <v>11.003684266136815</v>
      </c>
      <c r="J45" s="117">
        <v>10.291610107785155</v>
      </c>
      <c r="K45" s="118">
        <v>8.4209304471903987</v>
      </c>
    </row>
    <row r="46" spans="2:11" x14ac:dyDescent="0.3">
      <c r="B46" s="119" t="s">
        <v>1983</v>
      </c>
      <c r="C46" s="108" t="s">
        <v>1416</v>
      </c>
      <c r="D46" s="109">
        <v>12.281443565493195</v>
      </c>
      <c r="E46" s="109">
        <v>11.419128320392018</v>
      </c>
      <c r="F46" s="109">
        <v>10.220474396784464</v>
      </c>
      <c r="G46" s="109">
        <v>9.9715814741874222</v>
      </c>
      <c r="H46" s="109">
        <v>10.685819842854618</v>
      </c>
      <c r="I46" s="109">
        <v>12.662992157785272</v>
      </c>
      <c r="J46" s="109">
        <v>11.948947786564759</v>
      </c>
      <c r="K46" s="110">
        <v>10.069883464594957</v>
      </c>
    </row>
    <row r="47" spans="2:11" x14ac:dyDescent="0.3">
      <c r="B47" s="111"/>
      <c r="C47" s="112" t="s">
        <v>1483</v>
      </c>
      <c r="D47" s="1499">
        <v>12.287687136236357</v>
      </c>
      <c r="E47" s="1499">
        <v>11.427019620802877</v>
      </c>
      <c r="F47" s="1499">
        <v>10.2285332616486</v>
      </c>
      <c r="G47" s="1499">
        <v>9.9802072076837618</v>
      </c>
      <c r="H47" s="1499">
        <v>10.693882201229924</v>
      </c>
      <c r="I47" s="1499">
        <v>12.67029866278846</v>
      </c>
      <c r="J47" s="1499">
        <v>11.956566280792128</v>
      </c>
      <c r="K47" s="113">
        <v>10.078467061892342</v>
      </c>
    </row>
    <row r="48" spans="2:11" x14ac:dyDescent="0.3">
      <c r="B48" s="111" t="s">
        <v>1979</v>
      </c>
      <c r="C48" s="112" t="s">
        <v>1489</v>
      </c>
      <c r="D48" s="1499">
        <v>12.286258759254975</v>
      </c>
      <c r="E48" s="1499">
        <v>11.425591243821492</v>
      </c>
      <c r="F48" s="1499">
        <v>10.227104884667215</v>
      </c>
      <c r="G48" s="1499">
        <v>9.9787788307023781</v>
      </c>
      <c r="H48" s="1499">
        <v>10.69245382424854</v>
      </c>
      <c r="I48" s="1499">
        <v>12.668870285807078</v>
      </c>
      <c r="J48" s="1499">
        <v>11.955137903810746</v>
      </c>
      <c r="K48" s="113">
        <v>10.077038684910956</v>
      </c>
    </row>
    <row r="49" spans="2:11" x14ac:dyDescent="0.3">
      <c r="B49" s="114">
        <v>0</v>
      </c>
      <c r="C49" s="112" t="s">
        <v>1496</v>
      </c>
      <c r="D49" s="1499">
        <v>12.284116193782898</v>
      </c>
      <c r="E49" s="1499">
        <v>11.423448678349418</v>
      </c>
      <c r="F49" s="1499">
        <v>10.224962319195139</v>
      </c>
      <c r="G49" s="1499">
        <v>9.9766362652303027</v>
      </c>
      <c r="H49" s="1499">
        <v>10.690311258776466</v>
      </c>
      <c r="I49" s="1499">
        <v>12.666727720335</v>
      </c>
      <c r="J49" s="1499">
        <v>11.952995338338669</v>
      </c>
      <c r="K49" s="113">
        <v>10.074896119438883</v>
      </c>
    </row>
    <row r="50" spans="2:11" x14ac:dyDescent="0.3">
      <c r="B50" s="115"/>
      <c r="C50" s="112" t="s">
        <v>1500</v>
      </c>
      <c r="D50" s="1499">
        <v>12.281973628310823</v>
      </c>
      <c r="E50" s="1499">
        <v>11.421306112877343</v>
      </c>
      <c r="F50" s="1499">
        <v>10.222819753723064</v>
      </c>
      <c r="G50" s="1499">
        <v>9.9744936997582272</v>
      </c>
      <c r="H50" s="1499">
        <v>10.688168693304389</v>
      </c>
      <c r="I50" s="1499">
        <v>12.664585154862925</v>
      </c>
      <c r="J50" s="1499">
        <v>11.950852772866593</v>
      </c>
      <c r="K50" s="113">
        <v>10.072753553966805</v>
      </c>
    </row>
    <row r="51" spans="2:11" x14ac:dyDescent="0.3">
      <c r="B51" s="115"/>
      <c r="C51" s="112" t="s">
        <v>1504</v>
      </c>
      <c r="D51" s="1499">
        <v>12.285582668307912</v>
      </c>
      <c r="E51" s="1499">
        <v>11.426002167322727</v>
      </c>
      <c r="F51" s="1499">
        <v>10.227070809665308</v>
      </c>
      <c r="G51" s="1499">
        <v>9.9788078521957875</v>
      </c>
      <c r="H51" s="1499">
        <v>10.692783696433395</v>
      </c>
      <c r="I51" s="1499">
        <v>12.669604127868098</v>
      </c>
      <c r="J51" s="1499">
        <v>11.955740965164521</v>
      </c>
      <c r="K51" s="113">
        <v>10.077095061515038</v>
      </c>
    </row>
    <row r="52" spans="2:11" x14ac:dyDescent="0.3">
      <c r="B52" s="115"/>
      <c r="C52" s="112" t="s">
        <v>1508</v>
      </c>
      <c r="D52" s="1499">
        <v>12.284405102577923</v>
      </c>
      <c r="E52" s="1499">
        <v>11.424824601592737</v>
      </c>
      <c r="F52" s="1499">
        <v>10.225893243935317</v>
      </c>
      <c r="G52" s="1499">
        <v>9.9776302864657982</v>
      </c>
      <c r="H52" s="1499">
        <v>10.691606130703406</v>
      </c>
      <c r="I52" s="1499">
        <v>12.668426562138109</v>
      </c>
      <c r="J52" s="1499">
        <v>11.954563399434532</v>
      </c>
      <c r="K52" s="113">
        <v>10.075917495785047</v>
      </c>
    </row>
    <row r="53" spans="2:11" x14ac:dyDescent="0.3">
      <c r="B53" s="115"/>
      <c r="C53" s="112" t="s">
        <v>1513</v>
      </c>
      <c r="D53" s="1499">
        <v>12.282638753982939</v>
      </c>
      <c r="E53" s="1499">
        <v>11.423058252997754</v>
      </c>
      <c r="F53" s="1499">
        <v>10.224126895340333</v>
      </c>
      <c r="G53" s="1499">
        <v>9.9758639378708143</v>
      </c>
      <c r="H53" s="1499">
        <v>10.689839782108422</v>
      </c>
      <c r="I53" s="1499">
        <v>12.666660213543125</v>
      </c>
      <c r="J53" s="1499">
        <v>11.952797050839548</v>
      </c>
      <c r="K53" s="113">
        <v>10.074151147190063</v>
      </c>
    </row>
    <row r="54" spans="2:11" x14ac:dyDescent="0.3">
      <c r="B54" s="115"/>
      <c r="C54" s="112" t="s">
        <v>1517</v>
      </c>
      <c r="D54" s="1499">
        <v>12.280872405387955</v>
      </c>
      <c r="E54" s="1499">
        <v>11.42129190440277</v>
      </c>
      <c r="F54" s="1499">
        <v>10.22236054674535</v>
      </c>
      <c r="G54" s="1499">
        <v>9.9740975892758303</v>
      </c>
      <c r="H54" s="1499">
        <v>10.688073433513438</v>
      </c>
      <c r="I54" s="1499">
        <v>12.664893864948141</v>
      </c>
      <c r="J54" s="1499">
        <v>11.951030702244564</v>
      </c>
      <c r="K54" s="113">
        <v>10.072384798595079</v>
      </c>
    </row>
    <row r="55" spans="2:11" ht="14.5" thickBot="1" x14ac:dyDescent="0.35">
      <c r="B55" s="1233"/>
      <c r="C55" s="116" t="s">
        <v>1519</v>
      </c>
      <c r="D55" s="117">
        <v>12.287687136236357</v>
      </c>
      <c r="E55" s="117">
        <v>11.427019620802877</v>
      </c>
      <c r="F55" s="117">
        <v>10.2285332616486</v>
      </c>
      <c r="G55" s="117">
        <v>9.9802072076837618</v>
      </c>
      <c r="H55" s="117">
        <v>10.693882201229924</v>
      </c>
      <c r="I55" s="117">
        <v>12.67029866278846</v>
      </c>
      <c r="J55" s="117">
        <v>11.956566280792128</v>
      </c>
      <c r="K55" s="118">
        <v>10.078467061892342</v>
      </c>
    </row>
    <row r="56" spans="2:11" x14ac:dyDescent="0.3">
      <c r="B56" s="119" t="s">
        <v>1983</v>
      </c>
      <c r="C56" s="108" t="s">
        <v>1416</v>
      </c>
      <c r="D56" s="109">
        <v>11.677540862464232</v>
      </c>
      <c r="E56" s="109">
        <v>10.815225617363057</v>
      </c>
      <c r="F56" s="109">
        <v>9.616571693755505</v>
      </c>
      <c r="G56" s="109">
        <v>9.3676787711584613</v>
      </c>
      <c r="H56" s="109">
        <v>10.081917139825658</v>
      </c>
      <c r="I56" s="109">
        <v>12.059089454756311</v>
      </c>
      <c r="J56" s="109">
        <v>11.345045083535796</v>
      </c>
      <c r="K56" s="110">
        <v>9.4659807615659961</v>
      </c>
    </row>
    <row r="57" spans="2:11" x14ac:dyDescent="0.3">
      <c r="B57" s="111"/>
      <c r="C57" s="112" t="s">
        <v>1483</v>
      </c>
      <c r="D57" s="1499">
        <v>11.683784433207398</v>
      </c>
      <c r="E57" s="1499">
        <v>10.823116917773914</v>
      </c>
      <c r="F57" s="1499">
        <v>9.6246305586196375</v>
      </c>
      <c r="G57" s="1499">
        <v>9.3763045046548008</v>
      </c>
      <c r="H57" s="1499">
        <v>10.089979498200963</v>
      </c>
      <c r="I57" s="1499">
        <v>12.0663959597595</v>
      </c>
      <c r="J57" s="1499">
        <v>11.352663577763169</v>
      </c>
      <c r="K57" s="113">
        <v>9.474564358863379</v>
      </c>
    </row>
    <row r="58" spans="2:11" x14ac:dyDescent="0.3">
      <c r="B58" s="111" t="s">
        <v>1980</v>
      </c>
      <c r="C58" s="112" t="s">
        <v>1489</v>
      </c>
      <c r="D58" s="1499">
        <v>11.682356056226013</v>
      </c>
      <c r="E58" s="1499">
        <v>10.821688540792531</v>
      </c>
      <c r="F58" s="1499">
        <v>9.6232021816382538</v>
      </c>
      <c r="G58" s="1499">
        <v>9.3748761276734172</v>
      </c>
      <c r="H58" s="1499">
        <v>10.088551121219579</v>
      </c>
      <c r="I58" s="1499">
        <v>12.064967582778115</v>
      </c>
      <c r="J58" s="1499">
        <v>11.351235200781783</v>
      </c>
      <c r="K58" s="113">
        <v>9.4731359818819953</v>
      </c>
    </row>
    <row r="59" spans="2:11" x14ac:dyDescent="0.3">
      <c r="B59" s="114">
        <v>0</v>
      </c>
      <c r="C59" s="112" t="s">
        <v>1496</v>
      </c>
      <c r="D59" s="1499">
        <v>11.680213490753937</v>
      </c>
      <c r="E59" s="1499">
        <v>10.819545975320455</v>
      </c>
      <c r="F59" s="1499">
        <v>9.6210596161661783</v>
      </c>
      <c r="G59" s="1499">
        <v>9.3727335622013417</v>
      </c>
      <c r="H59" s="1499">
        <v>10.086408555747504</v>
      </c>
      <c r="I59" s="1499">
        <v>12.062825017306041</v>
      </c>
      <c r="J59" s="1499">
        <v>11.349092635309709</v>
      </c>
      <c r="K59" s="113">
        <v>9.4709934164099199</v>
      </c>
    </row>
    <row r="60" spans="2:11" x14ac:dyDescent="0.3">
      <c r="B60" s="115"/>
      <c r="C60" s="112" t="s">
        <v>1500</v>
      </c>
      <c r="D60" s="1499">
        <v>11.67807092528186</v>
      </c>
      <c r="E60" s="1499">
        <v>10.81740340984838</v>
      </c>
      <c r="F60" s="1499">
        <v>9.6189170506941029</v>
      </c>
      <c r="G60" s="1499">
        <v>9.3705909967292662</v>
      </c>
      <c r="H60" s="1499">
        <v>10.084265990275428</v>
      </c>
      <c r="I60" s="1499">
        <v>12.060682451833964</v>
      </c>
      <c r="J60" s="1499">
        <v>11.346950069837632</v>
      </c>
      <c r="K60" s="113">
        <v>9.4688508509378444</v>
      </c>
    </row>
    <row r="61" spans="2:11" x14ac:dyDescent="0.3">
      <c r="B61" s="115"/>
      <c r="C61" s="112" t="s">
        <v>1504</v>
      </c>
      <c r="D61" s="1499">
        <v>11.681679965278951</v>
      </c>
      <c r="E61" s="1499">
        <v>10.822099464293766</v>
      </c>
      <c r="F61" s="1499">
        <v>9.6231681066363457</v>
      </c>
      <c r="G61" s="1499">
        <v>9.3749051491668283</v>
      </c>
      <c r="H61" s="1499">
        <v>10.088880993404434</v>
      </c>
      <c r="I61" s="1499">
        <v>12.065701424839135</v>
      </c>
      <c r="J61" s="1499">
        <v>11.351838262135558</v>
      </c>
      <c r="K61" s="113">
        <v>9.4731923584860755</v>
      </c>
    </row>
    <row r="62" spans="2:11" x14ac:dyDescent="0.3">
      <c r="B62" s="115"/>
      <c r="C62" s="112" t="s">
        <v>1508</v>
      </c>
      <c r="D62" s="1499">
        <v>11.680502399548962</v>
      </c>
      <c r="E62" s="1499">
        <v>10.820921898563777</v>
      </c>
      <c r="F62" s="1499">
        <v>9.6219905409063564</v>
      </c>
      <c r="G62" s="1499">
        <v>9.3737275834368372</v>
      </c>
      <c r="H62" s="1499">
        <v>10.087703427674445</v>
      </c>
      <c r="I62" s="1499">
        <v>12.064523859109146</v>
      </c>
      <c r="J62" s="1499">
        <v>11.350660696405569</v>
      </c>
      <c r="K62" s="113">
        <v>9.4720147927560863</v>
      </c>
    </row>
    <row r="63" spans="2:11" x14ac:dyDescent="0.3">
      <c r="B63" s="115"/>
      <c r="C63" s="112" t="s">
        <v>1513</v>
      </c>
      <c r="D63" s="1499">
        <v>11.678736050953978</v>
      </c>
      <c r="E63" s="1499">
        <v>10.819155549968793</v>
      </c>
      <c r="F63" s="1499">
        <v>9.6202241923113725</v>
      </c>
      <c r="G63" s="1499">
        <v>9.3719612348418533</v>
      </c>
      <c r="H63" s="1499">
        <v>10.085937079079461</v>
      </c>
      <c r="I63" s="1499">
        <v>12.062757510514162</v>
      </c>
      <c r="J63" s="1499">
        <v>11.348894347810585</v>
      </c>
      <c r="K63" s="113">
        <v>9.4702484441611023</v>
      </c>
    </row>
    <row r="64" spans="2:11" x14ac:dyDescent="0.3">
      <c r="B64" s="115"/>
      <c r="C64" s="112" t="s">
        <v>1517</v>
      </c>
      <c r="D64" s="1499">
        <v>11.676969702358994</v>
      </c>
      <c r="E64" s="1499">
        <v>10.817389201373809</v>
      </c>
      <c r="F64" s="1499">
        <v>9.6184578437163886</v>
      </c>
      <c r="G64" s="1499">
        <v>9.3701948862468694</v>
      </c>
      <c r="H64" s="1499">
        <v>10.084170730484477</v>
      </c>
      <c r="I64" s="1499">
        <v>12.060991161919178</v>
      </c>
      <c r="J64" s="1499">
        <v>11.347127999215601</v>
      </c>
      <c r="K64" s="113">
        <v>9.4684820955661184</v>
      </c>
    </row>
    <row r="65" spans="2:11" ht="14.5" thickBot="1" x14ac:dyDescent="0.35">
      <c r="B65" s="1233"/>
      <c r="C65" s="116" t="s">
        <v>1519</v>
      </c>
      <c r="D65" s="117">
        <v>11.683784433207398</v>
      </c>
      <c r="E65" s="117">
        <v>10.823116917773914</v>
      </c>
      <c r="F65" s="117">
        <v>9.6246305586196375</v>
      </c>
      <c r="G65" s="117">
        <v>9.3763045046548008</v>
      </c>
      <c r="H65" s="117">
        <v>10.089979498200963</v>
      </c>
      <c r="I65" s="117">
        <v>12.0663959597595</v>
      </c>
      <c r="J65" s="117">
        <v>11.352663577763169</v>
      </c>
      <c r="K65" s="118">
        <v>9.474564358863379</v>
      </c>
    </row>
    <row r="66" spans="2:11" x14ac:dyDescent="0.3">
      <c r="B66" s="119" t="s">
        <v>1983</v>
      </c>
      <c r="C66" s="108" t="s">
        <v>1416</v>
      </c>
      <c r="D66" s="109">
        <v>10.771686807920791</v>
      </c>
      <c r="E66" s="109">
        <v>9.9093715628196133</v>
      </c>
      <c r="F66" s="109">
        <v>8.7107176392120618</v>
      </c>
      <c r="G66" s="109">
        <v>8.4618247166150198</v>
      </c>
      <c r="H66" s="109">
        <v>9.176063085282216</v>
      </c>
      <c r="I66" s="109">
        <v>11.153235400212868</v>
      </c>
      <c r="J66" s="109">
        <v>10.439191028992354</v>
      </c>
      <c r="K66" s="110">
        <v>8.5601267070225546</v>
      </c>
    </row>
    <row r="67" spans="2:11" x14ac:dyDescent="0.3">
      <c r="B67" s="111"/>
      <c r="C67" s="112" t="s">
        <v>1483</v>
      </c>
      <c r="D67" s="1499">
        <v>10.777930378663955</v>
      </c>
      <c r="E67" s="1499">
        <v>9.9172628632304729</v>
      </c>
      <c r="F67" s="1499">
        <v>8.718776504076196</v>
      </c>
      <c r="G67" s="1499">
        <v>8.4704504501113593</v>
      </c>
      <c r="H67" s="1499">
        <v>9.1841254436575213</v>
      </c>
      <c r="I67" s="1499">
        <v>11.160541905216057</v>
      </c>
      <c r="J67" s="1499">
        <v>10.446809523219725</v>
      </c>
      <c r="K67" s="113">
        <v>8.5687103043199375</v>
      </c>
    </row>
    <row r="68" spans="2:11" x14ac:dyDescent="0.3">
      <c r="B68" s="111" t="s">
        <v>1981</v>
      </c>
      <c r="C68" s="112" t="s">
        <v>1489</v>
      </c>
      <c r="D68" s="1499">
        <v>10.776502001682571</v>
      </c>
      <c r="E68" s="1499">
        <v>9.9158344862490893</v>
      </c>
      <c r="F68" s="1499">
        <v>8.7173481270948123</v>
      </c>
      <c r="G68" s="1499">
        <v>8.4690220731299757</v>
      </c>
      <c r="H68" s="1499">
        <v>9.1826970666761376</v>
      </c>
      <c r="I68" s="1499">
        <v>11.159113528234673</v>
      </c>
      <c r="J68" s="1499">
        <v>10.445381146238342</v>
      </c>
      <c r="K68" s="113">
        <v>8.5672819273385539</v>
      </c>
    </row>
    <row r="69" spans="2:11" x14ac:dyDescent="0.3">
      <c r="B69" s="114">
        <v>0</v>
      </c>
      <c r="C69" s="112" t="s">
        <v>1496</v>
      </c>
      <c r="D69" s="1499">
        <v>10.774359436210496</v>
      </c>
      <c r="E69" s="1499">
        <v>9.9136919207770138</v>
      </c>
      <c r="F69" s="1499">
        <v>8.7152055616227369</v>
      </c>
      <c r="G69" s="1499">
        <v>8.4668795076579002</v>
      </c>
      <c r="H69" s="1499">
        <v>9.1805545012040621</v>
      </c>
      <c r="I69" s="1499">
        <v>11.156970962762598</v>
      </c>
      <c r="J69" s="1499">
        <v>10.443238580766266</v>
      </c>
      <c r="K69" s="113">
        <v>8.5651393618664784</v>
      </c>
    </row>
    <row r="70" spans="2:11" x14ac:dyDescent="0.3">
      <c r="B70" s="115"/>
      <c r="C70" s="112" t="s">
        <v>1500</v>
      </c>
      <c r="D70" s="1499">
        <v>10.77221687073842</v>
      </c>
      <c r="E70" s="1499">
        <v>9.9115493553049383</v>
      </c>
      <c r="F70" s="1499">
        <v>8.7130629961506614</v>
      </c>
      <c r="G70" s="1499">
        <v>8.4647369421858247</v>
      </c>
      <c r="H70" s="1499">
        <v>9.1784119357319867</v>
      </c>
      <c r="I70" s="1499">
        <v>11.154828397290522</v>
      </c>
      <c r="J70" s="1499">
        <v>10.441096015294191</v>
      </c>
      <c r="K70" s="113">
        <v>8.5629967963944029</v>
      </c>
    </row>
    <row r="71" spans="2:11" x14ac:dyDescent="0.3">
      <c r="B71" s="115"/>
      <c r="C71" s="112" t="s">
        <v>1504</v>
      </c>
      <c r="D71" s="1499">
        <v>10.775825910735509</v>
      </c>
      <c r="E71" s="1499">
        <v>9.9162454097503243</v>
      </c>
      <c r="F71" s="1499">
        <v>8.7173140520929042</v>
      </c>
      <c r="G71" s="1499">
        <v>8.469051094623385</v>
      </c>
      <c r="H71" s="1499">
        <v>9.1830269388609924</v>
      </c>
      <c r="I71" s="1499">
        <v>11.159847370295694</v>
      </c>
      <c r="J71" s="1499">
        <v>10.445984207592117</v>
      </c>
      <c r="K71" s="113">
        <v>8.5673383039426341</v>
      </c>
    </row>
    <row r="72" spans="2:11" x14ac:dyDescent="0.3">
      <c r="B72" s="115"/>
      <c r="C72" s="112" t="s">
        <v>1508</v>
      </c>
      <c r="D72" s="1499">
        <v>10.77464834500552</v>
      </c>
      <c r="E72" s="1499">
        <v>9.915067844020335</v>
      </c>
      <c r="F72" s="1499">
        <v>8.7161364863629149</v>
      </c>
      <c r="G72" s="1499">
        <v>8.4678735288933957</v>
      </c>
      <c r="H72" s="1499">
        <v>9.1818493731310031</v>
      </c>
      <c r="I72" s="1499">
        <v>11.158669804565704</v>
      </c>
      <c r="J72" s="1499">
        <v>10.444806641862128</v>
      </c>
      <c r="K72" s="113">
        <v>8.5661607382126448</v>
      </c>
    </row>
    <row r="73" spans="2:11" x14ac:dyDescent="0.3">
      <c r="B73" s="115"/>
      <c r="C73" s="112" t="s">
        <v>1513</v>
      </c>
      <c r="D73" s="1499">
        <v>10.772881996410534</v>
      </c>
      <c r="E73" s="1499">
        <v>9.9133014954253511</v>
      </c>
      <c r="F73" s="1499">
        <v>8.714370137767931</v>
      </c>
      <c r="G73" s="1499">
        <v>8.4661071802984118</v>
      </c>
      <c r="H73" s="1499">
        <v>9.1800830245360192</v>
      </c>
      <c r="I73" s="1499">
        <v>11.156903455970721</v>
      </c>
      <c r="J73" s="1499">
        <v>10.443040293267144</v>
      </c>
      <c r="K73" s="113">
        <v>8.5643943896176609</v>
      </c>
    </row>
    <row r="74" spans="2:11" x14ac:dyDescent="0.3">
      <c r="B74" s="115"/>
      <c r="C74" s="112" t="s">
        <v>1517</v>
      </c>
      <c r="D74" s="1499">
        <v>10.771115647815551</v>
      </c>
      <c r="E74" s="1499">
        <v>9.9115351468303672</v>
      </c>
      <c r="F74" s="1499">
        <v>8.7126037891729471</v>
      </c>
      <c r="G74" s="1499">
        <v>8.4643408317034279</v>
      </c>
      <c r="H74" s="1499">
        <v>9.1783166759410353</v>
      </c>
      <c r="I74" s="1499">
        <v>11.155137107375735</v>
      </c>
      <c r="J74" s="1499">
        <v>10.44127394467216</v>
      </c>
      <c r="K74" s="113">
        <v>8.5626280410226769</v>
      </c>
    </row>
    <row r="75" spans="2:11" ht="14.5" thickBot="1" x14ac:dyDescent="0.35">
      <c r="B75" s="1233"/>
      <c r="C75" s="116" t="s">
        <v>1519</v>
      </c>
      <c r="D75" s="117">
        <v>10.777930378663955</v>
      </c>
      <c r="E75" s="117">
        <v>9.9172628632304729</v>
      </c>
      <c r="F75" s="117">
        <v>8.718776504076196</v>
      </c>
      <c r="G75" s="117">
        <v>8.4704504501113593</v>
      </c>
      <c r="H75" s="117">
        <v>9.1841254436575213</v>
      </c>
      <c r="I75" s="117">
        <v>11.160541905216057</v>
      </c>
      <c r="J75" s="117">
        <v>10.446809523219725</v>
      </c>
      <c r="K75" s="118">
        <v>8.5687103043199375</v>
      </c>
    </row>
    <row r="76" spans="2:11" x14ac:dyDescent="0.3">
      <c r="B76" s="119" t="s">
        <v>1983</v>
      </c>
      <c r="C76" s="108" t="s">
        <v>1416</v>
      </c>
      <c r="D76" s="109">
        <v>9.8658327533773491</v>
      </c>
      <c r="E76" s="109">
        <v>9.0035175082761718</v>
      </c>
      <c r="F76" s="109">
        <v>7.8048635846686203</v>
      </c>
      <c r="G76" s="109">
        <v>7.5559706620715774</v>
      </c>
      <c r="H76" s="109">
        <v>8.2702090307387746</v>
      </c>
      <c r="I76" s="109">
        <v>10.247381345669426</v>
      </c>
      <c r="J76" s="109">
        <v>9.5333369744489129</v>
      </c>
      <c r="K76" s="110">
        <v>7.6542726524791131</v>
      </c>
    </row>
    <row r="77" spans="2:11" x14ac:dyDescent="0.3">
      <c r="B77" s="111"/>
      <c r="C77" s="112" t="s">
        <v>1483</v>
      </c>
      <c r="D77" s="1499">
        <v>9.8720763241205134</v>
      </c>
      <c r="E77" s="1499">
        <v>9.0114088086870314</v>
      </c>
      <c r="F77" s="1499">
        <v>7.8129224495327536</v>
      </c>
      <c r="G77" s="1499">
        <v>7.564596395567917</v>
      </c>
      <c r="H77" s="1499">
        <v>8.2782713891140798</v>
      </c>
      <c r="I77" s="1499">
        <v>10.254687850672616</v>
      </c>
      <c r="J77" s="1499">
        <v>9.5409554686762839</v>
      </c>
      <c r="K77" s="113">
        <v>7.662856249776496</v>
      </c>
    </row>
    <row r="78" spans="2:11" x14ac:dyDescent="0.3">
      <c r="B78" s="111" t="s">
        <v>1982</v>
      </c>
      <c r="C78" s="112" t="s">
        <v>1489</v>
      </c>
      <c r="D78" s="1499">
        <v>9.8706479471391297</v>
      </c>
      <c r="E78" s="1499">
        <v>9.0099804317056478</v>
      </c>
      <c r="F78" s="1499">
        <v>7.8114940725513708</v>
      </c>
      <c r="G78" s="1499">
        <v>7.5631680185865333</v>
      </c>
      <c r="H78" s="1499">
        <v>8.2768430121326961</v>
      </c>
      <c r="I78" s="1499">
        <v>10.253259473691232</v>
      </c>
      <c r="J78" s="1499">
        <v>9.5395270916949002</v>
      </c>
      <c r="K78" s="113">
        <v>7.6614278727951124</v>
      </c>
    </row>
    <row r="79" spans="2:11" x14ac:dyDescent="0.3">
      <c r="B79" s="114">
        <v>0</v>
      </c>
      <c r="C79" s="112" t="s">
        <v>1496</v>
      </c>
      <c r="D79" s="1499">
        <v>9.8685053816670525</v>
      </c>
      <c r="E79" s="1499">
        <v>9.0078378662335723</v>
      </c>
      <c r="F79" s="1499">
        <v>7.8093515070792945</v>
      </c>
      <c r="G79" s="1499">
        <v>7.5610254531144578</v>
      </c>
      <c r="H79" s="1499">
        <v>8.2747004466606207</v>
      </c>
      <c r="I79" s="1499">
        <v>10.251116908219156</v>
      </c>
      <c r="J79" s="1499">
        <v>9.5373845262228247</v>
      </c>
      <c r="K79" s="113">
        <v>7.659285307323036</v>
      </c>
    </row>
    <row r="80" spans="2:11" x14ac:dyDescent="0.3">
      <c r="B80" s="115"/>
      <c r="C80" s="112" t="s">
        <v>1500</v>
      </c>
      <c r="D80" s="1499">
        <v>9.866362816194977</v>
      </c>
      <c r="E80" s="1499">
        <v>9.0056953007614968</v>
      </c>
      <c r="F80" s="1499">
        <v>7.8072089416072199</v>
      </c>
      <c r="G80" s="1499">
        <v>7.5588828876423815</v>
      </c>
      <c r="H80" s="1499">
        <v>8.2725578811885434</v>
      </c>
      <c r="I80" s="1499">
        <v>10.248974342747081</v>
      </c>
      <c r="J80" s="1499">
        <v>9.5352419607507475</v>
      </c>
      <c r="K80" s="113">
        <v>7.6571427418509614</v>
      </c>
    </row>
    <row r="81" spans="2:11" x14ac:dyDescent="0.3">
      <c r="B81" s="115"/>
      <c r="C81" s="112" t="s">
        <v>1504</v>
      </c>
      <c r="D81" s="1499">
        <v>9.8699718561920662</v>
      </c>
      <c r="E81" s="1499">
        <v>9.0103913552068828</v>
      </c>
      <c r="F81" s="1499">
        <v>7.8114599975494627</v>
      </c>
      <c r="G81" s="1499">
        <v>7.5631970400799435</v>
      </c>
      <c r="H81" s="1499">
        <v>8.2771728843175509</v>
      </c>
      <c r="I81" s="1499">
        <v>10.253993315752252</v>
      </c>
      <c r="J81" s="1499">
        <v>9.5401301530486755</v>
      </c>
      <c r="K81" s="113">
        <v>7.6614842493991926</v>
      </c>
    </row>
    <row r="82" spans="2:11" x14ac:dyDescent="0.3">
      <c r="B82" s="115"/>
      <c r="C82" s="112" t="s">
        <v>1508</v>
      </c>
      <c r="D82" s="1499">
        <v>9.8687942904620769</v>
      </c>
      <c r="E82" s="1499">
        <v>9.0092137894768936</v>
      </c>
      <c r="F82" s="1499">
        <v>7.8102824318194735</v>
      </c>
      <c r="G82" s="1499">
        <v>7.5620194743499543</v>
      </c>
      <c r="H82" s="1499">
        <v>8.2759953185875617</v>
      </c>
      <c r="I82" s="1499">
        <v>10.252815750022263</v>
      </c>
      <c r="J82" s="1499">
        <v>9.5389525873186862</v>
      </c>
      <c r="K82" s="113">
        <v>7.6603066836692033</v>
      </c>
    </row>
    <row r="83" spans="2:11" x14ac:dyDescent="0.3">
      <c r="B83" s="115"/>
      <c r="C83" s="112" t="s">
        <v>1513</v>
      </c>
      <c r="D83" s="1499">
        <v>9.867027941867093</v>
      </c>
      <c r="E83" s="1499">
        <v>9.0074474408819096</v>
      </c>
      <c r="F83" s="1499">
        <v>7.8085160832244886</v>
      </c>
      <c r="G83" s="1499">
        <v>7.5602531257549703</v>
      </c>
      <c r="H83" s="1499">
        <v>8.2742289699925777</v>
      </c>
      <c r="I83" s="1499">
        <v>10.251049401427279</v>
      </c>
      <c r="J83" s="1499">
        <v>9.5371862387237023</v>
      </c>
      <c r="K83" s="113">
        <v>7.6585403350742194</v>
      </c>
    </row>
    <row r="84" spans="2:11" x14ac:dyDescent="0.3">
      <c r="B84" s="115"/>
      <c r="C84" s="112" t="s">
        <v>1517</v>
      </c>
      <c r="D84" s="1499">
        <v>9.8652615932721091</v>
      </c>
      <c r="E84" s="1499">
        <v>9.0056810922869239</v>
      </c>
      <c r="F84" s="1499">
        <v>7.8067497346295047</v>
      </c>
      <c r="G84" s="1499">
        <v>7.5584867771599855</v>
      </c>
      <c r="H84" s="1499">
        <v>8.272462621397592</v>
      </c>
      <c r="I84" s="1499">
        <v>10.249283052832295</v>
      </c>
      <c r="J84" s="1499">
        <v>9.5354198901287184</v>
      </c>
      <c r="K84" s="113">
        <v>7.6567739864792355</v>
      </c>
    </row>
    <row r="85" spans="2:11" ht="14.5" thickBot="1" x14ac:dyDescent="0.35">
      <c r="B85" s="1233"/>
      <c r="C85" s="116" t="s">
        <v>1519</v>
      </c>
      <c r="D85" s="117">
        <v>9.8720763241205134</v>
      </c>
      <c r="E85" s="117">
        <v>9.0114088086870314</v>
      </c>
      <c r="F85" s="117">
        <v>7.8129224495327536</v>
      </c>
      <c r="G85" s="117">
        <v>7.564596395567917</v>
      </c>
      <c r="H85" s="117">
        <v>8.2782713891140798</v>
      </c>
      <c r="I85" s="117">
        <v>10.254687850672616</v>
      </c>
      <c r="J85" s="117">
        <v>9.5409554686762839</v>
      </c>
      <c r="K85" s="118">
        <v>7.662856249776496</v>
      </c>
    </row>
    <row r="87" spans="2:11" ht="14.5" thickBot="1" x14ac:dyDescent="0.35"/>
    <row r="88" spans="2:11" ht="25.5" thickBot="1" x14ac:dyDescent="0.55000000000000004">
      <c r="B88" s="88" t="s">
        <v>1960</v>
      </c>
      <c r="C88" s="89"/>
      <c r="D88" s="90">
        <v>8</v>
      </c>
      <c r="E88" s="91" t="s">
        <v>1984</v>
      </c>
      <c r="F88" s="92"/>
      <c r="G88" s="92"/>
      <c r="H88" s="92"/>
      <c r="I88" s="93"/>
      <c r="J88" s="89" t="s">
        <v>176</v>
      </c>
      <c r="K88" s="94" t="s">
        <v>214</v>
      </c>
    </row>
    <row r="89" spans="2:11" ht="14.5" thickBot="1" x14ac:dyDescent="0.35">
      <c r="B89" s="95" t="s">
        <v>1962</v>
      </c>
      <c r="C89" s="96" t="s">
        <v>1963</v>
      </c>
      <c r="D89" s="95" t="s">
        <v>1964</v>
      </c>
      <c r="E89" s="97" t="s">
        <v>1965</v>
      </c>
      <c r="F89" s="97" t="s">
        <v>1966</v>
      </c>
      <c r="G89" s="97" t="s">
        <v>1967</v>
      </c>
      <c r="H89" s="97" t="s">
        <v>1968</v>
      </c>
      <c r="I89" s="97" t="s">
        <v>1969</v>
      </c>
      <c r="J89" s="97" t="s">
        <v>1970</v>
      </c>
      <c r="K89" s="98" t="s">
        <v>1971</v>
      </c>
    </row>
    <row r="90" spans="2:11" ht="14.5" thickBot="1" x14ac:dyDescent="0.35">
      <c r="B90" s="99"/>
      <c r="C90" s="99"/>
      <c r="D90" s="100"/>
      <c r="E90" s="944"/>
      <c r="F90" s="944"/>
      <c r="G90" s="944"/>
      <c r="H90" s="944"/>
      <c r="I90" s="944"/>
      <c r="J90" s="944"/>
      <c r="K90" s="102"/>
    </row>
    <row r="91" spans="2:11" ht="86.5" thickBot="1" x14ac:dyDescent="0.45">
      <c r="B91" s="103" t="s">
        <v>1972</v>
      </c>
      <c r="C91" s="103" t="s">
        <v>1973</v>
      </c>
      <c r="D91" s="105" t="s">
        <v>1974</v>
      </c>
      <c r="E91" s="105" t="s">
        <v>1525</v>
      </c>
      <c r="F91" s="105" t="s">
        <v>1527</v>
      </c>
      <c r="G91" s="105" t="s">
        <v>1975</v>
      </c>
      <c r="H91" s="105" t="s">
        <v>1976</v>
      </c>
      <c r="I91" s="105" t="s">
        <v>1445</v>
      </c>
      <c r="J91" s="105" t="s">
        <v>1538</v>
      </c>
      <c r="K91" s="106" t="s">
        <v>1541</v>
      </c>
    </row>
    <row r="92" spans="2:11" x14ac:dyDescent="0.3">
      <c r="B92" s="107" t="s">
        <v>1985</v>
      </c>
      <c r="C92" s="108" t="s">
        <v>1416</v>
      </c>
      <c r="D92" s="109">
        <v>7.4838642704887732</v>
      </c>
      <c r="E92" s="109">
        <v>6.2250317183080188</v>
      </c>
      <c r="F92" s="109">
        <v>5.2314622980270133</v>
      </c>
      <c r="G92" s="109">
        <v>4.8655918853362889</v>
      </c>
      <c r="H92" s="109">
        <v>5.7513098993109306</v>
      </c>
      <c r="I92" s="109">
        <v>7.3454210358375125</v>
      </c>
      <c r="J92" s="109">
        <v>6.6828651537978097</v>
      </c>
      <c r="K92" s="110">
        <v>4.9480984202706511</v>
      </c>
    </row>
    <row r="93" spans="2:11" x14ac:dyDescent="0.3">
      <c r="B93" s="111"/>
      <c r="C93" s="112" t="s">
        <v>1483</v>
      </c>
      <c r="D93" s="1499">
        <v>7.4936227685675814</v>
      </c>
      <c r="E93" s="1499">
        <v>6.2346386596616155</v>
      </c>
      <c r="F93" s="1499">
        <v>5.2420414302741021</v>
      </c>
      <c r="G93" s="1499">
        <v>4.8759979537490299</v>
      </c>
      <c r="H93" s="1499">
        <v>5.7610267478424602</v>
      </c>
      <c r="I93" s="1499">
        <v>7.3545067363319161</v>
      </c>
      <c r="J93" s="1499">
        <v>6.6922856467350105</v>
      </c>
      <c r="K93" s="113">
        <v>4.958443063393938</v>
      </c>
    </row>
    <row r="94" spans="2:11" x14ac:dyDescent="0.3">
      <c r="B94" s="111" t="s">
        <v>1986</v>
      </c>
      <c r="C94" s="112" t="s">
        <v>1489</v>
      </c>
      <c r="D94" s="1499">
        <v>7.4921943915861977</v>
      </c>
      <c r="E94" s="1499">
        <v>6.2332102826802318</v>
      </c>
      <c r="F94" s="1499">
        <v>5.2406130532927184</v>
      </c>
      <c r="G94" s="1499">
        <v>4.8745695767676454</v>
      </c>
      <c r="H94" s="1499">
        <v>5.7595983708610765</v>
      </c>
      <c r="I94" s="1499">
        <v>7.3530783593505324</v>
      </c>
      <c r="J94" s="1499">
        <v>6.6908572697536268</v>
      </c>
      <c r="K94" s="113">
        <v>4.9570146864125544</v>
      </c>
    </row>
    <row r="95" spans="2:11" x14ac:dyDescent="0.3">
      <c r="B95" s="114">
        <v>0</v>
      </c>
      <c r="C95" s="112" t="s">
        <v>1496</v>
      </c>
      <c r="D95" s="1499">
        <v>7.4900518261141222</v>
      </c>
      <c r="E95" s="1499">
        <v>6.2310677172081554</v>
      </c>
      <c r="F95" s="1499">
        <v>5.2384704878206421</v>
      </c>
      <c r="G95" s="1499">
        <v>4.8724270112955699</v>
      </c>
      <c r="H95" s="1499">
        <v>5.757455805389001</v>
      </c>
      <c r="I95" s="1499">
        <v>7.3509357938784561</v>
      </c>
      <c r="J95" s="1499">
        <v>6.6887147042815505</v>
      </c>
      <c r="K95" s="113">
        <v>4.9548721209404789</v>
      </c>
    </row>
    <row r="96" spans="2:11" x14ac:dyDescent="0.3">
      <c r="B96" s="115"/>
      <c r="C96" s="112" t="s">
        <v>1500</v>
      </c>
      <c r="D96" s="1499">
        <v>7.4879092606420476</v>
      </c>
      <c r="E96" s="1499">
        <v>6.2289251517360809</v>
      </c>
      <c r="F96" s="1499">
        <v>5.2363279223485675</v>
      </c>
      <c r="G96" s="1499">
        <v>4.8702844458234953</v>
      </c>
      <c r="H96" s="1499">
        <v>5.7553132399169264</v>
      </c>
      <c r="I96" s="1499">
        <v>7.3487932284063815</v>
      </c>
      <c r="J96" s="1499">
        <v>6.6865721388094759</v>
      </c>
      <c r="K96" s="113">
        <v>4.9527295554684034</v>
      </c>
    </row>
    <row r="97" spans="2:11" x14ac:dyDescent="0.3">
      <c r="B97" s="115"/>
      <c r="C97" s="112" t="s">
        <v>1504</v>
      </c>
      <c r="D97" s="1499">
        <v>7.491488220764122</v>
      </c>
      <c r="E97" s="1499">
        <v>6.2324971440253831</v>
      </c>
      <c r="F97" s="1499">
        <v>5.2398671046217666</v>
      </c>
      <c r="G97" s="1499">
        <v>4.8738199877442323</v>
      </c>
      <c r="H97" s="1499">
        <v>5.7588698205698323</v>
      </c>
      <c r="I97" s="1499">
        <v>7.3526287007465374</v>
      </c>
      <c r="J97" s="1499">
        <v>6.690230970551494</v>
      </c>
      <c r="K97" s="113">
        <v>4.9562653624235073</v>
      </c>
    </row>
    <row r="98" spans="2:11" x14ac:dyDescent="0.3">
      <c r="B98" s="115"/>
      <c r="C98" s="112" t="s">
        <v>1508</v>
      </c>
      <c r="D98" s="1499">
        <v>7.4903106550341327</v>
      </c>
      <c r="E98" s="1499">
        <v>6.2313195782953938</v>
      </c>
      <c r="F98" s="1499">
        <v>5.2386895388917774</v>
      </c>
      <c r="G98" s="1499">
        <v>4.8726424220142421</v>
      </c>
      <c r="H98" s="1499">
        <v>5.757692254839843</v>
      </c>
      <c r="I98" s="1499">
        <v>7.3514511350165481</v>
      </c>
      <c r="J98" s="1499">
        <v>6.6890534048215047</v>
      </c>
      <c r="K98" s="113">
        <v>4.9550877966935172</v>
      </c>
    </row>
    <row r="99" spans="2:11" x14ac:dyDescent="0.3">
      <c r="B99" s="115"/>
      <c r="C99" s="112" t="s">
        <v>1513</v>
      </c>
      <c r="D99" s="1499">
        <v>7.4885443064391488</v>
      </c>
      <c r="E99" s="1499">
        <v>6.2295532297004099</v>
      </c>
      <c r="F99" s="1499">
        <v>5.2369231902967925</v>
      </c>
      <c r="G99" s="1499">
        <v>4.8708760734192582</v>
      </c>
      <c r="H99" s="1499">
        <v>5.7559259062448591</v>
      </c>
      <c r="I99" s="1499">
        <v>7.3496847864215642</v>
      </c>
      <c r="J99" s="1499">
        <v>6.6872870562265208</v>
      </c>
      <c r="K99" s="113">
        <v>4.9533214480985333</v>
      </c>
    </row>
    <row r="100" spans="2:11" x14ac:dyDescent="0.3">
      <c r="B100" s="115"/>
      <c r="C100" s="112" t="s">
        <v>1517</v>
      </c>
      <c r="D100" s="1499">
        <v>7.4867779578441649</v>
      </c>
      <c r="E100" s="1499">
        <v>6.227786881105426</v>
      </c>
      <c r="F100" s="1499">
        <v>5.2351568417018086</v>
      </c>
      <c r="G100" s="1499">
        <v>4.8691097248242743</v>
      </c>
      <c r="H100" s="1499">
        <v>5.7541595576498752</v>
      </c>
      <c r="I100" s="1499">
        <v>7.3479184378265803</v>
      </c>
      <c r="J100" s="1499">
        <v>6.6855207076315368</v>
      </c>
      <c r="K100" s="113">
        <v>4.9515550995035493</v>
      </c>
    </row>
    <row r="101" spans="2:11" ht="14.5" thickBot="1" x14ac:dyDescent="0.35">
      <c r="B101" s="115"/>
      <c r="C101" s="116" t="s">
        <v>1519</v>
      </c>
      <c r="D101" s="117">
        <v>7.4936227685675814</v>
      </c>
      <c r="E101" s="117">
        <v>6.2346386596616155</v>
      </c>
      <c r="F101" s="117">
        <v>5.2420414302741021</v>
      </c>
      <c r="G101" s="117">
        <v>4.8759979537490299</v>
      </c>
      <c r="H101" s="117">
        <v>5.7610267478424602</v>
      </c>
      <c r="I101" s="117">
        <v>7.3545067363319161</v>
      </c>
      <c r="J101" s="117">
        <v>6.6922856467350105</v>
      </c>
      <c r="K101" s="118">
        <v>4.958443063393938</v>
      </c>
    </row>
    <row r="102" spans="2:11" x14ac:dyDescent="0.3">
      <c r="B102" s="120" t="s">
        <v>1985</v>
      </c>
      <c r="C102" s="1234" t="s">
        <v>1416</v>
      </c>
      <c r="D102" s="109">
        <v>7.0899437784915973</v>
      </c>
      <c r="E102" s="109">
        <v>5.8311112263108429</v>
      </c>
      <c r="F102" s="109">
        <v>4.8375418060298374</v>
      </c>
      <c r="G102" s="109">
        <v>4.4716713933391121</v>
      </c>
      <c r="H102" s="109">
        <v>5.3573894073137538</v>
      </c>
      <c r="I102" s="109">
        <v>6.9515005438403357</v>
      </c>
      <c r="J102" s="109">
        <v>6.2889446618006328</v>
      </c>
      <c r="K102" s="110">
        <v>4.5541779282734751</v>
      </c>
    </row>
    <row r="103" spans="2:11" x14ac:dyDescent="0.3">
      <c r="B103" s="121"/>
      <c r="C103" s="1500" t="s">
        <v>1483</v>
      </c>
      <c r="D103" s="1499">
        <v>7.0997022765704054</v>
      </c>
      <c r="E103" s="1499">
        <v>5.8407181676644386</v>
      </c>
      <c r="F103" s="1499">
        <v>4.8481209382769253</v>
      </c>
      <c r="G103" s="1499">
        <v>4.4820774617518531</v>
      </c>
      <c r="H103" s="1499">
        <v>5.3671062558452842</v>
      </c>
      <c r="I103" s="1499">
        <v>6.9605862443347393</v>
      </c>
      <c r="J103" s="1499">
        <v>6.2983651547378336</v>
      </c>
      <c r="K103" s="113">
        <v>4.5645225713967621</v>
      </c>
    </row>
    <row r="104" spans="2:11" x14ac:dyDescent="0.3">
      <c r="B104" s="111" t="s">
        <v>1987</v>
      </c>
      <c r="C104" s="1500" t="s">
        <v>1489</v>
      </c>
      <c r="D104" s="1499">
        <v>7.0982738995890218</v>
      </c>
      <c r="E104" s="1499">
        <v>5.839289790683055</v>
      </c>
      <c r="F104" s="1499">
        <v>4.8466925612955416</v>
      </c>
      <c r="G104" s="1499">
        <v>4.4806490847704694</v>
      </c>
      <c r="H104" s="1499">
        <v>5.3656778788639006</v>
      </c>
      <c r="I104" s="1499">
        <v>6.9591578673533556</v>
      </c>
      <c r="J104" s="1499">
        <v>6.29693677775645</v>
      </c>
      <c r="K104" s="113">
        <v>4.5630941944153784</v>
      </c>
    </row>
    <row r="105" spans="2:11" x14ac:dyDescent="0.3">
      <c r="B105" s="122">
        <v>0</v>
      </c>
      <c r="C105" s="1500" t="s">
        <v>1496</v>
      </c>
      <c r="D105" s="1499">
        <v>7.0961313341169454</v>
      </c>
      <c r="E105" s="1499">
        <v>5.8371472252109795</v>
      </c>
      <c r="F105" s="1499">
        <v>4.8445499958234661</v>
      </c>
      <c r="G105" s="1499">
        <v>4.4785065192983939</v>
      </c>
      <c r="H105" s="1499">
        <v>5.3635353133918251</v>
      </c>
      <c r="I105" s="1499">
        <v>6.9570153018812801</v>
      </c>
      <c r="J105" s="1499">
        <v>6.2947942122843745</v>
      </c>
      <c r="K105" s="113">
        <v>4.560951628943303</v>
      </c>
    </row>
    <row r="106" spans="2:11" x14ac:dyDescent="0.3">
      <c r="B106" s="123"/>
      <c r="C106" s="1500" t="s">
        <v>1500</v>
      </c>
      <c r="D106" s="1499">
        <v>7.0939887686448708</v>
      </c>
      <c r="E106" s="1499">
        <v>5.835004659738904</v>
      </c>
      <c r="F106" s="1499">
        <v>4.8424074303513915</v>
      </c>
      <c r="G106" s="1499">
        <v>4.4763639538263185</v>
      </c>
      <c r="H106" s="1499">
        <v>5.3613927479197496</v>
      </c>
      <c r="I106" s="1499">
        <v>6.9548727364092056</v>
      </c>
      <c r="J106" s="1499">
        <v>6.2926516468122999</v>
      </c>
      <c r="K106" s="113">
        <v>4.5588090634712275</v>
      </c>
    </row>
    <row r="107" spans="2:11" x14ac:dyDescent="0.3">
      <c r="B107" s="123"/>
      <c r="C107" s="1500" t="s">
        <v>1504</v>
      </c>
      <c r="D107" s="1499">
        <v>7.0975677287669461</v>
      </c>
      <c r="E107" s="1499">
        <v>5.8385766520282072</v>
      </c>
      <c r="F107" s="1499">
        <v>4.8459466126245898</v>
      </c>
      <c r="G107" s="1499">
        <v>4.4798994957470555</v>
      </c>
      <c r="H107" s="1499">
        <v>5.3649493285726564</v>
      </c>
      <c r="I107" s="1499">
        <v>6.9587082087493615</v>
      </c>
      <c r="J107" s="1499">
        <v>6.296310478554318</v>
      </c>
      <c r="K107" s="113">
        <v>4.5623448704263314</v>
      </c>
    </row>
    <row r="108" spans="2:11" x14ac:dyDescent="0.3">
      <c r="B108" s="123"/>
      <c r="C108" s="1500" t="s">
        <v>1508</v>
      </c>
      <c r="D108" s="1499">
        <v>7.0963901630369568</v>
      </c>
      <c r="E108" s="1499">
        <v>5.837399086298217</v>
      </c>
      <c r="F108" s="1499">
        <v>4.8447690468946005</v>
      </c>
      <c r="G108" s="1499">
        <v>4.4787219300170662</v>
      </c>
      <c r="H108" s="1499">
        <v>5.3637717628426671</v>
      </c>
      <c r="I108" s="1499">
        <v>6.9575306430193713</v>
      </c>
      <c r="J108" s="1499">
        <v>6.2951329128243279</v>
      </c>
      <c r="K108" s="113">
        <v>4.5611673046963412</v>
      </c>
    </row>
    <row r="109" spans="2:11" x14ac:dyDescent="0.3">
      <c r="B109" s="123"/>
      <c r="C109" s="1500" t="s">
        <v>1513</v>
      </c>
      <c r="D109" s="1499">
        <v>7.094623814441972</v>
      </c>
      <c r="E109" s="1499">
        <v>5.8356327377032331</v>
      </c>
      <c r="F109" s="1499">
        <v>4.8430026982996166</v>
      </c>
      <c r="G109" s="1499">
        <v>4.4769555814220823</v>
      </c>
      <c r="H109" s="1499">
        <v>5.3620054142476832</v>
      </c>
      <c r="I109" s="1499">
        <v>6.9557642944243874</v>
      </c>
      <c r="J109" s="1499">
        <v>6.2933665642293439</v>
      </c>
      <c r="K109" s="113">
        <v>4.5594009561013573</v>
      </c>
    </row>
    <row r="110" spans="2:11" x14ac:dyDescent="0.3">
      <c r="B110" s="123"/>
      <c r="C110" s="1500" t="s">
        <v>1517</v>
      </c>
      <c r="D110" s="1499">
        <v>7.0928574658469881</v>
      </c>
      <c r="E110" s="1499">
        <v>5.8338663891082492</v>
      </c>
      <c r="F110" s="1499">
        <v>4.8412363497046327</v>
      </c>
      <c r="G110" s="1499">
        <v>4.4751892328270984</v>
      </c>
      <c r="H110" s="1499">
        <v>5.3602390656526993</v>
      </c>
      <c r="I110" s="1499">
        <v>6.9539979458294034</v>
      </c>
      <c r="J110" s="1499">
        <v>6.29160021563436</v>
      </c>
      <c r="K110" s="113">
        <v>4.5576346075063734</v>
      </c>
    </row>
    <row r="111" spans="2:11" ht="14.5" thickBot="1" x14ac:dyDescent="0.35">
      <c r="B111" s="124"/>
      <c r="C111" s="125" t="s">
        <v>1519</v>
      </c>
      <c r="D111" s="117">
        <v>7.0997022765704054</v>
      </c>
      <c r="E111" s="117">
        <v>5.8407181676644386</v>
      </c>
      <c r="F111" s="117">
        <v>4.8481209382769253</v>
      </c>
      <c r="G111" s="117">
        <v>4.4820774617518531</v>
      </c>
      <c r="H111" s="117">
        <v>5.3671062558452842</v>
      </c>
      <c r="I111" s="117">
        <v>6.9605862443347393</v>
      </c>
      <c r="J111" s="117">
        <v>6.2983651547378336</v>
      </c>
      <c r="K111" s="118">
        <v>4.5645225713967621</v>
      </c>
    </row>
    <row r="112" spans="2:11" x14ac:dyDescent="0.3">
      <c r="B112" s="119" t="s">
        <v>1985</v>
      </c>
      <c r="C112" s="108" t="s">
        <v>1416</v>
      </c>
      <c r="D112" s="109">
        <v>6.4990630404958329</v>
      </c>
      <c r="E112" s="109">
        <v>5.2402304883150785</v>
      </c>
      <c r="F112" s="109">
        <v>4.2466610680340731</v>
      </c>
      <c r="G112" s="109">
        <v>3.8807906553433478</v>
      </c>
      <c r="H112" s="109">
        <v>4.7665086693179903</v>
      </c>
      <c r="I112" s="109">
        <v>6.3606198058445713</v>
      </c>
      <c r="J112" s="109">
        <v>5.6980639238048694</v>
      </c>
      <c r="K112" s="110">
        <v>3.9632971902777108</v>
      </c>
    </row>
    <row r="113" spans="2:11" x14ac:dyDescent="0.3">
      <c r="B113" s="111"/>
      <c r="C113" s="112" t="s">
        <v>1483</v>
      </c>
      <c r="D113" s="1499">
        <v>6.5088215385746411</v>
      </c>
      <c r="E113" s="1499">
        <v>5.2498374296686743</v>
      </c>
      <c r="F113" s="1499">
        <v>4.2572402002811609</v>
      </c>
      <c r="G113" s="1499">
        <v>3.8911967237560887</v>
      </c>
      <c r="H113" s="1499">
        <v>4.7762255178495199</v>
      </c>
      <c r="I113" s="1499">
        <v>6.3697055063389749</v>
      </c>
      <c r="J113" s="1499">
        <v>5.7074844167420693</v>
      </c>
      <c r="K113" s="113">
        <v>3.9736418334009977</v>
      </c>
    </row>
    <row r="114" spans="2:11" ht="14.5" thickBot="1" x14ac:dyDescent="0.35">
      <c r="B114" s="111" t="s">
        <v>1988</v>
      </c>
      <c r="C114" s="112" t="s">
        <v>1489</v>
      </c>
      <c r="D114" s="1499">
        <v>6.5073931615932574</v>
      </c>
      <c r="E114" s="1499">
        <v>5.2484090526872906</v>
      </c>
      <c r="F114" s="1501">
        <v>4.2558118232997773</v>
      </c>
      <c r="G114" s="1499">
        <v>3.8897683467747055</v>
      </c>
      <c r="H114" s="1499">
        <v>4.7747971408681362</v>
      </c>
      <c r="I114" s="1499">
        <v>6.3682771293575913</v>
      </c>
      <c r="J114" s="1499">
        <v>5.7060560397606856</v>
      </c>
      <c r="K114" s="113">
        <v>3.9722134564196141</v>
      </c>
    </row>
    <row r="115" spans="2:11" ht="14.5" thickBot="1" x14ac:dyDescent="0.35">
      <c r="B115" s="114">
        <v>0</v>
      </c>
      <c r="C115" s="112" t="s">
        <v>1496</v>
      </c>
      <c r="D115" s="1499">
        <v>6.5052505961211811</v>
      </c>
      <c r="E115" s="1502">
        <v>5.2462664872152152</v>
      </c>
      <c r="F115" s="126">
        <v>4.2536692578277027</v>
      </c>
      <c r="G115" s="1503">
        <v>3.88762578130263</v>
      </c>
      <c r="H115" s="1499">
        <v>4.7726545753960607</v>
      </c>
      <c r="I115" s="1499">
        <v>6.3661345638855158</v>
      </c>
      <c r="J115" s="1499">
        <v>5.7039134742886102</v>
      </c>
      <c r="K115" s="113">
        <v>3.9700708909475386</v>
      </c>
    </row>
    <row r="116" spans="2:11" x14ac:dyDescent="0.3">
      <c r="B116" s="115"/>
      <c r="C116" s="112" t="s">
        <v>1500</v>
      </c>
      <c r="D116" s="1499">
        <v>6.5031080306491065</v>
      </c>
      <c r="E116" s="1499">
        <v>5.2441239217431397</v>
      </c>
      <c r="F116" s="127">
        <v>4.2515266923556272</v>
      </c>
      <c r="G116" s="1499">
        <v>3.8854832158305541</v>
      </c>
      <c r="H116" s="1499">
        <v>4.7705120099239853</v>
      </c>
      <c r="I116" s="1499">
        <v>6.3639919984134412</v>
      </c>
      <c r="J116" s="1499">
        <v>5.7017709088165356</v>
      </c>
      <c r="K116" s="113">
        <v>3.9679283254754636</v>
      </c>
    </row>
    <row r="117" spans="2:11" x14ac:dyDescent="0.3">
      <c r="B117" s="115"/>
      <c r="C117" s="112" t="s">
        <v>1504</v>
      </c>
      <c r="D117" s="1499">
        <v>6.5066869907711817</v>
      </c>
      <c r="E117" s="1499">
        <v>5.2476959140324428</v>
      </c>
      <c r="F117" s="1499">
        <v>4.2550658746288255</v>
      </c>
      <c r="G117" s="1499">
        <v>3.8890187577512911</v>
      </c>
      <c r="H117" s="1499">
        <v>4.774068590576892</v>
      </c>
      <c r="I117" s="1499">
        <v>6.3678274707535971</v>
      </c>
      <c r="J117" s="1499">
        <v>5.7054297405585537</v>
      </c>
      <c r="K117" s="113">
        <v>3.9714641324305666</v>
      </c>
    </row>
    <row r="118" spans="2:11" x14ac:dyDescent="0.3">
      <c r="B118" s="115"/>
      <c r="C118" s="112" t="s">
        <v>1508</v>
      </c>
      <c r="D118" s="1499">
        <v>6.5055094250411925</v>
      </c>
      <c r="E118" s="1499">
        <v>5.2465183483024536</v>
      </c>
      <c r="F118" s="1499">
        <v>4.2538883088988362</v>
      </c>
      <c r="G118" s="1499">
        <v>3.8878411920213019</v>
      </c>
      <c r="H118" s="1499">
        <v>4.7728910248469028</v>
      </c>
      <c r="I118" s="1499">
        <v>6.3666499050236078</v>
      </c>
      <c r="J118" s="1499">
        <v>5.7042521748285644</v>
      </c>
      <c r="K118" s="113">
        <v>3.9702865667005773</v>
      </c>
    </row>
    <row r="119" spans="2:11" x14ac:dyDescent="0.3">
      <c r="B119" s="115"/>
      <c r="C119" s="112" t="s">
        <v>1513</v>
      </c>
      <c r="D119" s="1499">
        <v>6.5037430764462085</v>
      </c>
      <c r="E119" s="1499">
        <v>5.2447519997074687</v>
      </c>
      <c r="F119" s="1499">
        <v>4.2521219603038523</v>
      </c>
      <c r="G119" s="1499">
        <v>3.8860748434263179</v>
      </c>
      <c r="H119" s="1499">
        <v>4.7711246762519188</v>
      </c>
      <c r="I119" s="1499">
        <v>6.364883556428623</v>
      </c>
      <c r="J119" s="1499">
        <v>5.7024858262335796</v>
      </c>
      <c r="K119" s="113">
        <v>3.9685202181055934</v>
      </c>
    </row>
    <row r="120" spans="2:11" x14ac:dyDescent="0.3">
      <c r="B120" s="115"/>
      <c r="C120" s="112" t="s">
        <v>1517</v>
      </c>
      <c r="D120" s="1499">
        <v>6.5019767278512237</v>
      </c>
      <c r="E120" s="1499">
        <v>5.2429856511124848</v>
      </c>
      <c r="F120" s="1499">
        <v>4.2503556117088683</v>
      </c>
      <c r="G120" s="1499">
        <v>3.8843084948313331</v>
      </c>
      <c r="H120" s="1499">
        <v>4.769358327656934</v>
      </c>
      <c r="I120" s="1499">
        <v>6.3631172078336391</v>
      </c>
      <c r="J120" s="1499">
        <v>5.7007194776385957</v>
      </c>
      <c r="K120" s="113">
        <v>3.9667538695106086</v>
      </c>
    </row>
    <row r="121" spans="2:11" ht="14.5" thickBot="1" x14ac:dyDescent="0.35">
      <c r="B121" s="1233"/>
      <c r="C121" s="116" t="s">
        <v>1519</v>
      </c>
      <c r="D121" s="117">
        <v>6.5088215385746411</v>
      </c>
      <c r="E121" s="117">
        <v>5.2498374296686743</v>
      </c>
      <c r="F121" s="117">
        <v>4.2572402002811609</v>
      </c>
      <c r="G121" s="117">
        <v>3.8911967237560887</v>
      </c>
      <c r="H121" s="117">
        <v>4.7762255178495199</v>
      </c>
      <c r="I121" s="117">
        <v>6.3697055063389749</v>
      </c>
      <c r="J121" s="117">
        <v>5.7074844167420693</v>
      </c>
      <c r="K121" s="118">
        <v>3.9736418334009977</v>
      </c>
    </row>
    <row r="122" spans="2:11" x14ac:dyDescent="0.3">
      <c r="B122" s="107" t="s">
        <v>1985</v>
      </c>
      <c r="C122" s="108" t="s">
        <v>1416</v>
      </c>
      <c r="D122" s="109">
        <v>5.9081823025000686</v>
      </c>
      <c r="E122" s="109">
        <v>4.6493497503193142</v>
      </c>
      <c r="F122" s="109">
        <v>3.6557803300383083</v>
      </c>
      <c r="G122" s="109">
        <v>3.2899099173475834</v>
      </c>
      <c r="H122" s="109">
        <v>4.175627931322226</v>
      </c>
      <c r="I122" s="109">
        <v>5.769739067848807</v>
      </c>
      <c r="J122" s="109">
        <v>5.107183185809105</v>
      </c>
      <c r="K122" s="110">
        <v>3.3724164522819464</v>
      </c>
    </row>
    <row r="123" spans="2:11" x14ac:dyDescent="0.3">
      <c r="B123" s="111"/>
      <c r="C123" s="112" t="s">
        <v>1483</v>
      </c>
      <c r="D123" s="1499">
        <v>5.9179408005788767</v>
      </c>
      <c r="E123" s="1499">
        <v>4.6589566916729099</v>
      </c>
      <c r="F123" s="1499">
        <v>3.666359462285397</v>
      </c>
      <c r="G123" s="1499">
        <v>3.3003159857603239</v>
      </c>
      <c r="H123" s="1499">
        <v>4.1853447798537555</v>
      </c>
      <c r="I123" s="1499">
        <v>5.7788247683432106</v>
      </c>
      <c r="J123" s="1499">
        <v>5.116603678746305</v>
      </c>
      <c r="K123" s="113">
        <v>3.3827610954052334</v>
      </c>
    </row>
    <row r="124" spans="2:11" x14ac:dyDescent="0.3">
      <c r="B124" s="111" t="s">
        <v>1989</v>
      </c>
      <c r="C124" s="112" t="s">
        <v>1489</v>
      </c>
      <c r="D124" s="1499">
        <v>5.9165124235974931</v>
      </c>
      <c r="E124" s="1499">
        <v>4.6575283146915263</v>
      </c>
      <c r="F124" s="1499">
        <v>3.6649310853040133</v>
      </c>
      <c r="G124" s="1499">
        <v>3.2988876087789407</v>
      </c>
      <c r="H124" s="1499">
        <v>4.1839164028723719</v>
      </c>
      <c r="I124" s="1499">
        <v>5.7773963913618278</v>
      </c>
      <c r="J124" s="1499">
        <v>5.1151753017649222</v>
      </c>
      <c r="K124" s="113">
        <v>3.3813327184238497</v>
      </c>
    </row>
    <row r="125" spans="2:11" x14ac:dyDescent="0.3">
      <c r="B125" s="114">
        <v>0</v>
      </c>
      <c r="C125" s="112" t="s">
        <v>1496</v>
      </c>
      <c r="D125" s="1499">
        <v>5.9143698581254176</v>
      </c>
      <c r="E125" s="1499">
        <v>4.6553857492194508</v>
      </c>
      <c r="F125" s="1499">
        <v>3.6627885198319374</v>
      </c>
      <c r="G125" s="1499">
        <v>3.2967450433068652</v>
      </c>
      <c r="H125" s="1499">
        <v>4.1817738374002964</v>
      </c>
      <c r="I125" s="1499">
        <v>5.7752538258897514</v>
      </c>
      <c r="J125" s="1499">
        <v>5.1130327362928458</v>
      </c>
      <c r="K125" s="113">
        <v>3.3791901529517738</v>
      </c>
    </row>
    <row r="126" spans="2:11" x14ac:dyDescent="0.3">
      <c r="B126" s="115"/>
      <c r="C126" s="112" t="s">
        <v>1500</v>
      </c>
      <c r="D126" s="1499">
        <v>5.9122272926533421</v>
      </c>
      <c r="E126" s="1499">
        <v>4.6532431837473753</v>
      </c>
      <c r="F126" s="1499">
        <v>3.660645954359862</v>
      </c>
      <c r="G126" s="1499">
        <v>3.2946024778347898</v>
      </c>
      <c r="H126" s="1499">
        <v>4.1796312719282209</v>
      </c>
      <c r="I126" s="1499">
        <v>5.7731112604176769</v>
      </c>
      <c r="J126" s="1499">
        <v>5.1108901708207704</v>
      </c>
      <c r="K126" s="113">
        <v>3.3770475874796984</v>
      </c>
    </row>
    <row r="127" spans="2:11" x14ac:dyDescent="0.3">
      <c r="B127" s="115"/>
      <c r="C127" s="112" t="s">
        <v>1504</v>
      </c>
      <c r="D127" s="1499">
        <v>5.9158062527754174</v>
      </c>
      <c r="E127" s="1499">
        <v>4.6568151760366785</v>
      </c>
      <c r="F127" s="1499">
        <v>3.6641851366330616</v>
      </c>
      <c r="G127" s="1499">
        <v>3.2981380197555263</v>
      </c>
      <c r="H127" s="1499">
        <v>4.1831878525811277</v>
      </c>
      <c r="I127" s="1499">
        <v>5.7769467327578328</v>
      </c>
      <c r="J127" s="1499">
        <v>5.1145490025627893</v>
      </c>
      <c r="K127" s="113">
        <v>3.3805833944348018</v>
      </c>
    </row>
    <row r="128" spans="2:11" x14ac:dyDescent="0.3">
      <c r="B128" s="115"/>
      <c r="C128" s="112" t="s">
        <v>1508</v>
      </c>
      <c r="D128" s="1499">
        <v>5.9146286870454281</v>
      </c>
      <c r="E128" s="1499">
        <v>4.6556376103066892</v>
      </c>
      <c r="F128" s="1499">
        <v>3.6630075709030723</v>
      </c>
      <c r="G128" s="1499">
        <v>3.2969604540255371</v>
      </c>
      <c r="H128" s="1499">
        <v>4.1820102868511384</v>
      </c>
      <c r="I128" s="1499">
        <v>5.7757691670278435</v>
      </c>
      <c r="J128" s="1499">
        <v>5.1133714368328</v>
      </c>
      <c r="K128" s="113">
        <v>3.3794058287048125</v>
      </c>
    </row>
    <row r="129" spans="2:11" x14ac:dyDescent="0.3">
      <c r="B129" s="115"/>
      <c r="C129" s="112" t="s">
        <v>1513</v>
      </c>
      <c r="D129" s="1499">
        <v>5.9128623384504442</v>
      </c>
      <c r="E129" s="1499">
        <v>4.6538712617117044</v>
      </c>
      <c r="F129" s="1499">
        <v>3.6612412223080875</v>
      </c>
      <c r="G129" s="1499">
        <v>3.2951941054305531</v>
      </c>
      <c r="H129" s="1499">
        <v>4.1802439382561545</v>
      </c>
      <c r="I129" s="1499">
        <v>5.7740028184328596</v>
      </c>
      <c r="J129" s="1499">
        <v>5.1116050882378152</v>
      </c>
      <c r="K129" s="113">
        <v>3.3776394801098286</v>
      </c>
    </row>
    <row r="130" spans="2:11" x14ac:dyDescent="0.3">
      <c r="B130" s="115"/>
      <c r="C130" s="112" t="s">
        <v>1517</v>
      </c>
      <c r="D130" s="1499">
        <v>5.9110959898554603</v>
      </c>
      <c r="E130" s="1499">
        <v>4.6521049131167205</v>
      </c>
      <c r="F130" s="1499">
        <v>3.6594748737131035</v>
      </c>
      <c r="G130" s="1499">
        <v>3.2934277568355688</v>
      </c>
      <c r="H130" s="1499">
        <v>4.1784775896611706</v>
      </c>
      <c r="I130" s="1499">
        <v>5.7722364698378748</v>
      </c>
      <c r="J130" s="1499">
        <v>5.1098387396428313</v>
      </c>
      <c r="K130" s="113">
        <v>3.3758731315148447</v>
      </c>
    </row>
    <row r="131" spans="2:11" ht="14.5" thickBot="1" x14ac:dyDescent="0.35">
      <c r="B131" s="1233"/>
      <c r="C131" s="116" t="s">
        <v>1519</v>
      </c>
      <c r="D131" s="117">
        <v>5.9179408005788767</v>
      </c>
      <c r="E131" s="117">
        <v>4.6589566916729099</v>
      </c>
      <c r="F131" s="117">
        <v>3.666359462285397</v>
      </c>
      <c r="G131" s="117">
        <v>3.3003159857603239</v>
      </c>
      <c r="H131" s="117">
        <v>4.1853447798537555</v>
      </c>
      <c r="I131" s="117">
        <v>5.7788247683432106</v>
      </c>
      <c r="J131" s="117">
        <v>5.116603678746305</v>
      </c>
      <c r="K131" s="118">
        <v>3.3827610954052334</v>
      </c>
    </row>
    <row r="132" spans="2:11" x14ac:dyDescent="0.3">
      <c r="B132" s="120" t="s">
        <v>1990</v>
      </c>
      <c r="C132" s="108" t="s">
        <v>1416</v>
      </c>
      <c r="D132" s="109">
        <v>6.8126122413155512</v>
      </c>
      <c r="E132" s="109">
        <v>5.5385498535240805</v>
      </c>
      <c r="F132" s="109">
        <v>4.5554350922979943</v>
      </c>
      <c r="G132" s="109">
        <v>4.1837710123013867</v>
      </c>
      <c r="H132" s="109">
        <v>5.0725371592497757</v>
      </c>
      <c r="I132" s="109">
        <v>6.657469300444439</v>
      </c>
      <c r="J132" s="109">
        <v>5.994503571633599</v>
      </c>
      <c r="K132" s="110">
        <v>4.2651189479570331</v>
      </c>
    </row>
    <row r="133" spans="2:11" x14ac:dyDescent="0.3">
      <c r="B133" s="111"/>
      <c r="C133" s="112" t="s">
        <v>1483</v>
      </c>
      <c r="D133" s="1499">
        <v>6.8229679946568682</v>
      </c>
      <c r="E133" s="1499">
        <v>5.5485870105913824</v>
      </c>
      <c r="F133" s="1499">
        <v>4.5663361200688835</v>
      </c>
      <c r="G133" s="1499">
        <v>4.1945516625289248</v>
      </c>
      <c r="H133" s="1499">
        <v>5.0826327321164158</v>
      </c>
      <c r="I133" s="1499">
        <v>6.6669269852131032</v>
      </c>
      <c r="J133" s="1499">
        <v>6.0043498361730165</v>
      </c>
      <c r="K133" s="113">
        <v>4.2758468265703975</v>
      </c>
    </row>
    <row r="134" spans="2:11" x14ac:dyDescent="0.3">
      <c r="B134" s="111" t="s">
        <v>1986</v>
      </c>
      <c r="C134" s="112" t="s">
        <v>1489</v>
      </c>
      <c r="D134" s="1499">
        <v>6.8215396176754846</v>
      </c>
      <c r="E134" s="1499">
        <v>5.5471586336099987</v>
      </c>
      <c r="F134" s="1499">
        <v>4.5649077430874998</v>
      </c>
      <c r="G134" s="1499">
        <v>4.1931232855475411</v>
      </c>
      <c r="H134" s="1499">
        <v>5.0812043551350321</v>
      </c>
      <c r="I134" s="1499">
        <v>6.6654986082317205</v>
      </c>
      <c r="J134" s="1499">
        <v>6.0029214591916329</v>
      </c>
      <c r="K134" s="113">
        <v>4.2744184495890138</v>
      </c>
    </row>
    <row r="135" spans="2:11" x14ac:dyDescent="0.3">
      <c r="B135" s="114">
        <v>0</v>
      </c>
      <c r="C135" s="112" t="s">
        <v>1496</v>
      </c>
      <c r="D135" s="1499">
        <v>6.8193970522034082</v>
      </c>
      <c r="E135" s="1499">
        <v>5.5450160681379232</v>
      </c>
      <c r="F135" s="1499">
        <v>4.5627651776154243</v>
      </c>
      <c r="G135" s="1499">
        <v>4.1909807200754656</v>
      </c>
      <c r="H135" s="1499">
        <v>5.0790617896629566</v>
      </c>
      <c r="I135" s="1499">
        <v>6.6633560427596441</v>
      </c>
      <c r="J135" s="1499">
        <v>6.0007788937195574</v>
      </c>
      <c r="K135" s="113">
        <v>4.2722758841169384</v>
      </c>
    </row>
    <row r="136" spans="2:11" x14ac:dyDescent="0.3">
      <c r="B136" s="115"/>
      <c r="C136" s="112" t="s">
        <v>1500</v>
      </c>
      <c r="D136" s="1499">
        <v>6.8172544867313336</v>
      </c>
      <c r="E136" s="1499">
        <v>5.5428735026658487</v>
      </c>
      <c r="F136" s="1499">
        <v>4.5606226121433489</v>
      </c>
      <c r="G136" s="1499">
        <v>4.1888381546033902</v>
      </c>
      <c r="H136" s="1499">
        <v>5.076919224190882</v>
      </c>
      <c r="I136" s="1499">
        <v>6.6612134772875695</v>
      </c>
      <c r="J136" s="1499">
        <v>5.9986363282474819</v>
      </c>
      <c r="K136" s="113">
        <v>4.2701333186448629</v>
      </c>
    </row>
    <row r="137" spans="2:11" x14ac:dyDescent="0.3">
      <c r="B137" s="115"/>
      <c r="C137" s="112" t="s">
        <v>1504</v>
      </c>
      <c r="D137" s="1499">
        <v>6.8207983822399774</v>
      </c>
      <c r="E137" s="1499">
        <v>5.5463727220701022</v>
      </c>
      <c r="F137" s="1499">
        <v>4.5641685269804118</v>
      </c>
      <c r="G137" s="1499">
        <v>4.1923583038501082</v>
      </c>
      <c r="H137" s="1499">
        <v>5.0804945809963957</v>
      </c>
      <c r="I137" s="1499">
        <v>6.6648767117089465</v>
      </c>
      <c r="J137" s="1499">
        <v>6.0021366595958723</v>
      </c>
      <c r="K137" s="113">
        <v>4.2736632516646038</v>
      </c>
    </row>
    <row r="138" spans="2:11" x14ac:dyDescent="0.3">
      <c r="B138" s="115"/>
      <c r="C138" s="112" t="s">
        <v>1508</v>
      </c>
      <c r="D138" s="1499">
        <v>6.8196208165099881</v>
      </c>
      <c r="E138" s="1499">
        <v>5.545195156340113</v>
      </c>
      <c r="F138" s="1499">
        <v>4.5629909612504225</v>
      </c>
      <c r="G138" s="1499">
        <v>4.1911807381201189</v>
      </c>
      <c r="H138" s="1499">
        <v>5.0793170152664064</v>
      </c>
      <c r="I138" s="1499">
        <v>6.6636991459789572</v>
      </c>
      <c r="J138" s="1499">
        <v>6.0009590938658821</v>
      </c>
      <c r="K138" s="113">
        <v>4.2724856859346145</v>
      </c>
    </row>
    <row r="139" spans="2:11" x14ac:dyDescent="0.3">
      <c r="B139" s="115"/>
      <c r="C139" s="112" t="s">
        <v>1513</v>
      </c>
      <c r="D139" s="1499">
        <v>6.8178544679150033</v>
      </c>
      <c r="E139" s="1499">
        <v>5.543428807745129</v>
      </c>
      <c r="F139" s="1499">
        <v>4.5612246126554385</v>
      </c>
      <c r="G139" s="1499">
        <v>4.189414389525135</v>
      </c>
      <c r="H139" s="1499">
        <v>5.0775506666714225</v>
      </c>
      <c r="I139" s="1499">
        <v>6.6619327973839733</v>
      </c>
      <c r="J139" s="1499">
        <v>5.9991927452708982</v>
      </c>
      <c r="K139" s="113">
        <v>4.2707193373396306</v>
      </c>
    </row>
    <row r="140" spans="2:11" x14ac:dyDescent="0.3">
      <c r="B140" s="115"/>
      <c r="C140" s="112" t="s">
        <v>1517</v>
      </c>
      <c r="D140" s="1499">
        <v>6.8160881193200193</v>
      </c>
      <c r="E140" s="1499">
        <v>5.5416624591501451</v>
      </c>
      <c r="F140" s="1499">
        <v>4.5594582640604546</v>
      </c>
      <c r="G140" s="1499">
        <v>4.1876480409301511</v>
      </c>
      <c r="H140" s="1499">
        <v>5.0757843180764386</v>
      </c>
      <c r="I140" s="1499">
        <v>6.6601664487889884</v>
      </c>
      <c r="J140" s="1499">
        <v>5.9974263966759143</v>
      </c>
      <c r="K140" s="113">
        <v>4.2689529887446467</v>
      </c>
    </row>
    <row r="141" spans="2:11" ht="14.5" thickBot="1" x14ac:dyDescent="0.35">
      <c r="B141" s="1233"/>
      <c r="C141" s="116" t="s">
        <v>1519</v>
      </c>
      <c r="D141" s="117">
        <v>6.8229679946568682</v>
      </c>
      <c r="E141" s="117">
        <v>5.5485870105913824</v>
      </c>
      <c r="F141" s="117">
        <v>4.5663361200688835</v>
      </c>
      <c r="G141" s="117">
        <v>4.1945516625289248</v>
      </c>
      <c r="H141" s="117">
        <v>5.0826327321164158</v>
      </c>
      <c r="I141" s="117">
        <v>6.6669269852131032</v>
      </c>
      <c r="J141" s="117">
        <v>6.0043498361730165</v>
      </c>
      <c r="K141" s="118">
        <v>4.2758468265703975</v>
      </c>
    </row>
    <row r="142" spans="2:11" x14ac:dyDescent="0.3">
      <c r="B142" s="120" t="s">
        <v>1990</v>
      </c>
      <c r="C142" s="108" t="s">
        <v>1416</v>
      </c>
      <c r="D142" s="109">
        <v>6.4790906082042623</v>
      </c>
      <c r="E142" s="109">
        <v>5.2050282204127916</v>
      </c>
      <c r="F142" s="109">
        <v>4.2219134591867054</v>
      </c>
      <c r="G142" s="109">
        <v>3.8502493791900978</v>
      </c>
      <c r="H142" s="109">
        <v>4.7390155261384868</v>
      </c>
      <c r="I142" s="109">
        <v>6.3239476673331501</v>
      </c>
      <c r="J142" s="109">
        <v>5.6609819385223101</v>
      </c>
      <c r="K142" s="110">
        <v>3.9315973148457442</v>
      </c>
    </row>
    <row r="143" spans="2:11" x14ac:dyDescent="0.3">
      <c r="B143" s="111"/>
      <c r="C143" s="112" t="s">
        <v>1483</v>
      </c>
      <c r="D143" s="1499">
        <v>6.4894463615455793</v>
      </c>
      <c r="E143" s="1499">
        <v>5.2150653774800935</v>
      </c>
      <c r="F143" s="1499">
        <v>4.2328144869575945</v>
      </c>
      <c r="G143" s="1499">
        <v>3.8610300294176354</v>
      </c>
      <c r="H143" s="1499">
        <v>4.7491110990051268</v>
      </c>
      <c r="I143" s="1499">
        <v>6.3334053521018143</v>
      </c>
      <c r="J143" s="1499">
        <v>5.6708282030617276</v>
      </c>
      <c r="K143" s="113">
        <v>3.9423251934591081</v>
      </c>
    </row>
    <row r="144" spans="2:11" x14ac:dyDescent="0.3">
      <c r="B144" s="111" t="s">
        <v>1987</v>
      </c>
      <c r="C144" s="112" t="s">
        <v>1489</v>
      </c>
      <c r="D144" s="1499">
        <v>6.4880179845641957</v>
      </c>
      <c r="E144" s="1499">
        <v>5.2136370004987098</v>
      </c>
      <c r="F144" s="1499">
        <v>4.2313861099762109</v>
      </c>
      <c r="G144" s="1499">
        <v>3.8596016524362522</v>
      </c>
      <c r="H144" s="1499">
        <v>4.7476827220237432</v>
      </c>
      <c r="I144" s="1499">
        <v>6.3319769751204307</v>
      </c>
      <c r="J144" s="1499">
        <v>5.669399826080344</v>
      </c>
      <c r="K144" s="113">
        <v>3.9408968164777249</v>
      </c>
    </row>
    <row r="145" spans="2:11" x14ac:dyDescent="0.3">
      <c r="B145" s="114">
        <v>0</v>
      </c>
      <c r="C145" s="112" t="s">
        <v>1496</v>
      </c>
      <c r="D145" s="1499">
        <v>6.4858754190921193</v>
      </c>
      <c r="E145" s="1499">
        <v>5.2114944350266352</v>
      </c>
      <c r="F145" s="1499">
        <v>4.2292435445041354</v>
      </c>
      <c r="G145" s="1499">
        <v>3.8574590869641767</v>
      </c>
      <c r="H145" s="1499">
        <v>4.7455401565516677</v>
      </c>
      <c r="I145" s="1499">
        <v>6.3298344096483552</v>
      </c>
      <c r="J145" s="1499">
        <v>5.6672572606082685</v>
      </c>
      <c r="K145" s="113">
        <v>3.9387542510056495</v>
      </c>
    </row>
    <row r="146" spans="2:11" x14ac:dyDescent="0.3">
      <c r="B146" s="115"/>
      <c r="C146" s="112" t="s">
        <v>1500</v>
      </c>
      <c r="D146" s="1499">
        <v>6.4837328536200447</v>
      </c>
      <c r="E146" s="1499">
        <v>5.2093518695545598</v>
      </c>
      <c r="F146" s="1499">
        <v>4.2271009790320599</v>
      </c>
      <c r="G146" s="1499">
        <v>3.8553165214921012</v>
      </c>
      <c r="H146" s="1499">
        <v>4.7433975910795931</v>
      </c>
      <c r="I146" s="1499">
        <v>6.3276918441762806</v>
      </c>
      <c r="J146" s="1499">
        <v>5.665114695136193</v>
      </c>
      <c r="K146" s="113">
        <v>3.936611685533574</v>
      </c>
    </row>
    <row r="147" spans="2:11" x14ac:dyDescent="0.3">
      <c r="B147" s="115"/>
      <c r="C147" s="112" t="s">
        <v>1504</v>
      </c>
      <c r="D147" s="1499">
        <v>6.4872767491286885</v>
      </c>
      <c r="E147" s="1499">
        <v>5.2128510889588133</v>
      </c>
      <c r="F147" s="1499">
        <v>4.2306468938691228</v>
      </c>
      <c r="G147" s="1499">
        <v>3.8588366707388193</v>
      </c>
      <c r="H147" s="1499">
        <v>4.7469729478851068</v>
      </c>
      <c r="I147" s="1499">
        <v>6.3313550785976576</v>
      </c>
      <c r="J147" s="1499">
        <v>5.6686150264845834</v>
      </c>
      <c r="K147" s="113">
        <v>3.9401416185533149</v>
      </c>
    </row>
    <row r="148" spans="2:11" x14ac:dyDescent="0.3">
      <c r="B148" s="115"/>
      <c r="C148" s="112" t="s">
        <v>1508</v>
      </c>
      <c r="D148" s="1499">
        <v>6.4860991833986983</v>
      </c>
      <c r="E148" s="1499">
        <v>5.211673523228824</v>
      </c>
      <c r="F148" s="1499">
        <v>4.2294693281391336</v>
      </c>
      <c r="G148" s="1499">
        <v>3.85765910500883</v>
      </c>
      <c r="H148" s="1499">
        <v>4.7457953821551175</v>
      </c>
      <c r="I148" s="1499">
        <v>6.3301775128676683</v>
      </c>
      <c r="J148" s="1499">
        <v>5.6674374607545932</v>
      </c>
      <c r="K148" s="113">
        <v>3.9389640528233256</v>
      </c>
    </row>
    <row r="149" spans="2:11" x14ac:dyDescent="0.3">
      <c r="B149" s="115"/>
      <c r="C149" s="112" t="s">
        <v>1513</v>
      </c>
      <c r="D149" s="1499">
        <v>6.4843328348037144</v>
      </c>
      <c r="E149" s="1499">
        <v>5.2099071746338401</v>
      </c>
      <c r="F149" s="1499">
        <v>4.2277029795441496</v>
      </c>
      <c r="G149" s="1499">
        <v>3.8558927564138461</v>
      </c>
      <c r="H149" s="1499">
        <v>4.7440290335601336</v>
      </c>
      <c r="I149" s="1499">
        <v>6.3284111642726844</v>
      </c>
      <c r="J149" s="1499">
        <v>5.6656711121596093</v>
      </c>
      <c r="K149" s="113">
        <v>3.9371977042283417</v>
      </c>
    </row>
    <row r="150" spans="2:11" x14ac:dyDescent="0.3">
      <c r="B150" s="115"/>
      <c r="C150" s="112" t="s">
        <v>1517</v>
      </c>
      <c r="D150" s="1499">
        <v>6.4825664862087304</v>
      </c>
      <c r="E150" s="1499">
        <v>5.2081408260388562</v>
      </c>
      <c r="F150" s="1499">
        <v>4.2259366309491657</v>
      </c>
      <c r="G150" s="1499">
        <v>3.8541264078188617</v>
      </c>
      <c r="H150" s="1499">
        <v>4.7422626849651497</v>
      </c>
      <c r="I150" s="1499">
        <v>6.3266448156776995</v>
      </c>
      <c r="J150" s="1499">
        <v>5.6639047635646254</v>
      </c>
      <c r="K150" s="113">
        <v>3.9354313556333573</v>
      </c>
    </row>
    <row r="151" spans="2:11" ht="14.5" thickBot="1" x14ac:dyDescent="0.35">
      <c r="B151" s="1233"/>
      <c r="C151" s="116" t="s">
        <v>1519</v>
      </c>
      <c r="D151" s="117">
        <v>6.4894463615455793</v>
      </c>
      <c r="E151" s="117">
        <v>5.2150653774800935</v>
      </c>
      <c r="F151" s="117">
        <v>4.2328144869575945</v>
      </c>
      <c r="G151" s="117">
        <v>3.8610300294176354</v>
      </c>
      <c r="H151" s="117">
        <v>4.7491110990051268</v>
      </c>
      <c r="I151" s="117">
        <v>6.3334053521018143</v>
      </c>
      <c r="J151" s="117">
        <v>5.6708282030617276</v>
      </c>
      <c r="K151" s="118">
        <v>3.9423251934591081</v>
      </c>
    </row>
    <row r="152" spans="2:11" x14ac:dyDescent="0.3">
      <c r="B152" s="120" t="s">
        <v>1990</v>
      </c>
      <c r="C152" s="108" t="s">
        <v>1416</v>
      </c>
      <c r="D152" s="109">
        <v>5.9788081585373289</v>
      </c>
      <c r="E152" s="109">
        <v>4.7047457707458582</v>
      </c>
      <c r="F152" s="109">
        <v>3.721631009519772</v>
      </c>
      <c r="G152" s="109">
        <v>3.3499669295231644</v>
      </c>
      <c r="H152" s="109">
        <v>4.2387330764715534</v>
      </c>
      <c r="I152" s="109">
        <v>5.8236652176662167</v>
      </c>
      <c r="J152" s="109">
        <v>5.1606994888553768</v>
      </c>
      <c r="K152" s="110">
        <v>3.4313148651788108</v>
      </c>
    </row>
    <row r="153" spans="2:11" x14ac:dyDescent="0.3">
      <c r="B153" s="111"/>
      <c r="C153" s="112" t="s">
        <v>1483</v>
      </c>
      <c r="D153" s="1499">
        <v>5.9891639118786459</v>
      </c>
      <c r="E153" s="1499">
        <v>4.7147829278131601</v>
      </c>
      <c r="F153" s="1499">
        <v>3.7325320372906607</v>
      </c>
      <c r="G153" s="1499">
        <v>3.360747579750702</v>
      </c>
      <c r="H153" s="1499">
        <v>4.2488286493381935</v>
      </c>
      <c r="I153" s="1499">
        <v>5.833122902434881</v>
      </c>
      <c r="J153" s="1499">
        <v>5.1705457533947943</v>
      </c>
      <c r="K153" s="113">
        <v>3.4420427437921748</v>
      </c>
    </row>
    <row r="154" spans="2:11" x14ac:dyDescent="0.3">
      <c r="B154" s="111" t="s">
        <v>1988</v>
      </c>
      <c r="C154" s="112" t="s">
        <v>1489</v>
      </c>
      <c r="D154" s="1499">
        <v>5.9877355348972623</v>
      </c>
      <c r="E154" s="1499">
        <v>4.7133545508317765</v>
      </c>
      <c r="F154" s="1499">
        <v>3.7311036603092775</v>
      </c>
      <c r="G154" s="1499">
        <v>3.3593192027693188</v>
      </c>
      <c r="H154" s="1499">
        <v>4.2474002723568098</v>
      </c>
      <c r="I154" s="1499">
        <v>5.8316945254534973</v>
      </c>
      <c r="J154" s="1499">
        <v>5.1691173764134106</v>
      </c>
      <c r="K154" s="113">
        <v>3.4406143668107916</v>
      </c>
    </row>
    <row r="155" spans="2:11" x14ac:dyDescent="0.3">
      <c r="B155" s="114">
        <v>0</v>
      </c>
      <c r="C155" s="112" t="s">
        <v>1496</v>
      </c>
      <c r="D155" s="1499">
        <v>5.9855929694251859</v>
      </c>
      <c r="E155" s="1499">
        <v>4.7112119853597019</v>
      </c>
      <c r="F155" s="1499">
        <v>3.7289610948372021</v>
      </c>
      <c r="G155" s="1499">
        <v>3.3571766372972434</v>
      </c>
      <c r="H155" s="1499">
        <v>4.2452577068847344</v>
      </c>
      <c r="I155" s="1499">
        <v>5.8295519599814218</v>
      </c>
      <c r="J155" s="1499">
        <v>5.1669748109413352</v>
      </c>
      <c r="K155" s="113">
        <v>3.4384718013387161</v>
      </c>
    </row>
    <row r="156" spans="2:11" x14ac:dyDescent="0.3">
      <c r="B156" s="115"/>
      <c r="C156" s="112" t="s">
        <v>1500</v>
      </c>
      <c r="D156" s="1499">
        <v>5.9834504039531113</v>
      </c>
      <c r="E156" s="1499">
        <v>4.7090694198876264</v>
      </c>
      <c r="F156" s="1499">
        <v>3.7268185293651266</v>
      </c>
      <c r="G156" s="1499">
        <v>3.3550340718251679</v>
      </c>
      <c r="H156" s="1499">
        <v>4.2431151414126598</v>
      </c>
      <c r="I156" s="1499">
        <v>5.8274093945093473</v>
      </c>
      <c r="J156" s="1499">
        <v>5.1648322454692597</v>
      </c>
      <c r="K156" s="113">
        <v>3.4363292358666406</v>
      </c>
    </row>
    <row r="157" spans="2:11" x14ac:dyDescent="0.3">
      <c r="B157" s="115"/>
      <c r="C157" s="112" t="s">
        <v>1504</v>
      </c>
      <c r="D157" s="1499">
        <v>5.9869942994617551</v>
      </c>
      <c r="E157" s="1499">
        <v>4.71256863929188</v>
      </c>
      <c r="F157" s="1499">
        <v>3.7303644442021899</v>
      </c>
      <c r="G157" s="1499">
        <v>3.3585542210718859</v>
      </c>
      <c r="H157" s="1499">
        <v>4.2466904982181735</v>
      </c>
      <c r="I157" s="1499">
        <v>5.8310726289307242</v>
      </c>
      <c r="J157" s="1499">
        <v>5.16833257681765</v>
      </c>
      <c r="K157" s="113">
        <v>3.4398591688863815</v>
      </c>
    </row>
    <row r="158" spans="2:11" x14ac:dyDescent="0.3">
      <c r="B158" s="115"/>
      <c r="C158" s="112" t="s">
        <v>1508</v>
      </c>
      <c r="D158" s="1499">
        <v>5.9858167337317649</v>
      </c>
      <c r="E158" s="1499">
        <v>4.7113910735618907</v>
      </c>
      <c r="F158" s="1499">
        <v>3.7291868784722002</v>
      </c>
      <c r="G158" s="1499">
        <v>3.3573766553418967</v>
      </c>
      <c r="H158" s="1499">
        <v>4.2455129324881842</v>
      </c>
      <c r="I158" s="1499">
        <v>5.8298950632007349</v>
      </c>
      <c r="J158" s="1499">
        <v>5.1671550110876598</v>
      </c>
      <c r="K158" s="113">
        <v>3.4386816031563923</v>
      </c>
    </row>
    <row r="159" spans="2:11" x14ac:dyDescent="0.3">
      <c r="B159" s="115"/>
      <c r="C159" s="112" t="s">
        <v>1513</v>
      </c>
      <c r="D159" s="1499">
        <v>5.984050385136781</v>
      </c>
      <c r="E159" s="1499">
        <v>4.7096247249669068</v>
      </c>
      <c r="F159" s="1499">
        <v>3.7274205298772163</v>
      </c>
      <c r="G159" s="1499">
        <v>3.3556103067469127</v>
      </c>
      <c r="H159" s="1499">
        <v>4.2437465838932003</v>
      </c>
      <c r="I159" s="1499">
        <v>5.828128714605751</v>
      </c>
      <c r="J159" s="1499">
        <v>5.1653886624926759</v>
      </c>
      <c r="K159" s="113">
        <v>3.4369152545614083</v>
      </c>
    </row>
    <row r="160" spans="2:11" x14ac:dyDescent="0.3">
      <c r="B160" s="115"/>
      <c r="C160" s="112" t="s">
        <v>1517</v>
      </c>
      <c r="D160" s="1499">
        <v>5.9822840365417971</v>
      </c>
      <c r="E160" s="1499">
        <v>4.7078583763719228</v>
      </c>
      <c r="F160" s="1499">
        <v>3.7256541812822324</v>
      </c>
      <c r="G160" s="1499">
        <v>3.3538439581519284</v>
      </c>
      <c r="H160" s="1499">
        <v>4.2419802352982163</v>
      </c>
      <c r="I160" s="1499">
        <v>5.8263623660107662</v>
      </c>
      <c r="J160" s="1499">
        <v>5.163622313897692</v>
      </c>
      <c r="K160" s="113">
        <v>3.435148905966424</v>
      </c>
    </row>
    <row r="161" spans="2:11" ht="14.5" thickBot="1" x14ac:dyDescent="0.35">
      <c r="B161" s="1233"/>
      <c r="C161" s="116" t="s">
        <v>1519</v>
      </c>
      <c r="D161" s="117">
        <v>5.9891639118786459</v>
      </c>
      <c r="E161" s="117">
        <v>4.7147829278131601</v>
      </c>
      <c r="F161" s="117">
        <v>3.7325320372906607</v>
      </c>
      <c r="G161" s="117">
        <v>3.360747579750702</v>
      </c>
      <c r="H161" s="117">
        <v>4.2488286493381935</v>
      </c>
      <c r="I161" s="117">
        <v>5.833122902434881</v>
      </c>
      <c r="J161" s="117">
        <v>5.1705457533947943</v>
      </c>
      <c r="K161" s="118">
        <v>3.4420427437921748</v>
      </c>
    </row>
    <row r="162" spans="2:11" x14ac:dyDescent="0.3">
      <c r="B162" s="120" t="s">
        <v>1990</v>
      </c>
      <c r="C162" s="108" t="s">
        <v>1416</v>
      </c>
      <c r="D162" s="109">
        <v>5.4785257088703956</v>
      </c>
      <c r="E162" s="109">
        <v>4.2044633210789248</v>
      </c>
      <c r="F162" s="109">
        <v>3.2213485598528386</v>
      </c>
      <c r="G162" s="109">
        <v>2.8496844798562311</v>
      </c>
      <c r="H162" s="109">
        <v>3.73845062680462</v>
      </c>
      <c r="I162" s="109">
        <v>5.3233827679992833</v>
      </c>
      <c r="J162" s="109">
        <v>4.6604170391884434</v>
      </c>
      <c r="K162" s="110">
        <v>2.9310324155118774</v>
      </c>
    </row>
    <row r="163" spans="2:11" x14ac:dyDescent="0.3">
      <c r="B163" s="111"/>
      <c r="C163" s="112" t="s">
        <v>1483</v>
      </c>
      <c r="D163" s="1499">
        <v>5.4888814622117126</v>
      </c>
      <c r="E163" s="1499">
        <v>4.2145004781462267</v>
      </c>
      <c r="F163" s="1499">
        <v>3.2322495876237274</v>
      </c>
      <c r="G163" s="1499">
        <v>2.8604651300837687</v>
      </c>
      <c r="H163" s="1499">
        <v>3.7485461996712601</v>
      </c>
      <c r="I163" s="1499">
        <v>5.3328404527679476</v>
      </c>
      <c r="J163" s="1499">
        <v>4.6702633037278609</v>
      </c>
      <c r="K163" s="113">
        <v>2.9417602941252414</v>
      </c>
    </row>
    <row r="164" spans="2:11" x14ac:dyDescent="0.3">
      <c r="B164" s="111" t="s">
        <v>1989</v>
      </c>
      <c r="C164" s="112" t="s">
        <v>1489</v>
      </c>
      <c r="D164" s="1499">
        <v>5.4874530852303289</v>
      </c>
      <c r="E164" s="1499">
        <v>4.2130721011648431</v>
      </c>
      <c r="F164" s="1499">
        <v>3.2308212106423442</v>
      </c>
      <c r="G164" s="1499">
        <v>2.859036753102385</v>
      </c>
      <c r="H164" s="1499">
        <v>3.7471178226898765</v>
      </c>
      <c r="I164" s="1499">
        <v>5.331412075786564</v>
      </c>
      <c r="J164" s="1499">
        <v>4.6688349267464773</v>
      </c>
      <c r="K164" s="113">
        <v>2.9403319171438578</v>
      </c>
    </row>
    <row r="165" spans="2:11" x14ac:dyDescent="0.3">
      <c r="B165" s="114">
        <v>0</v>
      </c>
      <c r="C165" s="112" t="s">
        <v>1496</v>
      </c>
      <c r="D165" s="1499">
        <v>5.4853105197582526</v>
      </c>
      <c r="E165" s="1499">
        <v>4.2109295356927685</v>
      </c>
      <c r="F165" s="1499">
        <v>3.2286786451702687</v>
      </c>
      <c r="G165" s="1499">
        <v>2.85689418763031</v>
      </c>
      <c r="H165" s="1499">
        <v>3.7449752572178014</v>
      </c>
      <c r="I165" s="1499">
        <v>5.3292695103144894</v>
      </c>
      <c r="J165" s="1499">
        <v>4.6666923612744018</v>
      </c>
      <c r="K165" s="113">
        <v>2.9381893516717827</v>
      </c>
    </row>
    <row r="166" spans="2:11" x14ac:dyDescent="0.3">
      <c r="B166" s="115"/>
      <c r="C166" s="112" t="s">
        <v>1500</v>
      </c>
      <c r="D166" s="1499">
        <v>5.483167954286178</v>
      </c>
      <c r="E166" s="1499">
        <v>4.208786970220693</v>
      </c>
      <c r="F166" s="1499">
        <v>3.2265360796981932</v>
      </c>
      <c r="G166" s="1499">
        <v>2.8547516221582345</v>
      </c>
      <c r="H166" s="1499">
        <v>3.742832691745726</v>
      </c>
      <c r="I166" s="1499">
        <v>5.3271269448424139</v>
      </c>
      <c r="J166" s="1499">
        <v>4.6645497958023263</v>
      </c>
      <c r="K166" s="113">
        <v>2.9360467861997073</v>
      </c>
    </row>
    <row r="167" spans="2:11" x14ac:dyDescent="0.3">
      <c r="B167" s="115"/>
      <c r="C167" s="112" t="s">
        <v>1504</v>
      </c>
      <c r="D167" s="1499">
        <v>5.4867118497948217</v>
      </c>
      <c r="E167" s="1499">
        <v>4.2122861896249466</v>
      </c>
      <c r="F167" s="1499">
        <v>3.2300819945352561</v>
      </c>
      <c r="G167" s="1499">
        <v>2.8582717714049526</v>
      </c>
      <c r="H167" s="1499">
        <v>3.7464080485512401</v>
      </c>
      <c r="I167" s="1499">
        <v>5.3307901792637908</v>
      </c>
      <c r="J167" s="1499">
        <v>4.6680501271507158</v>
      </c>
      <c r="K167" s="113">
        <v>2.9395767192194482</v>
      </c>
    </row>
    <row r="168" spans="2:11" x14ac:dyDescent="0.3">
      <c r="B168" s="115"/>
      <c r="C168" s="112" t="s">
        <v>1508</v>
      </c>
      <c r="D168" s="1499">
        <v>5.4855342840648316</v>
      </c>
      <c r="E168" s="1499">
        <v>4.2111086238949573</v>
      </c>
      <c r="F168" s="1499">
        <v>3.2289044288052668</v>
      </c>
      <c r="G168" s="1499">
        <v>2.8570942056749633</v>
      </c>
      <c r="H168" s="1499">
        <v>3.7452304828212508</v>
      </c>
      <c r="I168" s="1499">
        <v>5.3296126135338016</v>
      </c>
      <c r="J168" s="1499">
        <v>4.6668725614207265</v>
      </c>
      <c r="K168" s="113">
        <v>2.9383991534894589</v>
      </c>
    </row>
    <row r="169" spans="2:11" x14ac:dyDescent="0.3">
      <c r="B169" s="115"/>
      <c r="C169" s="112" t="s">
        <v>1513</v>
      </c>
      <c r="D169" s="1499">
        <v>5.4837679354698476</v>
      </c>
      <c r="E169" s="1499">
        <v>4.2093422752999734</v>
      </c>
      <c r="F169" s="1499">
        <v>3.2271380802102829</v>
      </c>
      <c r="G169" s="1499">
        <v>2.8553278570799794</v>
      </c>
      <c r="H169" s="1499">
        <v>3.7434641342262669</v>
      </c>
      <c r="I169" s="1499">
        <v>5.3278462649388176</v>
      </c>
      <c r="J169" s="1499">
        <v>4.6651062128257426</v>
      </c>
      <c r="K169" s="113">
        <v>2.936632804894475</v>
      </c>
    </row>
    <row r="170" spans="2:11" x14ac:dyDescent="0.3">
      <c r="B170" s="115"/>
      <c r="C170" s="112" t="s">
        <v>1517</v>
      </c>
      <c r="D170" s="1499">
        <v>5.4820015868748637</v>
      </c>
      <c r="E170" s="1499">
        <v>4.2075759267049895</v>
      </c>
      <c r="F170" s="1499">
        <v>3.225371731615299</v>
      </c>
      <c r="G170" s="1499">
        <v>2.853561508484995</v>
      </c>
      <c r="H170" s="1499">
        <v>3.741697785631283</v>
      </c>
      <c r="I170" s="1499">
        <v>5.3260799163438328</v>
      </c>
      <c r="J170" s="1499">
        <v>4.6633398642307586</v>
      </c>
      <c r="K170" s="113">
        <v>2.9348664562994906</v>
      </c>
    </row>
    <row r="171" spans="2:11" ht="14.5" thickBot="1" x14ac:dyDescent="0.35">
      <c r="B171" s="1233"/>
      <c r="C171" s="116" t="s">
        <v>1519</v>
      </c>
      <c r="D171" s="117">
        <v>5.4888814622117126</v>
      </c>
      <c r="E171" s="117">
        <v>4.2145004781462267</v>
      </c>
      <c r="F171" s="117">
        <v>3.2322495876237274</v>
      </c>
      <c r="G171" s="117">
        <v>2.8604651300837687</v>
      </c>
      <c r="H171" s="117">
        <v>3.7485461996712601</v>
      </c>
      <c r="I171" s="117">
        <v>5.3328404527679476</v>
      </c>
      <c r="J171" s="117">
        <v>4.6702633037278609</v>
      </c>
      <c r="K171" s="118">
        <v>2.9417602941252414</v>
      </c>
    </row>
    <row r="173" spans="2:11" ht="14.5" thickBot="1" x14ac:dyDescent="0.35"/>
    <row r="174" spans="2:11" ht="25.5" thickBot="1" x14ac:dyDescent="0.55000000000000004">
      <c r="B174" s="88" t="s">
        <v>1960</v>
      </c>
      <c r="C174" s="89"/>
      <c r="D174" s="90">
        <v>8</v>
      </c>
      <c r="E174" s="91" t="s">
        <v>1991</v>
      </c>
      <c r="F174" s="92"/>
      <c r="G174" s="92"/>
      <c r="H174" s="92"/>
      <c r="I174" s="93"/>
      <c r="J174" s="89" t="s">
        <v>176</v>
      </c>
      <c r="K174" s="94" t="s">
        <v>214</v>
      </c>
    </row>
    <row r="175" spans="2:11" ht="14.5" thickBot="1" x14ac:dyDescent="0.35">
      <c r="B175" s="95" t="s">
        <v>1962</v>
      </c>
      <c r="C175" s="96" t="s">
        <v>1963</v>
      </c>
      <c r="D175" s="95" t="s">
        <v>1964</v>
      </c>
      <c r="E175" s="97" t="s">
        <v>1965</v>
      </c>
      <c r="F175" s="97" t="s">
        <v>1966</v>
      </c>
      <c r="G175" s="97" t="s">
        <v>1967</v>
      </c>
      <c r="H175" s="97" t="s">
        <v>1968</v>
      </c>
      <c r="I175" s="97" t="s">
        <v>1969</v>
      </c>
      <c r="J175" s="97" t="s">
        <v>1970</v>
      </c>
      <c r="K175" s="98" t="s">
        <v>1971</v>
      </c>
    </row>
    <row r="176" spans="2:11" ht="14.5" thickBot="1" x14ac:dyDescent="0.35">
      <c r="B176" s="99"/>
      <c r="C176" s="99"/>
      <c r="D176" s="100"/>
      <c r="E176" s="944"/>
      <c r="F176" s="944"/>
      <c r="G176" s="944"/>
      <c r="H176" s="944"/>
      <c r="I176" s="944"/>
      <c r="J176" s="944"/>
      <c r="K176" s="102"/>
    </row>
    <row r="177" spans="2:11" ht="86.5" thickBot="1" x14ac:dyDescent="0.45">
      <c r="B177" s="103" t="s">
        <v>1972</v>
      </c>
      <c r="C177" s="103" t="s">
        <v>1973</v>
      </c>
      <c r="D177" s="105" t="s">
        <v>1974</v>
      </c>
      <c r="E177" s="105" t="s">
        <v>1525</v>
      </c>
      <c r="F177" s="105" t="s">
        <v>1527</v>
      </c>
      <c r="G177" s="105" t="s">
        <v>1975</v>
      </c>
      <c r="H177" s="105" t="s">
        <v>1976</v>
      </c>
      <c r="I177" s="105" t="s">
        <v>1445</v>
      </c>
      <c r="J177" s="105" t="s">
        <v>1538</v>
      </c>
      <c r="K177" s="106" t="s">
        <v>1541</v>
      </c>
    </row>
    <row r="178" spans="2:11" x14ac:dyDescent="0.3">
      <c r="B178" s="120" t="s">
        <v>1992</v>
      </c>
      <c r="C178" s="108" t="s">
        <v>1416</v>
      </c>
      <c r="D178" s="109">
        <v>15.535795840618636</v>
      </c>
      <c r="E178" s="109">
        <v>14.610512862625498</v>
      </c>
      <c r="F178" s="109">
        <v>13.630349111983421</v>
      </c>
      <c r="G178" s="109">
        <v>13.34323333040185</v>
      </c>
      <c r="H178" s="109">
        <v>14.095140810672797</v>
      </c>
      <c r="I178" s="109">
        <v>15.655163043769388</v>
      </c>
      <c r="J178" s="109">
        <v>15.043304681755677</v>
      </c>
      <c r="K178" s="110">
        <v>13.426777358315091</v>
      </c>
    </row>
    <row r="179" spans="2:11" x14ac:dyDescent="0.3">
      <c r="B179" s="128"/>
      <c r="C179" s="112" t="s">
        <v>1483</v>
      </c>
      <c r="D179" s="1499">
        <v>15.540886257737169</v>
      </c>
      <c r="E179" s="1499">
        <v>14.616053371264162</v>
      </c>
      <c r="F179" s="1499">
        <v>13.6370656427572</v>
      </c>
      <c r="G179" s="1499">
        <v>13.349730577570877</v>
      </c>
      <c r="H179" s="1499">
        <v>14.101049520854659</v>
      </c>
      <c r="I179" s="1499">
        <v>15.659928624667192</v>
      </c>
      <c r="J179" s="1499">
        <v>15.048537868271012</v>
      </c>
      <c r="K179" s="113">
        <v>13.433216219395874</v>
      </c>
    </row>
    <row r="180" spans="2:11" x14ac:dyDescent="0.3">
      <c r="B180" s="128"/>
      <c r="C180" s="112" t="s">
        <v>1489</v>
      </c>
      <c r="D180" s="1499">
        <v>15.539457880755785</v>
      </c>
      <c r="E180" s="1499">
        <v>14.614624994282776</v>
      </c>
      <c r="F180" s="1499">
        <v>13.635637265775815</v>
      </c>
      <c r="G180" s="1499">
        <v>13.348302200589494</v>
      </c>
      <c r="H180" s="1499">
        <v>14.099621143873273</v>
      </c>
      <c r="I180" s="1499">
        <v>15.658500247685808</v>
      </c>
      <c r="J180" s="1499">
        <v>15.047109491289627</v>
      </c>
      <c r="K180" s="113">
        <v>13.43178784241449</v>
      </c>
    </row>
    <row r="181" spans="2:11" x14ac:dyDescent="0.3">
      <c r="B181" s="122">
        <v>0</v>
      </c>
      <c r="C181" s="112" t="s">
        <v>1496</v>
      </c>
      <c r="D181" s="1499">
        <v>15.53731531528371</v>
      </c>
      <c r="E181" s="1499">
        <v>14.612482428810701</v>
      </c>
      <c r="F181" s="1499">
        <v>13.633494700303741</v>
      </c>
      <c r="G181" s="1499">
        <v>13.346159635117418</v>
      </c>
      <c r="H181" s="1499">
        <v>14.097478578401198</v>
      </c>
      <c r="I181" s="1499">
        <v>15.656357682213732</v>
      </c>
      <c r="J181" s="1499">
        <v>15.044966925817551</v>
      </c>
      <c r="K181" s="113">
        <v>13.429645276942415</v>
      </c>
    </row>
    <row r="182" spans="2:11" x14ac:dyDescent="0.3">
      <c r="B182" s="123"/>
      <c r="C182" s="112" t="s">
        <v>1500</v>
      </c>
      <c r="D182" s="1499">
        <v>15.535172749811633</v>
      </c>
      <c r="E182" s="1499">
        <v>14.610339863338623</v>
      </c>
      <c r="F182" s="1499">
        <v>13.631352134831664</v>
      </c>
      <c r="G182" s="1499">
        <v>13.344017069645341</v>
      </c>
      <c r="H182" s="1499">
        <v>14.095336012929121</v>
      </c>
      <c r="I182" s="1499">
        <v>15.654215116741655</v>
      </c>
      <c r="J182" s="1499">
        <v>15.042824360345474</v>
      </c>
      <c r="K182" s="113">
        <v>13.427502711470337</v>
      </c>
    </row>
    <row r="183" spans="2:11" x14ac:dyDescent="0.3">
      <c r="B183" s="123"/>
      <c r="C183" s="112" t="s">
        <v>1504</v>
      </c>
      <c r="D183" s="1499">
        <v>15.538690016645132</v>
      </c>
      <c r="E183" s="1499">
        <v>14.614986578813845</v>
      </c>
      <c r="F183" s="1499">
        <v>13.634850509126393</v>
      </c>
      <c r="G183" s="1499">
        <v>13.348446927132466</v>
      </c>
      <c r="H183" s="1499">
        <v>14.099804374668485</v>
      </c>
      <c r="I183" s="1499">
        <v>15.659037168974615</v>
      </c>
      <c r="J183" s="1499">
        <v>15.047494686256401</v>
      </c>
      <c r="K183" s="113">
        <v>13.431942039222351</v>
      </c>
    </row>
    <row r="184" spans="2:11" x14ac:dyDescent="0.3">
      <c r="B184" s="123"/>
      <c r="C184" s="112" t="s">
        <v>1508</v>
      </c>
      <c r="D184" s="1499">
        <v>15.537512450915143</v>
      </c>
      <c r="E184" s="1499">
        <v>14.613809013083856</v>
      </c>
      <c r="F184" s="1499">
        <v>13.633672943396403</v>
      </c>
      <c r="G184" s="1499">
        <v>13.347269361402477</v>
      </c>
      <c r="H184" s="1499">
        <v>14.098626808938496</v>
      </c>
      <c r="I184" s="1499">
        <v>15.657859603244626</v>
      </c>
      <c r="J184" s="1499">
        <v>15.04631712052641</v>
      </c>
      <c r="K184" s="113">
        <v>13.430764473492362</v>
      </c>
    </row>
    <row r="185" spans="2:11" x14ac:dyDescent="0.3">
      <c r="B185" s="123"/>
      <c r="C185" s="112" t="s">
        <v>1513</v>
      </c>
      <c r="D185" s="1499">
        <v>15.535746102320159</v>
      </c>
      <c r="E185" s="1499">
        <v>14.61204266448887</v>
      </c>
      <c r="F185" s="1499">
        <v>13.63190659480142</v>
      </c>
      <c r="G185" s="1499">
        <v>13.345503012807493</v>
      </c>
      <c r="H185" s="1499">
        <v>14.096860460343512</v>
      </c>
      <c r="I185" s="1499">
        <v>15.656093254649642</v>
      </c>
      <c r="J185" s="1499">
        <v>15.044550771931426</v>
      </c>
      <c r="K185" s="113">
        <v>13.428998124897378</v>
      </c>
    </row>
    <row r="186" spans="2:11" x14ac:dyDescent="0.3">
      <c r="B186" s="123"/>
      <c r="C186" s="112" t="s">
        <v>1517</v>
      </c>
      <c r="D186" s="1499">
        <v>15.533979753725175</v>
      </c>
      <c r="E186" s="1499">
        <v>14.610276315893886</v>
      </c>
      <c r="F186" s="1499">
        <v>13.630140246206436</v>
      </c>
      <c r="G186" s="1499">
        <v>13.343736664212509</v>
      </c>
      <c r="H186" s="1499">
        <v>14.095094111748528</v>
      </c>
      <c r="I186" s="1499">
        <v>15.654326906054658</v>
      </c>
      <c r="J186" s="1499">
        <v>15.042784423336443</v>
      </c>
      <c r="K186" s="113">
        <v>13.427231776302394</v>
      </c>
    </row>
    <row r="187" spans="2:11" ht="14.5" thickBot="1" x14ac:dyDescent="0.35">
      <c r="B187" s="124"/>
      <c r="C187" s="116" t="s">
        <v>1519</v>
      </c>
      <c r="D187" s="117">
        <v>15.540886257737169</v>
      </c>
      <c r="E187" s="117">
        <v>14.616053371264162</v>
      </c>
      <c r="F187" s="117">
        <v>13.6370656427572</v>
      </c>
      <c r="G187" s="117">
        <v>13.349730577570877</v>
      </c>
      <c r="H187" s="117">
        <v>14.101049520854659</v>
      </c>
      <c r="I187" s="117">
        <v>15.659928624667192</v>
      </c>
      <c r="J187" s="117">
        <v>15.048537868271012</v>
      </c>
      <c r="K187" s="118">
        <v>13.433216219395874</v>
      </c>
    </row>
    <row r="188" spans="2:11" x14ac:dyDescent="0.3">
      <c r="B188" s="120" t="s">
        <v>1993</v>
      </c>
      <c r="C188" s="1234" t="s">
        <v>1416</v>
      </c>
      <c r="D188" s="109">
        <v>8.7492282248949174</v>
      </c>
      <c r="E188" s="109">
        <v>7.7223293559741766</v>
      </c>
      <c r="F188" s="109">
        <v>6.5520562639012736</v>
      </c>
      <c r="G188" s="109">
        <v>6.2661438251848089</v>
      </c>
      <c r="H188" s="109">
        <v>7.0541268862109527</v>
      </c>
      <c r="I188" s="109">
        <v>8.9512804759782938</v>
      </c>
      <c r="J188" s="109">
        <v>8.2392815220249176</v>
      </c>
      <c r="K188" s="110">
        <v>6.3609451628909364</v>
      </c>
    </row>
    <row r="189" spans="2:11" x14ac:dyDescent="0.3">
      <c r="B189" s="121"/>
      <c r="C189" s="1500" t="s">
        <v>1483</v>
      </c>
      <c r="D189" s="1499">
        <v>8.761322809615983</v>
      </c>
      <c r="E189" s="1499">
        <v>7.7345769053377369</v>
      </c>
      <c r="F189" s="1499">
        <v>6.5656527318869049</v>
      </c>
      <c r="G189" s="1499">
        <v>6.2796115613035095</v>
      </c>
      <c r="H189" s="1499">
        <v>7.0667423781958183</v>
      </c>
      <c r="I189" s="1499">
        <v>8.9625543457610632</v>
      </c>
      <c r="J189" s="1499">
        <v>8.2511589219941683</v>
      </c>
      <c r="K189" s="113">
        <v>6.3743548789665905</v>
      </c>
    </row>
    <row r="190" spans="2:11" x14ac:dyDescent="0.3">
      <c r="B190" s="128"/>
      <c r="C190" s="1500" t="s">
        <v>1489</v>
      </c>
      <c r="D190" s="1499">
        <v>8.7598944326345993</v>
      </c>
      <c r="E190" s="1499">
        <v>7.7331485283563532</v>
      </c>
      <c r="F190" s="1499">
        <v>6.5642243549055213</v>
      </c>
      <c r="G190" s="1499">
        <v>6.2781831843221259</v>
      </c>
      <c r="H190" s="1499">
        <v>7.0653140012144346</v>
      </c>
      <c r="I190" s="1499">
        <v>8.9611259687796796</v>
      </c>
      <c r="J190" s="1499">
        <v>8.2497305450127847</v>
      </c>
      <c r="K190" s="113">
        <v>6.3729265019852068</v>
      </c>
    </row>
    <row r="191" spans="2:11" x14ac:dyDescent="0.3">
      <c r="B191" s="122">
        <v>0</v>
      </c>
      <c r="C191" s="1500" t="s">
        <v>1496</v>
      </c>
      <c r="D191" s="1499">
        <v>8.7577518671625239</v>
      </c>
      <c r="E191" s="1499">
        <v>7.7310059628842778</v>
      </c>
      <c r="F191" s="1499">
        <v>6.5620817894334458</v>
      </c>
      <c r="G191" s="1499">
        <v>6.2760406188500504</v>
      </c>
      <c r="H191" s="1499">
        <v>7.0631714357423592</v>
      </c>
      <c r="I191" s="1499">
        <v>8.9589834033076041</v>
      </c>
      <c r="J191" s="1499">
        <v>8.2475879795407074</v>
      </c>
      <c r="K191" s="113">
        <v>6.3707839365131305</v>
      </c>
    </row>
    <row r="192" spans="2:11" x14ac:dyDescent="0.3">
      <c r="B192" s="123"/>
      <c r="C192" s="1500" t="s">
        <v>1500</v>
      </c>
      <c r="D192" s="1499">
        <v>8.7556093016904502</v>
      </c>
      <c r="E192" s="1499">
        <v>7.7288633974122032</v>
      </c>
      <c r="F192" s="1499">
        <v>6.5599392239613712</v>
      </c>
      <c r="G192" s="1499">
        <v>6.2738980533779758</v>
      </c>
      <c r="H192" s="1499">
        <v>7.0610288702702846</v>
      </c>
      <c r="I192" s="1499">
        <v>8.9568408378355286</v>
      </c>
      <c r="J192" s="1499">
        <v>8.2454454140686337</v>
      </c>
      <c r="K192" s="113">
        <v>6.3686413710410559</v>
      </c>
    </row>
    <row r="193" spans="2:11" x14ac:dyDescent="0.3">
      <c r="B193" s="123"/>
      <c r="C193" s="1500" t="s">
        <v>1504</v>
      </c>
      <c r="D193" s="1499">
        <v>8.7586296170743427</v>
      </c>
      <c r="E193" s="1499">
        <v>7.732050051718546</v>
      </c>
      <c r="F193" s="1499">
        <v>6.5628024750517886</v>
      </c>
      <c r="G193" s="1499">
        <v>6.2767804842418755</v>
      </c>
      <c r="H193" s="1499">
        <v>7.0641112920647187</v>
      </c>
      <c r="I193" s="1499">
        <v>8.9602783536144752</v>
      </c>
      <c r="J193" s="1499">
        <v>8.2487209286612551</v>
      </c>
      <c r="K193" s="113">
        <v>6.371537278151</v>
      </c>
    </row>
    <row r="194" spans="2:11" x14ac:dyDescent="0.3">
      <c r="B194" s="123"/>
      <c r="C194" s="1500" t="s">
        <v>1508</v>
      </c>
      <c r="D194" s="1499">
        <v>8.7574520513443534</v>
      </c>
      <c r="E194" s="1499">
        <v>7.7308724859885567</v>
      </c>
      <c r="F194" s="1499">
        <v>6.5616249093217993</v>
      </c>
      <c r="G194" s="1499">
        <v>6.2756029185118862</v>
      </c>
      <c r="H194" s="1499">
        <v>7.0629337263347294</v>
      </c>
      <c r="I194" s="1499">
        <v>8.9591007878844859</v>
      </c>
      <c r="J194" s="1499">
        <v>8.2475433629312658</v>
      </c>
      <c r="K194" s="113">
        <v>6.3703597124210098</v>
      </c>
    </row>
    <row r="195" spans="2:11" x14ac:dyDescent="0.3">
      <c r="B195" s="123"/>
      <c r="C195" s="1500" t="s">
        <v>1513</v>
      </c>
      <c r="D195" s="1499">
        <v>8.7556857027493695</v>
      </c>
      <c r="E195" s="1499">
        <v>7.7291061373935728</v>
      </c>
      <c r="F195" s="1499">
        <v>6.5598585607268154</v>
      </c>
      <c r="G195" s="1499">
        <v>6.2738365699169023</v>
      </c>
      <c r="H195" s="1499">
        <v>7.0611673777397455</v>
      </c>
      <c r="I195" s="1499">
        <v>8.957334439289502</v>
      </c>
      <c r="J195" s="1499">
        <v>8.2457770143362819</v>
      </c>
      <c r="K195" s="113">
        <v>6.3685933638260259</v>
      </c>
    </row>
    <row r="196" spans="2:11" x14ac:dyDescent="0.3">
      <c r="B196" s="123"/>
      <c r="C196" s="1500" t="s">
        <v>1517</v>
      </c>
      <c r="D196" s="1499">
        <v>8.7539193541543856</v>
      </c>
      <c r="E196" s="1499">
        <v>7.727339788798588</v>
      </c>
      <c r="F196" s="1499">
        <v>6.5580922121318315</v>
      </c>
      <c r="G196" s="1499">
        <v>6.2720702213219184</v>
      </c>
      <c r="H196" s="1499">
        <v>7.0594010291447615</v>
      </c>
      <c r="I196" s="1499">
        <v>8.9555680906945181</v>
      </c>
      <c r="J196" s="1499">
        <v>8.2440106657412979</v>
      </c>
      <c r="K196" s="113">
        <v>6.366827015231042</v>
      </c>
    </row>
    <row r="197" spans="2:11" ht="14.5" thickBot="1" x14ac:dyDescent="0.35">
      <c r="B197" s="124"/>
      <c r="C197" s="125" t="s">
        <v>1519</v>
      </c>
      <c r="D197" s="117">
        <v>8.761322809615983</v>
      </c>
      <c r="E197" s="117">
        <v>7.7345769053377369</v>
      </c>
      <c r="F197" s="117">
        <v>6.5656527318869049</v>
      </c>
      <c r="G197" s="117">
        <v>6.2796115613035095</v>
      </c>
      <c r="H197" s="117">
        <v>7.0667423781958183</v>
      </c>
      <c r="I197" s="117">
        <v>8.9625543457610632</v>
      </c>
      <c r="J197" s="117">
        <v>8.2511589219941683</v>
      </c>
      <c r="K197" s="118">
        <v>6.3743548789665905</v>
      </c>
    </row>
    <row r="198" spans="2:11" x14ac:dyDescent="0.3">
      <c r="B198" s="119" t="s">
        <v>1994</v>
      </c>
      <c r="C198" s="108" t="s">
        <v>1416</v>
      </c>
      <c r="D198" s="109">
        <v>12.717373206620149</v>
      </c>
      <c r="E198" s="109">
        <v>11.911913397382914</v>
      </c>
      <c r="F198" s="109">
        <v>10.702403581893716</v>
      </c>
      <c r="G198" s="109">
        <v>10.465186873421366</v>
      </c>
      <c r="H198" s="109">
        <v>11.145804989601922</v>
      </c>
      <c r="I198" s="109">
        <v>13.156424710847634</v>
      </c>
      <c r="J198" s="109">
        <v>12.441802320147167</v>
      </c>
      <c r="K198" s="110">
        <v>10.562656116921437</v>
      </c>
    </row>
    <row r="199" spans="2:11" x14ac:dyDescent="0.3">
      <c r="B199" s="111"/>
      <c r="C199" s="112" t="s">
        <v>1483</v>
      </c>
      <c r="D199" s="1499">
        <v>12.72575857141122</v>
      </c>
      <c r="E199" s="1499">
        <v>11.920763334971737</v>
      </c>
      <c r="F199" s="1499">
        <v>10.712657666721308</v>
      </c>
      <c r="G199" s="1499">
        <v>10.475264559937418</v>
      </c>
      <c r="H199" s="1499">
        <v>11.155110360330568</v>
      </c>
      <c r="I199" s="1499">
        <v>13.164271789741566</v>
      </c>
      <c r="J199" s="1499">
        <v>12.450230389159838</v>
      </c>
      <c r="K199" s="113">
        <v>10.572659974587875</v>
      </c>
    </row>
    <row r="200" spans="2:11" x14ac:dyDescent="0.3">
      <c r="B200" s="111"/>
      <c r="C200" s="112" t="s">
        <v>1489</v>
      </c>
      <c r="D200" s="1499">
        <v>12.724330194429836</v>
      </c>
      <c r="E200" s="1499">
        <v>11.919334957990353</v>
      </c>
      <c r="F200" s="1499">
        <v>10.711229289739924</v>
      </c>
      <c r="G200" s="1499">
        <v>10.473836182956035</v>
      </c>
      <c r="H200" s="1499">
        <v>11.153681983349182</v>
      </c>
      <c r="I200" s="1499">
        <v>13.162843412760182</v>
      </c>
      <c r="J200" s="1499">
        <v>12.448802012178453</v>
      </c>
      <c r="K200" s="113">
        <v>10.571231597606491</v>
      </c>
    </row>
    <row r="201" spans="2:11" x14ac:dyDescent="0.3">
      <c r="B201" s="114">
        <v>0</v>
      </c>
      <c r="C201" s="112" t="s">
        <v>1496</v>
      </c>
      <c r="D201" s="1499">
        <v>12.72218762895776</v>
      </c>
      <c r="E201" s="1499">
        <v>11.917192392518277</v>
      </c>
      <c r="F201" s="1499">
        <v>10.709086724267847</v>
      </c>
      <c r="G201" s="1499">
        <v>10.471693617483959</v>
      </c>
      <c r="H201" s="1499">
        <v>11.151539417877109</v>
      </c>
      <c r="I201" s="1499">
        <v>13.160700847288107</v>
      </c>
      <c r="J201" s="1499">
        <v>12.446659446706377</v>
      </c>
      <c r="K201" s="113">
        <v>10.569089032134414</v>
      </c>
    </row>
    <row r="202" spans="2:11" x14ac:dyDescent="0.3">
      <c r="B202" s="115"/>
      <c r="C202" s="112" t="s">
        <v>1500</v>
      </c>
      <c r="D202" s="1499">
        <v>12.720045063485683</v>
      </c>
      <c r="E202" s="1499">
        <v>11.9150498270462</v>
      </c>
      <c r="F202" s="1499">
        <v>10.706944158795773</v>
      </c>
      <c r="G202" s="1499">
        <v>10.469551052011884</v>
      </c>
      <c r="H202" s="1499">
        <v>11.149396852405031</v>
      </c>
      <c r="I202" s="1499">
        <v>13.158558281816029</v>
      </c>
      <c r="J202" s="1499">
        <v>12.444516881234302</v>
      </c>
      <c r="K202" s="113">
        <v>10.56694646666234</v>
      </c>
    </row>
    <row r="203" spans="2:11" x14ac:dyDescent="0.3">
      <c r="B203" s="115"/>
      <c r="C203" s="112" t="s">
        <v>1504</v>
      </c>
      <c r="D203" s="1499">
        <v>12.723207876650539</v>
      </c>
      <c r="E203" s="1499">
        <v>11.919157668544415</v>
      </c>
      <c r="F203" s="1499">
        <v>10.710026744766179</v>
      </c>
      <c r="G203" s="1499">
        <v>10.473347768850882</v>
      </c>
      <c r="H203" s="1499">
        <v>11.153319614904756</v>
      </c>
      <c r="I203" s="1499">
        <v>13.162924990835473</v>
      </c>
      <c r="J203" s="1499">
        <v>12.448710031438489</v>
      </c>
      <c r="K203" s="113">
        <v>10.570760660726915</v>
      </c>
    </row>
    <row r="204" spans="2:11" x14ac:dyDescent="0.3">
      <c r="B204" s="115"/>
      <c r="C204" s="112" t="s">
        <v>1508</v>
      </c>
      <c r="D204" s="1499">
        <v>12.72203031092055</v>
      </c>
      <c r="E204" s="1499">
        <v>11.917980102814425</v>
      </c>
      <c r="F204" s="1499">
        <v>10.708849179036189</v>
      </c>
      <c r="G204" s="1499">
        <v>10.472170203120893</v>
      </c>
      <c r="H204" s="1499">
        <v>11.152142049174767</v>
      </c>
      <c r="I204" s="1499">
        <v>13.161747425105483</v>
      </c>
      <c r="J204" s="1499">
        <v>12.4475324657085</v>
      </c>
      <c r="K204" s="113">
        <v>10.569583094996926</v>
      </c>
    </row>
    <row r="205" spans="2:11" x14ac:dyDescent="0.3">
      <c r="B205" s="115"/>
      <c r="C205" s="112" t="s">
        <v>1513</v>
      </c>
      <c r="D205" s="1499">
        <v>12.720263962325566</v>
      </c>
      <c r="E205" s="1499">
        <v>11.916213754219442</v>
      </c>
      <c r="F205" s="1499">
        <v>10.707082830441205</v>
      </c>
      <c r="G205" s="1499">
        <v>10.470403854525909</v>
      </c>
      <c r="H205" s="1499">
        <v>11.150375700579783</v>
      </c>
      <c r="I205" s="1499">
        <v>13.159981076510499</v>
      </c>
      <c r="J205" s="1499">
        <v>12.445766117113516</v>
      </c>
      <c r="K205" s="113">
        <v>10.567816746401942</v>
      </c>
    </row>
    <row r="206" spans="2:11" x14ac:dyDescent="0.3">
      <c r="B206" s="115"/>
      <c r="C206" s="112" t="s">
        <v>1517</v>
      </c>
      <c r="D206" s="1499">
        <v>12.71849761373058</v>
      </c>
      <c r="E206" s="1499">
        <v>11.914447405624458</v>
      </c>
      <c r="F206" s="1499">
        <v>10.705316481846221</v>
      </c>
      <c r="G206" s="1499">
        <v>10.468637505930925</v>
      </c>
      <c r="H206" s="1499">
        <v>11.148609351984797</v>
      </c>
      <c r="I206" s="1499">
        <v>13.158214727915515</v>
      </c>
      <c r="J206" s="1499">
        <v>12.443999768518532</v>
      </c>
      <c r="K206" s="113">
        <v>10.566050397806958</v>
      </c>
    </row>
    <row r="207" spans="2:11" ht="14.5" thickBot="1" x14ac:dyDescent="0.35">
      <c r="B207" s="1233"/>
      <c r="C207" s="116" t="s">
        <v>1519</v>
      </c>
      <c r="D207" s="117">
        <v>12.72575857141122</v>
      </c>
      <c r="E207" s="117">
        <v>11.920763334971737</v>
      </c>
      <c r="F207" s="117">
        <v>10.712657666721308</v>
      </c>
      <c r="G207" s="117">
        <v>10.475264559937418</v>
      </c>
      <c r="H207" s="117">
        <v>11.155110360330568</v>
      </c>
      <c r="I207" s="117">
        <v>13.164271789741566</v>
      </c>
      <c r="J207" s="117">
        <v>12.450230389159838</v>
      </c>
      <c r="K207" s="118">
        <v>10.572659974587875</v>
      </c>
    </row>
    <row r="208" spans="2:11" x14ac:dyDescent="0.3">
      <c r="B208" s="120" t="s">
        <v>1519</v>
      </c>
      <c r="C208" s="108" t="s">
        <v>1416</v>
      </c>
      <c r="D208" s="129">
        <v>7.4838642704887732</v>
      </c>
      <c r="E208" s="109">
        <v>6.2250317183080188</v>
      </c>
      <c r="F208" s="109">
        <v>5.2314622980270133</v>
      </c>
      <c r="G208" s="109">
        <v>4.8655918853362889</v>
      </c>
      <c r="H208" s="109">
        <v>5.7513098993109306</v>
      </c>
      <c r="I208" s="109">
        <v>7.3454210358375125</v>
      </c>
      <c r="J208" s="109">
        <v>6.6828651537978097</v>
      </c>
      <c r="K208" s="110">
        <v>4.9480984202706511</v>
      </c>
    </row>
    <row r="209" spans="2:11" x14ac:dyDescent="0.3">
      <c r="B209" s="111"/>
      <c r="C209" s="112" t="s">
        <v>1483</v>
      </c>
      <c r="D209" s="130">
        <v>7.4936227685675814</v>
      </c>
      <c r="E209" s="1499">
        <v>6.2346386596616155</v>
      </c>
      <c r="F209" s="1499">
        <v>5.2420414302741021</v>
      </c>
      <c r="G209" s="1499">
        <v>4.8759979537490299</v>
      </c>
      <c r="H209" s="1499">
        <v>5.7610267478424602</v>
      </c>
      <c r="I209" s="1499">
        <v>7.3545067363319161</v>
      </c>
      <c r="J209" s="1499">
        <v>6.6922856467350105</v>
      </c>
      <c r="K209" s="113">
        <v>4.958443063393938</v>
      </c>
    </row>
    <row r="210" spans="2:11" x14ac:dyDescent="0.3">
      <c r="B210" s="111"/>
      <c r="C210" s="112" t="s">
        <v>1489</v>
      </c>
      <c r="D210" s="130">
        <v>7.4921943915861977</v>
      </c>
      <c r="E210" s="1499">
        <v>6.2332102826802318</v>
      </c>
      <c r="F210" s="1499">
        <v>5.2406130532927184</v>
      </c>
      <c r="G210" s="1499">
        <v>4.8745695767676454</v>
      </c>
      <c r="H210" s="1499">
        <v>5.7595983708610765</v>
      </c>
      <c r="I210" s="1499">
        <v>7.3530783593505324</v>
      </c>
      <c r="J210" s="1499">
        <v>6.6908572697536268</v>
      </c>
      <c r="K210" s="113">
        <v>4.9570146864125544</v>
      </c>
    </row>
    <row r="211" spans="2:11" x14ac:dyDescent="0.3">
      <c r="B211" s="114">
        <v>0</v>
      </c>
      <c r="C211" s="112" t="s">
        <v>1496</v>
      </c>
      <c r="D211" s="130">
        <v>7.4900518261141222</v>
      </c>
      <c r="E211" s="1499">
        <v>6.2310677172081554</v>
      </c>
      <c r="F211" s="1499">
        <v>5.2384704878206421</v>
      </c>
      <c r="G211" s="1499">
        <v>4.8724270112955699</v>
      </c>
      <c r="H211" s="1499">
        <v>5.757455805389001</v>
      </c>
      <c r="I211" s="1499">
        <v>7.3509357938784561</v>
      </c>
      <c r="J211" s="1499">
        <v>6.6887147042815505</v>
      </c>
      <c r="K211" s="113">
        <v>4.9548721209404789</v>
      </c>
    </row>
    <row r="212" spans="2:11" x14ac:dyDescent="0.3">
      <c r="B212" s="115"/>
      <c r="C212" s="112" t="s">
        <v>1500</v>
      </c>
      <c r="D212" s="130">
        <v>7.4879092606420476</v>
      </c>
      <c r="E212" s="1499">
        <v>6.2289251517360809</v>
      </c>
      <c r="F212" s="1499">
        <v>5.2363279223485675</v>
      </c>
      <c r="G212" s="1499">
        <v>4.8702844458234953</v>
      </c>
      <c r="H212" s="1499">
        <v>5.7553132399169264</v>
      </c>
      <c r="I212" s="1499">
        <v>7.3487932284063815</v>
      </c>
      <c r="J212" s="1499">
        <v>6.6865721388094759</v>
      </c>
      <c r="K212" s="113">
        <v>4.9527295554684034</v>
      </c>
    </row>
    <row r="213" spans="2:11" x14ac:dyDescent="0.3">
      <c r="B213" s="115"/>
      <c r="C213" s="112" t="s">
        <v>1504</v>
      </c>
      <c r="D213" s="130">
        <v>7.491488220764122</v>
      </c>
      <c r="E213" s="1499">
        <v>6.2324971440253831</v>
      </c>
      <c r="F213" s="1499">
        <v>5.2398671046217666</v>
      </c>
      <c r="G213" s="1499">
        <v>4.8738199877442323</v>
      </c>
      <c r="H213" s="1499">
        <v>5.7588698205698323</v>
      </c>
      <c r="I213" s="1499">
        <v>7.3526287007465374</v>
      </c>
      <c r="J213" s="1499">
        <v>6.690230970551494</v>
      </c>
      <c r="K213" s="113">
        <v>4.9562653624235073</v>
      </c>
    </row>
    <row r="214" spans="2:11" x14ac:dyDescent="0.3">
      <c r="B214" s="115"/>
      <c r="C214" s="112" t="s">
        <v>1508</v>
      </c>
      <c r="D214" s="130">
        <v>7.4903106550341327</v>
      </c>
      <c r="E214" s="1499">
        <v>6.2313195782953938</v>
      </c>
      <c r="F214" s="1499">
        <v>5.2386895388917774</v>
      </c>
      <c r="G214" s="1499">
        <v>4.8726424220142421</v>
      </c>
      <c r="H214" s="1499">
        <v>5.757692254839843</v>
      </c>
      <c r="I214" s="1499">
        <v>7.3514511350165481</v>
      </c>
      <c r="J214" s="1499">
        <v>6.6890534048215047</v>
      </c>
      <c r="K214" s="113">
        <v>4.9550877966935172</v>
      </c>
    </row>
    <row r="215" spans="2:11" x14ac:dyDescent="0.3">
      <c r="B215" s="115"/>
      <c r="C215" s="112" t="s">
        <v>1513</v>
      </c>
      <c r="D215" s="130">
        <v>7.4885443064391488</v>
      </c>
      <c r="E215" s="1499">
        <v>6.2295532297004099</v>
      </c>
      <c r="F215" s="1499">
        <v>5.2369231902967925</v>
      </c>
      <c r="G215" s="1499">
        <v>4.8708760734192582</v>
      </c>
      <c r="H215" s="1499">
        <v>5.7559259062448591</v>
      </c>
      <c r="I215" s="1499">
        <v>7.3496847864215642</v>
      </c>
      <c r="J215" s="1499">
        <v>6.6872870562265208</v>
      </c>
      <c r="K215" s="113">
        <v>4.9533214480985333</v>
      </c>
    </row>
    <row r="216" spans="2:11" x14ac:dyDescent="0.3">
      <c r="B216" s="115"/>
      <c r="C216" s="112" t="s">
        <v>1517</v>
      </c>
      <c r="D216" s="130">
        <v>7.4867779578441649</v>
      </c>
      <c r="E216" s="1499">
        <v>6.227786881105426</v>
      </c>
      <c r="F216" s="1499">
        <v>5.2351568417018086</v>
      </c>
      <c r="G216" s="1499">
        <v>4.8691097248242743</v>
      </c>
      <c r="H216" s="1499">
        <v>5.7541595576498752</v>
      </c>
      <c r="I216" s="1499">
        <v>7.3479184378265803</v>
      </c>
      <c r="J216" s="1499">
        <v>6.6855207076315368</v>
      </c>
      <c r="K216" s="113">
        <v>4.9515550995035493</v>
      </c>
    </row>
    <row r="217" spans="2:11" ht="14.5" thickBot="1" x14ac:dyDescent="0.35">
      <c r="B217" s="1233"/>
      <c r="C217" s="116" t="s">
        <v>1519</v>
      </c>
      <c r="D217" s="131">
        <v>7.4936227685675814</v>
      </c>
      <c r="E217" s="117">
        <v>6.2346386596616155</v>
      </c>
      <c r="F217" s="117">
        <v>5.2420414302741021</v>
      </c>
      <c r="G217" s="117">
        <v>4.8759979537490299</v>
      </c>
      <c r="H217" s="117">
        <v>5.7610267478424602</v>
      </c>
      <c r="I217" s="117">
        <v>7.3545067363319161</v>
      </c>
      <c r="J217" s="117">
        <v>6.6922856467350105</v>
      </c>
      <c r="K217" s="118">
        <v>4.958443063393938</v>
      </c>
    </row>
    <row r="221" spans="2:11" ht="14.5" thickBot="1" x14ac:dyDescent="0.35"/>
    <row r="222" spans="2:11" x14ac:dyDescent="0.3">
      <c r="C222" s="132" t="s">
        <v>1995</v>
      </c>
      <c r="D222" s="132"/>
      <c r="E222" s="132"/>
      <c r="F222" s="132"/>
    </row>
    <row r="223" spans="2:11" x14ac:dyDescent="0.3">
      <c r="C223" s="1504" t="s">
        <v>1996</v>
      </c>
      <c r="D223" s="1504" t="s">
        <v>1997</v>
      </c>
      <c r="E223" s="1504" t="s">
        <v>1998</v>
      </c>
      <c r="F223" s="1504" t="s">
        <v>1999</v>
      </c>
    </row>
    <row r="224" spans="2:11" x14ac:dyDescent="0.3">
      <c r="C224" s="1498">
        <v>1</v>
      </c>
      <c r="D224" s="1505">
        <v>307.07702455886061</v>
      </c>
      <c r="E224" s="1506">
        <v>6.526832465266845E-2</v>
      </c>
      <c r="F224" s="1507">
        <v>2.6107329861067381</v>
      </c>
      <c r="H224" s="134" t="s">
        <v>2000</v>
      </c>
    </row>
    <row r="225" spans="2:11" x14ac:dyDescent="0.3">
      <c r="C225" s="1498">
        <v>1.5</v>
      </c>
      <c r="D225" s="1505">
        <v>259.43170905629938</v>
      </c>
      <c r="E225" s="1506">
        <v>5.5141452006082975E-2</v>
      </c>
      <c r="F225" s="1507">
        <v>2.2056580802433188</v>
      </c>
      <c r="H225" s="134" t="s">
        <v>2001</v>
      </c>
    </row>
    <row r="226" spans="2:11" x14ac:dyDescent="0.3">
      <c r="C226" s="1498">
        <v>2</v>
      </c>
      <c r="D226" s="1505">
        <v>225.6268197272297</v>
      </c>
      <c r="E226" s="1506">
        <v>4.7956321517252376E-2</v>
      </c>
      <c r="F226" s="1507">
        <v>1.918252860690095</v>
      </c>
    </row>
    <row r="227" spans="2:11" x14ac:dyDescent="0.3">
      <c r="C227" s="1498">
        <v>2.5</v>
      </c>
      <c r="D227" s="1505">
        <v>199.40571045759725</v>
      </c>
      <c r="E227" s="1506">
        <v>4.2383101329183839E-2</v>
      </c>
      <c r="F227" s="1507">
        <v>1.6953240531673535</v>
      </c>
    </row>
    <row r="228" spans="2:11" x14ac:dyDescent="0.3">
      <c r="B228" s="2"/>
      <c r="C228" s="1498">
        <v>3</v>
      </c>
      <c r="D228" s="1505">
        <v>177.98150422466838</v>
      </c>
      <c r="E228" s="1506">
        <v>3.7829448870666887E-2</v>
      </c>
      <c r="F228" s="1507">
        <v>1.5131779548266757</v>
      </c>
      <c r="I228" s="135"/>
      <c r="J228" s="135"/>
      <c r="K228" s="135"/>
    </row>
    <row r="229" spans="2:11" x14ac:dyDescent="0.3">
      <c r="B229" s="136"/>
      <c r="C229" s="1498">
        <v>3.5</v>
      </c>
      <c r="D229" s="1505">
        <v>159.86759595381233</v>
      </c>
      <c r="E229" s="1506">
        <v>3.3979390575197527E-2</v>
      </c>
      <c r="F229" s="1507">
        <v>1.3591756230079013</v>
      </c>
      <c r="I229" s="135"/>
      <c r="J229" s="135"/>
      <c r="K229" s="135"/>
    </row>
    <row r="230" spans="2:11" x14ac:dyDescent="0.3">
      <c r="B230" s="136"/>
      <c r="C230" s="1498">
        <v>4</v>
      </c>
      <c r="D230" s="1505">
        <v>144.17661489559868</v>
      </c>
      <c r="E230" s="1506">
        <v>3.0644318381836299E-2</v>
      </c>
      <c r="F230" s="1507">
        <v>1.225772735273452</v>
      </c>
      <c r="I230" s="135"/>
      <c r="J230" s="135"/>
      <c r="K230" s="135"/>
    </row>
    <row r="231" spans="2:11" x14ac:dyDescent="0.3">
      <c r="B231" s="137"/>
      <c r="C231" s="1498">
        <v>4.5</v>
      </c>
      <c r="D231" s="1505">
        <v>130.33618872210718</v>
      </c>
      <c r="E231" s="1506">
        <v>2.7702576224081406E-2</v>
      </c>
      <c r="F231" s="1507">
        <v>1.1081030489632564</v>
      </c>
      <c r="I231" s="135"/>
      <c r="J231" s="135"/>
      <c r="K231" s="135"/>
    </row>
    <row r="232" spans="2:11" x14ac:dyDescent="0.3">
      <c r="C232" s="1498">
        <v>5</v>
      </c>
      <c r="D232" s="1505">
        <v>117.95550562596632</v>
      </c>
      <c r="E232" s="1506">
        <v>2.5071098193767766E-2</v>
      </c>
      <c r="F232" s="1507">
        <v>1.0028439277507106</v>
      </c>
      <c r="I232" s="135"/>
      <c r="J232" s="135"/>
      <c r="K232" s="135"/>
    </row>
    <row r="233" spans="2:11" x14ac:dyDescent="0.3">
      <c r="C233" s="1498">
        <v>5.5</v>
      </c>
      <c r="D233" s="1505">
        <v>106.75581545146309</v>
      </c>
      <c r="E233" s="1506">
        <v>2.269063675947813E-2</v>
      </c>
      <c r="F233" s="1507">
        <v>0.90762547037912522</v>
      </c>
      <c r="I233" s="135"/>
      <c r="J233" s="135"/>
      <c r="K233" s="135"/>
    </row>
    <row r="234" spans="2:11" x14ac:dyDescent="0.3">
      <c r="C234" s="1498">
        <v>6</v>
      </c>
      <c r="D234" s="1505">
        <v>96.531299393037472</v>
      </c>
      <c r="E234" s="1506">
        <v>2.0517445735250821E-2</v>
      </c>
      <c r="F234" s="1507">
        <v>0.82069782941003266</v>
      </c>
      <c r="I234" s="135"/>
      <c r="J234" s="135"/>
      <c r="K234" s="135"/>
    </row>
    <row r="235" spans="2:11" x14ac:dyDescent="0.3">
      <c r="C235" s="1498">
        <v>6.5</v>
      </c>
      <c r="D235" s="1505">
        <v>87.125656380796912</v>
      </c>
      <c r="E235" s="1506">
        <v>1.851830378520777E-2</v>
      </c>
      <c r="F235" s="1507">
        <v>0.74073215140831072</v>
      </c>
      <c r="I235" s="135"/>
      <c r="J235" s="135"/>
      <c r="K235" s="135"/>
    </row>
    <row r="236" spans="2:11" x14ac:dyDescent="0.3">
      <c r="C236" s="1498">
        <v>7</v>
      </c>
      <c r="D236" s="1505">
        <v>78.417391122181414</v>
      </c>
      <c r="E236" s="1506">
        <v>1.6667387439781464E-2</v>
      </c>
      <c r="F236" s="1507">
        <v>0.66669549759125846</v>
      </c>
      <c r="I236" s="135"/>
      <c r="J236" s="135"/>
      <c r="K236" s="135"/>
    </row>
    <row r="237" spans="2:11" x14ac:dyDescent="0.3">
      <c r="C237" s="1498">
        <v>7.5</v>
      </c>
      <c r="D237" s="1505">
        <v>70.310190123405079</v>
      </c>
      <c r="E237" s="1506">
        <v>1.4944225547182277E-2</v>
      </c>
      <c r="F237" s="1507">
        <v>0.5977690218872912</v>
      </c>
      <c r="I237" s="135"/>
      <c r="J237" s="135"/>
      <c r="K237" s="135"/>
    </row>
    <row r="238" spans="2:11" x14ac:dyDescent="0.3">
      <c r="B238" s="2"/>
      <c r="C238" s="1498">
        <v>8</v>
      </c>
      <c r="D238" s="1505">
        <v>62.726410063967769</v>
      </c>
      <c r="E238" s="1506">
        <v>1.3332315246420232E-2</v>
      </c>
      <c r="F238" s="1507">
        <v>0.53329260985680937</v>
      </c>
      <c r="I238" s="135"/>
      <c r="J238" s="135"/>
      <c r="K238" s="135"/>
    </row>
    <row r="239" spans="2:11" x14ac:dyDescent="0.3">
      <c r="B239" s="136"/>
      <c r="C239" s="1498">
        <v>8.5</v>
      </c>
      <c r="D239" s="1505">
        <v>55.602543728971163</v>
      </c>
      <c r="E239" s="1506">
        <v>1.1818158264461951E-2</v>
      </c>
      <c r="F239" s="1507">
        <v>0.47272633057847807</v>
      </c>
      <c r="I239" s="135"/>
      <c r="J239" s="135"/>
      <c r="K239" s="135"/>
    </row>
    <row r="240" spans="2:11" x14ac:dyDescent="0.3">
      <c r="B240" s="136"/>
      <c r="C240" s="1498">
        <v>9</v>
      </c>
      <c r="D240" s="1505">
        <v>48.885983890476204</v>
      </c>
      <c r="E240" s="1506">
        <v>1.0390573088665332E-2</v>
      </c>
      <c r="F240" s="1507">
        <v>0.41562292354661329</v>
      </c>
      <c r="I240" s="135"/>
      <c r="J240" s="135"/>
      <c r="K240" s="135"/>
    </row>
    <row r="241" spans="2:11" x14ac:dyDescent="0.3">
      <c r="B241" s="137"/>
      <c r="C241" s="1498">
        <v>9.5</v>
      </c>
      <c r="D241" s="1505">
        <v>42.532663310590749</v>
      </c>
      <c r="E241" s="1506">
        <v>9.0401933563289631E-3</v>
      </c>
      <c r="F241" s="1507">
        <v>0.36160773425315851</v>
      </c>
      <c r="I241" s="135"/>
      <c r="J241" s="135"/>
      <c r="K241" s="135"/>
    </row>
    <row r="242" spans="2:11" x14ac:dyDescent="0.3">
      <c r="C242" s="1498">
        <v>10</v>
      </c>
      <c r="D242" s="1505">
        <v>36.505300794335334</v>
      </c>
      <c r="E242" s="1506">
        <v>7.7590950583516852E-3</v>
      </c>
      <c r="F242" s="1507">
        <v>0.31036380233406735</v>
      </c>
      <c r="I242" s="135"/>
      <c r="J242" s="135"/>
      <c r="K242" s="135"/>
    </row>
    <row r="243" spans="2:11" x14ac:dyDescent="0.3">
      <c r="I243" s="135"/>
      <c r="J243" s="135"/>
      <c r="K243" s="135"/>
    </row>
    <row r="244" spans="2:11" ht="14.5" thickBot="1" x14ac:dyDescent="0.35">
      <c r="I244" s="135"/>
      <c r="J244" s="135"/>
      <c r="K244" s="135"/>
    </row>
    <row r="245" spans="2:11" x14ac:dyDescent="0.3">
      <c r="C245" s="132" t="s">
        <v>2002</v>
      </c>
      <c r="D245" s="132"/>
      <c r="E245" s="132"/>
      <c r="F245" s="132"/>
      <c r="H245" s="134" t="s">
        <v>2003</v>
      </c>
      <c r="I245" s="135"/>
      <c r="J245" s="135"/>
      <c r="K245" s="135"/>
    </row>
    <row r="246" spans="2:11" x14ac:dyDescent="0.3">
      <c r="C246" s="1508" t="s">
        <v>1996</v>
      </c>
      <c r="D246" s="1508" t="s">
        <v>2004</v>
      </c>
      <c r="E246" s="1508" t="s">
        <v>2005</v>
      </c>
      <c r="F246" s="1508" t="s">
        <v>2006</v>
      </c>
      <c r="H246" s="134" t="s">
        <v>2007</v>
      </c>
      <c r="I246" s="135"/>
      <c r="J246" s="135"/>
      <c r="K246" s="135"/>
    </row>
    <row r="247" spans="2:11" x14ac:dyDescent="0.3">
      <c r="C247" s="1498" t="s">
        <v>376</v>
      </c>
      <c r="D247" s="1509">
        <v>364.54449103333047</v>
      </c>
      <c r="E247" s="1510">
        <v>7.7482866799578831E-2</v>
      </c>
      <c r="F247" s="1511">
        <v>3.0993146719831532</v>
      </c>
      <c r="I247" s="135"/>
      <c r="J247" s="135"/>
      <c r="K247" s="135"/>
    </row>
    <row r="248" spans="2:11" x14ac:dyDescent="0.3">
      <c r="B248" s="2"/>
      <c r="D248" s="135"/>
      <c r="E248" s="135"/>
      <c r="F248" s="135"/>
      <c r="G248" s="135"/>
      <c r="H248" s="135"/>
      <c r="I248" s="135"/>
      <c r="J248" s="135"/>
      <c r="K248" s="135"/>
    </row>
    <row r="249" spans="2:11" x14ac:dyDescent="0.3">
      <c r="B249" s="136"/>
      <c r="D249" s="135"/>
      <c r="E249" s="135"/>
      <c r="F249" s="135"/>
      <c r="G249" s="135"/>
      <c r="H249" s="135"/>
      <c r="I249" s="135"/>
      <c r="J249" s="135"/>
      <c r="K249" s="135"/>
    </row>
    <row r="250" spans="2:11" x14ac:dyDescent="0.3">
      <c r="B250" s="136"/>
      <c r="D250" s="135"/>
      <c r="E250" s="135"/>
      <c r="F250" s="135"/>
      <c r="G250" s="135"/>
      <c r="H250" s="135"/>
      <c r="I250" s="135"/>
      <c r="J250" s="135"/>
      <c r="K250" s="135"/>
    </row>
    <row r="251" spans="2:11" x14ac:dyDescent="0.3">
      <c r="B251" s="137"/>
      <c r="D251" s="135"/>
      <c r="E251" s="135"/>
      <c r="F251" s="135"/>
      <c r="G251" s="135"/>
      <c r="H251" s="135"/>
      <c r="I251" s="135"/>
      <c r="J251" s="135"/>
      <c r="K251" s="135"/>
    </row>
    <row r="252" spans="2:11" x14ac:dyDescent="0.3">
      <c r="D252" s="135"/>
      <c r="E252" s="135"/>
      <c r="F252" s="135"/>
      <c r="G252" s="135"/>
      <c r="H252" s="135"/>
      <c r="I252" s="135"/>
      <c r="J252" s="135"/>
      <c r="K252" s="135"/>
    </row>
    <row r="253" spans="2:11" x14ac:dyDescent="0.3">
      <c r="D253" s="135"/>
      <c r="E253" s="135"/>
      <c r="F253" s="135"/>
      <c r="G253" s="135"/>
      <c r="H253" s="135"/>
      <c r="I253" s="135"/>
      <c r="J253" s="135"/>
      <c r="K253" s="135"/>
    </row>
    <row r="254" spans="2:11" x14ac:dyDescent="0.3">
      <c r="D254" s="135"/>
      <c r="E254" s="135"/>
      <c r="F254" s="135"/>
      <c r="G254" s="135"/>
      <c r="H254" s="135"/>
      <c r="I254" s="135"/>
      <c r="J254" s="135"/>
      <c r="K254" s="135"/>
    </row>
    <row r="255" spans="2:11" x14ac:dyDescent="0.3">
      <c r="D255" s="135"/>
      <c r="E255" s="135"/>
      <c r="F255" s="135"/>
      <c r="G255" s="135"/>
      <c r="H255" s="135"/>
      <c r="I255" s="135"/>
      <c r="J255" s="135"/>
      <c r="K255" s="135"/>
    </row>
    <row r="256" spans="2:11" x14ac:dyDescent="0.3">
      <c r="D256" s="135"/>
      <c r="E256" s="135"/>
      <c r="F256" s="135"/>
      <c r="G256" s="135"/>
      <c r="H256" s="135"/>
      <c r="I256" s="135"/>
      <c r="J256" s="135"/>
      <c r="K256" s="135"/>
    </row>
    <row r="257" spans="4:11" x14ac:dyDescent="0.3">
      <c r="D257" s="135"/>
      <c r="E257" s="135"/>
      <c r="F257" s="135"/>
      <c r="G257" s="135"/>
      <c r="H257" s="135"/>
      <c r="I257" s="135"/>
      <c r="J257" s="135"/>
      <c r="K257" s="135"/>
    </row>
  </sheetData>
  <sheetProtection algorithmName="SHA-512" hashValue="zjS0YbPLbnKDP7w6mEoHrQ8Yw/nLPJERU+ivj66BC4AaZ9fZFvxBSbmFHM2OFdLE9itQTfjmtD7hXuFYZz9S5A==" saltValue="QBDr2mdJBII1b93eqnlZ4g==" spinCount="100000" sheet="1" objects="1" scenarios="1" autoFilter="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5">
    <tabColor theme="7"/>
  </sheetPr>
  <dimension ref="A1:CI962"/>
  <sheetViews>
    <sheetView showGridLines="0" zoomScale="70" zoomScaleNormal="70" workbookViewId="0">
      <selection activeCell="F40" sqref="F40"/>
    </sheetView>
  </sheetViews>
  <sheetFormatPr defaultRowHeight="14" x14ac:dyDescent="0.3"/>
  <cols>
    <col min="1" max="1" width="12.58203125" customWidth="1"/>
    <col min="2" max="2" width="9" customWidth="1"/>
    <col min="3" max="3" width="29.58203125" customWidth="1"/>
    <col min="4" max="4" width="9" customWidth="1"/>
    <col min="5" max="5" width="45.33203125" customWidth="1"/>
    <col min="6" max="6" width="40.58203125" customWidth="1"/>
    <col min="7" max="7" width="38.83203125" customWidth="1"/>
    <col min="8" max="8" width="42.58203125" customWidth="1"/>
    <col min="9" max="9" width="26.08203125" customWidth="1"/>
    <col min="10" max="10" width="38.83203125" customWidth="1"/>
    <col min="11" max="11" width="21.08203125" customWidth="1"/>
    <col min="12" max="12" width="19.33203125" customWidth="1"/>
    <col min="13" max="13" width="30.08203125" customWidth="1"/>
    <col min="14" max="14" width="28.58203125" customWidth="1"/>
    <col min="15" max="16" width="16.08203125" customWidth="1"/>
    <col min="17" max="20" width="9" customWidth="1"/>
    <col min="21" max="21" width="39.5" customWidth="1"/>
    <col min="22" max="22" width="10.33203125" customWidth="1"/>
    <col min="23" max="23" width="9" customWidth="1"/>
    <col min="24" max="24" width="8.08203125" customWidth="1"/>
    <col min="25" max="25" width="9" customWidth="1"/>
    <col min="27" max="27" width="72.83203125" customWidth="1"/>
    <col min="28" max="28" width="28.58203125" customWidth="1"/>
    <col min="29" max="29" width="20.58203125" customWidth="1"/>
    <col min="30" max="30" width="11.83203125" customWidth="1"/>
    <col min="31" max="31" width="17.58203125" customWidth="1"/>
    <col min="32" max="32" width="20.58203125" customWidth="1"/>
    <col min="33" max="33" width="14.75" bestFit="1" customWidth="1"/>
    <col min="34" max="34" width="14.58203125" bestFit="1" customWidth="1"/>
    <col min="35" max="35" width="25.08203125" customWidth="1"/>
    <col min="36" max="36" width="16.5" customWidth="1"/>
    <col min="42" max="42" width="11.83203125" customWidth="1"/>
  </cols>
  <sheetData>
    <row r="1" spans="1:32" x14ac:dyDescent="0.3">
      <c r="E1" s="1"/>
      <c r="F1" s="1"/>
      <c r="G1" s="1"/>
      <c r="H1" s="1"/>
      <c r="I1" s="1"/>
      <c r="J1" s="1"/>
      <c r="K1" s="1"/>
      <c r="L1" s="1"/>
      <c r="M1" s="1"/>
      <c r="N1" s="1"/>
      <c r="O1" s="1"/>
      <c r="P1" s="1"/>
      <c r="Q1" s="1"/>
      <c r="R1" s="1"/>
      <c r="S1" s="1"/>
      <c r="T1" s="1"/>
      <c r="U1" s="1"/>
      <c r="V1" s="1"/>
      <c r="W1" s="1"/>
      <c r="X1" s="1"/>
      <c r="Y1" s="1"/>
      <c r="Z1" s="1"/>
    </row>
    <row r="2" spans="1:32" x14ac:dyDescent="0.3">
      <c r="E2" s="1"/>
      <c r="F2" s="1"/>
      <c r="G2" s="1"/>
      <c r="H2" s="1"/>
      <c r="I2" s="1"/>
      <c r="J2" s="1"/>
      <c r="K2" s="1"/>
      <c r="L2" s="1"/>
      <c r="M2" s="1"/>
      <c r="N2" s="1"/>
      <c r="O2" s="1"/>
      <c r="P2" s="1"/>
      <c r="Q2" s="1"/>
      <c r="R2" s="1"/>
      <c r="S2" s="1"/>
      <c r="T2" s="1"/>
      <c r="U2" s="1"/>
      <c r="V2" s="1"/>
      <c r="W2" s="1"/>
      <c r="X2" s="1"/>
      <c r="Y2" s="1"/>
      <c r="Z2" s="1"/>
      <c r="AA2" s="723"/>
    </row>
    <row r="3" spans="1:32" x14ac:dyDescent="0.3">
      <c r="E3" s="1"/>
      <c r="F3" s="1"/>
      <c r="G3" s="1"/>
      <c r="H3" s="1"/>
      <c r="I3" s="1"/>
      <c r="J3" s="1"/>
      <c r="K3" s="1"/>
      <c r="L3" s="1"/>
      <c r="M3" s="1"/>
      <c r="N3" s="1"/>
      <c r="O3" s="1"/>
      <c r="P3" s="1"/>
      <c r="Q3" s="1"/>
      <c r="R3" s="1"/>
      <c r="S3" s="1"/>
      <c r="T3" s="1"/>
      <c r="U3" s="1"/>
      <c r="V3" s="1"/>
      <c r="W3" s="1"/>
      <c r="X3" s="1"/>
      <c r="Y3" s="1"/>
      <c r="Z3" s="1"/>
    </row>
    <row r="4" spans="1:32" x14ac:dyDescent="0.3">
      <c r="E4" s="1"/>
      <c r="F4" s="1"/>
      <c r="G4" s="1"/>
      <c r="H4" s="1"/>
      <c r="I4" s="1"/>
      <c r="J4" s="1"/>
      <c r="K4" s="1"/>
      <c r="L4" s="1"/>
      <c r="M4" s="1"/>
      <c r="N4" s="1"/>
      <c r="O4" s="1"/>
      <c r="P4" s="1"/>
      <c r="Q4" s="1"/>
      <c r="R4" s="1"/>
      <c r="S4" s="1"/>
      <c r="T4" s="1"/>
      <c r="U4" s="1"/>
      <c r="V4" s="1"/>
      <c r="W4" s="1"/>
      <c r="X4" s="1"/>
      <c r="Y4" s="1"/>
      <c r="Z4" s="1"/>
    </row>
    <row r="5" spans="1:32" x14ac:dyDescent="0.3">
      <c r="E5" s="1"/>
      <c r="F5" s="1"/>
      <c r="G5" s="1"/>
      <c r="H5" s="1"/>
      <c r="I5" s="1"/>
      <c r="J5" s="1"/>
      <c r="K5" s="1"/>
      <c r="L5" s="1"/>
      <c r="M5" s="1"/>
      <c r="N5" s="1"/>
      <c r="O5" s="1"/>
      <c r="P5" s="1"/>
      <c r="Q5" s="1"/>
      <c r="R5" s="1"/>
      <c r="S5" s="1"/>
      <c r="T5" s="1"/>
      <c r="U5" s="1"/>
      <c r="V5" s="1"/>
      <c r="W5" s="1"/>
      <c r="X5" s="1"/>
      <c r="Y5" s="1"/>
      <c r="Z5" s="1"/>
      <c r="AA5" s="27" t="s">
        <v>288</v>
      </c>
    </row>
    <row r="6" spans="1:32" x14ac:dyDescent="0.3">
      <c r="E6" s="1"/>
      <c r="F6" s="1"/>
      <c r="G6" s="1"/>
      <c r="H6" s="1"/>
      <c r="I6" s="1"/>
      <c r="J6" s="1"/>
      <c r="K6" s="1"/>
      <c r="L6" s="1"/>
      <c r="M6" s="1"/>
      <c r="N6" s="1"/>
      <c r="O6" s="1"/>
      <c r="P6" s="1"/>
      <c r="Q6" s="1"/>
      <c r="R6" s="1"/>
      <c r="S6" s="1"/>
      <c r="T6" s="1"/>
      <c r="U6" s="1"/>
      <c r="V6" s="1"/>
      <c r="W6" s="1"/>
      <c r="X6" s="1"/>
      <c r="Y6" s="1"/>
      <c r="Z6" s="1"/>
      <c r="AA6" s="22" t="str">
        <f>'13.2 Building Fabric'!B29</f>
        <v>5</v>
      </c>
    </row>
    <row r="7" spans="1:32" s="22" customFormat="1" x14ac:dyDescent="0.3">
      <c r="V7" s="767"/>
      <c r="W7" s="746"/>
      <c r="AA7" s="22" t="str">
        <f>'13.2 Building Fabric'!B30</f>
        <v>5</v>
      </c>
    </row>
    <row r="8" spans="1:32" s="22" customFormat="1" x14ac:dyDescent="0.3">
      <c r="S8" s="719" t="s">
        <v>289</v>
      </c>
      <c r="T8" s="719" t="s">
        <v>290</v>
      </c>
    </row>
    <row r="9" spans="1:32" s="22" customFormat="1" ht="23" x14ac:dyDescent="0.5">
      <c r="F9" s="741" t="s">
        <v>291</v>
      </c>
      <c r="G9" s="741" t="s">
        <v>292</v>
      </c>
      <c r="R9" s="1091" t="s">
        <v>293</v>
      </c>
      <c r="S9" s="22" t="e" cm="1">
        <f t="array" aca="1" ref="S9" ca="1">IF(OR(S12="X - not permitted, review inputs",S11="X - not permitted, review inputs"),"X - not permitted, review inputs",INDEX(OFFSET($F$264:$F$270,0,$S$258),$R$258))</f>
        <v>#N/A</v>
      </c>
      <c r="T9" s="22" t="e" cm="1">
        <f t="array" aca="1" ref="T9" ca="1">IF(OR(T12="X - not permitted, review inputs",T11="X - not permitted, review inputs"),"X - not permitted, review inputs",INDEX(OFFSET($F$264:$F$270,0,$U$258),$T$258))</f>
        <v>#N/A</v>
      </c>
      <c r="AA9" s="22" t="s">
        <v>294</v>
      </c>
      <c r="AB9" s="22" t="e" cm="1">
        <f t="array" aca="1" ref="AB9" ca="1">OFFSET(D_Building_Fabric!AB11,MATCH('13.2 Building Fabric'!B29,D_Building_Fabric!$AA$12:$AA$47,0),,,COUNTIF(OFFSET(D_Building_Fabric!AB11,MATCH('13.2 Building Fabric'!B29,D_Building_Fabric!$AA$12:$AA$47,0),,1,20),"?*"))</f>
        <v>#N/A</v>
      </c>
    </row>
    <row r="10" spans="1:32" s="22" customFormat="1" x14ac:dyDescent="0.3">
      <c r="R10" s="32"/>
      <c r="AA10" s="22" t="s">
        <v>295</v>
      </c>
      <c r="AB10" s="22" t="e" cm="1">
        <f t="array" aca="1" ref="AB10" ca="1">OFFSET(D_Building_Fabric!AB11,MATCH('13.2 Building Fabric'!B30,D_Building_Fabric!$AA$12:$AA$47,0),,,COUNTIF(OFFSET(D_Building_Fabric!AB11,MATCH('13.2 Building Fabric'!B30,D_Building_Fabric!$AA$12:$AA$47,0),,1,20),"?*"))</f>
        <v>#N/A</v>
      </c>
    </row>
    <row r="11" spans="1:32" s="22" customFormat="1" x14ac:dyDescent="0.3">
      <c r="F11" s="22" t="s">
        <v>296</v>
      </c>
      <c r="R11" s="1091" t="s">
        <v>297</v>
      </c>
      <c r="S11" s="22" t="str">
        <f>IFERROR(IF('13.2 Building Fabric'!$L29="Metal-framed pitched roof with horizontal ceiling",
    IF('13.2 Building Fabric'!$R29=D_List!$F$21,
        INDEX(Metal_framed_pitched_roof_with_horizontal_ceiling_minimum_Total_R_Value_of_ceiling_to_account_for_thermal_bridging101[Minimum ceiling Total R-Value],
              MATCH(D_Building_Fabric!S$12,
                    Metal_framed_pitched_roof_with_horizontal_ceiling_minimum_Total_R_Value_of_ceiling_to_account_for_thermal_bridging101[Minimum ceiling insulation R-Value from Tables 13.2.3a to 13.2.3i as applicable],0)),NA()
    ),
    IF('13.2 Building Fabric'!$L29="Metal-framed flat, skillion or cathedral roof",
        IF('13.2 Building Fabric'!$R29=D_List!$F$22,
            IF('13.2 Building Fabric'!$Q29="Down",
                INDEX(Metal_framed_flat_skillion_or_cathedral_roof_minimum_Total_R_Value_of_ceiling_to_account_for_thermal_bridging102[Minimum Total R-Value to account for thermal bridging – heat flow down],
                      MATCH(D_Building_Fabric!S$12,
                            Metal_framed_flat_skillion_or_cathedral_roof_minimum_Total_R_Value_of_ceiling_to_account_for_thermal_bridging102[Minimum ceiling insulation R-Value from Tables 13.2.3j to 13.2.3r],0)),IF('13.2 Building Fabric'!$Q29="Up",
                INDEX(Metal_framed_flat_skillion_or_cathedral_roof_minimum_Total_R_Value_of_ceiling_to_account_for_thermal_bridging102[Minimum Total R-Value to account for thermal bridging – heat flow up],
                      MATCH(D_Building_Fabric!S$12,
                            Metal_framed_flat_skillion_or_cathedral_roof_minimum_Total_R_Value_of_ceiling_to_account_for_thermal_bridging102[Minimum ceiling insulation R-Value from Tables 13.2.3j to 13.2.3r],0)),"Select Heatflow Direction")
            ),
            IF('13.2 Building Fabric'!$R29=D_List!$F$23,
                INDEX(Metal_framed_flat_skillion_or_cathedral_roof_thermal_bridging_mitigation103[Option 1 – increase insulation between roof frame members to specified minimum R-Value],
                      MATCH(D_Building_Fabric!S$12,
                            Metal_framed_flat_skillion_or_cathedral_roof_thermal_bridging_mitigation103[Minimum ceiling insulation R-Value from Tables 13.2.3j to 13.2.3r],0)),
                IF('13.2 Building Fabric'!$R29=D_List!$F$24,D_Building_Fabric!S$12,NA()
                )
            )
        ),NA() )
),"Review Inputs")</f>
        <v>Review Inputs</v>
      </c>
      <c r="T11" s="22" t="str">
        <f>IFERROR(IF('13.2 Building Fabric'!$L30="Metal-framed pitched roof with horizontal ceiling",
    IF('13.2 Building Fabric'!$R29=D_List!$F$21,
        INDEX(Metal_framed_pitched_roof_with_horizontal_ceiling_minimum_Total_R_Value_of_ceiling_to_account_for_thermal_bridging101[Minimum ceiling Total R-Value],
              MATCH(D_Building_Fabric!T$12,
                    Metal_framed_pitched_roof_with_horizontal_ceiling_minimum_Total_R_Value_of_ceiling_to_account_for_thermal_bridging101[Minimum ceiling insulation R-Value from Tables 13.2.3a to 13.2.3i as applicable],0)),NA()
    ),
    IF('13.2 Building Fabric'!$L30="Metal-framed flat, skillion or cathedral roof",
        IF('13.2 Building Fabric'!$R30=D_List!$F$22,
            IF('13.2 Building Fabric'!$Q30="Down",
                INDEX(Metal_framed_flat_skillion_or_cathedral_roof_minimum_Total_R_Value_of_ceiling_to_account_for_thermal_bridging102[Minimum Total R-Value to account for thermal bridging – heat flow down],
                      MATCH(D_Building_Fabric!T$12,
                            Metal_framed_flat_skillion_or_cathedral_roof_minimum_Total_R_Value_of_ceiling_to_account_for_thermal_bridging102[Minimum ceiling insulation R-Value from Tables 13.2.3j to 13.2.3r],0)),IF('13.2 Building Fabric'!$Q30="Up",
                INDEX(Metal_framed_flat_skillion_or_cathedral_roof_minimum_Total_R_Value_of_ceiling_to_account_for_thermal_bridging102[Minimum Total R-Value to account for thermal bridging – heat flow up],
                      MATCH(D_Building_Fabric!T$12,
                            Metal_framed_flat_skillion_or_cathedral_roof_minimum_Total_R_Value_of_ceiling_to_account_for_thermal_bridging102[Minimum ceiling insulation R-Value from Tables 13.2.3j to 13.2.3r],0)),"Select Heatflow Direction")
            ),
            IF('13.2 Building Fabric'!$R30=D_List!$F$23,
                INDEX(Metal_framed_flat_skillion_or_cathedral_roof_thermal_bridging_mitigation103[Option 1 – increase insulation between roof frame members to specified minimum R-Value],
                      MATCH(D_Building_Fabric!T$12,
                            Metal_framed_flat_skillion_or_cathedral_roof_thermal_bridging_mitigation103[Minimum ceiling insulation R-Value from Tables 13.2.3j to 13.2.3r],0)),
                IF('13.2 Building Fabric'!$R30=D_List!$F$24,D_Building_Fabric!T$12,NA()
                )
            )
        ),NA() )
),"Review Inputs")</f>
        <v>Review Inputs</v>
      </c>
      <c r="AB11" s="22">
        <v>1</v>
      </c>
      <c r="AC11" s="22">
        <v>2</v>
      </c>
      <c r="AD11" s="22">
        <v>3</v>
      </c>
      <c r="AE11" s="22">
        <v>4</v>
      </c>
      <c r="AF11" s="22">
        <v>5</v>
      </c>
    </row>
    <row r="12" spans="1:32" s="22" customFormat="1" x14ac:dyDescent="0.3">
      <c r="A12" s="719" t="s">
        <v>298</v>
      </c>
      <c r="B12" s="719" t="s">
        <v>19</v>
      </c>
      <c r="C12" s="719" t="s">
        <v>46</v>
      </c>
      <c r="D12" s="719" t="s">
        <v>21</v>
      </c>
      <c r="E12" s="719" t="s">
        <v>299</v>
      </c>
      <c r="F12" s="22" t="s">
        <v>300</v>
      </c>
      <c r="R12" s="1091" t="s">
        <v>301</v>
      </c>
      <c r="S12" s="22" t="e">
        <f>INDEX(D_Building_Fabric!$S$14:$S$34,MATCH('13.2 Building Fabric'!$C29,D_Building_Fabric!$R$14:$R$34,0))</f>
        <v>#N/A</v>
      </c>
      <c r="T12" s="22" t="e">
        <f>INDEX(D_Building_Fabric!$T$14:$T$34,MATCH('13.2 Building Fabric'!$C30,D_Building_Fabric!$R$14:$R$34,0))</f>
        <v>#N/A</v>
      </c>
      <c r="Z12" s="22">
        <f t="shared" ref="Z12:Z47" si="0">COUNTIF($A$12:$A$147,AA12)</f>
        <v>3</v>
      </c>
      <c r="AA12" s="22" t="s">
        <v>302</v>
      </c>
      <c r="AB12" s="22" t="str" cm="1">
        <f t="array" ref="AB12">IF(COLUMNS($AB$11:AB$11)&lt;=$Z12,INDEX($H:$H,_xlfn.AGGREGATE(15,3,($A$14:$A$147=$AA12)/($A$14:$A$147=$AA12)*ROW($A$14:$A$147),COLUMNS($AB$11:AB$11))),"")</f>
        <v>&lt; 1.0</v>
      </c>
      <c r="AC12" s="22" t="str" cm="1">
        <f t="array" ref="AC12">IF(COLUMNS($AB$11:AC$11)&lt;=$Z12,INDEX($H:$H,_xlfn.AGGREGATE(15,3,($A$14:$A$147=$AA12)/($A$14:$A$147=$AA12)*ROW($A$14:$A$147),COLUMNS($AB$11:AC$11))),"")</f>
        <v>≥ 1.0 to &lt; 1.5</v>
      </c>
      <c r="AD12" s="22" t="str" cm="1">
        <f t="array" ref="AD12">IF(COLUMNS($AB$11:AD$11)&lt;=$Z12,INDEX($H:$H,_xlfn.AGGREGATE(15,3,($A$14:$A$147=$AA12)/($A$14:$A$147=$AA12)*ROW($A$14:$A$147),COLUMNS($AB$11:AD$11))),"")</f>
        <v>≥ 1.5</v>
      </c>
      <c r="AE12" s="22" t="str" cm="1">
        <f t="array" ref="AE12">IF(COLUMNS($AB$10:AE$10)&lt;=$Z12,INDEX($H:$H,_xlfn.AGGREGATE(15,3,($A$14:$A$147=$AA12)/($A$14:$A$147=$AA12)*ROW($A$14:$A$147),COLUMNS($AB$10:AE$10))),"")</f>
        <v/>
      </c>
      <c r="AF12" s="22" t="str" cm="1">
        <f t="array" ref="AF12">IF(COLUMNS($AB$10:AF$10)&lt;=$Z12,INDEX($H:$H,_xlfn.AGGREGATE(15,3,($A$14:$A$147=$AA12)/($A$14:$A$147=$AA12)*ROW($A$14:$A$147),COLUMNS($AB$10:AF$10))),"")</f>
        <v/>
      </c>
    </row>
    <row r="13" spans="1:32" s="22" customFormat="1" ht="14.5" x14ac:dyDescent="0.35">
      <c r="A13" s="719" t="str">
        <f>CONCATENATE(B14,C14,D14)</f>
        <v>1Timber-framed pitched roof with horizontal ceilingSingle storey dwelling</v>
      </c>
      <c r="F13" s="22" t="s">
        <v>303</v>
      </c>
      <c r="G13" s="22" t="s">
        <v>304</v>
      </c>
      <c r="H13" s="22" t="s">
        <v>305</v>
      </c>
      <c r="I13" s="22" t="s">
        <v>306</v>
      </c>
      <c r="J13" s="22" t="s">
        <v>307</v>
      </c>
      <c r="K13" s="22" t="s">
        <v>308</v>
      </c>
      <c r="L13" s="22" t="s">
        <v>309</v>
      </c>
      <c r="M13" s="22" t="s">
        <v>310</v>
      </c>
      <c r="R13" s="1092" t="s">
        <v>311</v>
      </c>
      <c r="Z13" s="22">
        <f t="shared" si="0"/>
        <v>3</v>
      </c>
      <c r="AA13" s="22" t="s">
        <v>312</v>
      </c>
      <c r="AB13" s="22" t="str" cm="1">
        <f t="array" ref="AB13">IF(COLUMNS($AB$11:AB$11)&lt;=$Z13,INDEX($H:$H,_xlfn.AGGREGATE(15,3,($A$14:$A$147=$AA13)/($A$14:$A$147=$AA13)*ROW($A$14:$A$147),COLUMNS($AB$11:AB$11))),"")</f>
        <v>&lt; 1.0</v>
      </c>
      <c r="AC13" s="22" t="str" cm="1">
        <f t="array" ref="AC13">IF(COLUMNS($AB$11:AC$11)&lt;=$Z13,INDEX($H:$H,_xlfn.AGGREGATE(15,3,($A$14:$A$147=$AA13)/($A$14:$A$147=$AA13)*ROW($A$14:$A$147),COLUMNS($AB$11:AC$11))),"")</f>
        <v>≥ 1.0 to &lt; 1.5</v>
      </c>
      <c r="AD13" s="22" t="str" cm="1">
        <f t="array" ref="AD13">IF(COLUMNS($AB$11:AD$11)&lt;=$Z13,INDEX($H:$H,_xlfn.AGGREGATE(15,3,($A$14:$A$147=$AA13)/($A$14:$A$147=$AA13)*ROW($A$14:$A$147),COLUMNS($AB$11:AD$11))),"")</f>
        <v>≥ 1.5</v>
      </c>
      <c r="AE13" s="22" t="str" cm="1">
        <f t="array" ref="AE13">IF(COLUMNS($AB$10:AE$10)&lt;=$Z13,INDEX($H:$H,_xlfn.AGGREGATE(15,3,($A$14:$A$147=$AA13)/($A$14:$A$147=$AA13)*ROW($A$14:$A$147),COLUMNS($AB$10:AE$10))),"")</f>
        <v/>
      </c>
      <c r="AF13" s="22" t="str" cm="1">
        <f t="array" ref="AF13">IF(COLUMNS($AB$10:AF$10)&lt;=$Z13,INDEX($H:$H,_xlfn.AGGREGATE(15,3,($A$14:$A$147=$AA13)/($A$14:$A$147=$AA13)*ROW($A$14:$A$147),COLUMNS($AB$10:AF$10))),"")</f>
        <v/>
      </c>
    </row>
    <row r="14" spans="1:32" s="22" customFormat="1" x14ac:dyDescent="0.3">
      <c r="A14" s="22" t="str">
        <f>CONCATENATE(B14,C14,D14,Pitched_roof_with_horizontal_ceiling_minimum_R_Value_for_ceiling_insulation_climate_zone_1_single_storey_dwelling83[[#This Row],[Roof ventilation]],Pitched_roof_with_horizontal_ceiling_minimum_R_Value_for_ceiling_insulation_climate_zone_1_single_storey_dwelling83[[#This Row],[Reflective insulation under-roof]])</f>
        <v>1Timber-framed pitched roof with horizontal ceilingSingle storey dwellingVentedYes</v>
      </c>
      <c r="B14" s="22">
        <v>1</v>
      </c>
      <c r="C14" s="22" t="s">
        <v>188</v>
      </c>
      <c r="D14" s="22" t="s">
        <v>187</v>
      </c>
      <c r="E14" s="22" t="str">
        <f>CONCATENATE(A14,Pitched_roof_with_horizontal_ceiling_minimum_R_Value_for_ceiling_insulation_climate_zone_1_single_storey_dwelling83[[#This Row],[Under-roof insulation R-Value]])</f>
        <v>1Timber-framed pitched roof with horizontal ceilingSingle storey dwellingVentedYes&lt; 1.0</v>
      </c>
      <c r="F14" s="22" t="s">
        <v>189</v>
      </c>
      <c r="G14" s="22" t="s">
        <v>190</v>
      </c>
      <c r="H14" s="22" t="s">
        <v>285</v>
      </c>
      <c r="I14" s="32">
        <v>1.5</v>
      </c>
      <c r="J14" s="32">
        <v>2</v>
      </c>
      <c r="K14" s="32">
        <v>2.5</v>
      </c>
      <c r="L14" s="32">
        <v>3</v>
      </c>
      <c r="M14" s="32">
        <v>3.5</v>
      </c>
      <c r="P14" s="32"/>
      <c r="R14" s="1091" t="s">
        <v>313</v>
      </c>
      <c r="S14" s="22" t="e">
        <f>IFERROR(INDEX($I$14:$M$25,MATCH('13.2 Building Fabric'!$D29,D_Building_Fabric!$E$14:$E$25,0),MATCH('13.2 Building Fabric'!$P29,Pitched_roof_with_horizontal_ceiling_minimum_R_Value_for_ceiling_insulation_climate_zone_1_single_storey_dwelling83[[#Headers],[SA ≤ 0.23]:[0.53 &lt; SA ≤ 0.64]],0)),NA())</f>
        <v>#N/A</v>
      </c>
      <c r="T14" s="22" t="e">
        <f>IFERROR(INDEX($I$14:$M$25,MATCH('13.2 Building Fabric'!$D30,D_Building_Fabric!$E$14:$E$25,0),MATCH('13.2 Building Fabric'!$P30,Pitched_roof_with_horizontal_ceiling_minimum_R_Value_for_ceiling_insulation_climate_zone_1_single_storey_dwelling83[[#Headers],[SA ≤ 0.23]:[0.53 &lt; SA ≤ 0.64]],0)),NA())</f>
        <v>#N/A</v>
      </c>
      <c r="Z14" s="22">
        <f t="shared" si="0"/>
        <v>3</v>
      </c>
      <c r="AA14" s="22" t="s">
        <v>314</v>
      </c>
      <c r="AB14" s="22" t="str" cm="1">
        <f t="array" ref="AB14">IF(COLUMNS($AB$11:AB$11)&lt;=$Z14,INDEX($H:$H,_xlfn.AGGREGATE(15,3,($A$14:$A$147=$AA14)/($A$14:$A$147=$AA14)*ROW($A$14:$A$147),COLUMNS($AB$11:AB$11))),"")</f>
        <v>&lt; 1.0</v>
      </c>
      <c r="AC14" s="22" t="str" cm="1">
        <f t="array" ref="AC14">IF(COLUMNS($AB$11:AC$11)&lt;=$Z14,INDEX($H:$H,_xlfn.AGGREGATE(15,3,($A$14:$A$147=$AA14)/($A$14:$A$147=$AA14)*ROW($A$14:$A$147),COLUMNS($AB$11:AC$11))),"")</f>
        <v>≥ 1.0 to &lt; 1.5</v>
      </c>
      <c r="AD14" s="22" t="str" cm="1">
        <f t="array" ref="AD14">IF(COLUMNS($AB$11:AD$11)&lt;=$Z14,INDEX($H:$H,_xlfn.AGGREGATE(15,3,($A$14:$A$147=$AA14)/($A$14:$A$147=$AA14)*ROW($A$14:$A$147),COLUMNS($AB$11:AD$11))),"")</f>
        <v>≥ 1.5</v>
      </c>
      <c r="AE14" s="22" t="str" cm="1">
        <f t="array" ref="AE14">IF(COLUMNS($AB$10:AE$10)&lt;=$Z14,INDEX($H:$H,_xlfn.AGGREGATE(15,3,($A$14:$A$147=$AA14)/($A$14:$A$147=$AA14)*ROW($A$14:$A$147),COLUMNS($AB$10:AE$10))),"")</f>
        <v/>
      </c>
      <c r="AF14" s="22" t="str" cm="1">
        <f t="array" ref="AF14">IF(COLUMNS($AB$10:AF$10)&lt;=$Z14,INDEX($H:$H,_xlfn.AGGREGATE(15,3,($A$14:$A$147=$AA14)/($A$14:$A$147=$AA14)*ROW($A$14:$A$147),COLUMNS($AB$10:AF$10))),"")</f>
        <v/>
      </c>
    </row>
    <row r="15" spans="1:32" s="22" customFormat="1" x14ac:dyDescent="0.3">
      <c r="A15" s="22" t="str">
        <f>CONCATENATE(B15,C15,D15,Pitched_roof_with_horizontal_ceiling_minimum_R_Value_for_ceiling_insulation_climate_zone_1_single_storey_dwelling83[[#This Row],[Roof ventilation]],Pitched_roof_with_horizontal_ceiling_minimum_R_Value_for_ceiling_insulation_climate_zone_1_single_storey_dwelling83[[#This Row],[Reflective insulation under-roof]])</f>
        <v>1Timber-framed pitched roof with horizontal ceilingSingle storey dwellingVentedYes</v>
      </c>
      <c r="B15" s="22">
        <v>1</v>
      </c>
      <c r="C15" s="22" t="s">
        <v>188</v>
      </c>
      <c r="D15" s="22" t="s">
        <v>187</v>
      </c>
      <c r="E15" s="22" t="str">
        <f>CONCATENATE(A15,Pitched_roof_with_horizontal_ceiling_minimum_R_Value_for_ceiling_insulation_climate_zone_1_single_storey_dwelling83[[#This Row],[Under-roof insulation R-Value]])</f>
        <v>1Timber-framed pitched roof with horizontal ceilingSingle storey dwellingVentedYes≥ 1.0 to &lt; 1.5</v>
      </c>
      <c r="F15" s="22" t="s">
        <v>189</v>
      </c>
      <c r="G15" s="22" t="s">
        <v>190</v>
      </c>
      <c r="H15" s="22" t="s">
        <v>315</v>
      </c>
      <c r="I15" s="32">
        <v>1.5</v>
      </c>
      <c r="J15" s="32">
        <v>1.5</v>
      </c>
      <c r="K15" s="32">
        <v>2</v>
      </c>
      <c r="L15" s="32">
        <v>2.5</v>
      </c>
      <c r="M15" s="32">
        <v>3</v>
      </c>
      <c r="R15" s="1091" t="s">
        <v>316</v>
      </c>
      <c r="S15" s="22" t="e">
        <f>IFERROR(INDEX($I$30:$M$45,MATCH('13.2 Building Fabric'!$D29,D_Building_Fabric!$E$30:$E$45,0),MATCH('13.2 Building Fabric'!$P29,Pitched_roof_with_horizontal_ceiling_minimum_R_Value_for_ceiling_insulation_climate_zone_1_two_or_more_storey_dwelling84[[#Headers],[SA ≤ 0.23]:[0.53 &lt; SA ≤ 0.64]],0)),NA())</f>
        <v>#N/A</v>
      </c>
      <c r="T15" s="22" t="e">
        <f>IFERROR(INDEX($I$30:$M$45,MATCH('13.2 Building Fabric'!$D30,D_Building_Fabric!$E$32:$E$43,0),MATCH('13.2 Building Fabric'!$P30,Pitched_roof_with_horizontal_ceiling_minimum_R_Value_for_ceiling_insulation_climate_zone_1_two_or_more_storey_dwelling84[[#Headers],[SA ≤ 0.23]:[0.53 &lt; SA ≤ 0.64]],0)),NA())</f>
        <v>#N/A</v>
      </c>
      <c r="V15" s="44"/>
      <c r="Z15" s="22">
        <f t="shared" si="0"/>
        <v>3</v>
      </c>
      <c r="AA15" s="22" t="s">
        <v>317</v>
      </c>
      <c r="AB15" s="22" t="str" cm="1">
        <f t="array" ref="AB15">IF(COLUMNS($AB$11:AB$11)&lt;=$Z15,INDEX($H:$H,_xlfn.AGGREGATE(15,3,($A$14:$A$147=$AA15)/($A$14:$A$147=$AA15)*ROW($A$14:$A$147),COLUMNS($AB$11:AB$11))),"")</f>
        <v>&lt; 1.0</v>
      </c>
      <c r="AC15" s="22" t="str" cm="1">
        <f t="array" ref="AC15">IF(COLUMNS($AB$11:AC$11)&lt;=$Z15,INDEX($H:$H,_xlfn.AGGREGATE(15,3,($A$14:$A$147=$AA15)/($A$14:$A$147=$AA15)*ROW($A$14:$A$147),COLUMNS($AB$11:AC$11))),"")</f>
        <v>≥ 1.0 to &lt; 1.5</v>
      </c>
      <c r="AD15" s="22" t="str" cm="1">
        <f t="array" ref="AD15">IF(COLUMNS($AB$11:AD$11)&lt;=$Z15,INDEX($H:$H,_xlfn.AGGREGATE(15,3,($A$14:$A$147=$AA15)/($A$14:$A$147=$AA15)*ROW($A$14:$A$147),COLUMNS($AB$11:AD$11))),"")</f>
        <v>≥ 1.5</v>
      </c>
      <c r="AE15" s="22" t="str" cm="1">
        <f t="array" ref="AE15">IF(COLUMNS($AB$10:AE$10)&lt;=$Z15,INDEX($H:$H,_xlfn.AGGREGATE(15,3,($A$14:$A$147=$AA15)/($A$14:$A$147=$AA15)*ROW($A$14:$A$147),COLUMNS($AB$10:AE$10))),"")</f>
        <v/>
      </c>
      <c r="AF15" s="22" t="str" cm="1">
        <f t="array" ref="AF15">IF(COLUMNS($AB$10:AF$10)&lt;=$Z15,INDEX($H:$H,_xlfn.AGGREGATE(15,3,($A$14:$A$147=$AA15)/($A$14:$A$147=$AA15)*ROW($A$14:$A$147),COLUMNS($AB$10:AF$10))),"")</f>
        <v/>
      </c>
    </row>
    <row r="16" spans="1:32" s="22" customFormat="1" x14ac:dyDescent="0.3">
      <c r="A16" s="22" t="str">
        <f>CONCATENATE(B16,C16,D16,Pitched_roof_with_horizontal_ceiling_minimum_R_Value_for_ceiling_insulation_climate_zone_1_single_storey_dwelling83[[#This Row],[Roof ventilation]],Pitched_roof_with_horizontal_ceiling_minimum_R_Value_for_ceiling_insulation_climate_zone_1_single_storey_dwelling83[[#This Row],[Reflective insulation under-roof]])</f>
        <v>1Timber-framed pitched roof with horizontal ceilingSingle storey dwellingVentedYes</v>
      </c>
      <c r="B16" s="22">
        <v>1</v>
      </c>
      <c r="C16" s="22" t="s">
        <v>188</v>
      </c>
      <c r="D16" s="22" t="s">
        <v>187</v>
      </c>
      <c r="E16" s="22" t="str">
        <f>CONCATENATE(A16,Pitched_roof_with_horizontal_ceiling_minimum_R_Value_for_ceiling_insulation_climate_zone_1_single_storey_dwelling83[[#This Row],[Under-roof insulation R-Value]])</f>
        <v>1Timber-framed pitched roof with horizontal ceilingSingle storey dwellingVentedYes≥ 1.5</v>
      </c>
      <c r="F16" s="22" t="s">
        <v>189</v>
      </c>
      <c r="G16" s="22" t="s">
        <v>190</v>
      </c>
      <c r="H16" s="22" t="s">
        <v>318</v>
      </c>
      <c r="I16" s="32">
        <v>1.5</v>
      </c>
      <c r="J16" s="32">
        <v>2</v>
      </c>
      <c r="K16" s="32">
        <v>2</v>
      </c>
      <c r="L16" s="32">
        <v>2</v>
      </c>
      <c r="M16" s="32">
        <v>2</v>
      </c>
      <c r="P16" s="32"/>
      <c r="R16" s="1091" t="s">
        <v>319</v>
      </c>
      <c r="S16" s="22" t="e">
        <f>IFERROR(INDEX(Pitched_roof_with_horizontal_ceiling_minimum_R_Value_for_ceiling_insulation_climate_zone_2685[[SA ≤ 0.23]:[0.42 &lt; SA ≤  0.64]],MATCH('13.2 Building Fabric'!$D29,D_Building_Fabric!$E$50:$E$56,0),MATCH('13.2 Building Fabric'!$P29,Pitched_roof_with_horizontal_ceiling_minimum_R_Value_for_ceiling_insulation_climate_zone_2685[[#Headers],[SA ≤ 0.23]:[0.42 &lt; SA ≤  0.64]],0)),NA())</f>
        <v>#N/A</v>
      </c>
      <c r="T16" s="22" t="e">
        <f>IFERROR(INDEX(Pitched_roof_with_horizontal_ceiling_minimum_R_Value_for_ceiling_insulation_climate_zone_2685[[SA ≤ 0.23]:[0.42 &lt; SA ≤  0.64]],MATCH('13.2 Building Fabric'!$D30,D_Building_Fabric!$E$50:$E$56,0),MATCH('13.2 Building Fabric'!$P30,Pitched_roof_with_horizontal_ceiling_minimum_R_Value_for_ceiling_insulation_climate_zone_2685[[#Headers],[SA ≤ 0.23]:[0.42 &lt; SA ≤  0.64]],0)),NA())</f>
        <v>#N/A</v>
      </c>
      <c r="Z16" s="22">
        <f t="shared" si="0"/>
        <v>4</v>
      </c>
      <c r="AA16" s="22" t="s">
        <v>320</v>
      </c>
      <c r="AB16" s="22" t="str" cm="1">
        <f t="array" ref="AB16">IF(COLUMNS($AB$11:AB$11)&lt;=$Z16,INDEX($H:$H,_xlfn.AGGREGATE(15,3,($A$14:$A$147=$AA16)/($A$14:$A$147=$AA16)*ROW($A$14:$A$147),COLUMNS($AB$11:AB$11))),"")</f>
        <v>&lt; 1.0</v>
      </c>
      <c r="AC16" s="22" t="str" cm="1">
        <f t="array" ref="AC16">IF(COLUMNS($AB$11:AC$11)&lt;=$Z16,INDEX($H:$H,_xlfn.AGGREGATE(15,3,($A$14:$A$147=$AA16)/($A$14:$A$147=$AA16)*ROW($A$14:$A$147),COLUMNS($AB$11:AC$11))),"")</f>
        <v>≥ 1.0 to &lt; 1.5</v>
      </c>
      <c r="AD16" s="22" t="str" cm="1">
        <f t="array" ref="AD16">IF(COLUMNS($AB$11:AD$11)&lt;=$Z16,INDEX($H:$H,_xlfn.AGGREGATE(15,3,($A$14:$A$147=$AA16)/($A$14:$A$147=$AA16)*ROW($A$14:$A$147),COLUMNS($AB$11:AD$11))),"")</f>
        <v>≥ 1.5 to &lt; 2.0</v>
      </c>
      <c r="AE16" s="22" t="str" cm="1">
        <f t="array" ref="AE16">IF(COLUMNS($AB$10:AE$10)&lt;=$Z16,INDEX($H:$H,_xlfn.AGGREGATE(15,3,($A$14:$A$147=$AA16)/($A$14:$A$147=$AA16)*ROW($A$14:$A$147),COLUMNS($AB$10:AE$10))),"")</f>
        <v>≥ 2.0</v>
      </c>
      <c r="AF16" s="22" t="str" cm="1">
        <f t="array" ref="AF16">IF(COLUMNS($AB$10:AF$10)&lt;=$Z16,INDEX($H:$H,_xlfn.AGGREGATE(15,3,($A$14:$A$147=$AA16)/($A$14:$A$147=$AA16)*ROW($A$14:$A$147),COLUMNS($AB$10:AF$10))),"")</f>
        <v/>
      </c>
    </row>
    <row r="17" spans="1:32" s="22" customFormat="1" x14ac:dyDescent="0.3">
      <c r="A17" s="22" t="str">
        <f>CONCATENATE(B17,C17,D17,Pitched_roof_with_horizontal_ceiling_minimum_R_Value_for_ceiling_insulation_climate_zone_1_single_storey_dwelling83[[#This Row],[Roof ventilation]],Pitched_roof_with_horizontal_ceiling_minimum_R_Value_for_ceiling_insulation_climate_zone_1_single_storey_dwelling83[[#This Row],[Reflective insulation under-roof]])</f>
        <v>1Timber-framed pitched roof with horizontal ceilingSingle storey dwellingVentedNo</v>
      </c>
      <c r="B17" s="22">
        <v>1</v>
      </c>
      <c r="C17" s="22" t="s">
        <v>188</v>
      </c>
      <c r="D17" s="22" t="s">
        <v>187</v>
      </c>
      <c r="E17" s="22" t="str">
        <f>CONCATENATE(A17,Pitched_roof_with_horizontal_ceiling_minimum_R_Value_for_ceiling_insulation_climate_zone_1_single_storey_dwelling83[[#This Row],[Under-roof insulation R-Value]])</f>
        <v>1Timber-framed pitched roof with horizontal ceilingSingle storey dwellingVentedNo&lt; 1.0</v>
      </c>
      <c r="F17" s="22" t="s">
        <v>189</v>
      </c>
      <c r="G17" s="22" t="s">
        <v>29</v>
      </c>
      <c r="H17" s="22" t="s">
        <v>285</v>
      </c>
      <c r="I17" s="32">
        <v>2.5</v>
      </c>
      <c r="J17" s="32">
        <v>4.5</v>
      </c>
      <c r="K17" s="32" t="s">
        <v>321</v>
      </c>
      <c r="L17" s="32" t="s">
        <v>321</v>
      </c>
      <c r="M17" s="32" t="s">
        <v>321</v>
      </c>
      <c r="P17" s="32"/>
      <c r="R17" s="1091" t="s">
        <v>322</v>
      </c>
      <c r="S17" s="22" t="e">
        <f>IFERROR(INDEX(Pitched_roof_with_horizontal_ceiling_minimum_R_Value_for_ceiling_insulation_climate_zone_3886[[SA ≤ 0.23]:[0.53 &lt; SA ≤ 0 .64]],MATCH('13.2 Building Fabric'!$D29,D_Building_Fabric!$E$61:$E$80,0),MATCH('13.2 Building Fabric'!$P29,Pitched_roof_with_horizontal_ceiling_minimum_R_Value_for_ceiling_insulation_climate_zone_3886[[#Headers],[SA ≤ 0.23]:[0.53 &lt; SA ≤ 0 .64]],0)),NA())</f>
        <v>#N/A</v>
      </c>
      <c r="T17" s="22" t="e">
        <f>IFERROR(INDEX(Pitched_roof_with_horizontal_ceiling_minimum_R_Value_for_ceiling_insulation_climate_zone_3886[[SA ≤ 0.23]:[0.53 &lt; SA ≤ 0 .64]],MATCH('13.2 Building Fabric'!$D30,D_Building_Fabric!$E$61:$E$80,0),MATCH('13.2 Building Fabric'!$P30,Pitched_roof_with_horizontal_ceiling_minimum_R_Value_for_ceiling_insulation_climate_zone_3886[[#Headers],[SA ≤ 0.23]:[0.53 &lt; SA ≤ 0 .64]],0)),NA())</f>
        <v>#N/A</v>
      </c>
      <c r="Z17" s="22">
        <f t="shared" si="0"/>
        <v>4</v>
      </c>
      <c r="AA17" s="22" t="s">
        <v>323</v>
      </c>
      <c r="AB17" s="22" t="str" cm="1">
        <f t="array" ref="AB17">IF(COLUMNS($AB$11:AB$11)&lt;=$Z17,INDEX($H:$H,_xlfn.AGGREGATE(15,3,($A$14:$A$147=$AA17)/($A$14:$A$147=$AA17)*ROW($A$14:$A$147),COLUMNS($AB$11:AB$11))),"")</f>
        <v>&lt; 1.0</v>
      </c>
      <c r="AC17" s="22" t="str" cm="1">
        <f t="array" ref="AC17">IF(COLUMNS($AB$11:AC$11)&lt;=$Z17,INDEX($H:$H,_xlfn.AGGREGATE(15,3,($A$14:$A$147=$AA17)/($A$14:$A$147=$AA17)*ROW($A$14:$A$147),COLUMNS($AB$11:AC$11))),"")</f>
        <v>≥ 1.0 to &lt; 1.5</v>
      </c>
      <c r="AD17" s="22" t="str" cm="1">
        <f t="array" ref="AD17">IF(COLUMNS($AB$11:AD$11)&lt;=$Z17,INDEX($H:$H,_xlfn.AGGREGATE(15,3,($A$14:$A$147=$AA17)/($A$14:$A$147=$AA17)*ROW($A$14:$A$147),COLUMNS($AB$11:AD$11))),"")</f>
        <v>≥ 1.5 to &lt; 2.0</v>
      </c>
      <c r="AE17" s="22" t="str" cm="1">
        <f t="array" ref="AE17">IF(COLUMNS($AB$10:AE$10)&lt;=$Z17,INDEX($H:$H,_xlfn.AGGREGATE(15,3,($A$14:$A$147=$AA17)/($A$14:$A$147=$AA17)*ROW($A$14:$A$147),COLUMNS($AB$10:AE$10))),"")</f>
        <v>≥ 2.0</v>
      </c>
      <c r="AF17" s="22" t="str" cm="1">
        <f t="array" ref="AF17">IF(COLUMNS($AB$10:AF$10)&lt;=$Z17,INDEX($H:$H,_xlfn.AGGREGATE(15,3,($A$14:$A$147=$AA17)/($A$14:$A$147=$AA17)*ROW($A$14:$A$147),COLUMNS($AB$10:AF$10))),"")</f>
        <v/>
      </c>
    </row>
    <row r="18" spans="1:32" s="22" customFormat="1" x14ac:dyDescent="0.3">
      <c r="A18" s="22" t="str">
        <f>CONCATENATE(B18,C18,D18,Pitched_roof_with_horizontal_ceiling_minimum_R_Value_for_ceiling_insulation_climate_zone_1_single_storey_dwelling83[[#This Row],[Roof ventilation]],Pitched_roof_with_horizontal_ceiling_minimum_R_Value_for_ceiling_insulation_climate_zone_1_single_storey_dwelling83[[#This Row],[Reflective insulation under-roof]])</f>
        <v>1Timber-framed pitched roof with horizontal ceilingSingle storey dwellingVentedNo</v>
      </c>
      <c r="B18" s="22">
        <v>1</v>
      </c>
      <c r="C18" s="22" t="s">
        <v>188</v>
      </c>
      <c r="D18" s="22" t="s">
        <v>187</v>
      </c>
      <c r="E18" s="22" t="str">
        <f>CONCATENATE(A18,Pitched_roof_with_horizontal_ceiling_minimum_R_Value_for_ceiling_insulation_climate_zone_1_single_storey_dwelling83[[#This Row],[Under-roof insulation R-Value]])</f>
        <v>1Timber-framed pitched roof with horizontal ceilingSingle storey dwellingVentedNo≥ 1.0 to &lt; 1.5</v>
      </c>
      <c r="F18" s="22" t="s">
        <v>189</v>
      </c>
      <c r="G18" s="22" t="s">
        <v>29</v>
      </c>
      <c r="H18" s="22" t="s">
        <v>315</v>
      </c>
      <c r="I18" s="32">
        <v>2</v>
      </c>
      <c r="J18" s="32">
        <v>3</v>
      </c>
      <c r="K18" s="32">
        <v>4</v>
      </c>
      <c r="L18" s="32">
        <v>5</v>
      </c>
      <c r="M18" s="32" t="s">
        <v>321</v>
      </c>
      <c r="P18" s="32"/>
      <c r="R18" s="1091" t="s">
        <v>324</v>
      </c>
      <c r="S18" s="22" t="e">
        <f>IFERROR(INDEX(Pitched_roof_with_horizontal_ceiling_minimum_R_Value_for_ceiling_insulation_climate_zone_41087[[SA ≤ 0.23]:[0.23 &lt; SA ≤ 0.64]],MATCH('13.2 Building Fabric'!$D29,D_Building_Fabric!$E$85:$E$90,0),MATCH('13.2 Building Fabric'!$P29,Pitched_roof_with_horizontal_ceiling_minimum_R_Value_for_ceiling_insulation_climate_zone_41087[[#Headers],[SA ≤ 0.23]:[0.23 &lt; SA ≤ 0.64]],0)),NA())</f>
        <v>#N/A</v>
      </c>
      <c r="T18" s="22" t="e">
        <f>IFERROR(INDEX(Pitched_roof_with_horizontal_ceiling_minimum_R_Value_for_ceiling_insulation_climate_zone_41087[[SA ≤ 0.23]:[0.23 &lt; SA ≤ 0.64]],MATCH('13.2 Building Fabric'!$D30,D_Building_Fabric!$E$85:$E$90,0),MATCH('13.2 Building Fabric'!$P30,Pitched_roof_with_horizontal_ceiling_minimum_R_Value_for_ceiling_insulation_climate_zone_41087[[#Headers],[SA ≤ 0.23]:[0.23 &lt; SA ≤ 0.64]],0)),NA())</f>
        <v>#N/A</v>
      </c>
      <c r="Z18" s="22">
        <f t="shared" si="0"/>
        <v>4</v>
      </c>
      <c r="AA18" s="22" t="s">
        <v>325</v>
      </c>
      <c r="AB18" s="22" t="str" cm="1">
        <f t="array" ref="AB18">IF(COLUMNS($AB$11:AB$11)&lt;=$Z18,INDEX($H:$H,_xlfn.AGGREGATE(15,3,($A$14:$A$147=$AA18)/($A$14:$A$147=$AA18)*ROW($A$14:$A$147),COLUMNS($AB$11:AB$11))),"")</f>
        <v>&lt; 1.0</v>
      </c>
      <c r="AC18" s="22" t="str" cm="1">
        <f t="array" ref="AC18">IF(COLUMNS($AB$11:AC$11)&lt;=$Z18,INDEX($H:$H,_xlfn.AGGREGATE(15,3,($A$14:$A$147=$AA18)/($A$14:$A$147=$AA18)*ROW($A$14:$A$147),COLUMNS($AB$11:AC$11))),"")</f>
        <v>≥ 1.0 to &lt; 1.5</v>
      </c>
      <c r="AD18" s="22" t="str" cm="1">
        <f t="array" ref="AD18">IF(COLUMNS($AB$11:AD$11)&lt;=$Z18,INDEX($H:$H,_xlfn.AGGREGATE(15,3,($A$14:$A$147=$AA18)/($A$14:$A$147=$AA18)*ROW($A$14:$A$147),COLUMNS($AB$11:AD$11))),"")</f>
        <v>≥ 1.5 to &lt; 2.0</v>
      </c>
      <c r="AE18" s="22" t="str" cm="1">
        <f t="array" ref="AE18">IF(COLUMNS($AB$10:AE$10)&lt;=$Z18,INDEX($H:$H,_xlfn.AGGREGATE(15,3,($A$14:$A$147=$AA18)/($A$14:$A$147=$AA18)*ROW($A$14:$A$147),COLUMNS($AB$10:AE$10))),"")</f>
        <v>≥ 2.0</v>
      </c>
      <c r="AF18" s="22" t="str" cm="1">
        <f t="array" ref="AF18">IF(COLUMNS($AB$10:AF$10)&lt;=$Z18,INDEX($H:$H,_xlfn.AGGREGATE(15,3,($A$14:$A$147=$AA18)/($A$14:$A$147=$AA18)*ROW($A$14:$A$147),COLUMNS($AB$10:AF$10))),"")</f>
        <v/>
      </c>
    </row>
    <row r="19" spans="1:32" s="22" customFormat="1" x14ac:dyDescent="0.3">
      <c r="A19" s="22" t="str">
        <f>CONCATENATE(B19,C19,D19,Pitched_roof_with_horizontal_ceiling_minimum_R_Value_for_ceiling_insulation_climate_zone_1_single_storey_dwelling83[[#This Row],[Roof ventilation]],Pitched_roof_with_horizontal_ceiling_minimum_R_Value_for_ceiling_insulation_climate_zone_1_single_storey_dwelling83[[#This Row],[Reflective insulation under-roof]])</f>
        <v>1Timber-framed pitched roof with horizontal ceilingSingle storey dwellingVentedNo</v>
      </c>
      <c r="B19" s="22">
        <v>1</v>
      </c>
      <c r="C19" s="22" t="s">
        <v>188</v>
      </c>
      <c r="D19" s="22" t="s">
        <v>187</v>
      </c>
      <c r="E19" s="22" t="str">
        <f>CONCATENATE(A19,Pitched_roof_with_horizontal_ceiling_minimum_R_Value_for_ceiling_insulation_climate_zone_1_single_storey_dwelling83[[#This Row],[Under-roof insulation R-Value]])</f>
        <v>1Timber-framed pitched roof with horizontal ceilingSingle storey dwellingVentedNo≥ 1.5</v>
      </c>
      <c r="F19" s="22" t="s">
        <v>189</v>
      </c>
      <c r="G19" s="22" t="s">
        <v>29</v>
      </c>
      <c r="H19" s="22" t="s">
        <v>318</v>
      </c>
      <c r="I19" s="32">
        <v>2</v>
      </c>
      <c r="J19" s="32">
        <v>2.5</v>
      </c>
      <c r="K19" s="32">
        <v>3</v>
      </c>
      <c r="L19" s="32">
        <v>4</v>
      </c>
      <c r="M19" s="32">
        <v>5</v>
      </c>
      <c r="P19" s="32"/>
      <c r="R19" s="1091" t="s">
        <v>326</v>
      </c>
      <c r="S19" s="22" t="e">
        <f>IFERROR(INDEX(Pitched_roof_with_horizontal_ceiling_minimum_R_Value_for_ceiling_insulation_climate_zone_588[[SA ≤ 0.42]:[0.42 &lt; SA ≤ 0.64]],MATCH('13.2 Building Fabric'!$D29,D_Building_Fabric!$E$95:$E$102,0),MATCH('13.2 Building Fabric'!$P29,Pitched_roof_with_horizontal_ceiling_minimum_R_Value_for_ceiling_insulation_climate_zone_588[[#Headers],[SA ≤ 0.42]:[0.42 &lt; SA ≤ 0.64]],0)),NA())</f>
        <v>#N/A</v>
      </c>
      <c r="T19" s="22" t="e">
        <f>IFERROR(INDEX(Pitched_roof_with_horizontal_ceiling_minimum_R_Value_for_ceiling_insulation_climate_zone_588[[SA ≤ 0.42]:[0.42 &lt; SA ≤ 0.64]],MATCH('13.2 Building Fabric'!$D30,D_Building_Fabric!$E$95:$E$102,0),MATCH('13.2 Building Fabric'!$P30,Pitched_roof_with_horizontal_ceiling_minimum_R_Value_for_ceiling_insulation_climate_zone_588[[#Headers],[SA ≤ 0.42]:[0.42 &lt; SA ≤ 0.64]],0)),NA())</f>
        <v>#N/A</v>
      </c>
      <c r="Z19" s="22">
        <f t="shared" si="0"/>
        <v>4</v>
      </c>
      <c r="AA19" s="22" t="s">
        <v>327</v>
      </c>
      <c r="AB19" s="22" t="str" cm="1">
        <f t="array" ref="AB19">IF(COLUMNS($AB$11:AB$11)&lt;=$Z19,INDEX($H:$H,_xlfn.AGGREGATE(15,3,($A$14:$A$147=$AA19)/($A$14:$A$147=$AA19)*ROW($A$14:$A$147),COLUMNS($AB$11:AB$11))),"")</f>
        <v>&lt; 1.0</v>
      </c>
      <c r="AC19" s="22" t="str" cm="1">
        <f t="array" ref="AC19">IF(COLUMNS($AB$11:AC$11)&lt;=$Z19,INDEX($H:$H,_xlfn.AGGREGATE(15,3,($A$14:$A$147=$AA19)/($A$14:$A$147=$AA19)*ROW($A$14:$A$147),COLUMNS($AB$11:AC$11))),"")</f>
        <v>≥ 1.0 to &lt; 1.5</v>
      </c>
      <c r="AD19" s="22" t="str" cm="1">
        <f t="array" ref="AD19">IF(COLUMNS($AB$11:AD$11)&lt;=$Z19,INDEX($H:$H,_xlfn.AGGREGATE(15,3,($A$14:$A$147=$AA19)/($A$14:$A$147=$AA19)*ROW($A$14:$A$147),COLUMNS($AB$11:AD$11))),"")</f>
        <v>≥ 1.5 to &lt; 2.0</v>
      </c>
      <c r="AE19" s="22" t="str" cm="1">
        <f t="array" ref="AE19">IF(COLUMNS($AB$10:AE$10)&lt;=$Z19,INDEX($H:$H,_xlfn.AGGREGATE(15,3,($A$14:$A$147=$AA19)/($A$14:$A$147=$AA19)*ROW($A$14:$A$147),COLUMNS($AB$10:AE$10))),"")</f>
        <v>≥ 2.0</v>
      </c>
      <c r="AF19" s="22" t="str" cm="1">
        <f t="array" ref="AF19">IF(COLUMNS($AB$10:AF$10)&lt;=$Z19,INDEX($H:$H,_xlfn.AGGREGATE(15,3,($A$14:$A$147=$AA19)/($A$14:$A$147=$AA19)*ROW($A$14:$A$147),COLUMNS($AB$10:AF$10))),"")</f>
        <v/>
      </c>
    </row>
    <row r="20" spans="1:32" s="22" customFormat="1" x14ac:dyDescent="0.3">
      <c r="A20" s="22" t="str">
        <f>CONCATENATE(B20,C20,D20,Pitched_roof_with_horizontal_ceiling_minimum_R_Value_for_ceiling_insulation_climate_zone_1_single_storey_dwelling83[[#This Row],[Roof ventilation]],Pitched_roof_with_horizontal_ceiling_minimum_R_Value_for_ceiling_insulation_climate_zone_1_single_storey_dwelling83[[#This Row],[Reflective insulation under-roof]])</f>
        <v>1Timber-framed pitched roof with horizontal ceilingSingle storey dwellingStandardYes</v>
      </c>
      <c r="B20" s="22">
        <v>1</v>
      </c>
      <c r="C20" s="22" t="s">
        <v>188</v>
      </c>
      <c r="D20" s="22" t="s">
        <v>187</v>
      </c>
      <c r="E20" s="22" t="str">
        <f>CONCATENATE(A20,Pitched_roof_with_horizontal_ceiling_minimum_R_Value_for_ceiling_insulation_climate_zone_1_single_storey_dwelling83[[#This Row],[Under-roof insulation R-Value]])</f>
        <v>1Timber-framed pitched roof with horizontal ceilingSingle storey dwellingStandardYes&lt; 1.0</v>
      </c>
      <c r="F20" s="22" t="s">
        <v>205</v>
      </c>
      <c r="G20" s="22" t="s">
        <v>190</v>
      </c>
      <c r="H20" s="22" t="s">
        <v>285</v>
      </c>
      <c r="I20" s="32">
        <v>1.5</v>
      </c>
      <c r="J20" s="32">
        <v>2</v>
      </c>
      <c r="K20" s="32">
        <v>2.5</v>
      </c>
      <c r="L20" s="32">
        <v>4</v>
      </c>
      <c r="M20" s="32" t="s">
        <v>321</v>
      </c>
      <c r="P20" s="32"/>
      <c r="R20" s="1091" t="s">
        <v>328</v>
      </c>
      <c r="S20" s="22" t="e">
        <f>IFERROR(INDEX(Pitched_roof_with_horizontal_ceiling_minimum_R_Value_for_ceiling_insulation_climate_zone_689[[0.23 ≤ SA ≤ 0.64]:[0.64 &lt; SA ≤ 0.96]],MATCH('13.2 Building Fabric'!$D29,D_Building_Fabric!$E$107:$E$114,0),MATCH('13.2 Building Fabric'!$P29,Pitched_roof_with_horizontal_ceiling_minimum_R_Value_for_ceiling_insulation_climate_zone_689[[#Headers],[0.23 ≤ SA ≤ 0.64]:[0.64 &lt; SA ≤ 0.96]],0)),NA())</f>
        <v>#N/A</v>
      </c>
      <c r="T20" s="22" t="e">
        <f>IFERROR(INDEX(Pitched_roof_with_horizontal_ceiling_minimum_R_Value_for_ceiling_insulation_climate_zone_689[[0.23 ≤ SA ≤ 0.64]:[0.64 &lt; SA ≤ 0.96]],MATCH('13.2 Building Fabric'!$D30,D_Building_Fabric!$E$107:$E$114,0),MATCH('13.2 Building Fabric'!$P30,Pitched_roof_with_horizontal_ceiling_minimum_R_Value_for_ceiling_insulation_climate_zone_689[[#Headers],[0.23 ≤ SA ≤ 0.64]:[0.64 &lt; SA ≤ 0.96]],0)),NA())</f>
        <v>#N/A</v>
      </c>
      <c r="Z20" s="22">
        <f t="shared" si="0"/>
        <v>1</v>
      </c>
      <c r="AA20" s="22" t="s">
        <v>329</v>
      </c>
      <c r="AB20" s="22" t="str" cm="1">
        <f t="array" ref="AB20">IF(COLUMNS($AB$11:AB$11)&lt;=$Z20,INDEX($H:$H,_xlfn.AGGREGATE(15,3,($A$14:$A$147=$AA20)/($A$14:$A$147=$AA20)*ROW($A$14:$A$147),COLUMNS($AB$11:AB$11))),"")</f>
        <v>Any</v>
      </c>
      <c r="AC20" s="22" t="str" cm="1">
        <f t="array" ref="AC20">IF(COLUMNS($AB$11:AC$11)&lt;=$Z20,INDEX($H:$H,_xlfn.AGGREGATE(15,3,($A$14:$A$147=$AA20)/($A$14:$A$147=$AA20)*ROW($A$14:$A$147),COLUMNS($AB$11:AC$11))),"")</f>
        <v/>
      </c>
      <c r="AD20" s="22" t="str" cm="1">
        <f t="array" ref="AD20">IF(COLUMNS($AB$11:AD$11)&lt;=$Z20,INDEX($H:$H,_xlfn.AGGREGATE(15,3,($A$14:$A$147=$AA20)/($A$14:$A$147=$AA20)*ROW($A$14:$A$147),COLUMNS($AB$11:AD$11))),"")</f>
        <v/>
      </c>
      <c r="AE20" s="22" t="str" cm="1">
        <f t="array" ref="AE20">IF(COLUMNS($AB$10:AE$10)&lt;=$Z20,INDEX($H:$H,_xlfn.AGGREGATE(15,3,($A$14:$A$147=$AA20)/($A$14:$A$147=$AA20)*ROW($A$14:$A$147),COLUMNS($AB$10:AE$10))),"")</f>
        <v/>
      </c>
      <c r="AF20" s="22" t="str" cm="1">
        <f t="array" ref="AF20">IF(COLUMNS($AB$10:AF$10)&lt;=$Z20,INDEX($H:$H,_xlfn.AGGREGATE(15,3,($A$14:$A$147=$AA20)/($A$14:$A$147=$AA20)*ROW($A$14:$A$147),COLUMNS($AB$10:AF$10))),"")</f>
        <v/>
      </c>
    </row>
    <row r="21" spans="1:32" s="22" customFormat="1" x14ac:dyDescent="0.3">
      <c r="A21" s="22" t="str">
        <f>CONCATENATE(B21,C21,D21,Pitched_roof_with_horizontal_ceiling_minimum_R_Value_for_ceiling_insulation_climate_zone_1_single_storey_dwelling83[[#This Row],[Roof ventilation]],Pitched_roof_with_horizontal_ceiling_minimum_R_Value_for_ceiling_insulation_climate_zone_1_single_storey_dwelling83[[#This Row],[Reflective insulation under-roof]])</f>
        <v>1Timber-framed pitched roof with horizontal ceilingSingle storey dwellingStandardYes</v>
      </c>
      <c r="B21" s="22">
        <v>1</v>
      </c>
      <c r="C21" s="22" t="s">
        <v>188</v>
      </c>
      <c r="D21" s="22" t="s">
        <v>187</v>
      </c>
      <c r="E21" s="22" t="str">
        <f>CONCATENATE(A21,Pitched_roof_with_horizontal_ceiling_minimum_R_Value_for_ceiling_insulation_climate_zone_1_single_storey_dwelling83[[#This Row],[Under-roof insulation R-Value]])</f>
        <v>1Timber-framed pitched roof with horizontal ceilingSingle storey dwellingStandardYes≥ 1.0 to &lt; 1.5</v>
      </c>
      <c r="F21" s="22" t="s">
        <v>205</v>
      </c>
      <c r="G21" s="22" t="s">
        <v>190</v>
      </c>
      <c r="H21" s="22" t="s">
        <v>315</v>
      </c>
      <c r="I21" s="32">
        <v>1.5</v>
      </c>
      <c r="J21" s="32">
        <v>1.5</v>
      </c>
      <c r="K21" s="32">
        <v>2</v>
      </c>
      <c r="L21" s="32">
        <v>3</v>
      </c>
      <c r="M21" s="32">
        <v>4</v>
      </c>
      <c r="P21" s="32"/>
      <c r="R21" s="1091" t="s">
        <v>330</v>
      </c>
      <c r="S21" s="22" t="e">
        <f>IFERROR(INDEX(Pitched_roof_with_horizontal_ceiling_minimum_R_Value_for_ceiling_insulation_climate_zone_790[[SA ≤ 0.23]:[0.85 &lt; SA ≤ 0.96]],MATCH('13.2 Building Fabric'!$D29,D_Building_Fabric!$E$119:$E$129,0),MATCH('13.2 Building Fabric'!$P29,Pitched_roof_with_horizontal_ceiling_minimum_R_Value_for_ceiling_insulation_climate_zone_790[[#Headers],[SA ≤ 0.23]:[0.85 &lt; SA ≤ 0.96]],0)),NA())</f>
        <v>#N/A</v>
      </c>
      <c r="T21" s="22" t="e">
        <f>IFERROR(INDEX(Pitched_roof_with_horizontal_ceiling_minimum_R_Value_for_ceiling_insulation_climate_zone_790[[SA ≤ 0.23]:[0.85 &lt; SA ≤ 0.96]],MATCH('13.2 Building Fabric'!$D30,D_Building_Fabric!$E$119:$E$129,0),MATCH('13.2 Building Fabric'!$P30,Pitched_roof_with_horizontal_ceiling_minimum_R_Value_for_ceiling_insulation_climate_zone_790[[#Headers],[SA ≤ 0.23]:[0.85 &lt; SA ≤ 0.96]],0)),NA())</f>
        <v>#N/A</v>
      </c>
      <c r="Z21" s="22">
        <f t="shared" si="0"/>
        <v>2</v>
      </c>
      <c r="AA21" s="22" t="s">
        <v>331</v>
      </c>
      <c r="AB21" s="22" t="str" cm="1">
        <f t="array" ref="AB21">IF(COLUMNS($AB$11:AB$11)&lt;=$Z21,INDEX($H:$H,_xlfn.AGGREGATE(15,3,($A$14:$A$147=$AA21)/($A$14:$A$147=$AA21)*ROW($A$14:$A$147),COLUMNS($AB$11:AB$11))),"")</f>
        <v>&lt; 0.5</v>
      </c>
      <c r="AC21" s="22" t="str" cm="1">
        <f t="array" ref="AC21">IF(COLUMNS($AB$11:AC$11)&lt;=$Z21,INDEX($H:$H,_xlfn.AGGREGATE(15,3,($A$14:$A$147=$AA21)/($A$14:$A$147=$AA21)*ROW($A$14:$A$147),COLUMNS($AB$11:AC$11))),"")</f>
        <v>≥ 0.5</v>
      </c>
      <c r="AD21" s="22" t="str" cm="1">
        <f t="array" ref="AD21">IF(COLUMNS($AB$11:AD$11)&lt;=$Z21,INDEX($H:$H,_xlfn.AGGREGATE(15,3,($A$14:$A$147=$AA21)/($A$14:$A$147=$AA21)*ROW($A$14:$A$147),COLUMNS($AB$11:AD$11))),"")</f>
        <v/>
      </c>
      <c r="AE21" s="22" t="str" cm="1">
        <f t="array" ref="AE21">IF(COLUMNS($AB$10:AE$10)&lt;=$Z21,INDEX($H:$H,_xlfn.AGGREGATE(15,3,($A$14:$A$147=$AA21)/($A$14:$A$147=$AA21)*ROW($A$14:$A$147),COLUMNS($AB$10:AE$10))),"")</f>
        <v/>
      </c>
      <c r="AF21" s="22" t="str" cm="1">
        <f t="array" ref="AF21">IF(COLUMNS($AB$10:AF$10)&lt;=$Z21,INDEX($H:$H,_xlfn.AGGREGATE(15,3,($A$14:$A$147=$AA21)/($A$14:$A$147=$AA21)*ROW($A$14:$A$147),COLUMNS($AB$10:AF$10))),"")</f>
        <v/>
      </c>
    </row>
    <row r="22" spans="1:32" s="22" customFormat="1" x14ac:dyDescent="0.3">
      <c r="A22" s="22" t="str">
        <f>CONCATENATE(B22,C22,D22,Pitched_roof_with_horizontal_ceiling_minimum_R_Value_for_ceiling_insulation_climate_zone_1_single_storey_dwelling83[[#This Row],[Roof ventilation]],Pitched_roof_with_horizontal_ceiling_minimum_R_Value_for_ceiling_insulation_climate_zone_1_single_storey_dwelling83[[#This Row],[Reflective insulation under-roof]])</f>
        <v>1Timber-framed pitched roof with horizontal ceilingSingle storey dwellingStandardYes</v>
      </c>
      <c r="B22" s="22">
        <v>1</v>
      </c>
      <c r="C22" s="22" t="s">
        <v>188</v>
      </c>
      <c r="D22" s="22" t="s">
        <v>187</v>
      </c>
      <c r="E22" s="22" t="str">
        <f>CONCATENATE(A22,Pitched_roof_with_horizontal_ceiling_minimum_R_Value_for_ceiling_insulation_climate_zone_1_single_storey_dwelling83[[#This Row],[Under-roof insulation R-Value]])</f>
        <v>1Timber-framed pitched roof with horizontal ceilingSingle storey dwellingStandardYes≥ 1.5</v>
      </c>
      <c r="F22" s="22" t="s">
        <v>205</v>
      </c>
      <c r="G22" s="22" t="s">
        <v>190</v>
      </c>
      <c r="H22" s="22" t="s">
        <v>318</v>
      </c>
      <c r="I22" s="32">
        <v>1.5</v>
      </c>
      <c r="J22" s="32">
        <v>1.5</v>
      </c>
      <c r="K22" s="32">
        <v>2</v>
      </c>
      <c r="L22" s="32">
        <v>2.5</v>
      </c>
      <c r="M22" s="32">
        <v>3</v>
      </c>
      <c r="P22" s="32"/>
      <c r="R22" s="1091" t="s">
        <v>332</v>
      </c>
      <c r="S22" s="22" t="e">
        <f>IFERROR(INDEX(Pitched_roof_with_horizontal_ceiling_minimum_R_Value_for_ceiling_insulation_climate_zone_891[[SA ≤ 0.23]:[0.85 &lt; SA ≤ 0.96]],MATCH('13.2 Building Fabric'!$D29,D_Building_Fabric!$E$134:$E$147,0),MATCH('13.2 Building Fabric'!$P29,Pitched_roof_with_horizontal_ceiling_minimum_R_Value_for_ceiling_insulation_climate_zone_891[[#Headers],[SA ≤ 0.23]:[0.85 &lt; SA ≤ 0.96]],0)),NA())</f>
        <v>#N/A</v>
      </c>
      <c r="T22" s="22" t="e">
        <f>IFERROR(INDEX(Pitched_roof_with_horizontal_ceiling_minimum_R_Value_for_ceiling_insulation_climate_zone_891[[SA ≤ 0.23]:[0.85 &lt; SA ≤ 0.96]],MATCH('13.2 Building Fabric'!$D30,D_Building_Fabric!$E$134:$E$147,0),MATCH('13.2 Building Fabric'!$P30,Pitched_roof_with_horizontal_ceiling_minimum_R_Value_for_ceiling_insulation_climate_zone_891[[#Headers],[SA ≤ 0.23]:[0.85 &lt; SA ≤ 0.96]],0)),NA())</f>
        <v>#N/A</v>
      </c>
      <c r="Z22" s="22">
        <f t="shared" si="0"/>
        <v>1</v>
      </c>
      <c r="AA22" s="22" t="s">
        <v>333</v>
      </c>
      <c r="AB22" s="22" t="str" cm="1">
        <f t="array" ref="AB22">IF(COLUMNS($AB$11:AB$11)&lt;=$Z22,INDEX($H:$H,_xlfn.AGGREGATE(15,3,($A$14:$A$147=$AA22)/($A$14:$A$147=$AA22)*ROW($A$14:$A$147),COLUMNS($AB$11:AB$11))),"")</f>
        <v>Any</v>
      </c>
      <c r="AC22" s="22" t="str" cm="1">
        <f t="array" ref="AC22">IF(COLUMNS($AB$11:AC$11)&lt;=$Z22,INDEX($H:$H,_xlfn.AGGREGATE(15,3,($A$14:$A$147=$AA22)/($A$14:$A$147=$AA22)*ROW($A$14:$A$147),COLUMNS($AB$11:AC$11))),"")</f>
        <v/>
      </c>
      <c r="AD22" s="22" t="str" cm="1">
        <f t="array" ref="AD22">IF(COLUMNS($AB$11:AD$11)&lt;=$Z22,INDEX($H:$H,_xlfn.AGGREGATE(15,3,($A$14:$A$147=$AA22)/($A$14:$A$147=$AA22)*ROW($A$14:$A$147),COLUMNS($AB$11:AD$11))),"")</f>
        <v/>
      </c>
      <c r="AE22" s="22" t="str" cm="1">
        <f t="array" ref="AE22">IF(COLUMNS($AB$10:AE$10)&lt;=$Z22,INDEX($H:$H,_xlfn.AGGREGATE(15,3,($A$14:$A$147=$AA22)/($A$14:$A$147=$AA22)*ROW($A$14:$A$147),COLUMNS($AB$10:AE$10))),"")</f>
        <v/>
      </c>
      <c r="AF22" s="22" t="str" cm="1">
        <f t="array" ref="AF22">IF(COLUMNS($AB$10:AF$10)&lt;=$Z22,INDEX($H:$H,_xlfn.AGGREGATE(15,3,($A$14:$A$147=$AA22)/($A$14:$A$147=$AA22)*ROW($A$14:$A$147),COLUMNS($AB$10:AF$10))),"")</f>
        <v/>
      </c>
    </row>
    <row r="23" spans="1:32" s="22" customFormat="1" ht="14.5" x14ac:dyDescent="0.35">
      <c r="A23" s="22" t="str">
        <f>CONCATENATE(B23,C23,D23,Pitched_roof_with_horizontal_ceiling_minimum_R_Value_for_ceiling_insulation_climate_zone_1_single_storey_dwelling83[[#This Row],[Roof ventilation]],Pitched_roof_with_horizontal_ceiling_minimum_R_Value_for_ceiling_insulation_climate_zone_1_single_storey_dwelling83[[#This Row],[Reflective insulation under-roof]])</f>
        <v>1Timber-framed pitched roof with horizontal ceilingSingle storey dwellingStandardNo</v>
      </c>
      <c r="B23" s="22">
        <v>1</v>
      </c>
      <c r="C23" s="22" t="s">
        <v>188</v>
      </c>
      <c r="D23" s="22" t="s">
        <v>187</v>
      </c>
      <c r="E23" s="22" t="str">
        <f>CONCATENATE(A23,Pitched_roof_with_horizontal_ceiling_minimum_R_Value_for_ceiling_insulation_climate_zone_1_single_storey_dwelling83[[#This Row],[Under-roof insulation R-Value]])</f>
        <v>1Timber-framed pitched roof with horizontal ceilingSingle storey dwellingStandardNo&lt; 1.0</v>
      </c>
      <c r="F23" s="22" t="s">
        <v>205</v>
      </c>
      <c r="G23" s="22" t="s">
        <v>29</v>
      </c>
      <c r="H23" s="22" t="s">
        <v>285</v>
      </c>
      <c r="I23" s="32">
        <v>3.5</v>
      </c>
      <c r="J23" s="32" t="s">
        <v>321</v>
      </c>
      <c r="K23" s="32" t="s">
        <v>321</v>
      </c>
      <c r="L23" s="32" t="s">
        <v>321</v>
      </c>
      <c r="M23" s="32" t="s">
        <v>321</v>
      </c>
      <c r="P23" s="32"/>
      <c r="R23" s="1092" t="s">
        <v>334</v>
      </c>
      <c r="S23" s="736"/>
      <c r="T23" s="736"/>
      <c r="Z23" s="22">
        <f t="shared" si="0"/>
        <v>3</v>
      </c>
      <c r="AA23" s="22" t="s">
        <v>335</v>
      </c>
      <c r="AB23" s="22" t="str" cm="1">
        <f t="array" ref="AB23">IF(COLUMNS($AB$11:AB$11)&lt;=$Z23,INDEX($H:$H,_xlfn.AGGREGATE(15,3,($A$14:$A$147=$AA23)/($A$14:$A$147=$AA23)*ROW($A$14:$A$147),COLUMNS($AB$11:AB$11))),"")</f>
        <v>&lt; 0.5</v>
      </c>
      <c r="AC23" s="22" t="str" cm="1">
        <f t="array" ref="AC23">IF(COLUMNS($AB$11:AC$11)&lt;=$Z23,INDEX($H:$H,_xlfn.AGGREGATE(15,3,($A$14:$A$147=$AA23)/($A$14:$A$147=$AA23)*ROW($A$14:$A$147),COLUMNS($AB$11:AC$11))),"")</f>
        <v>≥ 0.5 to &lt; 1.0</v>
      </c>
      <c r="AD23" s="22" t="str" cm="1">
        <f t="array" ref="AD23">IF(COLUMNS($AB$11:AD$11)&lt;=$Z23,INDEX($H:$H,_xlfn.AGGREGATE(15,3,($A$14:$A$147=$AA23)/($A$14:$A$147=$AA23)*ROW($A$14:$A$147),COLUMNS($AB$11:AD$11))),"")</f>
        <v>≥ 1.0</v>
      </c>
      <c r="AE23" s="22" t="str" cm="1">
        <f t="array" ref="AE23">IF(COLUMNS($AB$10:AE$10)&lt;=$Z23,INDEX($H:$H,_xlfn.AGGREGATE(15,3,($A$14:$A$147=$AA23)/($A$14:$A$147=$AA23)*ROW($A$14:$A$147),COLUMNS($AB$10:AE$10))),"")</f>
        <v/>
      </c>
      <c r="AF23" s="22" t="str" cm="1">
        <f t="array" ref="AF23">IF(COLUMNS($AB$10:AF$10)&lt;=$Z23,INDEX($H:$H,_xlfn.AGGREGATE(15,3,($A$14:$A$147=$AA23)/($A$14:$A$147=$AA23)*ROW($A$14:$A$147),COLUMNS($AB$10:AF$10))),"")</f>
        <v/>
      </c>
    </row>
    <row r="24" spans="1:32" s="22" customFormat="1" x14ac:dyDescent="0.3">
      <c r="A24" s="22" t="str">
        <f>CONCATENATE(B24,C24,D24,Pitched_roof_with_horizontal_ceiling_minimum_R_Value_for_ceiling_insulation_climate_zone_1_single_storey_dwelling83[[#This Row],[Roof ventilation]],Pitched_roof_with_horizontal_ceiling_minimum_R_Value_for_ceiling_insulation_climate_zone_1_single_storey_dwelling83[[#This Row],[Reflective insulation under-roof]])</f>
        <v>1Timber-framed pitched roof with horizontal ceilingSingle storey dwellingStandardNo</v>
      </c>
      <c r="B24" s="22">
        <v>1</v>
      </c>
      <c r="C24" s="22" t="s">
        <v>188</v>
      </c>
      <c r="D24" s="22" t="s">
        <v>187</v>
      </c>
      <c r="E24" s="22" t="str">
        <f>CONCATENATE(A24,Pitched_roof_with_horizontal_ceiling_minimum_R_Value_for_ceiling_insulation_climate_zone_1_single_storey_dwelling83[[#This Row],[Under-roof insulation R-Value]])</f>
        <v>1Timber-framed pitched roof with horizontal ceilingSingle storey dwellingStandardNo≥ 1.0 to &lt; 1.5</v>
      </c>
      <c r="F24" s="22" t="s">
        <v>205</v>
      </c>
      <c r="G24" s="22" t="s">
        <v>29</v>
      </c>
      <c r="H24" s="22" t="s">
        <v>315</v>
      </c>
      <c r="I24" s="32">
        <v>2</v>
      </c>
      <c r="J24" s="32">
        <v>3.5</v>
      </c>
      <c r="K24" s="32">
        <v>5.5</v>
      </c>
      <c r="L24" s="32" t="s">
        <v>321</v>
      </c>
      <c r="M24" s="32" t="s">
        <v>321</v>
      </c>
      <c r="P24" s="32"/>
      <c r="R24" s="1091" t="s">
        <v>336</v>
      </c>
      <c r="S24" s="22" t="e">
        <f>IFERROR(INDEX(Flat_skillion_or_cathedral_roof_minimum_R_Value_for_ceiling_insulation_climate_zone_1_single_storey_dwelling92[[SA ≤ 0.23]:[0.53 &lt; SA ≤ 0.64]],MATCH('13.2 Building Fabric'!$B$29,D_Building_Fabric!$A$152:$A$153,0),MATCH('13.2 Building Fabric'!$P$29,Flat_skillion_or_cathedral_roof_minimum_R_Value_for_ceiling_insulation_climate_zone_1_single_storey_dwelling92[[#Headers],[SA ≤ 0.23]:[0.53 &lt; SA ≤ 0.64]],0)),NA())</f>
        <v>#N/A</v>
      </c>
      <c r="T24" s="22" t="e">
        <f>IFERROR(INDEX(Flat_skillion_or_cathedral_roof_minimum_R_Value_for_ceiling_insulation_climate_zone_1_single_storey_dwelling92[[SA ≤ 0.23]:[0.53 &lt; SA ≤ 0.64]],MATCH('13.2 Building Fabric'!$B$30,D_Building_Fabric!$A$152:$A$153,0),MATCH('13.2 Building Fabric'!$P$30,Flat_skillion_or_cathedral_roof_minimum_R_Value_for_ceiling_insulation_climate_zone_1_single_storey_dwelling92[[#Headers],[SA ≤ 0.23]:[0.53 &lt; SA ≤ 0.64]],0)),NA())</f>
        <v>#N/A</v>
      </c>
      <c r="Z24" s="22">
        <f t="shared" si="0"/>
        <v>5</v>
      </c>
      <c r="AA24" s="22" t="s">
        <v>337</v>
      </c>
      <c r="AB24" s="22" t="str" cm="1">
        <f t="array" ref="AB24">IF(COLUMNS($AB$11:AB$11)&lt;=$Z24,INDEX($H:$H,_xlfn.AGGREGATE(15,3,($A$14:$A$147=$AA24)/($A$14:$A$147=$AA24)*ROW($A$14:$A$147),COLUMNS($AB$11:AB$11))),"")</f>
        <v>&lt; 0.5</v>
      </c>
      <c r="AC24" s="22" t="str" cm="1">
        <f t="array" ref="AC24">IF(COLUMNS($AB$11:AC$11)&lt;=$Z24,INDEX($H:$H,_xlfn.AGGREGATE(15,3,($A$14:$A$147=$AA24)/($A$14:$A$147=$AA24)*ROW($A$14:$A$147),COLUMNS($AB$11:AC$11))),"")</f>
        <v>≥ 0.5 to &lt; 1.0</v>
      </c>
      <c r="AD24" s="22" t="str" cm="1">
        <f t="array" ref="AD24">IF(COLUMNS($AB$11:AD$11)&lt;=$Z24,INDEX($H:$H,_xlfn.AGGREGATE(15,3,($A$14:$A$147=$AA24)/($A$14:$A$147=$AA24)*ROW($A$14:$A$147),COLUMNS($AB$11:AD$11))),"")</f>
        <v>≥ 1.0 to &lt; 1.5</v>
      </c>
      <c r="AE24" s="22" t="str" cm="1">
        <f t="array" ref="AE24">IF(COLUMNS($AB$10:AE$10)&lt;=$Z24,INDEX($H:$H,_xlfn.AGGREGATE(15,3,($A$14:$A$147=$AA24)/($A$14:$A$147=$AA24)*ROW($A$14:$A$147),COLUMNS($AB$10:AE$10))),"")</f>
        <v>≥ 1.5 to &lt; 2.0</v>
      </c>
      <c r="AF24" s="22" t="str" cm="1">
        <f t="array" ref="AF24">IF(COLUMNS($AB$10:AF$10)&lt;=$Z24,INDEX($H:$H,_xlfn.AGGREGATE(15,3,($A$14:$A$147=$AA24)/($A$14:$A$147=$AA24)*ROW($A$14:$A$147),COLUMNS($AB$10:AF$10))),"")</f>
        <v>≥ 2.0</v>
      </c>
    </row>
    <row r="25" spans="1:32" s="22" customFormat="1" x14ac:dyDescent="0.3">
      <c r="A25" s="22" t="str">
        <f>CONCATENATE(B25,C25,D25,Pitched_roof_with_horizontal_ceiling_minimum_R_Value_for_ceiling_insulation_climate_zone_1_single_storey_dwelling83[[#This Row],[Roof ventilation]],Pitched_roof_with_horizontal_ceiling_minimum_R_Value_for_ceiling_insulation_climate_zone_1_single_storey_dwelling83[[#This Row],[Reflective insulation under-roof]])</f>
        <v>1Timber-framed pitched roof with horizontal ceilingSingle storey dwellingStandardNo</v>
      </c>
      <c r="B25" s="22">
        <v>1</v>
      </c>
      <c r="C25" s="22" t="s">
        <v>188</v>
      </c>
      <c r="D25" s="22" t="s">
        <v>187</v>
      </c>
      <c r="E25" s="22" t="str">
        <f>CONCATENATE(A25,Pitched_roof_with_horizontal_ceiling_minimum_R_Value_for_ceiling_insulation_climate_zone_1_single_storey_dwelling83[[#This Row],[Under-roof insulation R-Value]])</f>
        <v>1Timber-framed pitched roof with horizontal ceilingSingle storey dwellingStandardNo≥ 1.5</v>
      </c>
      <c r="F25" s="22" t="s">
        <v>205</v>
      </c>
      <c r="G25" s="22" t="s">
        <v>29</v>
      </c>
      <c r="H25" s="22" t="s">
        <v>318</v>
      </c>
      <c r="I25" s="32">
        <v>2</v>
      </c>
      <c r="J25" s="32">
        <v>2</v>
      </c>
      <c r="K25" s="32">
        <v>3.5</v>
      </c>
      <c r="L25" s="32">
        <v>4</v>
      </c>
      <c r="M25" s="32">
        <v>6</v>
      </c>
      <c r="P25" s="32"/>
      <c r="R25" s="1091" t="s">
        <v>338</v>
      </c>
      <c r="S25" s="22" t="e">
        <f>IFERROR(INDEX(Flat_skillion_or_cathedral_roof_minimum_R_Value_for_ceiling_insulation_climate_zone_1_two_or_more_storey_dwelling93[[SA ≤ 0.23]:[0.53 &lt; SA ≤ 0.64]],MATCH('13.2 Building Fabric'!$B$29,D_Building_Fabric!$A158:$A159,0),MATCH('13.2 Building Fabric'!$P$29,Flat_skillion_or_cathedral_roof_minimum_R_Value_for_ceiling_insulation_climate_zone_1_two_or_more_storey_dwelling93[[#Headers],[SA ≤ 0.23]:[0.53 &lt; SA ≤ 0.64]],0)),NA())</f>
        <v>#N/A</v>
      </c>
      <c r="T25" s="22" t="e">
        <f>IFERROR(INDEX(Flat_skillion_or_cathedral_roof_minimum_R_Value_for_ceiling_insulation_climate_zone_1_two_or_more_storey_dwelling93[[SA ≤ 0.23]:[0.53 &lt; SA ≤ 0.64]],MATCH('13.2 Building Fabric'!$B$30,D_Building_Fabric!$A158:$A159,0),MATCH('13.2 Building Fabric'!$P$30,Flat_skillion_or_cathedral_roof_minimum_R_Value_for_ceiling_insulation_climate_zone_1_two_or_more_storey_dwelling93[[#Headers],[SA ≤ 0.23]:[0.53 &lt; SA ≤ 0.64]],0)),NA())</f>
        <v>#N/A</v>
      </c>
      <c r="Z25" s="22">
        <f t="shared" si="0"/>
        <v>5</v>
      </c>
      <c r="AA25" s="22" t="s">
        <v>339</v>
      </c>
      <c r="AB25" s="22" t="str" cm="1">
        <f t="array" ref="AB25">IF(COLUMNS($AB$11:AB$11)&lt;=$Z25,INDEX($H:$H,_xlfn.AGGREGATE(15,3,($A$14:$A$147=$AA25)/($A$14:$A$147=$AA25)*ROW($A$14:$A$147),COLUMNS($AB$11:AB$11))),"")</f>
        <v>&lt; 0.5</v>
      </c>
      <c r="AC25" s="22" t="str" cm="1">
        <f t="array" ref="AC25">IF(COLUMNS($AB$11:AC$11)&lt;=$Z25,INDEX($H:$H,_xlfn.AGGREGATE(15,3,($A$14:$A$147=$AA25)/($A$14:$A$147=$AA25)*ROW($A$14:$A$147),COLUMNS($AB$11:AC$11))),"")</f>
        <v>≥ 0.5 to &lt; 1.0</v>
      </c>
      <c r="AD25" s="22" t="str" cm="1">
        <f t="array" ref="AD25">IF(COLUMNS($AB$11:AD$11)&lt;=$Z25,INDEX($H:$H,_xlfn.AGGREGATE(15,3,($A$14:$A$147=$AA25)/($A$14:$A$147=$AA25)*ROW($A$14:$A$147),COLUMNS($AB$11:AD$11))),"")</f>
        <v>≥ 1.0 to &lt; 1.5</v>
      </c>
      <c r="AE25" s="22" t="str" cm="1">
        <f t="array" ref="AE25">IF(COLUMNS($AB$10:AE$10)&lt;=$Z25,INDEX($H:$H,_xlfn.AGGREGATE(15,3,($A$14:$A$147=$AA25)/($A$14:$A$147=$AA25)*ROW($A$14:$A$147),COLUMNS($AB$10:AE$10))),"")</f>
        <v>≥ 1.5 to &lt; 2.0</v>
      </c>
      <c r="AF25" s="22" t="str" cm="1">
        <f t="array" ref="AF25">IF(COLUMNS($AB$10:AF$10)&lt;=$Z25,INDEX($H:$H,_xlfn.AGGREGATE(15,3,($A$14:$A$147=$AA25)/($A$14:$A$147=$AA25)*ROW($A$14:$A$147),COLUMNS($AB$10:AF$10))),"")</f>
        <v>≥ 2.0</v>
      </c>
    </row>
    <row r="26" spans="1:32" s="22" customFormat="1" x14ac:dyDescent="0.3">
      <c r="R26" s="1091" t="s">
        <v>340</v>
      </c>
      <c r="S26" s="22" t="e">
        <f>IFERROR(INDEX(Flat_skillion_or_cathedral_roof_minimum_R_Value_for_ceiling_insulation_climate_zone_294[[SA ≤ 0.23]:[0.53 &lt; SA ≤ 0.64]],MATCH('13.2 Building Fabric'!$B$29,D_Building_Fabric!$A164:$A165,0),MATCH('13.2 Building Fabric'!$P$29,Flat_skillion_or_cathedral_roof_minimum_R_Value_for_ceiling_insulation_climate_zone_294[[#Headers],[SA ≤ 0.23]:[0.53 &lt; SA ≤ 0.64]],0)),NA())</f>
        <v>#N/A</v>
      </c>
      <c r="T26" s="22" t="e">
        <f>IFERROR(INDEX(Flat_skillion_or_cathedral_roof_minimum_R_Value_for_ceiling_insulation_climate_zone_294[[SA ≤ 0.23]:[0.53 &lt; SA ≤ 0.64]],MATCH('13.2 Building Fabric'!$B$30,D_Building_Fabric!$A164:$A165,0),MATCH('13.2 Building Fabric'!$P$30,Flat_skillion_or_cathedral_roof_minimum_R_Value_for_ceiling_insulation_climate_zone_294[[#Headers],[SA ≤ 0.23]:[0.53 &lt; SA ≤ 0.64]],0)),NA())</f>
        <v>#N/A</v>
      </c>
      <c r="Z26" s="22">
        <f t="shared" si="0"/>
        <v>5</v>
      </c>
      <c r="AA26" s="22" t="s">
        <v>341</v>
      </c>
      <c r="AB26" s="22" t="str" cm="1">
        <f t="array" ref="AB26">IF(COLUMNS($AB$11:AB$11)&lt;=$Z26,INDEX($H:$H,_xlfn.AGGREGATE(15,3,($A$14:$A$147=$AA26)/($A$14:$A$147=$AA26)*ROW($A$14:$A$147),COLUMNS($AB$11:AB$11))),"")</f>
        <v>&lt; 0.5</v>
      </c>
      <c r="AC26" s="22" t="str" cm="1">
        <f t="array" ref="AC26">IF(COLUMNS($AB$11:AC$11)&lt;=$Z26,INDEX($H:$H,_xlfn.AGGREGATE(15,3,($A$14:$A$147=$AA26)/($A$14:$A$147=$AA26)*ROW($A$14:$A$147),COLUMNS($AB$11:AC$11))),"")</f>
        <v>≥ 0.5 to &lt; 1.0</v>
      </c>
      <c r="AD26" s="22" t="str" cm="1">
        <f t="array" ref="AD26">IF(COLUMNS($AB$11:AD$11)&lt;=$Z26,INDEX($H:$H,_xlfn.AGGREGATE(15,3,($A$14:$A$147=$AA26)/($A$14:$A$147=$AA26)*ROW($A$14:$A$147),COLUMNS($AB$11:AD$11))),"")</f>
        <v>≥ 1.0 to &lt; 1.5</v>
      </c>
      <c r="AE26" s="22" t="str" cm="1">
        <f t="array" ref="AE26">IF(COLUMNS($AB$10:AE$10)&lt;=$Z26,INDEX($H:$H,_xlfn.AGGREGATE(15,3,($A$14:$A$147=$AA26)/($A$14:$A$147=$AA26)*ROW($A$14:$A$147),COLUMNS($AB$10:AE$10))),"")</f>
        <v>≥ 1.5 to &lt; 2.0</v>
      </c>
      <c r="AF26" s="22" t="str" cm="1">
        <f t="array" ref="AF26">IF(COLUMNS($AB$10:AF$10)&lt;=$Z26,INDEX($H:$H,_xlfn.AGGREGATE(15,3,($A$14:$A$147=$AA26)/($A$14:$A$147=$AA26)*ROW($A$14:$A$147),COLUMNS($AB$10:AF$10))),"")</f>
        <v>≥ 2.0</v>
      </c>
    </row>
    <row r="27" spans="1:32" s="22" customFormat="1" x14ac:dyDescent="0.3">
      <c r="F27" s="22" t="s">
        <v>342</v>
      </c>
      <c r="R27" s="1091" t="s">
        <v>343</v>
      </c>
      <c r="S27" s="22" t="e">
        <f>IFERROR(INDEX($G$170:$K$171,MATCH('13.2 Building Fabric'!$B$29,D_Building_Fabric!$A170:$A171,0),MATCH('13.2 Building Fabric'!$P$29,$G$169:$K$169,0)),NA())</f>
        <v>#N/A</v>
      </c>
      <c r="T27" s="22" t="e">
        <f>IFERROR(INDEX($G$170:$K$171,MATCH('13.2 Building Fabric'!$B$30,D_Building_Fabric!$A170:$A171,0),MATCH('13.2 Building Fabric'!$P$30,$G$169:$K$169,0)),NA())</f>
        <v>#N/A</v>
      </c>
      <c r="Z27" s="22">
        <f t="shared" si="0"/>
        <v>5</v>
      </c>
      <c r="AA27" s="22" t="s">
        <v>344</v>
      </c>
      <c r="AB27" s="22" t="str" cm="1">
        <f t="array" ref="AB27">IF(COLUMNS($AB$11:AB$11)&lt;=$Z27,INDEX($H:$H,_xlfn.AGGREGATE(15,3,($A$14:$A$147=$AA27)/($A$14:$A$147=$AA27)*ROW($A$14:$A$147),COLUMNS($AB$11:AB$11))),"")</f>
        <v>&lt; 0.5</v>
      </c>
      <c r="AC27" s="22" t="str" cm="1">
        <f t="array" ref="AC27">IF(COLUMNS($AB$11:AC$11)&lt;=$Z27,INDEX($H:$H,_xlfn.AGGREGATE(15,3,($A$14:$A$147=$AA27)/($A$14:$A$147=$AA27)*ROW($A$14:$A$147),COLUMNS($AB$11:AC$11))),"")</f>
        <v>≥ 0.5 to &lt; 1.0</v>
      </c>
      <c r="AD27" s="22" t="str" cm="1">
        <f t="array" ref="AD27">IF(COLUMNS($AB$11:AD$11)&lt;=$Z27,INDEX($H:$H,_xlfn.AGGREGATE(15,3,($A$14:$A$147=$AA27)/($A$14:$A$147=$AA27)*ROW($A$14:$A$147),COLUMNS($AB$11:AD$11))),"")</f>
        <v>≥ 1.0 to &lt; 1.5</v>
      </c>
      <c r="AE27" s="22" t="str" cm="1">
        <f t="array" ref="AE27">IF(COLUMNS($AB$10:AE$10)&lt;=$Z27,INDEX($H:$H,_xlfn.AGGREGATE(15,3,($A$14:$A$147=$AA27)/($A$14:$A$147=$AA27)*ROW($A$14:$A$147),COLUMNS($AB$10:AE$10))),"")</f>
        <v>≥ 1.5 to &lt; 2.0</v>
      </c>
      <c r="AF27" s="22" t="str" cm="1">
        <f t="array" ref="AF27">IF(COLUMNS($AB$10:AF$10)&lt;=$Z27,INDEX($H:$H,_xlfn.AGGREGATE(15,3,($A$14:$A$147=$AA27)/($A$14:$A$147=$AA27)*ROW($A$14:$A$147),COLUMNS($AB$10:AF$10))),"")</f>
        <v>≥ 2.0</v>
      </c>
    </row>
    <row r="28" spans="1:32" s="22" customFormat="1" x14ac:dyDescent="0.3">
      <c r="F28" s="22" t="s">
        <v>345</v>
      </c>
      <c r="R28" s="1091" t="s">
        <v>346</v>
      </c>
      <c r="S28" s="22" t="e">
        <f>IFERROR(INDEX($G$176:$G$177,MATCH('13.2 Building Fabric'!$B$29,D_Building_Fabric!$A176:$A177,0),MATCH('13.2 Building Fabric'!$P$29,$G$175,0)),NA())</f>
        <v>#N/A</v>
      </c>
      <c r="T28" s="22" t="e">
        <f>IFERROR(INDEX($G$176:$G$177,MATCH('13.2 Building Fabric'!$B$30,D_Building_Fabric!$A176:$A177,0),MATCH('13.2 Building Fabric'!$P$30,$G$175,0)),NA())</f>
        <v>#N/A</v>
      </c>
      <c r="Z28" s="22">
        <f t="shared" si="0"/>
        <v>2</v>
      </c>
      <c r="AA28" s="22" t="s">
        <v>347</v>
      </c>
      <c r="AB28" s="22" t="str" cm="1">
        <f t="array" ref="AB28">IF(COLUMNS($AB$11:AB$11)&lt;=$Z28,INDEX($H:$H,_xlfn.AGGREGATE(15,3,($A$14:$A$147=$AA28)/($A$14:$A$147=$AA28)*ROW($A$14:$A$147),COLUMNS($AB$11:AB$11))),"")</f>
        <v>&lt; 0.5</v>
      </c>
      <c r="AC28" s="22" t="str" cm="1">
        <f t="array" ref="AC28">IF(COLUMNS($AB$11:AC$11)&lt;=$Z28,INDEX($H:$H,_xlfn.AGGREGATE(15,3,($A$14:$A$147=$AA28)/($A$14:$A$147=$AA28)*ROW($A$14:$A$147),COLUMNS($AB$11:AC$11))),"")</f>
        <v>≥ 0.5</v>
      </c>
      <c r="AD28" s="22" t="str" cm="1">
        <f t="array" ref="AD28">IF(COLUMNS($AB$11:AD$11)&lt;=$Z28,INDEX($H:$H,_xlfn.AGGREGATE(15,3,($A$14:$A$147=$AA28)/($A$14:$A$147=$AA28)*ROW($A$14:$A$147),COLUMNS($AB$11:AD$11))),"")</f>
        <v/>
      </c>
      <c r="AE28" s="22" t="str" cm="1">
        <f t="array" ref="AE28">IF(COLUMNS($AB$10:AE$10)&lt;=$Z28,INDEX($H:$H,_xlfn.AGGREGATE(15,3,($A$14:$A$147=$AA28)/($A$14:$A$147=$AA28)*ROW($A$14:$A$147),COLUMNS($AB$10:AE$10))),"")</f>
        <v/>
      </c>
      <c r="AF28" s="22" t="str" cm="1">
        <f t="array" ref="AF28">IF(COLUMNS($AB$10:AF$10)&lt;=$Z28,INDEX($H:$H,_xlfn.AGGREGATE(15,3,($A$14:$A$147=$AA28)/($A$14:$A$147=$AA28)*ROW($A$14:$A$147),COLUMNS($AB$10:AF$10))),"")</f>
        <v/>
      </c>
    </row>
    <row r="29" spans="1:32" s="22" customFormat="1" x14ac:dyDescent="0.3">
      <c r="A29" s="719" t="str">
        <f>CONCATENATE(B31,C31,D31)</f>
        <v>1Timber-framed pitched roof with horizontal ceilingTwo storey dwelling</v>
      </c>
      <c r="F29" s="22" t="s">
        <v>303</v>
      </c>
      <c r="G29" s="22" t="s">
        <v>304</v>
      </c>
      <c r="H29" s="22" t="s">
        <v>305</v>
      </c>
      <c r="I29" s="22" t="s">
        <v>306</v>
      </c>
      <c r="J29" s="22" t="s">
        <v>307</v>
      </c>
      <c r="K29" s="22" t="s">
        <v>308</v>
      </c>
      <c r="L29" s="22" t="s">
        <v>309</v>
      </c>
      <c r="M29" s="22" t="s">
        <v>310</v>
      </c>
      <c r="R29" s="1091" t="s">
        <v>348</v>
      </c>
      <c r="S29" s="22" t="e">
        <f>IFERROR(INDEX($G$182:$G$183,MATCH('13.2 Building Fabric'!$B$29,D_Building_Fabric!$A182:$A183,0),MATCH('13.2 Building Fabric'!$P$29,$G$181,0)),NA())</f>
        <v>#N/A</v>
      </c>
      <c r="T29" s="22" t="e">
        <f>IFERROR(INDEX($G$182:$G$183,MATCH('13.2 Building Fabric'!$B$30,D_Building_Fabric!$A182:$A183,0),MATCH('13.2 Building Fabric'!$P$30,$G$181,0)),NA())</f>
        <v>#N/A</v>
      </c>
      <c r="Z29" s="22">
        <f t="shared" si="0"/>
        <v>1</v>
      </c>
      <c r="AA29" s="22" t="s">
        <v>349</v>
      </c>
      <c r="AB29" s="22" t="str" cm="1">
        <f t="array" ref="AB29">IF(COLUMNS($AB$11:AB$11)&lt;=$Z29,INDEX($H:$H,_xlfn.AGGREGATE(15,3,($A$14:$A$147=$AA29)/($A$14:$A$147=$AA29)*ROW($A$14:$A$147),COLUMNS($AB$11:AB$11))),"")</f>
        <v>Any</v>
      </c>
      <c r="AC29" s="22" t="str" cm="1">
        <f t="array" ref="AC29">IF(COLUMNS($AB$11:AC$11)&lt;=$Z29,INDEX($H:$H,_xlfn.AGGREGATE(15,3,($A$14:$A$147=$AA29)/($A$14:$A$147=$AA29)*ROW($A$14:$A$147),COLUMNS($AB$11:AC$11))),"")</f>
        <v/>
      </c>
      <c r="AD29" s="22" t="str" cm="1">
        <f t="array" ref="AD29">IF(COLUMNS($AB$11:AD$11)&lt;=$Z29,INDEX($H:$H,_xlfn.AGGREGATE(15,3,($A$14:$A$147=$AA29)/($A$14:$A$147=$AA29)*ROW($A$14:$A$147),COLUMNS($AB$11:AD$11))),"")</f>
        <v/>
      </c>
      <c r="AE29" s="22" t="str" cm="1">
        <f t="array" ref="AE29">IF(COLUMNS($AB$10:AE$10)&lt;=$Z29,INDEX($H:$H,_xlfn.AGGREGATE(15,3,($A$14:$A$147=$AA29)/($A$14:$A$147=$AA29)*ROW($A$14:$A$147),COLUMNS($AB$10:AE$10))),"")</f>
        <v/>
      </c>
      <c r="AF29" s="22" t="str" cm="1">
        <f t="array" ref="AF29">IF(COLUMNS($AB$10:AF$10)&lt;=$Z29,INDEX($H:$H,_xlfn.AGGREGATE(15,3,($A$14:$A$147=$AA29)/($A$14:$A$147=$AA29)*ROW($A$14:$A$147),COLUMNS($AB$10:AF$10))),"")</f>
        <v/>
      </c>
    </row>
    <row r="30" spans="1:32" s="22" customFormat="1" x14ac:dyDescent="0.3">
      <c r="A30" s="22" t="str">
        <f>CONCATENATE(B30,C30,D30,Pitched_roof_with_horizontal_ceiling_minimum_R_Value_for_ceiling_insulation_climate_zone_1_two_or_more_storey_dwelling84[[#This Row],[Roof ventilation]],Pitched_roof_with_horizontal_ceiling_minimum_R_Value_for_ceiling_insulation_climate_zone_1_two_or_more_storey_dwelling84[[#This Row],[Reflective insulation under-roof]])</f>
        <v>1Timber-framed pitched roof with horizontal ceilingTwo storey dwellingVentedYes</v>
      </c>
      <c r="B30" s="22">
        <v>1</v>
      </c>
      <c r="C30" s="22" t="s">
        <v>188</v>
      </c>
      <c r="D30" s="22" t="s">
        <v>22</v>
      </c>
      <c r="E30" s="22" t="str">
        <f>CONCATENATE(A30,Pitched_roof_with_horizontal_ceiling_minimum_R_Value_for_ceiling_insulation_climate_zone_1_two_or_more_storey_dwelling84[[#This Row],[Under-roof insulation R-Value]])</f>
        <v>1Timber-framed pitched roof with horizontal ceilingTwo storey dwellingVentedYes&lt; 1.0</v>
      </c>
      <c r="F30" s="22" t="s">
        <v>189</v>
      </c>
      <c r="G30" s="22" t="s">
        <v>190</v>
      </c>
      <c r="H30" s="22" t="s">
        <v>285</v>
      </c>
      <c r="I30" s="32">
        <v>1.5</v>
      </c>
      <c r="J30" s="32">
        <v>1.5</v>
      </c>
      <c r="K30" s="32">
        <v>1.5</v>
      </c>
      <c r="L30" s="32">
        <v>1.5</v>
      </c>
      <c r="M30" s="32">
        <v>2</v>
      </c>
      <c r="R30" s="1091" t="s">
        <v>350</v>
      </c>
      <c r="S30" s="22" t="e">
        <f>IFERROR(INDEX($G$188:$I$189,MATCH('13.2 Building Fabric'!$B$29,D_Building_Fabric!$A188:$A189,0),MATCH('13.2 Building Fabric'!$P$29,$G$187:$I$187,0)),NA())</f>
        <v>#N/A</v>
      </c>
      <c r="T30" s="22" t="e">
        <f>IFERROR(INDEX($G$188:$I$189,MATCH('13.2 Building Fabric'!$B$30,D_Building_Fabric!$A188:$A189,0),MATCH('13.2 Building Fabric'!$P$30,$G$187:$I$187,0)),NA())</f>
        <v>#N/A</v>
      </c>
      <c r="Z30" s="22">
        <f t="shared" si="0"/>
        <v>1</v>
      </c>
      <c r="AA30" s="22" t="s">
        <v>351</v>
      </c>
      <c r="AB30" s="22" t="str" cm="1">
        <f t="array" ref="AB30">IF(COLUMNS($AB$11:AB$11)&lt;=$Z30,INDEX($H:$H,_xlfn.AGGREGATE(15,3,($A$14:$A$147=$AA30)/($A$14:$A$147=$AA30)*ROW($A$14:$A$147),COLUMNS($AB$11:AB$11))),"")</f>
        <v>Any</v>
      </c>
      <c r="AC30" s="22" t="str" cm="1">
        <f t="array" ref="AC30">IF(COLUMNS($AB$11:AC$11)&lt;=$Z30,INDEX($H:$H,_xlfn.AGGREGATE(15,3,($A$14:$A$147=$AA30)/($A$14:$A$147=$AA30)*ROW($A$14:$A$147),COLUMNS($AB$11:AC$11))),"")</f>
        <v/>
      </c>
      <c r="AD30" s="22" t="str" cm="1">
        <f t="array" ref="AD30">IF(COLUMNS($AB$11:AD$11)&lt;=$Z30,INDEX($H:$H,_xlfn.AGGREGATE(15,3,($A$14:$A$147=$AA30)/($A$14:$A$147=$AA30)*ROW($A$14:$A$147),COLUMNS($AB$11:AD$11))),"")</f>
        <v/>
      </c>
      <c r="AE30" s="22" t="str" cm="1">
        <f t="array" ref="AE30">IF(COLUMNS($AB$10:AE$10)&lt;=$Z30,INDEX($H:$H,_xlfn.AGGREGATE(15,3,($A$14:$A$147=$AA30)/($A$14:$A$147=$AA30)*ROW($A$14:$A$147),COLUMNS($AB$10:AE$10))),"")</f>
        <v/>
      </c>
      <c r="AF30" s="22" t="str" cm="1">
        <f t="array" ref="AF30">IF(COLUMNS($AB$10:AF$10)&lt;=$Z30,INDEX($H:$H,_xlfn.AGGREGATE(15,3,($A$14:$A$147=$AA30)/($A$14:$A$147=$AA30)*ROW($A$14:$A$147),COLUMNS($AB$10:AF$10))),"")</f>
        <v/>
      </c>
    </row>
    <row r="31" spans="1:32" s="22" customFormat="1" x14ac:dyDescent="0.3">
      <c r="A31" s="22" t="str">
        <f>CONCATENATE(B31,C31,D31,Pitched_roof_with_horizontal_ceiling_minimum_R_Value_for_ceiling_insulation_climate_zone_1_two_or_more_storey_dwelling84[[#This Row],[Roof ventilation]],Pitched_roof_with_horizontal_ceiling_minimum_R_Value_for_ceiling_insulation_climate_zone_1_two_or_more_storey_dwelling84[[#This Row],[Reflective insulation under-roof]])</f>
        <v>1Timber-framed pitched roof with horizontal ceilingTwo storey dwellingVentedYes</v>
      </c>
      <c r="B31" s="22">
        <v>1</v>
      </c>
      <c r="C31" s="22" t="s">
        <v>188</v>
      </c>
      <c r="D31" s="22" t="s">
        <v>22</v>
      </c>
      <c r="E31" s="22" t="str">
        <f>CONCATENATE(A31,Pitched_roof_with_horizontal_ceiling_minimum_R_Value_for_ceiling_insulation_climate_zone_1_two_or_more_storey_dwelling84[[#This Row],[Under-roof insulation R-Value]])</f>
        <v>1Timber-framed pitched roof with horizontal ceilingTwo storey dwellingVentedYes≥ 1.0 to &lt; 1.5</v>
      </c>
      <c r="F31" s="22" t="s">
        <v>189</v>
      </c>
      <c r="G31" s="22" t="s">
        <v>190</v>
      </c>
      <c r="H31" s="22" t="s">
        <v>315</v>
      </c>
      <c r="I31" s="32">
        <v>1.5</v>
      </c>
      <c r="J31" s="32">
        <v>1.5</v>
      </c>
      <c r="K31" s="32">
        <v>1.5</v>
      </c>
      <c r="L31" s="32">
        <v>1.5</v>
      </c>
      <c r="M31" s="32">
        <v>1.5</v>
      </c>
      <c r="R31" s="1091" t="s">
        <v>352</v>
      </c>
      <c r="S31" s="22" t="e">
        <f>IFERROR(INDEX($G$194:$N$195,MATCH('13.2 Building Fabric'!$B$29,D_Building_Fabric!$A194:$A195,0),MATCH('13.2 Building Fabric'!$P$29,$G$193:$N$193,0)),NA())</f>
        <v>#N/A</v>
      </c>
      <c r="T31" s="22" t="e">
        <f>IFERROR(INDEX($G$194:$N$195,MATCH('13.2 Building Fabric'!$B$30,D_Building_Fabric!$A194:$A195,0),MATCH('13.2 Building Fabric'!$P$30,$G$193:$N$193,0)),NA())</f>
        <v>#N/A</v>
      </c>
      <c r="Z31" s="22">
        <f t="shared" si="0"/>
        <v>2</v>
      </c>
      <c r="AA31" s="22" t="s">
        <v>353</v>
      </c>
      <c r="AB31" s="22" t="str" cm="1">
        <f t="array" ref="AB31">IF(COLUMNS($AB$11:AB$11)&lt;=$Z31,INDEX($H:$H,_xlfn.AGGREGATE(15,3,($A$14:$A$147=$AA31)/($A$14:$A$147=$AA31)*ROW($A$14:$A$147),COLUMNS($AB$11:AB$11))),"")</f>
        <v>≤ 0.5</v>
      </c>
      <c r="AC31" s="22" t="str" cm="1">
        <f t="array" ref="AC31">IF(COLUMNS($AB$11:AC$11)&lt;=$Z31,INDEX($H:$H,_xlfn.AGGREGATE(15,3,($A$14:$A$147=$AA31)/($A$14:$A$147=$AA31)*ROW($A$14:$A$147),COLUMNS($AB$11:AC$11))),"")</f>
        <v>&gt; 0.5</v>
      </c>
      <c r="AD31" s="22" t="str" cm="1">
        <f t="array" ref="AD31">IF(COLUMNS($AB$11:AD$11)&lt;=$Z31,INDEX($H:$H,_xlfn.AGGREGATE(15,3,($A$14:$A$147=$AA31)/($A$14:$A$147=$AA31)*ROW($A$14:$A$147),COLUMNS($AB$11:AD$11))),"")</f>
        <v/>
      </c>
      <c r="AE31" s="22" t="str" cm="1">
        <f t="array" ref="AE31">IF(COLUMNS($AB$10:AE$10)&lt;=$Z31,INDEX($H:$H,_xlfn.AGGREGATE(15,3,($A$14:$A$147=$AA31)/($A$14:$A$147=$AA31)*ROW($A$14:$A$147),COLUMNS($AB$10:AE$10))),"")</f>
        <v/>
      </c>
      <c r="AF31" s="22" t="str" cm="1">
        <f t="array" ref="AF31">IF(COLUMNS($AB$10:AF$10)&lt;=$Z31,INDEX($H:$H,_xlfn.AGGREGATE(15,3,($A$14:$A$147=$AA31)/($A$14:$A$147=$AA31)*ROW($A$14:$A$147),COLUMNS($AB$10:AF$10))),"")</f>
        <v/>
      </c>
    </row>
    <row r="32" spans="1:32" s="22" customFormat="1" x14ac:dyDescent="0.3">
      <c r="A32" s="22" t="str">
        <f>CONCATENATE(B32,C32,D32,Pitched_roof_with_horizontal_ceiling_minimum_R_Value_for_ceiling_insulation_climate_zone_1_two_or_more_storey_dwelling84[[#This Row],[Roof ventilation]],Pitched_roof_with_horizontal_ceiling_minimum_R_Value_for_ceiling_insulation_climate_zone_1_two_or_more_storey_dwelling84[[#This Row],[Reflective insulation under-roof]])</f>
        <v>1Timber-framed pitched roof with horizontal ceilingTwo storey dwellingVentedYes</v>
      </c>
      <c r="B32" s="22">
        <v>1</v>
      </c>
      <c r="C32" s="22" t="s">
        <v>188</v>
      </c>
      <c r="D32" s="22" t="s">
        <v>22</v>
      </c>
      <c r="E32" s="22" t="str">
        <f>CONCATENATE(A32,Pitched_roof_with_horizontal_ceiling_minimum_R_Value_for_ceiling_insulation_climate_zone_1_two_or_more_storey_dwelling84[[#This Row],[Under-roof insulation R-Value]])</f>
        <v>1Timber-framed pitched roof with horizontal ceilingTwo storey dwellingVentedYes≥ 1.5 to &lt; 2.0</v>
      </c>
      <c r="F32" s="22" t="s">
        <v>189</v>
      </c>
      <c r="G32" s="22" t="s">
        <v>190</v>
      </c>
      <c r="H32" s="22" t="s">
        <v>354</v>
      </c>
      <c r="I32" s="32">
        <v>1.5</v>
      </c>
      <c r="J32" s="32">
        <v>1.5</v>
      </c>
      <c r="K32" s="32">
        <v>1.5</v>
      </c>
      <c r="L32" s="32">
        <v>1.5</v>
      </c>
      <c r="M32" s="32">
        <v>1.5</v>
      </c>
      <c r="R32" s="1091" t="s">
        <v>355</v>
      </c>
      <c r="S32" s="22" t="e">
        <f>IFERROR(INDEX($G$200:$N$201,MATCH('13.2 Building Fabric'!$B$29,D_Building_Fabric!$A200:$A201,0),MATCH('13.2 Building Fabric'!$P$29,$G$199:$N$199,0)),NA())</f>
        <v>#N/A</v>
      </c>
      <c r="T32" s="22" t="e">
        <f>IFERROR(INDEX($G$200:$N$201,MATCH('13.2 Building Fabric'!$B$30,D_Building_Fabric!$A200:$A201,0),MATCH('13.2 Building Fabric'!$P$30,$G$199:$N$199,0)),NA())</f>
        <v>#N/A</v>
      </c>
      <c r="Z32" s="22">
        <f t="shared" si="0"/>
        <v>2</v>
      </c>
      <c r="AA32" s="22" t="s">
        <v>356</v>
      </c>
      <c r="AB32" s="22" t="str" cm="1">
        <f t="array" ref="AB32">IF(COLUMNS($AB$11:AB$11)&lt;=$Z32,INDEX($H:$H,_xlfn.AGGREGATE(15,3,($A$14:$A$147=$AA32)/($A$14:$A$147=$AA32)*ROW($A$14:$A$147),COLUMNS($AB$11:AB$11))),"")</f>
        <v>&lt; 0.5</v>
      </c>
      <c r="AC32" s="22" t="str" cm="1">
        <f t="array" ref="AC32">IF(COLUMNS($AB$11:AC$11)&lt;=$Z32,INDEX($H:$H,_xlfn.AGGREGATE(15,3,($A$14:$A$147=$AA32)/($A$14:$A$147=$AA32)*ROW($A$14:$A$147),COLUMNS($AB$11:AC$11))),"")</f>
        <v>≥ 0.5</v>
      </c>
      <c r="AD32" s="22" t="str" cm="1">
        <f t="array" ref="AD32">IF(COLUMNS($AB$11:AD$11)&lt;=$Z32,INDEX($H:$H,_xlfn.AGGREGATE(15,3,($A$14:$A$147=$AA32)/($A$14:$A$147=$AA32)*ROW($A$14:$A$147),COLUMNS($AB$11:AD$11))),"")</f>
        <v/>
      </c>
      <c r="AE32" s="22" t="str" cm="1">
        <f t="array" ref="AE32">IF(COLUMNS($AB$10:AE$10)&lt;=$Z32,INDEX($H:$H,_xlfn.AGGREGATE(15,3,($A$14:$A$147=$AA32)/($A$14:$A$147=$AA32)*ROW($A$14:$A$147),COLUMNS($AB$10:AE$10))),"")</f>
        <v/>
      </c>
      <c r="AF32" s="22" t="str" cm="1">
        <f t="array" ref="AF32">IF(COLUMNS($AB$10:AF$10)&lt;=$Z32,INDEX($H:$H,_xlfn.AGGREGATE(15,3,($A$14:$A$147=$AA32)/($A$14:$A$147=$AA32)*ROW($A$14:$A$147),COLUMNS($AB$10:AF$10))),"")</f>
        <v/>
      </c>
    </row>
    <row r="33" spans="1:32" s="22" customFormat="1" ht="14.5" x14ac:dyDescent="0.35">
      <c r="A33" s="22" t="str">
        <f>CONCATENATE(B33,C33,D33,Pitched_roof_with_horizontal_ceiling_minimum_R_Value_for_ceiling_insulation_climate_zone_1_two_or_more_storey_dwelling84[[#This Row],[Roof ventilation]],Pitched_roof_with_horizontal_ceiling_minimum_R_Value_for_ceiling_insulation_climate_zone_1_two_or_more_storey_dwelling84[[#This Row],[Reflective insulation under-roof]])</f>
        <v>1Timber-framed pitched roof with horizontal ceilingTwo storey dwellingVentedYes</v>
      </c>
      <c r="B33" s="22">
        <v>1</v>
      </c>
      <c r="C33" s="22" t="s">
        <v>188</v>
      </c>
      <c r="D33" s="22" t="s">
        <v>22</v>
      </c>
      <c r="E33" s="22" t="str">
        <f>CONCATENATE(A33,Pitched_roof_with_horizontal_ceiling_minimum_R_Value_for_ceiling_insulation_climate_zone_1_two_or_more_storey_dwelling84[[#This Row],[Under-roof insulation R-Value]])</f>
        <v>1Timber-framed pitched roof with horizontal ceilingTwo storey dwellingVentedYes≥ 2.0</v>
      </c>
      <c r="F33" s="22" t="s">
        <v>189</v>
      </c>
      <c r="G33" s="22" t="s">
        <v>190</v>
      </c>
      <c r="H33" s="22" t="s">
        <v>357</v>
      </c>
      <c r="I33" s="32">
        <v>1.5</v>
      </c>
      <c r="J33" s="32">
        <v>1.5</v>
      </c>
      <c r="K33" s="32">
        <v>1.5</v>
      </c>
      <c r="L33" s="32">
        <v>2</v>
      </c>
      <c r="M33" s="32">
        <v>2</v>
      </c>
      <c r="R33" s="1092" t="s">
        <v>334</v>
      </c>
      <c r="Z33" s="22">
        <f t="shared" si="0"/>
        <v>2</v>
      </c>
      <c r="AA33" s="22" t="s">
        <v>358</v>
      </c>
      <c r="AB33" s="22" t="str" cm="1">
        <f t="array" ref="AB33">IF(COLUMNS($AB$11:AB$11)&lt;=$Z33,INDEX($H:$H,_xlfn.AGGREGATE(15,3,($A$14:$A$147=$AA33)/($A$14:$A$147=$AA33)*ROW($A$14:$A$147),COLUMNS($AB$11:AB$11))),"")</f>
        <v>&lt; 2.0</v>
      </c>
      <c r="AC33" s="22" t="str" cm="1">
        <f t="array" ref="AC33">IF(COLUMNS($AB$11:AC$11)&lt;=$Z33,INDEX($H:$H,_xlfn.AGGREGATE(15,3,($A$14:$A$147=$AA33)/($A$14:$A$147=$AA33)*ROW($A$14:$A$147),COLUMNS($AB$11:AC$11))),"")</f>
        <v>≥ 2.0</v>
      </c>
      <c r="AD33" s="22" t="str" cm="1">
        <f t="array" ref="AD33">IF(COLUMNS($AB$11:AD$11)&lt;=$Z33,INDEX($H:$H,_xlfn.AGGREGATE(15,3,($A$14:$A$147=$AA33)/($A$14:$A$147=$AA33)*ROW($A$14:$A$147),COLUMNS($AB$11:AD$11))),"")</f>
        <v/>
      </c>
      <c r="AE33" s="22" t="str" cm="1">
        <f t="array" ref="AE33">IF(COLUMNS($AB$10:AE$10)&lt;=$Z33,INDEX($H:$H,_xlfn.AGGREGATE(15,3,($A$14:$A$147=$AA33)/($A$14:$A$147=$AA33)*ROW($A$14:$A$147),COLUMNS($AB$10:AE$10))),"")</f>
        <v/>
      </c>
      <c r="AF33" s="22" t="str" cm="1">
        <f t="array" ref="AF33">IF(COLUMNS($AB$10:AF$10)&lt;=$Z33,INDEX($H:$H,_xlfn.AGGREGATE(15,3,($A$14:$A$147=$AA33)/($A$14:$A$147=$AA33)*ROW($A$14:$A$147),COLUMNS($AB$10:AF$10))),"")</f>
        <v/>
      </c>
    </row>
    <row r="34" spans="1:32" s="22" customFormat="1" x14ac:dyDescent="0.3">
      <c r="A34" s="22" t="str">
        <f>CONCATENATE(B34,C34,D34,Pitched_roof_with_horizontal_ceiling_minimum_R_Value_for_ceiling_insulation_climate_zone_1_two_or_more_storey_dwelling84[[#This Row],[Roof ventilation]],Pitched_roof_with_horizontal_ceiling_minimum_R_Value_for_ceiling_insulation_climate_zone_1_two_or_more_storey_dwelling84[[#This Row],[Reflective insulation under-roof]])</f>
        <v>1Timber-framed pitched roof with horizontal ceilingTwo storey dwellingVentedNo</v>
      </c>
      <c r="B34" s="22">
        <v>1</v>
      </c>
      <c r="C34" s="22" t="s">
        <v>188</v>
      </c>
      <c r="D34" s="22" t="s">
        <v>22</v>
      </c>
      <c r="E34" s="22" t="str">
        <f>CONCATENATE(A34,Pitched_roof_with_horizontal_ceiling_minimum_R_Value_for_ceiling_insulation_climate_zone_1_two_or_more_storey_dwelling84[[#This Row],[Under-roof insulation R-Value]])</f>
        <v>1Timber-framed pitched roof with horizontal ceilingTwo storey dwellingVentedNo&lt; 1.0</v>
      </c>
      <c r="F34" s="22" t="s">
        <v>189</v>
      </c>
      <c r="G34" s="22" t="s">
        <v>29</v>
      </c>
      <c r="H34" s="22" t="s">
        <v>285</v>
      </c>
      <c r="I34" s="32">
        <v>2</v>
      </c>
      <c r="J34" s="32">
        <v>2.5</v>
      </c>
      <c r="K34" s="32">
        <v>4</v>
      </c>
      <c r="L34" s="32">
        <v>5</v>
      </c>
      <c r="M34" s="32" t="s">
        <v>321</v>
      </c>
      <c r="R34" s="1091" t="s">
        <v>232</v>
      </c>
      <c r="S34" s="22" t="e">
        <f>IFERROR(INDEX($G$275:$N$285,MATCH('13.2 Building Fabric'!$B$29,$A$275:$A$285,0),MATCH('13.2 Building Fabric'!$P$29,$G$274:$N$274,0)),NA())</f>
        <v>#N/A</v>
      </c>
      <c r="T34" s="22" t="e">
        <f>IFERROR(INDEX($G$275:$N$285,MATCH('13.2 Building Fabric'!$D$30,$A$275:$A$285,0),MATCH('13.2 Building Fabric'!$P$30,$G$274:$N$274,0)),NA())</f>
        <v>#N/A</v>
      </c>
      <c r="Z34" s="22">
        <f t="shared" si="0"/>
        <v>1</v>
      </c>
      <c r="AA34" s="22" t="s">
        <v>359</v>
      </c>
      <c r="AB34" s="22" t="str" cm="1">
        <f t="array" ref="AB34">IF(COLUMNS($AB$11:AB$11)&lt;=$Z34,INDEX($H:$H,_xlfn.AGGREGATE(15,3,($A$14:$A$147=$AA34)/($A$14:$A$147=$AA34)*ROW($A$14:$A$147),COLUMNS($AB$11:AB$11))),"")</f>
        <v>Any</v>
      </c>
      <c r="AC34" s="22" t="str" cm="1">
        <f t="array" ref="AC34">IF(COLUMNS($AB$11:AC$11)&lt;=$Z34,INDEX($H:$H,_xlfn.AGGREGATE(15,3,($A$14:$A$147=$AA34)/($A$14:$A$147=$AA34)*ROW($A$14:$A$147),COLUMNS($AB$11:AC$11))),"")</f>
        <v/>
      </c>
      <c r="AD34" s="22" t="str" cm="1">
        <f t="array" ref="AD34">IF(COLUMNS($AB$11:AD$11)&lt;=$Z34,INDEX($H:$H,_xlfn.AGGREGATE(15,3,($A$14:$A$147=$AA34)/($A$14:$A$147=$AA34)*ROW($A$14:$A$147),COLUMNS($AB$11:AD$11))),"")</f>
        <v/>
      </c>
      <c r="AE34" s="22" t="str" cm="1">
        <f t="array" ref="AE34">IF(COLUMNS($AB$10:AE$10)&lt;=$Z34,INDEX($H:$H,_xlfn.AGGREGATE(15,3,($A$14:$A$147=$AA34)/($A$14:$A$147=$AA34)*ROW($A$14:$A$147),COLUMNS($AB$10:AE$10))),"")</f>
        <v/>
      </c>
      <c r="AF34" s="22" t="str" cm="1">
        <f t="array" ref="AF34">IF(COLUMNS($AB$10:AF$10)&lt;=$Z34,INDEX($H:$H,_xlfn.AGGREGATE(15,3,($A$14:$A$147=$AA34)/($A$14:$A$147=$AA34)*ROW($A$14:$A$147),COLUMNS($AB$10:AF$10))),"")</f>
        <v/>
      </c>
    </row>
    <row r="35" spans="1:32" s="22" customFormat="1" x14ac:dyDescent="0.3">
      <c r="A35" s="22" t="str">
        <f>CONCATENATE(B35,C35,D35,Pitched_roof_with_horizontal_ceiling_minimum_R_Value_for_ceiling_insulation_climate_zone_1_two_or_more_storey_dwelling84[[#This Row],[Roof ventilation]],Pitched_roof_with_horizontal_ceiling_minimum_R_Value_for_ceiling_insulation_climate_zone_1_two_or_more_storey_dwelling84[[#This Row],[Reflective insulation under-roof]])</f>
        <v>1Timber-framed pitched roof with horizontal ceilingTwo storey dwellingVentedNo</v>
      </c>
      <c r="B35" s="22">
        <v>1</v>
      </c>
      <c r="C35" s="22" t="s">
        <v>188</v>
      </c>
      <c r="D35" s="22" t="s">
        <v>22</v>
      </c>
      <c r="E35" s="22" t="str">
        <f>CONCATENATE(A35,Pitched_roof_with_horizontal_ceiling_minimum_R_Value_for_ceiling_insulation_climate_zone_1_two_or_more_storey_dwelling84[[#This Row],[Under-roof insulation R-Value]])</f>
        <v>1Timber-framed pitched roof with horizontal ceilingTwo storey dwellingVentedNo≥ 1.0 to &lt; 1.5</v>
      </c>
      <c r="F35" s="22" t="s">
        <v>189</v>
      </c>
      <c r="G35" s="22" t="s">
        <v>29</v>
      </c>
      <c r="H35" s="22" t="s">
        <v>315</v>
      </c>
      <c r="I35" s="32">
        <v>1.5</v>
      </c>
      <c r="J35" s="32">
        <v>1.5</v>
      </c>
      <c r="K35" s="32">
        <v>1.5</v>
      </c>
      <c r="L35" s="32">
        <v>1.5</v>
      </c>
      <c r="M35" s="32">
        <v>2.5</v>
      </c>
      <c r="O35" s="719"/>
      <c r="R35" s="719"/>
      <c r="Z35" s="22">
        <f t="shared" si="0"/>
        <v>3</v>
      </c>
      <c r="AA35" s="22" t="s">
        <v>360</v>
      </c>
      <c r="AB35" s="22" t="str" cm="1">
        <f t="array" ref="AB35">IF(COLUMNS($AB$11:AB$11)&lt;=$Z35,INDEX($H:$H,_xlfn.AGGREGATE(15,3,($A$14:$A$147=$AA35)/($A$14:$A$147=$AA35)*ROW($A$14:$A$147),COLUMNS($AB$11:AB$11))),"")</f>
        <v>≤ 0.5</v>
      </c>
      <c r="AC35" s="22" t="str" cm="1">
        <f t="array" ref="AC35">IF(COLUMNS($AB$11:AC$11)&lt;=$Z35,INDEX($H:$H,_xlfn.AGGREGATE(15,3,($A$14:$A$147=$AA35)/($A$14:$A$147=$AA35)*ROW($A$14:$A$147),COLUMNS($AB$11:AC$11))),"")</f>
        <v>&gt; 0.5 to &lt; 2.0</v>
      </c>
      <c r="AD35" s="22" t="str" cm="1">
        <f t="array" ref="AD35">IF(COLUMNS($AB$11:AD$11)&lt;=$Z35,INDEX($H:$H,_xlfn.AGGREGATE(15,3,($A$14:$A$147=$AA35)/($A$14:$A$147=$AA35)*ROW($A$14:$A$147),COLUMNS($AB$11:AD$11))),"")</f>
        <v>≥ 2.0</v>
      </c>
      <c r="AE35" s="22" t="str" cm="1">
        <f t="array" ref="AE35">IF(COLUMNS($AB$10:AE$10)&lt;=$Z35,INDEX($H:$H,_xlfn.AGGREGATE(15,3,($A$14:$A$147=$AA35)/($A$14:$A$147=$AA35)*ROW($A$14:$A$147),COLUMNS($AB$10:AE$10))),"")</f>
        <v/>
      </c>
      <c r="AF35" s="22" t="str" cm="1">
        <f t="array" ref="AF35">IF(COLUMNS($AB$10:AF$10)&lt;=$Z35,INDEX($H:$H,_xlfn.AGGREGATE(15,3,($A$14:$A$147=$AA35)/($A$14:$A$147=$AA35)*ROW($A$14:$A$147),COLUMNS($AB$10:AF$10))),"")</f>
        <v/>
      </c>
    </row>
    <row r="36" spans="1:32" s="22" customFormat="1" x14ac:dyDescent="0.3">
      <c r="A36" s="22" t="str">
        <f>CONCATENATE(B36,C36,D36,Pitched_roof_with_horizontal_ceiling_minimum_R_Value_for_ceiling_insulation_climate_zone_1_two_or_more_storey_dwelling84[[#This Row],[Roof ventilation]],Pitched_roof_with_horizontal_ceiling_minimum_R_Value_for_ceiling_insulation_climate_zone_1_two_or_more_storey_dwelling84[[#This Row],[Reflective insulation under-roof]])</f>
        <v>1Timber-framed pitched roof with horizontal ceilingTwo storey dwellingVentedNo</v>
      </c>
      <c r="B36" s="22">
        <v>1</v>
      </c>
      <c r="C36" s="22" t="s">
        <v>188</v>
      </c>
      <c r="D36" s="22" t="s">
        <v>22</v>
      </c>
      <c r="E36" s="22" t="str">
        <f>CONCATENATE(A36,Pitched_roof_with_horizontal_ceiling_minimum_R_Value_for_ceiling_insulation_climate_zone_1_two_or_more_storey_dwelling84[[#This Row],[Under-roof insulation R-Value]])</f>
        <v>1Timber-framed pitched roof with horizontal ceilingTwo storey dwellingVentedNo≥ 1.5 to &lt; 2.0</v>
      </c>
      <c r="F36" s="22" t="s">
        <v>189</v>
      </c>
      <c r="G36" s="22" t="s">
        <v>29</v>
      </c>
      <c r="H36" s="22" t="s">
        <v>354</v>
      </c>
      <c r="I36" s="32">
        <v>1.5</v>
      </c>
      <c r="J36" s="32">
        <v>1.5</v>
      </c>
      <c r="K36" s="32">
        <v>1.5</v>
      </c>
      <c r="L36" s="32">
        <v>2</v>
      </c>
      <c r="M36" s="32">
        <v>2</v>
      </c>
      <c r="R36" s="719"/>
      <c r="Z36" s="22">
        <f t="shared" si="0"/>
        <v>2</v>
      </c>
      <c r="AA36" s="22" t="s">
        <v>361</v>
      </c>
      <c r="AB36" s="22" t="str" cm="1">
        <f t="array" ref="AB36">IF(COLUMNS($AB$11:AB$11)&lt;=$Z36,INDEX($H:$H,_xlfn.AGGREGATE(15,3,($A$14:$A$147=$AA36)/($A$14:$A$147=$AA36)*ROW($A$14:$A$147),COLUMNS($AB$11:AB$11))),"")</f>
        <v>&lt; 1.0</v>
      </c>
      <c r="AC36" s="22" t="str" cm="1">
        <f t="array" ref="AC36">IF(COLUMNS($AB$11:AC$11)&lt;=$Z36,INDEX($H:$H,_xlfn.AGGREGATE(15,3,($A$14:$A$147=$AA36)/($A$14:$A$147=$AA36)*ROW($A$14:$A$147),COLUMNS($AB$11:AC$11))),"")</f>
        <v>≥ 1.0</v>
      </c>
      <c r="AD36" s="22" t="str" cm="1">
        <f t="array" ref="AD36">IF(COLUMNS($AB$11:AD$11)&lt;=$Z36,INDEX($H:$H,_xlfn.AGGREGATE(15,3,($A$14:$A$147=$AA36)/($A$14:$A$147=$AA36)*ROW($A$14:$A$147),COLUMNS($AB$11:AD$11))),"")</f>
        <v/>
      </c>
      <c r="AE36" s="22" t="str" cm="1">
        <f t="array" ref="AE36">IF(COLUMNS($AB$10:AE$10)&lt;=$Z36,INDEX($H:$H,_xlfn.AGGREGATE(15,3,($A$14:$A$147=$AA36)/($A$14:$A$147=$AA36)*ROW($A$14:$A$147),COLUMNS($AB$10:AE$10))),"")</f>
        <v/>
      </c>
      <c r="AF36" s="22" t="str" cm="1">
        <f t="array" ref="AF36">IF(COLUMNS($AB$10:AF$10)&lt;=$Z36,INDEX($H:$H,_xlfn.AGGREGATE(15,3,($A$14:$A$147=$AA36)/($A$14:$A$147=$AA36)*ROW($A$14:$A$147),COLUMNS($AB$10:AF$10))),"")</f>
        <v/>
      </c>
    </row>
    <row r="37" spans="1:32" s="22" customFormat="1" x14ac:dyDescent="0.3">
      <c r="A37" s="22" t="str">
        <f>CONCATENATE(B37,C37,D37,Pitched_roof_with_horizontal_ceiling_minimum_R_Value_for_ceiling_insulation_climate_zone_1_two_or_more_storey_dwelling84[[#This Row],[Roof ventilation]],Pitched_roof_with_horizontal_ceiling_minimum_R_Value_for_ceiling_insulation_climate_zone_1_two_or_more_storey_dwelling84[[#This Row],[Reflective insulation under-roof]])</f>
        <v>1Timber-framed pitched roof with horizontal ceilingTwo storey dwellingVentedNo</v>
      </c>
      <c r="B37" s="22">
        <v>1</v>
      </c>
      <c r="C37" s="22" t="s">
        <v>188</v>
      </c>
      <c r="D37" s="22" t="s">
        <v>22</v>
      </c>
      <c r="E37" s="22" t="str">
        <f>CONCATENATE(A37,Pitched_roof_with_horizontal_ceiling_minimum_R_Value_for_ceiling_insulation_climate_zone_1_two_or_more_storey_dwelling84[[#This Row],[Under-roof insulation R-Value]])</f>
        <v>1Timber-framed pitched roof with horizontal ceilingTwo storey dwellingVentedNo≥ 2.0</v>
      </c>
      <c r="F37" s="22" t="s">
        <v>189</v>
      </c>
      <c r="G37" s="22" t="s">
        <v>29</v>
      </c>
      <c r="H37" s="22" t="s">
        <v>357</v>
      </c>
      <c r="I37" s="32">
        <v>1.5</v>
      </c>
      <c r="J37" s="32">
        <v>1.5</v>
      </c>
      <c r="K37" s="32">
        <v>1.5</v>
      </c>
      <c r="L37" s="32">
        <v>1.5</v>
      </c>
      <c r="M37" s="32">
        <v>1.5</v>
      </c>
      <c r="O37" s="719"/>
      <c r="R37" s="719"/>
      <c r="Z37" s="22">
        <f t="shared" si="0"/>
        <v>2</v>
      </c>
      <c r="AA37" s="22" t="s">
        <v>362</v>
      </c>
      <c r="AB37" s="22" t="str" cm="1">
        <f t="array" ref="AB37">IF(COLUMNS($AB$11:AB$11)&lt;=$Z37,INDEX($H:$H,_xlfn.AGGREGATE(15,3,($A$14:$A$147=$AA37)/($A$14:$A$147=$AA37)*ROW($A$14:$A$147),COLUMNS($AB$11:AB$11))),"")</f>
        <v>&lt; 1.0</v>
      </c>
      <c r="AC37" s="22" t="str" cm="1">
        <f t="array" ref="AC37">IF(COLUMNS($AB$11:AC$11)&lt;=$Z37,INDEX($H:$H,_xlfn.AGGREGATE(15,3,($A$14:$A$147=$AA37)/($A$14:$A$147=$AA37)*ROW($A$14:$A$147),COLUMNS($AB$11:AC$11))),"")</f>
        <v>≥ 1.0</v>
      </c>
      <c r="AD37" s="22" t="str" cm="1">
        <f t="array" ref="AD37">IF(COLUMNS($AB$11:AD$11)&lt;=$Z37,INDEX($H:$H,_xlfn.AGGREGATE(15,3,($A$14:$A$147=$AA37)/($A$14:$A$147=$AA37)*ROW($A$14:$A$147),COLUMNS($AB$11:AD$11))),"")</f>
        <v/>
      </c>
      <c r="AE37" s="22" t="str" cm="1">
        <f t="array" ref="AE37">IF(COLUMNS($AB$10:AE$10)&lt;=$Z37,INDEX($H:$H,_xlfn.AGGREGATE(15,3,($A$14:$A$147=$AA37)/($A$14:$A$147=$AA37)*ROW($A$14:$A$147),COLUMNS($AB$10:AE$10))),"")</f>
        <v/>
      </c>
      <c r="AF37" s="22" t="str" cm="1">
        <f t="array" ref="AF37">IF(COLUMNS($AB$10:AF$10)&lt;=$Z37,INDEX($H:$H,_xlfn.AGGREGATE(15,3,($A$14:$A$147=$AA37)/($A$14:$A$147=$AA37)*ROW($A$14:$A$147),COLUMNS($AB$10:AF$10))),"")</f>
        <v/>
      </c>
    </row>
    <row r="38" spans="1:32" s="22" customFormat="1" x14ac:dyDescent="0.3">
      <c r="A38" s="22" t="str">
        <f>CONCATENATE(B38,C38,D38,Pitched_roof_with_horizontal_ceiling_minimum_R_Value_for_ceiling_insulation_climate_zone_1_two_or_more_storey_dwelling84[[#This Row],[Roof ventilation]],Pitched_roof_with_horizontal_ceiling_minimum_R_Value_for_ceiling_insulation_climate_zone_1_two_or_more_storey_dwelling84[[#This Row],[Reflective insulation under-roof]])</f>
        <v>1Timber-framed pitched roof with horizontal ceilingTwo storey dwellingStandardYes</v>
      </c>
      <c r="B38" s="22">
        <v>1</v>
      </c>
      <c r="C38" s="22" t="s">
        <v>188</v>
      </c>
      <c r="D38" s="22" t="s">
        <v>22</v>
      </c>
      <c r="E38" s="22" t="str">
        <f>CONCATENATE(A38,Pitched_roof_with_horizontal_ceiling_minimum_R_Value_for_ceiling_insulation_climate_zone_1_two_or_more_storey_dwelling84[[#This Row],[Under-roof insulation R-Value]])</f>
        <v>1Timber-framed pitched roof with horizontal ceilingTwo storey dwellingStandardYes&lt; 1.0</v>
      </c>
      <c r="F38" s="22" t="s">
        <v>205</v>
      </c>
      <c r="G38" s="22" t="s">
        <v>190</v>
      </c>
      <c r="H38" s="22" t="s">
        <v>285</v>
      </c>
      <c r="I38" s="32">
        <v>1.5</v>
      </c>
      <c r="J38" s="32">
        <v>1.5</v>
      </c>
      <c r="K38" s="32">
        <v>2</v>
      </c>
      <c r="L38" s="32">
        <v>3</v>
      </c>
      <c r="M38" s="32">
        <v>4</v>
      </c>
      <c r="R38" s="719"/>
      <c r="Z38" s="22">
        <f t="shared" si="0"/>
        <v>2</v>
      </c>
      <c r="AA38" s="22" t="s">
        <v>363</v>
      </c>
      <c r="AB38" s="22" t="str" cm="1">
        <f t="array" ref="AB38">IF(COLUMNS($AB$11:AB$11)&lt;=$Z38,INDEX($H:$H,_xlfn.AGGREGATE(15,3,($A$14:$A$147=$AA38)/($A$14:$A$147=$AA38)*ROW($A$14:$A$147),COLUMNS($AB$11:AB$11))),"")</f>
        <v>&lt; 1.0</v>
      </c>
      <c r="AC38" s="22" t="str" cm="1">
        <f t="array" ref="AC38">IF(COLUMNS($AB$11:AC$11)&lt;=$Z38,INDEX($H:$H,_xlfn.AGGREGATE(15,3,($A$14:$A$147=$AA38)/($A$14:$A$147=$AA38)*ROW($A$14:$A$147),COLUMNS($AB$11:AC$11))),"")</f>
        <v>≥ 1.0</v>
      </c>
      <c r="AD38" s="22" t="str" cm="1">
        <f t="array" ref="AD38">IF(COLUMNS($AB$11:AD$11)&lt;=$Z38,INDEX($H:$H,_xlfn.AGGREGATE(15,3,($A$14:$A$147=$AA38)/($A$14:$A$147=$AA38)*ROW($A$14:$A$147),COLUMNS($AB$11:AD$11))),"")</f>
        <v/>
      </c>
      <c r="AE38" s="22" t="str" cm="1">
        <f t="array" ref="AE38">IF(COLUMNS($AB$10:AE$10)&lt;=$Z38,INDEX($H:$H,_xlfn.AGGREGATE(15,3,($A$14:$A$147=$AA38)/($A$14:$A$147=$AA38)*ROW($A$14:$A$147),COLUMNS($AB$10:AE$10))),"")</f>
        <v/>
      </c>
      <c r="AF38" s="22" t="str" cm="1">
        <f t="array" ref="AF38">IF(COLUMNS($AB$10:AF$10)&lt;=$Z38,INDEX($H:$H,_xlfn.AGGREGATE(15,3,($A$14:$A$147=$AA38)/($A$14:$A$147=$AA38)*ROW($A$14:$A$147),COLUMNS($AB$10:AF$10))),"")</f>
        <v/>
      </c>
    </row>
    <row r="39" spans="1:32" s="22" customFormat="1" x14ac:dyDescent="0.3">
      <c r="A39" s="22" t="str">
        <f>CONCATENATE(B39,C39,D39,Pitched_roof_with_horizontal_ceiling_minimum_R_Value_for_ceiling_insulation_climate_zone_1_two_or_more_storey_dwelling84[[#This Row],[Roof ventilation]],Pitched_roof_with_horizontal_ceiling_minimum_R_Value_for_ceiling_insulation_climate_zone_1_two_or_more_storey_dwelling84[[#This Row],[Reflective insulation under-roof]])</f>
        <v>1Timber-framed pitched roof with horizontal ceilingTwo storey dwellingStandardYes</v>
      </c>
      <c r="B39" s="22">
        <v>1</v>
      </c>
      <c r="C39" s="22" t="s">
        <v>188</v>
      </c>
      <c r="D39" s="22" t="s">
        <v>22</v>
      </c>
      <c r="E39" s="22" t="str">
        <f>CONCATENATE(A39,Pitched_roof_with_horizontal_ceiling_minimum_R_Value_for_ceiling_insulation_climate_zone_1_two_or_more_storey_dwelling84[[#This Row],[Under-roof insulation R-Value]])</f>
        <v>1Timber-framed pitched roof with horizontal ceilingTwo storey dwellingStandardYes≥ 1.0 to &lt; 1.5</v>
      </c>
      <c r="F39" s="22" t="s">
        <v>205</v>
      </c>
      <c r="G39" s="22" t="s">
        <v>190</v>
      </c>
      <c r="H39" s="22" t="s">
        <v>315</v>
      </c>
      <c r="I39" s="32">
        <v>1.5</v>
      </c>
      <c r="J39" s="32">
        <v>1.5</v>
      </c>
      <c r="K39" s="32">
        <v>1.5</v>
      </c>
      <c r="L39" s="32">
        <v>1.5</v>
      </c>
      <c r="M39" s="32">
        <v>2.5</v>
      </c>
      <c r="R39" s="719"/>
      <c r="Z39" s="22">
        <f t="shared" si="0"/>
        <v>2</v>
      </c>
      <c r="AA39" s="22" t="s">
        <v>364</v>
      </c>
      <c r="AB39" s="22" t="str" cm="1">
        <f t="array" ref="AB39">IF(COLUMNS($AB$11:AB$11)&lt;=$Z39,INDEX($H:$H,_xlfn.AGGREGATE(15,3,($A$14:$A$147=$AA39)/($A$14:$A$147=$AA39)*ROW($A$14:$A$147),COLUMNS($AB$11:AB$11))),"")</f>
        <v>&lt; 1.0</v>
      </c>
      <c r="AC39" s="22" t="str" cm="1">
        <f t="array" ref="AC39">IF(COLUMNS($AB$11:AC$11)&lt;=$Z39,INDEX($H:$H,_xlfn.AGGREGATE(15,3,($A$14:$A$147=$AA39)/($A$14:$A$147=$AA39)*ROW($A$14:$A$147),COLUMNS($AB$11:AC$11))),"")</f>
        <v>≥ 1.0</v>
      </c>
      <c r="AD39" s="22" t="str" cm="1">
        <f t="array" ref="AD39">IF(COLUMNS($AB$11:AD$11)&lt;=$Z39,INDEX($H:$H,_xlfn.AGGREGATE(15,3,($A$14:$A$147=$AA39)/($A$14:$A$147=$AA39)*ROW($A$14:$A$147),COLUMNS($AB$11:AD$11))),"")</f>
        <v/>
      </c>
      <c r="AE39" s="22" t="str" cm="1">
        <f t="array" ref="AE39">IF(COLUMNS($AB$10:AE$10)&lt;=$Z39,INDEX($H:$H,_xlfn.AGGREGATE(15,3,($A$14:$A$147=$AA39)/($A$14:$A$147=$AA39)*ROW($A$14:$A$147),COLUMNS($AB$10:AE$10))),"")</f>
        <v/>
      </c>
      <c r="AF39" s="22" t="str" cm="1">
        <f t="array" ref="AF39">IF(COLUMNS($AB$10:AF$10)&lt;=$Z39,INDEX($H:$H,_xlfn.AGGREGATE(15,3,($A$14:$A$147=$AA39)/($A$14:$A$147=$AA39)*ROW($A$14:$A$147),COLUMNS($AB$10:AF$10))),"")</f>
        <v/>
      </c>
    </row>
    <row r="40" spans="1:32" s="22" customFormat="1" x14ac:dyDescent="0.3">
      <c r="A40" s="22" t="str">
        <f>CONCATENATE(B40,C40,D40,Pitched_roof_with_horizontal_ceiling_minimum_R_Value_for_ceiling_insulation_climate_zone_1_two_or_more_storey_dwelling84[[#This Row],[Roof ventilation]],Pitched_roof_with_horizontal_ceiling_minimum_R_Value_for_ceiling_insulation_climate_zone_1_two_or_more_storey_dwelling84[[#This Row],[Reflective insulation under-roof]])</f>
        <v>1Timber-framed pitched roof with horizontal ceilingTwo storey dwellingStandardYes</v>
      </c>
      <c r="B40" s="22">
        <v>1</v>
      </c>
      <c r="C40" s="22" t="s">
        <v>188</v>
      </c>
      <c r="D40" s="22" t="s">
        <v>22</v>
      </c>
      <c r="E40" s="22" t="str">
        <f>CONCATENATE(A40,Pitched_roof_with_horizontal_ceiling_minimum_R_Value_for_ceiling_insulation_climate_zone_1_two_or_more_storey_dwelling84[[#This Row],[Under-roof insulation R-Value]])</f>
        <v>1Timber-framed pitched roof with horizontal ceilingTwo storey dwellingStandardYes≥ 1.5 to &lt; 2.0</v>
      </c>
      <c r="F40" s="22" t="s">
        <v>205</v>
      </c>
      <c r="G40" s="22" t="s">
        <v>190</v>
      </c>
      <c r="H40" s="22" t="s">
        <v>354</v>
      </c>
      <c r="I40" s="32">
        <v>1.5</v>
      </c>
      <c r="J40" s="32">
        <v>1.5</v>
      </c>
      <c r="K40" s="32">
        <v>1.5</v>
      </c>
      <c r="L40" s="32">
        <v>2</v>
      </c>
      <c r="M40" s="32">
        <v>2</v>
      </c>
      <c r="R40" s="719"/>
      <c r="Z40" s="22">
        <f t="shared" si="0"/>
        <v>2</v>
      </c>
      <c r="AA40" s="22" t="s">
        <v>365</v>
      </c>
      <c r="AB40" s="22" t="str" cm="1">
        <f t="array" ref="AB40">IF(COLUMNS($AB$11:AB$11)&lt;=$Z40,INDEX($H:$H,_xlfn.AGGREGATE(15,3,($A$14:$A$147=$AA40)/($A$14:$A$147=$AA40)*ROW($A$14:$A$147),COLUMNS($AB$11:AB$11))),"")</f>
        <v>&lt; 1.0</v>
      </c>
      <c r="AC40" s="22" t="str" cm="1">
        <f t="array" ref="AC40">IF(COLUMNS($AB$11:AC$11)&lt;=$Z40,INDEX($H:$H,_xlfn.AGGREGATE(15,3,($A$14:$A$147=$AA40)/($A$14:$A$147=$AA40)*ROW($A$14:$A$147),COLUMNS($AB$11:AC$11))),"")</f>
        <v>≥ 1.0</v>
      </c>
      <c r="AD40" s="22" t="str" cm="1">
        <f t="array" ref="AD40">IF(COLUMNS($AB$11:AD$11)&lt;=$Z40,INDEX($H:$H,_xlfn.AGGREGATE(15,3,($A$14:$A$147=$AA40)/($A$14:$A$147=$AA40)*ROW($A$14:$A$147),COLUMNS($AB$11:AD$11))),"")</f>
        <v/>
      </c>
      <c r="AE40" s="22" t="str" cm="1">
        <f t="array" ref="AE40">IF(COLUMNS($AB$10:AE$10)&lt;=$Z40,INDEX($H:$H,_xlfn.AGGREGATE(15,3,($A$14:$A$147=$AA40)/($A$14:$A$147=$AA40)*ROW($A$14:$A$147),COLUMNS($AB$10:AE$10))),"")</f>
        <v/>
      </c>
      <c r="AF40" s="22" t="str" cm="1">
        <f t="array" ref="AF40">IF(COLUMNS($AB$10:AF$10)&lt;=$Z40,INDEX($H:$H,_xlfn.AGGREGATE(15,3,($A$14:$A$147=$AA40)/($A$14:$A$147=$AA40)*ROW($A$14:$A$147),COLUMNS($AB$10:AF$10))),"")</f>
        <v/>
      </c>
    </row>
    <row r="41" spans="1:32" s="22" customFormat="1" x14ac:dyDescent="0.3">
      <c r="A41" s="22" t="str">
        <f>CONCATENATE(B41,C41,D41,Pitched_roof_with_horizontal_ceiling_minimum_R_Value_for_ceiling_insulation_climate_zone_1_two_or_more_storey_dwelling84[[#This Row],[Roof ventilation]],Pitched_roof_with_horizontal_ceiling_minimum_R_Value_for_ceiling_insulation_climate_zone_1_two_or_more_storey_dwelling84[[#This Row],[Reflective insulation under-roof]])</f>
        <v>1Timber-framed pitched roof with horizontal ceilingTwo storey dwellingStandardYes</v>
      </c>
      <c r="B41" s="22">
        <v>1</v>
      </c>
      <c r="C41" s="22" t="s">
        <v>188</v>
      </c>
      <c r="D41" s="22" t="s">
        <v>22</v>
      </c>
      <c r="E41" s="22" t="str">
        <f>CONCATENATE(A41,Pitched_roof_with_horizontal_ceiling_minimum_R_Value_for_ceiling_insulation_climate_zone_1_two_or_more_storey_dwelling84[[#This Row],[Under-roof insulation R-Value]])</f>
        <v>1Timber-framed pitched roof with horizontal ceilingTwo storey dwellingStandardYes≥ 2.0</v>
      </c>
      <c r="F41" s="22" t="s">
        <v>205</v>
      </c>
      <c r="G41" s="22" t="s">
        <v>190</v>
      </c>
      <c r="H41" s="22" t="s">
        <v>357</v>
      </c>
      <c r="I41" s="32">
        <v>1.5</v>
      </c>
      <c r="J41" s="32">
        <v>1.5</v>
      </c>
      <c r="K41" s="32">
        <v>1.5</v>
      </c>
      <c r="L41" s="32">
        <v>1.5</v>
      </c>
      <c r="M41" s="32">
        <v>1.5</v>
      </c>
      <c r="R41" s="719"/>
      <c r="Z41" s="22">
        <f t="shared" si="0"/>
        <v>3</v>
      </c>
      <c r="AA41" s="22" t="s">
        <v>366</v>
      </c>
      <c r="AB41" s="22" t="str" cm="1">
        <f t="array" ref="AB41">IF(COLUMNS($AB$11:AB$11)&lt;=$Z41,INDEX($H:$H,_xlfn.AGGREGATE(15,3,($A$14:$A$147=$AA41)/($A$14:$A$147=$AA41)*ROW($A$14:$A$147),COLUMNS($AB$11:AB$11))),"")</f>
        <v>&lt; 1.0</v>
      </c>
      <c r="AC41" s="22" t="str" cm="1">
        <f t="array" ref="AC41">IF(COLUMNS($AB$11:AC$11)&lt;=$Z41,INDEX($H:$H,_xlfn.AGGREGATE(15,3,($A$14:$A$147=$AA41)/($A$14:$A$147=$AA41)*ROW($A$14:$A$147),COLUMNS($AB$11:AC$11))),"")</f>
        <v>≥ 1.0 to &lt; 1.5</v>
      </c>
      <c r="AD41" s="22" t="str" cm="1">
        <f t="array" ref="AD41">IF(COLUMNS($AB$11:AD$11)&lt;=$Z41,INDEX($H:$H,_xlfn.AGGREGATE(15,3,($A$14:$A$147=$AA41)/($A$14:$A$147=$AA41)*ROW($A$14:$A$147),COLUMNS($AB$11:AD$11))),"")</f>
        <v>≥ 1.5</v>
      </c>
      <c r="AE41" s="22" t="str" cm="1">
        <f t="array" ref="AE41">IF(COLUMNS($AB$10:AE$10)&lt;=$Z41,INDEX($H:$H,_xlfn.AGGREGATE(15,3,($A$14:$A$147=$AA41)/($A$14:$A$147=$AA41)*ROW($A$14:$A$147),COLUMNS($AB$10:AE$10))),"")</f>
        <v/>
      </c>
      <c r="AF41" s="22" t="str" cm="1">
        <f t="array" ref="AF41">IF(COLUMNS($AB$10:AF$10)&lt;=$Z41,INDEX($H:$H,_xlfn.AGGREGATE(15,3,($A$14:$A$147=$AA41)/($A$14:$A$147=$AA41)*ROW($A$14:$A$147),COLUMNS($AB$10:AF$10))),"")</f>
        <v/>
      </c>
    </row>
    <row r="42" spans="1:32" s="22" customFormat="1" x14ac:dyDescent="0.3">
      <c r="A42" s="22" t="str">
        <f>CONCATENATE(B42,C42,D42,Pitched_roof_with_horizontal_ceiling_minimum_R_Value_for_ceiling_insulation_climate_zone_1_two_or_more_storey_dwelling84[[#This Row],[Roof ventilation]],Pitched_roof_with_horizontal_ceiling_minimum_R_Value_for_ceiling_insulation_climate_zone_1_two_or_more_storey_dwelling84[[#This Row],[Reflective insulation under-roof]])</f>
        <v>1Timber-framed pitched roof with horizontal ceilingTwo storey dwellingStandardNo</v>
      </c>
      <c r="B42" s="22">
        <v>1</v>
      </c>
      <c r="C42" s="22" t="s">
        <v>188</v>
      </c>
      <c r="D42" s="22" t="s">
        <v>22</v>
      </c>
      <c r="E42" s="22" t="str">
        <f>CONCATENATE(A42,Pitched_roof_with_horizontal_ceiling_minimum_R_Value_for_ceiling_insulation_climate_zone_1_two_or_more_storey_dwelling84[[#This Row],[Under-roof insulation R-Value]])</f>
        <v>1Timber-framed pitched roof with horizontal ceilingTwo storey dwellingStandardNo&lt; 1.0</v>
      </c>
      <c r="F42" s="22" t="s">
        <v>205</v>
      </c>
      <c r="G42" s="22" t="s">
        <v>29</v>
      </c>
      <c r="H42" s="22" t="s">
        <v>285</v>
      </c>
      <c r="I42" s="32">
        <v>2.5</v>
      </c>
      <c r="J42" s="32">
        <v>4</v>
      </c>
      <c r="K42" s="32">
        <v>6</v>
      </c>
      <c r="L42" s="32" t="s">
        <v>321</v>
      </c>
      <c r="M42" s="32" t="s">
        <v>321</v>
      </c>
      <c r="Z42" s="22">
        <f t="shared" si="0"/>
        <v>2</v>
      </c>
      <c r="AA42" s="22" t="s">
        <v>367</v>
      </c>
      <c r="AB42" s="22" t="str" cm="1">
        <f t="array" ref="AB42">IF(COLUMNS($AB$11:AB$11)&lt;=$Z42,INDEX($H:$H,_xlfn.AGGREGATE(15,3,($A$14:$A$147=$AA42)/($A$14:$A$147=$AA42)*ROW($A$14:$A$147),COLUMNS($AB$11:AB$11))),"")</f>
        <v>&lt; 1.0</v>
      </c>
      <c r="AC42" s="22" t="str" cm="1">
        <f t="array" ref="AC42">IF(COLUMNS($AB$11:AC$11)&lt;=$Z42,INDEX($H:$H,_xlfn.AGGREGATE(15,3,($A$14:$A$147=$AA42)/($A$14:$A$147=$AA42)*ROW($A$14:$A$147),COLUMNS($AB$11:AC$11))),"")</f>
        <v>≥ 1.0</v>
      </c>
      <c r="AD42" s="22" t="str" cm="1">
        <f t="array" ref="AD42">IF(COLUMNS($AB$11:AD$11)&lt;=$Z42,INDEX($H:$H,_xlfn.AGGREGATE(15,3,($A$14:$A$147=$AA42)/($A$14:$A$147=$AA42)*ROW($A$14:$A$147),COLUMNS($AB$11:AD$11))),"")</f>
        <v/>
      </c>
      <c r="AE42" s="22" t="str" cm="1">
        <f t="array" ref="AE42">IF(COLUMNS($AB$10:AE$10)&lt;=$Z42,INDEX($H:$H,_xlfn.AGGREGATE(15,3,($A$14:$A$147=$AA42)/($A$14:$A$147=$AA42)*ROW($A$14:$A$147),COLUMNS($AB$10:AE$10))),"")</f>
        <v/>
      </c>
      <c r="AF42" s="22" t="str" cm="1">
        <f t="array" ref="AF42">IF(COLUMNS($AB$10:AF$10)&lt;=$Z42,INDEX($H:$H,_xlfn.AGGREGATE(15,3,($A$14:$A$147=$AA42)/($A$14:$A$147=$AA42)*ROW($A$14:$A$147),COLUMNS($AB$10:AF$10))),"")</f>
        <v/>
      </c>
    </row>
    <row r="43" spans="1:32" s="22" customFormat="1" x14ac:dyDescent="0.3">
      <c r="A43" s="22" t="str">
        <f>CONCATENATE(B43,C43,D43,Pitched_roof_with_horizontal_ceiling_minimum_R_Value_for_ceiling_insulation_climate_zone_1_two_or_more_storey_dwelling84[[#This Row],[Roof ventilation]],Pitched_roof_with_horizontal_ceiling_minimum_R_Value_for_ceiling_insulation_climate_zone_1_two_or_more_storey_dwelling84[[#This Row],[Reflective insulation under-roof]])</f>
        <v>1Timber-framed pitched roof with horizontal ceilingTwo storey dwellingStandardNo</v>
      </c>
      <c r="B43" s="22">
        <v>1</v>
      </c>
      <c r="C43" s="22" t="s">
        <v>188</v>
      </c>
      <c r="D43" s="22" t="s">
        <v>22</v>
      </c>
      <c r="E43" s="22" t="str">
        <f>CONCATENATE(A43,Pitched_roof_with_horizontal_ceiling_minimum_R_Value_for_ceiling_insulation_climate_zone_1_two_or_more_storey_dwelling84[[#This Row],[Under-roof insulation R-Value]])</f>
        <v>1Timber-framed pitched roof with horizontal ceilingTwo storey dwellingStandardNo≥ 1.0 to &lt; 1.5</v>
      </c>
      <c r="F43" s="22" t="s">
        <v>205</v>
      </c>
      <c r="G43" s="22" t="s">
        <v>29</v>
      </c>
      <c r="H43" s="22" t="s">
        <v>315</v>
      </c>
      <c r="I43" s="32">
        <v>1.5</v>
      </c>
      <c r="J43" s="32">
        <v>1.5</v>
      </c>
      <c r="K43" s="32">
        <v>1.5</v>
      </c>
      <c r="L43" s="32">
        <v>1.5</v>
      </c>
      <c r="M43" s="32">
        <v>4</v>
      </c>
      <c r="Z43" s="22">
        <f t="shared" si="0"/>
        <v>4</v>
      </c>
      <c r="AA43" s="22" t="s">
        <v>368</v>
      </c>
      <c r="AB43" s="22" t="str" cm="1">
        <f t="array" ref="AB43">IF(COLUMNS($AB$11:AB$11)&lt;=$Z43,INDEX($H:$H,_xlfn.AGGREGATE(15,3,($A$14:$A$147=$AA43)/($A$14:$A$147=$AA43)*ROW($A$14:$A$147),COLUMNS($AB$11:AB$11))),"")</f>
        <v>&lt; 1.0</v>
      </c>
      <c r="AC43" s="22" t="str" cm="1">
        <f t="array" ref="AC43">IF(COLUMNS($AB$11:AC$11)&lt;=$Z43,INDEX($H:$H,_xlfn.AGGREGATE(15,3,($A$14:$A$147=$AA43)/($A$14:$A$147=$AA43)*ROW($A$14:$A$147),COLUMNS($AB$11:AC$11))),"")</f>
        <v>≥ 1.0 to &lt; 1.5</v>
      </c>
      <c r="AD43" s="22" t="str" cm="1">
        <f t="array" ref="AD43">IF(COLUMNS($AB$11:AD$11)&lt;=$Z43,INDEX($H:$H,_xlfn.AGGREGATE(15,3,($A$14:$A$147=$AA43)/($A$14:$A$147=$AA43)*ROW($A$14:$A$147),COLUMNS($AB$11:AD$11))),"")</f>
        <v>≥ 1.5 to &lt; 2.0</v>
      </c>
      <c r="AE43" s="22" t="str" cm="1">
        <f t="array" ref="AE43">IF(COLUMNS($AB$10:AE$10)&lt;=$Z43,INDEX($H:$H,_xlfn.AGGREGATE(15,3,($A$14:$A$147=$AA43)/($A$14:$A$147=$AA43)*ROW($A$14:$A$147),COLUMNS($AB$10:AE$10))),"")</f>
        <v>≥ 2.0</v>
      </c>
      <c r="AF43" s="22" t="str" cm="1">
        <f t="array" ref="AF43">IF(COLUMNS($AB$10:AF$10)&lt;=$Z43,INDEX($H:$H,_xlfn.AGGREGATE(15,3,($A$14:$A$147=$AA43)/($A$14:$A$147=$AA43)*ROW($A$14:$A$147),COLUMNS($AB$10:AF$10))),"")</f>
        <v/>
      </c>
    </row>
    <row r="44" spans="1:32" s="22" customFormat="1" x14ac:dyDescent="0.3">
      <c r="A44" s="22" t="str">
        <f>CONCATENATE(B44,C44,D44,Pitched_roof_with_horizontal_ceiling_minimum_R_Value_for_ceiling_insulation_climate_zone_1_two_or_more_storey_dwelling84[[#This Row],[Roof ventilation]],Pitched_roof_with_horizontal_ceiling_minimum_R_Value_for_ceiling_insulation_climate_zone_1_two_or_more_storey_dwelling84[[#This Row],[Reflective insulation under-roof]])</f>
        <v>1Timber-framed pitched roof with horizontal ceilingTwo storey dwellingStandardNo</v>
      </c>
      <c r="B44" s="22">
        <v>1</v>
      </c>
      <c r="C44" s="22" t="s">
        <v>188</v>
      </c>
      <c r="D44" s="22" t="s">
        <v>22</v>
      </c>
      <c r="E44" s="22" t="str">
        <f>CONCATENATE(A44,Pitched_roof_with_horizontal_ceiling_minimum_R_Value_for_ceiling_insulation_climate_zone_1_two_or_more_storey_dwelling84[[#This Row],[Under-roof insulation R-Value]])</f>
        <v>1Timber-framed pitched roof with horizontal ceilingTwo storey dwellingStandardNo≥ 1.5 to &lt; 2.0</v>
      </c>
      <c r="F44" s="22" t="s">
        <v>205</v>
      </c>
      <c r="G44" s="22" t="s">
        <v>29</v>
      </c>
      <c r="H44" s="22" t="s">
        <v>354</v>
      </c>
      <c r="I44" s="32">
        <v>1.5</v>
      </c>
      <c r="J44" s="32">
        <v>1.5</v>
      </c>
      <c r="K44" s="32">
        <v>2</v>
      </c>
      <c r="L44" s="32">
        <v>2</v>
      </c>
      <c r="M44" s="32">
        <v>2.5</v>
      </c>
      <c r="Z44" s="22">
        <f t="shared" si="0"/>
        <v>3</v>
      </c>
      <c r="AA44" s="22" t="s">
        <v>369</v>
      </c>
      <c r="AB44" s="22" t="str" cm="1">
        <f t="array" ref="AB44">IF(COLUMNS($AB$11:AB$11)&lt;=$Z44,INDEX($H:$H,_xlfn.AGGREGATE(15,3,($A$14:$A$147=$AA44)/($A$14:$A$147=$AA44)*ROW($A$14:$A$147),COLUMNS($AB$11:AB$11))),"")</f>
        <v>&lt; 1.5</v>
      </c>
      <c r="AC44" s="22" t="str" cm="1">
        <f t="array" ref="AC44">IF(COLUMNS($AB$11:AC$11)&lt;=$Z44,INDEX($H:$H,_xlfn.AGGREGATE(15,3,($A$14:$A$147=$AA44)/($A$14:$A$147=$AA44)*ROW($A$14:$A$147),COLUMNS($AB$11:AC$11))),"")</f>
        <v>≥ 1.5 to &lt; 2.0</v>
      </c>
      <c r="AD44" s="22" t="str" cm="1">
        <f t="array" ref="AD44">IF(COLUMNS($AB$11:AD$11)&lt;=$Z44,INDEX($H:$H,_xlfn.AGGREGATE(15,3,($A$14:$A$147=$AA44)/($A$14:$A$147=$AA44)*ROW($A$14:$A$147),COLUMNS($AB$11:AD$11))),"")</f>
        <v>≥ 2.0</v>
      </c>
      <c r="AE44" s="22" t="str" cm="1">
        <f t="array" ref="AE44">IF(COLUMNS($AB$10:AE$10)&lt;=$Z44,INDEX($H:$H,_xlfn.AGGREGATE(15,3,($A$14:$A$147=$AA44)/($A$14:$A$147=$AA44)*ROW($A$14:$A$147),COLUMNS($AB$10:AE$10))),"")</f>
        <v/>
      </c>
      <c r="AF44" s="22" t="str" cm="1">
        <f t="array" ref="AF44">IF(COLUMNS($AB$10:AF$10)&lt;=$Z44,INDEX($H:$H,_xlfn.AGGREGATE(15,3,($A$14:$A$147=$AA44)/($A$14:$A$147=$AA44)*ROW($A$14:$A$147),COLUMNS($AB$10:AF$10))),"")</f>
        <v/>
      </c>
    </row>
    <row r="45" spans="1:32" s="22" customFormat="1" x14ac:dyDescent="0.3">
      <c r="A45" s="22" t="str">
        <f>CONCATENATE(B45,C45,D45,Pitched_roof_with_horizontal_ceiling_minimum_R_Value_for_ceiling_insulation_climate_zone_1_two_or_more_storey_dwelling84[[#This Row],[Roof ventilation]],Pitched_roof_with_horizontal_ceiling_minimum_R_Value_for_ceiling_insulation_climate_zone_1_two_or_more_storey_dwelling84[[#This Row],[Reflective insulation under-roof]])</f>
        <v>1Timber-framed pitched roof with horizontal ceilingTwo storey dwellingStandardNo</v>
      </c>
      <c r="B45" s="22">
        <v>1</v>
      </c>
      <c r="C45" s="22" t="s">
        <v>188</v>
      </c>
      <c r="D45" s="22" t="s">
        <v>22</v>
      </c>
      <c r="E45" s="22" t="str">
        <f>CONCATENATE(A45,Pitched_roof_with_horizontal_ceiling_minimum_R_Value_for_ceiling_insulation_climate_zone_1_two_or_more_storey_dwelling84[[#This Row],[Under-roof insulation R-Value]])</f>
        <v>1Timber-framed pitched roof with horizontal ceilingTwo storey dwellingStandardNo≥ 2.0</v>
      </c>
      <c r="F45" s="22" t="s">
        <v>205</v>
      </c>
      <c r="G45" s="22" t="s">
        <v>29</v>
      </c>
      <c r="H45" s="22" t="s">
        <v>357</v>
      </c>
      <c r="I45" s="32">
        <v>1.5</v>
      </c>
      <c r="J45" s="32">
        <v>1.5</v>
      </c>
      <c r="K45" s="32">
        <v>1.5</v>
      </c>
      <c r="L45" s="32">
        <v>2</v>
      </c>
      <c r="M45" s="32">
        <v>2.5</v>
      </c>
      <c r="Z45" s="22">
        <f t="shared" si="0"/>
        <v>3</v>
      </c>
      <c r="AA45" s="22" t="s">
        <v>370</v>
      </c>
      <c r="AB45" s="22" t="str" cm="1">
        <f t="array" ref="AB45">IF(COLUMNS($AB$11:AB$11)&lt;=$Z45,INDEX($H:$H,_xlfn.AGGREGATE(15,3,($A$14:$A$147=$AA45)/($A$14:$A$147=$AA45)*ROW($A$14:$A$147),COLUMNS($AB$11:AB$11))),"")</f>
        <v>&lt; 1.0</v>
      </c>
      <c r="AC45" s="22" t="str" cm="1">
        <f t="array" ref="AC45">IF(COLUMNS($AB$11:AC$11)&lt;=$Z45,INDEX($H:$H,_xlfn.AGGREGATE(15,3,($A$14:$A$147=$AA45)/($A$14:$A$147=$AA45)*ROW($A$14:$A$147),COLUMNS($AB$11:AC$11))),"")</f>
        <v>≥ 1.0 to &lt; 1.5</v>
      </c>
      <c r="AD45" s="22" t="str" cm="1">
        <f t="array" ref="AD45">IF(COLUMNS($AB$11:AD$11)&lt;=$Z45,INDEX($H:$H,_xlfn.AGGREGATE(15,3,($A$14:$A$147=$AA45)/($A$14:$A$147=$AA45)*ROW($A$14:$A$147),COLUMNS($AB$11:AD$11))),"")</f>
        <v>≥1.5</v>
      </c>
      <c r="AE45" s="22" t="str" cm="1">
        <f t="array" ref="AE45">IF(COLUMNS($AB$10:AE$10)&lt;=$Z45,INDEX($H:$H,_xlfn.AGGREGATE(15,3,($A$14:$A$147=$AA45)/($A$14:$A$147=$AA45)*ROW($A$14:$A$147),COLUMNS($AB$10:AE$10))),"")</f>
        <v/>
      </c>
      <c r="AF45" s="22" t="str" cm="1">
        <f t="array" ref="AF45">IF(COLUMNS($AB$10:AF$10)&lt;=$Z45,INDEX($H:$H,_xlfn.AGGREGATE(15,3,($A$14:$A$147=$AA45)/($A$14:$A$147=$AA45)*ROW($A$14:$A$147),COLUMNS($AB$10:AF$10))),"")</f>
        <v/>
      </c>
    </row>
    <row r="46" spans="1:32" s="22" customFormat="1" x14ac:dyDescent="0.3">
      <c r="U46" s="736"/>
      <c r="V46" s="736"/>
      <c r="Z46" s="22">
        <f t="shared" si="0"/>
        <v>4</v>
      </c>
      <c r="AA46" s="22" t="s">
        <v>371</v>
      </c>
      <c r="AB46" s="22" t="str" cm="1">
        <f t="array" ref="AB46">IF(COLUMNS($AB$11:AB$11)&lt;=$Z46,INDEX($H:$H,_xlfn.AGGREGATE(15,3,($A$14:$A$147=$AA46)/($A$14:$A$147=$AA46)*ROW($A$14:$A$147),COLUMNS($AB$11:AB$11))),"")</f>
        <v>&lt; 1.0</v>
      </c>
      <c r="AC46" s="22" t="str" cm="1">
        <f t="array" ref="AC46">IF(COLUMNS($AB$11:AC$11)&lt;=$Z46,INDEX($H:$H,_xlfn.AGGREGATE(15,3,($A$14:$A$147=$AA46)/($A$14:$A$147=$AA46)*ROW($A$14:$A$147),COLUMNS($AB$11:AC$11))),"")</f>
        <v>≥ 1.0 to &lt; 1.5</v>
      </c>
      <c r="AD46" s="22" t="str" cm="1">
        <f t="array" ref="AD46">IF(COLUMNS($AB$11:AD$11)&lt;=$Z46,INDEX($H:$H,_xlfn.AGGREGATE(15,3,($A$14:$A$147=$AA46)/($A$14:$A$147=$AA46)*ROW($A$14:$A$147),COLUMNS($AB$11:AD$11))),"")</f>
        <v>≥ 1.5 to &lt; 2.0</v>
      </c>
      <c r="AE46" s="22" t="str" cm="1">
        <f t="array" ref="AE46">IF(COLUMNS($AB$10:AE$10)&lt;=$Z46,INDEX($H:$H,_xlfn.AGGREGATE(15,3,($A$14:$A$147=$AA46)/($A$14:$A$147=$AA46)*ROW($A$14:$A$147),COLUMNS($AB$10:AE$10))),"")</f>
        <v>≥ 2.0</v>
      </c>
      <c r="AF46" s="22" t="str" cm="1">
        <f t="array" ref="AF46">IF(COLUMNS($AB$10:AF$10)&lt;=$Z46,INDEX($H:$H,_xlfn.AGGREGATE(15,3,($A$14:$A$147=$AA46)/($A$14:$A$147=$AA46)*ROW($A$14:$A$147),COLUMNS($AB$10:AF$10))),"")</f>
        <v/>
      </c>
    </row>
    <row r="47" spans="1:32" s="22" customFormat="1" x14ac:dyDescent="0.3">
      <c r="F47" s="22" t="s">
        <v>372</v>
      </c>
      <c r="U47" s="736"/>
      <c r="V47" s="736"/>
      <c r="Z47" s="22">
        <f t="shared" si="0"/>
        <v>4</v>
      </c>
      <c r="AA47" s="22" t="s">
        <v>373</v>
      </c>
      <c r="AB47" s="22" t="str" cm="1">
        <f t="array" ref="AB47">IF(COLUMNS($AB$11:AB$11)&lt;=$Z47,INDEX($H:$H,_xlfn.AGGREGATE(15,3,($A$14:$A$147=$AA47)/($A$14:$A$147=$AA47)*ROW($A$14:$A$147),COLUMNS($AB$11:AB$11))),"")</f>
        <v>&lt; 1.0</v>
      </c>
      <c r="AC47" s="22" t="str" cm="1">
        <f t="array" ref="AC47">IF(COLUMNS($AB$11:AC$11)&lt;=$Z47,INDEX($H:$H,_xlfn.AGGREGATE(15,3,($A$14:$A$147=$AA47)/($A$14:$A$147=$AA47)*ROW($A$14:$A$147),COLUMNS($AB$11:AC$11))),"")</f>
        <v>≥ 1.0 to &lt; 1.5</v>
      </c>
      <c r="AD47" s="22" t="str" cm="1">
        <f t="array" ref="AD47">IF(COLUMNS($AB$11:AD$11)&lt;=$Z47,INDEX($H:$H,_xlfn.AGGREGATE(15,3,($A$14:$A$147=$AA47)/($A$14:$A$147=$AA47)*ROW($A$14:$A$147),COLUMNS($AB$11:AD$11))),"")</f>
        <v>≥ 1.5 to &lt; 2.0</v>
      </c>
      <c r="AE47" s="22" t="str" cm="1">
        <f t="array" ref="AE47">IF(COLUMNS($AB$10:AE$10)&lt;=$Z47,INDEX($H:$H,_xlfn.AGGREGATE(15,3,($A$14:$A$147=$AA47)/($A$14:$A$147=$AA47)*ROW($A$14:$A$147),COLUMNS($AB$10:AE$10))),"")</f>
        <v>≥ 2.0</v>
      </c>
      <c r="AF47" s="22" t="str" cm="1">
        <f t="array" ref="AF47">IF(COLUMNS($AB$10:AF$10)&lt;=$Z47,INDEX($H:$H,_xlfn.AGGREGATE(15,3,($A$14:$A$147=$AA47)/($A$14:$A$147=$AA47)*ROW($A$14:$A$147),COLUMNS($AB$10:AF$10))),"")</f>
        <v/>
      </c>
    </row>
    <row r="48" spans="1:32" s="22" customFormat="1" x14ac:dyDescent="0.3">
      <c r="F48" s="22" t="s">
        <v>374</v>
      </c>
      <c r="U48" s="736"/>
      <c r="V48" s="736"/>
    </row>
    <row r="49" spans="1:35" s="22" customFormat="1" x14ac:dyDescent="0.3">
      <c r="A49" s="719" t="str">
        <f>CONCATENATE(B51,C51,D51)</f>
        <v>2Timber-framed pitched roof with horizontal ceiling</v>
      </c>
      <c r="F49" s="22" t="s">
        <v>303</v>
      </c>
      <c r="G49" s="22" t="s">
        <v>304</v>
      </c>
      <c r="H49" s="22" t="s">
        <v>305</v>
      </c>
      <c r="I49" s="22" t="s">
        <v>306</v>
      </c>
      <c r="J49" s="22" t="s">
        <v>307</v>
      </c>
      <c r="K49" s="22" t="s">
        <v>308</v>
      </c>
      <c r="L49" s="22" t="s">
        <v>375</v>
      </c>
    </row>
    <row r="50" spans="1:35" s="22" customFormat="1" x14ac:dyDescent="0.3">
      <c r="A50" s="22" t="str">
        <f>CONCATENATE(B50,C50,D50,Pitched_roof_with_horizontal_ceiling_minimum_R_Value_for_ceiling_insulation_climate_zone_2685[[#This Row],[Roof ventilation]],Pitched_roof_with_horizontal_ceiling_minimum_R_Value_for_ceiling_insulation_climate_zone_2685[[#This Row],[Reflective insulation under-roof]])</f>
        <v>2Timber-framed pitched roof with horizontal ceilingVentedYes</v>
      </c>
      <c r="B50" s="22">
        <v>2</v>
      </c>
      <c r="C50" s="22" t="s">
        <v>188</v>
      </c>
      <c r="E50" s="22" t="str">
        <f>CONCATENATE(A50,Pitched_roof_with_horizontal_ceiling_minimum_R_Value_for_ceiling_insulation_climate_zone_2685[[#This Row],[Under-roof insulation R-Value]])</f>
        <v>2Timber-framed pitched roof with horizontal ceilingVentedYesAny</v>
      </c>
      <c r="F50" s="22" t="s">
        <v>189</v>
      </c>
      <c r="G50" s="22" t="s">
        <v>190</v>
      </c>
      <c r="H50" s="22" t="s">
        <v>376</v>
      </c>
      <c r="I50" s="22">
        <v>2.5</v>
      </c>
      <c r="J50" s="22">
        <v>2.5</v>
      </c>
      <c r="K50" s="22">
        <v>2.5</v>
      </c>
      <c r="L50" s="22">
        <v>2.5</v>
      </c>
      <c r="AA50" s="719" t="s">
        <v>377</v>
      </c>
    </row>
    <row r="51" spans="1:35" s="22" customFormat="1" x14ac:dyDescent="0.3">
      <c r="A51" s="22" t="str">
        <f>CONCATENATE(B51,C51,D51,Pitched_roof_with_horizontal_ceiling_minimum_R_Value_for_ceiling_insulation_climate_zone_2685[[#This Row],[Roof ventilation]],Pitched_roof_with_horizontal_ceiling_minimum_R_Value_for_ceiling_insulation_climate_zone_2685[[#This Row],[Reflective insulation under-roof]])</f>
        <v>2Timber-framed pitched roof with horizontal ceilingVentedNo</v>
      </c>
      <c r="B51" s="22">
        <v>2</v>
      </c>
      <c r="C51" s="22" t="s">
        <v>188</v>
      </c>
      <c r="E51" s="22" t="str">
        <f>CONCATENATE(A51,Pitched_roof_with_horizontal_ceiling_minimum_R_Value_for_ceiling_insulation_climate_zone_2685[[#This Row],[Under-roof insulation R-Value]])</f>
        <v>2Timber-framed pitched roof with horizontal ceilingVentedNo&lt; 0.5</v>
      </c>
      <c r="F51" s="22" t="s">
        <v>189</v>
      </c>
      <c r="G51" s="22" t="s">
        <v>29</v>
      </c>
      <c r="H51" s="22" t="s">
        <v>378</v>
      </c>
      <c r="I51" s="22">
        <v>2.5</v>
      </c>
      <c r="J51" s="22">
        <v>3</v>
      </c>
      <c r="K51" s="22">
        <v>3</v>
      </c>
      <c r="L51" s="22">
        <v>3.5</v>
      </c>
      <c r="AA51" s="22" t="str">
        <f>'13.2 Building Fabric'!C29</f>
        <v>5</v>
      </c>
    </row>
    <row r="52" spans="1:35" s="22" customFormat="1" x14ac:dyDescent="0.3">
      <c r="A52" s="22" t="str">
        <f>CONCATENATE(B52,C52,D52,Pitched_roof_with_horizontal_ceiling_minimum_R_Value_for_ceiling_insulation_climate_zone_2685[[#This Row],[Roof ventilation]],Pitched_roof_with_horizontal_ceiling_minimum_R_Value_for_ceiling_insulation_climate_zone_2685[[#This Row],[Reflective insulation under-roof]])</f>
        <v>2Timber-framed pitched roof with horizontal ceilingVentedNo</v>
      </c>
      <c r="B52" s="22">
        <v>2</v>
      </c>
      <c r="C52" s="22" t="s">
        <v>188</v>
      </c>
      <c r="E52" s="22" t="str">
        <f>CONCATENATE(A52,Pitched_roof_with_horizontal_ceiling_minimum_R_Value_for_ceiling_insulation_climate_zone_2685[[#This Row],[Under-roof insulation R-Value]])</f>
        <v>2Timber-framed pitched roof with horizontal ceilingVentedNo≥ 0.5</v>
      </c>
      <c r="F52" s="22" t="s">
        <v>189</v>
      </c>
      <c r="G52" s="22" t="s">
        <v>29</v>
      </c>
      <c r="H52" s="22" t="s">
        <v>379</v>
      </c>
      <c r="I52" s="22">
        <v>2.5</v>
      </c>
      <c r="J52" s="22">
        <v>2.5</v>
      </c>
      <c r="K52" s="22">
        <v>2.5</v>
      </c>
      <c r="L52" s="22">
        <v>2.5</v>
      </c>
      <c r="AA52" s="22" t="str">
        <f>'13.2 Building Fabric'!C30</f>
        <v>5</v>
      </c>
    </row>
    <row r="53" spans="1:35" s="22" customFormat="1" x14ac:dyDescent="0.3">
      <c r="A53" s="22" t="str">
        <f>CONCATENATE(B53,C53,D53,Pitched_roof_with_horizontal_ceiling_minimum_R_Value_for_ceiling_insulation_climate_zone_2685[[#This Row],[Roof ventilation]],Pitched_roof_with_horizontal_ceiling_minimum_R_Value_for_ceiling_insulation_climate_zone_2685[[#This Row],[Reflective insulation under-roof]])</f>
        <v>2Timber-framed pitched roof with horizontal ceilingStandardYes</v>
      </c>
      <c r="B53" s="22">
        <v>2</v>
      </c>
      <c r="C53" s="22" t="s">
        <v>188</v>
      </c>
      <c r="E53" s="22" t="str">
        <f>CONCATENATE(A53,Pitched_roof_with_horizontal_ceiling_minimum_R_Value_for_ceiling_insulation_climate_zone_2685[[#This Row],[Under-roof insulation R-Value]])</f>
        <v>2Timber-framed pitched roof with horizontal ceilingStandardYesAny</v>
      </c>
      <c r="F53" s="22" t="s">
        <v>205</v>
      </c>
      <c r="G53" s="22" t="s">
        <v>190</v>
      </c>
      <c r="H53" s="22" t="s">
        <v>376</v>
      </c>
      <c r="I53" s="22">
        <v>2.5</v>
      </c>
      <c r="J53" s="22">
        <v>2.5</v>
      </c>
      <c r="K53" s="22">
        <v>2.5</v>
      </c>
      <c r="L53" s="22">
        <v>2.5</v>
      </c>
      <c r="AA53" s="22" t="s">
        <v>294</v>
      </c>
      <c r="AB53" s="22" t="e" cm="1">
        <f t="array" aca="1" ref="AB53" ca="1">OFFSET(D_Building_Fabric!AB$55,MATCH('13.2 Building Fabric'!C29,D_Building_Fabric!$AA$56:$AA$77,0),,,COUNTIF(OFFSET(D_Building_Fabric!AB$55,MATCH('13.2 Building Fabric'!C29,D_Building_Fabric!$AA$56:$AA$77,0),,1,20),"?*"))</f>
        <v>#N/A</v>
      </c>
    </row>
    <row r="54" spans="1:35" s="22" customFormat="1" x14ac:dyDescent="0.3">
      <c r="A54" s="22" t="str">
        <f>CONCATENATE(B54,C54,D54,Pitched_roof_with_horizontal_ceiling_minimum_R_Value_for_ceiling_insulation_climate_zone_2685[[#This Row],[Roof ventilation]],Pitched_roof_with_horizontal_ceiling_minimum_R_Value_for_ceiling_insulation_climate_zone_2685[[#This Row],[Reflective insulation under-roof]])</f>
        <v>2Timber-framed pitched roof with horizontal ceilingStandardNo</v>
      </c>
      <c r="B54" s="22">
        <v>2</v>
      </c>
      <c r="C54" s="22" t="s">
        <v>188</v>
      </c>
      <c r="E54" s="22" t="str">
        <f>CONCATENATE(A54,Pitched_roof_with_horizontal_ceiling_minimum_R_Value_for_ceiling_insulation_climate_zone_2685[[#This Row],[Under-roof insulation R-Value]])</f>
        <v>2Timber-framed pitched roof with horizontal ceilingStandardNo&lt; 0.5</v>
      </c>
      <c r="F54" s="22" t="s">
        <v>205</v>
      </c>
      <c r="G54" s="22" t="s">
        <v>29</v>
      </c>
      <c r="H54" s="22" t="s">
        <v>378</v>
      </c>
      <c r="I54" s="22">
        <v>3</v>
      </c>
      <c r="J54" s="22">
        <v>3</v>
      </c>
      <c r="K54" s="22">
        <v>3.5</v>
      </c>
      <c r="L54" s="22">
        <v>4</v>
      </c>
      <c r="T54" s="736"/>
      <c r="AA54" s="22" t="s">
        <v>295</v>
      </c>
      <c r="AB54" s="22" t="e" cm="1">
        <f t="array" aca="1" ref="AB54" ca="1">OFFSET(D_Building_Fabric!AB$55,MATCH('13.2 Building Fabric'!C30,D_Building_Fabric!$AA$56:$AA$77,0),,,COUNTIF(OFFSET(D_Building_Fabric!AB$55,MATCH('13.2 Building Fabric'!C30,D_Building_Fabric!$AA$56:$AA$77,0),,1,20),"?*"))</f>
        <v>#N/A</v>
      </c>
    </row>
    <row r="55" spans="1:35" s="22" customFormat="1" x14ac:dyDescent="0.3">
      <c r="A55" s="22" t="str">
        <f>CONCATENATE(B55,C55,D55,Pitched_roof_with_horizontal_ceiling_minimum_R_Value_for_ceiling_insulation_climate_zone_2685[[#This Row],[Roof ventilation]],Pitched_roof_with_horizontal_ceiling_minimum_R_Value_for_ceiling_insulation_climate_zone_2685[[#This Row],[Reflective insulation under-roof]])</f>
        <v>2Timber-framed pitched roof with horizontal ceilingStandardNo</v>
      </c>
      <c r="B55" s="22">
        <v>2</v>
      </c>
      <c r="C55" s="22" t="s">
        <v>188</v>
      </c>
      <c r="E55" s="22" t="str">
        <f>CONCATENATE(A55,Pitched_roof_with_horizontal_ceiling_minimum_R_Value_for_ceiling_insulation_climate_zone_2685[[#This Row],[Under-roof insulation R-Value]])</f>
        <v>2Timber-framed pitched roof with horizontal ceilingStandardNo≥ 0.5 to &lt; 1.0</v>
      </c>
      <c r="F55" s="22" t="s">
        <v>205</v>
      </c>
      <c r="G55" s="22" t="s">
        <v>29</v>
      </c>
      <c r="H55" s="22" t="s">
        <v>380</v>
      </c>
      <c r="I55" s="22">
        <v>2.5</v>
      </c>
      <c r="J55" s="22">
        <v>2.5</v>
      </c>
      <c r="K55" s="22">
        <v>2.5</v>
      </c>
      <c r="L55" s="22">
        <v>3</v>
      </c>
      <c r="T55" s="736"/>
      <c r="AB55" s="22">
        <v>1</v>
      </c>
      <c r="AC55" s="22">
        <v>2</v>
      </c>
      <c r="AD55" s="22">
        <v>3</v>
      </c>
      <c r="AE55" s="22">
        <v>4</v>
      </c>
      <c r="AF55" s="22">
        <v>5</v>
      </c>
      <c r="AG55" s="22">
        <v>6</v>
      </c>
      <c r="AH55" s="22">
        <v>7</v>
      </c>
      <c r="AI55" s="22">
        <v>8</v>
      </c>
    </row>
    <row r="56" spans="1:35" s="22" customFormat="1" x14ac:dyDescent="0.3">
      <c r="A56" s="22" t="str">
        <f>CONCATENATE(B56,C56,D56,Pitched_roof_with_horizontal_ceiling_minimum_R_Value_for_ceiling_insulation_climate_zone_2685[[#This Row],[Roof ventilation]],Pitched_roof_with_horizontal_ceiling_minimum_R_Value_for_ceiling_insulation_climate_zone_2685[[#This Row],[Reflective insulation under-roof]])</f>
        <v>2Timber-framed pitched roof with horizontal ceilingStandardNo</v>
      </c>
      <c r="B56" s="22">
        <v>2</v>
      </c>
      <c r="C56" s="22" t="s">
        <v>188</v>
      </c>
      <c r="E56" s="22" t="str">
        <f>CONCATENATE(A56,Pitched_roof_with_horizontal_ceiling_minimum_R_Value_for_ceiling_insulation_climate_zone_2685[[#This Row],[Under-roof insulation R-Value]])</f>
        <v>2Timber-framed pitched roof with horizontal ceilingStandardNo≥ 1.0</v>
      </c>
      <c r="F56" s="22" t="s">
        <v>205</v>
      </c>
      <c r="G56" s="22" t="s">
        <v>29</v>
      </c>
      <c r="H56" s="22" t="s">
        <v>381</v>
      </c>
      <c r="I56" s="22">
        <v>2.5</v>
      </c>
      <c r="J56" s="22">
        <v>2.5</v>
      </c>
      <c r="K56" s="22">
        <v>2.5</v>
      </c>
      <c r="L56" s="22">
        <v>2.5</v>
      </c>
      <c r="T56" s="736"/>
      <c r="AA56" s="22" t="s">
        <v>313</v>
      </c>
      <c r="AB56" s="22" t="str" cm="1">
        <f t="array" aca="1" ref="AB56:AG56" ca="1">OFFSET($A$13,MATCH($AA56,$A$13:$A$1000,0)-1,8,1,COUNTIF(I$13:T$13,"&lt;&gt;"))</f>
        <v>SA ≤ 0.23</v>
      </c>
      <c r="AC56" s="22" t="str">
        <f ca="1"/>
        <v>0.23 &lt; SA ≤ 0.32</v>
      </c>
      <c r="AD56" s="22" t="str">
        <f ca="1"/>
        <v>0.32 &lt; SA ≤ 0.42</v>
      </c>
      <c r="AE56" s="22" t="str">
        <f ca="1"/>
        <v>0.42 &lt; SA ≤ 0.53</v>
      </c>
      <c r="AF56" s="22" t="str">
        <f ca="1"/>
        <v>0.53 &lt; SA ≤ 0.64</v>
      </c>
      <c r="AG56" s="22">
        <f ca="1"/>
        <v>0</v>
      </c>
    </row>
    <row r="57" spans="1:35" s="22" customFormat="1" x14ac:dyDescent="0.3">
      <c r="T57" s="736"/>
      <c r="U57" s="736"/>
      <c r="V57" s="736"/>
      <c r="AA57" s="22" t="s">
        <v>316</v>
      </c>
      <c r="AB57" s="22" t="str" cm="1">
        <f t="array" aca="1" ref="AB57:AG57" ca="1">OFFSET($A$13,MATCH($AA57,$A$13:$A$1000,0)-1,8,1,COUNTIF(I$13:T$13,"&lt;&gt;"))</f>
        <v>SA ≤ 0.23</v>
      </c>
      <c r="AC57" s="22" t="str">
        <f ca="1"/>
        <v>0.23 &lt; SA ≤ 0.32</v>
      </c>
      <c r="AD57" s="22" t="str">
        <f ca="1"/>
        <v>0.32 &lt; SA ≤ 0.42</v>
      </c>
      <c r="AE57" s="22" t="str">
        <f ca="1"/>
        <v>0.42 &lt; SA ≤ 0.53</v>
      </c>
      <c r="AF57" s="22" t="str">
        <f ca="1"/>
        <v>0.53 &lt; SA ≤ 0.64</v>
      </c>
      <c r="AG57" s="22">
        <f ca="1"/>
        <v>0</v>
      </c>
    </row>
    <row r="58" spans="1:35" s="22" customFormat="1" x14ac:dyDescent="0.3">
      <c r="F58" s="22" t="s">
        <v>382</v>
      </c>
      <c r="S58" s="31"/>
      <c r="T58" s="736"/>
      <c r="U58" s="736"/>
      <c r="V58" s="736"/>
      <c r="AA58" s="22" t="s">
        <v>319</v>
      </c>
      <c r="AB58" s="22" t="str" cm="1">
        <f t="array" aca="1" ref="AB58:AG58" ca="1">OFFSET($A$13,MATCH($AA58,$A$13:$A$1000,0)-1,8,1,COUNTIF(I$13:T$13,"&lt;&gt;"))</f>
        <v>SA ≤ 0.23</v>
      </c>
      <c r="AC58" s="22" t="str">
        <f ca="1"/>
        <v>0.23 &lt; SA ≤ 0.32</v>
      </c>
      <c r="AD58" s="22" t="str">
        <f ca="1"/>
        <v>0.32 &lt; SA ≤ 0.42</v>
      </c>
      <c r="AE58" s="22" t="str">
        <f ca="1"/>
        <v>0.42 &lt; SA ≤  0.64</v>
      </c>
      <c r="AF58" s="22">
        <f ca="1"/>
        <v>0</v>
      </c>
      <c r="AG58" s="22">
        <f ca="1"/>
        <v>0</v>
      </c>
    </row>
    <row r="59" spans="1:35" s="22" customFormat="1" x14ac:dyDescent="0.3">
      <c r="F59" s="22" t="s">
        <v>383</v>
      </c>
      <c r="R59" s="719"/>
      <c r="T59" s="736"/>
      <c r="U59" s="736"/>
      <c r="V59" s="736"/>
      <c r="AA59" s="22" t="s">
        <v>322</v>
      </c>
      <c r="AB59" s="22" t="str" cm="1">
        <f t="array" aca="1" ref="AB59:AG59" ca="1">OFFSET($A$13,MATCH($AA59,$A$13:$A$1000,0)-1,8,1,COUNTIF(I$13:T$13,"&lt;&gt;"))</f>
        <v>SA ≤ 0.23</v>
      </c>
      <c r="AC59" s="736" t="str">
        <f ca="1"/>
        <v>0.23 &lt; SA ≤ 0.32</v>
      </c>
      <c r="AD59" s="736" t="str">
        <f ca="1"/>
        <v>0.32 &lt; SA ≤ 0.42</v>
      </c>
      <c r="AE59" s="736" t="str">
        <f ca="1"/>
        <v>0.42 &lt; SA ≤ 0.53</v>
      </c>
      <c r="AF59" s="22" t="str">
        <f ca="1"/>
        <v>0.53 &lt; SA ≤ 0 .64</v>
      </c>
      <c r="AG59" s="22">
        <f ca="1"/>
        <v>0</v>
      </c>
    </row>
    <row r="60" spans="1:35" s="22" customFormat="1" x14ac:dyDescent="0.3">
      <c r="A60" s="719" t="str">
        <f>CONCATENATE(B62,C62,D62)</f>
        <v>3Timber-framed pitched roof with horizontal ceiling</v>
      </c>
      <c r="F60" s="22" t="s">
        <v>303</v>
      </c>
      <c r="G60" s="22" t="s">
        <v>304</v>
      </c>
      <c r="H60" s="22" t="s">
        <v>305</v>
      </c>
      <c r="I60" s="22" t="s">
        <v>306</v>
      </c>
      <c r="J60" s="22" t="s">
        <v>307</v>
      </c>
      <c r="K60" s="22" t="s">
        <v>308</v>
      </c>
      <c r="L60" s="22" t="s">
        <v>309</v>
      </c>
      <c r="M60" s="22" t="s">
        <v>384</v>
      </c>
      <c r="AA60" s="22" t="s">
        <v>324</v>
      </c>
      <c r="AB60" s="22" t="str" cm="1">
        <f t="array" aca="1" ref="AB60:AG60" ca="1">OFFSET($A$13,MATCH($AA60,$A$13:$A$1000,0)-1,8,1,COUNTIF(I$13:T$13,"&lt;&gt;"))</f>
        <v>SA ≤ 0.23</v>
      </c>
      <c r="AC60" s="736" t="str">
        <f ca="1"/>
        <v>0.23 &lt; SA ≤ 0.64</v>
      </c>
      <c r="AD60" s="736">
        <f ca="1"/>
        <v>0</v>
      </c>
      <c r="AE60" s="736">
        <f ca="1"/>
        <v>0</v>
      </c>
      <c r="AF60" s="22">
        <f ca="1"/>
        <v>0</v>
      </c>
      <c r="AG60" s="22">
        <f ca="1"/>
        <v>0</v>
      </c>
    </row>
    <row r="61" spans="1:35" s="22" customFormat="1" x14ac:dyDescent="0.3">
      <c r="A61" s="22" t="str">
        <f>CONCATENATE(B61,C61,D61,Pitched_roof_with_horizontal_ceiling_minimum_R_Value_for_ceiling_insulation_climate_zone_3886[[#This Row],[Roof ventilation]],Pitched_roof_with_horizontal_ceiling_minimum_R_Value_for_ceiling_insulation_climate_zone_3886[[#This Row],[Reflective insulation under-roof]])</f>
        <v>3Timber-framed pitched roof with horizontal ceilingVentedYes</v>
      </c>
      <c r="B61" s="22">
        <v>3</v>
      </c>
      <c r="C61" s="22" t="s">
        <v>188</v>
      </c>
      <c r="E61" s="22" t="str">
        <f>CONCATENATE(A61,Pitched_roof_with_horizontal_ceiling_minimum_R_Value_for_ceiling_insulation_climate_zone_3886[[#This Row],[Under-roof insulation R-Value]])</f>
        <v>3Timber-framed pitched roof with horizontal ceilingVentedYes&lt; 0.5</v>
      </c>
      <c r="F61" s="22" t="s">
        <v>189</v>
      </c>
      <c r="G61" s="22" t="s">
        <v>190</v>
      </c>
      <c r="H61" s="22" t="s">
        <v>378</v>
      </c>
      <c r="I61" s="22">
        <v>2.5</v>
      </c>
      <c r="J61" s="22">
        <v>2.5</v>
      </c>
      <c r="K61" s="22">
        <v>2.5</v>
      </c>
      <c r="L61" s="22">
        <v>2.5</v>
      </c>
      <c r="M61" s="22">
        <v>2.5</v>
      </c>
      <c r="R61" s="719"/>
      <c r="T61" s="736"/>
      <c r="AA61" s="22" t="s">
        <v>326</v>
      </c>
      <c r="AB61" s="22" t="str" cm="1">
        <f t="array" aca="1" ref="AB61:AG61" ca="1">OFFSET($A$13,MATCH($AA61,$A$13:$A$1000,0)-1,8,1,COUNTIF(I$13:T$13,"&lt;&gt;"))</f>
        <v>SA ≤ 0.42</v>
      </c>
      <c r="AC61" s="736" t="str">
        <f ca="1"/>
        <v>0.42 &lt; SA ≤ 0.64</v>
      </c>
      <c r="AD61" s="736">
        <f ca="1"/>
        <v>0</v>
      </c>
      <c r="AE61" s="736">
        <f ca="1"/>
        <v>0</v>
      </c>
      <c r="AF61" s="22">
        <f ca="1"/>
        <v>0</v>
      </c>
      <c r="AG61" s="22">
        <f ca="1"/>
        <v>0</v>
      </c>
    </row>
    <row r="62" spans="1:35" s="22" customFormat="1" x14ac:dyDescent="0.3">
      <c r="A62" s="22" t="str">
        <f>CONCATENATE(B62,C62,D62,Pitched_roof_with_horizontal_ceiling_minimum_R_Value_for_ceiling_insulation_climate_zone_3886[[#This Row],[Roof ventilation]],Pitched_roof_with_horizontal_ceiling_minimum_R_Value_for_ceiling_insulation_climate_zone_3886[[#This Row],[Reflective insulation under-roof]])</f>
        <v>3Timber-framed pitched roof with horizontal ceilingVentedYes</v>
      </c>
      <c r="B62" s="22">
        <v>3</v>
      </c>
      <c r="C62" s="22" t="s">
        <v>188</v>
      </c>
      <c r="E62" s="22" t="str">
        <f>CONCATENATE(A62,Pitched_roof_with_horizontal_ceiling_minimum_R_Value_for_ceiling_insulation_climate_zone_3886[[#This Row],[Under-roof insulation R-Value]])</f>
        <v>3Timber-framed pitched roof with horizontal ceilingVentedYes≥ 0.5 to &lt; 1.0</v>
      </c>
      <c r="F62" s="22" t="s">
        <v>189</v>
      </c>
      <c r="G62" s="22" t="s">
        <v>190</v>
      </c>
      <c r="H62" s="22" t="s">
        <v>380</v>
      </c>
      <c r="I62" s="22">
        <v>2</v>
      </c>
      <c r="J62" s="22">
        <v>2</v>
      </c>
      <c r="K62" s="22">
        <v>2</v>
      </c>
      <c r="L62" s="22">
        <v>2</v>
      </c>
      <c r="M62" s="22">
        <v>2</v>
      </c>
      <c r="T62" s="736"/>
      <c r="AA62" s="22" t="s">
        <v>328</v>
      </c>
      <c r="AB62" s="22" t="str" cm="1">
        <f t="array" aca="1" ref="AB62:AG62" ca="1">OFFSET($A$13,MATCH($AA62,$A$13:$A$1000,0)-1,8,1,COUNTIF(I$13:T$13,"&lt;&gt;"))</f>
        <v>0.23 ≤ SA ≤ 0.64</v>
      </c>
      <c r="AC62" s="736" t="str">
        <f ca="1"/>
        <v>0.64 &lt; SA ≤ 0.96</v>
      </c>
      <c r="AD62" s="736">
        <f ca="1"/>
        <v>0</v>
      </c>
      <c r="AE62" s="736">
        <f ca="1"/>
        <v>0</v>
      </c>
      <c r="AF62" s="22">
        <f ca="1"/>
        <v>0</v>
      </c>
      <c r="AG62" s="22">
        <f ca="1"/>
        <v>0</v>
      </c>
    </row>
    <row r="63" spans="1:35" s="22" customFormat="1" x14ac:dyDescent="0.3">
      <c r="A63" s="22" t="str">
        <f>CONCATENATE(B63,C63,D63,Pitched_roof_with_horizontal_ceiling_minimum_R_Value_for_ceiling_insulation_climate_zone_3886[[#This Row],[Roof ventilation]],Pitched_roof_with_horizontal_ceiling_minimum_R_Value_for_ceiling_insulation_climate_zone_3886[[#This Row],[Reflective insulation under-roof]])</f>
        <v>3Timber-framed pitched roof with horizontal ceilingVentedYes</v>
      </c>
      <c r="B63" s="22">
        <v>3</v>
      </c>
      <c r="C63" s="22" t="s">
        <v>188</v>
      </c>
      <c r="E63" s="22" t="str">
        <f>CONCATENATE(A63,Pitched_roof_with_horizontal_ceiling_minimum_R_Value_for_ceiling_insulation_climate_zone_3886[[#This Row],[Under-roof insulation R-Value]])</f>
        <v>3Timber-framed pitched roof with horizontal ceilingVentedYes≥ 1.0 to &lt; 1.5</v>
      </c>
      <c r="F63" s="22" t="s">
        <v>189</v>
      </c>
      <c r="G63" s="22" t="s">
        <v>190</v>
      </c>
      <c r="H63" s="22" t="s">
        <v>315</v>
      </c>
      <c r="I63" s="22">
        <v>2</v>
      </c>
      <c r="J63" s="22">
        <v>2.5</v>
      </c>
      <c r="K63" s="22">
        <v>2.5</v>
      </c>
      <c r="L63" s="22">
        <v>2.5</v>
      </c>
      <c r="M63" s="22">
        <v>2.5</v>
      </c>
      <c r="O63" s="31"/>
      <c r="T63" s="736"/>
      <c r="AA63" s="22" t="s">
        <v>330</v>
      </c>
      <c r="AB63" s="22" t="str" cm="1">
        <f t="array" aca="1" ref="AB63:AG63" ca="1">OFFSET($A$13,MATCH($AA63,$A$13:$A$1000,0)-1,8,1,COUNTIF(I$13:T$13,"&lt;&gt;"))</f>
        <v>SA ≤ 0.23</v>
      </c>
      <c r="AC63" s="736" t="str">
        <f ca="1"/>
        <v>0.23 &lt; SA ≤ 0.32</v>
      </c>
      <c r="AD63" s="736" t="str">
        <f ca="1"/>
        <v>0.32 &lt; SA ≤ 0.42</v>
      </c>
      <c r="AE63" s="736" t="str">
        <f ca="1"/>
        <v>0.42 &lt; SA ≤ 0.53</v>
      </c>
      <c r="AF63" s="22" t="str">
        <f ca="1"/>
        <v>0.53 &lt; SA ≤ 0.64</v>
      </c>
      <c r="AG63" s="22" t="str">
        <f ca="1"/>
        <v>0.64 &lt; SA ≤ 0.73</v>
      </c>
    </row>
    <row r="64" spans="1:35" s="22" customFormat="1" x14ac:dyDescent="0.3">
      <c r="A64" s="22" t="str">
        <f>CONCATENATE(B64,C64,D64,Pitched_roof_with_horizontal_ceiling_minimum_R_Value_for_ceiling_insulation_climate_zone_3886[[#This Row],[Roof ventilation]],Pitched_roof_with_horizontal_ceiling_minimum_R_Value_for_ceiling_insulation_climate_zone_3886[[#This Row],[Reflective insulation under-roof]])</f>
        <v>3Timber-framed pitched roof with horizontal ceilingVentedYes</v>
      </c>
      <c r="B64" s="22">
        <v>3</v>
      </c>
      <c r="C64" s="22" t="s">
        <v>188</v>
      </c>
      <c r="E64" s="22" t="str">
        <f>CONCATENATE(A64,Pitched_roof_with_horizontal_ceiling_minimum_R_Value_for_ceiling_insulation_climate_zone_3886[[#This Row],[Under-roof insulation R-Value]])</f>
        <v>3Timber-framed pitched roof with horizontal ceilingVentedYes≥ 1.5 to &lt; 2.0</v>
      </c>
      <c r="F64" s="22" t="s">
        <v>189</v>
      </c>
      <c r="G64" s="22" t="s">
        <v>190</v>
      </c>
      <c r="H64" s="22" t="s">
        <v>354</v>
      </c>
      <c r="I64" s="22">
        <v>2</v>
      </c>
      <c r="J64" s="22">
        <v>2</v>
      </c>
      <c r="K64" s="22">
        <v>2.5</v>
      </c>
      <c r="L64" s="22">
        <v>2.5</v>
      </c>
      <c r="M64" s="22">
        <v>2.5</v>
      </c>
      <c r="T64" s="736"/>
      <c r="AA64" s="22" t="s">
        <v>332</v>
      </c>
      <c r="AB64" s="22" t="str" cm="1">
        <f t="array" aca="1" ref="AB64:AG64" ca="1">OFFSET($A$13,MATCH($AA64,$A$13:$A$1000,0)-1,8,1,COUNTIF(I$13:T$13,"&lt;&gt;"))</f>
        <v>SA ≤ 0.23</v>
      </c>
      <c r="AC64" s="736" t="str">
        <f ca="1"/>
        <v>0.23 &lt; SA ≤ 0.32</v>
      </c>
      <c r="AD64" s="736" t="str">
        <f ca="1"/>
        <v>0.32 &lt; SA ≤ 0.42</v>
      </c>
      <c r="AE64" s="736" t="str">
        <f ca="1"/>
        <v>0.42 &lt; SA ≤ 0.53</v>
      </c>
      <c r="AF64" s="22" t="str">
        <f ca="1"/>
        <v>0.53 &lt; SA ≤ 0.64</v>
      </c>
      <c r="AG64" s="22" t="str">
        <f ca="1"/>
        <v>0.64 &lt; SA ≤ 0.73</v>
      </c>
    </row>
    <row r="65" spans="1:33" s="22" customFormat="1" x14ac:dyDescent="0.3">
      <c r="A65" s="22" t="str">
        <f>CONCATENATE(B65,C65,D65,Pitched_roof_with_horizontal_ceiling_minimum_R_Value_for_ceiling_insulation_climate_zone_3886[[#This Row],[Roof ventilation]],Pitched_roof_with_horizontal_ceiling_minimum_R_Value_for_ceiling_insulation_climate_zone_3886[[#This Row],[Reflective insulation under-roof]])</f>
        <v>3Timber-framed pitched roof with horizontal ceilingVentedYes</v>
      </c>
      <c r="B65" s="22">
        <v>3</v>
      </c>
      <c r="C65" s="22" t="s">
        <v>188</v>
      </c>
      <c r="E65" s="22" t="str">
        <f>CONCATENATE(A65,Pitched_roof_with_horizontal_ceiling_minimum_R_Value_for_ceiling_insulation_climate_zone_3886[[#This Row],[Under-roof insulation R-Value]])</f>
        <v>3Timber-framed pitched roof with horizontal ceilingVentedYes≥ 2.0</v>
      </c>
      <c r="F65" s="22" t="s">
        <v>189</v>
      </c>
      <c r="G65" s="22" t="s">
        <v>190</v>
      </c>
      <c r="H65" s="22" t="s">
        <v>357</v>
      </c>
      <c r="I65" s="22">
        <v>2.5</v>
      </c>
      <c r="J65" s="22">
        <v>2.5</v>
      </c>
      <c r="K65" s="22">
        <v>3</v>
      </c>
      <c r="L65" s="22">
        <v>3</v>
      </c>
      <c r="M65" s="22">
        <v>3</v>
      </c>
      <c r="T65" s="736"/>
      <c r="AC65" s="736"/>
      <c r="AD65" s="736"/>
      <c r="AE65" s="736"/>
    </row>
    <row r="66" spans="1:33" s="22" customFormat="1" x14ac:dyDescent="0.3">
      <c r="A66" s="22" t="str">
        <f>CONCATENATE(B66,C66,D66,Pitched_roof_with_horizontal_ceiling_minimum_R_Value_for_ceiling_insulation_climate_zone_3886[[#This Row],[Roof ventilation]],Pitched_roof_with_horizontal_ceiling_minimum_R_Value_for_ceiling_insulation_climate_zone_3886[[#This Row],[Reflective insulation under-roof]])</f>
        <v>3Timber-framed pitched roof with horizontal ceilingVentedNo</v>
      </c>
      <c r="B66" s="22">
        <v>3</v>
      </c>
      <c r="C66" s="22" t="s">
        <v>188</v>
      </c>
      <c r="E66" s="22" t="str">
        <f>CONCATENATE(A66,Pitched_roof_with_horizontal_ceiling_minimum_R_Value_for_ceiling_insulation_climate_zone_3886[[#This Row],[Under-roof insulation R-Value]])</f>
        <v>3Timber-framed pitched roof with horizontal ceilingVentedNo&lt; 0.5</v>
      </c>
      <c r="F66" s="22" t="s">
        <v>189</v>
      </c>
      <c r="G66" s="22" t="s">
        <v>29</v>
      </c>
      <c r="H66" s="22" t="s">
        <v>378</v>
      </c>
      <c r="I66" s="22">
        <v>3.5</v>
      </c>
      <c r="J66" s="22">
        <v>4</v>
      </c>
      <c r="K66" s="22">
        <v>4.5</v>
      </c>
      <c r="L66" s="22">
        <v>5</v>
      </c>
      <c r="M66" s="22" t="s">
        <v>321</v>
      </c>
      <c r="T66" s="736"/>
      <c r="AA66" s="22" t="s">
        <v>336</v>
      </c>
      <c r="AB66" s="22" t="str" cm="1">
        <f t="array" aca="1" ref="AB66:AG66" ca="1">OFFSET($A$13,MATCH($AA66,$A$13:$A$1000,0)-1,6,1,COUNTIF(I$13:T$13,"&lt;&gt;"))</f>
        <v>SA ≤ 0.23</v>
      </c>
      <c r="AC66" s="736" t="str">
        <f ca="1"/>
        <v>0.23 &lt; SA ≤ 0.32</v>
      </c>
      <c r="AD66" s="736" t="str">
        <f ca="1"/>
        <v>0.32 &lt; SA ≤ 0.42</v>
      </c>
      <c r="AE66" s="736" t="str">
        <f ca="1"/>
        <v>0.42 &lt; SA ≤ 0.53</v>
      </c>
      <c r="AF66" s="22" t="str">
        <f ca="1"/>
        <v>0.53 &lt; SA ≤ 0.64</v>
      </c>
      <c r="AG66" s="22">
        <f ca="1"/>
        <v>0</v>
      </c>
    </row>
    <row r="67" spans="1:33" s="22" customFormat="1" x14ac:dyDescent="0.3">
      <c r="A67" s="22" t="str">
        <f>CONCATENATE(B67,C67,D67,Pitched_roof_with_horizontal_ceiling_minimum_R_Value_for_ceiling_insulation_climate_zone_3886[[#This Row],[Roof ventilation]],Pitched_roof_with_horizontal_ceiling_minimum_R_Value_for_ceiling_insulation_climate_zone_3886[[#This Row],[Reflective insulation under-roof]])</f>
        <v>3Timber-framed pitched roof with horizontal ceilingVentedNo</v>
      </c>
      <c r="B67" s="22">
        <v>3</v>
      </c>
      <c r="C67" s="22" t="s">
        <v>188</v>
      </c>
      <c r="E67" s="22" t="str">
        <f>CONCATENATE(A67,Pitched_roof_with_horizontal_ceiling_minimum_R_Value_for_ceiling_insulation_climate_zone_3886[[#This Row],[Under-roof insulation R-Value]])</f>
        <v>3Timber-framed pitched roof with horizontal ceilingVentedNo≥ 0.5 to &lt; 1.0</v>
      </c>
      <c r="F67" s="22" t="s">
        <v>189</v>
      </c>
      <c r="G67" s="22" t="s">
        <v>29</v>
      </c>
      <c r="H67" s="22" t="s">
        <v>380</v>
      </c>
      <c r="I67" s="22">
        <v>3</v>
      </c>
      <c r="J67" s="22">
        <v>3.5</v>
      </c>
      <c r="K67" s="22">
        <v>3.5</v>
      </c>
      <c r="L67" s="22">
        <v>4</v>
      </c>
      <c r="M67" s="22">
        <v>4.5</v>
      </c>
      <c r="T67" s="736"/>
      <c r="AA67" s="22" t="s">
        <v>338</v>
      </c>
      <c r="AB67" s="22" t="str" cm="1">
        <f t="array" aca="1" ref="AB67:AG67" ca="1">OFFSET($A$13,MATCH($AA67,$A$13:$A$1000,0)-1,6,1,COUNTIF(I$13:T$13,"&lt;&gt;"))</f>
        <v>SA ≤ 0.23</v>
      </c>
      <c r="AC67" s="736" t="str">
        <f ca="1"/>
        <v>0.23 &lt; SA ≤ 0.32</v>
      </c>
      <c r="AD67" s="736" t="str">
        <f ca="1"/>
        <v>0.32 &lt; SA ≤ 0.42</v>
      </c>
      <c r="AE67" s="736" t="str">
        <f ca="1"/>
        <v>0.42 &lt; SA ≤ 0.53</v>
      </c>
      <c r="AF67" s="32" t="str">
        <f ca="1"/>
        <v>0.53 &lt; SA ≤ 0.64</v>
      </c>
      <c r="AG67" s="22">
        <f ca="1"/>
        <v>0</v>
      </c>
    </row>
    <row r="68" spans="1:33" s="22" customFormat="1" x14ac:dyDescent="0.3">
      <c r="A68" s="22" t="str">
        <f>CONCATENATE(B68,C68,D68,Pitched_roof_with_horizontal_ceiling_minimum_R_Value_for_ceiling_insulation_climate_zone_3886[[#This Row],[Roof ventilation]],Pitched_roof_with_horizontal_ceiling_minimum_R_Value_for_ceiling_insulation_climate_zone_3886[[#This Row],[Reflective insulation under-roof]])</f>
        <v>3Timber-framed pitched roof with horizontal ceilingVentedNo</v>
      </c>
      <c r="B68" s="22">
        <v>3</v>
      </c>
      <c r="C68" s="22" t="s">
        <v>188</v>
      </c>
      <c r="E68" s="22" t="str">
        <f>CONCATENATE(A68,Pitched_roof_with_horizontal_ceiling_minimum_R_Value_for_ceiling_insulation_climate_zone_3886[[#This Row],[Under-roof insulation R-Value]])</f>
        <v>3Timber-framed pitched roof with horizontal ceilingVentedNo≥ 1.0 to &lt; 1.5</v>
      </c>
      <c r="F68" s="22" t="s">
        <v>189</v>
      </c>
      <c r="G68" s="22" t="s">
        <v>29</v>
      </c>
      <c r="H68" s="22" t="s">
        <v>315</v>
      </c>
      <c r="I68" s="22">
        <v>2.5</v>
      </c>
      <c r="J68" s="22">
        <v>3</v>
      </c>
      <c r="K68" s="22">
        <v>3</v>
      </c>
      <c r="L68" s="22">
        <v>3</v>
      </c>
      <c r="M68" s="22">
        <v>3.5</v>
      </c>
      <c r="T68" s="736"/>
      <c r="AA68" s="22" t="s">
        <v>340</v>
      </c>
      <c r="AB68" s="22" t="str" cm="1">
        <f t="array" aca="1" ref="AB68:AG68" ca="1">OFFSET($A$13,MATCH($AA68,$A$13:$A$1000,0)-1,6,1,COUNTIF(I$13:T$13,"&lt;&gt;"))</f>
        <v>SA ≤ 0.23</v>
      </c>
      <c r="AC68" s="736" t="str">
        <f ca="1"/>
        <v>0.23 &lt; SA ≤ 0.32</v>
      </c>
      <c r="AD68" s="736" t="str">
        <f ca="1"/>
        <v>0.32 &lt; SA ≤ 0.42</v>
      </c>
      <c r="AE68" s="736" t="str">
        <f ca="1"/>
        <v>0.42 &lt; SA ≤ 0.53</v>
      </c>
      <c r="AF68" s="32" t="str">
        <f ca="1"/>
        <v>0.53 &lt; SA ≤ 0.64</v>
      </c>
      <c r="AG68" s="22">
        <f ca="1"/>
        <v>0</v>
      </c>
    </row>
    <row r="69" spans="1:33" s="22" customFormat="1" x14ac:dyDescent="0.3">
      <c r="A69" s="22" t="str">
        <f>CONCATENATE(B69,C69,D69,Pitched_roof_with_horizontal_ceiling_minimum_R_Value_for_ceiling_insulation_climate_zone_3886[[#This Row],[Roof ventilation]],Pitched_roof_with_horizontal_ceiling_minimum_R_Value_for_ceiling_insulation_climate_zone_3886[[#This Row],[Reflective insulation under-roof]])</f>
        <v>3Timber-framed pitched roof with horizontal ceilingVentedNo</v>
      </c>
      <c r="B69" s="22">
        <v>3</v>
      </c>
      <c r="C69" s="22" t="s">
        <v>188</v>
      </c>
      <c r="E69" s="22" t="str">
        <f>CONCATENATE(A69,Pitched_roof_with_horizontal_ceiling_minimum_R_Value_for_ceiling_insulation_climate_zone_3886[[#This Row],[Under-roof insulation R-Value]])</f>
        <v>3Timber-framed pitched roof with horizontal ceilingVentedNo≥ 1.5 to &lt; 2.0</v>
      </c>
      <c r="F69" s="22" t="s">
        <v>189</v>
      </c>
      <c r="G69" s="22" t="s">
        <v>29</v>
      </c>
      <c r="H69" s="22" t="s">
        <v>354</v>
      </c>
      <c r="I69" s="22">
        <v>2.5</v>
      </c>
      <c r="J69" s="22">
        <v>3</v>
      </c>
      <c r="K69" s="22">
        <v>3</v>
      </c>
      <c r="L69" s="22">
        <v>3</v>
      </c>
      <c r="M69" s="22">
        <v>3</v>
      </c>
      <c r="T69" s="736"/>
      <c r="AA69" s="22" t="s">
        <v>343</v>
      </c>
      <c r="AB69" s="22" t="str" cm="1">
        <f t="array" aca="1" ref="AB69:AG69" ca="1">OFFSET($A$13,MATCH($AA69,$A$13:$A$1000,0)-1,6,1,COUNTIF(I$13:T$13,"&lt;&gt;"))</f>
        <v>SA ≤ 0.23</v>
      </c>
      <c r="AC69" s="22" t="str">
        <f ca="1"/>
        <v>0.23 &lt; SA ≤ 0.32</v>
      </c>
      <c r="AD69" s="22" t="str">
        <f ca="1"/>
        <v>0.32 &lt; SA ≤ 0.42</v>
      </c>
      <c r="AE69" s="22" t="str">
        <f ca="1"/>
        <v>0.42 &lt; SA ≤ 0.53</v>
      </c>
      <c r="AF69" s="22" t="str">
        <f ca="1"/>
        <v>0.53 &lt; SA ≤ 0.64</v>
      </c>
      <c r="AG69" s="22">
        <f ca="1"/>
        <v>0</v>
      </c>
    </row>
    <row r="70" spans="1:33" s="22" customFormat="1" x14ac:dyDescent="0.3">
      <c r="A70" s="22" t="str">
        <f>CONCATENATE(B70,C70,D70,Pitched_roof_with_horizontal_ceiling_minimum_R_Value_for_ceiling_insulation_climate_zone_3886[[#This Row],[Roof ventilation]],Pitched_roof_with_horizontal_ceiling_minimum_R_Value_for_ceiling_insulation_climate_zone_3886[[#This Row],[Reflective insulation under-roof]])</f>
        <v>3Timber-framed pitched roof with horizontal ceilingVentedNo</v>
      </c>
      <c r="B70" s="22">
        <v>3</v>
      </c>
      <c r="C70" s="22" t="s">
        <v>188</v>
      </c>
      <c r="E70" s="22" t="str">
        <f>CONCATENATE(A70,Pitched_roof_with_horizontal_ceiling_minimum_R_Value_for_ceiling_insulation_climate_zone_3886[[#This Row],[Under-roof insulation R-Value]])</f>
        <v>3Timber-framed pitched roof with horizontal ceilingVentedNo≥ 2.0</v>
      </c>
      <c r="F70" s="22" t="s">
        <v>189</v>
      </c>
      <c r="G70" s="22" t="s">
        <v>29</v>
      </c>
      <c r="H70" s="22" t="s">
        <v>357</v>
      </c>
      <c r="I70" s="22">
        <v>2.5</v>
      </c>
      <c r="J70" s="22">
        <v>2.5</v>
      </c>
      <c r="K70" s="22">
        <v>3</v>
      </c>
      <c r="L70" s="22">
        <v>3</v>
      </c>
      <c r="M70" s="22">
        <v>3</v>
      </c>
      <c r="T70" s="736"/>
      <c r="AA70" s="22" t="s">
        <v>346</v>
      </c>
      <c r="AB70" s="22" t="str" cm="1">
        <f t="array" aca="1" ref="AB70:AG70" ca="1">OFFSET($A$13,MATCH($AA70,$A$13:$A$1000,0)-1,6,1,COUNTIF(I$13:T$13,"&lt;&gt;"))</f>
        <v>SA ≤ 0.64</v>
      </c>
      <c r="AC70" s="22">
        <f ca="1"/>
        <v>0</v>
      </c>
      <c r="AD70" s="22">
        <f ca="1"/>
        <v>0</v>
      </c>
      <c r="AE70" s="22">
        <f ca="1"/>
        <v>0</v>
      </c>
      <c r="AF70" s="22">
        <f ca="1"/>
        <v>0</v>
      </c>
      <c r="AG70" s="22">
        <f ca="1"/>
        <v>0</v>
      </c>
    </row>
    <row r="71" spans="1:33" s="22" customFormat="1" x14ac:dyDescent="0.3">
      <c r="A71" s="22" t="str">
        <f>CONCATENATE(B71,C71,D71,Pitched_roof_with_horizontal_ceiling_minimum_R_Value_for_ceiling_insulation_climate_zone_3886[[#This Row],[Roof ventilation]],Pitched_roof_with_horizontal_ceiling_minimum_R_Value_for_ceiling_insulation_climate_zone_3886[[#This Row],[Reflective insulation under-roof]])</f>
        <v>3Timber-framed pitched roof with horizontal ceilingStandardYes</v>
      </c>
      <c r="B71" s="22">
        <v>3</v>
      </c>
      <c r="C71" s="22" t="s">
        <v>188</v>
      </c>
      <c r="E71" s="22" t="str">
        <f>CONCATENATE(A71,Pitched_roof_with_horizontal_ceiling_minimum_R_Value_for_ceiling_insulation_climate_zone_3886[[#This Row],[Under-roof insulation R-Value]])</f>
        <v>3Timber-framed pitched roof with horizontal ceilingStandardYes&lt; 0.5</v>
      </c>
      <c r="F71" s="22" t="s">
        <v>205</v>
      </c>
      <c r="G71" s="22" t="s">
        <v>190</v>
      </c>
      <c r="H71" s="22" t="s">
        <v>378</v>
      </c>
      <c r="I71" s="22">
        <v>2</v>
      </c>
      <c r="J71" s="22">
        <v>2</v>
      </c>
      <c r="K71" s="22">
        <v>2.5</v>
      </c>
      <c r="L71" s="22">
        <v>2.5</v>
      </c>
      <c r="M71" s="22">
        <v>2.5</v>
      </c>
      <c r="T71" s="736"/>
      <c r="AA71" s="22" t="s">
        <v>348</v>
      </c>
      <c r="AB71" s="22" t="str" cm="1">
        <f t="array" aca="1" ref="AB71:AG71" ca="1">OFFSET($A$13,MATCH($AA71,$A$13:$A$1000,0)-1,6,1,COUNTIF(I$13:T$13,"&lt;&gt;"))</f>
        <v>SA ≤ 0.64</v>
      </c>
      <c r="AC71" s="22">
        <f ca="1"/>
        <v>0</v>
      </c>
      <c r="AD71" s="22">
        <f ca="1"/>
        <v>0</v>
      </c>
      <c r="AE71" s="22">
        <f ca="1"/>
        <v>0</v>
      </c>
      <c r="AF71" s="22">
        <f ca="1"/>
        <v>0</v>
      </c>
      <c r="AG71" s="22">
        <f ca="1"/>
        <v>0</v>
      </c>
    </row>
    <row r="72" spans="1:33" s="22" customFormat="1" x14ac:dyDescent="0.3">
      <c r="A72" s="22" t="str">
        <f>CONCATENATE(B72,C72,D72,Pitched_roof_with_horizontal_ceiling_minimum_R_Value_for_ceiling_insulation_climate_zone_3886[[#This Row],[Roof ventilation]],Pitched_roof_with_horizontal_ceiling_minimum_R_Value_for_ceiling_insulation_climate_zone_3886[[#This Row],[Reflective insulation under-roof]])</f>
        <v>3Timber-framed pitched roof with horizontal ceilingStandardYes</v>
      </c>
      <c r="B72" s="22">
        <v>3</v>
      </c>
      <c r="C72" s="22" t="s">
        <v>188</v>
      </c>
      <c r="E72" s="22" t="str">
        <f>CONCATENATE(A72,Pitched_roof_with_horizontal_ceiling_minimum_R_Value_for_ceiling_insulation_climate_zone_3886[[#This Row],[Under-roof insulation R-Value]])</f>
        <v>3Timber-framed pitched roof with horizontal ceilingStandardYes≥ 0.5 to &lt; 1.0</v>
      </c>
      <c r="F72" s="22" t="s">
        <v>205</v>
      </c>
      <c r="G72" s="22" t="s">
        <v>190</v>
      </c>
      <c r="H72" s="22" t="s">
        <v>380</v>
      </c>
      <c r="I72" s="22">
        <v>2</v>
      </c>
      <c r="J72" s="22">
        <v>2</v>
      </c>
      <c r="K72" s="22">
        <v>2.5</v>
      </c>
      <c r="L72" s="22">
        <v>2.5</v>
      </c>
      <c r="M72" s="22">
        <v>2.5</v>
      </c>
      <c r="T72" s="736"/>
      <c r="AA72" s="22" t="s">
        <v>350</v>
      </c>
      <c r="AB72" s="22" t="str" cm="1">
        <f t="array" aca="1" ref="AB72:AG72" ca="1">OFFSET($A$13,MATCH($AA72,$A$13:$A$1000,0)-1,6,1,COUNTIF(I$13:T$13,"&lt;&gt;"))</f>
        <v>0.23 ≤ SA &lt; 0.64</v>
      </c>
      <c r="AC72" s="22" t="str">
        <f ca="1"/>
        <v>SA = 0.64</v>
      </c>
      <c r="AD72" s="22" t="str">
        <f ca="1"/>
        <v>0.64 &lt; SA ≤ 0.96</v>
      </c>
      <c r="AE72" s="22">
        <f ca="1"/>
        <v>0</v>
      </c>
      <c r="AF72" s="22">
        <f ca="1"/>
        <v>0</v>
      </c>
      <c r="AG72" s="22">
        <f ca="1"/>
        <v>0</v>
      </c>
    </row>
    <row r="73" spans="1:33" s="22" customFormat="1" x14ac:dyDescent="0.3">
      <c r="A73" s="22" t="str">
        <f>CONCATENATE(B73,C73,D73,Pitched_roof_with_horizontal_ceiling_minimum_R_Value_for_ceiling_insulation_climate_zone_3886[[#This Row],[Roof ventilation]],Pitched_roof_with_horizontal_ceiling_minimum_R_Value_for_ceiling_insulation_climate_zone_3886[[#This Row],[Reflective insulation under-roof]])</f>
        <v>3Timber-framed pitched roof with horizontal ceilingStandardYes</v>
      </c>
      <c r="B73" s="22">
        <v>3</v>
      </c>
      <c r="C73" s="22" t="s">
        <v>188</v>
      </c>
      <c r="E73" s="22" t="str">
        <f>CONCATENATE(A73,Pitched_roof_with_horizontal_ceiling_minimum_R_Value_for_ceiling_insulation_climate_zone_3886[[#This Row],[Under-roof insulation R-Value]])</f>
        <v>3Timber-framed pitched roof with horizontal ceilingStandardYes≥ 1.0 to &lt; 1.5</v>
      </c>
      <c r="F73" s="22" t="s">
        <v>205</v>
      </c>
      <c r="G73" s="22" t="s">
        <v>190</v>
      </c>
      <c r="H73" s="22" t="s">
        <v>315</v>
      </c>
      <c r="I73" s="22">
        <v>2</v>
      </c>
      <c r="J73" s="22">
        <v>2</v>
      </c>
      <c r="K73" s="22">
        <v>2</v>
      </c>
      <c r="L73" s="22">
        <v>2</v>
      </c>
      <c r="M73" s="22">
        <v>2.5</v>
      </c>
      <c r="T73" s="736"/>
      <c r="AA73" s="22" t="s">
        <v>352</v>
      </c>
      <c r="AB73" s="22" t="str" cm="1">
        <f t="array" aca="1" ref="AB73:AG73" ca="1">OFFSET($A$13,MATCH($AA73,$A$13:$A$1000,0)-1,6,1,COUNTIF(I$13:T$13,"&lt;&gt;"))</f>
        <v>SA ≤ 0.23</v>
      </c>
      <c r="AC73" s="22" t="str">
        <f ca="1"/>
        <v>0.23 &lt; SA ≤ 0.32</v>
      </c>
      <c r="AD73" s="22" t="str">
        <f ca="1"/>
        <v>0.32 &lt; SA ≤ 0.42</v>
      </c>
      <c r="AE73" s="22" t="str">
        <f ca="1"/>
        <v>0.42 &lt; SA ≤ 0.53</v>
      </c>
      <c r="AF73" s="22" t="str">
        <f ca="1"/>
        <v>0.53 &lt; SA ≤ 0.64</v>
      </c>
      <c r="AG73" s="22" t="str">
        <f ca="1"/>
        <v>0.64 &lt; SA ≤ 0.73</v>
      </c>
    </row>
    <row r="74" spans="1:33" s="22" customFormat="1" x14ac:dyDescent="0.3">
      <c r="A74" s="22" t="str">
        <f>CONCATENATE(B74,C74,D74,Pitched_roof_with_horizontal_ceiling_minimum_R_Value_for_ceiling_insulation_climate_zone_3886[[#This Row],[Roof ventilation]],Pitched_roof_with_horizontal_ceiling_minimum_R_Value_for_ceiling_insulation_climate_zone_3886[[#This Row],[Reflective insulation under-roof]])</f>
        <v>3Timber-framed pitched roof with horizontal ceilingStandardYes</v>
      </c>
      <c r="B74" s="22">
        <v>3</v>
      </c>
      <c r="C74" s="22" t="s">
        <v>188</v>
      </c>
      <c r="E74" s="22" t="str">
        <f>CONCATENATE(A74,Pitched_roof_with_horizontal_ceiling_minimum_R_Value_for_ceiling_insulation_climate_zone_3886[[#This Row],[Under-roof insulation R-Value]])</f>
        <v>3Timber-framed pitched roof with horizontal ceilingStandardYes≥ 1.5 to &lt; 2.0</v>
      </c>
      <c r="F74" s="22" t="s">
        <v>205</v>
      </c>
      <c r="G74" s="22" t="s">
        <v>190</v>
      </c>
      <c r="H74" s="22" t="s">
        <v>354</v>
      </c>
      <c r="I74" s="22">
        <v>2</v>
      </c>
      <c r="J74" s="22">
        <v>2.5</v>
      </c>
      <c r="K74" s="22">
        <v>2.5</v>
      </c>
      <c r="L74" s="22">
        <v>2.5</v>
      </c>
      <c r="M74" s="22">
        <v>3</v>
      </c>
      <c r="T74" s="736"/>
      <c r="AA74" s="22" t="s">
        <v>355</v>
      </c>
      <c r="AB74" s="22" t="str" cm="1">
        <f t="array" aca="1" ref="AB74:AG74" ca="1">OFFSET($A$13,MATCH($AA74,$A$13:$A$1000,0)-1,6,1,COUNTIF(I$13:T$13,"&lt;&gt;"))</f>
        <v>SA ≤ 0.23</v>
      </c>
      <c r="AC74" s="22" t="str">
        <f ca="1"/>
        <v>0.23 &lt; SA ≤ 0.32</v>
      </c>
      <c r="AD74" s="22" t="str">
        <f ca="1"/>
        <v>0.32 &lt; SA ≤ 0.42</v>
      </c>
      <c r="AE74" s="22" t="str">
        <f ca="1"/>
        <v>0.42 &lt; SA ≤ 0.53</v>
      </c>
      <c r="AF74" s="22" t="str">
        <f ca="1"/>
        <v>0.53 &lt; SA ≤ 0.64</v>
      </c>
      <c r="AG74" s="22" t="str">
        <f ca="1"/>
        <v>0.64 &lt; SA .0 .73</v>
      </c>
    </row>
    <row r="75" spans="1:33" s="22" customFormat="1" x14ac:dyDescent="0.3">
      <c r="A75" s="22" t="str">
        <f>CONCATENATE(B75,C75,D75,Pitched_roof_with_horizontal_ceiling_minimum_R_Value_for_ceiling_insulation_climate_zone_3886[[#This Row],[Roof ventilation]],Pitched_roof_with_horizontal_ceiling_minimum_R_Value_for_ceiling_insulation_climate_zone_3886[[#This Row],[Reflective insulation under-roof]])</f>
        <v>3Timber-framed pitched roof with horizontal ceilingStandardYes</v>
      </c>
      <c r="B75" s="22">
        <v>3</v>
      </c>
      <c r="C75" s="22" t="s">
        <v>188</v>
      </c>
      <c r="E75" s="22" t="str">
        <f>CONCATENATE(A75,Pitched_roof_with_horizontal_ceiling_minimum_R_Value_for_ceiling_insulation_climate_zone_3886[[#This Row],[Under-roof insulation R-Value]])</f>
        <v>3Timber-framed pitched roof with horizontal ceilingStandardYes≥ 2.0</v>
      </c>
      <c r="F75" s="22" t="s">
        <v>205</v>
      </c>
      <c r="G75" s="22" t="s">
        <v>190</v>
      </c>
      <c r="H75" s="22" t="s">
        <v>357</v>
      </c>
      <c r="I75" s="22">
        <v>2</v>
      </c>
      <c r="J75" s="22">
        <v>2</v>
      </c>
      <c r="K75" s="22">
        <v>2.5</v>
      </c>
      <c r="L75" s="22">
        <v>2.5</v>
      </c>
      <c r="M75" s="22">
        <v>2.5</v>
      </c>
      <c r="T75" s="736"/>
    </row>
    <row r="76" spans="1:33" s="22" customFormat="1" x14ac:dyDescent="0.3">
      <c r="A76" s="22" t="str">
        <f>CONCATENATE(B76,C76,D76,Pitched_roof_with_horizontal_ceiling_minimum_R_Value_for_ceiling_insulation_climate_zone_3886[[#This Row],[Roof ventilation]],Pitched_roof_with_horizontal_ceiling_minimum_R_Value_for_ceiling_insulation_climate_zone_3886[[#This Row],[Reflective insulation under-roof]])</f>
        <v>3Timber-framed pitched roof with horizontal ceilingStandardNo</v>
      </c>
      <c r="B76" s="22">
        <v>3</v>
      </c>
      <c r="C76" s="22" t="s">
        <v>188</v>
      </c>
      <c r="E76" s="22" t="str">
        <f>CONCATENATE(A76,Pitched_roof_with_horizontal_ceiling_minimum_R_Value_for_ceiling_insulation_climate_zone_3886[[#This Row],[Under-roof insulation R-Value]])</f>
        <v>3Timber-framed pitched roof with horizontal ceilingStandardNo&lt; 0.5</v>
      </c>
      <c r="F76" s="22" t="s">
        <v>205</v>
      </c>
      <c r="G76" s="22" t="s">
        <v>29</v>
      </c>
      <c r="H76" s="22" t="s">
        <v>378</v>
      </c>
      <c r="I76" s="22">
        <v>3</v>
      </c>
      <c r="J76" s="22">
        <v>4</v>
      </c>
      <c r="K76" s="22">
        <v>5</v>
      </c>
      <c r="L76" s="22" t="s">
        <v>321</v>
      </c>
      <c r="M76" s="22" t="s">
        <v>321</v>
      </c>
      <c r="T76" s="736"/>
    </row>
    <row r="77" spans="1:33" s="22" customFormat="1" x14ac:dyDescent="0.3">
      <c r="A77" s="22" t="str">
        <f>CONCATENATE(B77,C77,D77,Pitched_roof_with_horizontal_ceiling_minimum_R_Value_for_ceiling_insulation_climate_zone_3886[[#This Row],[Roof ventilation]],Pitched_roof_with_horizontal_ceiling_minimum_R_Value_for_ceiling_insulation_climate_zone_3886[[#This Row],[Reflective insulation under-roof]])</f>
        <v>3Timber-framed pitched roof with horizontal ceilingStandardNo</v>
      </c>
      <c r="B77" s="22">
        <v>3</v>
      </c>
      <c r="C77" s="22" t="s">
        <v>188</v>
      </c>
      <c r="E77" s="22" t="str">
        <f>CONCATENATE(A77,Pitched_roof_with_horizontal_ceiling_minimum_R_Value_for_ceiling_insulation_climate_zone_3886[[#This Row],[Under-roof insulation R-Value]])</f>
        <v>3Timber-framed pitched roof with horizontal ceilingStandardNo≥ 0.5 to &lt; 1.0</v>
      </c>
      <c r="F77" s="22" t="s">
        <v>205</v>
      </c>
      <c r="G77" s="22" t="s">
        <v>29</v>
      </c>
      <c r="H77" s="22" t="s">
        <v>380</v>
      </c>
      <c r="I77" s="22">
        <v>3</v>
      </c>
      <c r="J77" s="22">
        <v>3</v>
      </c>
      <c r="K77" s="22">
        <v>3.5</v>
      </c>
      <c r="L77" s="22">
        <v>4</v>
      </c>
      <c r="M77" s="22">
        <v>5</v>
      </c>
      <c r="T77" s="736"/>
      <c r="AA77" s="22" t="s">
        <v>232</v>
      </c>
      <c r="AB77" s="22" t="str" cm="1">
        <f t="array" aca="1" ref="AB77:AG77" ca="1">OFFSET($A$13,MATCH($AA77,$A$13:$A$1000,0)-1,6,1,COUNTIF(I$13:T$13,"&lt;&gt;"))</f>
        <v>SA ≤ 0.23</v>
      </c>
      <c r="AC77" s="22" t="str">
        <f ca="1"/>
        <v>0.23 &lt; SA ≤ 0.32</v>
      </c>
      <c r="AD77" s="22" t="str">
        <f ca="1"/>
        <v>0.32 &lt; SA ≤ 0.42</v>
      </c>
      <c r="AE77" s="22" t="str">
        <f ca="1"/>
        <v>0.42 &lt; SA ≤ 0.53</v>
      </c>
      <c r="AF77" s="22" t="str">
        <f ca="1"/>
        <v>0.53 &lt; SA ≤ 0.64</v>
      </c>
      <c r="AG77" s="22" t="str">
        <f ca="1"/>
        <v>0.64 &lt; SA ≤ 0.73</v>
      </c>
    </row>
    <row r="78" spans="1:33" s="22" customFormat="1" x14ac:dyDescent="0.3">
      <c r="A78" s="22" t="str">
        <f>CONCATENATE(B78,C78,D78,Pitched_roof_with_horizontal_ceiling_minimum_R_Value_for_ceiling_insulation_climate_zone_3886[[#This Row],[Roof ventilation]],Pitched_roof_with_horizontal_ceiling_minimum_R_Value_for_ceiling_insulation_climate_zone_3886[[#This Row],[Reflective insulation under-roof]])</f>
        <v>3Timber-framed pitched roof with horizontal ceilingStandardNo</v>
      </c>
      <c r="B78" s="22">
        <v>3</v>
      </c>
      <c r="C78" s="22" t="s">
        <v>188</v>
      </c>
      <c r="E78" s="22" t="str">
        <f>CONCATENATE(A78,Pitched_roof_with_horizontal_ceiling_minimum_R_Value_for_ceiling_insulation_climate_zone_3886[[#This Row],[Under-roof insulation R-Value]])</f>
        <v>3Timber-framed pitched roof with horizontal ceilingStandardNo≥ 1.0 to &lt; 1.5</v>
      </c>
      <c r="F78" s="22" t="s">
        <v>205</v>
      </c>
      <c r="G78" s="22" t="s">
        <v>29</v>
      </c>
      <c r="H78" s="22" t="s">
        <v>315</v>
      </c>
      <c r="I78" s="22">
        <v>2.5</v>
      </c>
      <c r="J78" s="22">
        <v>2.5</v>
      </c>
      <c r="K78" s="22">
        <v>3</v>
      </c>
      <c r="L78" s="22">
        <v>3</v>
      </c>
      <c r="M78" s="22">
        <v>3.5</v>
      </c>
      <c r="T78" s="736"/>
    </row>
    <row r="79" spans="1:33" s="22" customFormat="1" x14ac:dyDescent="0.3">
      <c r="A79" s="22" t="str">
        <f>CONCATENATE(B79,C79,D79,Pitched_roof_with_horizontal_ceiling_minimum_R_Value_for_ceiling_insulation_climate_zone_3886[[#This Row],[Roof ventilation]],Pitched_roof_with_horizontal_ceiling_minimum_R_Value_for_ceiling_insulation_climate_zone_3886[[#This Row],[Reflective insulation under-roof]])</f>
        <v>3Timber-framed pitched roof with horizontal ceilingStandardNo</v>
      </c>
      <c r="B79" s="22">
        <v>3</v>
      </c>
      <c r="C79" s="22" t="s">
        <v>188</v>
      </c>
      <c r="E79" s="22" t="str">
        <f>CONCATENATE(A79,Pitched_roof_with_horizontal_ceiling_minimum_R_Value_for_ceiling_insulation_climate_zone_3886[[#This Row],[Under-roof insulation R-Value]])</f>
        <v>3Timber-framed pitched roof with horizontal ceilingStandardNo≥ 1.5 to &lt; 2.0</v>
      </c>
      <c r="F79" s="22" t="s">
        <v>205</v>
      </c>
      <c r="G79" s="22" t="s">
        <v>29</v>
      </c>
      <c r="H79" s="22" t="s">
        <v>354</v>
      </c>
      <c r="I79" s="22">
        <v>2</v>
      </c>
      <c r="J79" s="22">
        <v>2</v>
      </c>
      <c r="K79" s="22">
        <v>2.5</v>
      </c>
      <c r="L79" s="22">
        <v>2.5</v>
      </c>
      <c r="M79" s="22">
        <v>2.5</v>
      </c>
      <c r="T79" s="736"/>
    </row>
    <row r="80" spans="1:33" s="22" customFormat="1" x14ac:dyDescent="0.3">
      <c r="A80" s="22" t="str">
        <f>CONCATENATE(B80,C80,D80,Pitched_roof_with_horizontal_ceiling_minimum_R_Value_for_ceiling_insulation_climate_zone_3886[[#This Row],[Roof ventilation]],Pitched_roof_with_horizontal_ceiling_minimum_R_Value_for_ceiling_insulation_climate_zone_3886[[#This Row],[Reflective insulation under-roof]])</f>
        <v>3Timber-framed pitched roof with horizontal ceilingStandardNo</v>
      </c>
      <c r="B80" s="22">
        <v>3</v>
      </c>
      <c r="C80" s="22" t="s">
        <v>188</v>
      </c>
      <c r="E80" s="22" t="str">
        <f>CONCATENATE(A80,Pitched_roof_with_horizontal_ceiling_minimum_R_Value_for_ceiling_insulation_climate_zone_3886[[#This Row],[Under-roof insulation R-Value]])</f>
        <v>3Timber-framed pitched roof with horizontal ceilingStandardNo≥ 2.0</v>
      </c>
      <c r="F80" s="22" t="s">
        <v>205</v>
      </c>
      <c r="G80" s="22" t="s">
        <v>29</v>
      </c>
      <c r="H80" s="22" t="s">
        <v>357</v>
      </c>
      <c r="I80" s="22">
        <v>2</v>
      </c>
      <c r="J80" s="22">
        <v>2</v>
      </c>
      <c r="K80" s="22">
        <v>2.5</v>
      </c>
      <c r="L80" s="22">
        <v>2.5</v>
      </c>
      <c r="M80" s="22">
        <v>2.5</v>
      </c>
      <c r="T80" s="736"/>
    </row>
    <row r="81" spans="1:22" s="22" customFormat="1" x14ac:dyDescent="0.3">
      <c r="T81" s="736"/>
      <c r="U81" s="736"/>
      <c r="V81" s="736"/>
    </row>
    <row r="82" spans="1:22" s="22" customFormat="1" x14ac:dyDescent="0.3">
      <c r="F82" s="22" t="s">
        <v>385</v>
      </c>
      <c r="O82" s="31"/>
      <c r="T82" s="736"/>
      <c r="U82" s="736"/>
      <c r="V82" s="736"/>
    </row>
    <row r="83" spans="1:22" s="22" customFormat="1" x14ac:dyDescent="0.3">
      <c r="F83" s="22" t="s">
        <v>386</v>
      </c>
      <c r="O83" s="31"/>
      <c r="T83" s="736"/>
      <c r="U83" s="736"/>
      <c r="V83" s="736"/>
    </row>
    <row r="84" spans="1:22" s="22" customFormat="1" x14ac:dyDescent="0.3">
      <c r="A84" s="719" t="str">
        <f>CONCATENATE(B86,C86,D86)</f>
        <v>4Timber-framed pitched roof with horizontal ceiling</v>
      </c>
      <c r="F84" s="22" t="s">
        <v>303</v>
      </c>
      <c r="G84" s="22" t="s">
        <v>304</v>
      </c>
      <c r="H84" s="22" t="s">
        <v>305</v>
      </c>
      <c r="I84" s="22" t="s">
        <v>306</v>
      </c>
      <c r="J84" s="22" t="s">
        <v>387</v>
      </c>
      <c r="T84" s="736"/>
    </row>
    <row r="85" spans="1:22" s="22" customFormat="1" x14ac:dyDescent="0.3">
      <c r="A85" s="22" t="str">
        <f>CONCATENATE(B85,C85,D85,Pitched_roof_with_horizontal_ceiling_minimum_R_Value_for_ceiling_insulation_climate_zone_41087[[#This Row],[Roof ventilation]],Pitched_roof_with_horizontal_ceiling_minimum_R_Value_for_ceiling_insulation_climate_zone_41087[[#This Row],[Reflective insulation under-roof]])</f>
        <v>4Timber-framed pitched roof with horizontal ceilingVentedYes</v>
      </c>
      <c r="B85" s="22">
        <v>4</v>
      </c>
      <c r="C85" s="22" t="s">
        <v>188</v>
      </c>
      <c r="E85" s="22" t="str">
        <f>CONCATENATE(A85,Pitched_roof_with_horizontal_ceiling_minimum_R_Value_for_ceiling_insulation_climate_zone_41087[[#This Row],[Under-roof insulation R-Value]])</f>
        <v>4Timber-framed pitched roof with horizontal ceilingVentedYes&lt; 0.5</v>
      </c>
      <c r="F85" s="22" t="s">
        <v>189</v>
      </c>
      <c r="G85" s="22" t="s">
        <v>190</v>
      </c>
      <c r="H85" s="22" t="s">
        <v>378</v>
      </c>
      <c r="I85" s="32">
        <v>3</v>
      </c>
      <c r="J85" s="32">
        <v>3.5</v>
      </c>
    </row>
    <row r="86" spans="1:22" s="22" customFormat="1" x14ac:dyDescent="0.3">
      <c r="A86" s="22" t="str">
        <f>CONCATENATE(B86,C86,D86,Pitched_roof_with_horizontal_ceiling_minimum_R_Value_for_ceiling_insulation_climate_zone_41087[[#This Row],[Roof ventilation]],Pitched_roof_with_horizontal_ceiling_minimum_R_Value_for_ceiling_insulation_climate_zone_41087[[#This Row],[Reflective insulation under-roof]])</f>
        <v>4Timber-framed pitched roof with horizontal ceilingVentedYes</v>
      </c>
      <c r="B86" s="22">
        <v>4</v>
      </c>
      <c r="C86" s="22" t="s">
        <v>188</v>
      </c>
      <c r="E86" s="22" t="str">
        <f>CONCATENATE(A86,Pitched_roof_with_horizontal_ceiling_minimum_R_Value_for_ceiling_insulation_climate_zone_41087[[#This Row],[Under-roof insulation R-Value]])</f>
        <v>4Timber-framed pitched roof with horizontal ceilingVentedYes≥ 0.5</v>
      </c>
      <c r="F86" s="22" t="s">
        <v>189</v>
      </c>
      <c r="G86" s="22" t="s">
        <v>190</v>
      </c>
      <c r="H86" s="22" t="s">
        <v>379</v>
      </c>
      <c r="I86" s="32">
        <v>3</v>
      </c>
      <c r="J86" s="32">
        <v>3</v>
      </c>
      <c r="T86" s="736"/>
    </row>
    <row r="87" spans="1:22" s="22" customFormat="1" x14ac:dyDescent="0.3">
      <c r="A87" s="22" t="str">
        <f>CONCATENATE(B87,C87,D87,Pitched_roof_with_horizontal_ceiling_minimum_R_Value_for_ceiling_insulation_climate_zone_41087[[#This Row],[Roof ventilation]],Pitched_roof_with_horizontal_ceiling_minimum_R_Value_for_ceiling_insulation_climate_zone_41087[[#This Row],[Reflective insulation under-roof]])</f>
        <v>4Timber-framed pitched roof with horizontal ceilingVentedNo</v>
      </c>
      <c r="B87" s="22">
        <v>4</v>
      </c>
      <c r="C87" s="22" t="s">
        <v>188</v>
      </c>
      <c r="E87" s="22" t="str">
        <f>CONCATENATE(A87,Pitched_roof_with_horizontal_ceiling_minimum_R_Value_for_ceiling_insulation_climate_zone_41087[[#This Row],[Under-roof insulation R-Value]])</f>
        <v>4Timber-framed pitched roof with horizontal ceilingVentedNoAny</v>
      </c>
      <c r="F87" s="22" t="s">
        <v>189</v>
      </c>
      <c r="G87" s="22" t="s">
        <v>29</v>
      </c>
      <c r="H87" s="22" t="s">
        <v>376</v>
      </c>
      <c r="I87" s="32">
        <v>3.5</v>
      </c>
      <c r="J87" s="32">
        <v>3.5</v>
      </c>
      <c r="T87" s="736"/>
    </row>
    <row r="88" spans="1:22" s="22" customFormat="1" x14ac:dyDescent="0.3">
      <c r="A88" s="22" t="str">
        <f>CONCATENATE(B88,C88,D88,Pitched_roof_with_horizontal_ceiling_minimum_R_Value_for_ceiling_insulation_climate_zone_41087[[#This Row],[Roof ventilation]],Pitched_roof_with_horizontal_ceiling_minimum_R_Value_for_ceiling_insulation_climate_zone_41087[[#This Row],[Reflective insulation under-roof]])</f>
        <v>4Timber-framed pitched roof with horizontal ceilingStandardYes</v>
      </c>
      <c r="B88" s="22">
        <v>4</v>
      </c>
      <c r="C88" s="22" t="s">
        <v>188</v>
      </c>
      <c r="E88" s="22" t="str">
        <f>CONCATENATE(A88,Pitched_roof_with_horizontal_ceiling_minimum_R_Value_for_ceiling_insulation_climate_zone_41087[[#This Row],[Under-roof insulation R-Value]])</f>
        <v>4Timber-framed pitched roof with horizontal ceilingStandardYesAny</v>
      </c>
      <c r="F88" s="22" t="s">
        <v>205</v>
      </c>
      <c r="G88" s="22" t="s">
        <v>190</v>
      </c>
      <c r="H88" s="22" t="s">
        <v>376</v>
      </c>
      <c r="I88" s="32">
        <v>3</v>
      </c>
      <c r="J88" s="32">
        <v>3</v>
      </c>
      <c r="T88" s="736"/>
    </row>
    <row r="89" spans="1:22" s="22" customFormat="1" x14ac:dyDescent="0.3">
      <c r="A89" s="22" t="str">
        <f>CONCATENATE(B89,C89,D89,Pitched_roof_with_horizontal_ceiling_minimum_R_Value_for_ceiling_insulation_climate_zone_41087[[#This Row],[Roof ventilation]],Pitched_roof_with_horizontal_ceiling_minimum_R_Value_for_ceiling_insulation_climate_zone_41087[[#This Row],[Reflective insulation under-roof]])</f>
        <v>4Timber-framed pitched roof with horizontal ceilingStandardNo</v>
      </c>
      <c r="B89" s="22">
        <v>4</v>
      </c>
      <c r="C89" s="22" t="s">
        <v>188</v>
      </c>
      <c r="E89" s="22" t="str">
        <f>CONCATENATE(A89,Pitched_roof_with_horizontal_ceiling_minimum_R_Value_for_ceiling_insulation_climate_zone_41087[[#This Row],[Under-roof insulation R-Value]])</f>
        <v>4Timber-framed pitched roof with horizontal ceilingStandardNo≤ 0.5</v>
      </c>
      <c r="F89" s="22" t="s">
        <v>205</v>
      </c>
      <c r="G89" s="22" t="s">
        <v>29</v>
      </c>
      <c r="H89" s="22" t="s">
        <v>388</v>
      </c>
      <c r="I89" s="32">
        <v>3.5</v>
      </c>
      <c r="J89" s="32">
        <v>3.5</v>
      </c>
      <c r="T89" s="736"/>
    </row>
    <row r="90" spans="1:22" s="22" customFormat="1" x14ac:dyDescent="0.3">
      <c r="A90" s="22" t="str">
        <f>CONCATENATE(B90,C90,D90,Pitched_roof_with_horizontal_ceiling_minimum_R_Value_for_ceiling_insulation_climate_zone_41087[[#This Row],[Roof ventilation]],Pitched_roof_with_horizontal_ceiling_minimum_R_Value_for_ceiling_insulation_climate_zone_41087[[#This Row],[Reflective insulation under-roof]])</f>
        <v>4Timber-framed pitched roof with horizontal ceilingStandardNo</v>
      </c>
      <c r="B90" s="22">
        <v>4</v>
      </c>
      <c r="C90" s="22" t="s">
        <v>188</v>
      </c>
      <c r="E90" s="22" t="str">
        <f>CONCATENATE(A90,Pitched_roof_with_horizontal_ceiling_minimum_R_Value_for_ceiling_insulation_climate_zone_41087[[#This Row],[Under-roof insulation R-Value]])</f>
        <v>4Timber-framed pitched roof with horizontal ceilingStandardNo&gt; 0.5</v>
      </c>
      <c r="F90" s="22" t="s">
        <v>205</v>
      </c>
      <c r="G90" s="22" t="s">
        <v>29</v>
      </c>
      <c r="H90" s="22" t="s">
        <v>389</v>
      </c>
      <c r="I90" s="32">
        <v>3</v>
      </c>
      <c r="J90" s="32">
        <v>3</v>
      </c>
      <c r="T90" s="736"/>
    </row>
    <row r="91" spans="1:22" s="22" customFormat="1" x14ac:dyDescent="0.3">
      <c r="I91" s="32"/>
      <c r="J91" s="32"/>
      <c r="T91" s="736"/>
      <c r="U91" s="736"/>
      <c r="V91" s="736"/>
    </row>
    <row r="92" spans="1:22" s="22" customFormat="1" x14ac:dyDescent="0.3">
      <c r="F92" s="22" t="s">
        <v>390</v>
      </c>
      <c r="I92" s="32"/>
      <c r="J92" s="32"/>
      <c r="T92" s="736"/>
      <c r="U92" s="736"/>
      <c r="V92" s="736"/>
    </row>
    <row r="93" spans="1:22" s="22" customFormat="1" x14ac:dyDescent="0.3">
      <c r="F93" s="22" t="s">
        <v>391</v>
      </c>
      <c r="I93" s="32"/>
      <c r="J93" s="32"/>
      <c r="T93" s="736"/>
      <c r="U93" s="736"/>
      <c r="V93" s="736"/>
    </row>
    <row r="94" spans="1:22" s="22" customFormat="1" x14ac:dyDescent="0.3">
      <c r="A94" s="719" t="str">
        <f>CONCATENATE(B96,C96,D96)</f>
        <v>5Timber-framed pitched roof with horizontal ceiling</v>
      </c>
      <c r="F94" s="22" t="s">
        <v>303</v>
      </c>
      <c r="G94" s="22" t="s">
        <v>304</v>
      </c>
      <c r="H94" s="22" t="s">
        <v>305</v>
      </c>
      <c r="I94" s="22" t="s">
        <v>392</v>
      </c>
      <c r="J94" s="22" t="s">
        <v>393</v>
      </c>
    </row>
    <row r="95" spans="1:22" s="22" customFormat="1" x14ac:dyDescent="0.3">
      <c r="A95" s="22" t="str">
        <f>CONCATENATE(B95,C95,D95,Pitched_roof_with_horizontal_ceiling_minimum_R_Value_for_ceiling_insulation_climate_zone_588[[#This Row],[Roof ventilation]],Pitched_roof_with_horizontal_ceiling_minimum_R_Value_for_ceiling_insulation_climate_zone_588[[#This Row],[Reflective insulation under-roof]])</f>
        <v>5Timber-framed pitched roof with horizontal ceilingVentedYes</v>
      </c>
      <c r="B95" s="22">
        <v>5</v>
      </c>
      <c r="C95" s="22" t="s">
        <v>188</v>
      </c>
      <c r="E95" s="22" t="str">
        <f>CONCATENATE(A95,Pitched_roof_with_horizontal_ceiling_minimum_R_Value_for_ceiling_insulation_climate_zone_588[[#This Row],[Under-roof insulation R-Value]])</f>
        <v>5Timber-framed pitched roof with horizontal ceilingVentedYes&lt; 0.5</v>
      </c>
      <c r="F95" s="22" t="s">
        <v>189</v>
      </c>
      <c r="G95" s="22" t="s">
        <v>190</v>
      </c>
      <c r="H95" s="22" t="s">
        <v>378</v>
      </c>
      <c r="I95" s="22">
        <v>3</v>
      </c>
      <c r="J95" s="22">
        <v>2.5</v>
      </c>
      <c r="T95" s="736"/>
    </row>
    <row r="96" spans="1:22" s="22" customFormat="1" x14ac:dyDescent="0.3">
      <c r="A96" s="22" t="str">
        <f>CONCATENATE(B96,C96,D96,Pitched_roof_with_horizontal_ceiling_minimum_R_Value_for_ceiling_insulation_climate_zone_588[[#This Row],[Roof ventilation]],Pitched_roof_with_horizontal_ceiling_minimum_R_Value_for_ceiling_insulation_climate_zone_588[[#This Row],[Reflective insulation under-roof]])</f>
        <v>5Timber-framed pitched roof with horizontal ceilingVentedYes</v>
      </c>
      <c r="B96" s="22">
        <v>5</v>
      </c>
      <c r="C96" s="22" t="s">
        <v>188</v>
      </c>
      <c r="E96" s="22" t="str">
        <f>CONCATENATE(A96,Pitched_roof_with_horizontal_ceiling_minimum_R_Value_for_ceiling_insulation_climate_zone_588[[#This Row],[Under-roof insulation R-Value]])</f>
        <v>5Timber-framed pitched roof with horizontal ceilingVentedYes≥ 0.5</v>
      </c>
      <c r="F96" s="22" t="s">
        <v>189</v>
      </c>
      <c r="G96" s="22" t="s">
        <v>190</v>
      </c>
      <c r="H96" s="22" t="s">
        <v>379</v>
      </c>
      <c r="I96" s="22">
        <v>2.5</v>
      </c>
      <c r="J96" s="22">
        <v>2.5</v>
      </c>
      <c r="T96" s="736"/>
    </row>
    <row r="97" spans="1:22" s="22" customFormat="1" x14ac:dyDescent="0.3">
      <c r="A97" s="22" t="str">
        <f>CONCATENATE(B97,C97,D97,Pitched_roof_with_horizontal_ceiling_minimum_R_Value_for_ceiling_insulation_climate_zone_588[[#This Row],[Roof ventilation]],Pitched_roof_with_horizontal_ceiling_minimum_R_Value_for_ceiling_insulation_climate_zone_588[[#This Row],[Reflective insulation under-roof]])</f>
        <v>5Timber-framed pitched roof with horizontal ceilingVentedNo</v>
      </c>
      <c r="B97" s="22">
        <v>5</v>
      </c>
      <c r="C97" s="22" t="s">
        <v>188</v>
      </c>
      <c r="E97" s="22" t="str">
        <f>CONCATENATE(A97,Pitched_roof_with_horizontal_ceiling_minimum_R_Value_for_ceiling_insulation_climate_zone_588[[#This Row],[Under-roof insulation R-Value]])</f>
        <v>5Timber-framed pitched roof with horizontal ceilingVentedNo&lt; 2.0</v>
      </c>
      <c r="F97" s="22" t="s">
        <v>189</v>
      </c>
      <c r="G97" s="22" t="s">
        <v>29</v>
      </c>
      <c r="H97" s="22" t="s">
        <v>394</v>
      </c>
      <c r="I97" s="22">
        <v>3</v>
      </c>
      <c r="J97" s="22">
        <v>3</v>
      </c>
      <c r="T97" s="736"/>
    </row>
    <row r="98" spans="1:22" s="22" customFormat="1" x14ac:dyDescent="0.3">
      <c r="A98" s="22" t="str">
        <f>CONCATENATE(B98,C98,D98,Pitched_roof_with_horizontal_ceiling_minimum_R_Value_for_ceiling_insulation_climate_zone_588[[#This Row],[Roof ventilation]],Pitched_roof_with_horizontal_ceiling_minimum_R_Value_for_ceiling_insulation_climate_zone_588[[#This Row],[Reflective insulation under-roof]])</f>
        <v>5Timber-framed pitched roof with horizontal ceilingVentedNo</v>
      </c>
      <c r="B98" s="22">
        <v>5</v>
      </c>
      <c r="C98" s="22" t="s">
        <v>188</v>
      </c>
      <c r="E98" s="22" t="str">
        <f>CONCATENATE(A98,Pitched_roof_with_horizontal_ceiling_minimum_R_Value_for_ceiling_insulation_climate_zone_588[[#This Row],[Under-roof insulation R-Value]])</f>
        <v>5Timber-framed pitched roof with horizontal ceilingVentedNo≥ 2.0</v>
      </c>
      <c r="F98" s="22" t="s">
        <v>189</v>
      </c>
      <c r="G98" s="22" t="s">
        <v>29</v>
      </c>
      <c r="H98" s="22" t="s">
        <v>357</v>
      </c>
      <c r="I98" s="22">
        <v>2.5</v>
      </c>
      <c r="J98" s="22">
        <v>2.5</v>
      </c>
      <c r="T98" s="736"/>
    </row>
    <row r="99" spans="1:22" s="22" customFormat="1" x14ac:dyDescent="0.3">
      <c r="A99" s="22" t="str">
        <f>CONCATENATE(B99,C99,D99,Pitched_roof_with_horizontal_ceiling_minimum_R_Value_for_ceiling_insulation_climate_zone_588[[#This Row],[Roof ventilation]],Pitched_roof_with_horizontal_ceiling_minimum_R_Value_for_ceiling_insulation_climate_zone_588[[#This Row],[Reflective insulation under-roof]])</f>
        <v>5Timber-framed pitched roof with horizontal ceilingStandardYes</v>
      </c>
      <c r="B99" s="22">
        <v>5</v>
      </c>
      <c r="C99" s="22" t="s">
        <v>188</v>
      </c>
      <c r="E99" s="22" t="str">
        <f>CONCATENATE(A99,Pitched_roof_with_horizontal_ceiling_minimum_R_Value_for_ceiling_insulation_climate_zone_588[[#This Row],[Under-roof insulation R-Value]])</f>
        <v>5Timber-framed pitched roof with horizontal ceilingStandardYesAny</v>
      </c>
      <c r="F99" s="22" t="s">
        <v>205</v>
      </c>
      <c r="G99" s="22" t="s">
        <v>190</v>
      </c>
      <c r="H99" s="22" t="s">
        <v>376</v>
      </c>
      <c r="I99" s="22">
        <v>2.5</v>
      </c>
      <c r="J99" s="22">
        <v>2.5</v>
      </c>
      <c r="T99" s="736"/>
    </row>
    <row r="100" spans="1:22" s="22" customFormat="1" x14ac:dyDescent="0.3">
      <c r="A100" s="22" t="str">
        <f>CONCATENATE(B100,C100,D100,Pitched_roof_with_horizontal_ceiling_minimum_R_Value_for_ceiling_insulation_climate_zone_588[[#This Row],[Roof ventilation]],Pitched_roof_with_horizontal_ceiling_minimum_R_Value_for_ceiling_insulation_climate_zone_588[[#This Row],[Reflective insulation under-roof]])</f>
        <v>5Timber-framed pitched roof with horizontal ceilingStandardNo</v>
      </c>
      <c r="B100" s="22">
        <v>5</v>
      </c>
      <c r="C100" s="22" t="s">
        <v>188</v>
      </c>
      <c r="E100" s="22" t="str">
        <f>CONCATENATE(A100,Pitched_roof_with_horizontal_ceiling_minimum_R_Value_for_ceiling_insulation_climate_zone_588[[#This Row],[Under-roof insulation R-Value]])</f>
        <v>5Timber-framed pitched roof with horizontal ceilingStandardNo≤ 0.5</v>
      </c>
      <c r="F100" s="22" t="s">
        <v>205</v>
      </c>
      <c r="G100" s="22" t="s">
        <v>29</v>
      </c>
      <c r="H100" s="22" t="s">
        <v>388</v>
      </c>
      <c r="I100" s="22">
        <v>3</v>
      </c>
      <c r="J100" s="22">
        <v>3</v>
      </c>
      <c r="T100" s="736"/>
    </row>
    <row r="101" spans="1:22" s="22" customFormat="1" x14ac:dyDescent="0.3">
      <c r="A101" s="22" t="str">
        <f>CONCATENATE(B101,C101,D101,Pitched_roof_with_horizontal_ceiling_minimum_R_Value_for_ceiling_insulation_climate_zone_588[[#This Row],[Roof ventilation]],Pitched_roof_with_horizontal_ceiling_minimum_R_Value_for_ceiling_insulation_climate_zone_588[[#This Row],[Reflective insulation under-roof]])</f>
        <v>5Timber-framed pitched roof with horizontal ceilingStandardNo</v>
      </c>
      <c r="B101" s="22">
        <v>5</v>
      </c>
      <c r="C101" s="22" t="s">
        <v>188</v>
      </c>
      <c r="E101" s="22" t="str">
        <f>CONCATENATE(A101,Pitched_roof_with_horizontal_ceiling_minimum_R_Value_for_ceiling_insulation_climate_zone_588[[#This Row],[Under-roof insulation R-Value]])</f>
        <v>5Timber-framed pitched roof with horizontal ceilingStandardNo&gt; 0.5 to &lt; 2.0</v>
      </c>
      <c r="F101" s="22" t="s">
        <v>205</v>
      </c>
      <c r="G101" s="22" t="s">
        <v>29</v>
      </c>
      <c r="H101" s="22" t="s">
        <v>395</v>
      </c>
      <c r="I101" s="22">
        <v>2.5</v>
      </c>
      <c r="J101" s="22">
        <v>2.5</v>
      </c>
      <c r="T101" s="736"/>
    </row>
    <row r="102" spans="1:22" s="22" customFormat="1" x14ac:dyDescent="0.3">
      <c r="A102" s="22" t="str">
        <f>CONCATENATE(B102,C102,D102,Pitched_roof_with_horizontal_ceiling_minimum_R_Value_for_ceiling_insulation_climate_zone_588[[#This Row],[Roof ventilation]],Pitched_roof_with_horizontal_ceiling_minimum_R_Value_for_ceiling_insulation_climate_zone_588[[#This Row],[Reflective insulation under-roof]])</f>
        <v>5Timber-framed pitched roof with horizontal ceilingStandardNo</v>
      </c>
      <c r="B102" s="22">
        <v>5</v>
      </c>
      <c r="C102" s="22" t="s">
        <v>188</v>
      </c>
      <c r="E102" s="22" t="str">
        <f>CONCATENATE(A102,Pitched_roof_with_horizontal_ceiling_minimum_R_Value_for_ceiling_insulation_climate_zone_588[[#This Row],[Under-roof insulation R-Value]])</f>
        <v>5Timber-framed pitched roof with horizontal ceilingStandardNo≥ 2.0</v>
      </c>
      <c r="F102" s="22" t="s">
        <v>205</v>
      </c>
      <c r="G102" s="22" t="s">
        <v>29</v>
      </c>
      <c r="H102" s="22" t="s">
        <v>357</v>
      </c>
      <c r="I102" s="22">
        <v>3</v>
      </c>
      <c r="J102" s="22">
        <v>3</v>
      </c>
      <c r="T102" s="736"/>
    </row>
    <row r="103" spans="1:22" s="22" customFormat="1" x14ac:dyDescent="0.3">
      <c r="T103" s="736"/>
      <c r="U103" s="736"/>
      <c r="V103" s="736"/>
    </row>
    <row r="104" spans="1:22" s="22" customFormat="1" x14ac:dyDescent="0.3">
      <c r="F104" s="22" t="s">
        <v>396</v>
      </c>
      <c r="T104" s="736"/>
      <c r="U104" s="736"/>
      <c r="V104" s="736"/>
    </row>
    <row r="105" spans="1:22" s="22" customFormat="1" x14ac:dyDescent="0.3">
      <c r="F105" s="22" t="s">
        <v>397</v>
      </c>
      <c r="T105" s="736"/>
      <c r="U105" s="736"/>
      <c r="V105" s="736"/>
    </row>
    <row r="106" spans="1:22" s="22" customFormat="1" x14ac:dyDescent="0.3">
      <c r="A106" s="719" t="str">
        <f>CONCATENATE(B108,C108,D108)</f>
        <v>6Timber-framed pitched roof with horizontal ceiling</v>
      </c>
      <c r="F106" s="22" t="s">
        <v>303</v>
      </c>
      <c r="G106" s="22" t="s">
        <v>304</v>
      </c>
      <c r="H106" s="22" t="s">
        <v>305</v>
      </c>
      <c r="I106" s="22" t="s">
        <v>398</v>
      </c>
      <c r="J106" s="22" t="s">
        <v>399</v>
      </c>
    </row>
    <row r="107" spans="1:22" s="22" customFormat="1" x14ac:dyDescent="0.3">
      <c r="A107" s="22" t="str">
        <f>CONCATENATE(B107,C107,D107,Pitched_roof_with_horizontal_ceiling_minimum_R_Value_for_ceiling_insulation_climate_zone_689[[#This Row],[Roof ventilation]],Pitched_roof_with_horizontal_ceiling_minimum_R_Value_for_ceiling_insulation_climate_zone_689[[#This Row],[Reflective insulation under-roof]])</f>
        <v>6Timber-framed pitched roof with horizontal ceilingVentedYes</v>
      </c>
      <c r="B107" s="22">
        <v>6</v>
      </c>
      <c r="C107" s="22" t="s">
        <v>188</v>
      </c>
      <c r="E107" s="22" t="str">
        <f>CONCATENATE(A107,Pitched_roof_with_horizontal_ceiling_minimum_R_Value_for_ceiling_insulation_climate_zone_689[[#This Row],[Under-roof insulation R-Value]])</f>
        <v>6Timber-framed pitched roof with horizontal ceilingVentedYes&lt; 1.0</v>
      </c>
      <c r="F107" s="22" t="s">
        <v>189</v>
      </c>
      <c r="G107" s="22" t="s">
        <v>190</v>
      </c>
      <c r="H107" s="22" t="s">
        <v>285</v>
      </c>
      <c r="I107" s="32">
        <v>4</v>
      </c>
      <c r="J107" s="32">
        <v>3.5</v>
      </c>
      <c r="T107" s="736"/>
    </row>
    <row r="108" spans="1:22" s="22" customFormat="1" x14ac:dyDescent="0.3">
      <c r="A108" s="22" t="str">
        <f>CONCATENATE(B108,C108,D108,Pitched_roof_with_horizontal_ceiling_minimum_R_Value_for_ceiling_insulation_climate_zone_689[[#This Row],[Roof ventilation]],Pitched_roof_with_horizontal_ceiling_minimum_R_Value_for_ceiling_insulation_climate_zone_689[[#This Row],[Reflective insulation under-roof]])</f>
        <v>6Timber-framed pitched roof with horizontal ceilingVentedYes</v>
      </c>
      <c r="B108" s="22">
        <v>6</v>
      </c>
      <c r="C108" s="22" t="s">
        <v>188</v>
      </c>
      <c r="E108" s="22" t="str">
        <f>CONCATENATE(A108,Pitched_roof_with_horizontal_ceiling_minimum_R_Value_for_ceiling_insulation_climate_zone_689[[#This Row],[Under-roof insulation R-Value]])</f>
        <v>6Timber-framed pitched roof with horizontal ceilingVentedYes≥ 1.0</v>
      </c>
      <c r="F108" s="22" t="s">
        <v>189</v>
      </c>
      <c r="G108" s="22" t="s">
        <v>190</v>
      </c>
      <c r="H108" s="22" t="s">
        <v>381</v>
      </c>
      <c r="I108" s="32">
        <v>3.5</v>
      </c>
      <c r="J108" s="32">
        <v>3.5</v>
      </c>
      <c r="R108" s="736"/>
      <c r="S108" s="736"/>
      <c r="T108" s="736"/>
    </row>
    <row r="109" spans="1:22" s="22" customFormat="1" x14ac:dyDescent="0.3">
      <c r="A109" s="22" t="str">
        <f>CONCATENATE(B109,C109,D109,Pitched_roof_with_horizontal_ceiling_minimum_R_Value_for_ceiling_insulation_climate_zone_689[[#This Row],[Roof ventilation]],Pitched_roof_with_horizontal_ceiling_minimum_R_Value_for_ceiling_insulation_climate_zone_689[[#This Row],[Reflective insulation under-roof]])</f>
        <v>6Timber-framed pitched roof with horizontal ceilingVentedNo</v>
      </c>
      <c r="B109" s="22">
        <v>6</v>
      </c>
      <c r="C109" s="22" t="s">
        <v>188</v>
      </c>
      <c r="E109" s="22" t="str">
        <f>CONCATENATE(A109,Pitched_roof_with_horizontal_ceiling_minimum_R_Value_for_ceiling_insulation_climate_zone_689[[#This Row],[Under-roof insulation R-Value]])</f>
        <v>6Timber-framed pitched roof with horizontal ceilingVentedNo&lt; 1.0</v>
      </c>
      <c r="F109" s="22" t="s">
        <v>189</v>
      </c>
      <c r="G109" s="22" t="s">
        <v>29</v>
      </c>
      <c r="H109" s="22" t="s">
        <v>285</v>
      </c>
      <c r="I109" s="32">
        <v>4</v>
      </c>
      <c r="J109" s="32">
        <v>4</v>
      </c>
      <c r="R109" s="736"/>
      <c r="S109" s="736"/>
      <c r="T109" s="736"/>
    </row>
    <row r="110" spans="1:22" s="22" customFormat="1" x14ac:dyDescent="0.3">
      <c r="A110" s="22" t="str">
        <f>CONCATENATE(B110,C110,D110,Pitched_roof_with_horizontal_ceiling_minimum_R_Value_for_ceiling_insulation_climate_zone_689[[#This Row],[Roof ventilation]],Pitched_roof_with_horizontal_ceiling_minimum_R_Value_for_ceiling_insulation_climate_zone_689[[#This Row],[Reflective insulation under-roof]])</f>
        <v>6Timber-framed pitched roof with horizontal ceilingVentedNo</v>
      </c>
      <c r="B110" s="22">
        <v>6</v>
      </c>
      <c r="C110" s="22" t="s">
        <v>188</v>
      </c>
      <c r="E110" s="22" t="str">
        <f>CONCATENATE(A110,Pitched_roof_with_horizontal_ceiling_minimum_R_Value_for_ceiling_insulation_climate_zone_689[[#This Row],[Under-roof insulation R-Value]])</f>
        <v>6Timber-framed pitched roof with horizontal ceilingVentedNo≥ 1.0</v>
      </c>
      <c r="F110" s="22" t="s">
        <v>189</v>
      </c>
      <c r="G110" s="22" t="s">
        <v>29</v>
      </c>
      <c r="H110" s="22" t="s">
        <v>381</v>
      </c>
      <c r="I110" s="32">
        <v>3.5</v>
      </c>
      <c r="J110" s="32">
        <v>3.5</v>
      </c>
      <c r="R110" s="736"/>
      <c r="S110" s="736"/>
      <c r="T110" s="736"/>
    </row>
    <row r="111" spans="1:22" s="22" customFormat="1" x14ac:dyDescent="0.3">
      <c r="A111" s="22" t="str">
        <f>CONCATENATE(B111,C111,D111,Pitched_roof_with_horizontal_ceiling_minimum_R_Value_for_ceiling_insulation_climate_zone_689[[#This Row],[Roof ventilation]],Pitched_roof_with_horizontal_ceiling_minimum_R_Value_for_ceiling_insulation_climate_zone_689[[#This Row],[Reflective insulation under-roof]])</f>
        <v>6Timber-framed pitched roof with horizontal ceilingStandardYes</v>
      </c>
      <c r="B111" s="22">
        <v>6</v>
      </c>
      <c r="C111" s="22" t="s">
        <v>188</v>
      </c>
      <c r="E111" s="22" t="str">
        <f>CONCATENATE(A111,Pitched_roof_with_horizontal_ceiling_minimum_R_Value_for_ceiling_insulation_climate_zone_689[[#This Row],[Under-roof insulation R-Value]])</f>
        <v>6Timber-framed pitched roof with horizontal ceilingStandardYes&lt; 1.0</v>
      </c>
      <c r="F111" s="22" t="s">
        <v>205</v>
      </c>
      <c r="G111" s="22" t="s">
        <v>190</v>
      </c>
      <c r="H111" s="22" t="s">
        <v>285</v>
      </c>
      <c r="I111" s="32">
        <v>3.5</v>
      </c>
      <c r="J111" s="32">
        <v>3.5</v>
      </c>
      <c r="R111" s="736"/>
      <c r="S111" s="736"/>
      <c r="T111" s="736"/>
    </row>
    <row r="112" spans="1:22" s="22" customFormat="1" x14ac:dyDescent="0.3">
      <c r="A112" s="22" t="str">
        <f>CONCATENATE(B112,C112,D112,Pitched_roof_with_horizontal_ceiling_minimum_R_Value_for_ceiling_insulation_climate_zone_689[[#This Row],[Roof ventilation]],Pitched_roof_with_horizontal_ceiling_minimum_R_Value_for_ceiling_insulation_climate_zone_689[[#This Row],[Reflective insulation under-roof]])</f>
        <v>6Timber-framed pitched roof with horizontal ceilingStandardYes</v>
      </c>
      <c r="B112" s="22">
        <v>6</v>
      </c>
      <c r="C112" s="22" t="s">
        <v>188</v>
      </c>
      <c r="E112" s="22" t="str">
        <f>CONCATENATE(A112,Pitched_roof_with_horizontal_ceiling_minimum_R_Value_for_ceiling_insulation_climate_zone_689[[#This Row],[Under-roof insulation R-Value]])</f>
        <v>6Timber-framed pitched roof with horizontal ceilingStandardYes≥ 1.0</v>
      </c>
      <c r="F112" s="22" t="s">
        <v>205</v>
      </c>
      <c r="G112" s="22" t="s">
        <v>190</v>
      </c>
      <c r="H112" s="22" t="s">
        <v>381</v>
      </c>
      <c r="I112" s="32">
        <v>3</v>
      </c>
      <c r="J112" s="32">
        <v>3</v>
      </c>
      <c r="R112" s="736"/>
      <c r="S112" s="736"/>
      <c r="T112" s="736"/>
    </row>
    <row r="113" spans="1:22" s="22" customFormat="1" x14ac:dyDescent="0.3">
      <c r="A113" s="22" t="str">
        <f>CONCATENATE(B113,C113,D113,Pitched_roof_with_horizontal_ceiling_minimum_R_Value_for_ceiling_insulation_climate_zone_689[[#This Row],[Roof ventilation]],Pitched_roof_with_horizontal_ceiling_minimum_R_Value_for_ceiling_insulation_climate_zone_689[[#This Row],[Reflective insulation under-roof]])</f>
        <v>6Timber-framed pitched roof with horizontal ceilingStandardNo</v>
      </c>
      <c r="B113" s="22">
        <v>6</v>
      </c>
      <c r="C113" s="22" t="s">
        <v>188</v>
      </c>
      <c r="E113" s="22" t="str">
        <f>CONCATENATE(A113,Pitched_roof_with_horizontal_ceiling_minimum_R_Value_for_ceiling_insulation_climate_zone_689[[#This Row],[Under-roof insulation R-Value]])</f>
        <v>6Timber-framed pitched roof with horizontal ceilingStandardNo&lt; 1.0</v>
      </c>
      <c r="F113" s="22" t="s">
        <v>205</v>
      </c>
      <c r="G113" s="22" t="s">
        <v>29</v>
      </c>
      <c r="H113" s="22" t="s">
        <v>285</v>
      </c>
      <c r="I113" s="22">
        <v>4</v>
      </c>
      <c r="J113" s="22">
        <v>4</v>
      </c>
      <c r="R113" s="736"/>
      <c r="S113" s="736"/>
      <c r="T113" s="736"/>
    </row>
    <row r="114" spans="1:22" s="22" customFormat="1" x14ac:dyDescent="0.3">
      <c r="A114" s="22" t="str">
        <f>CONCATENATE(B114,C114,D114,Pitched_roof_with_horizontal_ceiling_minimum_R_Value_for_ceiling_insulation_climate_zone_689[[#This Row],[Roof ventilation]],Pitched_roof_with_horizontal_ceiling_minimum_R_Value_for_ceiling_insulation_climate_zone_689[[#This Row],[Reflective insulation under-roof]])</f>
        <v>6Timber-framed pitched roof with horizontal ceilingStandardNo</v>
      </c>
      <c r="B114" s="22">
        <v>6</v>
      </c>
      <c r="C114" s="22" t="s">
        <v>188</v>
      </c>
      <c r="E114" s="22" t="str">
        <f>CONCATENATE(A114,Pitched_roof_with_horizontal_ceiling_minimum_R_Value_for_ceiling_insulation_climate_zone_689[[#This Row],[Under-roof insulation R-Value]])</f>
        <v>6Timber-framed pitched roof with horizontal ceilingStandardNo≥ 1.0</v>
      </c>
      <c r="F114" s="22" t="s">
        <v>205</v>
      </c>
      <c r="G114" s="22" t="s">
        <v>29</v>
      </c>
      <c r="H114" s="22" t="s">
        <v>381</v>
      </c>
      <c r="I114" s="32">
        <v>3.5</v>
      </c>
      <c r="J114" s="32">
        <v>3.5</v>
      </c>
      <c r="R114" s="736"/>
      <c r="S114" s="736"/>
      <c r="T114" s="736"/>
    </row>
    <row r="115" spans="1:22" s="22" customFormat="1" x14ac:dyDescent="0.3">
      <c r="T115" s="736"/>
      <c r="U115" s="736"/>
      <c r="V115" s="736"/>
    </row>
    <row r="116" spans="1:22" s="22" customFormat="1" x14ac:dyDescent="0.3">
      <c r="F116" s="22" t="s">
        <v>400</v>
      </c>
      <c r="T116" s="736"/>
      <c r="U116" s="736"/>
      <c r="V116" s="736"/>
    </row>
    <row r="117" spans="1:22" s="22" customFormat="1" x14ac:dyDescent="0.3">
      <c r="F117" s="22" t="s">
        <v>401</v>
      </c>
      <c r="T117" s="736"/>
      <c r="U117" s="736"/>
      <c r="V117" s="736"/>
    </row>
    <row r="118" spans="1:22" s="22" customFormat="1" x14ac:dyDescent="0.3">
      <c r="A118" s="719" t="str">
        <f>CONCATENATE(B120,C120,D120)</f>
        <v>7Timber-framed pitched roof with horizontal ceiling</v>
      </c>
      <c r="F118" s="22" t="s">
        <v>303</v>
      </c>
      <c r="G118" s="22" t="s">
        <v>304</v>
      </c>
      <c r="H118" s="22" t="s">
        <v>305</v>
      </c>
      <c r="I118" s="22" t="s">
        <v>306</v>
      </c>
      <c r="J118" s="22" t="s">
        <v>307</v>
      </c>
      <c r="K118" s="22" t="s">
        <v>308</v>
      </c>
      <c r="L118" s="22" t="s">
        <v>309</v>
      </c>
      <c r="M118" s="22" t="s">
        <v>310</v>
      </c>
      <c r="N118" s="22" t="s">
        <v>402</v>
      </c>
      <c r="O118" s="22" t="s">
        <v>403</v>
      </c>
      <c r="P118" s="22" t="s">
        <v>404</v>
      </c>
    </row>
    <row r="119" spans="1:22" s="22" customFormat="1" x14ac:dyDescent="0.3">
      <c r="A119" s="22" t="str">
        <f>CONCATENATE(B119,C119,D119,Pitched_roof_with_horizontal_ceiling_minimum_R_Value_for_ceiling_insulation_climate_zone_790[[#This Row],[Roof ventilation]],Pitched_roof_with_horizontal_ceiling_minimum_R_Value_for_ceiling_insulation_climate_zone_790[[#This Row],[Reflective insulation under-roof]])</f>
        <v>7Timber-framed pitched roof with horizontal ceilingVentedYes</v>
      </c>
      <c r="B119" s="22">
        <v>7</v>
      </c>
      <c r="C119" s="22" t="s">
        <v>188</v>
      </c>
      <c r="E119" s="22" t="str">
        <f>CONCATENATE(A119,Pitched_roof_with_horizontal_ceiling_minimum_R_Value_for_ceiling_insulation_climate_zone_790[[#This Row],[Under-roof insulation R-Value]])</f>
        <v>7Timber-framed pitched roof with horizontal ceilingVentedYes&lt; 1.0</v>
      </c>
      <c r="F119" s="22" t="s">
        <v>189</v>
      </c>
      <c r="G119" s="22" t="s">
        <v>190</v>
      </c>
      <c r="H119" s="22" t="s">
        <v>285</v>
      </c>
      <c r="I119" s="22">
        <v>4.5</v>
      </c>
      <c r="J119" s="22">
        <v>4.5</v>
      </c>
      <c r="K119" s="22">
        <v>4.5</v>
      </c>
      <c r="L119" s="22">
        <v>4.5</v>
      </c>
      <c r="M119" s="22">
        <v>4.5</v>
      </c>
      <c r="N119" s="22">
        <v>4</v>
      </c>
      <c r="O119" s="22">
        <v>4</v>
      </c>
      <c r="P119" s="22">
        <v>4</v>
      </c>
    </row>
    <row r="120" spans="1:22" s="22" customFormat="1" x14ac:dyDescent="0.3">
      <c r="A120" s="22" t="str">
        <f>CONCATENATE(B120,C120,D120,Pitched_roof_with_horizontal_ceiling_minimum_R_Value_for_ceiling_insulation_climate_zone_790[[#This Row],[Roof ventilation]],Pitched_roof_with_horizontal_ceiling_minimum_R_Value_for_ceiling_insulation_climate_zone_790[[#This Row],[Reflective insulation under-roof]])</f>
        <v>7Timber-framed pitched roof with horizontal ceilingVentedYes</v>
      </c>
      <c r="B120" s="22">
        <v>7</v>
      </c>
      <c r="C120" s="22" t="s">
        <v>188</v>
      </c>
      <c r="E120" s="22" t="str">
        <f>CONCATENATE(A120,Pitched_roof_with_horizontal_ceiling_minimum_R_Value_for_ceiling_insulation_climate_zone_790[[#This Row],[Under-roof insulation R-Value]])</f>
        <v>7Timber-framed pitched roof with horizontal ceilingVentedYes≥ 1.0</v>
      </c>
      <c r="F120" s="22" t="s">
        <v>189</v>
      </c>
      <c r="G120" s="22" t="s">
        <v>190</v>
      </c>
      <c r="H120" s="22" t="s">
        <v>381</v>
      </c>
      <c r="I120" s="22">
        <v>4.5</v>
      </c>
      <c r="J120" s="22">
        <v>4.5</v>
      </c>
      <c r="K120" s="22">
        <v>4.5</v>
      </c>
      <c r="L120" s="22">
        <v>4.5</v>
      </c>
      <c r="M120" s="22">
        <v>4</v>
      </c>
      <c r="N120" s="22">
        <v>4</v>
      </c>
      <c r="O120" s="22">
        <v>4</v>
      </c>
      <c r="P120" s="22">
        <v>4</v>
      </c>
    </row>
    <row r="121" spans="1:22" s="22" customFormat="1" x14ac:dyDescent="0.3">
      <c r="A121" s="22" t="str">
        <f>CONCATENATE(B121,C121,D121,Pitched_roof_with_horizontal_ceiling_minimum_R_Value_for_ceiling_insulation_climate_zone_790[[#This Row],[Roof ventilation]],Pitched_roof_with_horizontal_ceiling_minimum_R_Value_for_ceiling_insulation_climate_zone_790[[#This Row],[Reflective insulation under-roof]])</f>
        <v>7Timber-framed pitched roof with horizontal ceilingVentedNo</v>
      </c>
      <c r="B121" s="22">
        <v>7</v>
      </c>
      <c r="C121" s="22" t="s">
        <v>188</v>
      </c>
      <c r="E121" s="22" t="str">
        <f>CONCATENATE(A121,Pitched_roof_with_horizontal_ceiling_minimum_R_Value_for_ceiling_insulation_climate_zone_790[[#This Row],[Under-roof insulation R-Value]])</f>
        <v>7Timber-framed pitched roof with horizontal ceilingVentedNo&lt; 1.0</v>
      </c>
      <c r="F121" s="22" t="s">
        <v>189</v>
      </c>
      <c r="G121" s="22" t="s">
        <v>29</v>
      </c>
      <c r="H121" s="22" t="s">
        <v>285</v>
      </c>
      <c r="I121" s="22">
        <v>5</v>
      </c>
      <c r="J121" s="22">
        <v>4.5</v>
      </c>
      <c r="K121" s="22">
        <v>4.5</v>
      </c>
      <c r="L121" s="22">
        <v>4.5</v>
      </c>
      <c r="M121" s="22">
        <v>4</v>
      </c>
      <c r="N121" s="22">
        <v>4</v>
      </c>
      <c r="O121" s="22">
        <v>3.5</v>
      </c>
      <c r="P121" s="22">
        <v>3.5</v>
      </c>
    </row>
    <row r="122" spans="1:22" s="22" customFormat="1" x14ac:dyDescent="0.3">
      <c r="A122" s="22" t="str">
        <f>CONCATENATE(B122,C122,D122,Pitched_roof_with_horizontal_ceiling_minimum_R_Value_for_ceiling_insulation_climate_zone_790[[#This Row],[Roof ventilation]],Pitched_roof_with_horizontal_ceiling_minimum_R_Value_for_ceiling_insulation_climate_zone_790[[#This Row],[Reflective insulation under-roof]])</f>
        <v>7Timber-framed pitched roof with horizontal ceilingVentedNo</v>
      </c>
      <c r="B122" s="22">
        <v>7</v>
      </c>
      <c r="C122" s="22" t="s">
        <v>188</v>
      </c>
      <c r="E122" s="22" t="str">
        <f>CONCATENATE(A122,Pitched_roof_with_horizontal_ceiling_minimum_R_Value_for_ceiling_insulation_climate_zone_790[[#This Row],[Under-roof insulation R-Value]])</f>
        <v>7Timber-framed pitched roof with horizontal ceilingVentedNo≥ 1.0 to &lt; 1.5</v>
      </c>
      <c r="F122" s="22" t="s">
        <v>189</v>
      </c>
      <c r="G122" s="22" t="s">
        <v>29</v>
      </c>
      <c r="H122" s="22" t="s">
        <v>315</v>
      </c>
      <c r="I122" s="22">
        <v>4.5</v>
      </c>
      <c r="J122" s="22">
        <v>4.5</v>
      </c>
      <c r="K122" s="22">
        <v>4.5</v>
      </c>
      <c r="L122" s="22">
        <v>4.5</v>
      </c>
      <c r="M122" s="22">
        <v>4</v>
      </c>
      <c r="N122" s="22">
        <v>4</v>
      </c>
      <c r="O122" s="22">
        <v>4</v>
      </c>
      <c r="P122" s="22">
        <v>4</v>
      </c>
    </row>
    <row r="123" spans="1:22" s="22" customFormat="1" x14ac:dyDescent="0.3">
      <c r="A123" s="22" t="str">
        <f>CONCATENATE(B123,C123,D123,Pitched_roof_with_horizontal_ceiling_minimum_R_Value_for_ceiling_insulation_climate_zone_790[[#This Row],[Roof ventilation]],Pitched_roof_with_horizontal_ceiling_minimum_R_Value_for_ceiling_insulation_climate_zone_790[[#This Row],[Reflective insulation under-roof]])</f>
        <v>7Timber-framed pitched roof with horizontal ceilingVentedNo</v>
      </c>
      <c r="B123" s="22">
        <v>7</v>
      </c>
      <c r="C123" s="22" t="s">
        <v>188</v>
      </c>
      <c r="E123" s="22" t="str">
        <f>CONCATENATE(A123,Pitched_roof_with_horizontal_ceiling_minimum_R_Value_for_ceiling_insulation_climate_zone_790[[#This Row],[Under-roof insulation R-Value]])</f>
        <v>7Timber-framed pitched roof with horizontal ceilingVentedNo≥ 1.5</v>
      </c>
      <c r="F123" s="22" t="s">
        <v>189</v>
      </c>
      <c r="G123" s="22" t="s">
        <v>29</v>
      </c>
      <c r="H123" s="22" t="s">
        <v>318</v>
      </c>
      <c r="I123" s="22">
        <v>4.5</v>
      </c>
      <c r="J123" s="22">
        <v>4.5</v>
      </c>
      <c r="K123" s="22">
        <v>4.5</v>
      </c>
      <c r="L123" s="22">
        <v>4.5</v>
      </c>
      <c r="M123" s="22">
        <v>4.5</v>
      </c>
      <c r="N123" s="22">
        <v>4</v>
      </c>
      <c r="O123" s="22">
        <v>4</v>
      </c>
      <c r="P123" s="22">
        <v>4</v>
      </c>
    </row>
    <row r="124" spans="1:22" s="22" customFormat="1" x14ac:dyDescent="0.3">
      <c r="A124" s="22" t="str">
        <f>CONCATENATE(B124,C124,D124,Pitched_roof_with_horizontal_ceiling_minimum_R_Value_for_ceiling_insulation_climate_zone_790[[#This Row],[Roof ventilation]],Pitched_roof_with_horizontal_ceiling_minimum_R_Value_for_ceiling_insulation_climate_zone_790[[#This Row],[Reflective insulation under-roof]])</f>
        <v>7Timber-framed pitched roof with horizontal ceilingStandardYes</v>
      </c>
      <c r="B124" s="22">
        <v>7</v>
      </c>
      <c r="C124" s="22" t="s">
        <v>188</v>
      </c>
      <c r="E124" s="22" t="str">
        <f>CONCATENATE(A124,Pitched_roof_with_horizontal_ceiling_minimum_R_Value_for_ceiling_insulation_climate_zone_790[[#This Row],[Under-roof insulation R-Value]])</f>
        <v>7Timber-framed pitched roof with horizontal ceilingStandardYes&lt; 1.0</v>
      </c>
      <c r="F124" s="22" t="s">
        <v>205</v>
      </c>
      <c r="G124" s="22" t="s">
        <v>190</v>
      </c>
      <c r="H124" s="22" t="s">
        <v>285</v>
      </c>
      <c r="I124" s="22">
        <v>4.5</v>
      </c>
      <c r="J124" s="22">
        <v>4.5</v>
      </c>
      <c r="K124" s="22">
        <v>4.5</v>
      </c>
      <c r="L124" s="22">
        <v>4</v>
      </c>
      <c r="M124" s="22">
        <v>4</v>
      </c>
      <c r="N124" s="22">
        <v>4</v>
      </c>
      <c r="O124" s="22">
        <v>4</v>
      </c>
      <c r="P124" s="22">
        <v>4</v>
      </c>
    </row>
    <row r="125" spans="1:22" s="22" customFormat="1" x14ac:dyDescent="0.3">
      <c r="A125" s="22" t="str">
        <f>CONCATENATE(B125,C125,D125,Pitched_roof_with_horizontal_ceiling_minimum_R_Value_for_ceiling_insulation_climate_zone_790[[#This Row],[Roof ventilation]],Pitched_roof_with_horizontal_ceiling_minimum_R_Value_for_ceiling_insulation_climate_zone_790[[#This Row],[Reflective insulation under-roof]])</f>
        <v>7Timber-framed pitched roof with horizontal ceilingStandardYes</v>
      </c>
      <c r="B125" s="22">
        <v>7</v>
      </c>
      <c r="C125" s="22" t="s">
        <v>188</v>
      </c>
      <c r="E125" s="22" t="str">
        <f>CONCATENATE(A125,Pitched_roof_with_horizontal_ceiling_minimum_R_Value_for_ceiling_insulation_climate_zone_790[[#This Row],[Under-roof insulation R-Value]])</f>
        <v>7Timber-framed pitched roof with horizontal ceilingStandardYes≥ 1.0</v>
      </c>
      <c r="F125" s="22" t="s">
        <v>205</v>
      </c>
      <c r="G125" s="22" t="s">
        <v>190</v>
      </c>
      <c r="H125" s="22" t="s">
        <v>381</v>
      </c>
      <c r="I125" s="22">
        <v>4</v>
      </c>
      <c r="J125" s="22">
        <v>4</v>
      </c>
      <c r="K125" s="22">
        <v>4</v>
      </c>
      <c r="L125" s="22">
        <v>4</v>
      </c>
      <c r="M125" s="22">
        <v>4</v>
      </c>
      <c r="N125" s="22">
        <v>4</v>
      </c>
      <c r="O125" s="22">
        <v>4</v>
      </c>
      <c r="P125" s="22">
        <v>4</v>
      </c>
    </row>
    <row r="126" spans="1:22" s="22" customFormat="1" x14ac:dyDescent="0.3">
      <c r="A126" s="22" t="str">
        <f>CONCATENATE(B126,C126,D126,Pitched_roof_with_horizontal_ceiling_minimum_R_Value_for_ceiling_insulation_climate_zone_790[[#This Row],[Roof ventilation]],Pitched_roof_with_horizontal_ceiling_minimum_R_Value_for_ceiling_insulation_climate_zone_790[[#This Row],[Reflective insulation under-roof]])</f>
        <v>7Timber-framed pitched roof with horizontal ceilingStandardNo</v>
      </c>
      <c r="B126" s="22">
        <v>7</v>
      </c>
      <c r="C126" s="22" t="s">
        <v>188</v>
      </c>
      <c r="E126" s="22" t="str">
        <f>CONCATENATE(A126,Pitched_roof_with_horizontal_ceiling_minimum_R_Value_for_ceiling_insulation_climate_zone_790[[#This Row],[Under-roof insulation R-Value]])</f>
        <v>7Timber-framed pitched roof with horizontal ceilingStandardNo&lt; 1.0</v>
      </c>
      <c r="F126" s="22" t="s">
        <v>205</v>
      </c>
      <c r="G126" s="22" t="s">
        <v>29</v>
      </c>
      <c r="H126" s="22" t="s">
        <v>285</v>
      </c>
      <c r="I126" s="22">
        <v>5</v>
      </c>
      <c r="J126" s="22">
        <v>4.5</v>
      </c>
      <c r="K126" s="22">
        <v>4.5</v>
      </c>
      <c r="L126" s="22">
        <v>4</v>
      </c>
      <c r="M126" s="22">
        <v>4</v>
      </c>
      <c r="N126" s="22">
        <v>3.5</v>
      </c>
      <c r="O126" s="22">
        <v>3.5</v>
      </c>
      <c r="P126" s="22">
        <v>3.5</v>
      </c>
    </row>
    <row r="127" spans="1:22" s="22" customFormat="1" x14ac:dyDescent="0.3">
      <c r="A127" s="22" t="str">
        <f>CONCATENATE(B127,C127,D127,Pitched_roof_with_horizontal_ceiling_minimum_R_Value_for_ceiling_insulation_climate_zone_790[[#This Row],[Roof ventilation]],Pitched_roof_with_horizontal_ceiling_minimum_R_Value_for_ceiling_insulation_climate_zone_790[[#This Row],[Reflective insulation under-roof]])</f>
        <v>7Timber-framed pitched roof with horizontal ceilingStandardNo</v>
      </c>
      <c r="B127" s="22">
        <v>7</v>
      </c>
      <c r="C127" s="22" t="s">
        <v>188</v>
      </c>
      <c r="E127" s="22" t="str">
        <f>CONCATENATE(A127,Pitched_roof_with_horizontal_ceiling_minimum_R_Value_for_ceiling_insulation_climate_zone_790[[#This Row],[Under-roof insulation R-Value]])</f>
        <v>7Timber-framed pitched roof with horizontal ceilingStandardNo≥ 1.0 to &lt; 1.5</v>
      </c>
      <c r="F127" s="22" t="s">
        <v>205</v>
      </c>
      <c r="G127" s="22" t="s">
        <v>29</v>
      </c>
      <c r="H127" s="22" t="s">
        <v>315</v>
      </c>
      <c r="I127" s="22">
        <v>4.5</v>
      </c>
      <c r="J127" s="22">
        <v>4.5</v>
      </c>
      <c r="K127" s="22">
        <v>4</v>
      </c>
      <c r="L127" s="22">
        <v>4</v>
      </c>
      <c r="M127" s="22">
        <v>4</v>
      </c>
      <c r="N127" s="22">
        <v>4</v>
      </c>
      <c r="O127" s="22">
        <v>3.5</v>
      </c>
      <c r="P127" s="22">
        <v>3.5</v>
      </c>
    </row>
    <row r="128" spans="1:22" s="22" customFormat="1" x14ac:dyDescent="0.3">
      <c r="A128" s="22" t="str">
        <f>CONCATENATE(B128,C128,D128,Pitched_roof_with_horizontal_ceiling_minimum_R_Value_for_ceiling_insulation_climate_zone_790[[#This Row],[Roof ventilation]],Pitched_roof_with_horizontal_ceiling_minimum_R_Value_for_ceiling_insulation_climate_zone_790[[#This Row],[Reflective insulation under-roof]])</f>
        <v>7Timber-framed pitched roof with horizontal ceilingStandardNo</v>
      </c>
      <c r="B128" s="22">
        <v>7</v>
      </c>
      <c r="C128" s="22" t="s">
        <v>188</v>
      </c>
      <c r="E128" s="22" t="str">
        <f>CONCATENATE(A128,Pitched_roof_with_horizontal_ceiling_minimum_R_Value_for_ceiling_insulation_climate_zone_790[[#This Row],[Under-roof insulation R-Value]])</f>
        <v>7Timber-framed pitched roof with horizontal ceilingStandardNo≥ 1.5 to &lt; 2.0</v>
      </c>
      <c r="F128" s="22" t="s">
        <v>205</v>
      </c>
      <c r="G128" s="22" t="s">
        <v>29</v>
      </c>
      <c r="H128" s="22" t="s">
        <v>354</v>
      </c>
      <c r="I128" s="22">
        <v>4</v>
      </c>
      <c r="J128" s="22">
        <v>4</v>
      </c>
      <c r="K128" s="22">
        <v>4</v>
      </c>
      <c r="L128" s="22">
        <v>4</v>
      </c>
      <c r="M128" s="22">
        <v>4</v>
      </c>
      <c r="N128" s="22">
        <v>4</v>
      </c>
      <c r="O128" s="22">
        <v>4</v>
      </c>
      <c r="P128" s="22">
        <v>4</v>
      </c>
    </row>
    <row r="129" spans="1:22" s="22" customFormat="1" x14ac:dyDescent="0.3">
      <c r="A129" s="22" t="str">
        <f>CONCATENATE(B129,C129,D129,Pitched_roof_with_horizontal_ceiling_minimum_R_Value_for_ceiling_insulation_climate_zone_790[[#This Row],[Roof ventilation]],Pitched_roof_with_horizontal_ceiling_minimum_R_Value_for_ceiling_insulation_climate_zone_790[[#This Row],[Reflective insulation under-roof]])</f>
        <v>7Timber-framed pitched roof with horizontal ceilingStandardNo</v>
      </c>
      <c r="B129" s="22">
        <v>7</v>
      </c>
      <c r="C129" s="22" t="s">
        <v>188</v>
      </c>
      <c r="E129" s="22" t="str">
        <f>CONCATENATE(A129,Pitched_roof_with_horizontal_ceiling_minimum_R_Value_for_ceiling_insulation_climate_zone_790[[#This Row],[Under-roof insulation R-Value]])</f>
        <v>7Timber-framed pitched roof with horizontal ceilingStandardNo≥ 2.0</v>
      </c>
      <c r="F129" s="22" t="s">
        <v>205</v>
      </c>
      <c r="G129" s="22" t="s">
        <v>29</v>
      </c>
      <c r="H129" s="22" t="s">
        <v>357</v>
      </c>
      <c r="I129" s="22">
        <v>4.5</v>
      </c>
      <c r="J129" s="22">
        <v>4</v>
      </c>
      <c r="K129" s="22">
        <v>4</v>
      </c>
      <c r="L129" s="22">
        <v>4</v>
      </c>
      <c r="M129" s="22">
        <v>4</v>
      </c>
      <c r="N129" s="22">
        <v>4</v>
      </c>
      <c r="O129" s="22">
        <v>4</v>
      </c>
      <c r="P129" s="22">
        <v>3.5</v>
      </c>
    </row>
    <row r="130" spans="1:22" s="22" customFormat="1" x14ac:dyDescent="0.3">
      <c r="U130" s="736"/>
      <c r="V130" s="736"/>
    </row>
    <row r="131" spans="1:22" s="22" customFormat="1" x14ac:dyDescent="0.3">
      <c r="F131" s="22" t="s">
        <v>405</v>
      </c>
      <c r="O131" s="719"/>
      <c r="U131" s="736"/>
      <c r="V131" s="736"/>
    </row>
    <row r="132" spans="1:22" s="22" customFormat="1" x14ac:dyDescent="0.3">
      <c r="F132" s="22" t="s">
        <v>406</v>
      </c>
      <c r="U132" s="736"/>
      <c r="V132" s="736"/>
    </row>
    <row r="133" spans="1:22" s="22" customFormat="1" x14ac:dyDescent="0.3">
      <c r="A133" s="719" t="str">
        <f>CONCATENATE(B135,C135,D135)</f>
        <v>8Timber-framed pitched roof with horizontal ceiling</v>
      </c>
      <c r="F133" s="22" t="s">
        <v>303</v>
      </c>
      <c r="G133" s="22" t="s">
        <v>304</v>
      </c>
      <c r="H133" s="22" t="s">
        <v>305</v>
      </c>
      <c r="I133" s="22" t="s">
        <v>306</v>
      </c>
      <c r="J133" s="22" t="s">
        <v>307</v>
      </c>
      <c r="K133" s="22" t="s">
        <v>308</v>
      </c>
      <c r="L133" s="22" t="s">
        <v>309</v>
      </c>
      <c r="M133" s="22" t="s">
        <v>310</v>
      </c>
      <c r="N133" s="22" t="s">
        <v>402</v>
      </c>
      <c r="O133" s="22" t="s">
        <v>403</v>
      </c>
      <c r="P133" s="22" t="s">
        <v>404</v>
      </c>
    </row>
    <row r="134" spans="1:22" s="22" customFormat="1" x14ac:dyDescent="0.3">
      <c r="A134" s="22" t="str">
        <f>CONCATENATE(B134,C134,D134,Pitched_roof_with_horizontal_ceiling_minimum_R_Value_for_ceiling_insulation_climate_zone_891[[#This Row],[Roof ventilation]],Pitched_roof_with_horizontal_ceiling_minimum_R_Value_for_ceiling_insulation_climate_zone_891[[#This Row],[Reflective insulation under-roof]])</f>
        <v>8Timber-framed pitched roof with horizontal ceilingVentedYes</v>
      </c>
      <c r="B134" s="22">
        <v>8</v>
      </c>
      <c r="C134" s="22" t="s">
        <v>188</v>
      </c>
      <c r="E134" s="22" t="str">
        <f>CONCATENATE(A134,Pitched_roof_with_horizontal_ceiling_minimum_R_Value_for_ceiling_insulation_climate_zone_891[[#This Row],[Under-roof insulation R-Value]])</f>
        <v>8Timber-framed pitched roof with horizontal ceilingVentedYes&lt; 1.5</v>
      </c>
      <c r="F134" s="22" t="s">
        <v>189</v>
      </c>
      <c r="G134" s="22" t="s">
        <v>190</v>
      </c>
      <c r="H134" s="22" t="s">
        <v>407</v>
      </c>
      <c r="I134" s="22">
        <v>4.5</v>
      </c>
      <c r="J134" s="22">
        <v>4.5</v>
      </c>
      <c r="K134" s="22">
        <v>4</v>
      </c>
      <c r="L134" s="22">
        <v>4</v>
      </c>
      <c r="M134" s="22">
        <v>4</v>
      </c>
      <c r="N134" s="22">
        <v>4</v>
      </c>
      <c r="O134" s="22">
        <v>4</v>
      </c>
      <c r="P134" s="22">
        <v>4</v>
      </c>
      <c r="T134" s="736"/>
    </row>
    <row r="135" spans="1:22" s="22" customFormat="1" x14ac:dyDescent="0.3">
      <c r="A135" s="22" t="str">
        <f>CONCATENATE(B135,C135,D135,Pitched_roof_with_horizontal_ceiling_minimum_R_Value_for_ceiling_insulation_climate_zone_891[[#This Row],[Roof ventilation]],Pitched_roof_with_horizontal_ceiling_minimum_R_Value_for_ceiling_insulation_climate_zone_891[[#This Row],[Reflective insulation under-roof]])</f>
        <v>8Timber-framed pitched roof with horizontal ceilingVentedYes</v>
      </c>
      <c r="B135" s="22">
        <v>8</v>
      </c>
      <c r="C135" s="22" t="s">
        <v>188</v>
      </c>
      <c r="E135" s="22" t="str">
        <f>CONCATENATE(A135,Pitched_roof_with_horizontal_ceiling_minimum_R_Value_for_ceiling_insulation_climate_zone_891[[#This Row],[Under-roof insulation R-Value]])</f>
        <v>8Timber-framed pitched roof with horizontal ceilingVentedYes≥ 1.5 to &lt; 2.0</v>
      </c>
      <c r="F135" s="22" t="s">
        <v>189</v>
      </c>
      <c r="G135" s="22" t="s">
        <v>190</v>
      </c>
      <c r="H135" s="22" t="s">
        <v>354</v>
      </c>
      <c r="I135" s="22">
        <v>4.5</v>
      </c>
      <c r="J135" s="22">
        <v>4.5</v>
      </c>
      <c r="K135" s="22">
        <v>4.5</v>
      </c>
      <c r="L135" s="22">
        <v>4.5</v>
      </c>
      <c r="M135" s="22">
        <v>4</v>
      </c>
      <c r="N135" s="22">
        <v>4</v>
      </c>
      <c r="O135" s="22">
        <v>4</v>
      </c>
      <c r="P135" s="22">
        <v>4</v>
      </c>
      <c r="R135" s="736"/>
      <c r="S135" s="736"/>
      <c r="T135" s="736"/>
    </row>
    <row r="136" spans="1:22" s="22" customFormat="1" x14ac:dyDescent="0.3">
      <c r="A136" s="22" t="str">
        <f>CONCATENATE(B136,C136,D136,Pitched_roof_with_horizontal_ceiling_minimum_R_Value_for_ceiling_insulation_climate_zone_891[[#This Row],[Roof ventilation]],Pitched_roof_with_horizontal_ceiling_minimum_R_Value_for_ceiling_insulation_climate_zone_891[[#This Row],[Reflective insulation under-roof]])</f>
        <v>8Timber-framed pitched roof with horizontal ceilingVentedYes</v>
      </c>
      <c r="B136" s="22">
        <v>8</v>
      </c>
      <c r="C136" s="22" t="s">
        <v>188</v>
      </c>
      <c r="E136" s="22" t="str">
        <f>CONCATENATE(A136,Pitched_roof_with_horizontal_ceiling_minimum_R_Value_for_ceiling_insulation_climate_zone_891[[#This Row],[Under-roof insulation R-Value]])</f>
        <v>8Timber-framed pitched roof with horizontal ceilingVentedYes≥ 2.0</v>
      </c>
      <c r="F136" s="22" t="s">
        <v>189</v>
      </c>
      <c r="G136" s="22" t="s">
        <v>190</v>
      </c>
      <c r="H136" s="22" t="s">
        <v>357</v>
      </c>
      <c r="I136" s="22">
        <v>4.5</v>
      </c>
      <c r="J136" s="22">
        <v>4.5</v>
      </c>
      <c r="K136" s="22">
        <v>4.5</v>
      </c>
      <c r="L136" s="22">
        <v>4</v>
      </c>
      <c r="M136" s="22">
        <v>4</v>
      </c>
      <c r="N136" s="22">
        <v>4</v>
      </c>
      <c r="O136" s="22">
        <v>4</v>
      </c>
      <c r="P136" s="22">
        <v>4</v>
      </c>
      <c r="R136" s="736"/>
      <c r="S136" s="736"/>
      <c r="T136" s="736"/>
    </row>
    <row r="137" spans="1:22" s="22" customFormat="1" x14ac:dyDescent="0.3">
      <c r="A137" s="22" t="str">
        <f>CONCATENATE(B137,C137,D137,Pitched_roof_with_horizontal_ceiling_minimum_R_Value_for_ceiling_insulation_climate_zone_891[[#This Row],[Roof ventilation]],Pitched_roof_with_horizontal_ceiling_minimum_R_Value_for_ceiling_insulation_climate_zone_891[[#This Row],[Reflective insulation under-roof]])</f>
        <v>8Timber-framed pitched roof with horizontal ceilingVentedNo</v>
      </c>
      <c r="B137" s="22">
        <v>8</v>
      </c>
      <c r="C137" s="22" t="s">
        <v>188</v>
      </c>
      <c r="E137" s="22" t="str">
        <f>CONCATENATE(A137,Pitched_roof_with_horizontal_ceiling_minimum_R_Value_for_ceiling_insulation_climate_zone_891[[#This Row],[Under-roof insulation R-Value]])</f>
        <v>8Timber-framed pitched roof with horizontal ceilingVentedNo&lt; 1.0</v>
      </c>
      <c r="F137" s="22" t="s">
        <v>189</v>
      </c>
      <c r="G137" s="22" t="s">
        <v>29</v>
      </c>
      <c r="H137" s="22" t="s">
        <v>285</v>
      </c>
      <c r="I137" s="22">
        <v>4.5</v>
      </c>
      <c r="J137" s="22">
        <v>4.5</v>
      </c>
      <c r="K137" s="22">
        <v>4.5</v>
      </c>
      <c r="L137" s="22">
        <v>4</v>
      </c>
      <c r="M137" s="22">
        <v>4</v>
      </c>
      <c r="N137" s="22">
        <v>3.5</v>
      </c>
      <c r="O137" s="22">
        <v>3.5</v>
      </c>
      <c r="P137" s="22">
        <v>3</v>
      </c>
      <c r="R137" s="736"/>
      <c r="S137" s="736"/>
      <c r="T137" s="736"/>
    </row>
    <row r="138" spans="1:22" s="22" customFormat="1" x14ac:dyDescent="0.3">
      <c r="A138" s="22" t="str">
        <f>CONCATENATE(B138,C138,D138,Pitched_roof_with_horizontal_ceiling_minimum_R_Value_for_ceiling_insulation_climate_zone_891[[#This Row],[Roof ventilation]],Pitched_roof_with_horizontal_ceiling_minimum_R_Value_for_ceiling_insulation_climate_zone_891[[#This Row],[Reflective insulation under-roof]])</f>
        <v>8Timber-framed pitched roof with horizontal ceilingVentedNo</v>
      </c>
      <c r="B138" s="22">
        <v>8</v>
      </c>
      <c r="C138" s="22" t="s">
        <v>188</v>
      </c>
      <c r="E138" s="22" t="str">
        <f>CONCATENATE(A138,Pitched_roof_with_horizontal_ceiling_minimum_R_Value_for_ceiling_insulation_climate_zone_891[[#This Row],[Under-roof insulation R-Value]])</f>
        <v>8Timber-framed pitched roof with horizontal ceilingVentedNo≥ 1.0 to &lt; 1.5</v>
      </c>
      <c r="F138" s="22" t="s">
        <v>189</v>
      </c>
      <c r="G138" s="22" t="s">
        <v>29</v>
      </c>
      <c r="H138" s="22" t="s">
        <v>315</v>
      </c>
      <c r="I138" s="22">
        <v>4.5</v>
      </c>
      <c r="J138" s="22">
        <v>4.5</v>
      </c>
      <c r="K138" s="22">
        <v>4</v>
      </c>
      <c r="L138" s="22">
        <v>4</v>
      </c>
      <c r="M138" s="22">
        <v>4</v>
      </c>
      <c r="N138" s="22">
        <v>4</v>
      </c>
      <c r="O138" s="22">
        <v>4</v>
      </c>
      <c r="P138" s="22">
        <v>4</v>
      </c>
      <c r="R138" s="736"/>
      <c r="S138" s="736"/>
      <c r="T138" s="736"/>
    </row>
    <row r="139" spans="1:22" s="22" customFormat="1" x14ac:dyDescent="0.3">
      <c r="A139" s="22" t="str">
        <f>CONCATENATE(B139,C139,D139,Pitched_roof_with_horizontal_ceiling_minimum_R_Value_for_ceiling_insulation_climate_zone_891[[#This Row],[Roof ventilation]],Pitched_roof_with_horizontal_ceiling_minimum_R_Value_for_ceiling_insulation_climate_zone_891[[#This Row],[Reflective insulation under-roof]])</f>
        <v>8Timber-framed pitched roof with horizontal ceilingVentedNo</v>
      </c>
      <c r="B139" s="22">
        <v>8</v>
      </c>
      <c r="C139" s="22" t="s">
        <v>188</v>
      </c>
      <c r="E139" s="22" t="str">
        <f>CONCATENATE(A139,Pitched_roof_with_horizontal_ceiling_minimum_R_Value_for_ceiling_insulation_climate_zone_891[[#This Row],[Under-roof insulation R-Value]])</f>
        <v>8Timber-framed pitched roof with horizontal ceilingVentedNo≥1.5</v>
      </c>
      <c r="F139" s="22" t="s">
        <v>189</v>
      </c>
      <c r="G139" s="22" t="s">
        <v>29</v>
      </c>
      <c r="H139" s="22" t="s">
        <v>408</v>
      </c>
      <c r="I139" s="22">
        <v>4.5</v>
      </c>
      <c r="J139" s="22">
        <v>4.5</v>
      </c>
      <c r="K139" s="22">
        <v>4.5</v>
      </c>
      <c r="L139" s="22">
        <v>4</v>
      </c>
      <c r="M139" s="22">
        <v>4</v>
      </c>
      <c r="N139" s="22">
        <v>4</v>
      </c>
      <c r="O139" s="22">
        <v>4</v>
      </c>
      <c r="P139" s="22">
        <v>4</v>
      </c>
      <c r="R139" s="736"/>
      <c r="S139" s="736"/>
      <c r="T139" s="736"/>
    </row>
    <row r="140" spans="1:22" s="22" customFormat="1" x14ac:dyDescent="0.3">
      <c r="A140" s="22" t="str">
        <f>CONCATENATE(B140,C140,D140,Pitched_roof_with_horizontal_ceiling_minimum_R_Value_for_ceiling_insulation_climate_zone_891[[#This Row],[Roof ventilation]],Pitched_roof_with_horizontal_ceiling_minimum_R_Value_for_ceiling_insulation_climate_zone_891[[#This Row],[Reflective insulation under-roof]])</f>
        <v>8Timber-framed pitched roof with horizontal ceilingStandardYes</v>
      </c>
      <c r="B140" s="22">
        <v>8</v>
      </c>
      <c r="C140" s="22" t="s">
        <v>188</v>
      </c>
      <c r="E140" s="22" t="str">
        <f>CONCATENATE(A140,Pitched_roof_with_horizontal_ceiling_minimum_R_Value_for_ceiling_insulation_climate_zone_891[[#This Row],[Under-roof insulation R-Value]])</f>
        <v>8Timber-framed pitched roof with horizontal ceilingStandardYes&lt; 1.0</v>
      </c>
      <c r="F140" s="22" t="s">
        <v>205</v>
      </c>
      <c r="G140" s="22" t="s">
        <v>190</v>
      </c>
      <c r="H140" s="22" t="s">
        <v>285</v>
      </c>
      <c r="I140" s="22">
        <v>4</v>
      </c>
      <c r="J140" s="22">
        <v>4</v>
      </c>
      <c r="K140" s="22">
        <v>4</v>
      </c>
      <c r="L140" s="22">
        <v>4</v>
      </c>
      <c r="M140" s="22">
        <v>4</v>
      </c>
      <c r="N140" s="22">
        <v>3.5</v>
      </c>
      <c r="O140" s="22">
        <v>3.5</v>
      </c>
      <c r="P140" s="22">
        <v>3.5</v>
      </c>
      <c r="R140" s="736"/>
      <c r="S140" s="736"/>
      <c r="T140" s="736"/>
    </row>
    <row r="141" spans="1:22" s="22" customFormat="1" x14ac:dyDescent="0.3">
      <c r="A141" s="22" t="str">
        <f>CONCATENATE(B141,C141,D141,Pitched_roof_with_horizontal_ceiling_minimum_R_Value_for_ceiling_insulation_climate_zone_891[[#This Row],[Roof ventilation]],Pitched_roof_with_horizontal_ceiling_minimum_R_Value_for_ceiling_insulation_climate_zone_891[[#This Row],[Reflective insulation under-roof]])</f>
        <v>8Timber-framed pitched roof with horizontal ceilingStandardYes</v>
      </c>
      <c r="B141" s="22">
        <v>8</v>
      </c>
      <c r="C141" s="22" t="s">
        <v>188</v>
      </c>
      <c r="E141" s="22" t="str">
        <f>CONCATENATE(A141,Pitched_roof_with_horizontal_ceiling_minimum_R_Value_for_ceiling_insulation_climate_zone_891[[#This Row],[Under-roof insulation R-Value]])</f>
        <v>8Timber-framed pitched roof with horizontal ceilingStandardYes≥ 1.0 to &lt; 1.5</v>
      </c>
      <c r="F141" s="22" t="s">
        <v>205</v>
      </c>
      <c r="G141" s="22" t="s">
        <v>190</v>
      </c>
      <c r="H141" s="22" t="s">
        <v>315</v>
      </c>
      <c r="I141" s="22">
        <v>4</v>
      </c>
      <c r="J141" s="22">
        <v>4</v>
      </c>
      <c r="K141" s="22">
        <v>4</v>
      </c>
      <c r="L141" s="22">
        <v>4</v>
      </c>
      <c r="M141" s="22">
        <v>4</v>
      </c>
      <c r="N141" s="22">
        <v>4</v>
      </c>
      <c r="O141" s="22">
        <v>3.5</v>
      </c>
      <c r="P141" s="22">
        <v>3.5</v>
      </c>
      <c r="R141" s="736"/>
      <c r="S141" s="736"/>
      <c r="T141" s="736"/>
    </row>
    <row r="142" spans="1:22" s="22" customFormat="1" x14ac:dyDescent="0.3">
      <c r="A142" s="22" t="str">
        <f>CONCATENATE(B142,C142,D142,Pitched_roof_with_horizontal_ceiling_minimum_R_Value_for_ceiling_insulation_climate_zone_891[[#This Row],[Roof ventilation]],Pitched_roof_with_horizontal_ceiling_minimum_R_Value_for_ceiling_insulation_climate_zone_891[[#This Row],[Reflective insulation under-roof]])</f>
        <v>8Timber-framed pitched roof with horizontal ceilingStandardYes</v>
      </c>
      <c r="B142" s="22">
        <v>8</v>
      </c>
      <c r="C142" s="22" t="s">
        <v>188</v>
      </c>
      <c r="E142" s="22" t="str">
        <f>CONCATENATE(A142,Pitched_roof_with_horizontal_ceiling_minimum_R_Value_for_ceiling_insulation_climate_zone_891[[#This Row],[Under-roof insulation R-Value]])</f>
        <v>8Timber-framed pitched roof with horizontal ceilingStandardYes≥ 1.5 to &lt; 2.0</v>
      </c>
      <c r="F142" s="22" t="s">
        <v>205</v>
      </c>
      <c r="G142" s="22" t="s">
        <v>190</v>
      </c>
      <c r="H142" s="22" t="s">
        <v>354</v>
      </c>
      <c r="I142" s="22">
        <v>4</v>
      </c>
      <c r="J142" s="22">
        <v>4</v>
      </c>
      <c r="K142" s="22">
        <v>4</v>
      </c>
      <c r="L142" s="22">
        <v>4</v>
      </c>
      <c r="M142" s="22">
        <v>4</v>
      </c>
      <c r="N142" s="22">
        <v>4</v>
      </c>
      <c r="O142" s="22">
        <v>4</v>
      </c>
      <c r="P142" s="22">
        <v>3.5</v>
      </c>
    </row>
    <row r="143" spans="1:22" s="22" customFormat="1" x14ac:dyDescent="0.3">
      <c r="A143" s="22" t="str">
        <f>CONCATENATE(B143,C143,D143,Pitched_roof_with_horizontal_ceiling_minimum_R_Value_for_ceiling_insulation_climate_zone_891[[#This Row],[Roof ventilation]],Pitched_roof_with_horizontal_ceiling_minimum_R_Value_for_ceiling_insulation_climate_zone_891[[#This Row],[Reflective insulation under-roof]])</f>
        <v>8Timber-framed pitched roof with horizontal ceilingStandardYes</v>
      </c>
      <c r="B143" s="22">
        <v>8</v>
      </c>
      <c r="C143" s="22" t="s">
        <v>188</v>
      </c>
      <c r="E143" s="22" t="str">
        <f>CONCATENATE(A143,Pitched_roof_with_horizontal_ceiling_minimum_R_Value_for_ceiling_insulation_climate_zone_891[[#This Row],[Under-roof insulation R-Value]])</f>
        <v>8Timber-framed pitched roof with horizontal ceilingStandardYes≥ 2.0</v>
      </c>
      <c r="F143" s="22" t="s">
        <v>205</v>
      </c>
      <c r="G143" s="22" t="s">
        <v>190</v>
      </c>
      <c r="H143" s="22" t="s">
        <v>357</v>
      </c>
      <c r="I143" s="22">
        <v>4</v>
      </c>
      <c r="J143" s="22">
        <v>4</v>
      </c>
      <c r="K143" s="22">
        <v>4</v>
      </c>
      <c r="L143" s="22">
        <v>4</v>
      </c>
      <c r="M143" s="22">
        <v>4</v>
      </c>
      <c r="N143" s="22">
        <v>4</v>
      </c>
      <c r="O143" s="22">
        <v>4</v>
      </c>
      <c r="P143" s="22">
        <v>4</v>
      </c>
    </row>
    <row r="144" spans="1:22" s="22" customFormat="1" x14ac:dyDescent="0.3">
      <c r="A144" s="22" t="str">
        <f>CONCATENATE(B144,C144,D144,Pitched_roof_with_horizontal_ceiling_minimum_R_Value_for_ceiling_insulation_climate_zone_891[[#This Row],[Roof ventilation]],Pitched_roof_with_horizontal_ceiling_minimum_R_Value_for_ceiling_insulation_climate_zone_891[[#This Row],[Reflective insulation under-roof]])</f>
        <v>8Timber-framed pitched roof with horizontal ceilingStandardNo</v>
      </c>
      <c r="B144" s="22">
        <v>8</v>
      </c>
      <c r="C144" s="22" t="s">
        <v>188</v>
      </c>
      <c r="E144" s="22" t="str">
        <f>CONCATENATE(A144,Pitched_roof_with_horizontal_ceiling_minimum_R_Value_for_ceiling_insulation_climate_zone_891[[#This Row],[Under-roof insulation R-Value]])</f>
        <v>8Timber-framed pitched roof with horizontal ceilingStandardNo&lt; 1.0</v>
      </c>
      <c r="F144" s="22" t="s">
        <v>205</v>
      </c>
      <c r="G144" s="22" t="s">
        <v>29</v>
      </c>
      <c r="H144" s="22" t="s">
        <v>285</v>
      </c>
      <c r="I144" s="22">
        <v>4.5</v>
      </c>
      <c r="J144" s="22">
        <v>4</v>
      </c>
      <c r="K144" s="22">
        <v>4</v>
      </c>
      <c r="L144" s="22">
        <v>3.5</v>
      </c>
      <c r="M144" s="22">
        <v>3.5</v>
      </c>
      <c r="N144" s="22">
        <v>3</v>
      </c>
      <c r="O144" s="22">
        <v>3</v>
      </c>
      <c r="P144" s="22">
        <v>3</v>
      </c>
    </row>
    <row r="145" spans="1:22" s="22" customFormat="1" x14ac:dyDescent="0.3">
      <c r="A145" s="22" t="str">
        <f>CONCATENATE(B145,C145,D145,Pitched_roof_with_horizontal_ceiling_minimum_R_Value_for_ceiling_insulation_climate_zone_891[[#This Row],[Roof ventilation]],Pitched_roof_with_horizontal_ceiling_minimum_R_Value_for_ceiling_insulation_climate_zone_891[[#This Row],[Reflective insulation under-roof]])</f>
        <v>8Timber-framed pitched roof with horizontal ceilingStandardNo</v>
      </c>
      <c r="B145" s="22">
        <v>8</v>
      </c>
      <c r="C145" s="22" t="s">
        <v>188</v>
      </c>
      <c r="E145" s="22" t="str">
        <f>CONCATENATE(A145,Pitched_roof_with_horizontal_ceiling_minimum_R_Value_for_ceiling_insulation_climate_zone_891[[#This Row],[Under-roof insulation R-Value]])</f>
        <v>8Timber-framed pitched roof with horizontal ceilingStandardNo≥ 1.0 to &lt; 1.5</v>
      </c>
      <c r="F145" s="22" t="s">
        <v>205</v>
      </c>
      <c r="G145" s="22" t="s">
        <v>29</v>
      </c>
      <c r="H145" s="22" t="s">
        <v>315</v>
      </c>
      <c r="I145" s="22">
        <v>4</v>
      </c>
      <c r="J145" s="22">
        <v>4</v>
      </c>
      <c r="K145" s="22">
        <v>4</v>
      </c>
      <c r="L145" s="22">
        <v>4</v>
      </c>
      <c r="M145" s="22">
        <v>3.5</v>
      </c>
      <c r="N145" s="22">
        <v>3.5</v>
      </c>
      <c r="O145" s="22">
        <v>3.5</v>
      </c>
      <c r="P145" s="22">
        <v>3.5</v>
      </c>
    </row>
    <row r="146" spans="1:22" s="22" customFormat="1" x14ac:dyDescent="0.3">
      <c r="A146" s="22" t="str">
        <f>CONCATENATE(B146,C146,D146,Pitched_roof_with_horizontal_ceiling_minimum_R_Value_for_ceiling_insulation_climate_zone_891[[#This Row],[Roof ventilation]],Pitched_roof_with_horizontal_ceiling_minimum_R_Value_for_ceiling_insulation_climate_zone_891[[#This Row],[Reflective insulation under-roof]])</f>
        <v>8Timber-framed pitched roof with horizontal ceilingStandardNo</v>
      </c>
      <c r="B146" s="22">
        <v>8</v>
      </c>
      <c r="C146" s="22" t="s">
        <v>188</v>
      </c>
      <c r="E146" s="22" t="str">
        <f>CONCATENATE(A146,Pitched_roof_with_horizontal_ceiling_minimum_R_Value_for_ceiling_insulation_climate_zone_891[[#This Row],[Under-roof insulation R-Value]])</f>
        <v>8Timber-framed pitched roof with horizontal ceilingStandardNo≥ 1.5 to &lt; 2.0</v>
      </c>
      <c r="F146" s="22" t="s">
        <v>205</v>
      </c>
      <c r="G146" s="22" t="s">
        <v>29</v>
      </c>
      <c r="H146" s="22" t="s">
        <v>354</v>
      </c>
      <c r="I146" s="22">
        <v>4</v>
      </c>
      <c r="J146" s="22">
        <v>4</v>
      </c>
      <c r="K146" s="22">
        <v>4</v>
      </c>
      <c r="L146" s="22">
        <v>4</v>
      </c>
      <c r="M146" s="22">
        <v>4</v>
      </c>
      <c r="N146" s="22">
        <v>3.5</v>
      </c>
      <c r="O146" s="22">
        <v>3.5</v>
      </c>
      <c r="P146" s="22">
        <v>3.5</v>
      </c>
    </row>
    <row r="147" spans="1:22" s="22" customFormat="1" x14ac:dyDescent="0.3">
      <c r="A147" s="22" t="str">
        <f>CONCATENATE(B147,C147,D147,Pitched_roof_with_horizontal_ceiling_minimum_R_Value_for_ceiling_insulation_climate_zone_891[[#This Row],[Roof ventilation]],Pitched_roof_with_horizontal_ceiling_minimum_R_Value_for_ceiling_insulation_climate_zone_891[[#This Row],[Reflective insulation under-roof]])</f>
        <v>8Timber-framed pitched roof with horizontal ceilingStandardNo</v>
      </c>
      <c r="B147" s="22">
        <v>8</v>
      </c>
      <c r="C147" s="22" t="s">
        <v>188</v>
      </c>
      <c r="E147" s="22" t="str">
        <f>CONCATENATE(A147,Pitched_roof_with_horizontal_ceiling_minimum_R_Value_for_ceiling_insulation_climate_zone_891[[#This Row],[Under-roof insulation R-Value]])</f>
        <v>8Timber-framed pitched roof with horizontal ceilingStandardNo≥ 2.0</v>
      </c>
      <c r="F147" s="22" t="s">
        <v>205</v>
      </c>
      <c r="G147" s="22" t="s">
        <v>29</v>
      </c>
      <c r="H147" s="22" t="s">
        <v>357</v>
      </c>
      <c r="I147" s="22">
        <v>4</v>
      </c>
      <c r="J147" s="22">
        <v>4</v>
      </c>
      <c r="K147" s="22">
        <v>4</v>
      </c>
      <c r="L147" s="22">
        <v>4</v>
      </c>
      <c r="M147" s="22">
        <v>4</v>
      </c>
      <c r="N147" s="22">
        <v>4</v>
      </c>
      <c r="O147" s="22">
        <v>3.5</v>
      </c>
      <c r="P147" s="22">
        <v>3.5</v>
      </c>
    </row>
    <row r="148" spans="1:22" s="22" customFormat="1" x14ac:dyDescent="0.3"/>
    <row r="149" spans="1:22" s="22" customFormat="1" x14ac:dyDescent="0.3">
      <c r="F149" s="22" t="s">
        <v>409</v>
      </c>
    </row>
    <row r="150" spans="1:22" s="22" customFormat="1" x14ac:dyDescent="0.3">
      <c r="F150" s="22" t="s">
        <v>410</v>
      </c>
    </row>
    <row r="151" spans="1:22" s="22" customFormat="1" x14ac:dyDescent="0.3">
      <c r="A151" s="719" t="str">
        <f>CONCATENATE(B153,C153,D153)</f>
        <v>1Timber-framed flat, skillion or cathedral roofSingle storey dwelling</v>
      </c>
      <c r="F151" s="22" t="s">
        <v>304</v>
      </c>
      <c r="G151" s="22" t="s">
        <v>306</v>
      </c>
      <c r="H151" s="22" t="s">
        <v>307</v>
      </c>
      <c r="I151" s="22" t="s">
        <v>308</v>
      </c>
      <c r="J151" s="22" t="s">
        <v>309</v>
      </c>
      <c r="K151" s="22" t="s">
        <v>310</v>
      </c>
      <c r="T151" s="736"/>
      <c r="U151" s="736"/>
    </row>
    <row r="152" spans="1:22" s="22" customFormat="1" x14ac:dyDescent="0.3">
      <c r="A152" s="22" t="str">
        <f>CONCATENATE(B152,C152,D152,E152,Flat_skillion_or_cathedral_roof_minimum_R_Value_for_ceiling_insulation_climate_zone_1_single_storey_dwelling92[[#This Row],[Reflective insulation under-roof]])</f>
        <v>1Timber-framed flat, skillion or cathedral roofSingle storey dwellingYes</v>
      </c>
      <c r="B152" s="22">
        <v>1</v>
      </c>
      <c r="C152" s="22" t="s">
        <v>204</v>
      </c>
      <c r="D152" s="22" t="s">
        <v>187</v>
      </c>
      <c r="F152" s="22" t="s">
        <v>190</v>
      </c>
      <c r="G152" s="22">
        <v>1</v>
      </c>
      <c r="H152" s="32">
        <v>2</v>
      </c>
      <c r="I152" s="32">
        <v>2</v>
      </c>
      <c r="J152" s="32">
        <v>4</v>
      </c>
      <c r="K152" s="32">
        <v>4</v>
      </c>
      <c r="T152" s="736"/>
      <c r="U152" s="736"/>
      <c r="V152" s="736"/>
    </row>
    <row r="153" spans="1:22" s="22" customFormat="1" x14ac:dyDescent="0.3">
      <c r="A153" s="22" t="str">
        <f>CONCATENATE(B153,C153,D153,E153,Flat_skillion_or_cathedral_roof_minimum_R_Value_for_ceiling_insulation_climate_zone_1_single_storey_dwelling92[[#This Row],[Reflective insulation under-roof]])</f>
        <v>1Timber-framed flat, skillion or cathedral roofSingle storey dwellingNo</v>
      </c>
      <c r="B153" s="22">
        <v>1</v>
      </c>
      <c r="C153" s="22" t="s">
        <v>204</v>
      </c>
      <c r="D153" s="22" t="s">
        <v>187</v>
      </c>
      <c r="F153" s="22" t="s">
        <v>29</v>
      </c>
      <c r="G153" s="22">
        <v>1</v>
      </c>
      <c r="H153" s="32">
        <v>3.5</v>
      </c>
      <c r="I153" s="32" t="s">
        <v>321</v>
      </c>
      <c r="J153" s="32" t="s">
        <v>321</v>
      </c>
      <c r="K153" s="32" t="s">
        <v>321</v>
      </c>
      <c r="T153" s="736"/>
      <c r="U153" s="736"/>
      <c r="V153" s="736"/>
    </row>
    <row r="154" spans="1:22" s="22" customFormat="1" x14ac:dyDescent="0.3">
      <c r="T154" s="736"/>
      <c r="U154" s="736"/>
      <c r="V154" s="736"/>
    </row>
    <row r="155" spans="1:22" s="22" customFormat="1" x14ac:dyDescent="0.3">
      <c r="F155" s="22" t="s">
        <v>411</v>
      </c>
      <c r="T155" s="736"/>
      <c r="U155" s="736"/>
      <c r="V155" s="736"/>
    </row>
    <row r="156" spans="1:22" s="22" customFormat="1" x14ac:dyDescent="0.3">
      <c r="F156" s="22" t="s">
        <v>412</v>
      </c>
      <c r="T156" s="736"/>
      <c r="U156" s="736"/>
      <c r="V156" s="736"/>
    </row>
    <row r="157" spans="1:22" s="22" customFormat="1" x14ac:dyDescent="0.3">
      <c r="A157" s="719" t="str">
        <f>CONCATENATE(B159,C159,D159)</f>
        <v>1Timber-framed flat, skillion or cathedral roofTwo storey dwelling</v>
      </c>
      <c r="F157" s="22" t="s">
        <v>304</v>
      </c>
      <c r="G157" s="22" t="s">
        <v>306</v>
      </c>
      <c r="H157" s="22" t="s">
        <v>307</v>
      </c>
      <c r="I157" s="22" t="s">
        <v>308</v>
      </c>
      <c r="J157" s="22" t="s">
        <v>309</v>
      </c>
      <c r="K157" s="22" t="s">
        <v>310</v>
      </c>
      <c r="T157" s="736"/>
      <c r="U157" s="736"/>
    </row>
    <row r="158" spans="1:22" s="22" customFormat="1" x14ac:dyDescent="0.3">
      <c r="A158" s="22" t="str">
        <f>CONCATENATE(B158,C158,D158,E158,Flat_skillion_or_cathedral_roof_minimum_R_Value_for_ceiling_insulation_climate_zone_1_two_or_more_storey_dwelling93[[#This Row],[Reflective insulation under-roof]])</f>
        <v>1Timber-framed flat, skillion or cathedral roofTwo storey dwellingYes</v>
      </c>
      <c r="B158" s="22">
        <v>1</v>
      </c>
      <c r="C158" s="22" t="s">
        <v>204</v>
      </c>
      <c r="D158" s="22" t="s">
        <v>22</v>
      </c>
      <c r="F158" s="22" t="s">
        <v>190</v>
      </c>
      <c r="G158" s="22">
        <v>1.5</v>
      </c>
      <c r="H158" s="32">
        <v>1.5</v>
      </c>
      <c r="I158" s="32">
        <v>2</v>
      </c>
      <c r="J158" s="32">
        <v>3</v>
      </c>
      <c r="K158" s="32">
        <v>4</v>
      </c>
      <c r="T158" s="736"/>
      <c r="U158" s="736"/>
      <c r="V158" s="736"/>
    </row>
    <row r="159" spans="1:22" s="22" customFormat="1" x14ac:dyDescent="0.3">
      <c r="A159" s="22" t="str">
        <f>CONCATENATE(B159,C159,D159,E159,Flat_skillion_or_cathedral_roof_minimum_R_Value_for_ceiling_insulation_climate_zone_1_two_or_more_storey_dwelling93[[#This Row],[Reflective insulation under-roof]])</f>
        <v>1Timber-framed flat, skillion or cathedral roofTwo storey dwellingNo</v>
      </c>
      <c r="B159" s="22">
        <v>1</v>
      </c>
      <c r="C159" s="22" t="s">
        <v>204</v>
      </c>
      <c r="D159" s="22" t="s">
        <v>22</v>
      </c>
      <c r="F159" s="22" t="s">
        <v>29</v>
      </c>
      <c r="G159" s="22">
        <v>1.5</v>
      </c>
      <c r="H159" s="32">
        <v>3.5</v>
      </c>
      <c r="I159" s="32">
        <v>5</v>
      </c>
      <c r="J159" s="32" t="s">
        <v>321</v>
      </c>
      <c r="K159" s="32" t="s">
        <v>321</v>
      </c>
      <c r="T159" s="736"/>
      <c r="U159" s="736"/>
      <c r="V159" s="736"/>
    </row>
    <row r="160" spans="1:22" s="22" customFormat="1" x14ac:dyDescent="0.3">
      <c r="T160" s="736"/>
      <c r="U160" s="736"/>
      <c r="V160" s="736"/>
    </row>
    <row r="161" spans="1:22" s="22" customFormat="1" x14ac:dyDescent="0.3">
      <c r="F161" s="22" t="s">
        <v>413</v>
      </c>
      <c r="T161" s="736"/>
      <c r="U161" s="736"/>
      <c r="V161" s="736"/>
    </row>
    <row r="162" spans="1:22" s="22" customFormat="1" x14ac:dyDescent="0.3">
      <c r="F162" s="22" t="s">
        <v>414</v>
      </c>
      <c r="T162" s="736"/>
      <c r="U162" s="736"/>
      <c r="V162" s="736"/>
    </row>
    <row r="163" spans="1:22" s="22" customFormat="1" x14ac:dyDescent="0.3">
      <c r="A163" s="719" t="str">
        <f>CONCATENATE(B165,C165,D165)</f>
        <v>2Timber-framed flat, skillion or cathedral roof</v>
      </c>
      <c r="F163" s="22" t="s">
        <v>304</v>
      </c>
      <c r="G163" s="22" t="s">
        <v>306</v>
      </c>
      <c r="H163" s="22" t="s">
        <v>307</v>
      </c>
      <c r="I163" s="22" t="s">
        <v>308</v>
      </c>
      <c r="J163" s="22" t="s">
        <v>309</v>
      </c>
      <c r="K163" s="22" t="s">
        <v>310</v>
      </c>
      <c r="T163" s="736"/>
      <c r="U163" s="736"/>
    </row>
    <row r="164" spans="1:22" s="22" customFormat="1" x14ac:dyDescent="0.3">
      <c r="A164" s="22" t="str">
        <f>CONCATENATE(B164,C164,D164,E164,Flat_skillion_or_cathedral_roof_minimum_R_Value_for_ceiling_insulation_climate_zone_294[[#This Row],[Reflective insulation under-roof]])</f>
        <v>2Timber-framed flat, skillion or cathedral roofYes</v>
      </c>
      <c r="B164" s="22">
        <v>2</v>
      </c>
      <c r="C164" s="22" t="s">
        <v>204</v>
      </c>
      <c r="F164" s="22" t="s">
        <v>190</v>
      </c>
      <c r="G164" s="22">
        <v>2.5</v>
      </c>
      <c r="H164" s="32">
        <v>2.5</v>
      </c>
      <c r="I164" s="32">
        <v>2.5</v>
      </c>
      <c r="J164" s="32">
        <v>2.5</v>
      </c>
      <c r="K164" s="32">
        <v>2.5</v>
      </c>
      <c r="T164" s="736"/>
      <c r="U164" s="736"/>
      <c r="V164" s="736"/>
    </row>
    <row r="165" spans="1:22" s="22" customFormat="1" x14ac:dyDescent="0.3">
      <c r="A165" s="22" t="str">
        <f>CONCATENATE(B165,C165,D165,E165,Flat_skillion_or_cathedral_roof_minimum_R_Value_for_ceiling_insulation_climate_zone_294[[#This Row],[Reflective insulation under-roof]])</f>
        <v>2Timber-framed flat, skillion or cathedral roofNo</v>
      </c>
      <c r="B165" s="22">
        <v>2</v>
      </c>
      <c r="C165" s="22" t="s">
        <v>204</v>
      </c>
      <c r="F165" s="22" t="s">
        <v>29</v>
      </c>
      <c r="G165" s="22">
        <v>3</v>
      </c>
      <c r="H165" s="32">
        <v>3</v>
      </c>
      <c r="I165" s="32">
        <v>3.5</v>
      </c>
      <c r="J165" s="32">
        <v>4</v>
      </c>
      <c r="K165" s="32">
        <v>4</v>
      </c>
      <c r="T165" s="736"/>
      <c r="U165" s="736"/>
      <c r="V165" s="736"/>
    </row>
    <row r="166" spans="1:22" s="22" customFormat="1" x14ac:dyDescent="0.3">
      <c r="T166" s="736"/>
      <c r="U166" s="736"/>
      <c r="V166" s="736"/>
    </row>
    <row r="167" spans="1:22" s="22" customFormat="1" x14ac:dyDescent="0.3">
      <c r="F167" s="22" t="s">
        <v>415</v>
      </c>
      <c r="T167" s="736"/>
      <c r="U167" s="736"/>
      <c r="V167" s="736"/>
    </row>
    <row r="168" spans="1:22" s="22" customFormat="1" x14ac:dyDescent="0.3">
      <c r="F168" s="22" t="s">
        <v>416</v>
      </c>
      <c r="T168" s="736"/>
      <c r="U168" s="736"/>
      <c r="V168" s="736"/>
    </row>
    <row r="169" spans="1:22" s="22" customFormat="1" x14ac:dyDescent="0.3">
      <c r="A169" s="719" t="str">
        <f>CONCATENATE(B171,C171,D171)</f>
        <v>3Timber-framed flat, skillion or cathedral roof</v>
      </c>
      <c r="F169" s="22" t="s">
        <v>304</v>
      </c>
      <c r="G169" s="22" t="s">
        <v>306</v>
      </c>
      <c r="H169" s="22" t="s">
        <v>307</v>
      </c>
      <c r="I169" s="22" t="s">
        <v>308</v>
      </c>
      <c r="J169" s="22" t="s">
        <v>309</v>
      </c>
      <c r="K169" s="22" t="s">
        <v>310</v>
      </c>
      <c r="T169" s="736"/>
      <c r="U169" s="736"/>
    </row>
    <row r="170" spans="1:22" s="22" customFormat="1" x14ac:dyDescent="0.3">
      <c r="A170" s="22" t="str">
        <f>CONCATENATE(B170,C170,D170,E170,Flat_skillion_or_cathedral_roof_minimum_R_Value_for_ceiling_insulation_climate_zone_395[[#This Row],[Reflective insulation under-roof]])</f>
        <v>3Timber-framed flat, skillion or cathedral roofYes</v>
      </c>
      <c r="B170" s="22">
        <v>3</v>
      </c>
      <c r="C170" s="22" t="s">
        <v>204</v>
      </c>
      <c r="F170" s="22" t="s">
        <v>190</v>
      </c>
      <c r="G170" s="22">
        <v>2</v>
      </c>
      <c r="H170" s="32">
        <v>2</v>
      </c>
      <c r="I170" s="32">
        <v>2.5</v>
      </c>
      <c r="J170" s="32">
        <v>2.5</v>
      </c>
      <c r="K170" s="32">
        <v>2.5</v>
      </c>
      <c r="T170" s="736"/>
      <c r="U170" s="736"/>
      <c r="V170" s="736"/>
    </row>
    <row r="171" spans="1:22" s="22" customFormat="1" x14ac:dyDescent="0.3">
      <c r="A171" s="22" t="str">
        <f>CONCATENATE(B171,C171,D171,E171,Flat_skillion_or_cathedral_roof_minimum_R_Value_for_ceiling_insulation_climate_zone_395[[#This Row],[Reflective insulation under-roof]])</f>
        <v>3Timber-framed flat, skillion or cathedral roofNo</v>
      </c>
      <c r="B171" s="22">
        <v>3</v>
      </c>
      <c r="C171" s="22" t="s">
        <v>204</v>
      </c>
      <c r="F171" s="22" t="s">
        <v>29</v>
      </c>
      <c r="G171" s="22">
        <v>3.5</v>
      </c>
      <c r="H171" s="32">
        <v>4</v>
      </c>
      <c r="I171" s="32">
        <v>5</v>
      </c>
      <c r="J171" s="32" t="s">
        <v>321</v>
      </c>
      <c r="K171" s="32" t="s">
        <v>321</v>
      </c>
      <c r="T171" s="736"/>
      <c r="U171" s="736"/>
      <c r="V171" s="736"/>
    </row>
    <row r="172" spans="1:22" s="22" customFormat="1" x14ac:dyDescent="0.3">
      <c r="T172" s="736"/>
      <c r="U172" s="736"/>
      <c r="V172" s="736"/>
    </row>
    <row r="173" spans="1:22" s="22" customFormat="1" x14ac:dyDescent="0.3">
      <c r="F173" s="22" t="s">
        <v>417</v>
      </c>
      <c r="T173" s="736"/>
      <c r="U173" s="736"/>
      <c r="V173" s="736"/>
    </row>
    <row r="174" spans="1:22" s="22" customFormat="1" x14ac:dyDescent="0.3">
      <c r="F174" s="22" t="s">
        <v>418</v>
      </c>
      <c r="T174" s="736"/>
      <c r="U174" s="736"/>
      <c r="V174" s="736"/>
    </row>
    <row r="175" spans="1:22" s="22" customFormat="1" x14ac:dyDescent="0.3">
      <c r="A175" s="719" t="str">
        <f>CONCATENATE(B177,C177,D177)</f>
        <v>4Timber-framed flat, skillion or cathedral roof</v>
      </c>
      <c r="F175" s="22" t="s">
        <v>304</v>
      </c>
      <c r="G175" s="22" t="s">
        <v>419</v>
      </c>
      <c r="T175" s="736"/>
      <c r="U175" s="736"/>
    </row>
    <row r="176" spans="1:22" s="22" customFormat="1" x14ac:dyDescent="0.3">
      <c r="A176" s="22" t="str">
        <f>CONCATENATE(B176,C176,D176,E176,Flat_skillion_or_cathedral_roof_minimum_R_Value_for_ceiling_insulation_climate_zone_42096[[#This Row],[Reflective insulation under-roof]])</f>
        <v>4Timber-framed flat, skillion or cathedral roofYes</v>
      </c>
      <c r="B176" s="22">
        <v>4</v>
      </c>
      <c r="C176" s="22" t="s">
        <v>204</v>
      </c>
      <c r="F176" s="22" t="s">
        <v>190</v>
      </c>
      <c r="G176" s="22">
        <v>3</v>
      </c>
      <c r="T176" s="736"/>
      <c r="U176" s="736"/>
      <c r="V176" s="736"/>
    </row>
    <row r="177" spans="1:21" s="22" customFormat="1" x14ac:dyDescent="0.3">
      <c r="A177" s="22" t="str">
        <f>CONCATENATE(B177,C177,D177,E177,Flat_skillion_or_cathedral_roof_minimum_R_Value_for_ceiling_insulation_climate_zone_42096[[#This Row],[Reflective insulation under-roof]])</f>
        <v>4Timber-framed flat, skillion or cathedral roofNo</v>
      </c>
      <c r="B177" s="22">
        <v>4</v>
      </c>
      <c r="C177" s="22" t="s">
        <v>204</v>
      </c>
      <c r="F177" s="22" t="s">
        <v>29</v>
      </c>
      <c r="G177" s="22">
        <v>3.5</v>
      </c>
    </row>
    <row r="178" spans="1:21" s="22" customFormat="1" x14ac:dyDescent="0.3"/>
    <row r="179" spans="1:21" s="22" customFormat="1" x14ac:dyDescent="0.3">
      <c r="F179" s="22" t="s">
        <v>420</v>
      </c>
    </row>
    <row r="180" spans="1:21" s="22" customFormat="1" x14ac:dyDescent="0.3">
      <c r="F180" s="22" t="s">
        <v>421</v>
      </c>
    </row>
    <row r="181" spans="1:21" s="22" customFormat="1" x14ac:dyDescent="0.3">
      <c r="A181" s="719" t="str">
        <f>CONCATENATE(B183,C183,D183)</f>
        <v>5Timber-framed flat, skillion or cathedral roof</v>
      </c>
      <c r="F181" s="22" t="s">
        <v>304</v>
      </c>
      <c r="G181" s="22" t="s">
        <v>419</v>
      </c>
      <c r="T181" s="736"/>
      <c r="U181" s="736"/>
    </row>
    <row r="182" spans="1:21" s="22" customFormat="1" x14ac:dyDescent="0.3">
      <c r="A182" s="22" t="str">
        <f>CONCATENATE(B182,C182,D182,E182,Flat_skillion_or_cathedral_roof_minimum_R_Value_for_ceiling_insulation_climate_zone_597[[#This Row],[Reflective insulation under-roof]])</f>
        <v>5Timber-framed flat, skillion or cathedral roofYes</v>
      </c>
      <c r="B182" s="22">
        <v>5</v>
      </c>
      <c r="C182" s="22" t="s">
        <v>204</v>
      </c>
      <c r="F182" s="22" t="s">
        <v>190</v>
      </c>
      <c r="G182" s="22">
        <v>2.5</v>
      </c>
      <c r="T182" s="736"/>
      <c r="U182" s="736"/>
    </row>
    <row r="183" spans="1:21" s="22" customFormat="1" x14ac:dyDescent="0.3">
      <c r="A183" s="22" t="str">
        <f>CONCATENATE(B183,C183,D183,E183,Flat_skillion_or_cathedral_roof_minimum_R_Value_for_ceiling_insulation_climate_zone_597[[#This Row],[Reflective insulation under-roof]])</f>
        <v>5Timber-framed flat, skillion or cathedral roofNo</v>
      </c>
      <c r="B183" s="22">
        <v>5</v>
      </c>
      <c r="C183" s="22" t="s">
        <v>204</v>
      </c>
      <c r="F183" s="22" t="s">
        <v>29</v>
      </c>
      <c r="G183" s="22">
        <v>3</v>
      </c>
    </row>
    <row r="184" spans="1:21" s="22" customFormat="1" x14ac:dyDescent="0.3"/>
    <row r="185" spans="1:21" s="22" customFormat="1" x14ac:dyDescent="0.3">
      <c r="F185" s="22" t="s">
        <v>422</v>
      </c>
    </row>
    <row r="186" spans="1:21" s="22" customFormat="1" x14ac:dyDescent="0.3">
      <c r="F186" s="22" t="s">
        <v>423</v>
      </c>
    </row>
    <row r="187" spans="1:21" s="22" customFormat="1" x14ac:dyDescent="0.3">
      <c r="A187" s="719" t="str">
        <f>CONCATENATE(B189,C189,D189)</f>
        <v>6Timber-framed flat, skillion or cathedral roof</v>
      </c>
      <c r="F187" s="22" t="s">
        <v>304</v>
      </c>
      <c r="G187" s="22" t="s">
        <v>424</v>
      </c>
      <c r="H187" s="22" t="s">
        <v>425</v>
      </c>
      <c r="I187" s="22" t="s">
        <v>399</v>
      </c>
    </row>
    <row r="188" spans="1:21" s="22" customFormat="1" x14ac:dyDescent="0.3">
      <c r="A188" s="22" t="str">
        <f>CONCATENATE(B188,C188,D188,E188,Flat_skillion_or_cathedral_roof_minimum_R_Value_for_ceiling_insulation_climate_zone_698[[#This Row],[Reflective insulation under-roof]])</f>
        <v>6Timber-framed flat, skillion or cathedral roofYes</v>
      </c>
      <c r="B188" s="22">
        <v>6</v>
      </c>
      <c r="C188" s="22" t="s">
        <v>204</v>
      </c>
      <c r="F188" s="22" t="s">
        <v>190</v>
      </c>
      <c r="G188" s="22">
        <v>4</v>
      </c>
      <c r="H188" s="22">
        <v>3.5</v>
      </c>
      <c r="I188" s="22">
        <v>4</v>
      </c>
    </row>
    <row r="189" spans="1:21" s="22" customFormat="1" x14ac:dyDescent="0.3">
      <c r="A189" s="22" t="str">
        <f>CONCATENATE(B189,C189,D189,E189,Flat_skillion_or_cathedral_roof_minimum_R_Value_for_ceiling_insulation_climate_zone_698[[#This Row],[Reflective insulation under-roof]])</f>
        <v>6Timber-framed flat, skillion or cathedral roofNo</v>
      </c>
      <c r="B189" s="22">
        <v>6</v>
      </c>
      <c r="C189" s="22" t="s">
        <v>204</v>
      </c>
      <c r="F189" s="22" t="s">
        <v>29</v>
      </c>
      <c r="G189" s="22">
        <v>4</v>
      </c>
      <c r="H189" s="22">
        <v>4</v>
      </c>
      <c r="I189" s="22">
        <v>4</v>
      </c>
    </row>
    <row r="190" spans="1:21" s="22" customFormat="1" x14ac:dyDescent="0.3"/>
    <row r="191" spans="1:21" s="22" customFormat="1" x14ac:dyDescent="0.3">
      <c r="F191" s="22" t="s">
        <v>426</v>
      </c>
    </row>
    <row r="192" spans="1:21" s="22" customFormat="1" x14ac:dyDescent="0.3">
      <c r="F192" s="22" t="s">
        <v>427</v>
      </c>
    </row>
    <row r="193" spans="1:14" s="22" customFormat="1" x14ac:dyDescent="0.3">
      <c r="A193" s="719" t="str">
        <f>CONCATENATE(B195,C195,D195)</f>
        <v>7Timber-framed flat, skillion or cathedral roof</v>
      </c>
      <c r="F193" s="22" t="s">
        <v>304</v>
      </c>
      <c r="G193" s="22" t="s">
        <v>306</v>
      </c>
      <c r="H193" s="22" t="s">
        <v>307</v>
      </c>
      <c r="I193" s="22" t="s">
        <v>308</v>
      </c>
      <c r="J193" s="22" t="s">
        <v>309</v>
      </c>
      <c r="K193" s="22" t="s">
        <v>310</v>
      </c>
      <c r="L193" s="22" t="s">
        <v>402</v>
      </c>
      <c r="M193" s="22" t="s">
        <v>403</v>
      </c>
      <c r="N193" s="22" t="s">
        <v>404</v>
      </c>
    </row>
    <row r="194" spans="1:14" s="22" customFormat="1" x14ac:dyDescent="0.3">
      <c r="A194" s="22" t="str">
        <f>CONCATENATE(B194,C194,D194,E194,Flat_skillion_or_cathedral_roof_minimum_R_Value_for_ceiling_insulation_climate_zone_799[[#This Row],[Reflective insulation under-roof]])</f>
        <v>7Timber-framed flat, skillion or cathedral roofYes</v>
      </c>
      <c r="B194" s="22">
        <v>7</v>
      </c>
      <c r="C194" s="22" t="s">
        <v>204</v>
      </c>
      <c r="F194" s="22" t="s">
        <v>190</v>
      </c>
      <c r="G194" s="22">
        <v>4.5</v>
      </c>
      <c r="H194" s="22">
        <v>4.5</v>
      </c>
      <c r="I194" s="22">
        <v>4.5</v>
      </c>
      <c r="J194" s="22">
        <v>4</v>
      </c>
      <c r="K194" s="22">
        <v>4</v>
      </c>
      <c r="L194" s="22">
        <v>4</v>
      </c>
      <c r="M194" s="22">
        <v>4</v>
      </c>
      <c r="N194" s="22">
        <v>4</v>
      </c>
    </row>
    <row r="195" spans="1:14" s="22" customFormat="1" x14ac:dyDescent="0.3">
      <c r="A195" s="22" t="str">
        <f>CONCATENATE(B195,C195,D195,E195,Flat_skillion_or_cathedral_roof_minimum_R_Value_for_ceiling_insulation_climate_zone_799[[#This Row],[Reflective insulation under-roof]])</f>
        <v>7Timber-framed flat, skillion or cathedral roofNo</v>
      </c>
      <c r="B195" s="22">
        <v>7</v>
      </c>
      <c r="C195" s="22" t="s">
        <v>204</v>
      </c>
      <c r="F195" s="22" t="s">
        <v>29</v>
      </c>
      <c r="G195" s="22">
        <v>5</v>
      </c>
      <c r="H195" s="22">
        <v>4.5</v>
      </c>
      <c r="I195" s="22">
        <v>4.5</v>
      </c>
      <c r="J195" s="22">
        <v>4</v>
      </c>
      <c r="K195" s="22">
        <v>4</v>
      </c>
      <c r="L195" s="22">
        <v>3.5</v>
      </c>
      <c r="M195" s="22">
        <v>3.5</v>
      </c>
      <c r="N195" s="22">
        <v>3.5</v>
      </c>
    </row>
    <row r="196" spans="1:14" s="22" customFormat="1" x14ac:dyDescent="0.3"/>
    <row r="197" spans="1:14" s="22" customFormat="1" x14ac:dyDescent="0.3">
      <c r="F197" s="22" t="s">
        <v>428</v>
      </c>
    </row>
    <row r="198" spans="1:14" s="22" customFormat="1" x14ac:dyDescent="0.3">
      <c r="F198" s="22" t="s">
        <v>429</v>
      </c>
    </row>
    <row r="199" spans="1:14" s="22" customFormat="1" x14ac:dyDescent="0.3">
      <c r="A199" s="719" t="str">
        <f>CONCATENATE(B201,C201,D201)</f>
        <v>8Timber-framed flat, skillion or cathedral roof</v>
      </c>
      <c r="F199" s="22" t="s">
        <v>304</v>
      </c>
      <c r="G199" s="22" t="s">
        <v>306</v>
      </c>
      <c r="H199" s="22" t="s">
        <v>307</v>
      </c>
      <c r="I199" s="22" t="s">
        <v>308</v>
      </c>
      <c r="J199" s="22" t="s">
        <v>309</v>
      </c>
      <c r="K199" s="22" t="s">
        <v>310</v>
      </c>
      <c r="L199" s="22" t="s">
        <v>430</v>
      </c>
      <c r="M199" s="22" t="s">
        <v>403</v>
      </c>
      <c r="N199" s="22" t="s">
        <v>404</v>
      </c>
    </row>
    <row r="200" spans="1:14" s="22" customFormat="1" x14ac:dyDescent="0.3">
      <c r="A200" s="22" t="str">
        <f>CONCATENATE(B200,C200,D200,E200,Flat_skillion_or_cathedral_roof_minimum_R_Value_for_ceiling_insulation_climate_zone_8100[[#This Row],[Reflective insulation under-roof]])</f>
        <v>8Timber-framed flat, skillion or cathedral roofYes</v>
      </c>
      <c r="B200" s="22">
        <v>8</v>
      </c>
      <c r="C200" s="22" t="s">
        <v>204</v>
      </c>
      <c r="F200" s="22" t="s">
        <v>190</v>
      </c>
      <c r="G200" s="22">
        <v>4</v>
      </c>
      <c r="H200" s="22">
        <v>4</v>
      </c>
      <c r="I200" s="22">
        <v>4</v>
      </c>
      <c r="J200" s="22">
        <v>4</v>
      </c>
      <c r="K200" s="22">
        <v>4</v>
      </c>
      <c r="L200" s="22">
        <v>3.5</v>
      </c>
      <c r="M200" s="22">
        <v>3.5</v>
      </c>
      <c r="N200" s="22">
        <v>3.5</v>
      </c>
    </row>
    <row r="201" spans="1:14" s="22" customFormat="1" x14ac:dyDescent="0.3">
      <c r="A201" s="22" t="str">
        <f>CONCATENATE(B201,C201,D201,E201,Flat_skillion_or_cathedral_roof_minimum_R_Value_for_ceiling_insulation_climate_zone_8100[[#This Row],[Reflective insulation under-roof]])</f>
        <v>8Timber-framed flat, skillion or cathedral roofNo</v>
      </c>
      <c r="B201" s="22">
        <v>8</v>
      </c>
      <c r="C201" s="22" t="s">
        <v>204</v>
      </c>
      <c r="F201" s="22" t="s">
        <v>29</v>
      </c>
      <c r="G201" s="22">
        <v>4.5</v>
      </c>
      <c r="H201" s="22">
        <v>4</v>
      </c>
      <c r="I201" s="22">
        <v>4</v>
      </c>
      <c r="J201" s="22">
        <v>3.5</v>
      </c>
      <c r="K201" s="22">
        <v>3.5</v>
      </c>
      <c r="L201" s="22">
        <v>3</v>
      </c>
      <c r="M201" s="22">
        <v>3</v>
      </c>
      <c r="N201" s="22">
        <v>3</v>
      </c>
    </row>
    <row r="202" spans="1:14" s="22" customFormat="1" x14ac:dyDescent="0.3"/>
    <row r="203" spans="1:14" s="22" customFormat="1" x14ac:dyDescent="0.3">
      <c r="F203" s="22" t="s">
        <v>431</v>
      </c>
    </row>
    <row r="204" spans="1:14" s="22" customFormat="1" x14ac:dyDescent="0.3">
      <c r="F204" s="22" t="s">
        <v>432</v>
      </c>
    </row>
    <row r="205" spans="1:14" s="22" customFormat="1" ht="28" x14ac:dyDescent="0.3">
      <c r="F205" s="44" t="s">
        <v>433</v>
      </c>
      <c r="G205" s="32" t="s">
        <v>434</v>
      </c>
    </row>
    <row r="206" spans="1:14" s="22" customFormat="1" x14ac:dyDescent="0.3">
      <c r="C206" s="22" t="s">
        <v>216</v>
      </c>
      <c r="F206" s="22">
        <v>1.5</v>
      </c>
      <c r="G206" s="22">
        <v>1.38</v>
      </c>
    </row>
    <row r="207" spans="1:14" s="22" customFormat="1" x14ac:dyDescent="0.3">
      <c r="C207" s="22" t="s">
        <v>216</v>
      </c>
      <c r="F207" s="22">
        <v>2</v>
      </c>
      <c r="G207" s="22">
        <v>1.74</v>
      </c>
    </row>
    <row r="208" spans="1:14" s="22" customFormat="1" x14ac:dyDescent="0.3">
      <c r="C208" s="22" t="s">
        <v>216</v>
      </c>
      <c r="F208" s="22">
        <v>2.5</v>
      </c>
      <c r="G208" s="22">
        <v>2.09</v>
      </c>
    </row>
    <row r="209" spans="3:8" s="22" customFormat="1" x14ac:dyDescent="0.3">
      <c r="C209" s="22" t="s">
        <v>216</v>
      </c>
      <c r="F209" s="22">
        <v>3</v>
      </c>
      <c r="G209" s="22">
        <v>2.4300000000000002</v>
      </c>
    </row>
    <row r="210" spans="3:8" s="22" customFormat="1" x14ac:dyDescent="0.3">
      <c r="C210" s="22" t="s">
        <v>216</v>
      </c>
      <c r="F210" s="22">
        <v>3.5</v>
      </c>
      <c r="G210" s="22">
        <v>2.63</v>
      </c>
    </row>
    <row r="211" spans="3:8" s="22" customFormat="1" x14ac:dyDescent="0.3">
      <c r="C211" s="22" t="s">
        <v>216</v>
      </c>
      <c r="F211" s="22">
        <v>4</v>
      </c>
      <c r="G211" s="22">
        <v>2.95</v>
      </c>
    </row>
    <row r="212" spans="3:8" s="22" customFormat="1" x14ac:dyDescent="0.3">
      <c r="C212" s="22" t="s">
        <v>216</v>
      </c>
      <c r="F212" s="22">
        <v>4.5</v>
      </c>
      <c r="G212" s="22">
        <v>3.27</v>
      </c>
    </row>
    <row r="213" spans="3:8" s="22" customFormat="1" x14ac:dyDescent="0.3">
      <c r="C213" s="22" t="s">
        <v>216</v>
      </c>
      <c r="F213" s="22">
        <v>5</v>
      </c>
      <c r="G213" s="22">
        <v>3.59</v>
      </c>
    </row>
    <row r="214" spans="3:8" s="22" customFormat="1" x14ac:dyDescent="0.3">
      <c r="C214" s="22" t="s">
        <v>216</v>
      </c>
      <c r="F214" s="22">
        <v>5.5</v>
      </c>
      <c r="G214" s="22">
        <v>3.91</v>
      </c>
    </row>
    <row r="215" spans="3:8" s="22" customFormat="1" x14ac:dyDescent="0.3">
      <c r="C215" s="22" t="s">
        <v>216</v>
      </c>
      <c r="F215" s="22">
        <v>6</v>
      </c>
      <c r="G215" s="22">
        <v>4.2300000000000004</v>
      </c>
    </row>
    <row r="216" spans="3:8" s="22" customFormat="1" x14ac:dyDescent="0.3"/>
    <row r="217" spans="3:8" s="22" customFormat="1" x14ac:dyDescent="0.3">
      <c r="F217" s="22" t="s">
        <v>435</v>
      </c>
    </row>
    <row r="218" spans="3:8" s="22" customFormat="1" x14ac:dyDescent="0.3">
      <c r="F218" s="22" t="s">
        <v>436</v>
      </c>
    </row>
    <row r="219" spans="3:8" s="22" customFormat="1" ht="37.5" customHeight="1" x14ac:dyDescent="0.3">
      <c r="F219" s="44" t="s">
        <v>437</v>
      </c>
      <c r="G219" s="44" t="s">
        <v>438</v>
      </c>
      <c r="H219" s="44" t="s">
        <v>439</v>
      </c>
    </row>
    <row r="220" spans="3:8" s="22" customFormat="1" x14ac:dyDescent="0.3">
      <c r="C220" s="22" t="s">
        <v>225</v>
      </c>
      <c r="F220" s="22">
        <v>1</v>
      </c>
      <c r="G220" s="22">
        <v>1.4</v>
      </c>
      <c r="H220" s="44">
        <v>1.32</v>
      </c>
    </row>
    <row r="221" spans="3:8" s="22" customFormat="1" x14ac:dyDescent="0.3">
      <c r="C221" s="22" t="s">
        <v>225</v>
      </c>
      <c r="F221" s="22">
        <v>1.5</v>
      </c>
      <c r="G221" s="22">
        <v>1.86</v>
      </c>
      <c r="H221" s="44">
        <v>1.78</v>
      </c>
    </row>
    <row r="222" spans="3:8" s="22" customFormat="1" x14ac:dyDescent="0.3">
      <c r="C222" s="22" t="s">
        <v>225</v>
      </c>
      <c r="F222" s="22">
        <v>2</v>
      </c>
      <c r="G222" s="22">
        <v>2.29</v>
      </c>
      <c r="H222" s="44">
        <v>2.21</v>
      </c>
    </row>
    <row r="223" spans="3:8" s="22" customFormat="1" x14ac:dyDescent="0.3">
      <c r="C223" s="22" t="s">
        <v>225</v>
      </c>
      <c r="F223" s="22">
        <v>2.5</v>
      </c>
      <c r="G223" s="22">
        <v>2.71</v>
      </c>
      <c r="H223" s="44">
        <v>2.63</v>
      </c>
    </row>
    <row r="224" spans="3:8" s="22" customFormat="1" x14ac:dyDescent="0.3">
      <c r="C224" s="22" t="s">
        <v>225</v>
      </c>
      <c r="F224" s="22">
        <v>3</v>
      </c>
      <c r="G224" s="22">
        <v>3.11</v>
      </c>
      <c r="H224" s="44">
        <v>3.02</v>
      </c>
    </row>
    <row r="225" spans="3:8" s="22" customFormat="1" x14ac:dyDescent="0.3">
      <c r="C225" s="22" t="s">
        <v>225</v>
      </c>
      <c r="F225" s="22">
        <v>3.5</v>
      </c>
      <c r="G225" s="22">
        <v>3.31</v>
      </c>
      <c r="H225" s="44">
        <v>3.22</v>
      </c>
    </row>
    <row r="226" spans="3:8" s="22" customFormat="1" x14ac:dyDescent="0.3">
      <c r="C226" s="22" t="s">
        <v>225</v>
      </c>
      <c r="F226" s="22">
        <v>4</v>
      </c>
      <c r="G226" s="22">
        <v>3.66</v>
      </c>
      <c r="H226" s="44">
        <v>3.57</v>
      </c>
    </row>
    <row r="227" spans="3:8" s="22" customFormat="1" x14ac:dyDescent="0.3">
      <c r="C227" s="22" t="s">
        <v>225</v>
      </c>
      <c r="F227" s="22">
        <v>4.5</v>
      </c>
      <c r="G227" s="22">
        <v>3.98</v>
      </c>
      <c r="H227" s="44">
        <v>3.9</v>
      </c>
    </row>
    <row r="228" spans="3:8" s="22" customFormat="1" x14ac:dyDescent="0.3">
      <c r="C228" s="22" t="s">
        <v>225</v>
      </c>
      <c r="F228" s="22">
        <v>5</v>
      </c>
      <c r="G228" s="22">
        <v>4.32</v>
      </c>
      <c r="H228" s="44">
        <v>4.22</v>
      </c>
    </row>
    <row r="229" spans="3:8" s="22" customFormat="1" x14ac:dyDescent="0.3">
      <c r="C229" s="22" t="s">
        <v>225</v>
      </c>
      <c r="F229" s="22">
        <v>5.5</v>
      </c>
      <c r="G229" s="22">
        <v>4.63</v>
      </c>
      <c r="H229" s="44">
        <v>4.53</v>
      </c>
    </row>
    <row r="230" spans="3:8" s="22" customFormat="1" x14ac:dyDescent="0.3">
      <c r="C230" s="22" t="s">
        <v>225</v>
      </c>
      <c r="F230" s="22">
        <v>6</v>
      </c>
      <c r="G230" s="22">
        <v>4.93</v>
      </c>
      <c r="H230" s="44">
        <v>4.82</v>
      </c>
    </row>
    <row r="231" spans="3:8" s="22" customFormat="1" x14ac:dyDescent="0.3"/>
    <row r="232" spans="3:8" s="22" customFormat="1" x14ac:dyDescent="0.3">
      <c r="F232" s="22" t="s">
        <v>440</v>
      </c>
    </row>
    <row r="233" spans="3:8" s="22" customFormat="1" x14ac:dyDescent="0.3">
      <c r="F233" s="22" t="s">
        <v>441</v>
      </c>
    </row>
    <row r="234" spans="3:8" s="22" customFormat="1" ht="55.5" customHeight="1" x14ac:dyDescent="0.3">
      <c r="F234" s="44" t="s">
        <v>437</v>
      </c>
      <c r="G234" s="44" t="s">
        <v>442</v>
      </c>
      <c r="H234" s="44" t="s">
        <v>443</v>
      </c>
    </row>
    <row r="235" spans="3:8" s="22" customFormat="1" x14ac:dyDescent="0.3">
      <c r="F235" s="22">
        <v>1</v>
      </c>
      <c r="G235" s="22">
        <v>1.5</v>
      </c>
      <c r="H235" s="44">
        <v>0.13</v>
      </c>
    </row>
    <row r="236" spans="3:8" s="22" customFormat="1" x14ac:dyDescent="0.3">
      <c r="F236" s="22">
        <v>1.5</v>
      </c>
      <c r="G236" s="22">
        <v>2.5</v>
      </c>
      <c r="H236" s="44">
        <v>0.3</v>
      </c>
    </row>
    <row r="237" spans="3:8" s="22" customFormat="1" x14ac:dyDescent="0.3">
      <c r="F237" s="22">
        <v>2</v>
      </c>
      <c r="G237" s="22">
        <v>3.5</v>
      </c>
      <c r="H237" s="44">
        <v>0.3</v>
      </c>
    </row>
    <row r="238" spans="3:8" s="22" customFormat="1" x14ac:dyDescent="0.3">
      <c r="F238" s="22">
        <v>2.5</v>
      </c>
      <c r="G238" s="22">
        <v>5</v>
      </c>
      <c r="H238" s="44">
        <v>0.4</v>
      </c>
    </row>
    <row r="239" spans="3:8" s="22" customFormat="1" x14ac:dyDescent="0.3">
      <c r="F239" s="22">
        <v>3</v>
      </c>
      <c r="G239" s="22">
        <v>6</v>
      </c>
      <c r="H239" s="44">
        <v>0.6</v>
      </c>
    </row>
    <row r="240" spans="3:8" s="22" customFormat="1" x14ac:dyDescent="0.3">
      <c r="F240" s="22">
        <v>3.5</v>
      </c>
      <c r="G240" s="32" t="s">
        <v>321</v>
      </c>
      <c r="H240" s="44">
        <v>0.6</v>
      </c>
    </row>
    <row r="241" spans="6:21" s="22" customFormat="1" x14ac:dyDescent="0.3">
      <c r="F241" s="22">
        <v>4</v>
      </c>
      <c r="G241" s="32" t="s">
        <v>321</v>
      </c>
      <c r="H241" s="44">
        <v>0.6</v>
      </c>
    </row>
    <row r="242" spans="6:21" s="22" customFormat="1" x14ac:dyDescent="0.3">
      <c r="F242" s="22">
        <v>4.5</v>
      </c>
      <c r="G242" s="32" t="s">
        <v>321</v>
      </c>
      <c r="H242" s="44">
        <v>0.6</v>
      </c>
    </row>
    <row r="243" spans="6:21" s="22" customFormat="1" x14ac:dyDescent="0.3">
      <c r="F243" s="22">
        <v>5</v>
      </c>
      <c r="G243" s="32" t="s">
        <v>321</v>
      </c>
      <c r="H243" s="44">
        <v>0.6</v>
      </c>
    </row>
    <row r="244" spans="6:21" s="22" customFormat="1" x14ac:dyDescent="0.3">
      <c r="F244" s="22">
        <v>5.5</v>
      </c>
      <c r="G244" s="32" t="s">
        <v>321</v>
      </c>
      <c r="H244" s="44">
        <v>0.6</v>
      </c>
    </row>
    <row r="245" spans="6:21" s="22" customFormat="1" x14ac:dyDescent="0.3">
      <c r="F245" s="22">
        <v>6</v>
      </c>
      <c r="G245" s="32" t="s">
        <v>321</v>
      </c>
      <c r="H245" s="44">
        <v>0.6</v>
      </c>
    </row>
    <row r="246" spans="6:21" s="22" customFormat="1" x14ac:dyDescent="0.3"/>
    <row r="247" spans="6:21" s="22" customFormat="1" x14ac:dyDescent="0.3">
      <c r="F247" s="22" t="s">
        <v>444</v>
      </c>
    </row>
    <row r="248" spans="6:21" s="22" customFormat="1" x14ac:dyDescent="0.3">
      <c r="F248" s="22" t="s">
        <v>159</v>
      </c>
    </row>
    <row r="249" spans="6:21" s="22" customFormat="1" x14ac:dyDescent="0.3">
      <c r="F249" s="22" t="s">
        <v>445</v>
      </c>
      <c r="G249" s="44" t="s">
        <v>159</v>
      </c>
    </row>
    <row r="250" spans="6:21" s="22" customFormat="1" x14ac:dyDescent="0.3">
      <c r="F250" s="723">
        <v>1</v>
      </c>
      <c r="G250" s="22" t="s">
        <v>201</v>
      </c>
    </row>
    <row r="251" spans="6:21" s="22" customFormat="1" x14ac:dyDescent="0.3">
      <c r="F251" s="723" t="s">
        <v>446</v>
      </c>
      <c r="G251" s="22" t="s">
        <v>201</v>
      </c>
    </row>
    <row r="252" spans="6:21" s="22" customFormat="1" x14ac:dyDescent="0.3">
      <c r="F252" s="723" t="s">
        <v>447</v>
      </c>
      <c r="G252" s="22" t="s">
        <v>448</v>
      </c>
    </row>
    <row r="253" spans="6:21" s="22" customFormat="1" x14ac:dyDescent="0.3">
      <c r="F253" s="723">
        <v>3</v>
      </c>
      <c r="G253" s="22" t="s">
        <v>448</v>
      </c>
    </row>
    <row r="254" spans="6:21" s="22" customFormat="1" x14ac:dyDescent="0.3">
      <c r="F254" s="723">
        <v>4</v>
      </c>
      <c r="G254" s="22" t="s">
        <v>202</v>
      </c>
    </row>
    <row r="255" spans="6:21" s="22" customFormat="1" x14ac:dyDescent="0.3">
      <c r="F255" s="723">
        <v>5</v>
      </c>
      <c r="G255" s="22" t="s">
        <v>202</v>
      </c>
    </row>
    <row r="256" spans="6:21" s="22" customFormat="1" x14ac:dyDescent="0.3">
      <c r="F256" s="723">
        <v>6</v>
      </c>
      <c r="G256" s="22" t="s">
        <v>202</v>
      </c>
      <c r="I256" s="22" t="s">
        <v>449</v>
      </c>
      <c r="R256" s="767" t="s">
        <v>289</v>
      </c>
      <c r="S256" s="746"/>
      <c r="T256" s="767" t="s">
        <v>290</v>
      </c>
      <c r="U256" s="746"/>
    </row>
    <row r="257" spans="6:26" s="22" customFormat="1" x14ac:dyDescent="0.3">
      <c r="F257" s="723">
        <v>7</v>
      </c>
      <c r="G257" s="22" t="s">
        <v>202</v>
      </c>
      <c r="R257" s="22" t="s">
        <v>450</v>
      </c>
      <c r="S257" s="22" t="s">
        <v>451</v>
      </c>
      <c r="T257" s="22" t="s">
        <v>450</v>
      </c>
      <c r="U257" s="22" t="s">
        <v>451</v>
      </c>
    </row>
    <row r="258" spans="6:26" s="22" customFormat="1" x14ac:dyDescent="0.3">
      <c r="F258" s="723">
        <v>8</v>
      </c>
      <c r="G258" s="22" t="s">
        <v>202</v>
      </c>
      <c r="R258" s="22" t="e">
        <f>MATCH('13.2 Building Fabric'!$S$29,D_Building_Fabric!$F$264:$F$270,0)</f>
        <v>#N/A</v>
      </c>
      <c r="S258" s="22" t="e" cm="1">
        <f t="array" ref="S258">INDEX(_xlfn.ANCHORARRAY(U262),MATCH(TRUE,LEN(_xlfn.ANCHORARRAY(U262))&gt;0,))</f>
        <v>#N/A</v>
      </c>
      <c r="T258" s="22" t="e">
        <f>MATCH('13.2 Building Fabric'!$S$30,D_Building_Fabric!$F$264:$F$270,0)</f>
        <v>#N/A</v>
      </c>
      <c r="U258" s="22" t="e" cm="1">
        <f t="array" ref="U258">INDEX(_xlfn.ANCHORARRAY(V262),MATCH(TRUE,LEN(_xlfn.ANCHORARRAY(V262))&gt;0,))</f>
        <v>#N/A</v>
      </c>
    </row>
    <row r="259" spans="6:26" s="22" customFormat="1" x14ac:dyDescent="0.3"/>
    <row r="260" spans="6:26" s="22" customFormat="1" x14ac:dyDescent="0.3">
      <c r="F260" s="22" t="s">
        <v>452</v>
      </c>
      <c r="Z260" s="32"/>
    </row>
    <row r="261" spans="6:26" s="22" customFormat="1" x14ac:dyDescent="0.3">
      <c r="F261" s="22" t="s">
        <v>453</v>
      </c>
      <c r="R261" s="1288"/>
      <c r="S261" s="1288" t="s">
        <v>454</v>
      </c>
      <c r="T261" s="1288" t="s">
        <v>455</v>
      </c>
      <c r="U261" s="1288" t="s">
        <v>289</v>
      </c>
      <c r="V261" s="1288" t="s">
        <v>290</v>
      </c>
    </row>
    <row r="262" spans="6:26" s="22" customFormat="1" x14ac:dyDescent="0.3">
      <c r="F262" s="742" t="s">
        <v>456</v>
      </c>
      <c r="G262" s="708" t="s">
        <v>457</v>
      </c>
      <c r="H262" s="742"/>
      <c r="I262" s="742"/>
      <c r="J262" s="742"/>
      <c r="K262" s="742"/>
      <c r="L262" s="742"/>
      <c r="M262" s="742"/>
      <c r="N262" s="742"/>
      <c r="O262" s="742"/>
      <c r="P262" s="742"/>
      <c r="R262" s="1288">
        <v>1</v>
      </c>
      <c r="S262" s="1288">
        <v>-1000</v>
      </c>
      <c r="T262" s="1288">
        <v>1</v>
      </c>
      <c r="U262" s="1288" t="e" cm="1">
        <f t="array" ref="U262:U271">IF(OR('13.2 Building Fabric'!$L29="Metal-framed pitched roof with horizontal ceiling",'13.2 Building Fabric'!$L29="Metal-framed flat, skillion or cathedral roof"),IF((ROUNDUP($S$11,1)&gt;=$S$262:$S$271)*(ROUNDUP($S$11,1)&lt;=$T$262:$T$271),$R$262:$R$271,""),IF((ROUNDUP($S$12,1)&gt;=$S$262:$S$271)*(ROUNDUP($S$12,1)&lt;=$T$262:$T$271),$R$262:$R$271,""))</f>
        <v>#N/A</v>
      </c>
      <c r="V262" s="1288" t="e" cm="1">
        <f t="array" ref="V262:V271">IF(OR('13.2 Building Fabric'!$L30="Metal-framed pitched roof with horizontal ceiling",'13.2 Building Fabric'!$L30="Metal-framed flat, skillion or cathedral roof"),IF((ROUNDUP($T$11,1)&gt;=$S$262:$S$271)*(ROUNDUP($T$11,1)&lt;=$T$262:$T$271),$R$262:$R$271,""),IF((ROUNDUP($T$12,1)&gt;=$S$262:$S$271)*(ROUNDUP($T$12,1)&lt;=$T$262:$T$271),$R$262:$R$271,""))</f>
        <v>#N/A</v>
      </c>
    </row>
    <row r="263" spans="6:26" s="22" customFormat="1" x14ac:dyDescent="0.3">
      <c r="F263" s="742"/>
      <c r="G263" s="742">
        <v>1</v>
      </c>
      <c r="H263" s="742">
        <v>1.5</v>
      </c>
      <c r="I263" s="742">
        <v>2</v>
      </c>
      <c r="J263" s="742">
        <v>2.5</v>
      </c>
      <c r="K263" s="742">
        <v>3</v>
      </c>
      <c r="L263" s="742">
        <v>3.5</v>
      </c>
      <c r="M263" s="742">
        <v>4</v>
      </c>
      <c r="N263" s="742">
        <v>4.5</v>
      </c>
      <c r="O263" s="742">
        <v>5</v>
      </c>
      <c r="P263" s="742">
        <v>5.5</v>
      </c>
      <c r="R263" s="1288">
        <v>2</v>
      </c>
      <c r="S263" s="1288">
        <v>1.1000000000000001</v>
      </c>
      <c r="T263" s="1288">
        <v>1.5</v>
      </c>
      <c r="U263" s="1288" t="e">
        <v>#N/A</v>
      </c>
      <c r="V263" s="1288" t="e">
        <v>#N/A</v>
      </c>
    </row>
    <row r="264" spans="6:26" s="22" customFormat="1" x14ac:dyDescent="0.3">
      <c r="F264" s="22" t="s">
        <v>458</v>
      </c>
      <c r="G264" s="743">
        <v>1</v>
      </c>
      <c r="H264" s="743">
        <v>1.6</v>
      </c>
      <c r="I264" s="743">
        <v>2.2000000000000002</v>
      </c>
      <c r="J264" s="743">
        <v>2.8</v>
      </c>
      <c r="K264" s="743">
        <v>3.4</v>
      </c>
      <c r="L264" s="743">
        <v>4</v>
      </c>
      <c r="M264" s="743">
        <v>4.7</v>
      </c>
      <c r="N264" s="743">
        <v>5.4</v>
      </c>
      <c r="O264" s="743">
        <v>6.2</v>
      </c>
      <c r="P264" s="743">
        <v>6.9</v>
      </c>
      <c r="R264" s="1288">
        <v>3</v>
      </c>
      <c r="S264" s="1288">
        <v>1.6</v>
      </c>
      <c r="T264" s="1288">
        <v>2</v>
      </c>
      <c r="U264" s="1288" t="e">
        <v>#N/A</v>
      </c>
      <c r="V264" s="1288" t="e">
        <v>#N/A</v>
      </c>
    </row>
    <row r="265" spans="6:26" s="22" customFormat="1" x14ac:dyDescent="0.3">
      <c r="F265" s="22" t="s">
        <v>459</v>
      </c>
      <c r="G265" s="743">
        <v>1.1000000000000001</v>
      </c>
      <c r="H265" s="743">
        <v>1.7</v>
      </c>
      <c r="I265" s="743">
        <v>2.2999999999999998</v>
      </c>
      <c r="J265" s="743">
        <v>2.9</v>
      </c>
      <c r="K265" s="743">
        <v>3.6</v>
      </c>
      <c r="L265" s="743">
        <v>4.4000000000000004</v>
      </c>
      <c r="M265" s="743">
        <v>5.2</v>
      </c>
      <c r="N265" s="743">
        <v>6.1</v>
      </c>
      <c r="O265" s="743">
        <v>7</v>
      </c>
      <c r="P265" s="743" t="s">
        <v>321</v>
      </c>
      <c r="R265" s="1288">
        <v>4</v>
      </c>
      <c r="S265" s="1288">
        <v>2.1</v>
      </c>
      <c r="T265" s="1288">
        <v>2.5</v>
      </c>
      <c r="U265" s="1288" t="e">
        <v>#N/A</v>
      </c>
      <c r="V265" s="1288" t="e">
        <v>#N/A</v>
      </c>
    </row>
    <row r="266" spans="6:26" s="22" customFormat="1" x14ac:dyDescent="0.3">
      <c r="F266" s="22" t="s">
        <v>460</v>
      </c>
      <c r="G266" s="743">
        <v>1.1000000000000001</v>
      </c>
      <c r="H266" s="743">
        <v>1.7</v>
      </c>
      <c r="I266" s="743">
        <v>2.4</v>
      </c>
      <c r="J266" s="743">
        <v>3.1</v>
      </c>
      <c r="K266" s="743">
        <v>3.9</v>
      </c>
      <c r="L266" s="743">
        <v>4.8</v>
      </c>
      <c r="M266" s="743">
        <v>5.8</v>
      </c>
      <c r="N266" s="743">
        <v>6.8</v>
      </c>
      <c r="O266" s="743" t="s">
        <v>321</v>
      </c>
      <c r="P266" s="743" t="s">
        <v>321</v>
      </c>
      <c r="R266" s="1288">
        <v>5</v>
      </c>
      <c r="S266" s="1288">
        <v>2.6</v>
      </c>
      <c r="T266" s="1288">
        <v>3</v>
      </c>
      <c r="U266" s="1288" t="e">
        <v>#N/A</v>
      </c>
      <c r="V266" s="1288" t="e">
        <v>#N/A</v>
      </c>
    </row>
    <row r="267" spans="6:26" s="22" customFormat="1" x14ac:dyDescent="0.3">
      <c r="F267" s="22" t="s">
        <v>461</v>
      </c>
      <c r="G267" s="743">
        <v>1.1000000000000001</v>
      </c>
      <c r="H267" s="743">
        <v>1.8</v>
      </c>
      <c r="I267" s="743">
        <v>2.5</v>
      </c>
      <c r="J267" s="743">
        <v>3.3</v>
      </c>
      <c r="K267" s="743">
        <v>4.2</v>
      </c>
      <c r="L267" s="743">
        <v>5.3</v>
      </c>
      <c r="M267" s="743">
        <v>6.5</v>
      </c>
      <c r="N267" s="743" t="s">
        <v>321</v>
      </c>
      <c r="O267" s="743" t="s">
        <v>321</v>
      </c>
      <c r="P267" s="743" t="s">
        <v>321</v>
      </c>
      <c r="R267" s="1288">
        <v>6</v>
      </c>
      <c r="S267" s="1288">
        <v>3.1</v>
      </c>
      <c r="T267" s="1288">
        <v>3.5</v>
      </c>
      <c r="U267" s="1288" t="e">
        <v>#N/A</v>
      </c>
      <c r="V267" s="1288" t="e">
        <v>#N/A</v>
      </c>
    </row>
    <row r="268" spans="6:26" s="22" customFormat="1" x14ac:dyDescent="0.3">
      <c r="F268" s="22" t="s">
        <v>462</v>
      </c>
      <c r="G268" s="743">
        <v>1.2</v>
      </c>
      <c r="H268" s="743">
        <v>1.9</v>
      </c>
      <c r="I268" s="743">
        <v>2.6</v>
      </c>
      <c r="J268" s="743">
        <v>3.6</v>
      </c>
      <c r="K268" s="743">
        <v>4.5999999999999996</v>
      </c>
      <c r="L268" s="743">
        <v>5.9</v>
      </c>
      <c r="M268" s="743" t="s">
        <v>321</v>
      </c>
      <c r="N268" s="743" t="s">
        <v>321</v>
      </c>
      <c r="O268" s="743" t="s">
        <v>321</v>
      </c>
      <c r="P268" s="743" t="s">
        <v>321</v>
      </c>
      <c r="R268" s="1288">
        <v>7</v>
      </c>
      <c r="S268" s="1288">
        <v>3.6</v>
      </c>
      <c r="T268" s="1288">
        <v>4</v>
      </c>
      <c r="U268" s="1288" t="e">
        <v>#N/A</v>
      </c>
      <c r="V268" s="1288" t="e">
        <v>#N/A</v>
      </c>
    </row>
    <row r="269" spans="6:26" s="22" customFormat="1" x14ac:dyDescent="0.3">
      <c r="F269" s="22" t="s">
        <v>463</v>
      </c>
      <c r="G269" s="743">
        <v>1.2</v>
      </c>
      <c r="H269" s="743">
        <v>2</v>
      </c>
      <c r="I269" s="743">
        <v>3</v>
      </c>
      <c r="J269" s="743">
        <v>4.2</v>
      </c>
      <c r="K269" s="743">
        <v>5.7</v>
      </c>
      <c r="L269" s="743" t="s">
        <v>321</v>
      </c>
      <c r="M269" s="743" t="s">
        <v>321</v>
      </c>
      <c r="N269" s="743" t="s">
        <v>321</v>
      </c>
      <c r="O269" s="743" t="s">
        <v>321</v>
      </c>
      <c r="P269" s="743" t="s">
        <v>321</v>
      </c>
      <c r="R269" s="1288">
        <v>8</v>
      </c>
      <c r="S269" s="1288">
        <v>4.0999999999999996</v>
      </c>
      <c r="T269" s="1288">
        <v>4.5</v>
      </c>
      <c r="U269" s="1288" t="e">
        <v>#N/A</v>
      </c>
      <c r="V269" s="1288" t="e">
        <v>#N/A</v>
      </c>
    </row>
    <row r="270" spans="6:26" s="22" customFormat="1" x14ac:dyDescent="0.3">
      <c r="F270" s="22" t="s">
        <v>464</v>
      </c>
      <c r="G270" s="743">
        <v>1.3</v>
      </c>
      <c r="H270" s="743">
        <v>2.2000000000000002</v>
      </c>
      <c r="I270" s="743">
        <v>3.4</v>
      </c>
      <c r="J270" s="743">
        <v>5</v>
      </c>
      <c r="K270" s="743" t="s">
        <v>321</v>
      </c>
      <c r="L270" s="743" t="s">
        <v>321</v>
      </c>
      <c r="M270" s="743" t="s">
        <v>321</v>
      </c>
      <c r="N270" s="743" t="s">
        <v>321</v>
      </c>
      <c r="O270" s="743" t="s">
        <v>321</v>
      </c>
      <c r="P270" s="743" t="s">
        <v>321</v>
      </c>
      <c r="R270" s="1288">
        <v>9</v>
      </c>
      <c r="S270" s="1288">
        <v>4.5999999999999996</v>
      </c>
      <c r="T270" s="1288">
        <v>5</v>
      </c>
      <c r="U270" s="1288" t="e">
        <v>#N/A</v>
      </c>
      <c r="V270" s="1288" t="e">
        <v>#N/A</v>
      </c>
    </row>
    <row r="271" spans="6:26" s="22" customFormat="1" x14ac:dyDescent="0.3">
      <c r="R271" s="1288">
        <v>10</v>
      </c>
      <c r="S271" s="1288">
        <v>5.0999999999999996</v>
      </c>
      <c r="T271" s="1288">
        <v>1000</v>
      </c>
      <c r="U271" s="1288" t="e">
        <v>#N/A</v>
      </c>
      <c r="V271" s="1288" t="e">
        <v>#N/A</v>
      </c>
    </row>
    <row r="272" spans="6:26" s="22" customFormat="1" x14ac:dyDescent="0.3">
      <c r="F272" s="22" t="s">
        <v>465</v>
      </c>
    </row>
    <row r="273" spans="1:87" s="22" customFormat="1" x14ac:dyDescent="0.3">
      <c r="F273" s="22" t="s">
        <v>466</v>
      </c>
    </row>
    <row r="274" spans="1:87" s="22" customFormat="1" x14ac:dyDescent="0.3">
      <c r="A274" s="22" t="s">
        <v>232</v>
      </c>
      <c r="F274" s="44" t="s">
        <v>445</v>
      </c>
      <c r="G274" s="44" t="s">
        <v>306</v>
      </c>
      <c r="H274" s="44" t="s">
        <v>307</v>
      </c>
      <c r="I274" s="44" t="s">
        <v>308</v>
      </c>
      <c r="J274" s="44" t="s">
        <v>309</v>
      </c>
      <c r="K274" s="44" t="s">
        <v>310</v>
      </c>
      <c r="L274" s="44" t="s">
        <v>402</v>
      </c>
      <c r="M274" s="44" t="s">
        <v>403</v>
      </c>
      <c r="N274" s="44" t="s">
        <v>404</v>
      </c>
    </row>
    <row r="275" spans="1:87" s="22" customFormat="1" x14ac:dyDescent="0.3">
      <c r="A275" s="22" t="str">
        <f t="shared" ref="A275:A285" si="1">CONCATENATE(B275,C275,D275,E275)</f>
        <v>1Roofs constructed with insulated sandwich panelsSingle storey dwelling</v>
      </c>
      <c r="B275" s="22">
        <v>1</v>
      </c>
      <c r="C275" s="22" t="s">
        <v>232</v>
      </c>
      <c r="D275" s="22" t="s">
        <v>187</v>
      </c>
      <c r="F275" s="723" t="s">
        <v>467</v>
      </c>
      <c r="G275" s="32">
        <v>1.4</v>
      </c>
      <c r="H275" s="32">
        <v>3.31</v>
      </c>
      <c r="I275" s="32" t="s">
        <v>321</v>
      </c>
      <c r="J275" s="32" t="s">
        <v>321</v>
      </c>
      <c r="K275" s="32" t="s">
        <v>321</v>
      </c>
      <c r="L275" s="32" t="s">
        <v>321</v>
      </c>
      <c r="M275" s="32" t="s">
        <v>321</v>
      </c>
      <c r="N275" s="32" t="s">
        <v>321</v>
      </c>
    </row>
    <row r="276" spans="1:87" s="22" customFormat="1" x14ac:dyDescent="0.3">
      <c r="A276" s="22" t="str">
        <f t="shared" si="1"/>
        <v>1Roofs constructed with insulated sandwich panelsTwo storey dwelling</v>
      </c>
      <c r="B276" s="22">
        <v>1</v>
      </c>
      <c r="C276" s="22" t="s">
        <v>232</v>
      </c>
      <c r="D276" s="22" t="s">
        <v>22</v>
      </c>
      <c r="F276" s="723" t="s">
        <v>468</v>
      </c>
      <c r="G276" s="32">
        <v>1.86</v>
      </c>
      <c r="H276" s="32">
        <v>3.31</v>
      </c>
      <c r="I276" s="32">
        <v>4.32</v>
      </c>
      <c r="J276" s="32" t="s">
        <v>321</v>
      </c>
      <c r="K276" s="32" t="s">
        <v>321</v>
      </c>
      <c r="L276" s="32" t="s">
        <v>321</v>
      </c>
      <c r="M276" s="32" t="s">
        <v>321</v>
      </c>
      <c r="N276" s="32" t="s">
        <v>321</v>
      </c>
    </row>
    <row r="277" spans="1:87" s="22" customFormat="1" x14ac:dyDescent="0.3">
      <c r="A277" s="22" t="str">
        <f t="shared" si="1"/>
        <v>2Roofs constructed with insulated sandwich panelsDown</v>
      </c>
      <c r="B277" s="22">
        <v>2</v>
      </c>
      <c r="C277" s="22" t="s">
        <v>232</v>
      </c>
      <c r="E277" s="22" t="s">
        <v>201</v>
      </c>
      <c r="F277" s="723" t="s">
        <v>469</v>
      </c>
      <c r="G277" s="32">
        <v>3.11</v>
      </c>
      <c r="H277" s="32">
        <v>3.11</v>
      </c>
      <c r="I277" s="32">
        <v>3.31</v>
      </c>
      <c r="J277" s="32">
        <v>3.66</v>
      </c>
      <c r="K277" s="32">
        <v>3.66</v>
      </c>
      <c r="L277" s="32" t="s">
        <v>321</v>
      </c>
      <c r="M277" s="32" t="s">
        <v>321</v>
      </c>
      <c r="N277" s="32" t="s">
        <v>321</v>
      </c>
    </row>
    <row r="278" spans="1:87" s="22" customFormat="1" x14ac:dyDescent="0.3">
      <c r="A278" s="22" t="str">
        <f t="shared" si="1"/>
        <v>2Roofs constructed with insulated sandwich panelsUp</v>
      </c>
      <c r="B278" s="22">
        <v>2</v>
      </c>
      <c r="C278" s="22" t="s">
        <v>232</v>
      </c>
      <c r="E278" s="22" t="s">
        <v>202</v>
      </c>
      <c r="F278" s="723" t="s">
        <v>470</v>
      </c>
      <c r="G278" s="32">
        <v>3.02</v>
      </c>
      <c r="H278" s="32">
        <v>3.02</v>
      </c>
      <c r="I278" s="32">
        <v>3.22</v>
      </c>
      <c r="J278" s="32">
        <v>3.57</v>
      </c>
      <c r="K278" s="32">
        <v>3.57</v>
      </c>
      <c r="L278" s="32" t="s">
        <v>321</v>
      </c>
      <c r="M278" s="32" t="s">
        <v>321</v>
      </c>
      <c r="N278" s="32" t="s">
        <v>321</v>
      </c>
    </row>
    <row r="279" spans="1:87" s="22" customFormat="1" x14ac:dyDescent="0.3">
      <c r="A279" s="22" t="str">
        <f t="shared" si="1"/>
        <v>3Roofs constructed with insulated sandwich panelsDown</v>
      </c>
      <c r="B279" s="22">
        <v>3</v>
      </c>
      <c r="C279" s="22" t="s">
        <v>232</v>
      </c>
      <c r="E279" s="22" t="s">
        <v>201</v>
      </c>
      <c r="F279" s="723" t="s">
        <v>471</v>
      </c>
      <c r="G279" s="32">
        <v>3.31</v>
      </c>
      <c r="H279" s="32">
        <v>3.66</v>
      </c>
      <c r="I279" s="32">
        <v>4.32</v>
      </c>
      <c r="J279" s="32" t="s">
        <v>321</v>
      </c>
      <c r="K279" s="32" t="s">
        <v>321</v>
      </c>
      <c r="L279" s="32" t="s">
        <v>321</v>
      </c>
      <c r="M279" s="32" t="s">
        <v>321</v>
      </c>
      <c r="N279" s="32" t="s">
        <v>321</v>
      </c>
    </row>
    <row r="280" spans="1:87" s="22" customFormat="1" x14ac:dyDescent="0.3">
      <c r="A280" s="22" t="str">
        <f t="shared" si="1"/>
        <v>3Roofs constructed with insulated sandwich panelsUp</v>
      </c>
      <c r="B280" s="22">
        <v>3</v>
      </c>
      <c r="C280" s="22" t="s">
        <v>232</v>
      </c>
      <c r="E280" s="22" t="s">
        <v>202</v>
      </c>
      <c r="F280" s="723" t="s">
        <v>472</v>
      </c>
      <c r="G280" s="32">
        <v>3.22</v>
      </c>
      <c r="H280" s="32">
        <v>3.57</v>
      </c>
      <c r="I280" s="32">
        <v>4.22</v>
      </c>
      <c r="J280" s="32" t="s">
        <v>321</v>
      </c>
      <c r="K280" s="32" t="s">
        <v>321</v>
      </c>
      <c r="L280" s="32" t="s">
        <v>321</v>
      </c>
      <c r="M280" s="32" t="s">
        <v>321</v>
      </c>
      <c r="N280" s="32" t="s">
        <v>321</v>
      </c>
    </row>
    <row r="281" spans="1:87" s="22" customFormat="1" x14ac:dyDescent="0.3">
      <c r="A281" s="22" t="str">
        <f t="shared" si="1"/>
        <v>4Roofs constructed with insulated sandwich panelsUp</v>
      </c>
      <c r="B281" s="22">
        <v>4</v>
      </c>
      <c r="C281" s="22" t="s">
        <v>232</v>
      </c>
      <c r="E281" s="22" t="s">
        <v>202</v>
      </c>
      <c r="F281" s="723">
        <v>4</v>
      </c>
      <c r="G281" s="32">
        <v>3.22</v>
      </c>
      <c r="H281" s="32">
        <v>3.22</v>
      </c>
      <c r="I281" s="32">
        <v>3.22</v>
      </c>
      <c r="J281" s="32">
        <v>3.22</v>
      </c>
      <c r="K281" s="32">
        <v>3.22</v>
      </c>
      <c r="L281" s="32" t="s">
        <v>321</v>
      </c>
      <c r="M281" s="32" t="s">
        <v>321</v>
      </c>
      <c r="N281" s="32" t="s">
        <v>321</v>
      </c>
    </row>
    <row r="282" spans="1:87" s="22" customFormat="1" x14ac:dyDescent="0.3">
      <c r="A282" s="22" t="str">
        <f t="shared" si="1"/>
        <v>5Roofs constructed with insulated sandwich panelsUp</v>
      </c>
      <c r="B282" s="22">
        <v>5</v>
      </c>
      <c r="C282" s="22" t="s">
        <v>232</v>
      </c>
      <c r="E282" s="22" t="s">
        <v>202</v>
      </c>
      <c r="F282" s="723">
        <v>5</v>
      </c>
      <c r="G282" s="32">
        <v>3.02</v>
      </c>
      <c r="H282" s="32">
        <v>3.02</v>
      </c>
      <c r="I282" s="32">
        <v>3.02</v>
      </c>
      <c r="J282" s="32">
        <v>3.02</v>
      </c>
      <c r="K282" s="32">
        <v>3.02</v>
      </c>
      <c r="L282" s="32" t="s">
        <v>321</v>
      </c>
      <c r="M282" s="32" t="s">
        <v>321</v>
      </c>
      <c r="N282" s="32" t="s">
        <v>321</v>
      </c>
      <c r="AA282" s="22" t="s">
        <v>473</v>
      </c>
      <c r="AC282" s="22" t="e">
        <f ca="1">IF(OR(D_Building_Fabric!$AB291=D_Building_Fabric!$AA$347,D_Building_Fabric!$AB291=D_Building_Fabric!$AA$348),1,
IF('13.2 Building Fabric'!$C65="3Concrete block walls",COUNTIF(OFFSET(D_Building_Fabric!$AB$299,MATCH('13.2 Building Fabric'!$B65,D_Building_Fabric!$AA$300:$AA$354,0),,1,20),"?*"),COUNTIF(OFFSET(D_Building_Fabric!$AB$299,MATCH('13.2 Building Fabric'!$B65,D_Building_Fabric!$AA$300:$AA$354,0),,1,20),"?*")+1))</f>
        <v>#N/A</v>
      </c>
    </row>
    <row r="283" spans="1:87" s="22" customFormat="1" x14ac:dyDescent="0.3">
      <c r="A283" s="22" t="str">
        <f t="shared" si="1"/>
        <v>6Roofs constructed with insulated sandwich panelsUp</v>
      </c>
      <c r="B283" s="22">
        <v>6</v>
      </c>
      <c r="C283" s="22" t="s">
        <v>232</v>
      </c>
      <c r="E283" s="22" t="s">
        <v>202</v>
      </c>
      <c r="F283" s="723">
        <v>6</v>
      </c>
      <c r="G283" s="32">
        <v>3.57</v>
      </c>
      <c r="H283" s="32">
        <v>3.57</v>
      </c>
      <c r="I283" s="32">
        <v>3.57</v>
      </c>
      <c r="J283" s="32">
        <v>3.57</v>
      </c>
      <c r="K283" s="32">
        <v>3.57</v>
      </c>
      <c r="L283" s="32">
        <v>3.57</v>
      </c>
      <c r="M283" s="32">
        <v>3.57</v>
      </c>
      <c r="N283" s="32">
        <v>3.57</v>
      </c>
      <c r="AA283" s="22" t="s">
        <v>474</v>
      </c>
      <c r="AC283" s="22" t="e">
        <f ca="1">IF(OR(D_Building_Fabric!$AB292=D_Building_Fabric!$AA$347,D_Building_Fabric!$AB292=D_Building_Fabric!$AA$348),1,
IF('13.2 Building Fabric'!$C66="3Concrete block walls",COUNTIF(OFFSET(D_Building_Fabric!$AB$299,MATCH('13.2 Building Fabric'!$B66,D_Building_Fabric!$AA$300:$AA$354,0),,1,20),"?*"),COUNTIF(OFFSET(D_Building_Fabric!$AB$299,MATCH('13.2 Building Fabric'!$B66,D_Building_Fabric!$AA$300:$AA$354,0),,1,20),"?*")+1))</f>
        <v>#N/A</v>
      </c>
    </row>
    <row r="284" spans="1:87" s="22" customFormat="1" x14ac:dyDescent="0.3">
      <c r="A284" s="22" t="str">
        <f t="shared" si="1"/>
        <v>7Roofs constructed with insulated sandwich panelsUp</v>
      </c>
      <c r="B284" s="22">
        <v>7</v>
      </c>
      <c r="C284" s="22" t="s">
        <v>232</v>
      </c>
      <c r="E284" s="22" t="s">
        <v>202</v>
      </c>
      <c r="F284" s="744">
        <v>7</v>
      </c>
      <c r="G284" s="745">
        <v>4.22</v>
      </c>
      <c r="H284" s="745">
        <v>3.9</v>
      </c>
      <c r="I284" s="745">
        <v>3.9</v>
      </c>
      <c r="J284" s="745">
        <v>3.57</v>
      </c>
      <c r="K284" s="745">
        <v>3.57</v>
      </c>
      <c r="L284" s="745">
        <v>3.22</v>
      </c>
      <c r="M284" s="745">
        <v>3.22</v>
      </c>
      <c r="N284" s="745">
        <v>3.22</v>
      </c>
      <c r="AA284" s="22" t="s">
        <v>475</v>
      </c>
      <c r="AC284" s="22" t="e">
        <f ca="1">IF(OR(D_Building_Fabric!$AB293=D_Building_Fabric!$AA$347,D_Building_Fabric!$AB293=D_Building_Fabric!$AA$348),1,
IF('13.2 Building Fabric'!$C67="3Concrete block walls",COUNTIF(OFFSET(D_Building_Fabric!$AB$299,MATCH('13.2 Building Fabric'!$B67,D_Building_Fabric!$AA$300:$AA$354,0),,1,20),"?*"),COUNTIF(OFFSET(D_Building_Fabric!$AB$299,MATCH('13.2 Building Fabric'!$B67,D_Building_Fabric!$AA$300:$AA$354,0),,1,20),"?*")+1))</f>
        <v>#N/A</v>
      </c>
    </row>
    <row r="285" spans="1:87" s="22" customFormat="1" x14ac:dyDescent="0.3">
      <c r="A285" s="22" t="str">
        <f t="shared" si="1"/>
        <v>8Roofs constructed with insulated sandwich panelsUp</v>
      </c>
      <c r="B285" s="22">
        <v>8</v>
      </c>
      <c r="C285" s="22" t="s">
        <v>232</v>
      </c>
      <c r="E285" s="22" t="s">
        <v>202</v>
      </c>
      <c r="F285" s="723">
        <v>8</v>
      </c>
      <c r="G285" s="32">
        <v>3.9</v>
      </c>
      <c r="H285" s="32">
        <v>3.57</v>
      </c>
      <c r="I285" s="32">
        <v>3.57</v>
      </c>
      <c r="J285" s="32">
        <v>3.22</v>
      </c>
      <c r="K285" s="32">
        <v>3.22</v>
      </c>
      <c r="L285" s="32">
        <v>3.02</v>
      </c>
      <c r="M285" s="32">
        <v>3.02</v>
      </c>
      <c r="N285" s="32">
        <v>3.02</v>
      </c>
      <c r="AA285" s="22" t="s">
        <v>476</v>
      </c>
      <c r="AC285" s="22" t="e">
        <f ca="1">IF(OR(D_Building_Fabric!$AB294=D_Building_Fabric!$AA$347,D_Building_Fabric!$AB294=D_Building_Fabric!$AA$348),1,
IF('13.2 Building Fabric'!$C68="3Concrete block walls",COUNTIF(OFFSET(D_Building_Fabric!$AB$299,MATCH('13.2 Building Fabric'!$B68,D_Building_Fabric!$AA$300:$AA$354,0),,1,20),"?*"),COUNTIF(OFFSET(D_Building_Fabric!$AB$299,MATCH('13.2 Building Fabric'!$B68,D_Building_Fabric!$AA$300:$AA$354,0),,1,20),"?*")+1))</f>
        <v>#N/A</v>
      </c>
    </row>
    <row r="286" spans="1:87" s="22" customFormat="1" x14ac:dyDescent="0.3"/>
    <row r="287" spans="1:87" s="22" customFormat="1" x14ac:dyDescent="0.3"/>
    <row r="288" spans="1:87" s="22" customFormat="1" ht="23" x14ac:dyDescent="0.5">
      <c r="F288" s="741" t="s">
        <v>477</v>
      </c>
      <c r="G288" s="741" t="s">
        <v>478</v>
      </c>
      <c r="T288" s="741" t="s">
        <v>479</v>
      </c>
      <c r="AD288" s="767"/>
      <c r="AE288" s="746"/>
      <c r="AF288" s="746"/>
      <c r="AG288" s="746"/>
      <c r="AH288" s="746"/>
      <c r="AI288" s="746"/>
      <c r="AJ288" s="746"/>
      <c r="AK288" s="746"/>
      <c r="AL288" s="746"/>
      <c r="AM288" s="746"/>
      <c r="AN288" s="746"/>
      <c r="AO288" s="746"/>
      <c r="AP288" s="746"/>
      <c r="AQ288" s="746"/>
      <c r="AR288" s="767"/>
      <c r="AS288" s="767"/>
      <c r="AT288" s="746"/>
      <c r="AU288" s="746"/>
      <c r="AV288" s="746"/>
      <c r="AW288" s="746"/>
      <c r="AX288" s="746"/>
      <c r="AY288" s="746"/>
      <c r="AZ288" s="746"/>
      <c r="BA288" s="746"/>
      <c r="BB288" s="746"/>
      <c r="BC288" s="746"/>
      <c r="BD288" s="746"/>
      <c r="BE288" s="746"/>
      <c r="BG288" s="767"/>
      <c r="BH288" s="767"/>
      <c r="BI288" s="746"/>
      <c r="BJ288" s="746"/>
      <c r="BK288" s="746"/>
      <c r="BL288" s="746"/>
      <c r="BM288" s="746"/>
      <c r="BN288" s="746"/>
      <c r="BO288" s="746"/>
      <c r="BP288" s="746"/>
      <c r="BQ288" s="746"/>
      <c r="BR288" s="746"/>
      <c r="BS288" s="746"/>
      <c r="BT288" s="746"/>
      <c r="BV288" s="767"/>
      <c r="BW288" s="767"/>
      <c r="BX288" s="746"/>
      <c r="BY288" s="746"/>
      <c r="BZ288" s="746"/>
      <c r="CA288" s="746"/>
      <c r="CB288" s="746"/>
      <c r="CC288" s="746"/>
      <c r="CD288" s="746"/>
      <c r="CE288" s="746"/>
      <c r="CF288" s="746"/>
      <c r="CG288" s="746"/>
      <c r="CH288" s="746"/>
      <c r="CI288" s="746"/>
    </row>
    <row r="289" spans="1:82" s="22" customFormat="1" x14ac:dyDescent="0.3">
      <c r="F289" s="22" t="s">
        <v>480</v>
      </c>
      <c r="V289" s="767" t="s">
        <v>481</v>
      </c>
      <c r="W289" s="746"/>
      <c r="X289" s="746"/>
      <c r="Y289" s="746"/>
      <c r="AC289" s="767"/>
      <c r="AE289" s="747"/>
      <c r="AT289" s="747"/>
      <c r="BI289" s="747"/>
      <c r="BX289" s="747"/>
    </row>
    <row r="290" spans="1:82" s="22" customFormat="1" ht="28" x14ac:dyDescent="0.3">
      <c r="F290" s="22" t="s">
        <v>482</v>
      </c>
      <c r="G290" s="44" t="s">
        <v>483</v>
      </c>
      <c r="H290" s="44" t="s">
        <v>484</v>
      </c>
      <c r="Q290" s="22" t="s">
        <v>485</v>
      </c>
      <c r="R290" s="22" t="s">
        <v>486</v>
      </c>
      <c r="S290" s="22" t="s">
        <v>487</v>
      </c>
      <c r="T290" s="22" t="s">
        <v>488</v>
      </c>
      <c r="V290" s="22" t="s">
        <v>485</v>
      </c>
      <c r="W290" s="22" t="s">
        <v>486</v>
      </c>
      <c r="X290" s="22" t="s">
        <v>487</v>
      </c>
      <c r="Y290" s="22" t="s">
        <v>488</v>
      </c>
    </row>
    <row r="291" spans="1:82" s="22" customFormat="1" x14ac:dyDescent="0.3">
      <c r="F291" s="32" t="s">
        <v>285</v>
      </c>
      <c r="G291" s="32" t="s">
        <v>489</v>
      </c>
      <c r="H291" s="32" t="s">
        <v>490</v>
      </c>
      <c r="Q291" s="22" t="e">
        <f>IF(ISNUMBER(SEARCH("Metal",'13.2 Building Fabric'!$L65))=TRUE,
               IF(Q$293="X - not permitted, review inputs","X - not permitted, review inputs",IF(Q$293="Reflective","Reflective",
                     IF(Selection_Storeys="Two storey dwelling",IF(V$291="Not Required","Not Required",IF(ISNUMBER(V$291)=FALSE,V$291,V$291+
                  Q$294)),V$291))),Q$293)</f>
        <v>#N/A</v>
      </c>
      <c r="R291" s="22" t="e">
        <f>IF(ISNUMBER(SEARCH("Metal",'13.2 Building Fabric'!$L66))=TRUE,
               IF(R$293="X - not permitted, review inputs","X - not permitted, review inputs",IF(R$293="Reflective","Reflective",
                     IF(Selection_Storeys="Two storey dwelling",IF(W$291="Not Required","Not Required",IF(ISNUMBER(W$291)=FALSE,W$291,W$291+
                  R$294)),W$291))),R$293)</f>
        <v>#N/A</v>
      </c>
      <c r="S291" s="22" t="e">
        <f>IF(ISNUMBER(SEARCH("Metal",'13.2 Building Fabric'!$L67))=TRUE,
               IF(S$293="X - not permitted, review inputs","X - not permitted, review inputs",IF(S$293="Reflective","Reflective",
                     IF(Selection_Storeys="Two storey dwelling",IF(X$291="Not Required","Not Required",IF(ISNUMBER(X$291)=FALSE,X$291,X$291+
                  S$294)),X$291))),S$293)</f>
        <v>#N/A</v>
      </c>
      <c r="T291" s="22" t="e">
        <f>IF(ISNUMBER(SEARCH("Metal",'13.2 Building Fabric'!$L68))=TRUE,
               IF(T$293="X - not permitted, review inputs","X - not permitted, review inputs",IF(T$293="Reflective","Reflective",
                     IF(Selection_Storeys="Two storey dwelling",IF(Y$291="Not Required","Not Required",IF(ISNUMBER(Y$291)=FALSE,Y$291,Y$291+
                  T$294)),Y$291))),T$293)</f>
        <v>#N/A</v>
      </c>
      <c r="V291" s="22" t="e" cm="1">
        <f t="array" ref="V291">IF('13.2 Building Fabric'!$L65="Concrete block walls with internal lining fixed to a metal frame",
    IF('13.2 Building Fabric'!$P65=D_List!$H$21,IF(D_Building_Fabric!Q$293="X - not permitted, review inputs","X - not permitted, review inputs", IF(D_Building_Fabric!Q$293="Reflective","Reflective",IF(D_Building_Fabric!Q$293=0,0,
        INDEX(Concrete_block_walls_with_internal_lining_fixed_to_a_metal_frame_minimum_Total_R_Value_to_account_for_thermal_bridging190[Minimum Total R-Value to account for thermal bridging],
              MATCH(D_Building_Fabric!Q$293,Concrete_block_walls_with_internal_lining_fixed_to_a_metal_frame_minimum_Total_R_Value_to_account_for_thermal_bridging190[Wall insulation R-Value from Tables 13.2.5a and 13.2.5e],0))))),
 IF('13.2 Building Fabric'!$P65=D_List!$H$22,
     IF(D_Building_Fabric!Q$293="X - not permitted, review inputs","X - not permitted, review inputs", IF(D_Building_Fabric!Q$293="Reflective","Reflective",
        INDEX(D_Building_Fabric!$K$772:$K$778,
              MATCH(D_Building_Fabric!Q$293,
                   D_Building_Fabric!$J$772:$J$778,0)))),
  IF('13.2 Building Fabric'!$P65=D_List!$H$23,
    IF(D_Building_Fabric!Q$293="X - not permitted, review inputs","X - not permitted, review inputs", IF(D_Building_Fabric!Q$293="Reflective","Reflective",
           D_Building_Fabric!Q$293)
                ),NA()))),
IF(OR('13.2 Building Fabric'!$L65="Lightweight metal-framed walls",'13.2 Building Fabric'!$L65="Insulated sandwich panels with metal frame"),
        IF('13.2 Building Fabric'!$P65=D_List!$H$24,IF(D_Building_Fabric!Q$293="X - not permitted, review inputs","X - not permitted, review inputs",IF(D_Building_Fabric!Q$293="Reflective","Reflective",
          INDEX(Lightweight_metal_framed_walls_minimum_Total_R_Value_to_account_for_thermal_bridging191[Minimum Total R-Value to account for thermal bridging],
               MATCH(D_Building_Fabric!Q$293,Lightweight_metal_framed_walls_minimum_Total_R_Value_to_account_for_thermal_bridging191[Wall insulation R-Value required in accordance with 13.2.5(2)],0)))),
        IF('13.2 Building Fabric'!$P65=D_List!$H$25,IF(D_Building_Fabric!Q$293="X - not permitted, review inputs","X - not permitted, review inputs",IF(D_Building_Fabric!Q$293="Reflective","Reflective",
          INDEX(D_Building_Fabric!$L$781:$L$784,
               MATCH(1,(D_Building_Fabric!Q$293&gt;=D_Building_Fabric!$J$781:$J$784)*(D_Building_Fabric!Q$293&lt;=D_Building_Fabric!$K$781:$K$784),0)))),NA())),
IF('13.2 Building Fabric'!$L65="Masonry veneer metal-framed walls",
        IF('13.2 Building Fabric'!$P65=D_List!$H$26,IF(D_Building_Fabric!Q$293="X - not permitted, review inputs","X - not permitted, review inputs",
          INDEX(Masonry_veneer_metal_framed_walls_minimum_Total_R_Value_to_account_for_thermal_bridging192[Minimum Total R-Value to account for thermal bridging],
               MATCH(D_Building_Fabric!Q$293,Masonry_veneer_metal_framed_walls_minimum_Total_R_Value_to_account_for_thermal_bridging192[Wall insulation from Tables 13.2.5c, 13.2.5g, 13.2.5i, 13.2.5k and 13.2.5m],0))),
        IF('13.2 Building Fabric'!$P65=D_List!$H$27, IF(D_Building_Fabric!Q$293 ="X - not permitted, review inputs","X - not permitted, review inputs",
          Masonry_veneer_metal_framed_walls_thermal_bridging_mitigation195[Thermal bridging mitigation options]),NA())),NA()
)))</f>
        <v>#N/A</v>
      </c>
      <c r="W291" s="22" t="e" cm="1">
        <f t="array" ref="W291">IF('13.2 Building Fabric'!$L66="Concrete block walls with internal lining fixed to a metal frame",
    IF('13.2 Building Fabric'!$P66=D_List!$H$21,IF(D_Building_Fabric!R$293="X - not permitted, review inputs","X - not permitted, review inputs", IF(D_Building_Fabric!R$293="Reflective","Reflective",IF(D_Building_Fabric!R$293=0,0,
        INDEX(Concrete_block_walls_with_internal_lining_fixed_to_a_metal_frame_minimum_Total_R_Value_to_account_for_thermal_bridging190[Minimum Total R-Value to account for thermal bridging],
              MATCH(D_Building_Fabric!R$293,Concrete_block_walls_with_internal_lining_fixed_to_a_metal_frame_minimum_Total_R_Value_to_account_for_thermal_bridging190[Wall insulation R-Value from Tables 13.2.5a and 13.2.5e],0))))),
 IF('13.2 Building Fabric'!$P66=D_List!$H$22,
     IF(D_Building_Fabric!R$293="X - not permitted, review inputs","X - not permitted, review inputs", IF(D_Building_Fabric!R$293="Reflective","Reflective",
        INDEX(D_Building_Fabric!$K$772:$K$778,
              MATCH(D_Building_Fabric!R$293,
                   D_Building_Fabric!$J$772:$J$778,0)))),
  IF('13.2 Building Fabric'!$P66=D_List!$H$23,
    IF(D_Building_Fabric!R$293="X - not permitted, review inputs","X - not permitted, review inputs", IF(D_Building_Fabric!R$293="Reflective","Reflective",
        INDEX(D_Building_Fabric!$L$772:$L$778,
              MATCH(D_Building_Fabric!R$293,
                   D_Building_Fabric!$J$772:$J$778,0)))
    ),NA()))),
IF(OR('13.2 Building Fabric'!$L66="Lightweight metal-framed walls",'13.2 Building Fabric'!$L66="Insulated sandwich panels with metal frame"),
        IF('13.2 Building Fabric'!$P66=D_List!$H$24,IF(D_Building_Fabric!R$293="X - not permitted, review inputs","X - not permitted, review inputs",IF(D_Building_Fabric!R$293="Reflective","Reflective",
          INDEX(Lightweight_metal_framed_walls_minimum_Total_R_Value_to_account_for_thermal_bridging191[Minimum Total R-Value to account for thermal bridging],
               MATCH(D_Building_Fabric!R$293,Lightweight_metal_framed_walls_minimum_Total_R_Value_to_account_for_thermal_bridging191[Wall insulation R-Value required in accordance with 13.2.5(2)],0)))),
        IF('13.2 Building Fabric'!$P66=D_List!$H$25,IF(D_Building_Fabric!R$293="X - not permitted, review inputs","X - not permitted, review inputs",IF(D_Building_Fabric!R$293="Reflective","Reflective",
          INDEX(D_Building_Fabric!$L$781:$L$784,
               MATCH(1,(D_Building_Fabric!R$293&gt;=D_Building_Fabric!$J$781:$J$784)*(D_Building_Fabric!R$293&lt;=D_Building_Fabric!$K$781:$K$784),0)))),NA())),
IF('13.2 Building Fabric'!$L66="Masonry veneer metal-framed walls",
        IF('13.2 Building Fabric'!$P66=D_List!$H$26,IF(D_Building_Fabric!R$293="X - not permitted, review inputs","X - not permitted, review inputs",
          INDEX(Masonry_veneer_metal_framed_walls_minimum_Total_R_Value_to_account_for_thermal_bridging192[Minimum Total R-Value to account for thermal bridging],
               MATCH(D_Building_Fabric!R$293,Masonry_veneer_metal_framed_walls_minimum_Total_R_Value_to_account_for_thermal_bridging192[Wall insulation from Tables 13.2.5c, 13.2.5g, 13.2.5i, 13.2.5k and 13.2.5m],0))),
        IF('13.2 Building Fabric'!$P66=D_List!$H$27, IF(D_Building_Fabric!R$293 ="X - not permitted, review inputs","X - not permitted, review inputs",
          Masonry_veneer_metal_framed_walls_thermal_bridging_mitigation195[Thermal bridging mitigation options]),NA())),NA()
)))</f>
        <v>#N/A</v>
      </c>
      <c r="X291" s="22" t="e" cm="1">
        <f t="array" ref="X291">IF('13.2 Building Fabric'!$L67="Concrete block walls with internal lining fixed to a metal frame",
    IF('13.2 Building Fabric'!$P67=D_List!$H$21,IF(D_Building_Fabric!S$293="X - not permitted, review inputs","X - not permitted, review inputs", IF(D_Building_Fabric!S$293="Reflective","Reflective",IF(D_Building_Fabric!S$293=0,0,
        INDEX(Concrete_block_walls_with_internal_lining_fixed_to_a_metal_frame_minimum_Total_R_Value_to_account_for_thermal_bridging190[Minimum Total R-Value to account for thermal bridging],
              MATCH(D_Building_Fabric!S$293,Concrete_block_walls_with_internal_lining_fixed_to_a_metal_frame_minimum_Total_R_Value_to_account_for_thermal_bridging190[Wall insulation R-Value from Tables 13.2.5a and 13.2.5e],0))))),
 IF('13.2 Building Fabric'!$P67=D_List!$H$22,
     IF(D_Building_Fabric!S$293="X - not permitted, review inputs","X - not permitted, review inputs", IF(D_Building_Fabric!S$293="Reflective","Reflective",
        INDEX(D_Building_Fabric!$K$772:$K$778,
              MATCH(D_Building_Fabric!S$293,
                   D_Building_Fabric!$J$772:$J$778,0)))),
  IF('13.2 Building Fabric'!$P67=D_List!$H$23,
    IF(D_Building_Fabric!S$293="X - not permitted, review inputs","X - not permitted, review inputs", IF(D_Building_Fabric!S$293="Reflective","Reflective",
        INDEX(D_Building_Fabric!$L$772:$L$778,
              MATCH(D_Building_Fabric!S$293,
                   D_Building_Fabric!$J$772:$J$778,0)))
    ),NA()))),
IF(OR('13.2 Building Fabric'!$L67="Lightweight metal-framed walls",'13.2 Building Fabric'!$L67="Insulated sandwich panels with metal frame"),
        IF('13.2 Building Fabric'!$P67=D_List!$H$24,IF(D_Building_Fabric!S$293="X - not permitted, review inputs","X - not permitted, review inputs",IF(D_Building_Fabric!S$293="Reflective","Reflective",
          INDEX(Lightweight_metal_framed_walls_minimum_Total_R_Value_to_account_for_thermal_bridging191[Minimum Total R-Value to account for thermal bridging],
               MATCH(D_Building_Fabric!S$293,Lightweight_metal_framed_walls_minimum_Total_R_Value_to_account_for_thermal_bridging191[Wall insulation R-Value required in accordance with 13.2.5(2)],0)))),
        IF('13.2 Building Fabric'!$P67=D_List!$H$25,IF(D_Building_Fabric!S$293="X - not permitted, review inputs","X - not permitted, review inputs",IF(D_Building_Fabric!S$293="Reflective","Reflective",
          INDEX(D_Building_Fabric!$L$781:$L$784,
               MATCH(1,(D_Building_Fabric!S$293&gt;=D_Building_Fabric!$J$781:$J$784)*(D_Building_Fabric!S$293&lt;=D_Building_Fabric!$K$781:$K$784),0)))),NA())),
IF('13.2 Building Fabric'!$L67="Masonry veneer metal-framed walls",
        IF('13.2 Building Fabric'!$P67=D_List!$H$26,IF(D_Building_Fabric!S$293="X - not permitted, review inputs","X - not permitted, review inputs",
          INDEX(Masonry_veneer_metal_framed_walls_minimum_Total_R_Value_to_account_for_thermal_bridging192[Minimum Total R-Value to account for thermal bridging],
               MATCH(D_Building_Fabric!S$293,Masonry_veneer_metal_framed_walls_minimum_Total_R_Value_to_account_for_thermal_bridging192[Wall insulation from Tables 13.2.5c, 13.2.5g, 13.2.5i, 13.2.5k and 13.2.5m],0))),
        IF('13.2 Building Fabric'!$P67=D_List!$H$27, IF(D_Building_Fabric!S$293 ="X - not permitted, review inputs","X - not permitted, review inputs",
          Masonry_veneer_metal_framed_walls_thermal_bridging_mitigation195[Thermal bridging mitigation options]),NA())),NA()
)))</f>
        <v>#N/A</v>
      </c>
      <c r="Y291" s="22" t="e" cm="1">
        <f t="array" ref="Y291">IF('13.2 Building Fabric'!$L68="Concrete block walls with internal lining fixed to a metal frame",
    IF('13.2 Building Fabric'!$P68=D_List!$H$21,IF(D_Building_Fabric!T$293="X - not permitted, review inputs","X - not permitted, review inputs", IF(D_Building_Fabric!T$293="Reflective","Reflective",IF(D_Building_Fabric!T$293=0,0,
        INDEX(Concrete_block_walls_with_internal_lining_fixed_to_a_metal_frame_minimum_Total_R_Value_to_account_for_thermal_bridging190[Minimum Total R-Value to account for thermal bridging],
              MATCH(D_Building_Fabric!T$293,Concrete_block_walls_with_internal_lining_fixed_to_a_metal_frame_minimum_Total_R_Value_to_account_for_thermal_bridging190[Wall insulation R-Value from Tables 13.2.5a and 13.2.5e],0))))),
 IF('13.2 Building Fabric'!$P68=D_List!$H$22,
     IF(D_Building_Fabric!T$293="X - not permitted, review inputs","X - not permitted, review inputs", IF(D_Building_Fabric!T$293="Reflective","Reflective",
        INDEX(D_Building_Fabric!$K$772:$K$778,
              MATCH(D_Building_Fabric!T$293,
                   D_Building_Fabric!$J$772:$J$778,0)))),
  IF('13.2 Building Fabric'!$P68=D_List!$H$23,
    IF(D_Building_Fabric!T$293="X - not permitted, review inputs","X - not permitted, review inputs", IF(D_Building_Fabric!T$293="Reflective","Reflective",
        INDEX(D_Building_Fabric!$L$772:$L$778,
              MATCH(D_Building_Fabric!T$293,
                   D_Building_Fabric!$J$772:$J$778,0)))
    ),NA()))),
IF(OR('13.2 Building Fabric'!$L68="Lightweight metal-framed walls",'13.2 Building Fabric'!$L68="Insulated sandwich panels with metal frame"),
        IF('13.2 Building Fabric'!$P68=D_List!$H$24,IF(D_Building_Fabric!T$293="X - not permitted, review inputs","X - not permitted, review inputs",IF(D_Building_Fabric!T$293="Reflective","Reflective",
          INDEX(Lightweight_metal_framed_walls_minimum_Total_R_Value_to_account_for_thermal_bridging191[Minimum Total R-Value to account for thermal bridging],
               MATCH(D_Building_Fabric!T$293,Lightweight_metal_framed_walls_minimum_Total_R_Value_to_account_for_thermal_bridging191[Wall insulation R-Value required in accordance with 13.2.5(2)],0)))),
        IF('13.2 Building Fabric'!$P68=D_List!$H$25,IF(D_Building_Fabric!T$293="X - not permitted, review inputs","X - not permitted, review inputs",IF(D_Building_Fabric!T$293="Reflective","Reflective",
          INDEX(D_Building_Fabric!$L$781:$L$784,
               MATCH(1,(D_Building_Fabric!T$293&gt;=D_Building_Fabric!$J$781:$J$784)*(D_Building_Fabric!T$293&lt;=D_Building_Fabric!$K$781:$K$784),0)))),NA())),
IF('13.2 Building Fabric'!$L68="Masonry veneer metal-framed walls",
        IF('13.2 Building Fabric'!$P68=D_List!$H$26,IF(D_Building_Fabric!T$293="X - not permitted, review inputs","X - not permitted, review inputs",
          INDEX(Masonry_veneer_metal_framed_walls_minimum_Total_R_Value_to_account_for_thermal_bridging192[Minimum Total R-Value to account for thermal bridging],
               MATCH(D_Building_Fabric!T$293,Masonry_veneer_metal_framed_walls_minimum_Total_R_Value_to_account_for_thermal_bridging192[Wall insulation from Tables 13.2.5c, 13.2.5g, 13.2.5i, 13.2.5k and 13.2.5m],0))),
        IF('13.2 Building Fabric'!$P68=D_List!$H$27, IF(D_Building_Fabric!T$293 ="X - not permitted, review inputs","X - not permitted, review inputs",
          Masonry_veneer_metal_framed_walls_thermal_bridging_mitigation195[Thermal bridging mitigation options]),NA())),NA()
)))</f>
        <v>#N/A</v>
      </c>
      <c r="AA291" s="22" t="s">
        <v>491</v>
      </c>
      <c r="AB291" s="723" t="str">
        <f>'13.2 Building Fabric'!B65</f>
        <v>5</v>
      </c>
      <c r="AC291" s="22" t="e" cm="1">
        <f t="array" aca="1" ref="AC291" ca="1">OFFSET(D_Building_Fabric!$AB$299,MATCH('13.2 Building Fabric'!$B65,D_Building_Fabric!$AA$300:$AA$354,0),,,D_Building_Fabric!$AC282)</f>
        <v>#N/A</v>
      </c>
    </row>
    <row r="292" spans="1:82" s="22" customFormat="1" x14ac:dyDescent="0.3">
      <c r="F292" s="32" t="s">
        <v>286</v>
      </c>
      <c r="G292" s="32" t="s">
        <v>492</v>
      </c>
      <c r="H292" s="32" t="s">
        <v>493</v>
      </c>
      <c r="AA292" s="22" t="s">
        <v>494</v>
      </c>
      <c r="AB292" s="723" t="str">
        <f>'13.2 Building Fabric'!B66</f>
        <v>5</v>
      </c>
      <c r="AC292" s="22" t="e" cm="1">
        <f t="array" aca="1" ref="AC292" ca="1">OFFSET(D_Building_Fabric!$AB$299,MATCH('13.2 Building Fabric'!$B66,D_Building_Fabric!$AA$300:$AA$354,0),,,D_Building_Fabric!$AC283)</f>
        <v>#N/A</v>
      </c>
    </row>
    <row r="293" spans="1:82" s="22" customFormat="1" x14ac:dyDescent="0.3">
      <c r="F293" s="32" t="s">
        <v>287</v>
      </c>
      <c r="G293" s="32" t="s">
        <v>495</v>
      </c>
      <c r="H293" s="32" t="s">
        <v>496</v>
      </c>
      <c r="P293" s="719" t="s">
        <v>497</v>
      </c>
      <c r="Q293" s="22" t="e">
        <f>IF(
    Selection_Storeys="Two storey dwelling",
    IF(
        INDEX(D_Building_Fabric!Q$296:Q$310, MATCH('13.2 Building Fabric'!$C65,D_Building_Fabric!$P$296:$P$310, 0)) = "X - not permitted, review inputs",
        "X - not permitted, review inputs",
        IF(
            INDEX(D_Building_Fabric!Q$296:Q$310, MATCH('13.2 Building Fabric'!$C65,D_Building_Fabric!$P$296:$P$310, 0)) = "Reflective",
            "Reflective",
            IF(
                AND(
                    '13.2 Building Fabric'!$D65 = D_Building_Fabric!$P$326,
                    INDEX(D_Building_Fabric!Q$296:Q$310, MATCH('13.2 Building Fabric'!$C65,D_Building_Fabric!$P$296:$P$310, 0)) + D_Building_Fabric!Q$294 &gt; 1.44
                ),
                1.44,
                IF(
                    AND(
                        '13.2 Building Fabric'!$D65 = D_Building_Fabric!$P$329,
                      '13.2 Building Fabric'!$Q65="Yes",
                        INDEX(D_Building_Fabric!Q$296:Q$310, MATCH('13.2 Building Fabric'!$C65,D_Building_Fabric!$P$296:$P$310, 0))+ D_Building_Fabric!Q$294 &gt; 3.1
                    ),
                    3.1,
                    IF(
                        AND(
                            '13.2 Building Fabric'!$D65 = D_Building_Fabric!$P$329,
                          '13.2 Building Fabric'!$Q65="No",
                            INDEX(D_Building_Fabric!Q$296:Q$310, MATCH('13.2 Building Fabric'!$C65,D_Building_Fabric!$P$296:$P$310, 0))+ D_Building_Fabric!Q$294 &gt; 2.7
                        ),
                        2.7,
                        INDEX(D_Building_Fabric!Q$296:Q$310, MATCH('13.2 Building Fabric'!$C65,D_Building_Fabric!$P$296:$P$310, 0))
                    )
                )
            )
        )
    ),
    INDEX(D_Building_Fabric!Q$296:Q$310, MATCH('13.2 Building Fabric'!$C65,D_Building_Fabric!$P$296:$P$310, 0))
)</f>
        <v>#N/A</v>
      </c>
      <c r="R293" s="22" t="e">
        <f>IF(
    Selection_Storeys="Two storey dwelling",
    IF(
        INDEX(D_Building_Fabric!R$296:R$310, MATCH('13.2 Building Fabric'!$C66,D_Building_Fabric!$P$296:$P$310, 0)) = "X - not permitted, review inputs",
        "X - not permitted, review inputs",
        IF(
            INDEX(D_Building_Fabric!R$296:R$310, MATCH('13.2 Building Fabric'!$C66,D_Building_Fabric!$P$296:$P$310, 0)) = "Reflective",
            "Reflective",
            IF(
                AND(
                    '13.2 Building Fabric'!$D66 = D_Building_Fabric!$P$326,
                    INDEX(D_Building_Fabric!R$296:R$310, MATCH('13.2 Building Fabric'!$C66,D_Building_Fabric!$P$296:$P$310, 0)) + D_Building_Fabric!R$294 &gt; 1.44
                ),
                1.44,
                IF(
                    AND(
                        '13.2 Building Fabric'!$D66 = D_Building_Fabric!$P$329,
                      '13.2 Building Fabric'!$Q66="Yes",
                        INDEX(D_Building_Fabric!R$296:R$310, MATCH('13.2 Building Fabric'!$C66,D_Building_Fabric!$P$296:$P$310, 0))+ D_Building_Fabric!R$294 &gt; 3.1
                    ),
                    3.1,
                    IF(
                        AND(
                            '13.2 Building Fabric'!$D66 = D_Building_Fabric!$P$329,
                          '13.2 Building Fabric'!$Q66="No",
                            INDEX(D_Building_Fabric!R$296:R$310, MATCH('13.2 Building Fabric'!$C66,D_Building_Fabric!$P$296:$P$310, 0))+ D_Building_Fabric!R$294 &gt; 2.7
                        ),
                        2.7,
                        INDEX(D_Building_Fabric!R$296:R$310, MATCH('13.2 Building Fabric'!$C66,D_Building_Fabric!$P$296:$P$310, 0))
                    )
                )
            )
        )
    ),
    INDEX(D_Building_Fabric!R$296:R$310, MATCH('13.2 Building Fabric'!$C66,D_Building_Fabric!$P$296:$P$310, 0))
)</f>
        <v>#N/A</v>
      </c>
      <c r="S293" s="22" t="e">
        <f>IF(
    Selection_Storeys="Two storey dwelling",
    IF(
        INDEX(D_Building_Fabric!S$296:S$310, MATCH('13.2 Building Fabric'!$C67,D_Building_Fabric!$P$296:$P$310, 0)) = "X - not permitted, review inputs",
        "X - not permitted, review inputs",
        IF(
            INDEX(D_Building_Fabric!S$296:S$310, MATCH('13.2 Building Fabric'!$C67,D_Building_Fabric!$P$296:$P$310, 0)) = "Reflective",
            "Reflective",
            IF(
                AND(
                    '13.2 Building Fabric'!$D67 = D_Building_Fabric!$P$326,
                    INDEX(D_Building_Fabric!S$296:S$310, MATCH('13.2 Building Fabric'!$C67,D_Building_Fabric!$P$296:$P$310, 0)) + D_Building_Fabric!S$294 &gt; 1.44
                ),
                1.44,
                IF(
                    AND(
                        '13.2 Building Fabric'!$D67 = D_Building_Fabric!$P$329,
                      '13.2 Building Fabric'!$Q67="Yes",
                        INDEX(D_Building_Fabric!S$296:S$310, MATCH('13.2 Building Fabric'!$C67,D_Building_Fabric!$P$296:$P$310, 0))+ D_Building_Fabric!S$294 &gt; 3.1
                    ),
                    3.1,
                    IF(
                        AND(
                            '13.2 Building Fabric'!$D67 = D_Building_Fabric!$P$329,
                          '13.2 Building Fabric'!$Q67="No",
                            INDEX(D_Building_Fabric!S$296:S$310, MATCH('13.2 Building Fabric'!$C67,D_Building_Fabric!$P$296:$P$310, 0))+ D_Building_Fabric!S$294 &gt; 2.7
                        ),
                        2.7,
                        INDEX(D_Building_Fabric!S$296:S$310, MATCH('13.2 Building Fabric'!$C67,D_Building_Fabric!$P$296:$P$310, 0))
                    )
                )
            )
        )
    ),
    INDEX(D_Building_Fabric!S$296:S$310, MATCH('13.2 Building Fabric'!$C67,D_Building_Fabric!$P$296:$P$310, 0))
)</f>
        <v>#N/A</v>
      </c>
      <c r="T293" s="22" t="e">
        <f>IF(
    Selection_Storeys="Two storey dwelling",
    IF(
        INDEX(D_Building_Fabric!T$296:T$310, MATCH('13.2 Building Fabric'!$C68,D_Building_Fabric!$P$296:$P$310, 0)) = "X - not permitted, review inputs",
        "X - not permitted, review inputs",
        IF(
            INDEX(D_Building_Fabric!T$296:T$310, MATCH('13.2 Building Fabric'!$C68,D_Building_Fabric!$P$296:$P$310, 0)) = "Reflective",
            "Reflective",
            IF(
                AND(
                    '13.2 Building Fabric'!$D68 = D_Building_Fabric!$P$326,
                    INDEX(D_Building_Fabric!T$296:T$310, MATCH('13.2 Building Fabric'!$C68,D_Building_Fabric!$P$296:$P$310, 0)) + D_Building_Fabric!T$294 &gt; 1.44
                ),
                1.44,
                IF(
                    AND(
                        '13.2 Building Fabric'!$D68 = D_Building_Fabric!$P$329,
                      '13.2 Building Fabric'!$Q68="Yes",
                        INDEX(D_Building_Fabric!T$296:T$310, MATCH('13.2 Building Fabric'!$C68,D_Building_Fabric!$P$296:$P$310, 0))+ D_Building_Fabric!T$294 &gt; 3.1
                    ),
                    3.1,
                    IF(
                        AND(
                            '13.2 Building Fabric'!$D68 = D_Building_Fabric!$P$329,
                          '13.2 Building Fabric'!$Q68="No",
                            INDEX(D_Building_Fabric!T$296:T$310, MATCH('13.2 Building Fabric'!$C68,D_Building_Fabric!$P$296:$P$310, 0))+ D_Building_Fabric!T$294 &gt; 2.7
                        ),
                        2.7,
                        INDEX(D_Building_Fabric!T$296:T$310, MATCH('13.2 Building Fabric'!$C68,D_Building_Fabric!$P$296:$P$310, 0))
                    )
                )
            )
        )
    ),
    INDEX(D_Building_Fabric!T$296:T$310, MATCH('13.2 Building Fabric'!$C68,D_Building_Fabric!$P$296:$P$310, 0))
)</f>
        <v>#N/A</v>
      </c>
      <c r="AA293" s="22" t="s">
        <v>498</v>
      </c>
      <c r="AB293" s="723" t="str">
        <f>'13.2 Building Fabric'!B67</f>
        <v>5</v>
      </c>
      <c r="AC293" s="22" t="e" cm="1">
        <f t="array" aca="1" ref="AC293" ca="1">OFFSET(D_Building_Fabric!$AB$299,MATCH('13.2 Building Fabric'!$B67,D_Building_Fabric!$AA$300:$AA$354,0),,,D_Building_Fabric!$AC284)</f>
        <v>#N/A</v>
      </c>
    </row>
    <row r="294" spans="1:82" s="22" customFormat="1" x14ac:dyDescent="0.3">
      <c r="P294" s="719" t="s">
        <v>499</v>
      </c>
      <c r="Q294" s="22" t="e">
        <f>IF(OR('13.2 Building Fabric'!$D65=$P$318,'13.2 Building Fabric'!$D65=$P$322,'13.2 Building Fabric'!$D65=$P$324,'13.2 Building Fabric'!$D65=$P$326,'13.2 Building Fabric'!$D65=$P$328),0.25,
IF(OR('13.2 Building Fabric'!$D65=$P$321,'13.2 Building Fabric'!$D65=$P$323,'13.2 Building Fabric'!$D65=$P$325,'13.2 Building Fabric'!$D65=$P$327),0.5,
IF('13.2 Building Fabric'!$O65=D_Building_Fabric!$S$313,INDEX(D_Building_Fabric!$R$315:$R$329,MATCH('13.2 Building Fabric'!$D65,D_Building_Fabric!$P$315:$P$329,0)),INDEX(D_Building_Fabric!$S$315:$S$329,MATCH('13.2 Building Fabric'!$D65,D_Building_Fabric!$P$315:$P$329,0)))))</f>
        <v>#N/A</v>
      </c>
      <c r="R294" s="22" t="e">
        <f>IF(OR('13.2 Building Fabric'!$D66=$P$318,'13.2 Building Fabric'!$D66=$P$322,'13.2 Building Fabric'!$D66=$P$324,'13.2 Building Fabric'!$D66=$P$326,'13.2 Building Fabric'!$D66=$P$328),0.25,
IF(OR('13.2 Building Fabric'!$D66=$P$321,'13.2 Building Fabric'!$D66=$P$323,'13.2 Building Fabric'!$D66=$P$325,'13.2 Building Fabric'!$D66=$P$327),0.5,
IF('13.2 Building Fabric'!$O66=D_Building_Fabric!$S$313,INDEX(D_Building_Fabric!$R$315:$R$329,MATCH('13.2 Building Fabric'!$D66,D_Building_Fabric!$P$315:$P$329,0)),INDEX(D_Building_Fabric!$S$315:$S$329,MATCH('13.2 Building Fabric'!$D66,D_Building_Fabric!$P$315:$P$329,0)))))</f>
        <v>#N/A</v>
      </c>
      <c r="S294" s="22" t="e">
        <f>IF(OR('13.2 Building Fabric'!$D67=$P$318,'13.2 Building Fabric'!$D67=$P$322,'13.2 Building Fabric'!$D67=$P$324,'13.2 Building Fabric'!$D67=$P$326,'13.2 Building Fabric'!$D67=$P$328),0.25,
IF(OR('13.2 Building Fabric'!$D67=$P$321,'13.2 Building Fabric'!$D67=$P$323,'13.2 Building Fabric'!$D67=$P$325,'13.2 Building Fabric'!$D67=$P$327),0.5,
IF('13.2 Building Fabric'!$O67=D_Building_Fabric!$S$313,INDEX(D_Building_Fabric!$R$315:$R$329,MATCH('13.2 Building Fabric'!$D67,D_Building_Fabric!$P$315:$P$329,0)),INDEX(D_Building_Fabric!$S$315:$S$329,MATCH('13.2 Building Fabric'!$D67,D_Building_Fabric!$P$315:$P$329,0)))))</f>
        <v>#N/A</v>
      </c>
      <c r="T294" s="22" t="e">
        <f>IF(OR('13.2 Building Fabric'!$D68=$P$318,'13.2 Building Fabric'!$D68=$P$322,'13.2 Building Fabric'!$D68=$P$324,'13.2 Building Fabric'!$D68=$P$326,'13.2 Building Fabric'!$D68=$P$328),0.25,
IF(OR('13.2 Building Fabric'!$D68=$P$321,'13.2 Building Fabric'!$D68=$P$323,'13.2 Building Fabric'!$D68=$P$325,'13.2 Building Fabric'!$D68=$P$327),0.5,
IF('13.2 Building Fabric'!$O68=D_Building_Fabric!$S$313,INDEX(D_Building_Fabric!$R$315:$R$329,MATCH('13.2 Building Fabric'!$D68,D_Building_Fabric!$P$315:$P$329,0)),INDEX(D_Building_Fabric!$S$315:$S$329,MATCH('13.2 Building Fabric'!$D68,D_Building_Fabric!$P$315:$P$329,0)))))</f>
        <v>#N/A</v>
      </c>
      <c r="AA294" s="22" t="s">
        <v>500</v>
      </c>
      <c r="AB294" s="723" t="str">
        <f>'13.2 Building Fabric'!B68</f>
        <v>5</v>
      </c>
      <c r="AC294" s="22" t="e" cm="1">
        <f t="array" aca="1" ref="AC294" ca="1">OFFSET(D_Building_Fabric!$AB$299,MATCH('13.2 Building Fabric'!$B68,D_Building_Fabric!$AA$300:$AA$354,0),,,D_Building_Fabric!$AC285)</f>
        <v>#N/A</v>
      </c>
      <c r="AW294" s="768"/>
      <c r="AX294" s="768"/>
      <c r="AY294" s="768"/>
      <c r="AZ294" s="768"/>
      <c r="BL294" s="768"/>
      <c r="BM294" s="768"/>
      <c r="BN294" s="768"/>
      <c r="BO294" s="768"/>
      <c r="CA294" s="768"/>
      <c r="CB294" s="768"/>
      <c r="CC294" s="768"/>
      <c r="CD294" s="768"/>
    </row>
    <row r="295" spans="1:82" s="22" customFormat="1" ht="23" x14ac:dyDescent="0.5">
      <c r="F295" s="741" t="s">
        <v>501</v>
      </c>
      <c r="G295" s="741" t="s">
        <v>479</v>
      </c>
      <c r="AH295" s="768"/>
      <c r="AI295" s="768"/>
      <c r="AJ295" s="768"/>
      <c r="AK295" s="768"/>
    </row>
    <row r="296" spans="1:82" s="22" customFormat="1" x14ac:dyDescent="0.3">
      <c r="P296" s="22" t="s">
        <v>502</v>
      </c>
      <c r="Q296" s="22" t="e">
        <f>INDEX($H$301:$K$345, MATCH('13.2 Building Fabric'!$E$65,D_Building_Fabric!$D$301:$D$345,0),MATCH('13.2 Building Fabric'!$O$65,D_Building_Fabric!$H$300:$K$300,0))</f>
        <v>#N/A</v>
      </c>
      <c r="R296" s="22" t="e">
        <f>INDEX($H$301:$K$345, MATCH('13.2 Building Fabric'!$E$66,D_Building_Fabric!$D$301:$D$345,0),MATCH('13.2 Building Fabric'!$O$66,D_Building_Fabric!$H$300:$K$300,0))</f>
        <v>#N/A</v>
      </c>
      <c r="S296" s="22" t="e">
        <f>INDEX($H$301:$K$345, MATCH('13.2 Building Fabric'!$E$67,D_Building_Fabric!$D$301:$D$345,0),MATCH('13.2 Building Fabric'!$O$67,D_Building_Fabric!$H$300:$K$300,0))</f>
        <v>#N/A</v>
      </c>
      <c r="T296" s="22" t="e">
        <f>INDEX($H$301:$K$345, MATCH('13.2 Building Fabric'!$E$68,D_Building_Fabric!$D$301:$D$345,0),MATCH('13.2 Building Fabric'!$O$68,D_Building_Fabric!$H$300:$K$300,0))</f>
        <v>#N/A</v>
      </c>
    </row>
    <row r="297" spans="1:82" s="22" customFormat="1" x14ac:dyDescent="0.3">
      <c r="F297" s="22" t="s">
        <v>503</v>
      </c>
      <c r="P297" s="22" t="s">
        <v>504</v>
      </c>
      <c r="Q297" s="22" t="e">
        <f>INDEX($H$351:$K$395, MATCH('13.2 Building Fabric'!$E$65,D_Building_Fabric!$D$351:$D$395,0),MATCH('13.2 Building Fabric'!$O$65,D_Building_Fabric!$H$350:$K$350,0))</f>
        <v>#N/A</v>
      </c>
      <c r="R297" s="22" t="e">
        <f>INDEX($H$351:$K$395, MATCH('13.2 Building Fabric'!$E$66,D_Building_Fabric!$D$351:$D$395,0),MATCH('13.2 Building Fabric'!$O$66,D_Building_Fabric!$H$350:$K$350,0))</f>
        <v>#N/A</v>
      </c>
      <c r="S297" s="22" t="e">
        <f>INDEX($H$351:$K$395, MATCH('13.2 Building Fabric'!$E$67,D_Building_Fabric!$D$351:$D$395,0),MATCH('13.2 Building Fabric'!$O$67,D_Building_Fabric!$H$350:$K$350,0))</f>
        <v>#N/A</v>
      </c>
      <c r="T297" s="22" t="e">
        <f>INDEX($H$351:$K$395, MATCH('13.2 Building Fabric'!$E$68,D_Building_Fabric!$D$351:$D$395,0),MATCH('13.2 Building Fabric'!$O$68,D_Building_Fabric!$H$350:$K$350,0))</f>
        <v>#N/A</v>
      </c>
    </row>
    <row r="298" spans="1:82" s="22" customFormat="1" x14ac:dyDescent="0.3">
      <c r="F298" s="22" t="s">
        <v>505</v>
      </c>
      <c r="P298" s="22" t="s">
        <v>506</v>
      </c>
      <c r="Q298" s="22" t="e">
        <f>INDEX($H$401:$K$424, MATCH('13.2 Building Fabric'!$E$65,$D$401:$D$424,0),MATCH('13.2 Building Fabric'!$O$65,$H$400:$K$400,0))</f>
        <v>#N/A</v>
      </c>
      <c r="R298" s="22" t="e">
        <f>INDEX($H$401:$K$424, MATCH('13.2 Building Fabric'!$E$66,$D$401:$D$424,0),MATCH('13.2 Building Fabric'!$O$66,$H$400:$K$400,0))</f>
        <v>#N/A</v>
      </c>
      <c r="S298" s="22" t="e">
        <f>INDEX($H$401:$K$424, MATCH('13.2 Building Fabric'!$E$67,$D$401:$D$424,0),MATCH('13.2 Building Fabric'!$O$67,$H$400:$K$400,0))</f>
        <v>#N/A</v>
      </c>
      <c r="T298" s="22" t="e">
        <f>INDEX($H$401:$K$424, MATCH('13.2 Building Fabric'!$E$68,$D$401:$D$424,0),MATCH('13.2 Building Fabric'!$O$68,$H$400:$K$400,0))</f>
        <v>#N/A</v>
      </c>
      <c r="AA298" s="719" t="s">
        <v>507</v>
      </c>
    </row>
    <row r="299" spans="1:82" s="22" customFormat="1" x14ac:dyDescent="0.3">
      <c r="A299" s="719" t="s">
        <v>298</v>
      </c>
      <c r="B299" s="719" t="s">
        <v>19</v>
      </c>
      <c r="C299" s="719" t="s">
        <v>508</v>
      </c>
      <c r="D299" s="719" t="s">
        <v>509</v>
      </c>
      <c r="F299" s="742" t="s">
        <v>234</v>
      </c>
      <c r="G299" s="708" t="s">
        <v>140</v>
      </c>
      <c r="H299" s="742" t="s">
        <v>510</v>
      </c>
      <c r="I299" s="742"/>
      <c r="J299" s="742"/>
      <c r="K299" s="742"/>
      <c r="P299" s="22" t="s">
        <v>511</v>
      </c>
      <c r="Q299" s="22" t="e">
        <f>INDEX($H$430:$K$453, MATCH('13.2 Building Fabric'!$E$65,$D$430:$D$453,0),MATCH('13.2 Building Fabric'!$O$65,$H$429:$K$429,0))</f>
        <v>#N/A</v>
      </c>
      <c r="R299" s="22" t="e">
        <f>INDEX($H$430:$K$453, MATCH('13.2 Building Fabric'!$E$66,$D$430:$D$453,0),MATCH('13.2 Building Fabric'!$O$66,$H$429:$K$429,0))</f>
        <v>#N/A</v>
      </c>
      <c r="S299" s="22" t="e">
        <f>INDEX($H$430:$K$453, MATCH('13.2 Building Fabric'!$E$67,$D$430:$D$453,0),MATCH('13.2 Building Fabric'!$O$67,$H$429:$K$429,0))</f>
        <v>#N/A</v>
      </c>
      <c r="T299" s="22" t="e">
        <f>INDEX($H$430:$K$453, MATCH('13.2 Building Fabric'!$E$68,$D$430:$D$453,0),MATCH('13.2 Building Fabric'!$O$68,$H$429:$K$429,0))</f>
        <v>#N/A</v>
      </c>
      <c r="AB299" s="22">
        <v>1</v>
      </c>
      <c r="AC299" s="22">
        <v>2</v>
      </c>
      <c r="AD299" s="22">
        <v>3</v>
      </c>
      <c r="AE299" s="22">
        <v>4</v>
      </c>
      <c r="AF299" s="22">
        <v>5</v>
      </c>
      <c r="AG299" s="22">
        <v>6</v>
      </c>
      <c r="AH299" s="22">
        <v>7</v>
      </c>
      <c r="AI299" s="22">
        <v>8</v>
      </c>
      <c r="AJ299" s="22">
        <v>9</v>
      </c>
      <c r="AK299" s="22">
        <v>10</v>
      </c>
    </row>
    <row r="300" spans="1:82" s="22" customFormat="1" x14ac:dyDescent="0.3">
      <c r="A300" s="22" t="str">
        <f>E301</f>
        <v>1Concrete block walls</v>
      </c>
      <c r="F300" s="742"/>
      <c r="G300" s="742"/>
      <c r="H300" s="742" t="s">
        <v>512</v>
      </c>
      <c r="I300" s="742" t="s">
        <v>513</v>
      </c>
      <c r="J300" s="742" t="s">
        <v>514</v>
      </c>
      <c r="K300" s="742" t="s">
        <v>515</v>
      </c>
      <c r="P300" s="22" t="s">
        <v>516</v>
      </c>
      <c r="Q300" s="34" cm="1">
        <f t="array" ref="Q300">Concrete_block_wall_minimum_insulation_R_Value_climate_zone_3112[[R-Value]:[R-Value]]</f>
        <v>1.5</v>
      </c>
      <c r="R300" s="34" cm="1">
        <f t="array" ref="R300">Concrete_block_wall_minimum_insulation_R_Value_climate_zone_3112[[R-Value]:[R-Value]]</f>
        <v>1.5</v>
      </c>
      <c r="S300" s="34" cm="1">
        <f t="array" ref="S300">Concrete_block_wall_minimum_insulation_R_Value_climate_zone_3112[[R-Value]:[R-Value]]</f>
        <v>1.5</v>
      </c>
      <c r="T300" s="34" cm="1">
        <f t="array" ref="T300">Concrete_block_wall_minimum_insulation_R_Value_climate_zone_3112[[R-Value]:[R-Value]]</f>
        <v>1.5</v>
      </c>
      <c r="Z300" s="22">
        <f t="shared" ref="Z300:Z331" si="2">COUNTIF($A$301:$A$738,AA300)</f>
        <v>9</v>
      </c>
      <c r="AA300" s="22" t="s">
        <v>517</v>
      </c>
      <c r="AB300" s="22" cm="1">
        <f t="array" ref="AB300">IF(COLUMNS($AB$299:AB$299)&lt;=$Z300,INDEX($G:$G,_xlfn.AGGREGATE(15,3,($A$301:$A$738=$AA300)/($A$301:$A$738=$AA300)*ROW($A$301:$A$738),COLUMNS($AB$299:AB$299))),"")</f>
        <v>0</v>
      </c>
      <c r="AC300" s="22" t="str" cm="1">
        <f t="array" ref="AC300">IF(COLUMNS($AB$299:AC$299)&lt;=$Z300,INDEX($G:$G,_xlfn.AGGREGATE(15,3,($A$301:$A$738=$AA300)/($A$301:$A$738=$AA300)*ROW($A$301:$A$738),COLUMNS($AB$299:AC$299))),"")</f>
        <v>&gt; 0 to ≤ 300</v>
      </c>
      <c r="AD300" s="22" t="str" cm="1">
        <f t="array" ref="AD300">IF(COLUMNS($AB$299:AD$299)&lt;=$Z300,INDEX($G:$G,_xlfn.AGGREGATE(15,3,($A$301:$A$738=$AA300)/($A$301:$A$738=$AA300)*ROW($A$301:$A$738),COLUMNS($AB$299:AD$299))),"")</f>
        <v>&gt; 300 to ≤ 450</v>
      </c>
      <c r="AE300" s="22" t="str" cm="1">
        <f t="array" ref="AE300">IF(COLUMNS($AB$299:AE$299)&lt;=$Z300,INDEX($G:$G,_xlfn.AGGREGATE(15,3,($A$301:$A$738=$AA300)/($A$301:$A$738=$AA300)*ROW($A$301:$A$738),COLUMNS($AB$299:AE$299))),"")</f>
        <v>&gt; 450 to ≤ 600</v>
      </c>
      <c r="AF300" s="22" t="str" cm="1">
        <f t="array" ref="AF300">IF(COLUMNS($AB$299:AF$299)&lt;=$Z300,INDEX($G:$G,_xlfn.AGGREGATE(15,3,($A$301:$A$738=$AA300)/($A$301:$A$738=$AA300)*ROW($A$301:$A$738),COLUMNS($AB$299:AF$299))),"")</f>
        <v>&gt; 600 to ≤ 900</v>
      </c>
      <c r="AG300" s="22" t="str" cm="1">
        <f t="array" ref="AG300">IF(COLUMNS($AB$299:AG$299)&lt;=$Z300,INDEX($G:$G,_xlfn.AGGREGATE(15,3,($A$301:$A$738=$AA300)/($A$301:$A$738=$AA300)*ROW($A$301:$A$738),COLUMNS($AB$299:AG$299))),"")</f>
        <v>&gt; 900 to ≤ 1200</v>
      </c>
      <c r="AH300" s="22" t="str" cm="1">
        <f t="array" ref="AH300">IF(COLUMNS($AB$299:AH$299)&lt;=$Z300,INDEX($G:$G,_xlfn.AGGREGATE(15,3,($A$301:$A$738=$AA300)/($A$301:$A$738=$AA300)*ROW($A$301:$A$738),COLUMNS($AB$299:AH$299))),"")</f>
        <v>&gt; 1200 to ≤ 1500</v>
      </c>
      <c r="AI300" s="22" t="str" cm="1">
        <f t="array" ref="AI300">IF(COLUMNS($AB$299:AI$299)&lt;=$Z300,INDEX($G:$G,_xlfn.AGGREGATE(15,3,($A$301:$A$738=$AA300)/($A$301:$A$738=$AA300)*ROW($A$301:$A$738),COLUMNS($AB$299:AI$299))),"")</f>
        <v>&gt; 1500 to ≤ 1800</v>
      </c>
      <c r="AJ300" s="22" t="str" cm="1">
        <f t="array" ref="AJ300">IF(COLUMNS($AB$299:AJ$299)&lt;=$Z300,INDEX($G:$G,_xlfn.AGGREGATE(15,3,($A$301:$A$738=$AA300)/($A$301:$A$738=$AA300)*ROW($A$301:$A$738),COLUMNS($AB$299:AJ$299))),"")</f>
        <v>&gt; 1800 to ≤ 2400</v>
      </c>
      <c r="AK300" s="22" t="str" cm="1">
        <f t="array" ref="AK300">IF(COLUMNS($AB$299:AK$299)&lt;=$Z300,INDEX($G:$G,_xlfn.AGGREGATE(15,3,($A$301:$A$345=$AA300)/($A$301:$A$345=$AA300)*ROW($A$301:$A$345),COLUMNS($AB$299:AK$299))),"")</f>
        <v/>
      </c>
      <c r="AL300" s="22" t="str" cm="1">
        <f t="array" ref="AL300">IF(COLUMNS($AB$299:AL$299)&lt;=$Z300,INDEX($G:$G,_xlfn.AGGREGATE(15,3,($A$301:$A$345=$AA300)/($A$301:$A$345=$AA300)*ROW($A$301:$A$345),COLUMNS($AB$299:AL$299))),"")</f>
        <v/>
      </c>
    </row>
    <row r="301" spans="1:82" s="22" customFormat="1" x14ac:dyDescent="0.3">
      <c r="A301" s="22" t="str">
        <f>CONCATENATE(B301,C301,Concrete_block_walls_minimum_insulation_R_Value_climate_zone_1108[[#This Row],[Column1]])</f>
        <v>1Concrete block walls≤ 0.3</v>
      </c>
      <c r="B301" s="22">
        <v>1</v>
      </c>
      <c r="C301" s="22" t="s">
        <v>191</v>
      </c>
      <c r="D301" s="22" t="str">
        <f>CONCATENATE(B301,C301,Concrete_block_walls_minimum_insulation_R_Value_climate_zone_1108[[#This Row],[Column1]],Concrete_block_walls_minimum_insulation_R_Value_climate_zone_1108[[#This Row],[Column4]])</f>
        <v>1Concrete block walls≤ 0.30</v>
      </c>
      <c r="E301" s="22" t="str">
        <f>CONCATENATE(B301,C301)</f>
        <v>1Concrete block walls</v>
      </c>
      <c r="F301" s="32" t="s">
        <v>518</v>
      </c>
      <c r="G301" s="32">
        <v>0</v>
      </c>
      <c r="H301" s="32" t="s">
        <v>321</v>
      </c>
      <c r="I301" s="32" t="s">
        <v>321</v>
      </c>
      <c r="J301" s="32" t="s">
        <v>321</v>
      </c>
      <c r="K301" s="32" t="s">
        <v>321</v>
      </c>
      <c r="P301" s="22" t="s">
        <v>519</v>
      </c>
      <c r="Q301" s="22" t="e">
        <f>INDEX($H$464:$K$508, MATCH('13.2 Building Fabric'!$E$65,$D$464:$D$508,0),MATCH('13.2 Building Fabric'!$O$65,$H$463:$K$463,0))</f>
        <v>#N/A</v>
      </c>
      <c r="R301" s="22" t="e">
        <f>INDEX($H$464:$K$508, MATCH('13.2 Building Fabric'!$E$66,$D$464:$D$508,0),MATCH('13.2 Building Fabric'!$O$66,$H$463:$K$463,0))</f>
        <v>#N/A</v>
      </c>
      <c r="S301" s="22" t="e">
        <f>INDEX($H$464:$K$508, MATCH('13.2 Building Fabric'!$E$67,$D$464:$D$508,0),MATCH('13.2 Building Fabric'!$O$67,$H$463:$K$463,0))</f>
        <v>#N/A</v>
      </c>
      <c r="T301" s="22" t="e">
        <f>INDEX($H$464:$K$508, MATCH('13.2 Building Fabric'!$E$68,$D$464:$D$508,0),MATCH('13.2 Building Fabric'!$O$68,$H$463:$K$463,0))</f>
        <v>#N/A</v>
      </c>
      <c r="Z301" s="22">
        <f t="shared" si="2"/>
        <v>9</v>
      </c>
      <c r="AA301" s="22" t="s">
        <v>520</v>
      </c>
      <c r="AB301" s="22" cm="1">
        <f t="array" ref="AB301">IF(COLUMNS($AB$299:AB$299)&lt;=$Z301,INDEX($G:$G,_xlfn.AGGREGATE(15,3,($A$301:$A$738=$AA301)/($A$301:$A$738=$AA301)*ROW($A$301:$A$738),COLUMNS($AB$299:AB$299))),"")</f>
        <v>0</v>
      </c>
      <c r="AC301" s="22" t="str" cm="1">
        <f t="array" ref="AC301">IF(COLUMNS($AB$299:AC$299)&lt;=$Z301,INDEX($G:$G,_xlfn.AGGREGATE(15,3,($A$301:$A$738=$AA301)/($A$301:$A$738=$AA301)*ROW($A$301:$A$738),COLUMNS($AB$299:AC$299))),"")</f>
        <v>&gt; 0 to ≤ 300</v>
      </c>
      <c r="AD301" s="22" t="str" cm="1">
        <f t="array" ref="AD301">IF(COLUMNS($AB$299:AD$299)&lt;=$Z301,INDEX($G:$G,_xlfn.AGGREGATE(15,3,($A$301:$A$738=$AA301)/($A$301:$A$738=$AA301)*ROW($A$301:$A$738),COLUMNS($AB$299:AD$299))),"")</f>
        <v>&gt; 300 to ≤ 450</v>
      </c>
      <c r="AE301" s="22" t="str" cm="1">
        <f t="array" ref="AE301">IF(COLUMNS($AB$299:AE$299)&lt;=$Z301,INDEX($G:$G,_xlfn.AGGREGATE(15,3,($A$301:$A$738=$AA301)/($A$301:$A$738=$AA301)*ROW($A$301:$A$738),COLUMNS($AB$299:AE$299))),"")</f>
        <v>&gt; 450 to ≤ 600</v>
      </c>
      <c r="AF301" s="22" t="str" cm="1">
        <f t="array" ref="AF301">IF(COLUMNS($AB$299:AF$299)&lt;=$Z301,INDEX($G:$G,_xlfn.AGGREGATE(15,3,($A$301:$A$738=$AA301)/($A$301:$A$738=$AA301)*ROW($A$301:$A$738),COLUMNS($AB$299:AF$299))),"")</f>
        <v>&gt; 600 to ≤ 900</v>
      </c>
      <c r="AG301" s="22" t="str" cm="1">
        <f t="array" ref="AG301">IF(COLUMNS($AB$299:AG$299)&lt;=$Z301,INDEX($G:$G,_xlfn.AGGREGATE(15,3,($A$301:$A$738=$AA301)/($A$301:$A$738=$AA301)*ROW($A$301:$A$738),COLUMNS($AB$299:AG$299))),"")</f>
        <v>&gt; 900 to ≤ 1200</v>
      </c>
      <c r="AH301" s="22" t="str" cm="1">
        <f t="array" ref="AH301">IF(COLUMNS($AB$299:AH$299)&lt;=$Z301,INDEX($G:$G,_xlfn.AGGREGATE(15,3,($A$301:$A$738=$AA301)/($A$301:$A$738=$AA301)*ROW($A$301:$A$738),COLUMNS($AB$299:AH$299))),"")</f>
        <v>&gt; 1200 to ≤ 1500</v>
      </c>
      <c r="AI301" s="22" t="str" cm="1">
        <f t="array" ref="AI301">IF(COLUMNS($AB$299:AI$299)&lt;=$Z301,INDEX($G:$G,_xlfn.AGGREGATE(15,3,($A$301:$A$738=$AA301)/($A$301:$A$738=$AA301)*ROW($A$301:$A$738),COLUMNS($AB$299:AI$299))),"")</f>
        <v>&gt; 1500 to ≤ 1800</v>
      </c>
      <c r="AJ301" s="22" t="str" cm="1">
        <f t="array" ref="AJ301">IF(COLUMNS($AB$299:AJ$299)&lt;=$Z301,INDEX($G:$G,_xlfn.AGGREGATE(15,3,($A$301:$A$738=$AA301)/($A$301:$A$738=$AA301)*ROW($A$301:$A$738),COLUMNS($AB$299:AJ$299))),"")</f>
        <v>&gt; 1800 to ≤ 2400</v>
      </c>
      <c r="AK301" s="22" t="str" cm="1">
        <f t="array" ref="AK301">IF(COLUMNS($AB$299:AK$299)&lt;=$Z301,INDEX($G:$G,_xlfn.AGGREGATE(15,3,($A$301:$A$345=$AA301)/($A$301:$A$345=$AA301)*ROW($A$301:$A$345),COLUMNS($AB$299:AK$299))),"")</f>
        <v/>
      </c>
      <c r="AL301" s="22" t="str" cm="1">
        <f t="array" ref="AL301">IF(COLUMNS($AB$299:AL$299)&lt;=$Z301,INDEX($G:$G,_xlfn.AGGREGATE(15,3,($A$301:$A$345=$AA301)/($A$301:$A$345=$AA301)*ROW($A$301:$A$345),COLUMNS($AB$299:AL$299))),"")</f>
        <v/>
      </c>
    </row>
    <row r="302" spans="1:82" s="22" customFormat="1" x14ac:dyDescent="0.3">
      <c r="A302" s="22" t="str">
        <f>CONCATENATE(B302,C302,Concrete_block_walls_minimum_insulation_R_Value_climate_zone_1108[[#This Row],[Column1]])</f>
        <v>1Concrete block walls≤ 0.3</v>
      </c>
      <c r="B302" s="22">
        <v>1</v>
      </c>
      <c r="C302" s="22" t="s">
        <v>191</v>
      </c>
      <c r="D302" s="22" t="str">
        <f>CONCATENATE(B302,C302,Concrete_block_walls_minimum_insulation_R_Value_climate_zone_1108[[#This Row],[Column1]],Concrete_block_walls_minimum_insulation_R_Value_climate_zone_1108[[#This Row],[Column4]])</f>
        <v>1Concrete block walls≤ 0.3&gt; 0 to ≤ 300</v>
      </c>
      <c r="E302" s="22" t="str">
        <f t="shared" ref="E302:E365" si="3">CONCATENATE(B302,C302)</f>
        <v>1Concrete block walls</v>
      </c>
      <c r="F302" s="32" t="s">
        <v>518</v>
      </c>
      <c r="G302" s="32" t="s">
        <v>521</v>
      </c>
      <c r="H302" s="32" t="s">
        <v>522</v>
      </c>
      <c r="I302" s="32" t="s">
        <v>321</v>
      </c>
      <c r="J302" s="32" t="s">
        <v>321</v>
      </c>
      <c r="K302" s="32" t="s">
        <v>321</v>
      </c>
      <c r="P302" s="22" t="s">
        <v>523</v>
      </c>
      <c r="Q302" s="22" t="e">
        <f>INDEX($H$514:$K$534, MATCH('13.2 Building Fabric'!$E$65,$D$514:$D$534,0),MATCH('13.2 Building Fabric'!$O$65,$H$513:$K$513,0))</f>
        <v>#N/A</v>
      </c>
      <c r="R302" s="22" t="e">
        <f>INDEX($H$514:$K$534, MATCH('13.2 Building Fabric'!$E$66,$D$514:$D$534,0),MATCH('13.2 Building Fabric'!$O$66,$H$513:$K$513,0))</f>
        <v>#N/A</v>
      </c>
      <c r="S302" s="22" t="e">
        <f>INDEX($H$514:$K$534, MATCH('13.2 Building Fabric'!$E$67,$D$514:$D$534,0),MATCH('13.2 Building Fabric'!$O$67,$H$513:$K$513,0))</f>
        <v>#N/A</v>
      </c>
      <c r="T302" s="22" t="e">
        <f>INDEX($H$514:$K$534, MATCH('13.2 Building Fabric'!$E$68,$D$514:$D$534,0),MATCH('13.2 Building Fabric'!$O$68,$H$513:$K$513,0))</f>
        <v>#N/A</v>
      </c>
      <c r="Z302" s="22">
        <f t="shared" si="2"/>
        <v>9</v>
      </c>
      <c r="AA302" s="22" t="s">
        <v>524</v>
      </c>
      <c r="AB302" s="22" cm="1">
        <f t="array" ref="AB302">IF(COLUMNS($AB$299:AB$299)&lt;=$Z302,INDEX($G:$G,_xlfn.AGGREGATE(15,3,($A$301:$A$738=$AA302)/($A$301:$A$738=$AA302)*ROW($A$301:$A$738),COLUMNS($AB$299:AB$299))),"")</f>
        <v>0</v>
      </c>
      <c r="AC302" s="22" t="str" cm="1">
        <f t="array" ref="AC302">IF(COLUMNS($AB$299:AC$299)&lt;=$Z302,INDEX($G:$G,_xlfn.AGGREGATE(15,3,($A$301:$A$738=$AA302)/($A$301:$A$738=$AA302)*ROW($A$301:$A$738),COLUMNS($AB$299:AC$299))),"")</f>
        <v>&gt; 0 ≤ 300</v>
      </c>
      <c r="AD302" s="22" t="str" cm="1">
        <f t="array" ref="AD302">IF(COLUMNS($AB$299:AD$299)&lt;=$Z302,INDEX($G:$G,_xlfn.AGGREGATE(15,3,($A$301:$A$738=$AA302)/($A$301:$A$738=$AA302)*ROW($A$301:$A$738),COLUMNS($AB$299:AD$299))),"")</f>
        <v>&gt; 300 to ≤ 450</v>
      </c>
      <c r="AE302" s="22" t="str" cm="1">
        <f t="array" ref="AE302">IF(COLUMNS($AB$299:AE$299)&lt;=$Z302,INDEX($G:$G,_xlfn.AGGREGATE(15,3,($A$301:$A$738=$AA302)/($A$301:$A$738=$AA302)*ROW($A$301:$A$738),COLUMNS($AB$299:AE$299))),"")</f>
        <v>&gt; 450 to ≤ 600</v>
      </c>
      <c r="AF302" s="22" t="str" cm="1">
        <f t="array" ref="AF302">IF(COLUMNS($AB$299:AF$299)&lt;=$Z302,INDEX($G:$G,_xlfn.AGGREGATE(15,3,($A$301:$A$738=$AA302)/($A$301:$A$738=$AA302)*ROW($A$301:$A$738),COLUMNS($AB$299:AF$299))),"")</f>
        <v>&gt; 600 to ≤ 900</v>
      </c>
      <c r="AG302" s="22" t="str" cm="1">
        <f t="array" ref="AG302">IF(COLUMNS($AB$299:AG$299)&lt;=$Z302,INDEX($G:$G,_xlfn.AGGREGATE(15,3,($A$301:$A$738=$AA302)/($A$301:$A$738=$AA302)*ROW($A$301:$A$738),COLUMNS($AB$299:AG$299))),"")</f>
        <v>&gt; 900 to ≤ 1200</v>
      </c>
      <c r="AH302" s="22" t="str" cm="1">
        <f t="array" ref="AH302">IF(COLUMNS($AB$299:AH$299)&lt;=$Z302,INDEX($G:$G,_xlfn.AGGREGATE(15,3,($A$301:$A$738=$AA302)/($A$301:$A$738=$AA302)*ROW($A$301:$A$738),COLUMNS($AB$299:AH$299))),"")</f>
        <v>&gt; 1200 to ≤ 1500</v>
      </c>
      <c r="AI302" s="22" t="str" cm="1">
        <f t="array" ref="AI302">IF(COLUMNS($AB$299:AI$299)&lt;=$Z302,INDEX($G:$G,_xlfn.AGGREGATE(15,3,($A$301:$A$738=$AA302)/($A$301:$A$738=$AA302)*ROW($A$301:$A$738),COLUMNS($AB$299:AI$299))),"")</f>
        <v>&gt; 1500 to ≤ 1800</v>
      </c>
      <c r="AJ302" s="22" t="str" cm="1">
        <f t="array" ref="AJ302">IF(COLUMNS($AB$299:AJ$299)&lt;=$Z302,INDEX($G:$G,_xlfn.AGGREGATE(15,3,($A$301:$A$738=$AA302)/($A$301:$A$738=$AA302)*ROW($A$301:$A$738),COLUMNS($AB$299:AJ$299))),"")</f>
        <v>&gt; 1800 to ≤ 2400</v>
      </c>
      <c r="AK302" s="22" t="str" cm="1">
        <f t="array" ref="AK302">IF(COLUMNS($AB$299:AK$299)&lt;=$Z302,INDEX($G:$G,_xlfn.AGGREGATE(15,3,($A$301:$A$345=$AA302)/($A$301:$A$345=$AA302)*ROW($A$301:$A$345),COLUMNS($AB$299:AK$299))),"")</f>
        <v/>
      </c>
      <c r="AL302" s="22" t="str" cm="1">
        <f t="array" ref="AL302">IF(COLUMNS($AB$299:AL$299)&lt;=$Z302,INDEX($G:$G,_xlfn.AGGREGATE(15,3,($A$301:$A$345=$AA302)/($A$301:$A$345=$AA302)*ROW($A$301:$A$345),COLUMNS($AB$299:AL$299))),"")</f>
        <v/>
      </c>
    </row>
    <row r="303" spans="1:82" s="22" customFormat="1" x14ac:dyDescent="0.3">
      <c r="A303" s="22" t="str">
        <f>CONCATENATE(B303,C303,Concrete_block_walls_minimum_insulation_R_Value_climate_zone_1108[[#This Row],[Column1]])</f>
        <v>1Concrete block walls≤ 0.3</v>
      </c>
      <c r="B303" s="22">
        <v>1</v>
      </c>
      <c r="C303" s="22" t="s">
        <v>191</v>
      </c>
      <c r="D303" s="22" t="str">
        <f>CONCATENATE(B303,C303,Concrete_block_walls_minimum_insulation_R_Value_climate_zone_1108[[#This Row],[Column1]],Concrete_block_walls_minimum_insulation_R_Value_climate_zone_1108[[#This Row],[Column4]])</f>
        <v>1Concrete block walls≤ 0.3&gt; 300 to ≤ 450</v>
      </c>
      <c r="E303" s="22" t="str">
        <f t="shared" si="3"/>
        <v>1Concrete block walls</v>
      </c>
      <c r="F303" s="32" t="s">
        <v>518</v>
      </c>
      <c r="G303" s="32" t="s">
        <v>525</v>
      </c>
      <c r="H303" s="32">
        <v>0</v>
      </c>
      <c r="I303" s="32" t="s">
        <v>522</v>
      </c>
      <c r="J303" s="32">
        <v>1.5</v>
      </c>
      <c r="K303" s="32" t="s">
        <v>321</v>
      </c>
      <c r="P303" s="22" t="s">
        <v>526</v>
      </c>
      <c r="Q303" s="22" t="e">
        <f>INDEX($H$540:$K$563, MATCH('13.2 Building Fabric'!$E$65,$D$540:$D$563,0),MATCH('13.2 Building Fabric'!$O$65,$H$539:$K$539,0))</f>
        <v>#N/A</v>
      </c>
      <c r="R303" s="22" t="e">
        <f>INDEX($H$540:$K$563, MATCH('13.2 Building Fabric'!$E$66,$D$540:$D$563,0),MATCH('13.2 Building Fabric'!$O$66,$H$539:$K$539,0))</f>
        <v>#N/A</v>
      </c>
      <c r="S303" s="22" t="e">
        <f>INDEX($H$540:$K$563, MATCH('13.2 Building Fabric'!$E$67,$D$540:$D$563,0),MATCH('13.2 Building Fabric'!$O$67,$H$539:$K$539,0))</f>
        <v>#N/A</v>
      </c>
      <c r="T303" s="22" t="e">
        <f>INDEX($H$540:$K$563, MATCH('13.2 Building Fabric'!$E$68,$D$540:$D$563,0),MATCH('13.2 Building Fabric'!$O$68,$H$539:$K$539,0))</f>
        <v>#N/A</v>
      </c>
      <c r="Z303" s="22">
        <f t="shared" si="2"/>
        <v>9</v>
      </c>
      <c r="AA303" s="22" t="s">
        <v>527</v>
      </c>
      <c r="AB303" s="22" cm="1">
        <f t="array" ref="AB303">IF(COLUMNS($AB$299:AB$299)&lt;=$Z303,INDEX($G:$G,_xlfn.AGGREGATE(15,3,($A$301:$A$738=$AA303)/($A$301:$A$738=$AA303)*ROW($A$301:$A$738),COLUMNS($AB$299:AB$299))),"")</f>
        <v>0</v>
      </c>
      <c r="AC303" s="22" t="str" cm="1">
        <f t="array" ref="AC303">IF(COLUMNS($AB$299:AC$299)&lt;=$Z303,INDEX($G:$G,_xlfn.AGGREGATE(15,3,($A$301:$A$738=$AA303)/($A$301:$A$738=$AA303)*ROW($A$301:$A$738),COLUMNS($AB$299:AC$299))),"")</f>
        <v>&gt; 0 to ≤ 300</v>
      </c>
      <c r="AD303" s="22" t="str" cm="1">
        <f t="array" ref="AD303">IF(COLUMNS($AB$299:AD$299)&lt;=$Z303,INDEX($G:$G,_xlfn.AGGREGATE(15,3,($A$301:$A$738=$AA303)/($A$301:$A$738=$AA303)*ROW($A$301:$A$738),COLUMNS($AB$299:AD$299))),"")</f>
        <v>&gt; 300 to ≤ 450</v>
      </c>
      <c r="AE303" s="22" t="str" cm="1">
        <f t="array" ref="AE303">IF(COLUMNS($AB$299:AE$299)&lt;=$Z303,INDEX($G:$G,_xlfn.AGGREGATE(15,3,($A$301:$A$738=$AA303)/($A$301:$A$738=$AA303)*ROW($A$301:$A$738),COLUMNS($AB$299:AE$299))),"")</f>
        <v>&gt; 450 to ≤ 600</v>
      </c>
      <c r="AF303" s="22" t="str" cm="1">
        <f t="array" ref="AF303">IF(COLUMNS($AB$299:AF$299)&lt;=$Z303,INDEX($G:$G,_xlfn.AGGREGATE(15,3,($A$301:$A$738=$AA303)/($A$301:$A$738=$AA303)*ROW($A$301:$A$738),COLUMNS($AB$299:AF$299))),"")</f>
        <v>&gt; 600 to ≤ 900</v>
      </c>
      <c r="AG303" s="22" t="str" cm="1">
        <f t="array" ref="AG303">IF(COLUMNS($AB$299:AG$299)&lt;=$Z303,INDEX($G:$G,_xlfn.AGGREGATE(15,3,($A$301:$A$738=$AA303)/($A$301:$A$738=$AA303)*ROW($A$301:$A$738),COLUMNS($AB$299:AG$299))),"")</f>
        <v>&gt; 900 to ≤ 1200</v>
      </c>
      <c r="AH303" s="22" t="str" cm="1">
        <f t="array" ref="AH303">IF(COLUMNS($AB$299:AH$299)&lt;=$Z303,INDEX($G:$G,_xlfn.AGGREGATE(15,3,($A$301:$A$738=$AA303)/($A$301:$A$738=$AA303)*ROW($A$301:$A$738),COLUMNS($AB$299:AH$299))),"")</f>
        <v>&gt; 1200 to ≤ 1500</v>
      </c>
      <c r="AI303" s="22" t="str" cm="1">
        <f t="array" ref="AI303">IF(COLUMNS($AB$299:AI$299)&lt;=$Z303,INDEX($G:$G,_xlfn.AGGREGATE(15,3,($A$301:$A$738=$AA303)/($A$301:$A$738=$AA303)*ROW($A$301:$A$738),COLUMNS($AB$299:AI$299))),"")</f>
        <v>&gt; 1500 to ≤ 1800</v>
      </c>
      <c r="AJ303" s="22" t="str" cm="1">
        <f t="array" ref="AJ303">IF(COLUMNS($AB$299:AJ$299)&lt;=$Z303,INDEX($G:$G,_xlfn.AGGREGATE(15,3,($A$301:$A$738=$AA303)/($A$301:$A$738=$AA303)*ROW($A$301:$A$738),COLUMNS($AB$299:AJ$299))),"")</f>
        <v>&gt; 1800 to ≤ 2400</v>
      </c>
      <c r="AK303" s="22" t="str" cm="1">
        <f t="array" ref="AK303">IF(COLUMNS($AB$299:AK$299)&lt;=$Z303,INDEX($G:$G,_xlfn.AGGREGATE(15,3,($A$301:$A$345=$AA303)/($A$301:$A$345=$AA303)*ROW($A$301:$A$345),COLUMNS($AB$299:AK$299))),"")</f>
        <v/>
      </c>
      <c r="AL303" s="22" t="str" cm="1">
        <f t="array" ref="AL303">IF(COLUMNS($AB$299:AL$299)&lt;=$Z303,INDEX($G:$G,_xlfn.AGGREGATE(15,3,($A$301:$A$345=$AA303)/($A$301:$A$345=$AA303)*ROW($A$301:$A$345),COLUMNS($AB$299:AL$299))),"")</f>
        <v/>
      </c>
    </row>
    <row r="304" spans="1:82" s="22" customFormat="1" x14ac:dyDescent="0.3">
      <c r="A304" s="22" t="str">
        <f>CONCATENATE(B304,C304,Concrete_block_walls_minimum_insulation_R_Value_climate_zone_1108[[#This Row],[Column1]])</f>
        <v>1Concrete block walls≤ 0.3</v>
      </c>
      <c r="B304" s="22">
        <v>1</v>
      </c>
      <c r="C304" s="22" t="s">
        <v>191</v>
      </c>
      <c r="D304" s="22" t="str">
        <f>CONCATENATE(B304,C304,Concrete_block_walls_minimum_insulation_R_Value_climate_zone_1108[[#This Row],[Column1]],Concrete_block_walls_minimum_insulation_R_Value_climate_zone_1108[[#This Row],[Column4]])</f>
        <v>1Concrete block walls≤ 0.3&gt; 450 to ≤ 600</v>
      </c>
      <c r="E304" s="22" t="str">
        <f t="shared" si="3"/>
        <v>1Concrete block walls</v>
      </c>
      <c r="F304" s="32" t="s">
        <v>518</v>
      </c>
      <c r="G304" s="32" t="s">
        <v>528</v>
      </c>
      <c r="H304" s="32">
        <v>0</v>
      </c>
      <c r="I304" s="32" t="s">
        <v>522</v>
      </c>
      <c r="J304" s="32">
        <v>1</v>
      </c>
      <c r="K304" s="32" t="s">
        <v>321</v>
      </c>
      <c r="P304" s="22" t="s">
        <v>529</v>
      </c>
      <c r="Q304" s="22" t="e">
        <f>INDEX($H$569:$K$589, MATCH('13.2 Building Fabric'!$E$65,$D$569:$D$589,0),MATCH('13.2 Building Fabric'!$O$65,$H$568:$K$568,0))</f>
        <v>#N/A</v>
      </c>
      <c r="R304" s="22" t="e">
        <f>INDEX($H$569:$K$589, MATCH('13.2 Building Fabric'!$E$66,$D$569:$D$589,0),MATCH('13.2 Building Fabric'!$O$66,$H$568:$K$568,0))</f>
        <v>#N/A</v>
      </c>
      <c r="S304" s="22" t="e">
        <f>INDEX($H$569:$K$589, MATCH('13.2 Building Fabric'!$E$67,$D$569:$D$589,0),MATCH('13.2 Building Fabric'!$O$67,$H$568:$K$568,0))</f>
        <v>#N/A</v>
      </c>
      <c r="T304" s="22" t="e">
        <f>INDEX($H$569:$K$589, MATCH('13.2 Building Fabric'!$E$68,$D$569:$D$589,0),MATCH('13.2 Building Fabric'!$O$68,$H$568:$K$568,0))</f>
        <v>#N/A</v>
      </c>
      <c r="Z304" s="22">
        <f t="shared" si="2"/>
        <v>9</v>
      </c>
      <c r="AA304" s="22" t="s">
        <v>530</v>
      </c>
      <c r="AB304" s="22" cm="1">
        <f t="array" ref="AB304">IF(COLUMNS($AB$299:AB$299)&lt;=$Z304,INDEX($G:$G,_xlfn.AGGREGATE(15,3,($A$301:$A$738=$AA304)/($A$301:$A$738=$AA304)*ROW($A$301:$A$738),COLUMNS($AB$299:AB$299))),"")</f>
        <v>0</v>
      </c>
      <c r="AC304" s="22" t="str" cm="1">
        <f t="array" ref="AC304">IF(COLUMNS($AB$299:AC$299)&lt;=$Z304,INDEX($G:$G,_xlfn.AGGREGATE(15,3,($A$301:$A$738=$AA304)/($A$301:$A$738=$AA304)*ROW($A$301:$A$738),COLUMNS($AB$299:AC$299))),"")</f>
        <v>&gt; 0 to ≤ 300</v>
      </c>
      <c r="AD304" s="22" t="str" cm="1">
        <f t="array" ref="AD304">IF(COLUMNS($AB$299:AD$299)&lt;=$Z304,INDEX($G:$G,_xlfn.AGGREGATE(15,3,($A$301:$A$738=$AA304)/($A$301:$A$738=$AA304)*ROW($A$301:$A$738),COLUMNS($AB$299:AD$299))),"")</f>
        <v>&gt; 300 to ≤ 450</v>
      </c>
      <c r="AE304" s="22" t="str" cm="1">
        <f t="array" ref="AE304">IF(COLUMNS($AB$299:AE$299)&lt;=$Z304,INDEX($G:$G,_xlfn.AGGREGATE(15,3,($A$301:$A$738=$AA304)/($A$301:$A$738=$AA304)*ROW($A$301:$A$738),COLUMNS($AB$299:AE$299))),"")</f>
        <v>&gt; 450 to ≤ 600</v>
      </c>
      <c r="AF304" s="22" t="str" cm="1">
        <f t="array" ref="AF304">IF(COLUMNS($AB$299:AF$299)&lt;=$Z304,INDEX($G:$G,_xlfn.AGGREGATE(15,3,($A$301:$A$738=$AA304)/($A$301:$A$738=$AA304)*ROW($A$301:$A$738),COLUMNS($AB$299:AF$299))),"")</f>
        <v>&gt; 600 to ≤ 900</v>
      </c>
      <c r="AG304" s="22" t="str" cm="1">
        <f t="array" ref="AG304">IF(COLUMNS($AB$299:AG$299)&lt;=$Z304,INDEX($G:$G,_xlfn.AGGREGATE(15,3,($A$301:$A$738=$AA304)/($A$301:$A$738=$AA304)*ROW($A$301:$A$738),COLUMNS($AB$299:AG$299))),"")</f>
        <v>&gt; 900 to ≤ 1200</v>
      </c>
      <c r="AH304" s="22" t="str" cm="1">
        <f t="array" ref="AH304">IF(COLUMNS($AB$299:AH$299)&lt;=$Z304,INDEX($G:$G,_xlfn.AGGREGATE(15,3,($A$301:$A$738=$AA304)/($A$301:$A$738=$AA304)*ROW($A$301:$A$738),COLUMNS($AB$299:AH$299))),"")</f>
        <v>&gt; 1200 to ≤ 1500</v>
      </c>
      <c r="AI304" s="22" t="str" cm="1">
        <f t="array" ref="AI304">IF(COLUMNS($AB$299:AI$299)&lt;=$Z304,INDEX($G:$G,_xlfn.AGGREGATE(15,3,($A$301:$A$738=$AA304)/($A$301:$A$738=$AA304)*ROW($A$301:$A$738),COLUMNS($AB$299:AI$299))),"")</f>
        <v>&gt; 1500 to ≤ 1800</v>
      </c>
      <c r="AJ304" s="22" t="str" cm="1">
        <f t="array" ref="AJ304">IF(COLUMNS($AB$299:AJ$299)&lt;=$Z304,INDEX($G:$G,_xlfn.AGGREGATE(15,3,($A$301:$A$738=$AA304)/($A$301:$A$738=$AA304)*ROW($A$301:$A$738),COLUMNS($AB$299:AJ$299))),"")</f>
        <v>&gt; 1800 to ≤ 2400</v>
      </c>
      <c r="AK304" s="22" t="str" cm="1">
        <f t="array" ref="AK304">IF(COLUMNS($AB$299:AK$299)&lt;=$Z304,INDEX($G:$G,_xlfn.AGGREGATE(15,3,($A$301:$A$345=$AA304)/($A$301:$A$345=$AA304)*ROW($A$301:$A$345),COLUMNS($AB$299:AK$299))),"")</f>
        <v/>
      </c>
      <c r="AL304" s="22" t="str" cm="1">
        <f t="array" ref="AL304">IF(COLUMNS($AB$299:AL$299)&lt;=$Z304,INDEX($G:$G,_xlfn.AGGREGATE(15,3,($A$301:$A$345=$AA304)/($A$301:$A$345=$AA304)*ROW($A$301:$A$345),COLUMNS($AB$299:AL$299))),"")</f>
        <v/>
      </c>
      <c r="AO304" s="22" t="str" cm="1">
        <f t="array" ref="AO304">IF(COLUMNS($AB$298:AO$298)&lt;=$Z305,INDEX($G:$G,_xlfn.AGGREGATE(15,3,($A$301:$A$738=$AA305)/($A$301:$A$738=$AA305)*ROW($A$301:$A$738),COLUMNS($AB$298:AO$298))),"")</f>
        <v/>
      </c>
    </row>
    <row r="305" spans="1:41" s="22" customFormat="1" x14ac:dyDescent="0.3">
      <c r="A305" s="22" t="str">
        <f>CONCATENATE(B305,C305,Concrete_block_walls_minimum_insulation_R_Value_climate_zone_1108[[#This Row],[Column1]])</f>
        <v>1Concrete block walls≤ 0.3</v>
      </c>
      <c r="B305" s="22">
        <v>1</v>
      </c>
      <c r="C305" s="22" t="s">
        <v>191</v>
      </c>
      <c r="D305" s="22" t="str">
        <f>CONCATENATE(B305,C305,Concrete_block_walls_minimum_insulation_R_Value_climate_zone_1108[[#This Row],[Column1]],Concrete_block_walls_minimum_insulation_R_Value_climate_zone_1108[[#This Row],[Column4]])</f>
        <v>1Concrete block walls≤ 0.3&gt; 600 to ≤ 900</v>
      </c>
      <c r="E305" s="22" t="str">
        <f t="shared" si="3"/>
        <v>1Concrete block walls</v>
      </c>
      <c r="F305" s="32" t="s">
        <v>518</v>
      </c>
      <c r="G305" s="32" t="s">
        <v>531</v>
      </c>
      <c r="H305" s="32">
        <v>0</v>
      </c>
      <c r="I305" s="32">
        <v>0</v>
      </c>
      <c r="J305" s="32" t="s">
        <v>522</v>
      </c>
      <c r="K305" s="32">
        <v>2</v>
      </c>
      <c r="P305" s="22" t="s">
        <v>532</v>
      </c>
      <c r="Q305" s="22" t="e">
        <f>INDEX($H$595:$K$615, MATCH('13.2 Building Fabric'!$E$65,$D$595:$D$615,0),MATCH('13.2 Building Fabric'!$O$65,$H$594:$K$594,0))</f>
        <v>#N/A</v>
      </c>
      <c r="R305" s="22" t="e">
        <f>INDEX($H$595:$K$615, MATCH('13.2 Building Fabric'!$E$66,$D$595:$D$615,0),MATCH('13.2 Building Fabric'!$O$66,$H$594:$K$594,0))</f>
        <v>#N/A</v>
      </c>
      <c r="S305" s="22" t="e">
        <f>INDEX($H$595:$K$615, MATCH('13.2 Building Fabric'!$E$67,$D$595:$D$615,0),MATCH('13.2 Building Fabric'!$O$67,$H$594:$K$594,0))</f>
        <v>#N/A</v>
      </c>
      <c r="T305" s="22" t="e">
        <f>INDEX($H$595:$K$615, MATCH('13.2 Building Fabric'!$E$68,$D$595:$D$615,0),MATCH('13.2 Building Fabric'!$O$68,$H$594:$K$594,0))</f>
        <v>#N/A</v>
      </c>
      <c r="Z305" s="22">
        <f t="shared" si="2"/>
        <v>9</v>
      </c>
      <c r="AA305" t="s">
        <v>533</v>
      </c>
      <c r="AB305" s="22" cm="1">
        <f t="array" ref="AB305">IF(COLUMNS($AB$299:AB$299)&lt;=$Z305,INDEX($G:$G,_xlfn.AGGREGATE(15,3,($A$301:$A$738=$AA305)/($A$301:$A$738=$AA305)*ROW($A$301:$A$738),COLUMNS($AB$299:AB$299))),"")</f>
        <v>0</v>
      </c>
      <c r="AC305" s="22" t="str" cm="1">
        <f t="array" ref="AC305">IF(COLUMNS($AB$299:AC$299)&lt;=$Z305,INDEX($G:$G,_xlfn.AGGREGATE(15,3,($A$301:$A$738=$AA305)/($A$301:$A$738=$AA305)*ROW($A$301:$A$738),COLUMNS($AB$299:AC$299))),"")</f>
        <v>&gt; 0 to ≤ 300</v>
      </c>
      <c r="AD305" s="22" t="str" cm="1">
        <f t="array" ref="AD305">IF(COLUMNS($AB$299:AD$299)&lt;=$Z305,INDEX($G:$G,_xlfn.AGGREGATE(15,3,($A$301:$A$738=$AA305)/($A$301:$A$738=$AA305)*ROW($A$301:$A$738),COLUMNS($AB$299:AD$299))),"")</f>
        <v>&gt; 300 to ≤ 450</v>
      </c>
      <c r="AE305" s="22" t="str" cm="1">
        <f t="array" ref="AE305">IF(COLUMNS($AB$299:AE$299)&lt;=$Z305,INDEX($G:$G,_xlfn.AGGREGATE(15,3,($A$301:$A$738=$AA305)/($A$301:$A$738=$AA305)*ROW($A$301:$A$738),COLUMNS($AB$299:AE$299))),"")</f>
        <v>&gt; 450 to ≤ 600</v>
      </c>
      <c r="AF305" s="22" t="str" cm="1">
        <f t="array" ref="AF305">IF(COLUMNS($AB$299:AF$299)&lt;=$Z305,INDEX($G:$G,_xlfn.AGGREGATE(15,3,($A$301:$A$738=$AA305)/($A$301:$A$738=$AA305)*ROW($A$301:$A$738),COLUMNS($AB$299:AF$299))),"")</f>
        <v>&gt; 600 to ≤ 900</v>
      </c>
      <c r="AG305" s="22" t="str" cm="1">
        <f t="array" ref="AG305">IF(COLUMNS($AB$299:AG$299)&lt;=$Z305,INDEX($G:$G,_xlfn.AGGREGATE(15,3,($A$301:$A$738=$AA305)/($A$301:$A$738=$AA305)*ROW($A$301:$A$738),COLUMNS($AB$299:AG$299))),"")</f>
        <v>&gt; 900 to ≤ 1200</v>
      </c>
      <c r="AH305" s="22" t="str" cm="1">
        <f t="array" ref="AH305">IF(COLUMNS($AB$299:AH$299)&lt;=$Z305,INDEX($G:$G,_xlfn.AGGREGATE(15,3,($A$301:$A$738=$AA305)/($A$301:$A$738=$AA305)*ROW($A$301:$A$738),COLUMNS($AB$299:AH$299))),"")</f>
        <v>&gt; 1200 to ≤ 1500</v>
      </c>
      <c r="AI305" s="22" t="str" cm="1">
        <f t="array" ref="AI305">IF(COLUMNS($AB$299:AI$299)&lt;=$Z305,INDEX($G:$G,_xlfn.AGGREGATE(15,3,($A$301:$A$738=$AA305)/($A$301:$A$738=$AA305)*ROW($A$301:$A$738),COLUMNS($AB$299:AI$299))),"")</f>
        <v>&gt; 1500 to ≤ 1800</v>
      </c>
      <c r="AJ305" s="22" t="str" cm="1">
        <f t="array" ref="AJ305">IF(COLUMNS($AB$299:AJ$299)&lt;=$Z305,INDEX($G:$G,_xlfn.AGGREGATE(15,3,($A$301:$A$738=$AA305)/($A$301:$A$738=$AA305)*ROW($A$301:$A$738),COLUMNS($AB$299:AJ$299))),"")</f>
        <v>&gt; 1800 to ≤ 2400</v>
      </c>
      <c r="AK305" s="22" t="str" cm="1">
        <f t="array" ref="AK305">IF(COLUMNS($AB$299:AK$299)&lt;=$Z305,INDEX($G:$G,_xlfn.AGGREGATE(15,3,($A$301:$A$738=$AA305)/($A$301:$A$738=$AA305)*ROW($A$301:$A$738),COLUMNS($AB$299:AK$299))),"")</f>
        <v/>
      </c>
      <c r="AL305" s="22" t="str" cm="1">
        <f t="array" ref="AL305">IF(COLUMNS($AB$299:AL$299)&lt;=$Z305,INDEX($G:$G,_xlfn.AGGREGATE(15,3,($A$301:$A$738=$AA305)/($A$301:$A$738=$AA305)*ROW($A$301:$A$738),COLUMNS($AB$299:AL$299))),"")</f>
        <v/>
      </c>
      <c r="AM305" s="22" t="str" cm="1">
        <f t="array" ref="AM305">IF(COLUMNS($AB$299:AM$299)&lt;=$Z305,INDEX($G:$G,_xlfn.AGGREGATE(15,3,($A$301:$A$738=$AA305)/($A$301:$A$738=$AA305)*ROW($A$301:$A$738),COLUMNS($AB$299:AM$299))),"")</f>
        <v/>
      </c>
      <c r="AN305" s="22" t="str" cm="1">
        <f t="array" ref="AN305">IF(COLUMNS($AB$299:AN$299)&lt;=$Z305,INDEX($G:$G,_xlfn.AGGREGATE(15,3,($A$301:$A$738=$AA305)/($A$301:$A$738=$AA305)*ROW($A$301:$A$738),COLUMNS($AB$299:AN$299))),"")</f>
        <v/>
      </c>
      <c r="AO305" s="22" t="str" cm="1">
        <f t="array" ref="AO305">IF(COLUMNS($AB$298:AO$298)&lt;=$Z306,INDEX($G:$G,_xlfn.AGGREGATE(15,3,($A$301:$A$738=$AA306)/($A$301:$A$738=$AA306)*ROW($A$301:$A$738),COLUMNS($AB$298:AO$298))),"")</f>
        <v/>
      </c>
    </row>
    <row r="306" spans="1:41" s="22" customFormat="1" x14ac:dyDescent="0.3">
      <c r="A306" s="22" t="str">
        <f>CONCATENATE(B306,C306,Concrete_block_walls_minimum_insulation_R_Value_climate_zone_1108[[#This Row],[Column1]])</f>
        <v>1Concrete block walls≤ 0.3</v>
      </c>
      <c r="B306" s="22">
        <v>1</v>
      </c>
      <c r="C306" s="22" t="s">
        <v>191</v>
      </c>
      <c r="D306" s="22" t="str">
        <f>CONCATENATE(B306,C306,Concrete_block_walls_minimum_insulation_R_Value_climate_zone_1108[[#This Row],[Column1]],Concrete_block_walls_minimum_insulation_R_Value_climate_zone_1108[[#This Row],[Column4]])</f>
        <v>1Concrete block walls≤ 0.3&gt; 900 to ≤ 1200</v>
      </c>
      <c r="E306" s="22" t="str">
        <f t="shared" si="3"/>
        <v>1Concrete block walls</v>
      </c>
      <c r="F306" s="32" t="s">
        <v>518</v>
      </c>
      <c r="G306" s="32" t="s">
        <v>534</v>
      </c>
      <c r="H306" s="32">
        <v>0</v>
      </c>
      <c r="I306" s="32">
        <v>0</v>
      </c>
      <c r="J306" s="32" t="s">
        <v>522</v>
      </c>
      <c r="K306" s="32">
        <v>1</v>
      </c>
      <c r="P306" s="22" t="s">
        <v>535</v>
      </c>
      <c r="Q306" s="22" t="e">
        <f>INDEX($H$621:$K$640, MATCH('13.2 Building Fabric'!$E$65,$D$621:$D$640,0),MATCH('13.2 Building Fabric'!$O$65,$H$620:$K$620,0))</f>
        <v>#N/A</v>
      </c>
      <c r="R306" s="22" t="e">
        <f>INDEX($H$621:$K$640, MATCH('13.2 Building Fabric'!$E$66,$D$621:$D$640,0),MATCH('13.2 Building Fabric'!$O$66,$H$620:$K$620,0))</f>
        <v>#N/A</v>
      </c>
      <c r="S306" s="22" t="e">
        <f>INDEX($H$621:$K$640, MATCH('13.2 Building Fabric'!$E$67,$D$621:$D$640,0),MATCH('13.2 Building Fabric'!$O$67,$H$620:$K$620,0))</f>
        <v>#N/A</v>
      </c>
      <c r="T306" s="22" t="e">
        <f>INDEX($H$621:$K$640, MATCH('13.2 Building Fabric'!$E$68,$D$621:$D$640,0),MATCH('13.2 Building Fabric'!$O$68,$H$620:$K$620,0))</f>
        <v>#N/A</v>
      </c>
      <c r="Z306" s="22">
        <f t="shared" si="2"/>
        <v>9</v>
      </c>
      <c r="AA306" s="22" t="s">
        <v>533</v>
      </c>
      <c r="AB306" s="22" cm="1">
        <f t="array" ref="AB306">IF(COLUMNS($AB$299:AB$299)&lt;=$Z306,INDEX($G:$G,_xlfn.AGGREGATE(15,3,($A$301:$A$738=$AA306)/($A$301:$A$738=$AA306)*ROW($A$301:$A$738),COLUMNS($AB$299:AB$299))),"")</f>
        <v>0</v>
      </c>
      <c r="AC306" s="22" t="str" cm="1">
        <f t="array" ref="AC306">IF(COLUMNS($AB$299:AC$299)&lt;=$Z306,INDEX($G:$G,_xlfn.AGGREGATE(15,3,($A$301:$A$738=$AA306)/($A$301:$A$738=$AA306)*ROW($A$301:$A$738),COLUMNS($AB$299:AC$299))),"")</f>
        <v>&gt; 0 to ≤ 300</v>
      </c>
      <c r="AD306" s="22" t="str" cm="1">
        <f t="array" ref="AD306">IF(COLUMNS($AB$299:AD$299)&lt;=$Z306,INDEX($G:$G,_xlfn.AGGREGATE(15,3,($A$301:$A$738=$AA306)/($A$301:$A$738=$AA306)*ROW($A$301:$A$738),COLUMNS($AB$299:AD$299))),"")</f>
        <v>&gt; 300 to ≤ 450</v>
      </c>
      <c r="AE306" s="22" t="str" cm="1">
        <f t="array" ref="AE306">IF(COLUMNS($AB$299:AE$299)&lt;=$Z306,INDEX($G:$G,_xlfn.AGGREGATE(15,3,($A$301:$A$738=$AA306)/($A$301:$A$738=$AA306)*ROW($A$301:$A$738),COLUMNS($AB$299:AE$299))),"")</f>
        <v>&gt; 450 to ≤ 600</v>
      </c>
      <c r="AF306" s="22" t="str" cm="1">
        <f t="array" ref="AF306">IF(COLUMNS($AB$299:AF$299)&lt;=$Z306,INDEX($G:$G,_xlfn.AGGREGATE(15,3,($A$301:$A$738=$AA306)/($A$301:$A$738=$AA306)*ROW($A$301:$A$738),COLUMNS($AB$299:AF$299))),"")</f>
        <v>&gt; 600 to ≤ 900</v>
      </c>
      <c r="AG306" s="22" t="str" cm="1">
        <f t="array" ref="AG306">IF(COLUMNS($AB$299:AG$299)&lt;=$Z306,INDEX($G:$G,_xlfn.AGGREGATE(15,3,($A$301:$A$738=$AA306)/($A$301:$A$738=$AA306)*ROW($A$301:$A$738),COLUMNS($AB$299:AG$299))),"")</f>
        <v>&gt; 900 to ≤ 1200</v>
      </c>
      <c r="AH306" s="22" t="str" cm="1">
        <f t="array" ref="AH306">IF(COLUMNS($AB$299:AH$299)&lt;=$Z306,INDEX($G:$G,_xlfn.AGGREGATE(15,3,($A$301:$A$738=$AA306)/($A$301:$A$738=$AA306)*ROW($A$301:$A$738),COLUMNS($AB$299:AH$299))),"")</f>
        <v>&gt; 1200 to ≤ 1500</v>
      </c>
      <c r="AI306" s="22" t="str" cm="1">
        <f t="array" ref="AI306">IF(COLUMNS($AB$299:AI$299)&lt;=$Z306,INDEX($G:$G,_xlfn.AGGREGATE(15,3,($A$301:$A$738=$AA306)/($A$301:$A$738=$AA306)*ROW($A$301:$A$738),COLUMNS($AB$299:AI$299))),"")</f>
        <v>&gt; 1500 to ≤ 1800</v>
      </c>
      <c r="AJ306" s="22" t="str" cm="1">
        <f t="array" ref="AJ306">IF(COLUMNS($AB$299:AJ$299)&lt;=$Z306,INDEX($G:$G,_xlfn.AGGREGATE(15,3,($A$301:$A$738=$AA306)/($A$301:$A$738=$AA306)*ROW($A$301:$A$738),COLUMNS($AB$299:AJ$299))),"")</f>
        <v>&gt; 1800 to ≤ 2400</v>
      </c>
      <c r="AK306" s="22" t="str" cm="1">
        <f t="array" ref="AK306">IF(COLUMNS($AB$299:AK$299)&lt;=$Z306,INDEX($G:$G,_xlfn.AGGREGATE(15,3,($A$301:$A$738=$AA306)/($A$301:$A$738=$AA306)*ROW($A$301:$A$738),COLUMNS($AB$299:AK$299))),"")</f>
        <v/>
      </c>
      <c r="AL306" s="22" t="str" cm="1">
        <f t="array" ref="AL306">IF(COLUMNS($AB$299:AL$299)&lt;=$Z306,INDEX($G:$G,_xlfn.AGGREGATE(15,3,($A$301:$A$738=$AA306)/($A$301:$A$738=$AA306)*ROW($A$301:$A$738),COLUMNS($AB$299:AL$299))),"")</f>
        <v/>
      </c>
      <c r="AM306" s="22" t="str" cm="1">
        <f t="array" ref="AM306">IF(COLUMNS($AB$299:AM$299)&lt;=$Z306,INDEX($G:$G,_xlfn.AGGREGATE(15,3,($A$301:$A$738=$AA306)/($A$301:$A$738=$AA306)*ROW($A$301:$A$738),COLUMNS($AB$299:AM$299))),"")</f>
        <v/>
      </c>
      <c r="AN306" s="22" t="str" cm="1">
        <f t="array" ref="AN306">IF(COLUMNS($AB$299:AN$299)&lt;=$Z306,INDEX($G:$G,_xlfn.AGGREGATE(15,3,($A$301:$A$738=$AA306)/($A$301:$A$738=$AA306)*ROW($A$301:$A$738),COLUMNS($AB$299:AN$299))),"")</f>
        <v/>
      </c>
      <c r="AO306" s="22" t="str" cm="1">
        <f t="array" ref="AO306">IF(COLUMNS($AB$298:AO$298)&lt;=$Z307,INDEX($G:$G,_xlfn.AGGREGATE(15,3,($A$301:$A$738=$AA307)/($A$301:$A$738=$AA307)*ROW($A$301:$A$738),COLUMNS($AB$298:AO$298))),"")</f>
        <v/>
      </c>
    </row>
    <row r="307" spans="1:41" s="22" customFormat="1" ht="16.5" customHeight="1" x14ac:dyDescent="0.3">
      <c r="A307" s="22" t="str">
        <f>CONCATENATE(B307,C307,Concrete_block_walls_minimum_insulation_R_Value_climate_zone_1108[[#This Row],[Column1]])</f>
        <v>1Concrete block walls≤ 0.3</v>
      </c>
      <c r="B307" s="22">
        <v>1</v>
      </c>
      <c r="C307" s="22" t="s">
        <v>191</v>
      </c>
      <c r="D307" s="22" t="str">
        <f>CONCATENATE(B307,C307,Concrete_block_walls_minimum_insulation_R_Value_climate_zone_1108[[#This Row],[Column1]],Concrete_block_walls_minimum_insulation_R_Value_climate_zone_1108[[#This Row],[Column4]])</f>
        <v>1Concrete block walls≤ 0.3&gt; 1200 to ≤ 1500</v>
      </c>
      <c r="E307" s="22" t="str">
        <f t="shared" si="3"/>
        <v>1Concrete block walls</v>
      </c>
      <c r="F307" s="32" t="s">
        <v>518</v>
      </c>
      <c r="G307" s="32" t="s">
        <v>536</v>
      </c>
      <c r="H307" s="32">
        <v>0</v>
      </c>
      <c r="I307" s="32">
        <v>0</v>
      </c>
      <c r="J307" s="32">
        <v>0</v>
      </c>
      <c r="K307" s="32" t="s">
        <v>522</v>
      </c>
      <c r="P307" s="22" t="s">
        <v>537</v>
      </c>
      <c r="Q307" s="22" t="e">
        <f>INDEX($H$646:$K$669, MATCH('13.2 Building Fabric'!$E$65,$D$646:$D$669,0),MATCH('13.2 Building Fabric'!$O$65,$H$645:$K$645,0))</f>
        <v>#N/A</v>
      </c>
      <c r="R307" s="22" t="e">
        <f>INDEX($H$646:$K$679, MATCH('13.2 Building Fabric'!$E$66,$D$646:$D$669,0),MATCH('13.2 Building Fabric'!$O$66,$H$645:$K$645,0))</f>
        <v>#N/A</v>
      </c>
      <c r="S307" s="22" t="e">
        <f>INDEX($H$646:$K$689, MATCH('13.2 Building Fabric'!$E$67,$D$646:$D$669,0),MATCH('13.2 Building Fabric'!$O$67,$H$645:$K$645,0))</f>
        <v>#N/A</v>
      </c>
      <c r="T307" s="22" t="e">
        <f>INDEX($H$646:$K$699, MATCH('13.2 Building Fabric'!$E$68,$D$646:$D$669,0),MATCH('13.2 Building Fabric'!$O$68,$H$645:$K$645,0))</f>
        <v>#N/A</v>
      </c>
      <c r="Z307" s="22">
        <f t="shared" si="2"/>
        <v>9</v>
      </c>
      <c r="AA307" s="22" t="s">
        <v>538</v>
      </c>
      <c r="AB307" s="22" cm="1">
        <f t="array" ref="AB307">IF(COLUMNS($AB$299:AB$299)&lt;=$Z307,INDEX($G:$G,_xlfn.AGGREGATE(15,3,($A$301:$A$738=$AA307)/($A$301:$A$738=$AA307)*ROW($A$301:$A$738),COLUMNS($AB$299:AB$299))),"")</f>
        <v>0</v>
      </c>
      <c r="AC307" s="22" t="str" cm="1">
        <f t="array" ref="AC307">IF(COLUMNS($AB$299:AC$299)&lt;=$Z307,INDEX($G:$G,_xlfn.AGGREGATE(15,3,($A$301:$A$738=$AA307)/($A$301:$A$738=$AA307)*ROW($A$301:$A$738),COLUMNS($AB$299:AC$299))),"")</f>
        <v>&gt; 0 to ≤ 300</v>
      </c>
      <c r="AD307" s="22" t="str" cm="1">
        <f t="array" ref="AD307">IF(COLUMNS($AB$299:AD$299)&lt;=$Z307,INDEX($G:$G,_xlfn.AGGREGATE(15,3,($A$301:$A$738=$AA307)/($A$301:$A$738=$AA307)*ROW($A$301:$A$738),COLUMNS($AB$299:AD$299))),"")</f>
        <v>&gt; 300 to ≤ 450</v>
      </c>
      <c r="AE307" s="22" t="str" cm="1">
        <f t="array" ref="AE307">IF(COLUMNS($AB$299:AE$299)&lt;=$Z307,INDEX($G:$G,_xlfn.AGGREGATE(15,3,($A$301:$A$738=$AA307)/($A$301:$A$738=$AA307)*ROW($A$301:$A$738),COLUMNS($AB$299:AE$299))),"")</f>
        <v>&gt; 450 to ≤ 600</v>
      </c>
      <c r="AF307" s="22" t="str" cm="1">
        <f t="array" ref="AF307">IF(COLUMNS($AB$299:AF$299)&lt;=$Z307,INDEX($G:$G,_xlfn.AGGREGATE(15,3,($A$301:$A$738=$AA307)/($A$301:$A$738=$AA307)*ROW($A$301:$A$738),COLUMNS($AB$299:AF$299))),"")</f>
        <v>&gt; 600 to ≤ 900</v>
      </c>
      <c r="AG307" s="22" t="str" cm="1">
        <f t="array" ref="AG307">IF(COLUMNS($AB$299:AG$299)&lt;=$Z307,INDEX($G:$G,_xlfn.AGGREGATE(15,3,($A$301:$A$738=$AA307)/($A$301:$A$738=$AA307)*ROW($A$301:$A$738),COLUMNS($AB$299:AG$299))),"")</f>
        <v>&gt; 900 to ≤ 1200</v>
      </c>
      <c r="AH307" s="22" t="str" cm="1">
        <f t="array" ref="AH307">IF(COLUMNS($AB$299:AH$299)&lt;=$Z307,INDEX($G:$G,_xlfn.AGGREGATE(15,3,($A$301:$A$738=$AA307)/($A$301:$A$738=$AA307)*ROW($A$301:$A$738),COLUMNS($AB$299:AH$299))),"")</f>
        <v>&gt;1200 to ≤ 1500</v>
      </c>
      <c r="AI307" s="22" t="str" cm="1">
        <f t="array" ref="AI307">IF(COLUMNS($AB$299:AI$299)&lt;=$Z307,INDEX($G:$G,_xlfn.AGGREGATE(15,3,($A$301:$A$738=$AA307)/($A$301:$A$738=$AA307)*ROW($A$301:$A$738),COLUMNS($AB$299:AI$299))),"")</f>
        <v>&gt; 1500 to ≤ 1800</v>
      </c>
      <c r="AJ307" s="22" t="str" cm="1">
        <f t="array" ref="AJ307">IF(COLUMNS($AB$299:AJ$299)&lt;=$Z307,INDEX($G:$G,_xlfn.AGGREGATE(15,3,($A$301:$A$738=$AA307)/($A$301:$A$738=$AA307)*ROW($A$301:$A$738),COLUMNS($AB$299:AJ$299))),"")</f>
        <v>&gt; 1800 to ≤ 2400</v>
      </c>
      <c r="AK307" s="22" t="str" cm="1">
        <f t="array" ref="AK307">IF(COLUMNS($AB$299:AK$299)&lt;=$Z307,INDEX($G:$G,_xlfn.AGGREGATE(15,3,($A$301:$A$738=$AA307)/($A$301:$A$738=$AA307)*ROW($A$301:$A$738),COLUMNS($AB$299:AK$299))),"")</f>
        <v/>
      </c>
      <c r="AL307" s="22" t="str" cm="1">
        <f t="array" ref="AL307">IF(COLUMNS($AB$299:AL$299)&lt;=$Z307,INDEX($G:$G,_xlfn.AGGREGATE(15,3,($A$301:$A$738=$AA307)/($A$301:$A$738=$AA307)*ROW($A$301:$A$738),COLUMNS($AB$299:AL$299))),"")</f>
        <v/>
      </c>
      <c r="AM307" s="22" t="str" cm="1">
        <f t="array" ref="AM307">IF(COLUMNS($AB$299:AM$299)&lt;=$Z307,INDEX($G:$G,_xlfn.AGGREGATE(15,3,($A$301:$A$738=$AA307)/($A$301:$A$738=$AA307)*ROW($A$301:$A$738),COLUMNS($AB$299:AM$299))),"")</f>
        <v/>
      </c>
      <c r="AN307" s="22" t="str" cm="1">
        <f t="array" ref="AN307">IF(COLUMNS($AB$299:AN$299)&lt;=$Z307,INDEX($G:$G,_xlfn.AGGREGATE(15,3,($A$301:$A$738=$AA307)/($A$301:$A$738=$AA307)*ROW($A$301:$A$738),COLUMNS($AB$299:AN$299))),"")</f>
        <v/>
      </c>
      <c r="AO307" s="22" t="str" cm="1">
        <f t="array" ref="AO307">IF(COLUMNS($AB$298:AO$298)&lt;=$Z308,INDEX($G:$G,_xlfn.AGGREGATE(15,3,($A$301:$A$738=$AA308)/($A$301:$A$738=$AA308)*ROW($A$301:$A$738),COLUMNS($AB$298:AO$298))),"")</f>
        <v/>
      </c>
    </row>
    <row r="308" spans="1:41" s="22" customFormat="1" ht="16.5" customHeight="1" x14ac:dyDescent="0.3">
      <c r="A308" s="22" t="str">
        <f>CONCATENATE(B308,C308,Concrete_block_walls_minimum_insulation_R_Value_climate_zone_1108[[#This Row],[Column1]])</f>
        <v>1Concrete block walls≤ 0.3</v>
      </c>
      <c r="B308" s="22">
        <v>1</v>
      </c>
      <c r="C308" s="22" t="s">
        <v>191</v>
      </c>
      <c r="D308" s="22" t="str">
        <f>CONCATENATE(B308,C308,Concrete_block_walls_minimum_insulation_R_Value_climate_zone_1108[[#This Row],[Column1]],Concrete_block_walls_minimum_insulation_R_Value_climate_zone_1108[[#This Row],[Column4]])</f>
        <v>1Concrete block walls≤ 0.3&gt; 1500 to ≤ 1800</v>
      </c>
      <c r="E308" s="22" t="str">
        <f t="shared" si="3"/>
        <v>1Concrete block walls</v>
      </c>
      <c r="F308" s="32" t="s">
        <v>518</v>
      </c>
      <c r="G308" s="32" t="s">
        <v>539</v>
      </c>
      <c r="H308" s="32">
        <v>0</v>
      </c>
      <c r="I308" s="32">
        <v>0</v>
      </c>
      <c r="J308" s="32">
        <v>0</v>
      </c>
      <c r="K308" s="32" t="s">
        <v>522</v>
      </c>
      <c r="P308" s="22" t="s">
        <v>540</v>
      </c>
      <c r="Q308" s="22" t="e">
        <f>INDEX($H$675:$K$698, MATCH('13.2 Building Fabric'!$E$65,$D$675:$D$698,0),MATCH('13.2 Building Fabric'!$O$65,$H$674:$K$674,0))</f>
        <v>#N/A</v>
      </c>
      <c r="R308" s="22" t="e">
        <f>INDEX($H$675:$K$698, MATCH('13.2 Building Fabric'!$E$66,$D$675:$D$698,0),MATCH('13.2 Building Fabric'!$O$66,$H$674:$K$674,0))</f>
        <v>#N/A</v>
      </c>
      <c r="S308" s="22" t="e">
        <f>INDEX($H$675:$K$698, MATCH('13.2 Building Fabric'!$E$67,$D$675:$D$698,0),MATCH('13.2 Building Fabric'!$O$67,$H$674:$K$674,0))</f>
        <v>#N/A</v>
      </c>
      <c r="T308" s="22" t="e">
        <f>INDEX($H$675:$K$698, MATCH('13.2 Building Fabric'!$E$68,$D$675:$D$698,0),MATCH('13.2 Building Fabric'!$O$68,$H$674:$K$674,0))</f>
        <v>#N/A</v>
      </c>
      <c r="Z308" s="22">
        <f t="shared" si="2"/>
        <v>9</v>
      </c>
      <c r="AA308" t="s">
        <v>541</v>
      </c>
      <c r="AB308" s="22" cm="1">
        <f t="array" ref="AB308">IF(COLUMNS($AB$299:AB$299)&lt;=$Z308,INDEX($G:$G,_xlfn.AGGREGATE(15,3,($A$301:$A$738=$AA308)/($A$301:$A$738=$AA308)*ROW($A$301:$A$738),COLUMNS($AB$299:AB$299))),"")</f>
        <v>0</v>
      </c>
      <c r="AC308" s="22" t="str" cm="1">
        <f t="array" ref="AC308">IF(COLUMNS($AB$299:AC$299)&lt;=$Z308,INDEX($G:$G,_xlfn.AGGREGATE(15,3,($A$301:$A$738=$AA308)/($A$301:$A$738=$AA308)*ROW($A$301:$A$738),COLUMNS($AB$299:AC$299))),"")</f>
        <v>&gt; 0 to ≤ 300</v>
      </c>
      <c r="AD308" s="22" t="str" cm="1">
        <f t="array" ref="AD308">IF(COLUMNS($AB$299:AD$299)&lt;=$Z308,INDEX($G:$G,_xlfn.AGGREGATE(15,3,($A$301:$A$738=$AA308)/($A$301:$A$738=$AA308)*ROW($A$301:$A$738),COLUMNS($AB$299:AD$299))),"")</f>
        <v>&gt; 300 to ≤ 450</v>
      </c>
      <c r="AE308" s="22" t="str" cm="1">
        <f t="array" ref="AE308">IF(COLUMNS($AB$299:AE$299)&lt;=$Z308,INDEX($G:$G,_xlfn.AGGREGATE(15,3,($A$301:$A$738=$AA308)/($A$301:$A$738=$AA308)*ROW($A$301:$A$738),COLUMNS($AB$299:AE$299))),"")</f>
        <v>&gt; 450 to ≤ 600</v>
      </c>
      <c r="AF308" s="22" t="str" cm="1">
        <f t="array" ref="AF308">IF(COLUMNS($AB$299:AF$299)&lt;=$Z308,INDEX($G:$G,_xlfn.AGGREGATE(15,3,($A$301:$A$738=$AA308)/($A$301:$A$738=$AA308)*ROW($A$301:$A$738),COLUMNS($AB$299:AF$299))),"")</f>
        <v>&gt; 600 to ≤ 900</v>
      </c>
      <c r="AG308" s="22" t="str" cm="1">
        <f t="array" ref="AG308">IF(COLUMNS($AB$299:AG$299)&lt;=$Z308,INDEX($G:$G,_xlfn.AGGREGATE(15,3,($A$301:$A$738=$AA308)/($A$301:$A$738=$AA308)*ROW($A$301:$A$738),COLUMNS($AB$299:AG$299))),"")</f>
        <v>&gt; 900 to ≤ 1200</v>
      </c>
      <c r="AH308" s="22" t="str" cm="1">
        <f t="array" ref="AH308">IF(COLUMNS($AB$299:AH$299)&lt;=$Z308,INDEX($G:$G,_xlfn.AGGREGATE(15,3,($A$301:$A$738=$AA308)/($A$301:$A$738=$AA308)*ROW($A$301:$A$738),COLUMNS($AB$299:AH$299))),"")</f>
        <v>&gt; 1200 to ≤ 1500</v>
      </c>
      <c r="AI308" s="22" t="str" cm="1">
        <f t="array" ref="AI308">IF(COLUMNS($AB$299:AI$299)&lt;=$Z308,INDEX($G:$G,_xlfn.AGGREGATE(15,3,($A$301:$A$738=$AA308)/($A$301:$A$738=$AA308)*ROW($A$301:$A$738),COLUMNS($AB$299:AI$299))),"")</f>
        <v>&gt; 1500 to ≤ 1800</v>
      </c>
      <c r="AJ308" s="22" t="str" cm="1">
        <f t="array" ref="AJ308">IF(COLUMNS($AB$299:AJ$299)&lt;=$Z308,INDEX($G:$G,_xlfn.AGGREGATE(15,3,($A$301:$A$738=$AA308)/($A$301:$A$738=$AA308)*ROW($A$301:$A$738),COLUMNS($AB$299:AJ$299))),"")</f>
        <v>&gt; 1800 to ≤ 2400</v>
      </c>
      <c r="AK308" s="22" t="str" cm="1">
        <f t="array" ref="AK308">IF(COLUMNS($AB$299:AK$299)&lt;=$Z308,INDEX($G:$G,_xlfn.AGGREGATE(15,3,($A$301:$A$738=$AA308)/($A$301:$A$738=$AA308)*ROW($A$301:$A$738),COLUMNS($AB$299:AK$299))),"")</f>
        <v/>
      </c>
      <c r="AL308" s="22" t="str" cm="1">
        <f t="array" ref="AL308">IF(COLUMNS($AB$299:AL$299)&lt;=$Z308,INDEX($G:$G,_xlfn.AGGREGATE(15,3,($A$301:$A$738=$AA308)/($A$301:$A$738=$AA308)*ROW($A$301:$A$738),COLUMNS($AB$299:AL$299))),"")</f>
        <v/>
      </c>
      <c r="AM308" s="22" t="str" cm="1">
        <f t="array" ref="AM308">IF(COLUMNS($AB$299:AM$299)&lt;=$Z308,INDEX($G:$G,_xlfn.AGGREGATE(15,3,($A$301:$A$738=$AA308)/($A$301:$A$738=$AA308)*ROW($A$301:$A$738),COLUMNS($AB$299:AM$299))),"")</f>
        <v/>
      </c>
      <c r="AN308" s="22" t="str" cm="1">
        <f t="array" ref="AN308">IF(COLUMNS($AB$299:AN$299)&lt;=$Z308,INDEX($G:$G,_xlfn.AGGREGATE(15,3,($A$301:$A$738=$AA308)/($A$301:$A$738=$AA308)*ROW($A$301:$A$738),COLUMNS($AB$299:AN$299))),"")</f>
        <v/>
      </c>
      <c r="AO308" s="22" t="str" cm="1">
        <f t="array" ref="AO308">IF(COLUMNS($AB$298:AO$298)&lt;=$Z309,INDEX($G:$G,_xlfn.AGGREGATE(15,3,($A$301:$A$738=$AA309)/($A$301:$A$738=$AA309)*ROW($A$301:$A$738),COLUMNS($AB$298:AO$298))),"")</f>
        <v/>
      </c>
    </row>
    <row r="309" spans="1:41" s="22" customFormat="1" ht="16.5" customHeight="1" x14ac:dyDescent="0.3">
      <c r="A309" s="22" t="str">
        <f>CONCATENATE(B309,C309,Concrete_block_walls_minimum_insulation_R_Value_climate_zone_1108[[#This Row],[Column1]])</f>
        <v>1Concrete block walls≤ 0.3</v>
      </c>
      <c r="B309" s="22">
        <v>1</v>
      </c>
      <c r="C309" s="22" t="s">
        <v>191</v>
      </c>
      <c r="D309" s="22" t="str">
        <f>CONCATENATE(B309,C309,Concrete_block_walls_minimum_insulation_R_Value_climate_zone_1108[[#This Row],[Column1]],Concrete_block_walls_minimum_insulation_R_Value_climate_zone_1108[[#This Row],[Column4]])</f>
        <v>1Concrete block walls≤ 0.3&gt; 1800 to ≤ 2400</v>
      </c>
      <c r="E309" s="22" t="str">
        <f t="shared" si="3"/>
        <v>1Concrete block walls</v>
      </c>
      <c r="F309" s="32" t="s">
        <v>518</v>
      </c>
      <c r="G309" s="32" t="s">
        <v>542</v>
      </c>
      <c r="H309" s="32">
        <v>0</v>
      </c>
      <c r="I309" s="32">
        <v>0</v>
      </c>
      <c r="J309" s="32">
        <v>0</v>
      </c>
      <c r="K309" s="32" t="s">
        <v>522</v>
      </c>
      <c r="P309" s="22" t="s">
        <v>543</v>
      </c>
      <c r="Q309" s="22" t="e">
        <f>INDEX($H$704:$K$709, MATCH('13.2 Building Fabric'!$E$65,$D$704:$D$709,0),MATCH('13.2 Building Fabric'!$O$65,$H$703:$K$703,0))</f>
        <v>#N/A</v>
      </c>
      <c r="R309" s="22" t="e">
        <f>INDEX($H$704:$K$709, MATCH('13.2 Building Fabric'!$E$66,$D$704:$D$709,0),MATCH('13.2 Building Fabric'!$O$66,$H$703:$K$703,0))</f>
        <v>#N/A</v>
      </c>
      <c r="S309" s="22" t="e">
        <f>INDEX($H$704:$K$709, MATCH('13.2 Building Fabric'!$E$67,$D$704:$D$709,0),MATCH('13.2 Building Fabric'!$O$67,$H$703:$K$703,0))</f>
        <v>#N/A</v>
      </c>
      <c r="T309" s="22" t="e">
        <f>INDEX($H$704:$K$709, MATCH('13.2 Building Fabric'!$E$68,$D$704:$D$709,0),MATCH('13.2 Building Fabric'!$O$68,$H$703:$K$703,0))</f>
        <v>#N/A</v>
      </c>
      <c r="Z309" s="22">
        <f t="shared" si="2"/>
        <v>9</v>
      </c>
      <c r="AA309" t="s">
        <v>544</v>
      </c>
      <c r="AB309" s="22" cm="1">
        <f t="array" ref="AB309">IF(COLUMNS($AB$299:AB$299)&lt;=$Z309,INDEX($G:$G,_xlfn.AGGREGATE(15,3,($A$301:$A$738=$AA309)/($A$301:$A$738=$AA309)*ROW($A$301:$A$738),COLUMNS($AB$299:AB$299))),"")</f>
        <v>0</v>
      </c>
      <c r="AC309" s="22" t="str" cm="1">
        <f t="array" ref="AC309">IF(COLUMNS($AB$299:AC$299)&lt;=$Z309,INDEX($G:$G,_xlfn.AGGREGATE(15,3,($A$301:$A$738=$AA309)/($A$301:$A$738=$AA309)*ROW($A$301:$A$738),COLUMNS($AB$299:AC$299))),"")</f>
        <v>&gt; 0 to ≤ 300</v>
      </c>
      <c r="AD309" s="22" t="str" cm="1">
        <f t="array" ref="AD309">IF(COLUMNS($AB$299:AD$299)&lt;=$Z309,INDEX($G:$G,_xlfn.AGGREGATE(15,3,($A$301:$A$738=$AA309)/($A$301:$A$738=$AA309)*ROW($A$301:$A$738),COLUMNS($AB$299:AD$299))),"")</f>
        <v>&gt; 300 to ≤ 450</v>
      </c>
      <c r="AE309" s="22" t="str" cm="1">
        <f t="array" ref="AE309">IF(COLUMNS($AB$299:AE$299)&lt;=$Z309,INDEX($G:$G,_xlfn.AGGREGATE(15,3,($A$301:$A$738=$AA309)/($A$301:$A$738=$AA309)*ROW($A$301:$A$738),COLUMNS($AB$299:AE$299))),"")</f>
        <v>&gt; 450 to ≤ 600</v>
      </c>
      <c r="AF309" s="22" t="str" cm="1">
        <f t="array" ref="AF309">IF(COLUMNS($AB$299:AF$299)&lt;=$Z309,INDEX($G:$G,_xlfn.AGGREGATE(15,3,($A$301:$A$738=$AA309)/($A$301:$A$738=$AA309)*ROW($A$301:$A$738),COLUMNS($AB$299:AF$299))),"")</f>
        <v>&gt; 600 to ≤ 900</v>
      </c>
      <c r="AG309" s="22" t="str" cm="1">
        <f t="array" ref="AG309">IF(COLUMNS($AB$299:AG$299)&lt;=$Z309,INDEX($G:$G,_xlfn.AGGREGATE(15,3,($A$301:$A$738=$AA309)/($A$301:$A$738=$AA309)*ROW($A$301:$A$738),COLUMNS($AB$299:AG$299))),"")</f>
        <v>&gt; 900 to ≤ 1200</v>
      </c>
      <c r="AH309" s="22" t="str" cm="1">
        <f t="array" ref="AH309">IF(COLUMNS($AB$299:AH$299)&lt;=$Z309,INDEX($G:$G,_xlfn.AGGREGATE(15,3,($A$301:$A$738=$AA309)/($A$301:$A$738=$AA309)*ROW($A$301:$A$738),COLUMNS($AB$299:AH$299))),"")</f>
        <v>&gt; 1200 to ≤ 1500</v>
      </c>
      <c r="AI309" s="22" t="str" cm="1">
        <f t="array" ref="AI309">IF(COLUMNS($AB$299:AI$299)&lt;=$Z309,INDEX($G:$G,_xlfn.AGGREGATE(15,3,($A$301:$A$738=$AA309)/($A$301:$A$738=$AA309)*ROW($A$301:$A$738),COLUMNS($AB$299:AI$299))),"")</f>
        <v>&gt; 1500 to ≤ 1800</v>
      </c>
      <c r="AJ309" s="22" t="str" cm="1">
        <f t="array" ref="AJ309">IF(COLUMNS($AB$299:AJ$299)&lt;=$Z309,INDEX($G:$G,_xlfn.AGGREGATE(15,3,($A$301:$A$738=$AA309)/($A$301:$A$738=$AA309)*ROW($A$301:$A$738),COLUMNS($AB$299:AJ$299))),"")</f>
        <v>&gt; 1800 to ≤ 2400</v>
      </c>
      <c r="AK309" s="22" t="str" cm="1">
        <f t="array" ref="AK309">IF(COLUMNS($AB$299:AK$299)&lt;=$Z309,INDEX($G:$G,_xlfn.AGGREGATE(15,3,($A$301:$A$738=$AA309)/($A$301:$A$738=$AA309)*ROW($A$301:$A$738),COLUMNS($AB$299:AK$299))),"")</f>
        <v/>
      </c>
      <c r="AL309" s="22" t="str" cm="1">
        <f t="array" ref="AL309">IF(COLUMNS($AB$299:AL$299)&lt;=$Z309,INDEX($G:$G,_xlfn.AGGREGATE(15,3,($A$301:$A$738=$AA309)/($A$301:$A$738=$AA309)*ROW($A$301:$A$738),COLUMNS($AB$299:AL$299))),"")</f>
        <v/>
      </c>
      <c r="AM309" s="22" t="str" cm="1">
        <f t="array" ref="AM309">IF(COLUMNS($AB$299:AM$299)&lt;=$Z309,INDEX($G:$G,_xlfn.AGGREGATE(15,3,($A$301:$A$738=$AA309)/($A$301:$A$738=$AA309)*ROW($A$301:$A$738),COLUMNS($AB$299:AM$299))),"")</f>
        <v/>
      </c>
      <c r="AN309" s="22" t="str" cm="1">
        <f t="array" ref="AN309">IF(COLUMNS($AB$299:AN$299)&lt;=$Z309,INDEX($G:$G,_xlfn.AGGREGATE(15,3,($A$301:$A$738=$AA309)/($A$301:$A$738=$AA309)*ROW($A$301:$A$738),COLUMNS($AB$299:AN$299))),"")</f>
        <v/>
      </c>
      <c r="AO309" s="22" t="str" cm="1">
        <f t="array" ref="AO309">IF(COLUMNS($AB$298:AO$298)&lt;=$Z310,INDEX($G:$G,_xlfn.AGGREGATE(15,3,($A$301:$A$738=$AA310)/($A$301:$A$738=$AA310)*ROW($A$301:$A$738),COLUMNS($AB$298:AO$298))),"")</f>
        <v/>
      </c>
    </row>
    <row r="310" spans="1:41" s="22" customFormat="1" ht="16.5" customHeight="1" x14ac:dyDescent="0.3">
      <c r="A310" s="22" t="str">
        <f>CONCATENATE(B310,C310,Concrete_block_walls_minimum_insulation_R_Value_climate_zone_1108[[#This Row],[Column1]])</f>
        <v>1Concrete block walls&gt; 0.3 to ≤ 0.4</v>
      </c>
      <c r="B310" s="22">
        <v>1</v>
      </c>
      <c r="C310" s="22" t="s">
        <v>191</v>
      </c>
      <c r="D310" s="22" t="str">
        <f>CONCATENATE(B310,C310,Concrete_block_walls_minimum_insulation_R_Value_climate_zone_1108[[#This Row],[Column1]],Concrete_block_walls_minimum_insulation_R_Value_climate_zone_1108[[#This Row],[Column4]])</f>
        <v>1Concrete block walls&gt; 0.3 to ≤ 0.40</v>
      </c>
      <c r="E310" s="22" t="str">
        <f t="shared" si="3"/>
        <v>1Concrete block walls</v>
      </c>
      <c r="F310" s="32" t="s">
        <v>545</v>
      </c>
      <c r="G310" s="32">
        <v>0</v>
      </c>
      <c r="H310" s="32" t="s">
        <v>321</v>
      </c>
      <c r="I310" s="32" t="s">
        <v>321</v>
      </c>
      <c r="J310" s="32" t="s">
        <v>321</v>
      </c>
      <c r="K310" s="32" t="s">
        <v>321</v>
      </c>
      <c r="P310" s="22" t="s">
        <v>546</v>
      </c>
      <c r="Q310" s="22" t="e">
        <f>INDEX($H$715:$K$738, MATCH('13.2 Building Fabric'!$E$65,$D$715:$D$738,0),MATCH('13.2 Building Fabric'!$O$65,$H$714:$K$714,0))</f>
        <v>#N/A</v>
      </c>
      <c r="R310" s="22" t="e">
        <f>INDEX($H$715:$K$738, MATCH('13.2 Building Fabric'!$E$66,$D$715:$D$738,0),MATCH('13.2 Building Fabric'!$O$66,$H$714:$K$714,0))</f>
        <v>#N/A</v>
      </c>
      <c r="S310" s="22" t="e">
        <f>INDEX($H$715:$K$738, MATCH('13.2 Building Fabric'!$E$67,$D$715:$D$738,0),MATCH('13.2 Building Fabric'!$O$67,$H$714:$K$714,0))</f>
        <v>#N/A</v>
      </c>
      <c r="T310" s="22" t="e">
        <f>INDEX($H$715:$K$738, MATCH('13.2 Building Fabric'!$E$68,$D$715:$D$738,0),MATCH('13.2 Building Fabric'!$O$68,$H$714:$K$714,0))</f>
        <v>#N/A</v>
      </c>
      <c r="Z310" s="22">
        <f t="shared" si="2"/>
        <v>9</v>
      </c>
      <c r="AA310" t="s">
        <v>547</v>
      </c>
      <c r="AB310" s="22" cm="1">
        <f t="array" ref="AB310">IF(COLUMNS($AB$299:AB$299)&lt;=$Z310,INDEX($G:$G,_xlfn.AGGREGATE(15,3,($A$301:$A$738=$AA310)/($A$301:$A$738=$AA310)*ROW($A$301:$A$738),COLUMNS($AB$299:AB$299))),"")</f>
        <v>0</v>
      </c>
      <c r="AC310" s="22" t="str" cm="1">
        <f t="array" ref="AC310">IF(COLUMNS($AB$299:AC$299)&lt;=$Z310,INDEX($G:$G,_xlfn.AGGREGATE(15,3,($A$301:$A$738=$AA310)/($A$301:$A$738=$AA310)*ROW($A$301:$A$738),COLUMNS($AB$299:AC$299))),"")</f>
        <v>&gt; 0 to ≤ 300</v>
      </c>
      <c r="AD310" s="22" t="str" cm="1">
        <f t="array" ref="AD310">IF(COLUMNS($AB$299:AD$299)&lt;=$Z310,INDEX($G:$G,_xlfn.AGGREGATE(15,3,($A$301:$A$738=$AA310)/($A$301:$A$738=$AA310)*ROW($A$301:$A$738),COLUMNS($AB$299:AD$299))),"")</f>
        <v>&gt; 300 to ≤ 450</v>
      </c>
      <c r="AE310" s="22" t="str" cm="1">
        <f t="array" ref="AE310">IF(COLUMNS($AB$299:AE$299)&lt;=$Z310,INDEX($G:$G,_xlfn.AGGREGATE(15,3,($A$301:$A$738=$AA310)/($A$301:$A$738=$AA310)*ROW($A$301:$A$738),COLUMNS($AB$299:AE$299))),"")</f>
        <v>&gt; 450 to ≤ 600</v>
      </c>
      <c r="AF310" s="22" t="str" cm="1">
        <f t="array" ref="AF310">IF(COLUMNS($AB$299:AF$299)&lt;=$Z310,INDEX($G:$G,_xlfn.AGGREGATE(15,3,($A$301:$A$738=$AA310)/($A$301:$A$738=$AA310)*ROW($A$301:$A$738),COLUMNS($AB$299:AF$299))),"")</f>
        <v>&gt; 600 to ≤ 900</v>
      </c>
      <c r="AG310" s="22" t="str" cm="1">
        <f t="array" ref="AG310">IF(COLUMNS($AB$299:AG$299)&lt;=$Z310,INDEX($G:$G,_xlfn.AGGREGATE(15,3,($A$301:$A$738=$AA310)/($A$301:$A$738=$AA310)*ROW($A$301:$A$738),COLUMNS($AB$299:AG$299))),"")</f>
        <v>&gt; 900 to ≤ 1200</v>
      </c>
      <c r="AH310" s="22" t="str" cm="1">
        <f t="array" ref="AH310">IF(COLUMNS($AB$299:AH$299)&lt;=$Z310,INDEX($G:$G,_xlfn.AGGREGATE(15,3,($A$301:$A$738=$AA310)/($A$301:$A$738=$AA310)*ROW($A$301:$A$738),COLUMNS($AB$299:AH$299))),"")</f>
        <v>&gt; 1200 to ≤ 1500</v>
      </c>
      <c r="AI310" s="22" t="str" cm="1">
        <f t="array" ref="AI310">IF(COLUMNS($AB$299:AI$299)&lt;=$Z310,INDEX($G:$G,_xlfn.AGGREGATE(15,3,($A$301:$A$738=$AA310)/($A$301:$A$738=$AA310)*ROW($A$301:$A$738),COLUMNS($AB$299:AI$299))),"")</f>
        <v>&gt; 1500 to ≤ 1800</v>
      </c>
      <c r="AJ310" s="22" t="str" cm="1">
        <f t="array" ref="AJ310">IF(COLUMNS($AB$299:AJ$299)&lt;=$Z310,INDEX($G:$G,_xlfn.AGGREGATE(15,3,($A$301:$A$738=$AA310)/($A$301:$A$738=$AA310)*ROW($A$301:$A$738),COLUMNS($AB$299:AJ$299))),"")</f>
        <v>&gt; 1800 to ≤ 2400</v>
      </c>
      <c r="AK310" s="22" t="str" cm="1">
        <f t="array" ref="AK310">IF(COLUMNS($AB$299:AK$299)&lt;=$Z310,INDEX($G:$G,_xlfn.AGGREGATE(15,3,($A$301:$A$738=$AA310)/($A$301:$A$738=$AA310)*ROW($A$301:$A$738),COLUMNS($AB$299:AK$299))),"")</f>
        <v/>
      </c>
      <c r="AL310" s="22" t="str" cm="1">
        <f t="array" ref="AL310">IF(COLUMNS($AB$299:AL$299)&lt;=$Z310,INDEX($G:$G,_xlfn.AGGREGATE(15,3,($A$301:$A$738=$AA310)/($A$301:$A$738=$AA310)*ROW($A$301:$A$738),COLUMNS($AB$299:AL$299))),"")</f>
        <v/>
      </c>
      <c r="AM310" s="22" t="str" cm="1">
        <f t="array" ref="AM310">IF(COLUMNS($AB$299:AM$299)&lt;=$Z310,INDEX($G:$G,_xlfn.AGGREGATE(15,3,($A$301:$A$738=$AA310)/($A$301:$A$738=$AA310)*ROW($A$301:$A$738),COLUMNS($AB$299:AM$299))),"")</f>
        <v/>
      </c>
      <c r="AN310" s="22" t="str" cm="1">
        <f t="array" ref="AN310">IF(COLUMNS($AB$299:AN$299)&lt;=$Z310,INDEX($G:$G,_xlfn.AGGREGATE(15,3,($A$301:$A$738=$AA310)/($A$301:$A$738=$AA310)*ROW($A$301:$A$738),COLUMNS($AB$299:AN$299))),"")</f>
        <v/>
      </c>
      <c r="AO310" s="22" t="str" cm="1">
        <f t="array" ref="AO310">IF(COLUMNS($AB$298:AO$298)&lt;=$Z311,INDEX($G:$G,_xlfn.AGGREGATE(15,3,($A$301:$A$738=$AA311)/($A$301:$A$738=$AA311)*ROW($A$301:$A$738),COLUMNS($AB$298:AO$298))),"")</f>
        <v/>
      </c>
    </row>
    <row r="311" spans="1:41" s="22" customFormat="1" ht="16.5" customHeight="1" x14ac:dyDescent="0.3">
      <c r="A311" s="22" t="str">
        <f>CONCATENATE(B311,C311,Concrete_block_walls_minimum_insulation_R_Value_climate_zone_1108[[#This Row],[Column1]])</f>
        <v>1Concrete block walls&gt; 0.3 to ≤ 0.4</v>
      </c>
      <c r="B311" s="22">
        <v>1</v>
      </c>
      <c r="C311" s="22" t="s">
        <v>191</v>
      </c>
      <c r="D311" s="22" t="str">
        <f>CONCATENATE(B311,C311,Concrete_block_walls_minimum_insulation_R_Value_climate_zone_1108[[#This Row],[Column1]],Concrete_block_walls_minimum_insulation_R_Value_climate_zone_1108[[#This Row],[Column4]])</f>
        <v>1Concrete block walls&gt; 0.3 to ≤ 0.4&gt; 0 to ≤ 300</v>
      </c>
      <c r="E311" s="22" t="str">
        <f t="shared" si="3"/>
        <v>1Concrete block walls</v>
      </c>
      <c r="F311" s="32" t="s">
        <v>545</v>
      </c>
      <c r="G311" s="32" t="s">
        <v>521</v>
      </c>
      <c r="H311" s="32">
        <v>1</v>
      </c>
      <c r="I311" s="32" t="s">
        <v>321</v>
      </c>
      <c r="J311" s="32" t="s">
        <v>321</v>
      </c>
      <c r="K311" s="32" t="s">
        <v>321</v>
      </c>
      <c r="Z311" s="22">
        <f t="shared" si="2"/>
        <v>8</v>
      </c>
      <c r="AA311" t="s">
        <v>548</v>
      </c>
      <c r="AB311" s="22" cm="1">
        <f t="array" ref="AB311">IF(COLUMNS($AB$299:AB$299)&lt;=$Z311,INDEX($G:$G,_xlfn.AGGREGATE(15,3,($A$301:$A$738=$AA311)/($A$301:$A$738=$AA311)*ROW($A$301:$A$738),COLUMNS($AB$299:AB$299))),"")</f>
        <v>0</v>
      </c>
      <c r="AC311" s="22" t="str" cm="1">
        <f t="array" ref="AC311">IF(COLUMNS($AB$299:AC$299)&lt;=$Z311,INDEX($G:$G,_xlfn.AGGREGATE(15,3,($A$301:$A$738=$AA311)/($A$301:$A$738=$AA311)*ROW($A$301:$A$738),COLUMNS($AB$299:AC$299))),"")</f>
        <v>&gt; 0 to ≤ 300</v>
      </c>
      <c r="AD311" s="22" t="str" cm="1">
        <f t="array" ref="AD311">IF(COLUMNS($AB$299:AD$299)&lt;=$Z311,INDEX($G:$G,_xlfn.AGGREGATE(15,3,($A$301:$A$738=$AA311)/($A$301:$A$738=$AA311)*ROW($A$301:$A$738),COLUMNS($AB$299:AD$299))),"")</f>
        <v>&gt; 300 to ≤ 450</v>
      </c>
      <c r="AE311" s="22" t="str" cm="1">
        <f t="array" ref="AE311">IF(COLUMNS($AB$299:AE$299)&lt;=$Z311,INDEX($G:$G,_xlfn.AGGREGATE(15,3,($A$301:$A$738=$AA311)/($A$301:$A$738=$AA311)*ROW($A$301:$A$738),COLUMNS($AB$299:AE$299))),"")</f>
        <v>&gt; 450 to ≤ 600</v>
      </c>
      <c r="AF311" s="22" t="str" cm="1">
        <f t="array" ref="AF311">IF(COLUMNS($AB$299:AF$299)&lt;=$Z311,INDEX($G:$G,_xlfn.AGGREGATE(15,3,($A$301:$A$738=$AA311)/($A$301:$A$738=$AA311)*ROW($A$301:$A$738),COLUMNS($AB$299:AF$299))),"")</f>
        <v>&gt; 600 to ≤ 900</v>
      </c>
      <c r="AG311" s="22" t="str" cm="1">
        <f t="array" ref="AG311">IF(COLUMNS($AB$299:AG$299)&lt;=$Z311,INDEX($G:$G,_xlfn.AGGREGATE(15,3,($A$301:$A$738=$AA311)/($A$301:$A$738=$AA311)*ROW($A$301:$A$738),COLUMNS($AB$299:AG$299))),"")</f>
        <v>&gt; 900 to ≤ 1200</v>
      </c>
      <c r="AH311" s="22" t="str" cm="1">
        <f t="array" ref="AH311">IF(COLUMNS($AB$299:AH$299)&lt;=$Z311,INDEX($G:$G,_xlfn.AGGREGATE(15,3,($A$301:$A$738=$AA311)/($A$301:$A$738=$AA311)*ROW($A$301:$A$738),COLUMNS($AB$299:AH$299))),"")</f>
        <v>&gt; 1200 to ≤ 1500</v>
      </c>
      <c r="AI311" s="22" t="str" cm="1">
        <f t="array" ref="AI311">IF(COLUMNS($AB$299:AI$299)&lt;=$Z311,INDEX($G:$G,_xlfn.AGGREGATE(15,3,($A$301:$A$738=$AA311)/($A$301:$A$738=$AA311)*ROW($A$301:$A$738),COLUMNS($AB$299:AI$299))),"")</f>
        <v>&gt; 1500 to ≤ 1800</v>
      </c>
      <c r="AJ311" s="22" t="str" cm="1">
        <f t="array" ref="AJ311">IF(COLUMNS($AB$299:AJ$299)&lt;=$Z311,INDEX($G:$G,_xlfn.AGGREGATE(15,3,($A$301:$A$738=$AA311)/($A$301:$A$738=$AA311)*ROW($A$301:$A$738),COLUMNS($AB$299:AJ$299))),"")</f>
        <v/>
      </c>
      <c r="AK311" s="22" t="str" cm="1">
        <f t="array" ref="AK311">IF(COLUMNS($AB$299:AK$299)&lt;=$Z311,INDEX($G:$G,_xlfn.AGGREGATE(15,3,($A$301:$A$738=$AA311)/($A$301:$A$738=$AA311)*ROW($A$301:$A$738),COLUMNS($AB$299:AK$299))),"")</f>
        <v/>
      </c>
      <c r="AL311" s="22" t="str" cm="1">
        <f t="array" ref="AL311">IF(COLUMNS($AB$299:AL$299)&lt;=$Z311,INDEX($G:$G,_xlfn.AGGREGATE(15,3,($A$301:$A$738=$AA311)/($A$301:$A$738=$AA311)*ROW($A$301:$A$738),COLUMNS($AB$299:AL$299))),"")</f>
        <v/>
      </c>
      <c r="AM311" s="22" t="str" cm="1">
        <f t="array" ref="AM311">IF(COLUMNS($AB$299:AM$299)&lt;=$Z311,INDEX($G:$G,_xlfn.AGGREGATE(15,3,($A$301:$A$738=$AA311)/($A$301:$A$738=$AA311)*ROW($A$301:$A$738),COLUMNS($AB$299:AM$299))),"")</f>
        <v/>
      </c>
      <c r="AN311" s="22" t="str" cm="1">
        <f t="array" ref="AN311">IF(COLUMNS($AB$299:AN$299)&lt;=$Z311,INDEX($G:$G,_xlfn.AGGREGATE(15,3,($A$301:$A$738=$AA311)/($A$301:$A$738=$AA311)*ROW($A$301:$A$738),COLUMNS($AB$299:AN$299))),"")</f>
        <v/>
      </c>
      <c r="AO311" s="22" t="str" cm="1">
        <f t="array" ref="AO311">IF(COLUMNS($AB$298:AO$298)&lt;=$Z312,INDEX($G:$G,_xlfn.AGGREGATE(15,3,($A$301:$A$738=$AA312)/($A$301:$A$738=$AA312)*ROW($A$301:$A$738),COLUMNS($AB$298:AO$298))),"")</f>
        <v/>
      </c>
    </row>
    <row r="312" spans="1:41" s="22" customFormat="1" ht="16.5" customHeight="1" x14ac:dyDescent="0.3">
      <c r="A312" s="22" t="str">
        <f>CONCATENATE(B312,C312,Concrete_block_walls_minimum_insulation_R_Value_climate_zone_1108[[#This Row],[Column1]])</f>
        <v>1Concrete block walls&gt; 0.3 to ≤ 0.4</v>
      </c>
      <c r="B312" s="22">
        <v>1</v>
      </c>
      <c r="C312" s="22" t="s">
        <v>191</v>
      </c>
      <c r="D312" s="22" t="str">
        <f>CONCATENATE(B312,C312,Concrete_block_walls_minimum_insulation_R_Value_climate_zone_1108[[#This Row],[Column1]],Concrete_block_walls_minimum_insulation_R_Value_climate_zone_1108[[#This Row],[Column4]])</f>
        <v>1Concrete block walls&gt; 0.3 to ≤ 0.4&gt; 300 to ≤ 450</v>
      </c>
      <c r="E312" s="22" t="str">
        <f t="shared" si="3"/>
        <v>1Concrete block walls</v>
      </c>
      <c r="F312" s="32" t="s">
        <v>545</v>
      </c>
      <c r="G312" s="32" t="s">
        <v>525</v>
      </c>
      <c r="H312" s="32">
        <v>1</v>
      </c>
      <c r="I312" s="32">
        <v>1</v>
      </c>
      <c r="J312" s="32" t="s">
        <v>321</v>
      </c>
      <c r="K312" s="32" t="s">
        <v>321</v>
      </c>
      <c r="S312" s="22" t="s">
        <v>549</v>
      </c>
      <c r="Z312" s="22">
        <f t="shared" si="2"/>
        <v>8</v>
      </c>
      <c r="AA312" t="s">
        <v>550</v>
      </c>
      <c r="AB312" s="22" cm="1">
        <f t="array" ref="AB312">IF(COLUMNS($AB$299:AB$299)&lt;=$Z312,INDEX($G:$G,_xlfn.AGGREGATE(15,3,($A$301:$A$738=$AA312)/($A$301:$A$738=$AA312)*ROW($A$301:$A$738),COLUMNS($AB$299:AB$299))),"")</f>
        <v>0</v>
      </c>
      <c r="AC312" s="22" t="str" cm="1">
        <f t="array" ref="AC312">IF(COLUMNS($AB$299:AC$299)&lt;=$Z312,INDEX($G:$G,_xlfn.AGGREGATE(15,3,($A$301:$A$738=$AA312)/($A$301:$A$738=$AA312)*ROW($A$301:$A$738),COLUMNS($AB$299:AC$299))),"")</f>
        <v>&gt; 0 to ≤ 300</v>
      </c>
      <c r="AD312" s="22" t="str" cm="1">
        <f t="array" ref="AD312">IF(COLUMNS($AB$299:AD$299)&lt;=$Z312,INDEX($G:$G,_xlfn.AGGREGATE(15,3,($A$301:$A$738=$AA312)/($A$301:$A$738=$AA312)*ROW($A$301:$A$738),COLUMNS($AB$299:AD$299))),"")</f>
        <v>&gt; 300 to ≤ 450</v>
      </c>
      <c r="AE312" s="22" t="str" cm="1">
        <f t="array" ref="AE312">IF(COLUMNS($AB$299:AE$299)&lt;=$Z312,INDEX($G:$G,_xlfn.AGGREGATE(15,3,($A$301:$A$738=$AA312)/($A$301:$A$738=$AA312)*ROW($A$301:$A$738),COLUMNS($AB$299:AE$299))),"")</f>
        <v>&gt; 450 to ≤ 600</v>
      </c>
      <c r="AF312" s="22" t="str" cm="1">
        <f t="array" ref="AF312">IF(COLUMNS($AB$299:AF$299)&lt;=$Z312,INDEX($G:$G,_xlfn.AGGREGATE(15,3,($A$301:$A$738=$AA312)/($A$301:$A$738=$AA312)*ROW($A$301:$A$738),COLUMNS($AB$299:AF$299))),"")</f>
        <v>&gt; 600 to ≤ 900</v>
      </c>
      <c r="AG312" s="22" t="str" cm="1">
        <f t="array" ref="AG312">IF(COLUMNS($AB$299:AG$299)&lt;=$Z312,INDEX($G:$G,_xlfn.AGGREGATE(15,3,($A$301:$A$738=$AA312)/($A$301:$A$738=$AA312)*ROW($A$301:$A$738),COLUMNS($AB$299:AG$299))),"")</f>
        <v>&gt; 900 to ≤ 1200</v>
      </c>
      <c r="AH312" s="22" t="str" cm="1">
        <f t="array" ref="AH312">IF(COLUMNS($AB$299:AH$299)&lt;=$Z312,INDEX($G:$G,_xlfn.AGGREGATE(15,3,($A$301:$A$738=$AA312)/($A$301:$A$738=$AA312)*ROW($A$301:$A$738),COLUMNS($AB$299:AH$299))),"")</f>
        <v>&gt; 1200 to ≤ 1500</v>
      </c>
      <c r="AI312" s="22" t="str" cm="1">
        <f t="array" ref="AI312">IF(COLUMNS($AB$299:AI$299)&lt;=$Z312,INDEX($G:$G,_xlfn.AGGREGATE(15,3,($A$301:$A$738=$AA312)/($A$301:$A$738=$AA312)*ROW($A$301:$A$738),COLUMNS($AB$299:AI$299))),"")</f>
        <v>&gt; 1500 to ≤ 1800</v>
      </c>
      <c r="AJ312" s="22" t="str" cm="1">
        <f t="array" ref="AJ312">IF(COLUMNS($AB$299:AJ$299)&lt;=$Z312,INDEX($G:$G,_xlfn.AGGREGATE(15,3,($A$301:$A$738=$AA312)/($A$301:$A$738=$AA312)*ROW($A$301:$A$738),COLUMNS($AB$299:AJ$299))),"")</f>
        <v/>
      </c>
      <c r="AK312" s="22" t="str" cm="1">
        <f t="array" ref="AK312">IF(COLUMNS($AB$299:AK$299)&lt;=$Z312,INDEX($G:$G,_xlfn.AGGREGATE(15,3,($A$301:$A$738=$AA312)/($A$301:$A$738=$AA312)*ROW($A$301:$A$738),COLUMNS($AB$299:AK$299))),"")</f>
        <v/>
      </c>
      <c r="AL312" s="22" t="str" cm="1">
        <f t="array" ref="AL312">IF(COLUMNS($AB$299:AL$299)&lt;=$Z312,INDEX($G:$G,_xlfn.AGGREGATE(15,3,($A$301:$A$738=$AA312)/($A$301:$A$738=$AA312)*ROW($A$301:$A$738),COLUMNS($AB$299:AL$299))),"")</f>
        <v/>
      </c>
      <c r="AM312" s="22" t="str" cm="1">
        <f t="array" ref="AM312">IF(COLUMNS($AB$299:AM$299)&lt;=$Z312,INDEX($G:$G,_xlfn.AGGREGATE(15,3,($A$301:$A$738=$AA312)/($A$301:$A$738=$AA312)*ROW($A$301:$A$738),COLUMNS($AB$299:AM$299))),"")</f>
        <v/>
      </c>
      <c r="AN312" s="22" t="str" cm="1">
        <f t="array" ref="AN312">IF(COLUMNS($AB$299:AN$299)&lt;=$Z312,INDEX($G:$G,_xlfn.AGGREGATE(15,3,($A$301:$A$738=$AA312)/($A$301:$A$738=$AA312)*ROW($A$301:$A$738),COLUMNS($AB$299:AN$299))),"")</f>
        <v/>
      </c>
      <c r="AO312" s="22" t="str" cm="1">
        <f t="array" ref="AO312">IF(COLUMNS($AB$298:AO$298)&lt;=$Z313,INDEX($G:$G,_xlfn.AGGREGATE(15,3,($A$301:$A$738=$AA313)/($A$301:$A$738=$AA313)*ROW($A$301:$A$738),COLUMNS($AB$298:AO$298))),"")</f>
        <v/>
      </c>
    </row>
    <row r="313" spans="1:41" s="22" customFormat="1" ht="16.5" customHeight="1" x14ac:dyDescent="0.3">
      <c r="A313" s="22" t="str">
        <f>CONCATENATE(B313,C313,Concrete_block_walls_minimum_insulation_R_Value_climate_zone_1108[[#This Row],[Column1]])</f>
        <v>1Concrete block walls&gt; 0.3 to ≤ 0.4</v>
      </c>
      <c r="B313" s="22">
        <v>1</v>
      </c>
      <c r="C313" s="22" t="s">
        <v>191</v>
      </c>
      <c r="D313" s="22" t="str">
        <f>CONCATENATE(B313,C313,Concrete_block_walls_minimum_insulation_R_Value_climate_zone_1108[[#This Row],[Column1]],Concrete_block_walls_minimum_insulation_R_Value_climate_zone_1108[[#This Row],[Column4]])</f>
        <v>1Concrete block walls&gt; 0.3 to ≤ 0.4&gt; 450 to ≤ 600</v>
      </c>
      <c r="E313" s="22" t="str">
        <f t="shared" si="3"/>
        <v>1Concrete block walls</v>
      </c>
      <c r="F313" s="32" t="s">
        <v>545</v>
      </c>
      <c r="G313" s="32" t="s">
        <v>528</v>
      </c>
      <c r="H313" s="32" t="s">
        <v>522</v>
      </c>
      <c r="I313" s="32" t="s">
        <v>522</v>
      </c>
      <c r="J313" s="32">
        <v>2</v>
      </c>
      <c r="K313" s="32" t="s">
        <v>321</v>
      </c>
      <c r="P313" s="719" t="s">
        <v>499</v>
      </c>
      <c r="S313" s="22" t="s">
        <v>512</v>
      </c>
      <c r="Z313" s="22">
        <f t="shared" si="2"/>
        <v>8</v>
      </c>
      <c r="AA313" t="s">
        <v>551</v>
      </c>
      <c r="AB313" s="22" cm="1">
        <f t="array" ref="AB313">IF(COLUMNS($AB$299:AB$299)&lt;=$Z313,INDEX($G:$G,_xlfn.AGGREGATE(15,3,($A$301:$A$738=$AA313)/($A$301:$A$738=$AA313)*ROW($A$301:$A$738),COLUMNS($AB$299:AB$299))),"")</f>
        <v>0</v>
      </c>
      <c r="AC313" s="22" t="str" cm="1">
        <f t="array" ref="AC313">IF(COLUMNS($AB$299:AC$299)&lt;=$Z313,INDEX($G:$G,_xlfn.AGGREGATE(15,3,($A$301:$A$738=$AA313)/($A$301:$A$738=$AA313)*ROW($A$301:$A$738),COLUMNS($AB$299:AC$299))),"")</f>
        <v>&gt; 0 to ≤ 300</v>
      </c>
      <c r="AD313" s="22" t="str" cm="1">
        <f t="array" ref="AD313">IF(COLUMNS($AB$299:AD$299)&lt;=$Z313,INDEX($G:$G,_xlfn.AGGREGATE(15,3,($A$301:$A$738=$AA313)/($A$301:$A$738=$AA313)*ROW($A$301:$A$738),COLUMNS($AB$299:AD$299))),"")</f>
        <v>&gt; 300 to ≤ 450</v>
      </c>
      <c r="AE313" s="22" t="str" cm="1">
        <f t="array" ref="AE313">IF(COLUMNS($AB$299:AE$299)&lt;=$Z313,INDEX($G:$G,_xlfn.AGGREGATE(15,3,($A$301:$A$738=$AA313)/($A$301:$A$738=$AA313)*ROW($A$301:$A$738),COLUMNS($AB$299:AE$299))),"")</f>
        <v>&gt; 450 to ≤ 600</v>
      </c>
      <c r="AF313" s="22" t="str" cm="1">
        <f t="array" ref="AF313">IF(COLUMNS($AB$299:AF$299)&lt;=$Z313,INDEX($G:$G,_xlfn.AGGREGATE(15,3,($A$301:$A$738=$AA313)/($A$301:$A$738=$AA313)*ROW($A$301:$A$738),COLUMNS($AB$299:AF$299))),"")</f>
        <v>&gt; 600 to ≤ 900</v>
      </c>
      <c r="AG313" s="22" t="str" cm="1">
        <f t="array" ref="AG313">IF(COLUMNS($AB$299:AG$299)&lt;=$Z313,INDEX($G:$G,_xlfn.AGGREGATE(15,3,($A$301:$A$738=$AA313)/($A$301:$A$738=$AA313)*ROW($A$301:$A$738),COLUMNS($AB$299:AG$299))),"")</f>
        <v>&gt; 900 to ≤ 1200</v>
      </c>
      <c r="AH313" s="22" t="str" cm="1">
        <f t="array" ref="AH313">IF(COLUMNS($AB$299:AH$299)&lt;=$Z313,INDEX($G:$G,_xlfn.AGGREGATE(15,3,($A$301:$A$738=$AA313)/($A$301:$A$738=$AA313)*ROW($A$301:$A$738),COLUMNS($AB$299:AH$299))),"")</f>
        <v>&gt; 1200 to ≤ 1500</v>
      </c>
      <c r="AI313" s="22" t="str" cm="1">
        <f t="array" ref="AI313">IF(COLUMNS($AB$299:AI$299)&lt;=$Z313,INDEX($G:$G,_xlfn.AGGREGATE(15,3,($A$301:$A$738=$AA313)/($A$301:$A$738=$AA313)*ROW($A$301:$A$738),COLUMNS($AB$299:AI$299))),"")</f>
        <v>&gt; 1500 to ≤ 1800</v>
      </c>
      <c r="AJ313" s="22" t="str" cm="1">
        <f t="array" ref="AJ313">IF(COLUMNS($AB$299:AJ$299)&lt;=$Z313,INDEX($G:$G,_xlfn.AGGREGATE(15,3,($A$301:$A$738=$AA313)/($A$301:$A$738=$AA313)*ROW($A$301:$A$738),COLUMNS($AB$299:AJ$299))),"")</f>
        <v/>
      </c>
      <c r="AK313" s="22" t="str" cm="1">
        <f t="array" ref="AK313">IF(COLUMNS($AB$299:AK$299)&lt;=$Z313,INDEX($G:$G,_xlfn.AGGREGATE(15,3,($A$301:$A$738=$AA313)/($A$301:$A$738=$AA313)*ROW($A$301:$A$738),COLUMNS($AB$299:AK$299))),"")</f>
        <v/>
      </c>
      <c r="AL313" s="22" t="str" cm="1">
        <f t="array" ref="AL313">IF(COLUMNS($AB$299:AL$299)&lt;=$Z313,INDEX($G:$G,_xlfn.AGGREGATE(15,3,($A$301:$A$738=$AA313)/($A$301:$A$738=$AA313)*ROW($A$301:$A$738),COLUMNS($AB$299:AL$299))),"")</f>
        <v/>
      </c>
      <c r="AM313" s="22" t="str" cm="1">
        <f t="array" ref="AM313">IF(COLUMNS($AB$299:AM$299)&lt;=$Z313,INDEX($G:$G,_xlfn.AGGREGATE(15,3,($A$301:$A$738=$AA313)/($A$301:$A$738=$AA313)*ROW($A$301:$A$738),COLUMNS($AB$299:AM$299))),"")</f>
        <v/>
      </c>
      <c r="AN313" s="22" t="str" cm="1">
        <f t="array" ref="AN313">IF(COLUMNS($AB$299:AN$299)&lt;=$Z313,INDEX($G:$G,_xlfn.AGGREGATE(15,3,($A$301:$A$738=$AA313)/($A$301:$A$738=$AA313)*ROW($A$301:$A$738),COLUMNS($AB$299:AN$299))),"")</f>
        <v/>
      </c>
      <c r="AO313" s="22" t="str" cm="1">
        <f t="array" ref="AO313">IF(COLUMNS($AB$298:AO$298)&lt;=$Z314,INDEX($G:$G,_xlfn.AGGREGATE(15,3,($A$301:$A$738=$AA314)/($A$301:$A$738=$AA314)*ROW($A$301:$A$738),COLUMNS($AB$298:AO$298))),"")</f>
        <v/>
      </c>
    </row>
    <row r="314" spans="1:41" s="22" customFormat="1" ht="16.5" customHeight="1" x14ac:dyDescent="0.3">
      <c r="A314" s="22" t="str">
        <f>CONCATENATE(B314,C314,Concrete_block_walls_minimum_insulation_R_Value_climate_zone_1108[[#This Row],[Column1]])</f>
        <v>1Concrete block walls&gt; 0.3 to ≤ 0.4</v>
      </c>
      <c r="B314" s="22">
        <v>1</v>
      </c>
      <c r="C314" s="22" t="s">
        <v>191</v>
      </c>
      <c r="D314" s="22" t="str">
        <f>CONCATENATE(B314,C314,Concrete_block_walls_minimum_insulation_R_Value_climate_zone_1108[[#This Row],[Column1]],Concrete_block_walls_minimum_insulation_R_Value_climate_zone_1108[[#This Row],[Column4]])</f>
        <v>1Concrete block walls&gt; 0.3 to ≤ 0.4&gt; 600 to ≤ 900</v>
      </c>
      <c r="E314" s="22" t="str">
        <f t="shared" si="3"/>
        <v>1Concrete block walls</v>
      </c>
      <c r="F314" s="32" t="s">
        <v>545</v>
      </c>
      <c r="G314" s="32" t="s">
        <v>531</v>
      </c>
      <c r="H314" s="32">
        <v>0</v>
      </c>
      <c r="I314" s="32" t="s">
        <v>522</v>
      </c>
      <c r="J314" s="32" t="s">
        <v>522</v>
      </c>
      <c r="K314" s="32" t="s">
        <v>321</v>
      </c>
      <c r="R314" s="22" t="str">
        <f>"=≤ 2.4"</f>
        <v>=≤ 2.4</v>
      </c>
      <c r="S314" s="22" t="str">
        <f>"&lt;&gt;≤ 2.4"</f>
        <v>&lt;&gt;≤ 2.4</v>
      </c>
      <c r="Z314" s="22">
        <f t="shared" si="2"/>
        <v>8</v>
      </c>
      <c r="AA314" t="s">
        <v>552</v>
      </c>
      <c r="AB314" s="22" cm="1">
        <f t="array" ref="AB314">IF(COLUMNS($AB$299:AB$299)&lt;=$Z314,INDEX($G:$G,_xlfn.AGGREGATE(15,3,($A$301:$A$738=$AA314)/($A$301:$A$738=$AA314)*ROW($A$301:$A$738),COLUMNS($AB$299:AB$299))),"")</f>
        <v>0</v>
      </c>
      <c r="AC314" s="22" t="str" cm="1">
        <f t="array" ref="AC314">IF(COLUMNS($AB$299:AC$299)&lt;=$Z314,INDEX($G:$G,_xlfn.AGGREGATE(15,3,($A$301:$A$738=$AA314)/($A$301:$A$738=$AA314)*ROW($A$301:$A$738),COLUMNS($AB$299:AC$299))),"")</f>
        <v>&gt; 0 to ≤ 300</v>
      </c>
      <c r="AD314" s="22" t="str" cm="1">
        <f t="array" ref="AD314">IF(COLUMNS($AB$299:AD$299)&lt;=$Z314,INDEX($G:$G,_xlfn.AGGREGATE(15,3,($A$301:$A$738=$AA314)/($A$301:$A$738=$AA314)*ROW($A$301:$A$738),COLUMNS($AB$299:AD$299))),"")</f>
        <v>&gt; 300 to ≤ 450</v>
      </c>
      <c r="AE314" s="22" t="str" cm="1">
        <f t="array" ref="AE314">IF(COLUMNS($AB$299:AE$299)&lt;=$Z314,INDEX($G:$G,_xlfn.AGGREGATE(15,3,($A$301:$A$738=$AA314)/($A$301:$A$738=$AA314)*ROW($A$301:$A$738),COLUMNS($AB$299:AE$299))),"")</f>
        <v>&gt; 450 to ≤ 600</v>
      </c>
      <c r="AF314" s="22" t="str" cm="1">
        <f t="array" ref="AF314">IF(COLUMNS($AB$299:AF$299)&lt;=$Z314,INDEX($G:$G,_xlfn.AGGREGATE(15,3,($A$301:$A$738=$AA314)/($A$301:$A$738=$AA314)*ROW($A$301:$A$738),COLUMNS($AB$299:AF$299))),"")</f>
        <v>&gt; 600 to ≤ 900</v>
      </c>
      <c r="AG314" s="22" t="str" cm="1">
        <f t="array" ref="AG314">IF(COLUMNS($AB$299:AG$299)&lt;=$Z314,INDEX($G:$G,_xlfn.AGGREGATE(15,3,($A$301:$A$738=$AA314)/($A$301:$A$738=$AA314)*ROW($A$301:$A$738),COLUMNS($AB$299:AG$299))),"")</f>
        <v>&gt; 900 to ≤ 1200</v>
      </c>
      <c r="AH314" s="22" t="str" cm="1">
        <f t="array" ref="AH314">IF(COLUMNS($AB$299:AH$299)&lt;=$Z314,INDEX($G:$G,_xlfn.AGGREGATE(15,3,($A$301:$A$738=$AA314)/($A$301:$A$738=$AA314)*ROW($A$301:$A$738),COLUMNS($AB$299:AH$299))),"")</f>
        <v>&gt; 1200 to ≤ 1500</v>
      </c>
      <c r="AI314" s="22" t="str" cm="1">
        <f t="array" ref="AI314">IF(COLUMNS($AB$299:AI$299)&lt;=$Z314,INDEX($G:$G,_xlfn.AGGREGATE(15,3,($A$301:$A$738=$AA314)/($A$301:$A$738=$AA314)*ROW($A$301:$A$738),COLUMNS($AB$299:AI$299))),"")</f>
        <v>&gt; 1500 to ≤ 1800</v>
      </c>
      <c r="AJ314" s="22" t="str" cm="1">
        <f t="array" ref="AJ314">IF(COLUMNS($AB$299:AJ$299)&lt;=$Z314,INDEX($G:$G,_xlfn.AGGREGATE(15,3,($A$301:$A$738=$AA314)/($A$301:$A$738=$AA314)*ROW($A$301:$A$738),COLUMNS($AB$299:AJ$299))),"")</f>
        <v/>
      </c>
      <c r="AK314" s="22" t="str" cm="1">
        <f t="array" ref="AK314">IF(COLUMNS($AB$299:AK$299)&lt;=$Z314,INDEX($G:$G,_xlfn.AGGREGATE(15,3,($A$301:$A$738=$AA314)/($A$301:$A$738=$AA314)*ROW($A$301:$A$738),COLUMNS($AB$299:AK$299))),"")</f>
        <v/>
      </c>
      <c r="AL314" s="22" t="str" cm="1">
        <f t="array" ref="AL314">IF(COLUMNS($AB$299:AL$299)&lt;=$Z314,INDEX($G:$G,_xlfn.AGGREGATE(15,3,($A$301:$A$738=$AA314)/($A$301:$A$738=$AA314)*ROW($A$301:$A$738),COLUMNS($AB$299:AL$299))),"")</f>
        <v/>
      </c>
      <c r="AM314" s="22" t="str" cm="1">
        <f t="array" ref="AM314">IF(COLUMNS($AB$299:AM$299)&lt;=$Z314,INDEX($G:$G,_xlfn.AGGREGATE(15,3,($A$301:$A$738=$AA314)/($A$301:$A$738=$AA314)*ROW($A$301:$A$738),COLUMNS($AB$299:AM$299))),"")</f>
        <v/>
      </c>
      <c r="AN314" s="22" t="str" cm="1">
        <f t="array" ref="AN314">IF(COLUMNS($AB$299:AN$299)&lt;=$Z314,INDEX($G:$G,_xlfn.AGGREGATE(15,3,($A$301:$A$738=$AA314)/($A$301:$A$738=$AA314)*ROW($A$301:$A$738),COLUMNS($AB$299:AN$299))),"")</f>
        <v/>
      </c>
      <c r="AO314" s="22" t="str" cm="1">
        <f t="array" ref="AO314">IF(COLUMNS($AB$298:AO$298)&lt;=$Z315,INDEX($G:$G,_xlfn.AGGREGATE(15,3,($A$301:$A$738=$AA315)/($A$301:$A$738=$AA315)*ROW($A$301:$A$738),COLUMNS($AB$298:AO$298))),"")</f>
        <v/>
      </c>
    </row>
    <row r="315" spans="1:41" s="22" customFormat="1" ht="16.5" customHeight="1" x14ac:dyDescent="0.3">
      <c r="A315" s="22" t="str">
        <f>CONCATENATE(B315,C315,Concrete_block_walls_minimum_insulation_R_Value_climate_zone_1108[[#This Row],[Column1]])</f>
        <v>1Concrete block walls&gt; 0.3 to ≤ 0.4</v>
      </c>
      <c r="B315" s="22">
        <v>1</v>
      </c>
      <c r="C315" s="22" t="s">
        <v>191</v>
      </c>
      <c r="D315" s="22" t="str">
        <f>CONCATENATE(B315,C315,Concrete_block_walls_minimum_insulation_R_Value_climate_zone_1108[[#This Row],[Column1]],Concrete_block_walls_minimum_insulation_R_Value_climate_zone_1108[[#This Row],[Column4]])</f>
        <v>1Concrete block walls&gt; 0.3 to ≤ 0.4&gt; 900 to ≤ 1200</v>
      </c>
      <c r="E315" s="22" t="str">
        <f t="shared" si="3"/>
        <v>1Concrete block walls</v>
      </c>
      <c r="F315" s="32" t="s">
        <v>545</v>
      </c>
      <c r="G315" s="32" t="s">
        <v>534</v>
      </c>
      <c r="H315" s="32">
        <v>0</v>
      </c>
      <c r="I315" s="32">
        <v>0</v>
      </c>
      <c r="J315" s="32" t="s">
        <v>522</v>
      </c>
      <c r="K315" s="32">
        <v>1.5</v>
      </c>
      <c r="P315" s="22" t="s">
        <v>553</v>
      </c>
      <c r="Q315" s="1288"/>
      <c r="R315" s="1288">
        <v>0.5</v>
      </c>
      <c r="S315" s="1288">
        <v>1</v>
      </c>
      <c r="Z315" s="22">
        <f t="shared" si="2"/>
        <v>8</v>
      </c>
      <c r="AA315" t="s">
        <v>554</v>
      </c>
      <c r="AB315" s="22" cm="1">
        <f t="array" ref="AB315">IF(COLUMNS($AB$299:AB$299)&lt;=$Z315,INDEX($G:$G,_xlfn.AGGREGATE(15,3,($A$301:$A$738=$AA315)/($A$301:$A$738=$AA315)*ROW($A$301:$A$738),COLUMNS($AB$299:AB$299))),"")</f>
        <v>0</v>
      </c>
      <c r="AC315" s="22" t="str" cm="1">
        <f t="array" ref="AC315">IF(COLUMNS($AB$299:AC$299)&lt;=$Z315,INDEX($G:$G,_xlfn.AGGREGATE(15,3,($A$301:$A$738=$AA315)/($A$301:$A$738=$AA315)*ROW($A$301:$A$738),COLUMNS($AB$299:AC$299))),"")</f>
        <v>&gt; 0 to ≤ 300</v>
      </c>
      <c r="AD315" s="22" t="str" cm="1">
        <f t="array" ref="AD315">IF(COLUMNS($AB$299:AD$299)&lt;=$Z315,INDEX($G:$G,_xlfn.AGGREGATE(15,3,($A$301:$A$738=$AA315)/($A$301:$A$738=$AA315)*ROW($A$301:$A$738),COLUMNS($AB$299:AD$299))),"")</f>
        <v>&gt; 300 to ≤ 450</v>
      </c>
      <c r="AE315" s="22" t="str" cm="1">
        <f t="array" ref="AE315">IF(COLUMNS($AB$299:AE$299)&lt;=$Z315,INDEX($G:$G,_xlfn.AGGREGATE(15,3,($A$301:$A$738=$AA315)/($A$301:$A$738=$AA315)*ROW($A$301:$A$738),COLUMNS($AB$299:AE$299))),"")</f>
        <v>&gt; 450 to ≤ 600</v>
      </c>
      <c r="AF315" s="22" t="str" cm="1">
        <f t="array" ref="AF315">IF(COLUMNS($AB$299:AF$299)&lt;=$Z315,INDEX($G:$G,_xlfn.AGGREGATE(15,3,($A$301:$A$738=$AA315)/($A$301:$A$738=$AA315)*ROW($A$301:$A$738),COLUMNS($AB$299:AF$299))),"")</f>
        <v>&gt; 600 to ≤ 900</v>
      </c>
      <c r="AG315" s="22" t="str" cm="1">
        <f t="array" ref="AG315">IF(COLUMNS($AB$299:AG$299)&lt;=$Z315,INDEX($G:$G,_xlfn.AGGREGATE(15,3,($A$301:$A$738=$AA315)/($A$301:$A$738=$AA315)*ROW($A$301:$A$738),COLUMNS($AB$299:AG$299))),"")</f>
        <v>&gt; 900 to ≤ 1200</v>
      </c>
      <c r="AH315" s="22" t="str" cm="1">
        <f t="array" ref="AH315">IF(COLUMNS($AB$299:AH$299)&lt;=$Z315,INDEX($G:$G,_xlfn.AGGREGATE(15,3,($A$301:$A$738=$AA315)/($A$301:$A$738=$AA315)*ROW($A$301:$A$738),COLUMNS($AB$299:AH$299))),"")</f>
        <v>&gt; 1200 to ≤ 1500</v>
      </c>
      <c r="AI315" s="22" t="str" cm="1">
        <f t="array" ref="AI315">IF(COLUMNS($AB$299:AI$299)&lt;=$Z315,INDEX($G:$G,_xlfn.AGGREGATE(15,3,($A$301:$A$738=$AA315)/($A$301:$A$738=$AA315)*ROW($A$301:$A$738),COLUMNS($AB$299:AI$299))),"")</f>
        <v>&gt; 1500 to ≤ 1800</v>
      </c>
      <c r="AJ315" s="22" t="str" cm="1">
        <f t="array" ref="AJ315">IF(COLUMNS($AB$299:AJ$299)&lt;=$Z315,INDEX($G:$G,_xlfn.AGGREGATE(15,3,($A$301:$A$738=$AA315)/($A$301:$A$738=$AA315)*ROW($A$301:$A$738),COLUMNS($AB$299:AJ$299))),"")</f>
        <v/>
      </c>
      <c r="AK315" s="22" t="str" cm="1">
        <f t="array" ref="AK315">IF(COLUMNS($AB$299:AK$299)&lt;=$Z315,INDEX($G:$G,_xlfn.AGGREGATE(15,3,($A$301:$A$738=$AA315)/($A$301:$A$738=$AA315)*ROW($A$301:$A$738),COLUMNS($AB$299:AK$299))),"")</f>
        <v/>
      </c>
      <c r="AL315" s="22" t="str" cm="1">
        <f t="array" ref="AL315">IF(COLUMNS($AB$299:AL$299)&lt;=$Z315,INDEX($G:$G,_xlfn.AGGREGATE(15,3,($A$301:$A$738=$AA315)/($A$301:$A$738=$AA315)*ROW($A$301:$A$738),COLUMNS($AB$299:AL$299))),"")</f>
        <v/>
      </c>
      <c r="AM315" s="22" t="str" cm="1">
        <f t="array" ref="AM315">IF(COLUMNS($AB$299:AM$299)&lt;=$Z315,INDEX($G:$G,_xlfn.AGGREGATE(15,3,($A$301:$A$738=$AA315)/($A$301:$A$738=$AA315)*ROW($A$301:$A$738),COLUMNS($AB$299:AM$299))),"")</f>
        <v/>
      </c>
      <c r="AN315" s="22" t="str" cm="1">
        <f t="array" ref="AN315">IF(COLUMNS($AB$299:AN$299)&lt;=$Z315,INDEX($G:$G,_xlfn.AGGREGATE(15,3,($A$301:$A$738=$AA315)/($A$301:$A$738=$AA315)*ROW($A$301:$A$738),COLUMNS($AB$299:AN$299))),"")</f>
        <v/>
      </c>
      <c r="AO315" s="22" t="str" cm="1">
        <f t="array" ref="AO315">IF(COLUMNS($AB$298:AO$298)&lt;=$Z316,INDEX($G:$G,_xlfn.AGGREGATE(15,3,($A$301:$A$738=$AA316)/($A$301:$A$738=$AA316)*ROW($A$301:$A$738),COLUMNS($AB$298:AO$298))),"")</f>
        <v/>
      </c>
    </row>
    <row r="316" spans="1:41" s="22" customFormat="1" ht="16.5" customHeight="1" x14ac:dyDescent="0.3">
      <c r="A316" s="22" t="str">
        <f>CONCATENATE(B316,C316,Concrete_block_walls_minimum_insulation_R_Value_climate_zone_1108[[#This Row],[Column1]])</f>
        <v>1Concrete block walls&gt; 0.3 to ≤ 0.4</v>
      </c>
      <c r="B316" s="22">
        <v>1</v>
      </c>
      <c r="C316" s="22" t="s">
        <v>191</v>
      </c>
      <c r="D316" s="22" t="str">
        <f>CONCATENATE(B316,C316,Concrete_block_walls_minimum_insulation_R_Value_climate_zone_1108[[#This Row],[Column1]],Concrete_block_walls_minimum_insulation_R_Value_climate_zone_1108[[#This Row],[Column4]])</f>
        <v>1Concrete block walls&gt; 0.3 to ≤ 0.4&gt; 1200 to ≤ 1500</v>
      </c>
      <c r="E316" s="22" t="str">
        <f t="shared" si="3"/>
        <v>1Concrete block walls</v>
      </c>
      <c r="F316" s="32" t="s">
        <v>545</v>
      </c>
      <c r="G316" s="32" t="s">
        <v>536</v>
      </c>
      <c r="H316" s="32">
        <v>0</v>
      </c>
      <c r="I316" s="32">
        <v>0</v>
      </c>
      <c r="J316" s="32" t="s">
        <v>522</v>
      </c>
      <c r="K316" s="32" t="s">
        <v>522</v>
      </c>
      <c r="P316" t="s">
        <v>555</v>
      </c>
      <c r="Q316" s="1288"/>
      <c r="R316" s="1288">
        <v>0.5</v>
      </c>
      <c r="S316" s="1288">
        <v>1</v>
      </c>
      <c r="Z316" s="22">
        <f t="shared" si="2"/>
        <v>8</v>
      </c>
      <c r="AA316" t="s">
        <v>556</v>
      </c>
      <c r="AB316" s="22" cm="1">
        <f t="array" ref="AB316">IF(COLUMNS($AB$299:AB$299)&lt;=$Z316,INDEX($G:$G,_xlfn.AGGREGATE(15,3,($A$301:$A$738=$AA316)/($A$301:$A$738=$AA316)*ROW($A$301:$A$738),COLUMNS($AB$299:AB$299))),"")</f>
        <v>0</v>
      </c>
      <c r="AC316" s="22" t="str" cm="1">
        <f t="array" ref="AC316">IF(COLUMNS($AB$299:AC$299)&lt;=$Z316,INDEX($G:$G,_xlfn.AGGREGATE(15,3,($A$301:$A$738=$AA316)/($A$301:$A$738=$AA316)*ROW($A$301:$A$738),COLUMNS($AB$299:AC$299))),"")</f>
        <v>&gt; 0 to ≤ 300</v>
      </c>
      <c r="AD316" s="22" t="str" cm="1">
        <f t="array" ref="AD316">IF(COLUMNS($AB$299:AD$299)&lt;=$Z316,INDEX($G:$G,_xlfn.AGGREGATE(15,3,($A$301:$A$738=$AA316)/($A$301:$A$738=$AA316)*ROW($A$301:$A$738),COLUMNS($AB$299:AD$299))),"")</f>
        <v>&gt; 300 to ≤ 450</v>
      </c>
      <c r="AE316" s="22" t="str" cm="1">
        <f t="array" ref="AE316">IF(COLUMNS($AB$299:AE$299)&lt;=$Z316,INDEX($G:$G,_xlfn.AGGREGATE(15,3,($A$301:$A$738=$AA316)/($A$301:$A$738=$AA316)*ROW($A$301:$A$738),COLUMNS($AB$299:AE$299))),"")</f>
        <v>&gt; 450 to ≤ 600</v>
      </c>
      <c r="AF316" s="22" t="str" cm="1">
        <f t="array" ref="AF316">IF(COLUMNS($AB$299:AF$299)&lt;=$Z316,INDEX($G:$G,_xlfn.AGGREGATE(15,3,($A$301:$A$738=$AA316)/($A$301:$A$738=$AA316)*ROW($A$301:$A$738),COLUMNS($AB$299:AF$299))),"")</f>
        <v>&gt; 600 to ≤ 900</v>
      </c>
      <c r="AG316" s="22" t="str" cm="1">
        <f t="array" ref="AG316">IF(COLUMNS($AB$299:AG$299)&lt;=$Z316,INDEX($G:$G,_xlfn.AGGREGATE(15,3,($A$301:$A$738=$AA316)/($A$301:$A$738=$AA316)*ROW($A$301:$A$738),COLUMNS($AB$299:AG$299))),"")</f>
        <v>&gt; 900 to ≤ 1200</v>
      </c>
      <c r="AH316" s="22" t="str" cm="1">
        <f t="array" ref="AH316">IF(COLUMNS($AB$299:AH$299)&lt;=$Z316,INDEX($G:$G,_xlfn.AGGREGATE(15,3,($A$301:$A$738=$AA316)/($A$301:$A$738=$AA316)*ROW($A$301:$A$738),COLUMNS($AB$299:AH$299))),"")</f>
        <v>&gt; 1200 to ≤ 1500</v>
      </c>
      <c r="AI316" s="22" t="str" cm="1">
        <f t="array" ref="AI316">IF(COLUMNS($AB$299:AI$299)&lt;=$Z316,INDEX($G:$G,_xlfn.AGGREGATE(15,3,($A$301:$A$738=$AA316)/($A$301:$A$738=$AA316)*ROW($A$301:$A$738),COLUMNS($AB$299:AI$299))),"")</f>
        <v>&gt; 1500 to ≤ 1800</v>
      </c>
      <c r="AJ316" s="22" t="str" cm="1">
        <f t="array" ref="AJ316">IF(COLUMNS($AB$299:AJ$299)&lt;=$Z316,INDEX($G:$G,_xlfn.AGGREGATE(15,3,($A$301:$A$738=$AA316)/($A$301:$A$738=$AA316)*ROW($A$301:$A$738),COLUMNS($AB$299:AJ$299))),"")</f>
        <v/>
      </c>
      <c r="AK316" s="22" t="str" cm="1">
        <f t="array" ref="AK316">IF(COLUMNS($AB$299:AK$299)&lt;=$Z316,INDEX($G:$G,_xlfn.AGGREGATE(15,3,($A$301:$A$738=$AA316)/($A$301:$A$738=$AA316)*ROW($A$301:$A$738),COLUMNS($AB$299:AK$299))),"")</f>
        <v/>
      </c>
      <c r="AL316" s="22" t="str" cm="1">
        <f t="array" ref="AL316">IF(COLUMNS($AB$299:AL$299)&lt;=$Z316,INDEX($G:$G,_xlfn.AGGREGATE(15,3,($A$301:$A$738=$AA316)/($A$301:$A$738=$AA316)*ROW($A$301:$A$738),COLUMNS($AB$299:AL$299))),"")</f>
        <v/>
      </c>
      <c r="AM316" s="22" t="str" cm="1">
        <f t="array" ref="AM316">IF(COLUMNS($AB$299:AM$299)&lt;=$Z316,INDEX($G:$G,_xlfn.AGGREGATE(15,3,($A$301:$A$738=$AA316)/($A$301:$A$738=$AA316)*ROW($A$301:$A$738),COLUMNS($AB$299:AM$299))),"")</f>
        <v/>
      </c>
      <c r="AN316" s="22" t="str" cm="1">
        <f t="array" ref="AN316">IF(COLUMNS($AB$299:AN$299)&lt;=$Z316,INDEX($G:$G,_xlfn.AGGREGATE(15,3,($A$301:$A$738=$AA316)/($A$301:$A$738=$AA316)*ROW($A$301:$A$738),COLUMNS($AB$299:AN$299))),"")</f>
        <v/>
      </c>
      <c r="AO316" s="22" t="str" cm="1">
        <f t="array" ref="AO316">IF(COLUMNS($AB$298:AO$298)&lt;=$Z317,INDEX($G:$G,_xlfn.AGGREGATE(15,3,($A$301:$A$738=$AA317)/($A$301:$A$738=$AA317)*ROW($A$301:$A$738),COLUMNS($AB$298:AO$298))),"")</f>
        <v/>
      </c>
    </row>
    <row r="317" spans="1:41" s="22" customFormat="1" ht="16.5" customHeight="1" x14ac:dyDescent="0.3">
      <c r="A317" s="22" t="str">
        <f>CONCATENATE(B317,C317,Concrete_block_walls_minimum_insulation_R_Value_climate_zone_1108[[#This Row],[Column1]])</f>
        <v>1Concrete block walls&gt; 0.3 to ≤ 0.4</v>
      </c>
      <c r="B317" s="22">
        <v>1</v>
      </c>
      <c r="C317" s="22" t="s">
        <v>191</v>
      </c>
      <c r="D317" s="22" t="str">
        <f>CONCATENATE(B317,C317,Concrete_block_walls_minimum_insulation_R_Value_climate_zone_1108[[#This Row],[Column1]],Concrete_block_walls_minimum_insulation_R_Value_climate_zone_1108[[#This Row],[Column4]])</f>
        <v>1Concrete block walls&gt; 0.3 to ≤ 0.4&gt; 1500 to ≤ 1800</v>
      </c>
      <c r="E317" s="22" t="str">
        <f t="shared" si="3"/>
        <v>1Concrete block walls</v>
      </c>
      <c r="F317" s="32" t="s">
        <v>545</v>
      </c>
      <c r="G317" s="32" t="s">
        <v>539</v>
      </c>
      <c r="H317" s="32">
        <v>0</v>
      </c>
      <c r="I317" s="32">
        <v>0</v>
      </c>
      <c r="J317" s="32">
        <v>0</v>
      </c>
      <c r="K317" s="32" t="s">
        <v>522</v>
      </c>
      <c r="P317" t="s">
        <v>557</v>
      </c>
      <c r="Q317" s="1288"/>
      <c r="R317" s="1288">
        <v>0.4</v>
      </c>
      <c r="S317" s="1288">
        <v>0.8</v>
      </c>
      <c r="Z317" s="22">
        <f t="shared" si="2"/>
        <v>1</v>
      </c>
      <c r="AA317" t="s">
        <v>558</v>
      </c>
      <c r="AB317" s="22" cm="1">
        <f t="array" ref="AB317">IF(COLUMNS($AB$299:AB$299)&lt;=$Z317,INDEX($G:$G,_xlfn.AGGREGATE(15,3,($A$301:$A$738=$AA317)/($A$301:$A$738=$AA317)*ROW($A$301:$A$738),COLUMNS($AB$299:AB$299))),"")</f>
        <v>0</v>
      </c>
      <c r="AC317" s="22" t="str" cm="1">
        <f t="array" ref="AC317">IF(COLUMNS($AB$299:AC$299)&lt;=$Z317,INDEX($G:$G,_xlfn.AGGREGATE(15,3,($A$301:$A$738=$AA317)/($A$301:$A$738=$AA317)*ROW($A$301:$A$738),COLUMNS($AB$299:AC$299))),"")</f>
        <v/>
      </c>
      <c r="AD317" s="22" t="str" cm="1">
        <f t="array" ref="AD317">IF(COLUMNS($AB$299:AD$299)&lt;=$Z317,INDEX($G:$G,_xlfn.AGGREGATE(15,3,($A$301:$A$738=$AA317)/($A$301:$A$738=$AA317)*ROW($A$301:$A$738),COLUMNS($AB$299:AD$299))),"")</f>
        <v/>
      </c>
      <c r="AE317" s="22" t="str" cm="1">
        <f t="array" ref="AE317">IF(COLUMNS($AB$299:AE$299)&lt;=$Z317,INDEX($G:$G,_xlfn.AGGREGATE(15,3,($A$301:$A$738=$AA317)/($A$301:$A$738=$AA317)*ROW($A$301:$A$738),COLUMNS($AB$299:AE$299))),"")</f>
        <v/>
      </c>
      <c r="AF317" s="22" t="str" cm="1">
        <f t="array" ref="AF317">IF(COLUMNS($AB$299:AF$299)&lt;=$Z317,INDEX($G:$G,_xlfn.AGGREGATE(15,3,($A$301:$A$738=$AA317)/($A$301:$A$738=$AA317)*ROW($A$301:$A$738),COLUMNS($AB$299:AF$299))),"")</f>
        <v/>
      </c>
      <c r="AG317" s="22" t="str" cm="1">
        <f t="array" ref="AG317">IF(COLUMNS($AB$299:AG$299)&lt;=$Z317,INDEX($G:$G,_xlfn.AGGREGATE(15,3,($A$301:$A$738=$AA317)/($A$301:$A$738=$AA317)*ROW($A$301:$A$738),COLUMNS($AB$299:AG$299))),"")</f>
        <v/>
      </c>
      <c r="AH317" s="22" t="str" cm="1">
        <f t="array" ref="AH317">IF(COLUMNS($AB$299:AH$299)&lt;=$Z317,INDEX($G:$G,_xlfn.AGGREGATE(15,3,($A$301:$A$738=$AA317)/($A$301:$A$738=$AA317)*ROW($A$301:$A$738),COLUMNS($AB$299:AH$299))),"")</f>
        <v/>
      </c>
      <c r="AI317" s="22" t="str" cm="1">
        <f t="array" ref="AI317">IF(COLUMNS($AB$299:AI$299)&lt;=$Z317,INDEX($G:$G,_xlfn.AGGREGATE(15,3,($A$301:$A$738=$AA317)/($A$301:$A$738=$AA317)*ROW($A$301:$A$738),COLUMNS($AB$299:AI$299))),"")</f>
        <v/>
      </c>
      <c r="AJ317" s="22" t="str" cm="1">
        <f t="array" ref="AJ317">IF(COLUMNS($AB$299:AJ$299)&lt;=$Z317,INDEX($G:$G,_xlfn.AGGREGATE(15,3,($A$301:$A$738=$AA317)/($A$301:$A$738=$AA317)*ROW($A$301:$A$738),COLUMNS($AB$299:AJ$299))),"")</f>
        <v/>
      </c>
      <c r="AK317" s="22" t="str" cm="1">
        <f t="array" ref="AK317">IF(COLUMNS($AB$299:AK$299)&lt;=$Z317,INDEX($G:$G,_xlfn.AGGREGATE(15,3,($A$301:$A$738=$AA317)/($A$301:$A$738=$AA317)*ROW($A$301:$A$738),COLUMNS($AB$299:AK$299))),"")</f>
        <v/>
      </c>
      <c r="AL317" s="22" t="str" cm="1">
        <f t="array" ref="AL317">IF(COLUMNS($AB$299:AL$299)&lt;=$Z317,INDEX($G:$G,_xlfn.AGGREGATE(15,3,($A$301:$A$738=$AA317)/($A$301:$A$738=$AA317)*ROW($A$301:$A$738),COLUMNS($AB$299:AL$299))),"")</f>
        <v/>
      </c>
      <c r="AM317" s="22" t="str" cm="1">
        <f t="array" ref="AM317">IF(COLUMNS($AB$299:AM$299)&lt;=$Z317,INDEX($G:$G,_xlfn.AGGREGATE(15,3,($A$301:$A$738=$AA317)/($A$301:$A$738=$AA317)*ROW($A$301:$A$738),COLUMNS($AB$299:AM$299))),"")</f>
        <v/>
      </c>
      <c r="AN317" s="22" t="str" cm="1">
        <f t="array" ref="AN317">IF(COLUMNS($AB$299:AN$299)&lt;=$Z317,INDEX($G:$G,_xlfn.AGGREGATE(15,3,($A$301:$A$738=$AA317)/($A$301:$A$738=$AA317)*ROW($A$301:$A$738),COLUMNS($AB$299:AN$299))),"")</f>
        <v/>
      </c>
      <c r="AO317" s="22" t="str" cm="1">
        <f t="array" ref="AO317">IF(COLUMNS($AB$298:AO$298)&lt;=$Z318,INDEX($G:$G,_xlfn.AGGREGATE(15,3,($A$301:$A$738=$AA318)/($A$301:$A$738=$AA318)*ROW($A$301:$A$738),COLUMNS($AB$298:AO$298))),"")</f>
        <v/>
      </c>
    </row>
    <row r="318" spans="1:41" s="22" customFormat="1" ht="16.5" customHeight="1" x14ac:dyDescent="0.3">
      <c r="A318" s="22" t="str">
        <f>CONCATENATE(B318,C318,Concrete_block_walls_minimum_insulation_R_Value_climate_zone_1108[[#This Row],[Column1]])</f>
        <v>1Concrete block walls&gt; 0.3 to ≤ 0.4</v>
      </c>
      <c r="B318" s="22">
        <v>1</v>
      </c>
      <c r="C318" s="22" t="s">
        <v>191</v>
      </c>
      <c r="D318" s="22" t="str">
        <f>CONCATENATE(B318,C318,Concrete_block_walls_minimum_insulation_R_Value_climate_zone_1108[[#This Row],[Column1]],Concrete_block_walls_minimum_insulation_R_Value_climate_zone_1108[[#This Row],[Column4]])</f>
        <v>1Concrete block walls&gt; 0.3 to ≤ 0.4&gt; 1800 to ≤ 2400</v>
      </c>
      <c r="E318" s="22" t="str">
        <f t="shared" si="3"/>
        <v>1Concrete block walls</v>
      </c>
      <c r="F318" s="32" t="s">
        <v>545</v>
      </c>
      <c r="G318" s="32" t="s">
        <v>542</v>
      </c>
      <c r="H318" s="32">
        <v>0</v>
      </c>
      <c r="I318" s="32">
        <v>0</v>
      </c>
      <c r="J318" s="32">
        <v>0</v>
      </c>
      <c r="K318" s="32" t="s">
        <v>522</v>
      </c>
      <c r="P318" t="s">
        <v>559</v>
      </c>
      <c r="Q318" s="1288">
        <v>0.25</v>
      </c>
      <c r="R318" s="1288"/>
      <c r="S318" s="1288"/>
      <c r="Z318" s="22">
        <f t="shared" si="2"/>
        <v>9</v>
      </c>
      <c r="AA318" t="s">
        <v>560</v>
      </c>
      <c r="AB318" s="22" cm="1">
        <f t="array" ref="AB318">IF(COLUMNS($AB$299:AB$299)&lt;=$Z318,INDEX($G:$G,_xlfn.AGGREGATE(15,3,($A$301:$A$738=$AA318)/($A$301:$A$738=$AA318)*ROW($A$301:$A$738),COLUMNS($AB$299:AB$299))),"")</f>
        <v>0</v>
      </c>
      <c r="AC318" s="22" t="str" cm="1">
        <f t="array" ref="AC318">IF(COLUMNS($AB$299:AC$299)&lt;=$Z318,INDEX($G:$G,_xlfn.AGGREGATE(15,3,($A$301:$A$738=$AA318)/($A$301:$A$738=$AA318)*ROW($A$301:$A$738),COLUMNS($AB$299:AC$299))),"")</f>
        <v>&gt; 0 to ≤ 300</v>
      </c>
      <c r="AD318" s="22" t="str" cm="1">
        <f t="array" ref="AD318">IF(COLUMNS($AB$299:AD$299)&lt;=$Z318,INDEX($G:$G,_xlfn.AGGREGATE(15,3,($A$301:$A$738=$AA318)/($A$301:$A$738=$AA318)*ROW($A$301:$A$738),COLUMNS($AB$299:AD$299))),"")</f>
        <v>&gt; 300 to ≤ 450</v>
      </c>
      <c r="AE318" s="22" t="str" cm="1">
        <f t="array" ref="AE318">IF(COLUMNS($AB$299:AE$299)&lt;=$Z318,INDEX($G:$G,_xlfn.AGGREGATE(15,3,($A$301:$A$738=$AA318)/($A$301:$A$738=$AA318)*ROW($A$301:$A$738),COLUMNS($AB$299:AE$299))),"")</f>
        <v>&gt; 450 to ≤ 600</v>
      </c>
      <c r="AF318" s="22" t="str" cm="1">
        <f t="array" ref="AF318">IF(COLUMNS($AB$299:AF$299)&lt;=$Z318,INDEX($G:$G,_xlfn.AGGREGATE(15,3,($A$301:$A$738=$AA318)/($A$301:$A$738=$AA318)*ROW($A$301:$A$738),COLUMNS($AB$299:AF$299))),"")</f>
        <v>&gt; 600 to ≤ 900</v>
      </c>
      <c r="AG318" s="22" t="str" cm="1">
        <f t="array" ref="AG318">IF(COLUMNS($AB$299:AG$299)&lt;=$Z318,INDEX($G:$G,_xlfn.AGGREGATE(15,3,($A$301:$A$738=$AA318)/($A$301:$A$738=$AA318)*ROW($A$301:$A$738),COLUMNS($AB$299:AG$299))),"")</f>
        <v>&gt; 900 to ≤ 1200</v>
      </c>
      <c r="AH318" s="22" t="str" cm="1">
        <f t="array" ref="AH318">IF(COLUMNS($AB$299:AH$299)&lt;=$Z318,INDEX($G:$G,_xlfn.AGGREGATE(15,3,($A$301:$A$738=$AA318)/($A$301:$A$738=$AA318)*ROW($A$301:$A$738),COLUMNS($AB$299:AH$299))),"")</f>
        <v>&gt; 1200 to ≤ 1500</v>
      </c>
      <c r="AI318" s="22" t="str" cm="1">
        <f t="array" ref="AI318">IF(COLUMNS($AB$299:AI$299)&lt;=$Z318,INDEX($G:$G,_xlfn.AGGREGATE(15,3,($A$301:$A$738=$AA318)/($A$301:$A$738=$AA318)*ROW($A$301:$A$738),COLUMNS($AB$299:AI$299))),"")</f>
        <v>&gt; 1500 to ≤ 1800</v>
      </c>
      <c r="AJ318" s="22" t="str" cm="1">
        <f t="array" ref="AJ318">IF(COLUMNS($AB$299:AJ$299)&lt;=$Z318,INDEX($G:$G,_xlfn.AGGREGATE(15,3,($A$301:$A$738=$AA318)/($A$301:$A$738=$AA318)*ROW($A$301:$A$738),COLUMNS($AB$299:AJ$299))),"")</f>
        <v>&gt; 1800 to ≤ 2400</v>
      </c>
      <c r="AK318" s="22" t="str" cm="1">
        <f t="array" ref="AK318">IF(COLUMNS($AB$299:AK$299)&lt;=$Z318,INDEX($G:$G,_xlfn.AGGREGATE(15,3,($A$301:$A$738=$AA318)/($A$301:$A$738=$AA318)*ROW($A$301:$A$738),COLUMNS($AB$299:AK$299))),"")</f>
        <v/>
      </c>
      <c r="AL318" s="22" t="str" cm="1">
        <f t="array" ref="AL318">IF(COLUMNS($AB$299:AL$299)&lt;=$Z318,INDEX($G:$G,_xlfn.AGGREGATE(15,3,($A$301:$A$738=$AA318)/($A$301:$A$738=$AA318)*ROW($A$301:$A$738),COLUMNS($AB$299:AL$299))),"")</f>
        <v/>
      </c>
      <c r="AM318" s="22" t="str" cm="1">
        <f t="array" ref="AM318">IF(COLUMNS($AB$299:AM$299)&lt;=$Z318,INDEX($G:$G,_xlfn.AGGREGATE(15,3,($A$301:$A$738=$AA318)/($A$301:$A$738=$AA318)*ROW($A$301:$A$738),COLUMNS($AB$299:AM$299))),"")</f>
        <v/>
      </c>
      <c r="AN318" s="22" t="str" cm="1">
        <f t="array" ref="AN318">IF(COLUMNS($AB$299:AN$299)&lt;=$Z318,INDEX($G:$G,_xlfn.AGGREGATE(15,3,($A$301:$A$738=$AA318)/($A$301:$A$738=$AA318)*ROW($A$301:$A$738),COLUMNS($AB$299:AN$299))),"")</f>
        <v/>
      </c>
      <c r="AO318" s="22" t="str" cm="1">
        <f t="array" ref="AO318">IF(COLUMNS($AB$298:AO$298)&lt;=$Z319,INDEX($G:$G,_xlfn.AGGREGATE(15,3,($A$301:$A$738=$AA319)/($A$301:$A$738=$AA319)*ROW($A$301:$A$738),COLUMNS($AB$298:AO$298))),"")</f>
        <v/>
      </c>
    </row>
    <row r="319" spans="1:41" s="22" customFormat="1" ht="16.5" customHeight="1" x14ac:dyDescent="0.3">
      <c r="A319" s="22" t="str">
        <f>CONCATENATE(B319,C319,Concrete_block_walls_minimum_insulation_R_Value_climate_zone_1108[[#This Row],[Column1]])</f>
        <v>1Concrete block walls&gt; 0.4 to ≤ 0.5</v>
      </c>
      <c r="B319" s="22">
        <v>1</v>
      </c>
      <c r="C319" s="22" t="s">
        <v>191</v>
      </c>
      <c r="D319" s="22" t="str">
        <f>CONCATENATE(B319,C319,Concrete_block_walls_minimum_insulation_R_Value_climate_zone_1108[[#This Row],[Column1]],Concrete_block_walls_minimum_insulation_R_Value_climate_zone_1108[[#This Row],[Column4]])</f>
        <v>1Concrete block walls&gt; 0.4 to ≤ 0.50</v>
      </c>
      <c r="E319" s="22" t="str">
        <f t="shared" si="3"/>
        <v>1Concrete block walls</v>
      </c>
      <c r="F319" s="32" t="s">
        <v>561</v>
      </c>
      <c r="G319" s="32">
        <v>0</v>
      </c>
      <c r="H319" s="32" t="s">
        <v>321</v>
      </c>
      <c r="I319" s="32" t="s">
        <v>321</v>
      </c>
      <c r="J319" s="32" t="s">
        <v>321</v>
      </c>
      <c r="K319" s="32" t="s">
        <v>321</v>
      </c>
      <c r="P319" t="s">
        <v>562</v>
      </c>
      <c r="Q319" s="1288" t="s">
        <v>563</v>
      </c>
      <c r="R319" s="1288"/>
      <c r="S319" s="1288"/>
      <c r="Z319" s="22">
        <f t="shared" si="2"/>
        <v>9</v>
      </c>
      <c r="AA319" t="s">
        <v>564</v>
      </c>
      <c r="AB319" s="22" cm="1">
        <f t="array" ref="AB319">IF(COLUMNS($AB$299:AB$299)&lt;=$Z319,INDEX($G:$G,_xlfn.AGGREGATE(15,3,($A$301:$A$738=$AA319)/($A$301:$A$738=$AA319)*ROW($A$301:$A$738),COLUMNS($AB$299:AB$299))),"")</f>
        <v>0</v>
      </c>
      <c r="AC319" s="22" t="str" cm="1">
        <f t="array" ref="AC319">IF(COLUMNS($AB$299:AC$299)&lt;=$Z319,INDEX($G:$G,_xlfn.AGGREGATE(15,3,($A$301:$A$738=$AA319)/($A$301:$A$738=$AA319)*ROW($A$301:$A$738),COLUMNS($AB$299:AC$299))),"")</f>
        <v>&gt; 0 to ≤ 300</v>
      </c>
      <c r="AD319" s="22" t="str" cm="1">
        <f t="array" ref="AD319">IF(COLUMNS($AB$299:AD$299)&lt;=$Z319,INDEX($G:$G,_xlfn.AGGREGATE(15,3,($A$301:$A$738=$AA319)/($A$301:$A$738=$AA319)*ROW($A$301:$A$738),COLUMNS($AB$299:AD$299))),"")</f>
        <v>&gt; 300 to ≤ 450</v>
      </c>
      <c r="AE319" s="22" t="str" cm="1">
        <f t="array" ref="AE319">IF(COLUMNS($AB$299:AE$299)&lt;=$Z319,INDEX($G:$G,_xlfn.AGGREGATE(15,3,($A$301:$A$738=$AA319)/($A$301:$A$738=$AA319)*ROW($A$301:$A$738),COLUMNS($AB$299:AE$299))),"")</f>
        <v>&gt; 450 to ≤ 600</v>
      </c>
      <c r="AF319" s="22" t="str" cm="1">
        <f t="array" ref="AF319">IF(COLUMNS($AB$299:AF$299)&lt;=$Z319,INDEX($G:$G,_xlfn.AGGREGATE(15,3,($A$301:$A$738=$AA319)/($A$301:$A$738=$AA319)*ROW($A$301:$A$738),COLUMNS($AB$299:AF$299))),"")</f>
        <v>&gt; 600 to ≤ 900</v>
      </c>
      <c r="AG319" s="22" t="str" cm="1">
        <f t="array" ref="AG319">IF(COLUMNS($AB$299:AG$299)&lt;=$Z319,INDEX($G:$G,_xlfn.AGGREGATE(15,3,($A$301:$A$738=$AA319)/($A$301:$A$738=$AA319)*ROW($A$301:$A$738),COLUMNS($AB$299:AG$299))),"")</f>
        <v>&gt; 900 to ≤ 1200</v>
      </c>
      <c r="AH319" s="22" t="str" cm="1">
        <f t="array" ref="AH319">IF(COLUMNS($AB$299:AH$299)&lt;=$Z319,INDEX($G:$G,_xlfn.AGGREGATE(15,3,($A$301:$A$738=$AA319)/($A$301:$A$738=$AA319)*ROW($A$301:$A$738),COLUMNS($AB$299:AH$299))),"")</f>
        <v>&gt; 1200 to ≤ 1500</v>
      </c>
      <c r="AI319" s="22" t="str" cm="1">
        <f t="array" ref="AI319">IF(COLUMNS($AB$299:AI$299)&lt;=$Z319,INDEX($G:$G,_xlfn.AGGREGATE(15,3,($A$301:$A$738=$AA319)/($A$301:$A$738=$AA319)*ROW($A$301:$A$738),COLUMNS($AB$299:AI$299))),"")</f>
        <v>&gt; 1500 to ≤ 1800</v>
      </c>
      <c r="AJ319" s="22" t="str" cm="1">
        <f t="array" ref="AJ319">IF(COLUMNS($AB$299:AJ$299)&lt;=$Z319,INDEX($G:$G,_xlfn.AGGREGATE(15,3,($A$301:$A$738=$AA319)/($A$301:$A$738=$AA319)*ROW($A$301:$A$738),COLUMNS($AB$299:AJ$299))),"")</f>
        <v>&gt; 1800 to ≤ 2400</v>
      </c>
      <c r="AK319" s="22" t="str" cm="1">
        <f t="array" ref="AK319">IF(COLUMNS($AB$299:AK$299)&lt;=$Z319,INDEX($G:$G,_xlfn.AGGREGATE(15,3,($A$301:$A$738=$AA319)/($A$301:$A$738=$AA319)*ROW($A$301:$A$738),COLUMNS($AB$299:AK$299))),"")</f>
        <v/>
      </c>
      <c r="AL319" s="22" t="str" cm="1">
        <f t="array" ref="AL319">IF(COLUMNS($AB$299:AL$299)&lt;=$Z319,INDEX($G:$G,_xlfn.AGGREGATE(15,3,($A$301:$A$738=$AA319)/($A$301:$A$738=$AA319)*ROW($A$301:$A$738),COLUMNS($AB$299:AL$299))),"")</f>
        <v/>
      </c>
      <c r="AM319" s="22" t="str" cm="1">
        <f t="array" ref="AM319">IF(COLUMNS($AB$299:AM$299)&lt;=$Z319,INDEX($G:$G,_xlfn.AGGREGATE(15,3,($A$301:$A$738=$AA319)/($A$301:$A$738=$AA319)*ROW($A$301:$A$738),COLUMNS($AB$299:AM$299))),"")</f>
        <v/>
      </c>
      <c r="AN319" s="22" t="str" cm="1">
        <f t="array" ref="AN319">IF(COLUMNS($AB$299:AN$299)&lt;=$Z319,INDEX($G:$G,_xlfn.AGGREGATE(15,3,($A$301:$A$738=$AA319)/($A$301:$A$738=$AA319)*ROW($A$301:$A$738),COLUMNS($AB$299:AN$299))),"")</f>
        <v/>
      </c>
      <c r="AO319" s="22" t="str" cm="1">
        <f t="array" ref="AO319">IF(COLUMNS($AB$298:AO$298)&lt;=$Z320,INDEX($G:$G,_xlfn.AGGREGATE(15,3,($A$301:$A$738=$AA320)/($A$301:$A$738=$AA320)*ROW($A$301:$A$738),COLUMNS($AB$298:AO$298))),"")</f>
        <v/>
      </c>
    </row>
    <row r="320" spans="1:41" s="22" customFormat="1" ht="16.5" customHeight="1" x14ac:dyDescent="0.3">
      <c r="A320" s="22" t="str">
        <f>CONCATENATE(B320,C320,Concrete_block_walls_minimum_insulation_R_Value_climate_zone_1108[[#This Row],[Column1]])</f>
        <v>1Concrete block walls&gt; 0.4 to ≤ 0.5</v>
      </c>
      <c r="B320" s="22">
        <v>1</v>
      </c>
      <c r="C320" s="22" t="s">
        <v>191</v>
      </c>
      <c r="D320" s="22" t="str">
        <f>CONCATENATE(B320,C320,Concrete_block_walls_minimum_insulation_R_Value_climate_zone_1108[[#This Row],[Column1]],Concrete_block_walls_minimum_insulation_R_Value_climate_zone_1108[[#This Row],[Column4]])</f>
        <v>1Concrete block walls&gt; 0.4 to ≤ 0.5&gt; 0 ≤ 300</v>
      </c>
      <c r="E320" s="22" t="str">
        <f t="shared" si="3"/>
        <v>1Concrete block walls</v>
      </c>
      <c r="F320" s="32" t="s">
        <v>561</v>
      </c>
      <c r="G320" s="32" t="s">
        <v>565</v>
      </c>
      <c r="H320" s="32">
        <v>1</v>
      </c>
      <c r="I320" s="32" t="s">
        <v>321</v>
      </c>
      <c r="J320" s="32" t="s">
        <v>321</v>
      </c>
      <c r="K320" s="32" t="s">
        <v>321</v>
      </c>
      <c r="P320" t="s">
        <v>566</v>
      </c>
      <c r="Q320" s="1288"/>
      <c r="R320" s="1288">
        <v>1</v>
      </c>
      <c r="S320" s="1288">
        <v>1.5</v>
      </c>
      <c r="Z320" s="22">
        <f t="shared" si="2"/>
        <v>9</v>
      </c>
      <c r="AA320" t="s">
        <v>567</v>
      </c>
      <c r="AB320" s="22" cm="1">
        <f t="array" ref="AB320">IF(COLUMNS($AB$299:AB$299)&lt;=$Z320,INDEX($G:$G,_xlfn.AGGREGATE(15,3,($A$301:$A$738=$AA320)/($A$301:$A$738=$AA320)*ROW($A$301:$A$738),COLUMNS($AB$299:AB$299))),"")</f>
        <v>0</v>
      </c>
      <c r="AC320" s="22" t="str" cm="1">
        <f t="array" ref="AC320">IF(COLUMNS($AB$299:AC$299)&lt;=$Z320,INDEX($G:$G,_xlfn.AGGREGATE(15,3,($A$301:$A$738=$AA320)/($A$301:$A$738=$AA320)*ROW($A$301:$A$738),COLUMNS($AB$299:AC$299))),"")</f>
        <v>&gt; 0 to ≤ 300</v>
      </c>
      <c r="AD320" s="22" t="str" cm="1">
        <f t="array" ref="AD320">IF(COLUMNS($AB$299:AD$299)&lt;=$Z320,INDEX($G:$G,_xlfn.AGGREGATE(15,3,($A$301:$A$738=$AA320)/($A$301:$A$738=$AA320)*ROW($A$301:$A$738),COLUMNS($AB$299:AD$299))),"")</f>
        <v>&gt; 300 to ≤ 450</v>
      </c>
      <c r="AE320" s="22" t="str" cm="1">
        <f t="array" ref="AE320">IF(COLUMNS($AB$299:AE$299)&lt;=$Z320,INDEX($G:$G,_xlfn.AGGREGATE(15,3,($A$301:$A$738=$AA320)/($A$301:$A$738=$AA320)*ROW($A$301:$A$738),COLUMNS($AB$299:AE$299))),"")</f>
        <v>&gt; 450 to ≤ 600</v>
      </c>
      <c r="AF320" s="22" t="str" cm="1">
        <f t="array" ref="AF320">IF(COLUMNS($AB$299:AF$299)&lt;=$Z320,INDEX($G:$G,_xlfn.AGGREGATE(15,3,($A$301:$A$738=$AA320)/($A$301:$A$738=$AA320)*ROW($A$301:$A$738),COLUMNS($AB$299:AF$299))),"")</f>
        <v>&gt; 600 to ≤ 900</v>
      </c>
      <c r="AG320" s="22" t="str" cm="1">
        <f t="array" ref="AG320">IF(COLUMNS($AB$299:AG$299)&lt;=$Z320,INDEX($G:$G,_xlfn.AGGREGATE(15,3,($A$301:$A$738=$AA320)/($A$301:$A$738=$AA320)*ROW($A$301:$A$738),COLUMNS($AB$299:AG$299))),"")</f>
        <v>&gt; 900 to ≤ 1200</v>
      </c>
      <c r="AH320" s="22" t="str" cm="1">
        <f t="array" ref="AH320">IF(COLUMNS($AB$299:AH$299)&lt;=$Z320,INDEX($G:$G,_xlfn.AGGREGATE(15,3,($A$301:$A$738=$AA320)/($A$301:$A$738=$AA320)*ROW($A$301:$A$738),COLUMNS($AB$299:AH$299))),"")</f>
        <v>&gt; 1200 to ≤ 1500</v>
      </c>
      <c r="AI320" s="22" t="str" cm="1">
        <f t="array" ref="AI320">IF(COLUMNS($AB$299:AI$299)&lt;=$Z320,INDEX($G:$G,_xlfn.AGGREGATE(15,3,($A$301:$A$738=$AA320)/($A$301:$A$738=$AA320)*ROW($A$301:$A$738),COLUMNS($AB$299:AI$299))),"")</f>
        <v>&gt; 1500 to ≤ 1800</v>
      </c>
      <c r="AJ320" s="22" t="str" cm="1">
        <f t="array" ref="AJ320">IF(COLUMNS($AB$299:AJ$299)&lt;=$Z320,INDEX($G:$G,_xlfn.AGGREGATE(15,3,($A$301:$A$738=$AA320)/($A$301:$A$738=$AA320)*ROW($A$301:$A$738),COLUMNS($AB$299:AJ$299))),"")</f>
        <v>&gt; 1800 to ≤ 2400</v>
      </c>
      <c r="AK320" s="22" t="str" cm="1">
        <f t="array" ref="AK320">IF(COLUMNS($AB$299:AK$299)&lt;=$Z320,INDEX($G:$G,_xlfn.AGGREGATE(15,3,($A$301:$A$738=$AA320)/($A$301:$A$738=$AA320)*ROW($A$301:$A$738),COLUMNS($AB$299:AK$299))),"")</f>
        <v/>
      </c>
      <c r="AL320" s="22" t="str" cm="1">
        <f t="array" ref="AL320">IF(COLUMNS($AB$299:AL$299)&lt;=$Z320,INDEX($G:$G,_xlfn.AGGREGATE(15,3,($A$301:$A$738=$AA320)/($A$301:$A$738=$AA320)*ROW($A$301:$A$738),COLUMNS($AB$299:AL$299))),"")</f>
        <v/>
      </c>
      <c r="AM320" s="22" t="str" cm="1">
        <f t="array" ref="AM320">IF(COLUMNS($AB$299:AM$299)&lt;=$Z320,INDEX($G:$G,_xlfn.AGGREGATE(15,3,($A$301:$A$738=$AA320)/($A$301:$A$738=$AA320)*ROW($A$301:$A$738),COLUMNS($AB$299:AM$299))),"")</f>
        <v/>
      </c>
      <c r="AN320" s="22" t="str" cm="1">
        <f t="array" ref="AN320">IF(COLUMNS($AB$299:AN$299)&lt;=$Z320,INDEX($G:$G,_xlfn.AGGREGATE(15,3,($A$301:$A$738=$AA320)/($A$301:$A$738=$AA320)*ROW($A$301:$A$738),COLUMNS($AB$299:AN$299))),"")</f>
        <v/>
      </c>
      <c r="AO320" s="22" t="str" cm="1">
        <f t="array" ref="AO320">IF(COLUMNS($AB$298:AO$298)&lt;=$Z321,INDEX($G:$G,_xlfn.AGGREGATE(15,3,($A$301:$A$738=$AA321)/($A$301:$A$738=$AA321)*ROW($A$301:$A$738),COLUMNS($AB$298:AO$298))),"")</f>
        <v/>
      </c>
    </row>
    <row r="321" spans="1:41" s="22" customFormat="1" x14ac:dyDescent="0.3">
      <c r="A321" s="22" t="str">
        <f>CONCATENATE(B321,C321,Concrete_block_walls_minimum_insulation_R_Value_climate_zone_1108[[#This Row],[Column1]])</f>
        <v>1Concrete block walls&gt; 0.4 to ≤ 0.5</v>
      </c>
      <c r="B321" s="22">
        <v>1</v>
      </c>
      <c r="C321" s="22" t="s">
        <v>191</v>
      </c>
      <c r="D321" s="22" t="str">
        <f>CONCATENATE(B321,C321,Concrete_block_walls_minimum_insulation_R_Value_climate_zone_1108[[#This Row],[Column1]],Concrete_block_walls_minimum_insulation_R_Value_climate_zone_1108[[#This Row],[Column4]])</f>
        <v>1Concrete block walls&gt; 0.4 to ≤ 0.5&gt; 300 to ≤ 450</v>
      </c>
      <c r="E321" s="22" t="str">
        <f t="shared" si="3"/>
        <v>1Concrete block walls</v>
      </c>
      <c r="F321" s="32" t="s">
        <v>561</v>
      </c>
      <c r="G321" s="32" t="s">
        <v>525</v>
      </c>
      <c r="H321" s="32">
        <v>1</v>
      </c>
      <c r="I321" s="32">
        <v>1.5</v>
      </c>
      <c r="J321" s="32" t="s">
        <v>321</v>
      </c>
      <c r="K321" s="32" t="s">
        <v>321</v>
      </c>
      <c r="P321" t="s">
        <v>568</v>
      </c>
      <c r="Q321" s="1288">
        <v>0.5</v>
      </c>
      <c r="R321" s="1288"/>
      <c r="S321" s="1288"/>
      <c r="W321"/>
      <c r="Z321" s="22">
        <f t="shared" si="2"/>
        <v>9</v>
      </c>
      <c r="AA321" t="s">
        <v>569</v>
      </c>
      <c r="AB321" s="22" cm="1">
        <f t="array" ref="AB321">IF(COLUMNS($AB$299:AB$299)&lt;=$Z321,INDEX($G:$G,_xlfn.AGGREGATE(15,3,($A$301:$A$738=$AA321)/($A$301:$A$738=$AA321)*ROW($A$301:$A$738),COLUMNS($AB$299:AB$299))),"")</f>
        <v>0</v>
      </c>
      <c r="AC321" s="22" t="str" cm="1">
        <f t="array" ref="AC321">IF(COLUMNS($AB$299:AC$299)&lt;=$Z321,INDEX($G:$G,_xlfn.AGGREGATE(15,3,($A$301:$A$738=$AA321)/($A$301:$A$738=$AA321)*ROW($A$301:$A$738),COLUMNS($AB$299:AC$299))),"")</f>
        <v>&gt; to ≤ 300</v>
      </c>
      <c r="AD321" s="22" t="str" cm="1">
        <f t="array" ref="AD321">IF(COLUMNS($AB$299:AD$299)&lt;=$Z321,INDEX($G:$G,_xlfn.AGGREGATE(15,3,($A$301:$A$738=$AA321)/($A$301:$A$738=$AA321)*ROW($A$301:$A$738),COLUMNS($AB$299:AD$299))),"")</f>
        <v>&gt; 300 to ≤ 450</v>
      </c>
      <c r="AE321" s="22" t="str" cm="1">
        <f t="array" ref="AE321">IF(COLUMNS($AB$299:AE$299)&lt;=$Z321,INDEX($G:$G,_xlfn.AGGREGATE(15,3,($A$301:$A$738=$AA321)/($A$301:$A$738=$AA321)*ROW($A$301:$A$738),COLUMNS($AB$299:AE$299))),"")</f>
        <v>&gt; 450 to ≤ 600</v>
      </c>
      <c r="AF321" s="22" t="str" cm="1">
        <f t="array" ref="AF321">IF(COLUMNS($AB$299:AF$299)&lt;=$Z321,INDEX($G:$G,_xlfn.AGGREGATE(15,3,($A$301:$A$738=$AA321)/($A$301:$A$738=$AA321)*ROW($A$301:$A$738),COLUMNS($AB$299:AF$299))),"")</f>
        <v>&gt; 600 to ≤ 900</v>
      </c>
      <c r="AG321" s="22" t="str" cm="1">
        <f t="array" ref="AG321">IF(COLUMNS($AB$299:AG$299)&lt;=$Z321,INDEX($G:$G,_xlfn.AGGREGATE(15,3,($A$301:$A$738=$AA321)/($A$301:$A$738=$AA321)*ROW($A$301:$A$738),COLUMNS($AB$299:AG$299))),"")</f>
        <v>&gt; 900 to ≤ 1200</v>
      </c>
      <c r="AH321" s="22" t="str" cm="1">
        <f t="array" ref="AH321">IF(COLUMNS($AB$299:AH$299)&lt;=$Z321,INDEX($G:$G,_xlfn.AGGREGATE(15,3,($A$301:$A$738=$AA321)/($A$301:$A$738=$AA321)*ROW($A$301:$A$738),COLUMNS($AB$299:AH$299))),"")</f>
        <v>&gt; 1200 to ≤ 1500</v>
      </c>
      <c r="AI321" s="22" t="str" cm="1">
        <f t="array" ref="AI321">IF(COLUMNS($AB$299:AI$299)&lt;=$Z321,INDEX($G:$G,_xlfn.AGGREGATE(15,3,($A$301:$A$738=$AA321)/($A$301:$A$738=$AA321)*ROW($A$301:$A$738),COLUMNS($AB$299:AI$299))),"")</f>
        <v>&gt; 1500 to ≤ 1800</v>
      </c>
      <c r="AJ321" s="22" t="str" cm="1">
        <f t="array" ref="AJ321">IF(COLUMNS($AB$299:AJ$299)&lt;=$Z321,INDEX($G:$G,_xlfn.AGGREGATE(15,3,($A$301:$A$738=$AA321)/($A$301:$A$738=$AA321)*ROW($A$301:$A$738),COLUMNS($AB$299:AJ$299))),"")</f>
        <v>&gt; 1800 to ≤ 2400</v>
      </c>
      <c r="AK321" s="22" t="str" cm="1">
        <f t="array" ref="AK321">IF(COLUMNS($AB$299:AK$299)&lt;=$Z321,INDEX($G:$G,_xlfn.AGGREGATE(15,3,($A$301:$A$738=$AA321)/($A$301:$A$738=$AA321)*ROW($A$301:$A$738),COLUMNS($AB$299:AK$299))),"")</f>
        <v/>
      </c>
      <c r="AL321" s="22" t="str" cm="1">
        <f t="array" ref="AL321">IF(COLUMNS($AB$299:AL$299)&lt;=$Z321,INDEX($G:$G,_xlfn.AGGREGATE(15,3,($A$301:$A$738=$AA321)/($A$301:$A$738=$AA321)*ROW($A$301:$A$738),COLUMNS($AB$299:AL$299))),"")</f>
        <v/>
      </c>
      <c r="AM321" s="22" t="str" cm="1">
        <f t="array" ref="AM321">IF(COLUMNS($AB$299:AM$299)&lt;=$Z321,INDEX($G:$G,_xlfn.AGGREGATE(15,3,($A$301:$A$738=$AA321)/($A$301:$A$738=$AA321)*ROW($A$301:$A$738),COLUMNS($AB$299:AM$299))),"")</f>
        <v/>
      </c>
      <c r="AN321" s="22" t="str" cm="1">
        <f t="array" ref="AN321">IF(COLUMNS($AB$299:AN$299)&lt;=$Z321,INDEX($G:$G,_xlfn.AGGREGATE(15,3,($A$301:$A$738=$AA321)/($A$301:$A$738=$AA321)*ROW($A$301:$A$738),COLUMNS($AB$299:AN$299))),"")</f>
        <v/>
      </c>
      <c r="AO321" s="22" t="str" cm="1">
        <f t="array" ref="AO321">IF(COLUMNS($AB$298:AO$298)&lt;=$Z322,INDEX($G:$G,_xlfn.AGGREGATE(15,3,($A$301:$A$738=$AA322)/($A$301:$A$738=$AA322)*ROW($A$301:$A$738),COLUMNS($AB$298:AO$298))),"")</f>
        <v/>
      </c>
    </row>
    <row r="322" spans="1:41" s="22" customFormat="1" x14ac:dyDescent="0.3">
      <c r="A322" s="22" t="str">
        <f>CONCATENATE(B322,C322,Concrete_block_walls_minimum_insulation_R_Value_climate_zone_1108[[#This Row],[Column1]])</f>
        <v>1Concrete block walls&gt; 0.4 to ≤ 0.5</v>
      </c>
      <c r="B322" s="22">
        <v>1</v>
      </c>
      <c r="C322" s="22" t="s">
        <v>191</v>
      </c>
      <c r="D322" s="22" t="str">
        <f>CONCATENATE(B322,C322,Concrete_block_walls_minimum_insulation_R_Value_climate_zone_1108[[#This Row],[Column1]],Concrete_block_walls_minimum_insulation_R_Value_climate_zone_1108[[#This Row],[Column4]])</f>
        <v>1Concrete block walls&gt; 0.4 to ≤ 0.5&gt; 450 to ≤ 600</v>
      </c>
      <c r="E322" s="22" t="str">
        <f t="shared" si="3"/>
        <v>1Concrete block walls</v>
      </c>
      <c r="F322" s="32" t="s">
        <v>561</v>
      </c>
      <c r="G322" s="32" t="s">
        <v>528</v>
      </c>
      <c r="H322" s="32" t="s">
        <v>522</v>
      </c>
      <c r="I322" s="32">
        <v>1</v>
      </c>
      <c r="J322" s="32" t="s">
        <v>321</v>
      </c>
      <c r="K322" s="32" t="s">
        <v>321</v>
      </c>
      <c r="P322" t="s">
        <v>570</v>
      </c>
      <c r="Q322" s="1288">
        <v>0.25</v>
      </c>
      <c r="R322" s="1288"/>
      <c r="S322" s="1288"/>
      <c r="W322"/>
      <c r="Z322" s="22">
        <f t="shared" si="2"/>
        <v>9</v>
      </c>
      <c r="AA322" t="s">
        <v>571</v>
      </c>
      <c r="AB322" s="22" cm="1">
        <f t="array" ref="AB322">IF(COLUMNS($AB$299:AB$299)&lt;=$Z322,INDEX($G:$G,_xlfn.AGGREGATE(15,3,($A$301:$A$738=$AA322)/($A$301:$A$738=$AA322)*ROW($A$301:$A$738),COLUMNS($AB$299:AB$299))),"")</f>
        <v>0</v>
      </c>
      <c r="AC322" s="22" t="str" cm="1">
        <f t="array" ref="AC322">IF(COLUMNS($AB$299:AC$299)&lt;=$Z322,INDEX($G:$G,_xlfn.AGGREGATE(15,3,($A$301:$A$738=$AA322)/($A$301:$A$738=$AA322)*ROW($A$301:$A$738),COLUMNS($AB$299:AC$299))),"")</f>
        <v>&gt; 0 to ≤ 300</v>
      </c>
      <c r="AD322" s="22" t="str" cm="1">
        <f t="array" ref="AD322">IF(COLUMNS($AB$299:AD$299)&lt;=$Z322,INDEX($G:$G,_xlfn.AGGREGATE(15,3,($A$301:$A$738=$AA322)/($A$301:$A$738=$AA322)*ROW($A$301:$A$738),COLUMNS($AB$299:AD$299))),"")</f>
        <v>&gt; 300 to ≤ 450</v>
      </c>
      <c r="AE322" s="22" t="str" cm="1">
        <f t="array" ref="AE322">IF(COLUMNS($AB$299:AE$299)&lt;=$Z322,INDEX($G:$G,_xlfn.AGGREGATE(15,3,($A$301:$A$738=$AA322)/($A$301:$A$738=$AA322)*ROW($A$301:$A$738),COLUMNS($AB$299:AE$299))),"")</f>
        <v>&gt; 450 to ≤ 600</v>
      </c>
      <c r="AF322" s="22" t="str" cm="1">
        <f t="array" ref="AF322">IF(COLUMNS($AB$299:AF$299)&lt;=$Z322,INDEX($G:$G,_xlfn.AGGREGATE(15,3,($A$301:$A$738=$AA322)/($A$301:$A$738=$AA322)*ROW($A$301:$A$738),COLUMNS($AB$299:AF$299))),"")</f>
        <v>&gt; 600 to ≤ 900</v>
      </c>
      <c r="AG322" s="22" t="str" cm="1">
        <f t="array" ref="AG322">IF(COLUMNS($AB$299:AG$299)&lt;=$Z322,INDEX($G:$G,_xlfn.AGGREGATE(15,3,($A$301:$A$738=$AA322)/($A$301:$A$738=$AA322)*ROW($A$301:$A$738),COLUMNS($AB$299:AG$299))),"")</f>
        <v>&gt; 900 to ≤ 1200</v>
      </c>
      <c r="AH322" s="22" t="str" cm="1">
        <f t="array" ref="AH322">IF(COLUMNS($AB$299:AH$299)&lt;=$Z322,INDEX($G:$G,_xlfn.AGGREGATE(15,3,($A$301:$A$738=$AA322)/($A$301:$A$738=$AA322)*ROW($A$301:$A$738),COLUMNS($AB$299:AH$299))),"")</f>
        <v>&gt; 1200 to ≤ 1500</v>
      </c>
      <c r="AI322" s="22" t="str" cm="1">
        <f t="array" ref="AI322">IF(COLUMNS($AB$299:AI$299)&lt;=$Z322,INDEX($G:$G,_xlfn.AGGREGATE(15,3,($A$301:$A$738=$AA322)/($A$301:$A$738=$AA322)*ROW($A$301:$A$738),COLUMNS($AB$299:AI$299))),"")</f>
        <v>&gt; 1500 to ≤ 1800</v>
      </c>
      <c r="AJ322" s="22" t="str" cm="1">
        <f t="array" ref="AJ322">IF(COLUMNS($AB$299:AJ$299)&lt;=$Z322,INDEX($G:$G,_xlfn.AGGREGATE(15,3,($A$301:$A$738=$AA322)/($A$301:$A$738=$AA322)*ROW($A$301:$A$738),COLUMNS($AB$299:AJ$299))),"")</f>
        <v>&gt; 1800 to ≤ 2400</v>
      </c>
      <c r="AK322" s="22" t="str" cm="1">
        <f t="array" ref="AK322">IF(COLUMNS($AB$299:AK$299)&lt;=$Z322,INDEX($G:$G,_xlfn.AGGREGATE(15,3,($A$301:$A$738=$AA322)/($A$301:$A$738=$AA322)*ROW($A$301:$A$738),COLUMNS($AB$299:AK$299))),"")</f>
        <v/>
      </c>
      <c r="AL322" s="22" t="str" cm="1">
        <f t="array" ref="AL322">IF(COLUMNS($AB$299:AL$299)&lt;=$Z322,INDEX($G:$G,_xlfn.AGGREGATE(15,3,($A$301:$A$738=$AA322)/($A$301:$A$738=$AA322)*ROW($A$301:$A$738),COLUMNS($AB$299:AL$299))),"")</f>
        <v/>
      </c>
      <c r="AM322" s="22" t="str" cm="1">
        <f t="array" ref="AM322">IF(COLUMNS($AB$299:AM$299)&lt;=$Z322,INDEX($G:$G,_xlfn.AGGREGATE(15,3,($A$301:$A$738=$AA322)/($A$301:$A$738=$AA322)*ROW($A$301:$A$738),COLUMNS($AB$299:AM$299))),"")</f>
        <v/>
      </c>
      <c r="AN322" s="22" t="str" cm="1">
        <f t="array" ref="AN322">IF(COLUMNS($AB$299:AN$299)&lt;=$Z322,INDEX($G:$G,_xlfn.AGGREGATE(15,3,($A$301:$A$738=$AA322)/($A$301:$A$738=$AA322)*ROW($A$301:$A$738),COLUMNS($AB$299:AN$299))),"")</f>
        <v/>
      </c>
      <c r="AO322" s="22" t="str" cm="1">
        <f t="array" ref="AO322">IF(COLUMNS($AB$298:AO$298)&lt;=$Z323,INDEX($G:$G,_xlfn.AGGREGATE(15,3,($A$301:$A$738=$AA323)/($A$301:$A$738=$AA323)*ROW($A$301:$A$738),COLUMNS($AB$298:AO$298))),"")</f>
        <v/>
      </c>
    </row>
    <row r="323" spans="1:41" s="22" customFormat="1" x14ac:dyDescent="0.3">
      <c r="A323" s="22" t="str">
        <f>CONCATENATE(B323,C323,Concrete_block_walls_minimum_insulation_R_Value_climate_zone_1108[[#This Row],[Column1]])</f>
        <v>1Concrete block walls&gt; 0.4 to ≤ 0.5</v>
      </c>
      <c r="B323" s="22">
        <v>1</v>
      </c>
      <c r="C323" s="22" t="s">
        <v>191</v>
      </c>
      <c r="D323" s="22" t="str">
        <f>CONCATENATE(B323,C323,Concrete_block_walls_minimum_insulation_R_Value_climate_zone_1108[[#This Row],[Column1]],Concrete_block_walls_minimum_insulation_R_Value_climate_zone_1108[[#This Row],[Column4]])</f>
        <v>1Concrete block walls&gt; 0.4 to ≤ 0.5&gt; 600 to ≤ 900</v>
      </c>
      <c r="E323" s="22" t="str">
        <f t="shared" si="3"/>
        <v>1Concrete block walls</v>
      </c>
      <c r="F323" s="32" t="s">
        <v>561</v>
      </c>
      <c r="G323" s="32" t="s">
        <v>531</v>
      </c>
      <c r="H323" s="32">
        <v>0</v>
      </c>
      <c r="I323" s="32" t="s">
        <v>522</v>
      </c>
      <c r="J323" s="32">
        <v>1</v>
      </c>
      <c r="K323" s="32" t="s">
        <v>321</v>
      </c>
      <c r="P323" t="s">
        <v>572</v>
      </c>
      <c r="Q323" s="1288">
        <v>0.5</v>
      </c>
      <c r="R323" s="1288"/>
      <c r="S323" s="1288"/>
      <c r="W323"/>
      <c r="Z323" s="22">
        <f t="shared" si="2"/>
        <v>7</v>
      </c>
      <c r="AA323" t="s">
        <v>573</v>
      </c>
      <c r="AB323" s="22" cm="1">
        <f t="array" ref="AB323">IF(COLUMNS($AB$299:AB$299)&lt;=$Z323,INDEX($G:$G,_xlfn.AGGREGATE(15,3,($A$301:$A$738=$AA323)/($A$301:$A$738=$AA323)*ROW($A$301:$A$738),COLUMNS($AB$299:AB$299))),"")</f>
        <v>0</v>
      </c>
      <c r="AC323" s="22" t="str" cm="1">
        <f t="array" ref="AC323">IF(COLUMNS($AB$299:AC$299)&lt;=$Z323,INDEX($G:$G,_xlfn.AGGREGATE(15,3,($A$301:$A$738=$AA323)/($A$301:$A$738=$AA323)*ROW($A$301:$A$738),COLUMNS($AB$299:AC$299))),"")</f>
        <v>&gt; 0 to ≤ 300</v>
      </c>
      <c r="AD323" s="22" t="str" cm="1">
        <f t="array" ref="AD323">IF(COLUMNS($AB$299:AD$299)&lt;=$Z323,INDEX($G:$G,_xlfn.AGGREGATE(15,3,($A$301:$A$738=$AA323)/($A$301:$A$738=$AA323)*ROW($A$301:$A$738),COLUMNS($AB$299:AD$299))),"")</f>
        <v>&gt; 300 to ≤ 450</v>
      </c>
      <c r="AE323" s="22" t="str" cm="1">
        <f t="array" ref="AE323">IF(COLUMNS($AB$299:AE$299)&lt;=$Z323,INDEX($G:$G,_xlfn.AGGREGATE(15,3,($A$301:$A$738=$AA323)/($A$301:$A$738=$AA323)*ROW($A$301:$A$738),COLUMNS($AB$299:AE$299))),"")</f>
        <v>&gt; 450 to ≤ 600</v>
      </c>
      <c r="AF323" s="22" t="str" cm="1">
        <f t="array" ref="AF323">IF(COLUMNS($AB$299:AF$299)&lt;=$Z323,INDEX($G:$G,_xlfn.AGGREGATE(15,3,($A$301:$A$738=$AA323)/($A$301:$A$738=$AA323)*ROW($A$301:$A$738),COLUMNS($AB$299:AF$299))),"")</f>
        <v>&gt; 600 to ≤ 900</v>
      </c>
      <c r="AG323" s="22" t="str" cm="1">
        <f t="array" ref="AG323">IF(COLUMNS($AB$299:AG$299)&lt;=$Z323,INDEX($G:$G,_xlfn.AGGREGATE(15,3,($A$301:$A$738=$AA323)/($A$301:$A$738=$AA323)*ROW($A$301:$A$738),COLUMNS($AB$299:AG$299))),"")</f>
        <v>&gt; 900 to ≤ 1200</v>
      </c>
      <c r="AH323" s="22" t="str" cm="1">
        <f t="array" ref="AH323">IF(COLUMNS($AB$299:AH$299)&lt;=$Z323,INDEX($G:$G,_xlfn.AGGREGATE(15,3,($A$301:$A$738=$AA323)/($A$301:$A$738=$AA323)*ROW($A$301:$A$738),COLUMNS($AB$299:AH$299))),"")</f>
        <v>&gt; 1200 to ≤ 1500</v>
      </c>
      <c r="AI323" s="22" t="str" cm="1">
        <f t="array" ref="AI323">IF(COLUMNS($AB$299:AI$299)&lt;=$Z323,INDEX($G:$G,_xlfn.AGGREGATE(15,3,($A$301:$A$738=$AA323)/($A$301:$A$738=$AA323)*ROW($A$301:$A$738),COLUMNS($AB$299:AI$299))),"")</f>
        <v/>
      </c>
      <c r="AJ323" s="22" t="str" cm="1">
        <f t="array" ref="AJ323">IF(COLUMNS($AB$299:AJ$299)&lt;=$Z323,INDEX($G:$G,_xlfn.AGGREGATE(15,3,($A$301:$A$738=$AA323)/($A$301:$A$738=$AA323)*ROW($A$301:$A$738),COLUMNS($AB$299:AJ$299))),"")</f>
        <v/>
      </c>
      <c r="AK323" s="22" t="str" cm="1">
        <f t="array" ref="AK323">IF(COLUMNS($AB$299:AK$299)&lt;=$Z323,INDEX($G:$G,_xlfn.AGGREGATE(15,3,($A$301:$A$738=$AA323)/($A$301:$A$738=$AA323)*ROW($A$301:$A$738),COLUMNS($AB$299:AK$299))),"")</f>
        <v/>
      </c>
      <c r="AL323" s="22" t="str" cm="1">
        <f t="array" ref="AL323">IF(COLUMNS($AB$299:AL$299)&lt;=$Z323,INDEX($G:$G,_xlfn.AGGREGATE(15,3,($A$301:$A$738=$AA323)/($A$301:$A$738=$AA323)*ROW($A$301:$A$738),COLUMNS($AB$299:AL$299))),"")</f>
        <v/>
      </c>
      <c r="AM323" s="22" t="str" cm="1">
        <f t="array" ref="AM323">IF(COLUMNS($AB$299:AM$299)&lt;=$Z323,INDEX($G:$G,_xlfn.AGGREGATE(15,3,($A$301:$A$738=$AA323)/($A$301:$A$738=$AA323)*ROW($A$301:$A$738),COLUMNS($AB$299:AM$299))),"")</f>
        <v/>
      </c>
      <c r="AN323" s="22" t="str" cm="1">
        <f t="array" ref="AN323">IF(COLUMNS($AB$299:AN$299)&lt;=$Z323,INDEX($G:$G,_xlfn.AGGREGATE(15,3,($A$301:$A$738=$AA323)/($A$301:$A$738=$AA323)*ROW($A$301:$A$738),COLUMNS($AB$299:AN$299))),"")</f>
        <v/>
      </c>
      <c r="AO323" s="22" t="str" cm="1">
        <f t="array" ref="AO323">IF(COLUMNS($AB$298:AO$298)&lt;=$Z324,INDEX($G:$G,_xlfn.AGGREGATE(15,3,($A$301:$A$738=$AA324)/($A$301:$A$738=$AA324)*ROW($A$301:$A$738),COLUMNS($AB$298:AO$298))),"")</f>
        <v/>
      </c>
    </row>
    <row r="324" spans="1:41" s="22" customFormat="1" x14ac:dyDescent="0.3">
      <c r="A324" s="22" t="str">
        <f>CONCATENATE(B324,C324,Concrete_block_walls_minimum_insulation_R_Value_climate_zone_1108[[#This Row],[Column1]])</f>
        <v>1Concrete block walls&gt; 0.4 to ≤ 0.5</v>
      </c>
      <c r="B324" s="22">
        <v>1</v>
      </c>
      <c r="C324" s="22" t="s">
        <v>191</v>
      </c>
      <c r="D324" s="22" t="str">
        <f>CONCATENATE(B324,C324,Concrete_block_walls_minimum_insulation_R_Value_climate_zone_1108[[#This Row],[Column1]],Concrete_block_walls_minimum_insulation_R_Value_climate_zone_1108[[#This Row],[Column4]])</f>
        <v>1Concrete block walls&gt; 0.4 to ≤ 0.5&gt; 900 to ≤ 1200</v>
      </c>
      <c r="E324" s="22" t="str">
        <f t="shared" si="3"/>
        <v>1Concrete block walls</v>
      </c>
      <c r="F324" s="32" t="s">
        <v>561</v>
      </c>
      <c r="G324" s="32" t="s">
        <v>534</v>
      </c>
      <c r="H324" s="32">
        <v>0</v>
      </c>
      <c r="I324" s="32" t="s">
        <v>522</v>
      </c>
      <c r="J324" s="32" t="s">
        <v>522</v>
      </c>
      <c r="K324" s="32">
        <v>2</v>
      </c>
      <c r="P324" t="s">
        <v>574</v>
      </c>
      <c r="Q324" s="1288">
        <v>0.25</v>
      </c>
      <c r="R324" s="1288"/>
      <c r="S324" s="1288"/>
      <c r="W324"/>
      <c r="Z324" s="22">
        <f t="shared" si="2"/>
        <v>7</v>
      </c>
      <c r="AA324" t="s">
        <v>575</v>
      </c>
      <c r="AB324" s="22" cm="1">
        <f t="array" ref="AB324">IF(COLUMNS($AB$299:AB$299)&lt;=$Z324,INDEX($G:$G,_xlfn.AGGREGATE(15,3,($A$301:$A$738=$AA324)/($A$301:$A$738=$AA324)*ROW($A$301:$A$738),COLUMNS($AB$299:AB$299))),"")</f>
        <v>0</v>
      </c>
      <c r="AC324" s="22" t="str" cm="1">
        <f t="array" ref="AC324">IF(COLUMNS($AB$299:AC$299)&lt;=$Z324,INDEX($G:$G,_xlfn.AGGREGATE(15,3,($A$301:$A$738=$AA324)/($A$301:$A$738=$AA324)*ROW($A$301:$A$738),COLUMNS($AB$299:AC$299))),"")</f>
        <v>&gt; 0 to ≤ 300</v>
      </c>
      <c r="AD324" s="22" t="str" cm="1">
        <f t="array" ref="AD324">IF(COLUMNS($AB$299:AD$299)&lt;=$Z324,INDEX($G:$G,_xlfn.AGGREGATE(15,3,($A$301:$A$738=$AA324)/($A$301:$A$738=$AA324)*ROW($A$301:$A$738),COLUMNS($AB$299:AD$299))),"")</f>
        <v>&gt; 300 to ≤ 450</v>
      </c>
      <c r="AE324" s="22" t="str" cm="1">
        <f t="array" ref="AE324">IF(COLUMNS($AB$299:AE$299)&lt;=$Z324,INDEX($G:$G,_xlfn.AGGREGATE(15,3,($A$301:$A$738=$AA324)/($A$301:$A$738=$AA324)*ROW($A$301:$A$738),COLUMNS($AB$299:AE$299))),"")</f>
        <v>&gt; 450 to ≤ 600</v>
      </c>
      <c r="AF324" s="22" t="str" cm="1">
        <f t="array" ref="AF324">IF(COLUMNS($AB$299:AF$299)&lt;=$Z324,INDEX($G:$G,_xlfn.AGGREGATE(15,3,($A$301:$A$738=$AA324)/($A$301:$A$738=$AA324)*ROW($A$301:$A$738),COLUMNS($AB$299:AF$299))),"")</f>
        <v>&gt; 600 to ≤ 900</v>
      </c>
      <c r="AG324" s="22" t="str" cm="1">
        <f t="array" ref="AG324">IF(COLUMNS($AB$299:AG$299)&lt;=$Z324,INDEX($G:$G,_xlfn.AGGREGATE(15,3,($A$301:$A$738=$AA324)/($A$301:$A$738=$AA324)*ROW($A$301:$A$738),COLUMNS($AB$299:AG$299))),"")</f>
        <v>&gt; 900 to ≤ 1200</v>
      </c>
      <c r="AH324" s="22" t="str" cm="1">
        <f t="array" ref="AH324">IF(COLUMNS($AB$299:AH$299)&lt;=$Z324,INDEX($G:$G,_xlfn.AGGREGATE(15,3,($A$301:$A$738=$AA324)/($A$301:$A$738=$AA324)*ROW($A$301:$A$738),COLUMNS($AB$299:AH$299))),"")</f>
        <v>&gt; 1200 to ≤ 1500</v>
      </c>
      <c r="AI324" s="22" t="str" cm="1">
        <f t="array" ref="AI324">IF(COLUMNS($AB$299:AI$299)&lt;=$Z324,INDEX($G:$G,_xlfn.AGGREGATE(15,3,($A$301:$A$738=$AA324)/($A$301:$A$738=$AA324)*ROW($A$301:$A$738),COLUMNS($AB$299:AI$299))),"")</f>
        <v/>
      </c>
      <c r="AJ324" s="22" t="str" cm="1">
        <f t="array" ref="AJ324">IF(COLUMNS($AB$299:AJ$299)&lt;=$Z324,INDEX($G:$G,_xlfn.AGGREGATE(15,3,($A$301:$A$738=$AA324)/($A$301:$A$738=$AA324)*ROW($A$301:$A$738),COLUMNS($AB$299:AJ$299))),"")</f>
        <v/>
      </c>
      <c r="AK324" s="22" t="str" cm="1">
        <f t="array" ref="AK324">IF(COLUMNS($AB$299:AK$299)&lt;=$Z324,INDEX($G:$G,_xlfn.AGGREGATE(15,3,($A$301:$A$738=$AA324)/($A$301:$A$738=$AA324)*ROW($A$301:$A$738),COLUMNS($AB$299:AK$299))),"")</f>
        <v/>
      </c>
      <c r="AL324" s="22" t="str" cm="1">
        <f t="array" ref="AL324">IF(COLUMNS($AB$299:AL$299)&lt;=$Z324,INDEX($G:$G,_xlfn.AGGREGATE(15,3,($A$301:$A$738=$AA324)/($A$301:$A$738=$AA324)*ROW($A$301:$A$738),COLUMNS($AB$299:AL$299))),"")</f>
        <v/>
      </c>
      <c r="AM324" s="22" t="str" cm="1">
        <f t="array" ref="AM324">IF(COLUMNS($AB$299:AM$299)&lt;=$Z324,INDEX($G:$G,_xlfn.AGGREGATE(15,3,($A$301:$A$738=$AA324)/($A$301:$A$738=$AA324)*ROW($A$301:$A$738),COLUMNS($AB$299:AM$299))),"")</f>
        <v/>
      </c>
      <c r="AN324" s="22" t="str" cm="1">
        <f t="array" ref="AN324">IF(COLUMNS($AB$299:AN$299)&lt;=$Z324,INDEX($G:$G,_xlfn.AGGREGATE(15,3,($A$301:$A$738=$AA324)/($A$301:$A$738=$AA324)*ROW($A$301:$A$738),COLUMNS($AB$299:AN$299))),"")</f>
        <v/>
      </c>
      <c r="AO324" s="22" t="str" cm="1">
        <f t="array" ref="AO324">IF(COLUMNS($AB$298:AO$298)&lt;=$Z325,INDEX($G:$G,_xlfn.AGGREGATE(15,3,($A$301:$A$738=$AA325)/($A$301:$A$738=$AA325)*ROW($A$301:$A$738),COLUMNS($AB$298:AO$298))),"")</f>
        <v/>
      </c>
    </row>
    <row r="325" spans="1:41" s="22" customFormat="1" x14ac:dyDescent="0.3">
      <c r="A325" s="22" t="str">
        <f>CONCATENATE(B325,C325,Concrete_block_walls_minimum_insulation_R_Value_climate_zone_1108[[#This Row],[Column1]])</f>
        <v>1Concrete block walls&gt; 0.4 to ≤ 0.5</v>
      </c>
      <c r="B325" s="22">
        <v>1</v>
      </c>
      <c r="C325" s="22" t="s">
        <v>191</v>
      </c>
      <c r="D325" s="22" t="str">
        <f>CONCATENATE(B325,C325,Concrete_block_walls_minimum_insulation_R_Value_climate_zone_1108[[#This Row],[Column1]],Concrete_block_walls_minimum_insulation_R_Value_climate_zone_1108[[#This Row],[Column4]])</f>
        <v>1Concrete block walls&gt; 0.4 to ≤ 0.5&gt; 1200 to ≤ 1500</v>
      </c>
      <c r="E325" s="22" t="str">
        <f t="shared" si="3"/>
        <v>1Concrete block walls</v>
      </c>
      <c r="F325" s="32" t="s">
        <v>561</v>
      </c>
      <c r="G325" s="32" t="s">
        <v>536</v>
      </c>
      <c r="H325" s="32">
        <v>0</v>
      </c>
      <c r="I325" s="32">
        <v>0</v>
      </c>
      <c r="J325" s="32" t="s">
        <v>522</v>
      </c>
      <c r="K325" s="32">
        <v>1</v>
      </c>
      <c r="P325" t="s">
        <v>576</v>
      </c>
      <c r="Q325" s="1288">
        <v>0.5</v>
      </c>
      <c r="R325" s="1288"/>
      <c r="S325" s="1288"/>
      <c r="W325"/>
      <c r="Z325" s="22">
        <f t="shared" si="2"/>
        <v>7</v>
      </c>
      <c r="AA325" t="s">
        <v>577</v>
      </c>
      <c r="AB325" s="22" cm="1">
        <f t="array" ref="AB325">IF(COLUMNS($AB$299:AB$299)&lt;=$Z325,INDEX($G:$G,_xlfn.AGGREGATE(15,3,($A$301:$A$738=$AA325)/($A$301:$A$738=$AA325)*ROW($A$301:$A$738),COLUMNS($AB$299:AB$299))),"")</f>
        <v>0</v>
      </c>
      <c r="AC325" s="22" t="str" cm="1">
        <f t="array" ref="AC325">IF(COLUMNS($AB$299:AC$299)&lt;=$Z325,INDEX($G:$G,_xlfn.AGGREGATE(15,3,($A$301:$A$738=$AA325)/($A$301:$A$738=$AA325)*ROW($A$301:$A$738),COLUMNS($AB$299:AC$299))),"")</f>
        <v>&gt; 0 to ≤ 300</v>
      </c>
      <c r="AD325" s="22" t="str" cm="1">
        <f t="array" ref="AD325">IF(COLUMNS($AB$299:AD$299)&lt;=$Z325,INDEX($G:$G,_xlfn.AGGREGATE(15,3,($A$301:$A$738=$AA325)/($A$301:$A$738=$AA325)*ROW($A$301:$A$738),COLUMNS($AB$299:AD$299))),"")</f>
        <v>&gt; 300 to ≤ 450</v>
      </c>
      <c r="AE325" s="22" t="str" cm="1">
        <f t="array" ref="AE325">IF(COLUMNS($AB$299:AE$299)&lt;=$Z325,INDEX($G:$G,_xlfn.AGGREGATE(15,3,($A$301:$A$738=$AA325)/($A$301:$A$738=$AA325)*ROW($A$301:$A$738),COLUMNS($AB$299:AE$299))),"")</f>
        <v>&gt; 450 to ≤ 600</v>
      </c>
      <c r="AF325" s="22" t="str" cm="1">
        <f t="array" ref="AF325">IF(COLUMNS($AB$299:AF$299)&lt;=$Z325,INDEX($G:$G,_xlfn.AGGREGATE(15,3,($A$301:$A$738=$AA325)/($A$301:$A$738=$AA325)*ROW($A$301:$A$738),COLUMNS($AB$299:AF$299))),"")</f>
        <v>&gt; 600 to ≤ 900</v>
      </c>
      <c r="AG325" s="22" t="str" cm="1">
        <f t="array" ref="AG325">IF(COLUMNS($AB$299:AG$299)&lt;=$Z325,INDEX($G:$G,_xlfn.AGGREGATE(15,3,($A$301:$A$738=$AA325)/($A$301:$A$738=$AA325)*ROW($A$301:$A$738),COLUMNS($AB$299:AG$299))),"")</f>
        <v>&gt; 900 to ≤ 1200</v>
      </c>
      <c r="AH325" s="22" t="str" cm="1">
        <f t="array" ref="AH325">IF(COLUMNS($AB$299:AH$299)&lt;=$Z325,INDEX($G:$G,_xlfn.AGGREGATE(15,3,($A$301:$A$738=$AA325)/($A$301:$A$738=$AA325)*ROW($A$301:$A$738),COLUMNS($AB$299:AH$299))),"")</f>
        <v>&gt; 1200 to ≤ 1500</v>
      </c>
      <c r="AI325" s="22" t="str" cm="1">
        <f t="array" ref="AI325">IF(COLUMNS($AB$299:AI$299)&lt;=$Z325,INDEX($G:$G,_xlfn.AGGREGATE(15,3,($A$301:$A$738=$AA325)/($A$301:$A$738=$AA325)*ROW($A$301:$A$738),COLUMNS($AB$299:AI$299))),"")</f>
        <v/>
      </c>
      <c r="AJ325" s="22" t="str" cm="1">
        <f t="array" ref="AJ325">IF(COLUMNS($AB$299:AJ$299)&lt;=$Z325,INDEX($G:$G,_xlfn.AGGREGATE(15,3,($A$301:$A$738=$AA325)/($A$301:$A$738=$AA325)*ROW($A$301:$A$738),COLUMNS($AB$299:AJ$299))),"")</f>
        <v/>
      </c>
      <c r="AK325" s="22" t="str" cm="1">
        <f t="array" ref="AK325">IF(COLUMNS($AB$299:AK$299)&lt;=$Z325,INDEX($G:$G,_xlfn.AGGREGATE(15,3,($A$301:$A$738=$AA325)/($A$301:$A$738=$AA325)*ROW($A$301:$A$738),COLUMNS($AB$299:AK$299))),"")</f>
        <v/>
      </c>
      <c r="AL325" s="22" t="str" cm="1">
        <f t="array" ref="AL325">IF(COLUMNS($AB$299:AL$299)&lt;=$Z325,INDEX($G:$G,_xlfn.AGGREGATE(15,3,($A$301:$A$738=$AA325)/($A$301:$A$738=$AA325)*ROW($A$301:$A$738),COLUMNS($AB$299:AL$299))),"")</f>
        <v/>
      </c>
      <c r="AM325" s="22" t="str" cm="1">
        <f t="array" ref="AM325">IF(COLUMNS($AB$299:AM$299)&lt;=$Z325,INDEX($G:$G,_xlfn.AGGREGATE(15,3,($A$301:$A$738=$AA325)/($A$301:$A$738=$AA325)*ROW($A$301:$A$738),COLUMNS($AB$299:AM$299))),"")</f>
        <v/>
      </c>
      <c r="AN325" s="22" t="str" cm="1">
        <f t="array" ref="AN325">IF(COLUMNS($AB$299:AN$299)&lt;=$Z325,INDEX($G:$G,_xlfn.AGGREGATE(15,3,($A$301:$A$738=$AA325)/($A$301:$A$738=$AA325)*ROW($A$301:$A$738),COLUMNS($AB$299:AN$299))),"")</f>
        <v/>
      </c>
      <c r="AO325" s="22" t="str" cm="1">
        <f t="array" ref="AO325">IF(COLUMNS($AB$298:AO$298)&lt;=$Z326,INDEX($G:$G,_xlfn.AGGREGATE(15,3,($A$301:$A$738=$AA326)/($A$301:$A$738=$AA326)*ROW($A$301:$A$738),COLUMNS($AB$298:AO$298))),"")</f>
        <v/>
      </c>
    </row>
    <row r="326" spans="1:41" s="22" customFormat="1" x14ac:dyDescent="0.3">
      <c r="A326" s="22" t="str">
        <f>CONCATENATE(B326,C326,Concrete_block_walls_minimum_insulation_R_Value_climate_zone_1108[[#This Row],[Column1]])</f>
        <v>1Concrete block walls&gt; 0.4 to ≤ 0.5</v>
      </c>
      <c r="B326" s="22">
        <v>1</v>
      </c>
      <c r="C326" s="22" t="s">
        <v>191</v>
      </c>
      <c r="D326" s="22" t="str">
        <f>CONCATENATE(B326,C326,Concrete_block_walls_minimum_insulation_R_Value_climate_zone_1108[[#This Row],[Column1]],Concrete_block_walls_minimum_insulation_R_Value_climate_zone_1108[[#This Row],[Column4]])</f>
        <v>1Concrete block walls&gt; 0.4 to ≤ 0.5&gt; 1500 to ≤ 1800</v>
      </c>
      <c r="E326" s="22" t="str">
        <f t="shared" si="3"/>
        <v>1Concrete block walls</v>
      </c>
      <c r="F326" s="32" t="s">
        <v>561</v>
      </c>
      <c r="G326" s="32" t="s">
        <v>539</v>
      </c>
      <c r="H326" s="32">
        <v>0</v>
      </c>
      <c r="I326" s="32">
        <v>0</v>
      </c>
      <c r="J326" s="32" t="s">
        <v>522</v>
      </c>
      <c r="K326" s="32" t="s">
        <v>522</v>
      </c>
      <c r="P326" t="s">
        <v>578</v>
      </c>
      <c r="Q326" s="1288">
        <v>0.25</v>
      </c>
      <c r="R326" s="1288"/>
      <c r="S326" s="1288"/>
      <c r="T326" s="22" t="s">
        <v>579</v>
      </c>
      <c r="W326"/>
      <c r="Z326" s="22">
        <f t="shared" si="2"/>
        <v>8</v>
      </c>
      <c r="AA326" t="s">
        <v>580</v>
      </c>
      <c r="AB326" s="22" cm="1">
        <f t="array" ref="AB326">IF(COLUMNS($AB$299:AB$299)&lt;=$Z326,INDEX($G:$G,_xlfn.AGGREGATE(15,3,($A$301:$A$738=$AA326)/($A$301:$A$738=$AA326)*ROW($A$301:$A$738),COLUMNS($AB$299:AB$299))),"")</f>
        <v>0</v>
      </c>
      <c r="AC326" s="22" t="str" cm="1">
        <f t="array" ref="AC326">IF(COLUMNS($AB$299:AC$299)&lt;=$Z326,INDEX($G:$G,_xlfn.AGGREGATE(15,3,($A$301:$A$738=$AA326)/($A$301:$A$738=$AA326)*ROW($A$301:$A$738),COLUMNS($AB$299:AC$299))),"")</f>
        <v>&gt; 0 to ≤ 300</v>
      </c>
      <c r="AD326" s="22" t="str" cm="1">
        <f t="array" ref="AD326">IF(COLUMNS($AB$299:AD$299)&lt;=$Z326,INDEX($G:$G,_xlfn.AGGREGATE(15,3,($A$301:$A$738=$AA326)/($A$301:$A$738=$AA326)*ROW($A$301:$A$738),COLUMNS($AB$299:AD$299))),"")</f>
        <v>&gt; 300 to ≤ 450</v>
      </c>
      <c r="AE326" s="22" t="str" cm="1">
        <f t="array" ref="AE326">IF(COLUMNS($AB$299:AE$299)&lt;=$Z326,INDEX($G:$G,_xlfn.AGGREGATE(15,3,($A$301:$A$738=$AA326)/($A$301:$A$738=$AA326)*ROW($A$301:$A$738),COLUMNS($AB$299:AE$299))),"")</f>
        <v>&gt; 450 to ≤ 600</v>
      </c>
      <c r="AF326" s="22" t="str" cm="1">
        <f t="array" ref="AF326">IF(COLUMNS($AB$299:AF$299)&lt;=$Z326,INDEX($G:$G,_xlfn.AGGREGATE(15,3,($A$301:$A$738=$AA326)/($A$301:$A$738=$AA326)*ROW($A$301:$A$738),COLUMNS($AB$299:AF$299))),"")</f>
        <v>&gt; 600 to ≤ 900</v>
      </c>
      <c r="AG326" s="22" t="str" cm="1">
        <f t="array" ref="AG326">IF(COLUMNS($AB$299:AG$299)&lt;=$Z326,INDEX($G:$G,_xlfn.AGGREGATE(15,3,($A$301:$A$738=$AA326)/($A$301:$A$738=$AA326)*ROW($A$301:$A$738),COLUMNS($AB$299:AG$299))),"")</f>
        <v>&gt; 900 to ≤ 1200</v>
      </c>
      <c r="AH326" s="22" t="str" cm="1">
        <f t="array" ref="AH326">IF(COLUMNS($AB$299:AH$299)&lt;=$Z326,INDEX($G:$G,_xlfn.AGGREGATE(15,3,($A$301:$A$738=$AA326)/($A$301:$A$738=$AA326)*ROW($A$301:$A$738),COLUMNS($AB$299:AH$299))),"")</f>
        <v>&gt; 1200 to ≤ 1500</v>
      </c>
      <c r="AI326" s="22" t="str" cm="1">
        <f t="array" ref="AI326">IF(COLUMNS($AB$299:AI$299)&lt;=$Z326,INDEX($G:$G,_xlfn.AGGREGATE(15,3,($A$301:$A$738=$AA326)/($A$301:$A$738=$AA326)*ROW($A$301:$A$738),COLUMNS($AB$299:AI$299))),"")</f>
        <v>&gt; 1500 to ≤ 1800</v>
      </c>
      <c r="AJ326" s="22" t="str" cm="1">
        <f t="array" ref="AJ326">IF(COLUMNS($AB$299:AJ$299)&lt;=$Z326,INDEX($G:$G,_xlfn.AGGREGATE(15,3,($A$301:$A$738=$AA326)/($A$301:$A$738=$AA326)*ROW($A$301:$A$738),COLUMNS($AB$299:AJ$299))),"")</f>
        <v/>
      </c>
      <c r="AK326" s="22" t="str" cm="1">
        <f t="array" ref="AK326">IF(COLUMNS($AB$299:AK$299)&lt;=$Z326,INDEX($G:$G,_xlfn.AGGREGATE(15,3,($A$301:$A$738=$AA326)/($A$301:$A$738=$AA326)*ROW($A$301:$A$738),COLUMNS($AB$299:AK$299))),"")</f>
        <v/>
      </c>
      <c r="AL326" s="22" t="str" cm="1">
        <f t="array" ref="AL326">IF(COLUMNS($AB$299:AL$299)&lt;=$Z326,INDEX($G:$G,_xlfn.AGGREGATE(15,3,($A$301:$A$738=$AA326)/($A$301:$A$738=$AA326)*ROW($A$301:$A$738),COLUMNS($AB$299:AL$299))),"")</f>
        <v/>
      </c>
      <c r="AM326" s="22" t="str" cm="1">
        <f t="array" ref="AM326">IF(COLUMNS($AB$299:AM$299)&lt;=$Z326,INDEX($G:$G,_xlfn.AGGREGATE(15,3,($A$301:$A$738=$AA326)/($A$301:$A$738=$AA326)*ROW($A$301:$A$738),COLUMNS($AB$299:AM$299))),"")</f>
        <v/>
      </c>
      <c r="AN326" s="22" t="str" cm="1">
        <f t="array" ref="AN326">IF(COLUMNS($AB$299:AN$299)&lt;=$Z326,INDEX($G:$G,_xlfn.AGGREGATE(15,3,($A$301:$A$738=$AA326)/($A$301:$A$738=$AA326)*ROW($A$301:$A$738),COLUMNS($AB$299:AN$299))),"")</f>
        <v/>
      </c>
      <c r="AO326" s="22" t="str" cm="1">
        <f t="array" ref="AO326">IF(COLUMNS($AB$298:AO$298)&lt;=$Z327,INDEX($G:$G,_xlfn.AGGREGATE(15,3,($A$301:$A$738=$AA327)/($A$301:$A$738=$AA327)*ROW($A$301:$A$738),COLUMNS($AB$298:AO$298))),"")</f>
        <v/>
      </c>
    </row>
    <row r="327" spans="1:41" s="22" customFormat="1" x14ac:dyDescent="0.3">
      <c r="A327" s="22" t="str">
        <f>CONCATENATE(B327,C327,Concrete_block_walls_minimum_insulation_R_Value_climate_zone_1108[[#This Row],[Column1]])</f>
        <v>1Concrete block walls&gt; 0.4 to ≤ 0.5</v>
      </c>
      <c r="B327" s="22">
        <v>1</v>
      </c>
      <c r="C327" s="22" t="s">
        <v>191</v>
      </c>
      <c r="D327" s="22" t="str">
        <f>CONCATENATE(B327,C327,Concrete_block_walls_minimum_insulation_R_Value_climate_zone_1108[[#This Row],[Column1]],Concrete_block_walls_minimum_insulation_R_Value_climate_zone_1108[[#This Row],[Column4]])</f>
        <v>1Concrete block walls&gt; 0.4 to ≤ 0.5&gt; 1800 to ≤ 2400</v>
      </c>
      <c r="E327" s="22" t="str">
        <f t="shared" si="3"/>
        <v>1Concrete block walls</v>
      </c>
      <c r="F327" s="32" t="s">
        <v>561</v>
      </c>
      <c r="G327" s="32" t="s">
        <v>542</v>
      </c>
      <c r="H327" s="32">
        <v>0</v>
      </c>
      <c r="I327" s="32">
        <v>0</v>
      </c>
      <c r="J327" s="32">
        <v>0</v>
      </c>
      <c r="K327" s="32" t="s">
        <v>522</v>
      </c>
      <c r="P327" t="s">
        <v>581</v>
      </c>
      <c r="Q327" s="1288">
        <v>0.5</v>
      </c>
      <c r="R327" s="1288"/>
      <c r="S327" s="1288"/>
      <c r="W327"/>
      <c r="Z327" s="22">
        <f t="shared" si="2"/>
        <v>8</v>
      </c>
      <c r="AA327" t="s">
        <v>582</v>
      </c>
      <c r="AB327" s="22" cm="1">
        <f t="array" ref="AB327">IF(COLUMNS($AB$299:AB$299)&lt;=$Z327,INDEX($G:$G,_xlfn.AGGREGATE(15,3,($A$301:$A$738=$AA327)/($A$301:$A$738=$AA327)*ROW($A$301:$A$738),COLUMNS($AB$299:AB$299))),"")</f>
        <v>0</v>
      </c>
      <c r="AC327" s="22" t="str" cm="1">
        <f t="array" ref="AC327">IF(COLUMNS($AB$299:AC$299)&lt;=$Z327,INDEX($G:$G,_xlfn.AGGREGATE(15,3,($A$301:$A$738=$AA327)/($A$301:$A$738=$AA327)*ROW($A$301:$A$738),COLUMNS($AB$299:AC$299))),"")</f>
        <v>&gt; 0 to ≤ 300</v>
      </c>
      <c r="AD327" s="22" t="str" cm="1">
        <f t="array" ref="AD327">IF(COLUMNS($AB$299:AD$299)&lt;=$Z327,INDEX($G:$G,_xlfn.AGGREGATE(15,3,($A$301:$A$738=$AA327)/($A$301:$A$738=$AA327)*ROW($A$301:$A$738),COLUMNS($AB$299:AD$299))),"")</f>
        <v>&gt; 300 to ≤ 450</v>
      </c>
      <c r="AE327" s="22" t="str" cm="1">
        <f t="array" ref="AE327">IF(COLUMNS($AB$299:AE$299)&lt;=$Z327,INDEX($G:$G,_xlfn.AGGREGATE(15,3,($A$301:$A$738=$AA327)/($A$301:$A$738=$AA327)*ROW($A$301:$A$738),COLUMNS($AB$299:AE$299))),"")</f>
        <v>&gt; 450 to ≤ 600</v>
      </c>
      <c r="AF327" s="22" t="str" cm="1">
        <f t="array" ref="AF327">IF(COLUMNS($AB$299:AF$299)&lt;=$Z327,INDEX($G:$G,_xlfn.AGGREGATE(15,3,($A$301:$A$738=$AA327)/($A$301:$A$738=$AA327)*ROW($A$301:$A$738),COLUMNS($AB$299:AF$299))),"")</f>
        <v>&gt; 600 to ≤ 900</v>
      </c>
      <c r="AG327" s="22" t="str" cm="1">
        <f t="array" ref="AG327">IF(COLUMNS($AB$299:AG$299)&lt;=$Z327,INDEX($G:$G,_xlfn.AGGREGATE(15,3,($A$301:$A$738=$AA327)/($A$301:$A$738=$AA327)*ROW($A$301:$A$738),COLUMNS($AB$299:AG$299))),"")</f>
        <v>&gt; 900 to ≤ 1200</v>
      </c>
      <c r="AH327" s="22" t="str" cm="1">
        <f t="array" ref="AH327">IF(COLUMNS($AB$299:AH$299)&lt;=$Z327,INDEX($G:$G,_xlfn.AGGREGATE(15,3,($A$301:$A$738=$AA327)/($A$301:$A$738=$AA327)*ROW($A$301:$A$738),COLUMNS($AB$299:AH$299))),"")</f>
        <v>&gt; 1200 to ≤ 1500</v>
      </c>
      <c r="AI327" s="22" t="str" cm="1">
        <f t="array" ref="AI327">IF(COLUMNS($AB$299:AI$299)&lt;=$Z327,INDEX($G:$G,_xlfn.AGGREGATE(15,3,($A$301:$A$738=$AA327)/($A$301:$A$738=$AA327)*ROW($A$301:$A$738),COLUMNS($AB$299:AI$299))),"")</f>
        <v>&gt; 1500 to ≤ 1800</v>
      </c>
      <c r="AJ327" s="22" t="str" cm="1">
        <f t="array" ref="AJ327">IF(COLUMNS($AB$299:AJ$299)&lt;=$Z327,INDEX($G:$G,_xlfn.AGGREGATE(15,3,($A$301:$A$738=$AA327)/($A$301:$A$738=$AA327)*ROW($A$301:$A$738),COLUMNS($AB$299:AJ$299))),"")</f>
        <v/>
      </c>
      <c r="AK327" s="22" t="str" cm="1">
        <f t="array" ref="AK327">IF(COLUMNS($AB$299:AK$299)&lt;=$Z327,INDEX($G:$G,_xlfn.AGGREGATE(15,3,($A$301:$A$738=$AA327)/($A$301:$A$738=$AA327)*ROW($A$301:$A$738),COLUMNS($AB$299:AK$299))),"")</f>
        <v/>
      </c>
      <c r="AL327" s="22" t="str" cm="1">
        <f t="array" ref="AL327">IF(COLUMNS($AB$299:AL$299)&lt;=$Z327,INDEX($G:$G,_xlfn.AGGREGATE(15,3,($A$301:$A$738=$AA327)/($A$301:$A$738=$AA327)*ROW($A$301:$A$738),COLUMNS($AB$299:AL$299))),"")</f>
        <v/>
      </c>
      <c r="AM327" s="22" t="str" cm="1">
        <f t="array" ref="AM327">IF(COLUMNS($AB$299:AM$299)&lt;=$Z327,INDEX($G:$G,_xlfn.AGGREGATE(15,3,($A$301:$A$738=$AA327)/($A$301:$A$738=$AA327)*ROW($A$301:$A$738),COLUMNS($AB$299:AM$299))),"")</f>
        <v/>
      </c>
      <c r="AN327" s="22" t="str" cm="1">
        <f t="array" ref="AN327">IF(COLUMNS($AB$299:AN$299)&lt;=$Z327,INDEX($G:$G,_xlfn.AGGREGATE(15,3,($A$301:$A$738=$AA327)/($A$301:$A$738=$AA327)*ROW($A$301:$A$738),COLUMNS($AB$299:AN$299))),"")</f>
        <v/>
      </c>
      <c r="AO327" s="22" t="str" cm="1">
        <f t="array" ref="AO327">IF(COLUMNS($AB$298:AO$298)&lt;=$Z328,INDEX($G:$G,_xlfn.AGGREGATE(15,3,($A$301:$A$738=$AA328)/($A$301:$A$738=$AA328)*ROW($A$301:$A$738),COLUMNS($AB$298:AO$298))),"")</f>
        <v/>
      </c>
    </row>
    <row r="328" spans="1:41" s="22" customFormat="1" x14ac:dyDescent="0.3">
      <c r="A328" s="22" t="str">
        <f>CONCATENATE(B328,C328,Concrete_block_walls_minimum_insulation_R_Value_climate_zone_1108[[#This Row],[Column1]])</f>
        <v>1Concrete block walls&gt; 0.5 to ≤ 0.6</v>
      </c>
      <c r="B328" s="22">
        <v>1</v>
      </c>
      <c r="C328" s="22" t="s">
        <v>191</v>
      </c>
      <c r="D328" s="22" t="str">
        <f>CONCATENATE(B328,C328,Concrete_block_walls_minimum_insulation_R_Value_climate_zone_1108[[#This Row],[Column1]],Concrete_block_walls_minimum_insulation_R_Value_climate_zone_1108[[#This Row],[Column4]])</f>
        <v>1Concrete block walls&gt; 0.5 to ≤ 0.60</v>
      </c>
      <c r="E328" s="22" t="str">
        <f t="shared" si="3"/>
        <v>1Concrete block walls</v>
      </c>
      <c r="F328" s="32" t="s">
        <v>583</v>
      </c>
      <c r="G328" s="32">
        <v>0</v>
      </c>
      <c r="H328" s="32" t="s">
        <v>321</v>
      </c>
      <c r="I328" s="32" t="s">
        <v>321</v>
      </c>
      <c r="J328" s="32" t="s">
        <v>321</v>
      </c>
      <c r="K328" s="32" t="s">
        <v>321</v>
      </c>
      <c r="P328" t="s">
        <v>584</v>
      </c>
      <c r="Q328" s="1288">
        <v>0.25</v>
      </c>
      <c r="R328" s="1288"/>
      <c r="S328" s="1288"/>
      <c r="W328"/>
      <c r="Z328" s="22">
        <f t="shared" si="2"/>
        <v>8</v>
      </c>
      <c r="AA328" t="s">
        <v>585</v>
      </c>
      <c r="AB328" s="22" cm="1">
        <f t="array" ref="AB328">IF(COLUMNS($AB$299:AB$299)&lt;=$Z328,INDEX($G:$G,_xlfn.AGGREGATE(15,3,($A$301:$A$738=$AA328)/($A$301:$A$738=$AA328)*ROW($A$301:$A$738),COLUMNS($AB$299:AB$299))),"")</f>
        <v>0</v>
      </c>
      <c r="AC328" s="22" t="str" cm="1">
        <f t="array" ref="AC328">IF(COLUMNS($AB$299:AC$299)&lt;=$Z328,INDEX($G:$G,_xlfn.AGGREGATE(15,3,($A$301:$A$738=$AA328)/($A$301:$A$738=$AA328)*ROW($A$301:$A$738),COLUMNS($AB$299:AC$299))),"")</f>
        <v>&gt; 0 to ≤ 300</v>
      </c>
      <c r="AD328" s="22" t="str" cm="1">
        <f t="array" ref="AD328">IF(COLUMNS($AB$299:AD$299)&lt;=$Z328,INDEX($G:$G,_xlfn.AGGREGATE(15,3,($A$301:$A$738=$AA328)/($A$301:$A$738=$AA328)*ROW($A$301:$A$738),COLUMNS($AB$299:AD$299))),"")</f>
        <v>&gt; 300 to ≤ 450</v>
      </c>
      <c r="AE328" s="22" t="str" cm="1">
        <f t="array" ref="AE328">IF(COLUMNS($AB$299:AE$299)&lt;=$Z328,INDEX($G:$G,_xlfn.AGGREGATE(15,3,($A$301:$A$738=$AA328)/($A$301:$A$738=$AA328)*ROW($A$301:$A$738),COLUMNS($AB$299:AE$299))),"")</f>
        <v>&gt; 450 to ≤ 600</v>
      </c>
      <c r="AF328" s="22" t="str" cm="1">
        <f t="array" ref="AF328">IF(COLUMNS($AB$299:AF$299)&lt;=$Z328,INDEX($G:$G,_xlfn.AGGREGATE(15,3,($A$301:$A$738=$AA328)/($A$301:$A$738=$AA328)*ROW($A$301:$A$738),COLUMNS($AB$299:AF$299))),"")</f>
        <v>&gt; 600 to ≤ 900</v>
      </c>
      <c r="AG328" s="22" t="str" cm="1">
        <f t="array" ref="AG328">IF(COLUMNS($AB$299:AG$299)&lt;=$Z328,INDEX($G:$G,_xlfn.AGGREGATE(15,3,($A$301:$A$738=$AA328)/($A$301:$A$738=$AA328)*ROW($A$301:$A$738),COLUMNS($AB$299:AG$299))),"")</f>
        <v>&gt; 900 to ≤ 1200</v>
      </c>
      <c r="AH328" s="22" t="str" cm="1">
        <f t="array" ref="AH328">IF(COLUMNS($AB$299:AH$299)&lt;=$Z328,INDEX($G:$G,_xlfn.AGGREGATE(15,3,($A$301:$A$738=$AA328)/($A$301:$A$738=$AA328)*ROW($A$301:$A$738),COLUMNS($AB$299:AH$299))),"")</f>
        <v>&gt; 1200 to ≤ 1500</v>
      </c>
      <c r="AI328" s="22" t="str" cm="1">
        <f t="array" ref="AI328">IF(COLUMNS($AB$299:AI$299)&lt;=$Z328,INDEX($G:$G,_xlfn.AGGREGATE(15,3,($A$301:$A$738=$AA328)/($A$301:$A$738=$AA328)*ROW($A$301:$A$738),COLUMNS($AB$299:AI$299))),"")</f>
        <v>&gt; 1500 to ≤ 1800</v>
      </c>
      <c r="AJ328" s="22" t="str" cm="1">
        <f t="array" ref="AJ328">IF(COLUMNS($AB$299:AJ$299)&lt;=$Z328,INDEX($G:$G,_xlfn.AGGREGATE(15,3,($A$301:$A$738=$AA328)/($A$301:$A$738=$AA328)*ROW($A$301:$A$738),COLUMNS($AB$299:AJ$299))),"")</f>
        <v/>
      </c>
      <c r="AK328" s="22" t="str" cm="1">
        <f t="array" ref="AK328">IF(COLUMNS($AB$299:AK$299)&lt;=$Z328,INDEX($G:$G,_xlfn.AGGREGATE(15,3,($A$301:$A$738=$AA328)/($A$301:$A$738=$AA328)*ROW($A$301:$A$738),COLUMNS($AB$299:AK$299))),"")</f>
        <v/>
      </c>
      <c r="AL328" s="22" t="str" cm="1">
        <f t="array" ref="AL328">IF(COLUMNS($AB$299:AL$299)&lt;=$Z328,INDEX($G:$G,_xlfn.AGGREGATE(15,3,($A$301:$A$738=$AA328)/($A$301:$A$738=$AA328)*ROW($A$301:$A$738),COLUMNS($AB$299:AL$299))),"")</f>
        <v/>
      </c>
      <c r="AM328" s="22" t="str" cm="1">
        <f t="array" ref="AM328">IF(COLUMNS($AB$299:AM$299)&lt;=$Z328,INDEX($G:$G,_xlfn.AGGREGATE(15,3,($A$301:$A$738=$AA328)/($A$301:$A$738=$AA328)*ROW($A$301:$A$738),COLUMNS($AB$299:AM$299))),"")</f>
        <v/>
      </c>
      <c r="AN328" s="22" t="str" cm="1">
        <f t="array" ref="AN328">IF(COLUMNS($AB$299:AN$299)&lt;=$Z328,INDEX($G:$G,_xlfn.AGGREGATE(15,3,($A$301:$A$738=$AA328)/($A$301:$A$738=$AA328)*ROW($A$301:$A$738),COLUMNS($AB$299:AN$299))),"")</f>
        <v/>
      </c>
      <c r="AO328" s="22" t="str" cm="1">
        <f t="array" ref="AO328">IF(COLUMNS($AB$298:AO$298)&lt;=$Z329,INDEX($G:$G,_xlfn.AGGREGATE(15,3,($A$301:$A$738=$AA329)/($A$301:$A$738=$AA329)*ROW($A$301:$A$738),COLUMNS($AB$298:AO$298))),"")</f>
        <v/>
      </c>
    </row>
    <row r="329" spans="1:41" s="22" customFormat="1" x14ac:dyDescent="0.3">
      <c r="A329" s="22" t="str">
        <f>CONCATENATE(B329,C329,Concrete_block_walls_minimum_insulation_R_Value_climate_zone_1108[[#This Row],[Column1]])</f>
        <v>1Concrete block walls&gt; 0.5 to ≤ 0.6</v>
      </c>
      <c r="B329" s="22">
        <v>1</v>
      </c>
      <c r="C329" s="22" t="s">
        <v>191</v>
      </c>
      <c r="D329" s="22" t="str">
        <f>CONCATENATE(B329,C329,Concrete_block_walls_minimum_insulation_R_Value_climate_zone_1108[[#This Row],[Column1]],Concrete_block_walls_minimum_insulation_R_Value_climate_zone_1108[[#This Row],[Column4]])</f>
        <v>1Concrete block walls&gt; 0.5 to ≤ 0.6&gt; 0 to ≤ 300</v>
      </c>
      <c r="E329" s="22" t="str">
        <f t="shared" si="3"/>
        <v>1Concrete block walls</v>
      </c>
      <c r="F329" s="32" t="s">
        <v>583</v>
      </c>
      <c r="G329" s="32" t="s">
        <v>521</v>
      </c>
      <c r="H329" s="32">
        <v>1.5</v>
      </c>
      <c r="I329" s="32" t="s">
        <v>321</v>
      </c>
      <c r="J329" s="32" t="s">
        <v>321</v>
      </c>
      <c r="K329" s="32" t="s">
        <v>321</v>
      </c>
      <c r="P329" t="s">
        <v>586</v>
      </c>
      <c r="Q329" s="1288"/>
      <c r="R329" s="1288">
        <v>0.5</v>
      </c>
      <c r="S329" s="1288">
        <v>1</v>
      </c>
      <c r="T329" s="22" t="s">
        <v>587</v>
      </c>
      <c r="W329"/>
      <c r="Z329" s="22">
        <f t="shared" si="2"/>
        <v>7</v>
      </c>
      <c r="AA329" t="s">
        <v>588</v>
      </c>
      <c r="AB329" s="22" cm="1">
        <f t="array" ref="AB329">IF(COLUMNS($AB$299:AB$299)&lt;=$Z329,INDEX($G:$G,_xlfn.AGGREGATE(15,3,($A$301:$A$738=$AA329)/($A$301:$A$738=$AA329)*ROW($A$301:$A$738),COLUMNS($AB$299:AB$299))),"")</f>
        <v>0</v>
      </c>
      <c r="AC329" s="22" t="str" cm="1">
        <f t="array" ref="AC329">IF(COLUMNS($AB$299:AC$299)&lt;=$Z329,INDEX($G:$G,_xlfn.AGGREGATE(15,3,($A$301:$A$738=$AA329)/($A$301:$A$738=$AA329)*ROW($A$301:$A$738),COLUMNS($AB$299:AC$299))),"")</f>
        <v>&gt; 0 to ≤ 300</v>
      </c>
      <c r="AD329" s="22" t="str" cm="1">
        <f t="array" ref="AD329">IF(COLUMNS($AB$299:AD$299)&lt;=$Z329,INDEX($G:$G,_xlfn.AGGREGATE(15,3,($A$301:$A$738=$AA329)/($A$301:$A$738=$AA329)*ROW($A$301:$A$738),COLUMNS($AB$299:AD$299))),"")</f>
        <v>&gt; 300 to ≤ 450</v>
      </c>
      <c r="AE329" s="22" t="str" cm="1">
        <f t="array" ref="AE329">IF(COLUMNS($AB$299:AE$299)&lt;=$Z329,INDEX($G:$G,_xlfn.AGGREGATE(15,3,($A$301:$A$738=$AA329)/($A$301:$A$738=$AA329)*ROW($A$301:$A$738),COLUMNS($AB$299:AE$299))),"")</f>
        <v>&gt; 450 to ≤ 600</v>
      </c>
      <c r="AF329" s="22" t="str" cm="1">
        <f t="array" ref="AF329">IF(COLUMNS($AB$299:AF$299)&lt;=$Z329,INDEX($G:$G,_xlfn.AGGREGATE(15,3,($A$301:$A$738=$AA329)/($A$301:$A$738=$AA329)*ROW($A$301:$A$738),COLUMNS($AB$299:AF$299))),"")</f>
        <v>&gt; 600 to ≤ 900</v>
      </c>
      <c r="AG329" s="22" t="str" cm="1">
        <f t="array" ref="AG329">IF(COLUMNS($AB$299:AG$299)&lt;=$Z329,INDEX($G:$G,_xlfn.AGGREGATE(15,3,($A$301:$A$738=$AA329)/($A$301:$A$738=$AA329)*ROW($A$301:$A$738),COLUMNS($AB$299:AG$299))),"")</f>
        <v>&gt; 900 to ≤ 1200</v>
      </c>
      <c r="AH329" s="22" t="str" cm="1">
        <f t="array" ref="AH329">IF(COLUMNS($AB$299:AH$299)&lt;=$Z329,INDEX($G:$G,_xlfn.AGGREGATE(15,3,($A$301:$A$738=$AA329)/($A$301:$A$738=$AA329)*ROW($A$301:$A$738),COLUMNS($AB$299:AH$299))),"")</f>
        <v>&gt; 1200 to ≤ 1500</v>
      </c>
      <c r="AI329" s="22" t="str" cm="1">
        <f t="array" ref="AI329">IF(COLUMNS($AB$299:AI$299)&lt;=$Z329,INDEX($G:$G,_xlfn.AGGREGATE(15,3,($A$301:$A$738=$AA329)/($A$301:$A$738=$AA329)*ROW($A$301:$A$738),COLUMNS($AB$299:AI$299))),"")</f>
        <v/>
      </c>
      <c r="AJ329" s="22" t="str" cm="1">
        <f t="array" ref="AJ329">IF(COLUMNS($AB$299:AJ$299)&lt;=$Z329,INDEX($G:$G,_xlfn.AGGREGATE(15,3,($A$301:$A$738=$AA329)/($A$301:$A$738=$AA329)*ROW($A$301:$A$738),COLUMNS($AB$299:AJ$299))),"")</f>
        <v/>
      </c>
      <c r="AK329" s="22" t="str" cm="1">
        <f t="array" ref="AK329">IF(COLUMNS($AB$299:AK$299)&lt;=$Z329,INDEX($G:$G,_xlfn.AGGREGATE(15,3,($A$301:$A$738=$AA329)/($A$301:$A$738=$AA329)*ROW($A$301:$A$738),COLUMNS($AB$299:AK$299))),"")</f>
        <v/>
      </c>
      <c r="AL329" s="22" t="str" cm="1">
        <f t="array" ref="AL329">IF(COLUMNS($AB$299:AL$299)&lt;=$Z329,INDEX($G:$G,_xlfn.AGGREGATE(15,3,($A$301:$A$738=$AA329)/($A$301:$A$738=$AA329)*ROW($A$301:$A$738),COLUMNS($AB$299:AL$299))),"")</f>
        <v/>
      </c>
      <c r="AM329" s="22" t="str" cm="1">
        <f t="array" ref="AM329">IF(COLUMNS($AB$299:AM$299)&lt;=$Z329,INDEX($G:$G,_xlfn.AGGREGATE(15,3,($A$301:$A$738=$AA329)/($A$301:$A$738=$AA329)*ROW($A$301:$A$738),COLUMNS($AB$299:AM$299))),"")</f>
        <v/>
      </c>
      <c r="AN329" s="22" t="str" cm="1">
        <f t="array" ref="AN329">IF(COLUMNS($AB$299:AN$299)&lt;=$Z329,INDEX($G:$G,_xlfn.AGGREGATE(15,3,($A$301:$A$738=$AA329)/($A$301:$A$738=$AA329)*ROW($A$301:$A$738),COLUMNS($AB$299:AN$299))),"")</f>
        <v/>
      </c>
      <c r="AO329" s="22" t="str" cm="1">
        <f t="array" ref="AO329">IF(COLUMNS($AB$298:AO$298)&lt;=$Z330,INDEX($G:$G,_xlfn.AGGREGATE(15,3,($A$301:$A$738=$AA330)/($A$301:$A$738=$AA330)*ROW($A$301:$A$738),COLUMNS($AB$298:AO$298))),"")</f>
        <v/>
      </c>
    </row>
    <row r="330" spans="1:41" s="22" customFormat="1" x14ac:dyDescent="0.3">
      <c r="A330" s="22" t="str">
        <f>CONCATENATE(B330,C330,Concrete_block_walls_minimum_insulation_R_Value_climate_zone_1108[[#This Row],[Column1]])</f>
        <v>1Concrete block walls&gt; 0.5 to ≤ 0.6</v>
      </c>
      <c r="B330" s="22">
        <v>1</v>
      </c>
      <c r="C330" s="22" t="s">
        <v>191</v>
      </c>
      <c r="D330" s="22" t="str">
        <f>CONCATENATE(B330,C330,Concrete_block_walls_minimum_insulation_R_Value_climate_zone_1108[[#This Row],[Column1]],Concrete_block_walls_minimum_insulation_R_Value_climate_zone_1108[[#This Row],[Column4]])</f>
        <v>1Concrete block walls&gt; 0.5 to ≤ 0.6&gt; 300 to ≤ 450</v>
      </c>
      <c r="E330" s="22" t="str">
        <f t="shared" si="3"/>
        <v>1Concrete block walls</v>
      </c>
      <c r="F330" s="32" t="s">
        <v>583</v>
      </c>
      <c r="G330" s="32" t="s">
        <v>525</v>
      </c>
      <c r="H330" s="32">
        <v>1</v>
      </c>
      <c r="I330" s="32" t="s">
        <v>321</v>
      </c>
      <c r="J330" s="32" t="s">
        <v>321</v>
      </c>
      <c r="K330" s="32" t="s">
        <v>321</v>
      </c>
      <c r="W330"/>
      <c r="Z330" s="22">
        <f t="shared" si="2"/>
        <v>7</v>
      </c>
      <c r="AA330" t="s">
        <v>589</v>
      </c>
      <c r="AB330" s="22" cm="1">
        <f t="array" ref="AB330">IF(COLUMNS($AB$299:AB$299)&lt;=$Z330,INDEX($G:$G,_xlfn.AGGREGATE(15,3,($A$301:$A$738=$AA330)/($A$301:$A$738=$AA330)*ROW($A$301:$A$738),COLUMNS($AB$299:AB$299))),"")</f>
        <v>0</v>
      </c>
      <c r="AC330" s="22" t="str" cm="1">
        <f t="array" ref="AC330">IF(COLUMNS($AB$299:AC$299)&lt;=$Z330,INDEX($G:$G,_xlfn.AGGREGATE(15,3,($A$301:$A$738=$AA330)/($A$301:$A$738=$AA330)*ROW($A$301:$A$738),COLUMNS($AB$299:AC$299))),"")</f>
        <v>&gt; 0 to ≤ 300</v>
      </c>
      <c r="AD330" s="22" t="str" cm="1">
        <f t="array" ref="AD330">IF(COLUMNS($AB$299:AD$299)&lt;=$Z330,INDEX($G:$G,_xlfn.AGGREGATE(15,3,($A$301:$A$738=$AA330)/($A$301:$A$738=$AA330)*ROW($A$301:$A$738),COLUMNS($AB$299:AD$299))),"")</f>
        <v>&gt; 300 to ≤ 450</v>
      </c>
      <c r="AE330" s="22" t="str" cm="1">
        <f t="array" ref="AE330">IF(COLUMNS($AB$299:AE$299)&lt;=$Z330,INDEX($G:$G,_xlfn.AGGREGATE(15,3,($A$301:$A$738=$AA330)/($A$301:$A$738=$AA330)*ROW($A$301:$A$738),COLUMNS($AB$299:AE$299))),"")</f>
        <v>&gt; 450 to ≤ 600</v>
      </c>
      <c r="AF330" s="22" t="str" cm="1">
        <f t="array" ref="AF330">IF(COLUMNS($AB$299:AF$299)&lt;=$Z330,INDEX($G:$G,_xlfn.AGGREGATE(15,3,($A$301:$A$738=$AA330)/($A$301:$A$738=$AA330)*ROW($A$301:$A$738),COLUMNS($AB$299:AF$299))),"")</f>
        <v>&gt; 600 to ≤ 900</v>
      </c>
      <c r="AG330" s="22" t="str" cm="1">
        <f t="array" ref="AG330">IF(COLUMNS($AB$299:AG$299)&lt;=$Z330,INDEX($G:$G,_xlfn.AGGREGATE(15,3,($A$301:$A$738=$AA330)/($A$301:$A$738=$AA330)*ROW($A$301:$A$738),COLUMNS($AB$299:AG$299))),"")</f>
        <v>&gt; 900 to ≤ 1200</v>
      </c>
      <c r="AH330" s="22" t="str" cm="1">
        <f t="array" ref="AH330">IF(COLUMNS($AB$299:AH$299)&lt;=$Z330,INDEX($G:$G,_xlfn.AGGREGATE(15,3,($A$301:$A$738=$AA330)/($A$301:$A$738=$AA330)*ROW($A$301:$A$738),COLUMNS($AB$299:AH$299))),"")</f>
        <v>&gt; 1200 to ≤ 1500</v>
      </c>
      <c r="AI330" s="22" t="str" cm="1">
        <f t="array" ref="AI330">IF(COLUMNS($AB$299:AI$299)&lt;=$Z330,INDEX($G:$G,_xlfn.AGGREGATE(15,3,($A$301:$A$738=$AA330)/($A$301:$A$738=$AA330)*ROW($A$301:$A$738),COLUMNS($AB$299:AI$299))),"")</f>
        <v/>
      </c>
      <c r="AJ330" s="22" t="str" cm="1">
        <f t="array" ref="AJ330">IF(COLUMNS($AB$299:AJ$299)&lt;=$Z330,INDEX($G:$G,_xlfn.AGGREGATE(15,3,($A$301:$A$738=$AA330)/($A$301:$A$738=$AA330)*ROW($A$301:$A$738),COLUMNS($AB$299:AJ$299))),"")</f>
        <v/>
      </c>
      <c r="AK330" s="22" t="str" cm="1">
        <f t="array" ref="AK330">IF(COLUMNS($AB$299:AK$299)&lt;=$Z330,INDEX($G:$G,_xlfn.AGGREGATE(15,3,($A$301:$A$738=$AA330)/($A$301:$A$738=$AA330)*ROW($A$301:$A$738),COLUMNS($AB$299:AK$299))),"")</f>
        <v/>
      </c>
      <c r="AL330" s="22" t="str" cm="1">
        <f t="array" ref="AL330">IF(COLUMNS($AB$299:AL$299)&lt;=$Z330,INDEX($G:$G,_xlfn.AGGREGATE(15,3,($A$301:$A$738=$AA330)/($A$301:$A$738=$AA330)*ROW($A$301:$A$738),COLUMNS($AB$299:AL$299))),"")</f>
        <v/>
      </c>
      <c r="AM330" s="22" t="str" cm="1">
        <f t="array" ref="AM330">IF(COLUMNS($AB$299:AM$299)&lt;=$Z330,INDEX($G:$G,_xlfn.AGGREGATE(15,3,($A$301:$A$738=$AA330)/($A$301:$A$738=$AA330)*ROW($A$301:$A$738),COLUMNS($AB$299:AM$299))),"")</f>
        <v/>
      </c>
      <c r="AN330" s="22" t="str" cm="1">
        <f t="array" ref="AN330">IF(COLUMNS($AB$299:AN$299)&lt;=$Z330,INDEX($G:$G,_xlfn.AGGREGATE(15,3,($A$301:$A$738=$AA330)/($A$301:$A$738=$AA330)*ROW($A$301:$A$738),COLUMNS($AB$299:AN$299))),"")</f>
        <v/>
      </c>
      <c r="AO330" s="22" t="str" cm="1">
        <f t="array" ref="AO330">IF(COLUMNS($AB$298:AO$298)&lt;=$Z331,INDEX($G:$G,_xlfn.AGGREGATE(15,3,($A$301:$A$738=$AA331)/($A$301:$A$738=$AA331)*ROW($A$301:$A$738),COLUMNS($AB$298:AO$298))),"")</f>
        <v/>
      </c>
    </row>
    <row r="331" spans="1:41" s="22" customFormat="1" x14ac:dyDescent="0.3">
      <c r="A331" s="22" t="str">
        <f>CONCATENATE(B331,C331,Concrete_block_walls_minimum_insulation_R_Value_climate_zone_1108[[#This Row],[Column1]])</f>
        <v>1Concrete block walls&gt; 0.5 to ≤ 0.6</v>
      </c>
      <c r="B331" s="22">
        <v>1</v>
      </c>
      <c r="C331" s="22" t="s">
        <v>191</v>
      </c>
      <c r="D331" s="22" t="str">
        <f>CONCATENATE(B331,C331,Concrete_block_walls_minimum_insulation_R_Value_climate_zone_1108[[#This Row],[Column1]],Concrete_block_walls_minimum_insulation_R_Value_climate_zone_1108[[#This Row],[Column4]])</f>
        <v>1Concrete block walls&gt; 0.5 to ≤ 0.6&gt; 450 to ≤ 600</v>
      </c>
      <c r="E331" s="22" t="str">
        <f t="shared" si="3"/>
        <v>1Concrete block walls</v>
      </c>
      <c r="F331" s="32" t="s">
        <v>583</v>
      </c>
      <c r="G331" s="32" t="s">
        <v>528</v>
      </c>
      <c r="H331" s="32" t="s">
        <v>522</v>
      </c>
      <c r="I331" s="32">
        <v>1.5</v>
      </c>
      <c r="J331" s="32" t="s">
        <v>321</v>
      </c>
      <c r="K331" s="32" t="s">
        <v>321</v>
      </c>
      <c r="W331"/>
      <c r="Z331" s="22">
        <f t="shared" si="2"/>
        <v>7</v>
      </c>
      <c r="AA331" t="s">
        <v>590</v>
      </c>
      <c r="AB331" s="22" cm="1">
        <f t="array" ref="AB331">IF(COLUMNS($AB$299:AB$299)&lt;=$Z331,INDEX($G:$G,_xlfn.AGGREGATE(15,3,($A$301:$A$738=$AA331)/($A$301:$A$738=$AA331)*ROW($A$301:$A$738),COLUMNS($AB$299:AB$299))),"")</f>
        <v>0</v>
      </c>
      <c r="AC331" s="22" t="str" cm="1">
        <f t="array" ref="AC331">IF(COLUMNS($AB$299:AC$299)&lt;=$Z331,INDEX($G:$G,_xlfn.AGGREGATE(15,3,($A$301:$A$738=$AA331)/($A$301:$A$738=$AA331)*ROW($A$301:$A$738),COLUMNS($AB$299:AC$299))),"")</f>
        <v>&gt; 0 to ≤ 300</v>
      </c>
      <c r="AD331" s="22" t="str" cm="1">
        <f t="array" ref="AD331">IF(COLUMNS($AB$299:AD$299)&lt;=$Z331,INDEX($G:$G,_xlfn.AGGREGATE(15,3,($A$301:$A$738=$AA331)/($A$301:$A$738=$AA331)*ROW($A$301:$A$738),COLUMNS($AB$299:AD$299))),"")</f>
        <v>&gt; 300 to ≤ 450</v>
      </c>
      <c r="AE331" s="22" t="str" cm="1">
        <f t="array" ref="AE331">IF(COLUMNS($AB$299:AE$299)&lt;=$Z331,INDEX($G:$G,_xlfn.AGGREGATE(15,3,($A$301:$A$738=$AA331)/($A$301:$A$738=$AA331)*ROW($A$301:$A$738),COLUMNS($AB$299:AE$299))),"")</f>
        <v>&gt; 450 to ≤ 600</v>
      </c>
      <c r="AF331" s="22" t="str" cm="1">
        <f t="array" ref="AF331">IF(COLUMNS($AB$299:AF$299)&lt;=$Z331,INDEX($G:$G,_xlfn.AGGREGATE(15,3,($A$301:$A$738=$AA331)/($A$301:$A$738=$AA331)*ROW($A$301:$A$738),COLUMNS($AB$299:AF$299))),"")</f>
        <v>&gt; 600 to ≤ 900</v>
      </c>
      <c r="AG331" s="22" t="str" cm="1">
        <f t="array" ref="AG331">IF(COLUMNS($AB$299:AG$299)&lt;=$Z331,INDEX($G:$G,_xlfn.AGGREGATE(15,3,($A$301:$A$738=$AA331)/($A$301:$A$738=$AA331)*ROW($A$301:$A$738),COLUMNS($AB$299:AG$299))),"")</f>
        <v>&gt; 900 to ≤ 1200</v>
      </c>
      <c r="AH331" s="22" t="str" cm="1">
        <f t="array" ref="AH331">IF(COLUMNS($AB$299:AH$299)&lt;=$Z331,INDEX($G:$G,_xlfn.AGGREGATE(15,3,($A$301:$A$738=$AA331)/($A$301:$A$738=$AA331)*ROW($A$301:$A$738),COLUMNS($AB$299:AH$299))),"")</f>
        <v>&gt; 1200 to ≤ 1500</v>
      </c>
      <c r="AI331" s="22" t="str" cm="1">
        <f t="array" ref="AI331">IF(COLUMNS($AB$299:AI$299)&lt;=$Z331,INDEX($G:$G,_xlfn.AGGREGATE(15,3,($A$301:$A$738=$AA331)/($A$301:$A$738=$AA331)*ROW($A$301:$A$738),COLUMNS($AB$299:AI$299))),"")</f>
        <v/>
      </c>
      <c r="AJ331" s="22" t="str" cm="1">
        <f t="array" ref="AJ331">IF(COLUMNS($AB$299:AJ$299)&lt;=$Z331,INDEX($G:$G,_xlfn.AGGREGATE(15,3,($A$301:$A$738=$AA331)/($A$301:$A$738=$AA331)*ROW($A$301:$A$738),COLUMNS($AB$299:AJ$299))),"")</f>
        <v/>
      </c>
      <c r="AK331" s="22" t="str" cm="1">
        <f t="array" ref="AK331">IF(COLUMNS($AB$299:AK$299)&lt;=$Z331,INDEX($G:$G,_xlfn.AGGREGATE(15,3,($A$301:$A$738=$AA331)/($A$301:$A$738=$AA331)*ROW($A$301:$A$738),COLUMNS($AB$299:AK$299))),"")</f>
        <v/>
      </c>
      <c r="AL331" s="22" t="str" cm="1">
        <f t="array" ref="AL331">IF(COLUMNS($AB$299:AL$299)&lt;=$Z331,INDEX($G:$G,_xlfn.AGGREGATE(15,3,($A$301:$A$738=$AA331)/($A$301:$A$738=$AA331)*ROW($A$301:$A$738),COLUMNS($AB$299:AL$299))),"")</f>
        <v/>
      </c>
      <c r="AM331" s="22" t="str" cm="1">
        <f t="array" ref="AM331">IF(COLUMNS($AB$299:AM$299)&lt;=$Z331,INDEX($G:$G,_xlfn.AGGREGATE(15,3,($A$301:$A$738=$AA331)/($A$301:$A$738=$AA331)*ROW($A$301:$A$738),COLUMNS($AB$299:AM$299))),"")</f>
        <v/>
      </c>
      <c r="AN331" s="22" t="str" cm="1">
        <f t="array" ref="AN331">IF(COLUMNS($AB$299:AN$299)&lt;=$Z331,INDEX($G:$G,_xlfn.AGGREGATE(15,3,($A$301:$A$738=$AA331)/($A$301:$A$738=$AA331)*ROW($A$301:$A$738),COLUMNS($AB$299:AN$299))),"")</f>
        <v/>
      </c>
      <c r="AO331" s="22" t="str" cm="1">
        <f t="array" ref="AO331">IF(COLUMNS($AB$298:AO$298)&lt;=$Z332,INDEX($G:$G,_xlfn.AGGREGATE(15,3,($A$301:$A$738=$AA332)/($A$301:$A$738=$AA332)*ROW($A$301:$A$738),COLUMNS($AB$298:AO$298))),"")</f>
        <v/>
      </c>
    </row>
    <row r="332" spans="1:41" s="22" customFormat="1" x14ac:dyDescent="0.3">
      <c r="A332" s="22" t="str">
        <f>CONCATENATE(B332,C332,Concrete_block_walls_minimum_insulation_R_Value_climate_zone_1108[[#This Row],[Column1]])</f>
        <v>1Concrete block walls&gt; 0.5 to ≤ 0.6</v>
      </c>
      <c r="B332" s="22">
        <v>1</v>
      </c>
      <c r="C332" s="22" t="s">
        <v>191</v>
      </c>
      <c r="D332" s="22" t="str">
        <f>CONCATENATE(B332,C332,Concrete_block_walls_minimum_insulation_R_Value_climate_zone_1108[[#This Row],[Column1]],Concrete_block_walls_minimum_insulation_R_Value_climate_zone_1108[[#This Row],[Column4]])</f>
        <v>1Concrete block walls&gt; 0.5 to ≤ 0.6&gt; 600 to ≤ 900</v>
      </c>
      <c r="E332" s="22" t="str">
        <f t="shared" si="3"/>
        <v>1Concrete block walls</v>
      </c>
      <c r="F332" s="32" t="s">
        <v>583</v>
      </c>
      <c r="G332" s="32" t="s">
        <v>531</v>
      </c>
      <c r="H332" s="32" t="s">
        <v>522</v>
      </c>
      <c r="I332" s="32" t="s">
        <v>522</v>
      </c>
      <c r="J332" s="32">
        <v>1.5</v>
      </c>
      <c r="K332" s="32" t="s">
        <v>321</v>
      </c>
      <c r="W332"/>
      <c r="Z332" s="22">
        <f t="shared" ref="Z332:Z354" si="4">COUNTIF($A$301:$A$738,AA332)</f>
        <v>7</v>
      </c>
      <c r="AA332" t="s">
        <v>591</v>
      </c>
      <c r="AB332" s="22" cm="1">
        <f t="array" ref="AB332">IF(COLUMNS($AB$299:AB$299)&lt;=$Z332,INDEX($G:$G,_xlfn.AGGREGATE(15,3,($A$301:$A$738=$AA332)/($A$301:$A$738=$AA332)*ROW($A$301:$A$738),COLUMNS($AB$299:AB$299))),"")</f>
        <v>0</v>
      </c>
      <c r="AC332" s="22" t="str" cm="1">
        <f t="array" ref="AC332">IF(COLUMNS($AB$299:AC$299)&lt;=$Z332,INDEX($G:$G,_xlfn.AGGREGATE(15,3,($A$301:$A$738=$AA332)/($A$301:$A$738=$AA332)*ROW($A$301:$A$738),COLUMNS($AB$299:AC$299))),"")</f>
        <v>&gt; 0 to ≤ 300</v>
      </c>
      <c r="AD332" s="22" t="str" cm="1">
        <f t="array" ref="AD332">IF(COLUMNS($AB$299:AD$299)&lt;=$Z332,INDEX($G:$G,_xlfn.AGGREGATE(15,3,($A$301:$A$738=$AA332)/($A$301:$A$738=$AA332)*ROW($A$301:$A$738),COLUMNS($AB$299:AD$299))),"")</f>
        <v>&gt; 300 to ≤ 450</v>
      </c>
      <c r="AE332" s="22" t="str" cm="1">
        <f t="array" ref="AE332">IF(COLUMNS($AB$299:AE$299)&lt;=$Z332,INDEX($G:$G,_xlfn.AGGREGATE(15,3,($A$301:$A$738=$AA332)/($A$301:$A$738=$AA332)*ROW($A$301:$A$738),COLUMNS($AB$299:AE$299))),"")</f>
        <v>&gt; 450 to ≤ 600</v>
      </c>
      <c r="AF332" s="22" t="str" cm="1">
        <f t="array" ref="AF332">IF(COLUMNS($AB$299:AF$299)&lt;=$Z332,INDEX($G:$G,_xlfn.AGGREGATE(15,3,($A$301:$A$738=$AA332)/($A$301:$A$738=$AA332)*ROW($A$301:$A$738),COLUMNS($AB$299:AF$299))),"")</f>
        <v>&gt; 600 to ≤ 900</v>
      </c>
      <c r="AG332" s="22" t="str" cm="1">
        <f t="array" ref="AG332">IF(COLUMNS($AB$299:AG$299)&lt;=$Z332,INDEX($G:$G,_xlfn.AGGREGATE(15,3,($A$301:$A$738=$AA332)/($A$301:$A$738=$AA332)*ROW($A$301:$A$738),COLUMNS($AB$299:AG$299))),"")</f>
        <v>&gt; 900 to ≤ 1200</v>
      </c>
      <c r="AH332" s="22" t="str" cm="1">
        <f t="array" ref="AH332">IF(COLUMNS($AB$299:AH$299)&lt;=$Z332,INDEX($G:$G,_xlfn.AGGREGATE(15,3,($A$301:$A$738=$AA332)/($A$301:$A$738=$AA332)*ROW($A$301:$A$738),COLUMNS($AB$299:AH$299))),"")</f>
        <v>&gt; 1200 to ≤ 1500</v>
      </c>
      <c r="AI332" s="22" t="str" cm="1">
        <f t="array" ref="AI332">IF(COLUMNS($AB$299:AI$299)&lt;=$Z332,INDEX($G:$G,_xlfn.AGGREGATE(15,3,($A$301:$A$738=$AA332)/($A$301:$A$738=$AA332)*ROW($A$301:$A$738),COLUMNS($AB$299:AI$299))),"")</f>
        <v/>
      </c>
      <c r="AJ332" s="22" t="str" cm="1">
        <f t="array" ref="AJ332">IF(COLUMNS($AB$299:AJ$299)&lt;=$Z332,INDEX($G:$G,_xlfn.AGGREGATE(15,3,($A$301:$A$738=$AA332)/($A$301:$A$738=$AA332)*ROW($A$301:$A$738),COLUMNS($AB$299:AJ$299))),"")</f>
        <v/>
      </c>
      <c r="AK332" s="22" t="str" cm="1">
        <f t="array" ref="AK332">IF(COLUMNS($AB$299:AK$299)&lt;=$Z332,INDEX($G:$G,_xlfn.AGGREGATE(15,3,($A$301:$A$738=$AA332)/($A$301:$A$738=$AA332)*ROW($A$301:$A$738),COLUMNS($AB$299:AK$299))),"")</f>
        <v/>
      </c>
      <c r="AL332" s="22" t="str" cm="1">
        <f t="array" ref="AL332">IF(COLUMNS($AB$299:AL$299)&lt;=$Z332,INDEX($G:$G,_xlfn.AGGREGATE(15,3,($A$301:$A$738=$AA332)/($A$301:$A$738=$AA332)*ROW($A$301:$A$738),COLUMNS($AB$299:AL$299))),"")</f>
        <v/>
      </c>
      <c r="AM332" s="22" t="str" cm="1">
        <f t="array" ref="AM332">IF(COLUMNS($AB$299:AM$299)&lt;=$Z332,INDEX($G:$G,_xlfn.AGGREGATE(15,3,($A$301:$A$738=$AA332)/($A$301:$A$738=$AA332)*ROW($A$301:$A$738),COLUMNS($AB$299:AM$299))),"")</f>
        <v/>
      </c>
      <c r="AN332" s="22" t="str" cm="1">
        <f t="array" ref="AN332">IF(COLUMNS($AB$299:AN$299)&lt;=$Z332,INDEX($G:$G,_xlfn.AGGREGATE(15,3,($A$301:$A$738=$AA332)/($A$301:$A$738=$AA332)*ROW($A$301:$A$738),COLUMNS($AB$299:AN$299))),"")</f>
        <v/>
      </c>
      <c r="AO332" s="22" t="str" cm="1">
        <f t="array" ref="AO332">IF(COLUMNS($AB$298:AO$298)&lt;=$Z333,INDEX($G:$G,_xlfn.AGGREGATE(15,3,($A$301:$A$738=$AA333)/($A$301:$A$738=$AA333)*ROW($A$301:$A$738),COLUMNS($AB$298:AO$298))),"")</f>
        <v/>
      </c>
    </row>
    <row r="333" spans="1:41" s="22" customFormat="1" x14ac:dyDescent="0.3">
      <c r="A333" s="22" t="str">
        <f>CONCATENATE(B333,C333,Concrete_block_walls_minimum_insulation_R_Value_climate_zone_1108[[#This Row],[Column1]])</f>
        <v>1Concrete block walls&gt; 0.5 to ≤ 0.6</v>
      </c>
      <c r="B333" s="22">
        <v>1</v>
      </c>
      <c r="C333" s="22" t="s">
        <v>191</v>
      </c>
      <c r="D333" s="22" t="str">
        <f>CONCATENATE(B333,C333,Concrete_block_walls_minimum_insulation_R_Value_climate_zone_1108[[#This Row],[Column1]],Concrete_block_walls_minimum_insulation_R_Value_climate_zone_1108[[#This Row],[Column4]])</f>
        <v>1Concrete block walls&gt; 0.5 to ≤ 0.6&gt; 900 to ≤ 1200</v>
      </c>
      <c r="E333" s="22" t="str">
        <f t="shared" si="3"/>
        <v>1Concrete block walls</v>
      </c>
      <c r="F333" s="32" t="s">
        <v>583</v>
      </c>
      <c r="G333" s="32" t="s">
        <v>534</v>
      </c>
      <c r="H333" s="32">
        <v>0</v>
      </c>
      <c r="I333" s="32" t="s">
        <v>522</v>
      </c>
      <c r="J333" s="32" t="s">
        <v>522</v>
      </c>
      <c r="K333" s="32" t="s">
        <v>321</v>
      </c>
      <c r="W333"/>
      <c r="Z333" s="22">
        <f t="shared" si="4"/>
        <v>7</v>
      </c>
      <c r="AA333" t="s">
        <v>592</v>
      </c>
      <c r="AB333" s="22" cm="1">
        <f t="array" ref="AB333">IF(COLUMNS($AB$299:AB$299)&lt;=$Z333,INDEX($G:$G,_xlfn.AGGREGATE(15,3,($A$301:$A$738=$AA333)/($A$301:$A$738=$AA333)*ROW($A$301:$A$738),COLUMNS($AB$299:AB$299))),"")</f>
        <v>0</v>
      </c>
      <c r="AC333" s="22" t="str" cm="1">
        <f t="array" ref="AC333">IF(COLUMNS($AB$299:AC$299)&lt;=$Z333,INDEX($G:$G,_xlfn.AGGREGATE(15,3,($A$301:$A$738=$AA333)/($A$301:$A$738=$AA333)*ROW($A$301:$A$738),COLUMNS($AB$299:AC$299))),"")</f>
        <v>&gt; 0 to ≤ 300</v>
      </c>
      <c r="AD333" s="22" t="str" cm="1">
        <f t="array" ref="AD333">IF(COLUMNS($AB$299:AD$299)&lt;=$Z333,INDEX($G:$G,_xlfn.AGGREGATE(15,3,($A$301:$A$738=$AA333)/($A$301:$A$738=$AA333)*ROW($A$301:$A$738),COLUMNS($AB$299:AD$299))),"")</f>
        <v>&gt; 300 to ≤ 450</v>
      </c>
      <c r="AE333" s="22" t="str" cm="1">
        <f t="array" ref="AE333">IF(COLUMNS($AB$299:AE$299)&lt;=$Z333,INDEX($G:$G,_xlfn.AGGREGATE(15,3,($A$301:$A$738=$AA333)/($A$301:$A$738=$AA333)*ROW($A$301:$A$738),COLUMNS($AB$299:AE$299))),"")</f>
        <v>&gt; 450 to ≤ 600</v>
      </c>
      <c r="AF333" s="22" t="str" cm="1">
        <f t="array" ref="AF333">IF(COLUMNS($AB$299:AF$299)&lt;=$Z333,INDEX($G:$G,_xlfn.AGGREGATE(15,3,($A$301:$A$738=$AA333)/($A$301:$A$738=$AA333)*ROW($A$301:$A$738),COLUMNS($AB$299:AF$299))),"")</f>
        <v>&gt; 600 to ≤ 900</v>
      </c>
      <c r="AG333" s="22" t="str" cm="1">
        <f t="array" ref="AG333">IF(COLUMNS($AB$299:AG$299)&lt;=$Z333,INDEX($G:$G,_xlfn.AGGREGATE(15,3,($A$301:$A$738=$AA333)/($A$301:$A$738=$AA333)*ROW($A$301:$A$738),COLUMNS($AB$299:AG$299))),"")</f>
        <v>&gt; 900 to ≤ 1200</v>
      </c>
      <c r="AH333" s="22" t="str" cm="1">
        <f t="array" ref="AH333">IF(COLUMNS($AB$299:AH$299)&lt;=$Z333,INDEX($G:$G,_xlfn.AGGREGATE(15,3,($A$301:$A$738=$AA333)/($A$301:$A$738=$AA333)*ROW($A$301:$A$738),COLUMNS($AB$299:AH$299))),"")</f>
        <v>&gt; 1200 to ≤ 1500</v>
      </c>
      <c r="AI333" s="22" t="str" cm="1">
        <f t="array" ref="AI333">IF(COLUMNS($AB$299:AI$299)&lt;=$Z333,INDEX($G:$G,_xlfn.AGGREGATE(15,3,($A$301:$A$738=$AA333)/($A$301:$A$738=$AA333)*ROW($A$301:$A$738),COLUMNS($AB$299:AI$299))),"")</f>
        <v/>
      </c>
      <c r="AJ333" s="22" t="str" cm="1">
        <f t="array" ref="AJ333">IF(COLUMNS($AB$299:AJ$299)&lt;=$Z333,INDEX($G:$G,_xlfn.AGGREGATE(15,3,($A$301:$A$738=$AA333)/($A$301:$A$738=$AA333)*ROW($A$301:$A$738),COLUMNS($AB$299:AJ$299))),"")</f>
        <v/>
      </c>
      <c r="AK333" s="22" t="str" cm="1">
        <f t="array" ref="AK333">IF(COLUMNS($AB$299:AK$299)&lt;=$Z333,INDEX($G:$G,_xlfn.AGGREGATE(15,3,($A$301:$A$738=$AA333)/($A$301:$A$738=$AA333)*ROW($A$301:$A$738),COLUMNS($AB$299:AK$299))),"")</f>
        <v/>
      </c>
      <c r="AL333" s="22" t="str" cm="1">
        <f t="array" ref="AL333">IF(COLUMNS($AB$299:AL$299)&lt;=$Z333,INDEX($G:$G,_xlfn.AGGREGATE(15,3,($A$301:$A$738=$AA333)/($A$301:$A$738=$AA333)*ROW($A$301:$A$738),COLUMNS($AB$299:AL$299))),"")</f>
        <v/>
      </c>
      <c r="AM333" s="22" t="str" cm="1">
        <f t="array" ref="AM333">IF(COLUMNS($AB$299:AM$299)&lt;=$Z333,INDEX($G:$G,_xlfn.AGGREGATE(15,3,($A$301:$A$738=$AA333)/($A$301:$A$738=$AA333)*ROW($A$301:$A$738),COLUMNS($AB$299:AM$299))),"")</f>
        <v/>
      </c>
      <c r="AN333" s="22" t="str" cm="1">
        <f t="array" ref="AN333">IF(COLUMNS($AB$299:AN$299)&lt;=$Z333,INDEX($G:$G,_xlfn.AGGREGATE(15,3,($A$301:$A$738=$AA333)/($A$301:$A$738=$AA333)*ROW($A$301:$A$738),COLUMNS($AB$299:AN$299))),"")</f>
        <v/>
      </c>
      <c r="AO333" s="22" t="str" cm="1">
        <f t="array" ref="AO333">IF(COLUMNS($AB$298:AO$298)&lt;=$Z334,INDEX($G:$G,_xlfn.AGGREGATE(15,3,($A$301:$A$738=$AA334)/($A$301:$A$738=$AA334)*ROW($A$301:$A$738),COLUMNS($AB$298:AO$298))),"")</f>
        <v/>
      </c>
    </row>
    <row r="334" spans="1:41" s="22" customFormat="1" x14ac:dyDescent="0.3">
      <c r="A334" s="22" t="str">
        <f>CONCATENATE(B334,C334,Concrete_block_walls_minimum_insulation_R_Value_climate_zone_1108[[#This Row],[Column1]])</f>
        <v>1Concrete block walls&gt; 0.5 to ≤ 0.6</v>
      </c>
      <c r="B334" s="22">
        <v>1</v>
      </c>
      <c r="C334" s="22" t="s">
        <v>191</v>
      </c>
      <c r="D334" s="22" t="str">
        <f>CONCATENATE(B334,C334,Concrete_block_walls_minimum_insulation_R_Value_climate_zone_1108[[#This Row],[Column1]],Concrete_block_walls_minimum_insulation_R_Value_climate_zone_1108[[#This Row],[Column4]])</f>
        <v>1Concrete block walls&gt; 0.5 to ≤ 0.6&gt; 1200 to ≤ 1500</v>
      </c>
      <c r="E334" s="22" t="str">
        <f t="shared" si="3"/>
        <v>1Concrete block walls</v>
      </c>
      <c r="F334" s="32" t="s">
        <v>583</v>
      </c>
      <c r="G334" s="32" t="s">
        <v>536</v>
      </c>
      <c r="H334" s="32">
        <v>0</v>
      </c>
      <c r="I334" s="32" t="s">
        <v>522</v>
      </c>
      <c r="J334" s="32" t="s">
        <v>522</v>
      </c>
      <c r="K334" s="32">
        <v>1.5</v>
      </c>
      <c r="W334"/>
      <c r="Z334" s="22">
        <f t="shared" si="4"/>
        <v>7</v>
      </c>
      <c r="AA334" t="s">
        <v>593</v>
      </c>
      <c r="AB334" s="22" cm="1">
        <f t="array" ref="AB334">IF(COLUMNS($AB$299:AB$299)&lt;=$Z334,INDEX($G:$G,_xlfn.AGGREGATE(15,3,($A$301:$A$738=$AA334)/($A$301:$A$738=$AA334)*ROW($A$301:$A$738),COLUMNS($AB$299:AB$299))),"")</f>
        <v>0</v>
      </c>
      <c r="AC334" s="22" t="str" cm="1">
        <f t="array" ref="AC334">IF(COLUMNS($AB$299:AC$299)&lt;=$Z334,INDEX($G:$G,_xlfn.AGGREGATE(15,3,($A$301:$A$738=$AA334)/($A$301:$A$738=$AA334)*ROW($A$301:$A$738),COLUMNS($AB$299:AC$299))),"")</f>
        <v>&gt; 0 to ≤ 300</v>
      </c>
      <c r="AD334" s="22" t="str" cm="1">
        <f t="array" ref="AD334">IF(COLUMNS($AB$299:AD$299)&lt;=$Z334,INDEX($G:$G,_xlfn.AGGREGATE(15,3,($A$301:$A$738=$AA334)/($A$301:$A$738=$AA334)*ROW($A$301:$A$738),COLUMNS($AB$299:AD$299))),"")</f>
        <v>&gt; 300 to ≤ 450</v>
      </c>
      <c r="AE334" s="22" t="str" cm="1">
        <f t="array" ref="AE334">IF(COLUMNS($AB$299:AE$299)&lt;=$Z334,INDEX($G:$G,_xlfn.AGGREGATE(15,3,($A$301:$A$738=$AA334)/($A$301:$A$738=$AA334)*ROW($A$301:$A$738),COLUMNS($AB$299:AE$299))),"")</f>
        <v>&gt; 450 to ≤ 600</v>
      </c>
      <c r="AF334" s="22" t="str" cm="1">
        <f t="array" ref="AF334">IF(COLUMNS($AB$299:AF$299)&lt;=$Z334,INDEX($G:$G,_xlfn.AGGREGATE(15,3,($A$301:$A$738=$AA334)/($A$301:$A$738=$AA334)*ROW($A$301:$A$738),COLUMNS($AB$299:AF$299))),"")</f>
        <v>&gt; 600 to ≤ 900</v>
      </c>
      <c r="AG334" s="22" t="str" cm="1">
        <f t="array" ref="AG334">IF(COLUMNS($AB$299:AG$299)&lt;=$Z334,INDEX($G:$G,_xlfn.AGGREGATE(15,3,($A$301:$A$738=$AA334)/($A$301:$A$738=$AA334)*ROW($A$301:$A$738),COLUMNS($AB$299:AG$299))),"")</f>
        <v>&gt; 900 to ≤ 1200</v>
      </c>
      <c r="AH334" s="22" t="str" cm="1">
        <f t="array" ref="AH334">IF(COLUMNS($AB$299:AH$299)&lt;=$Z334,INDEX($G:$G,_xlfn.AGGREGATE(15,3,($A$301:$A$738=$AA334)/($A$301:$A$738=$AA334)*ROW($A$301:$A$738),COLUMNS($AB$299:AH$299))),"")</f>
        <v>&gt; 1200 to ≤ 1500</v>
      </c>
      <c r="AI334" s="22" t="str" cm="1">
        <f t="array" ref="AI334">IF(COLUMNS($AB$299:AI$299)&lt;=$Z334,INDEX($G:$G,_xlfn.AGGREGATE(15,3,($A$301:$A$738=$AA334)/($A$301:$A$738=$AA334)*ROW($A$301:$A$738),COLUMNS($AB$299:AI$299))),"")</f>
        <v/>
      </c>
      <c r="AJ334" s="22" t="str" cm="1">
        <f t="array" ref="AJ334">IF(COLUMNS($AB$299:AJ$299)&lt;=$Z334,INDEX($G:$G,_xlfn.AGGREGATE(15,3,($A$301:$A$738=$AA334)/($A$301:$A$738=$AA334)*ROW($A$301:$A$738),COLUMNS($AB$299:AJ$299))),"")</f>
        <v/>
      </c>
      <c r="AK334" s="22" t="str" cm="1">
        <f t="array" ref="AK334">IF(COLUMNS($AB$299:AK$299)&lt;=$Z334,INDEX($G:$G,_xlfn.AGGREGATE(15,3,($A$301:$A$738=$AA334)/($A$301:$A$738=$AA334)*ROW($A$301:$A$738),COLUMNS($AB$299:AK$299))),"")</f>
        <v/>
      </c>
      <c r="AL334" s="22" t="str" cm="1">
        <f t="array" ref="AL334">IF(COLUMNS($AB$299:AL$299)&lt;=$Z334,INDEX($G:$G,_xlfn.AGGREGATE(15,3,($A$301:$A$738=$AA334)/($A$301:$A$738=$AA334)*ROW($A$301:$A$738),COLUMNS($AB$299:AL$299))),"")</f>
        <v/>
      </c>
      <c r="AM334" s="22" t="str" cm="1">
        <f t="array" ref="AM334">IF(COLUMNS($AB$299:AM$299)&lt;=$Z334,INDEX($G:$G,_xlfn.AGGREGATE(15,3,($A$301:$A$738=$AA334)/($A$301:$A$738=$AA334)*ROW($A$301:$A$738),COLUMNS($AB$299:AM$299))),"")</f>
        <v/>
      </c>
      <c r="AN334" s="22" t="str" cm="1">
        <f t="array" ref="AN334">IF(COLUMNS($AB$299:AN$299)&lt;=$Z334,INDEX($G:$G,_xlfn.AGGREGATE(15,3,($A$301:$A$738=$AA334)/($A$301:$A$738=$AA334)*ROW($A$301:$A$738),COLUMNS($AB$299:AN$299))),"")</f>
        <v/>
      </c>
      <c r="AO334" s="22" t="str" cm="1">
        <f t="array" ref="AO334">IF(COLUMNS($AB$298:AO$298)&lt;=$Z335,INDEX($G:$G,_xlfn.AGGREGATE(15,3,($A$301:$A$738=$AA335)/($A$301:$A$738=$AA335)*ROW($A$301:$A$738),COLUMNS($AB$298:AO$298))),"")</f>
        <v/>
      </c>
    </row>
    <row r="335" spans="1:41" s="22" customFormat="1" x14ac:dyDescent="0.3">
      <c r="A335" s="22" t="str">
        <f>CONCATENATE(B335,C335,Concrete_block_walls_minimum_insulation_R_Value_climate_zone_1108[[#This Row],[Column1]])</f>
        <v>1Concrete block walls&gt; 0.5 to ≤ 0.6</v>
      </c>
      <c r="B335" s="22">
        <v>1</v>
      </c>
      <c r="C335" s="22" t="s">
        <v>191</v>
      </c>
      <c r="D335" s="22" t="str">
        <f>CONCATENATE(B335,C335,Concrete_block_walls_minimum_insulation_R_Value_climate_zone_1108[[#This Row],[Column1]],Concrete_block_walls_minimum_insulation_R_Value_climate_zone_1108[[#This Row],[Column4]])</f>
        <v>1Concrete block walls&gt; 0.5 to ≤ 0.6&gt; 1500 to ≤ 1800</v>
      </c>
      <c r="E335" s="22" t="str">
        <f t="shared" si="3"/>
        <v>1Concrete block walls</v>
      </c>
      <c r="F335" s="32" t="s">
        <v>583</v>
      </c>
      <c r="G335" s="32" t="s">
        <v>539</v>
      </c>
      <c r="H335" s="32">
        <v>0</v>
      </c>
      <c r="I335" s="32">
        <v>0</v>
      </c>
      <c r="J335" s="32" t="s">
        <v>522</v>
      </c>
      <c r="K335" s="32">
        <v>1</v>
      </c>
      <c r="W335"/>
      <c r="Z335" s="22">
        <f t="shared" si="4"/>
        <v>5</v>
      </c>
      <c r="AA335" t="s">
        <v>594</v>
      </c>
      <c r="AB335" s="22" cm="1">
        <f t="array" ref="AB335">IF(COLUMNS($AB$299:AB$299)&lt;=$Z335,INDEX($G:$G,_xlfn.AGGREGATE(15,3,($A$301:$A$738=$AA335)/($A$301:$A$738=$AA335)*ROW($A$301:$A$738),COLUMNS($AB$299:AB$299))),"")</f>
        <v>0</v>
      </c>
      <c r="AC335" s="22" t="str" cm="1">
        <f t="array" ref="AC335">IF(COLUMNS($AB$299:AC$299)&lt;=$Z335,INDEX($G:$G,_xlfn.AGGREGATE(15,3,($A$301:$A$738=$AA335)/($A$301:$A$738=$AA335)*ROW($A$301:$A$738),COLUMNS($AB$299:AC$299))),"")</f>
        <v>&gt; 0 to ≤ 300</v>
      </c>
      <c r="AD335" s="22" t="str" cm="1">
        <f t="array" ref="AD335">IF(COLUMNS($AB$299:AD$299)&lt;=$Z335,INDEX($G:$G,_xlfn.AGGREGATE(15,3,($A$301:$A$738=$AA335)/($A$301:$A$738=$AA335)*ROW($A$301:$A$738),COLUMNS($AB$299:AD$299))),"")</f>
        <v>&gt; 300 to ≤ 450</v>
      </c>
      <c r="AE335" s="22" t="str" cm="1">
        <f t="array" ref="AE335">IF(COLUMNS($AB$299:AE$299)&lt;=$Z335,INDEX($G:$G,_xlfn.AGGREGATE(15,3,($A$301:$A$738=$AA335)/($A$301:$A$738=$AA335)*ROW($A$301:$A$738),COLUMNS($AB$299:AE$299))),"")</f>
        <v>&gt; 450 to ≤ 600</v>
      </c>
      <c r="AF335" s="22" t="str" cm="1">
        <f t="array" ref="AF335">IF(COLUMNS($AB$299:AF$299)&lt;=$Z335,INDEX($G:$G,_xlfn.AGGREGATE(15,3,($A$301:$A$738=$AA335)/($A$301:$A$738=$AA335)*ROW($A$301:$A$738),COLUMNS($AB$299:AF$299))),"")</f>
        <v>&gt; 600 to ≤ 900</v>
      </c>
      <c r="AG335" s="22" t="str" cm="1">
        <f t="array" ref="AG335">IF(COLUMNS($AB$299:AG$299)&lt;=$Z335,INDEX($G:$G,_xlfn.AGGREGATE(15,3,($A$301:$A$738=$AA335)/($A$301:$A$738=$AA335)*ROW($A$301:$A$738),COLUMNS($AB$299:AG$299))),"")</f>
        <v/>
      </c>
      <c r="AH335" s="22" t="str" cm="1">
        <f t="array" ref="AH335">IF(COLUMNS($AB$299:AH$299)&lt;=$Z335,INDEX($G:$G,_xlfn.AGGREGATE(15,3,($A$301:$A$738=$AA335)/($A$301:$A$738=$AA335)*ROW($A$301:$A$738),COLUMNS($AB$299:AH$299))),"")</f>
        <v/>
      </c>
      <c r="AI335" s="22" t="str" cm="1">
        <f t="array" ref="AI335">IF(COLUMNS($AB$299:AI$299)&lt;=$Z335,INDEX($G:$G,_xlfn.AGGREGATE(15,3,($A$301:$A$738=$AA335)/($A$301:$A$738=$AA335)*ROW($A$301:$A$738),COLUMNS($AB$299:AI$299))),"")</f>
        <v/>
      </c>
      <c r="AJ335" s="22" t="str" cm="1">
        <f t="array" ref="AJ335">IF(COLUMNS($AB$299:AJ$299)&lt;=$Z335,INDEX($G:$G,_xlfn.AGGREGATE(15,3,($A$301:$A$738=$AA335)/($A$301:$A$738=$AA335)*ROW($A$301:$A$738),COLUMNS($AB$299:AJ$299))),"")</f>
        <v/>
      </c>
      <c r="AK335" s="22" t="str" cm="1">
        <f t="array" ref="AK335">IF(COLUMNS($AB$299:AK$299)&lt;=$Z335,INDEX($G:$G,_xlfn.AGGREGATE(15,3,($A$301:$A$738=$AA335)/($A$301:$A$738=$AA335)*ROW($A$301:$A$738),COLUMNS($AB$299:AK$299))),"")</f>
        <v/>
      </c>
      <c r="AL335" s="22" t="str" cm="1">
        <f t="array" ref="AL335">IF(COLUMNS($AB$299:AL$299)&lt;=$Z335,INDEX($G:$G,_xlfn.AGGREGATE(15,3,($A$301:$A$738=$AA335)/($A$301:$A$738=$AA335)*ROW($A$301:$A$738),COLUMNS($AB$299:AL$299))),"")</f>
        <v/>
      </c>
      <c r="AM335" s="22" t="str" cm="1">
        <f t="array" ref="AM335">IF(COLUMNS($AB$299:AM$299)&lt;=$Z335,INDEX($G:$G,_xlfn.AGGREGATE(15,3,($A$301:$A$738=$AA335)/($A$301:$A$738=$AA335)*ROW($A$301:$A$738),COLUMNS($AB$299:AM$299))),"")</f>
        <v/>
      </c>
      <c r="AN335" s="22" t="str" cm="1">
        <f t="array" ref="AN335">IF(COLUMNS($AB$299:AN$299)&lt;=$Z335,INDEX($G:$G,_xlfn.AGGREGATE(15,3,($A$301:$A$738=$AA335)/($A$301:$A$738=$AA335)*ROW($A$301:$A$738),COLUMNS($AB$299:AN$299))),"")</f>
        <v/>
      </c>
      <c r="AO335" s="22" t="str" cm="1">
        <f t="array" ref="AO335">IF(COLUMNS($AB$298:AO$298)&lt;=$Z336,INDEX($G:$G,_xlfn.AGGREGATE(15,3,($A$301:$A$738=$AA336)/($A$301:$A$738=$AA336)*ROW($A$301:$A$738),COLUMNS($AB$298:AO$298))),"")</f>
        <v/>
      </c>
    </row>
    <row r="336" spans="1:41" s="22" customFormat="1" x14ac:dyDescent="0.3">
      <c r="A336" s="22" t="str">
        <f>CONCATENATE(B336,C336,Concrete_block_walls_minimum_insulation_R_Value_climate_zone_1108[[#This Row],[Column1]])</f>
        <v>1Concrete block walls&gt; 0.5 to ≤ 0.6</v>
      </c>
      <c r="B336" s="22">
        <v>1</v>
      </c>
      <c r="C336" s="22" t="s">
        <v>191</v>
      </c>
      <c r="D336" s="22" t="str">
        <f>CONCATENATE(B336,C336,Concrete_block_walls_minimum_insulation_R_Value_climate_zone_1108[[#This Row],[Column1]],Concrete_block_walls_minimum_insulation_R_Value_climate_zone_1108[[#This Row],[Column4]])</f>
        <v>1Concrete block walls&gt; 0.5 to ≤ 0.6&gt; 1800 to ≤ 2400</v>
      </c>
      <c r="E336" s="22" t="str">
        <f t="shared" si="3"/>
        <v>1Concrete block walls</v>
      </c>
      <c r="F336" s="32" t="s">
        <v>583</v>
      </c>
      <c r="G336" s="32" t="s">
        <v>542</v>
      </c>
      <c r="H336" s="32">
        <v>0</v>
      </c>
      <c r="I336" s="32">
        <v>0</v>
      </c>
      <c r="J336" s="32" t="s">
        <v>522</v>
      </c>
      <c r="K336" s="32" t="s">
        <v>522</v>
      </c>
      <c r="W336"/>
      <c r="Z336" s="22">
        <f t="shared" si="4"/>
        <v>5</v>
      </c>
      <c r="AA336" t="s">
        <v>595</v>
      </c>
      <c r="AB336" s="22" cm="1">
        <f t="array" ref="AB336">IF(COLUMNS($AB$299:AB$299)&lt;=$Z336,INDEX($G:$G,_xlfn.AGGREGATE(15,3,($A$301:$A$738=$AA336)/($A$301:$A$738=$AA336)*ROW($A$301:$A$738),COLUMNS($AB$299:AB$299))),"")</f>
        <v>0</v>
      </c>
      <c r="AC336" s="22" t="str" cm="1">
        <f t="array" ref="AC336">IF(COLUMNS($AB$299:AC$299)&lt;=$Z336,INDEX($G:$G,_xlfn.AGGREGATE(15,3,($A$301:$A$738=$AA336)/($A$301:$A$738=$AA336)*ROW($A$301:$A$738),COLUMNS($AB$299:AC$299))),"")</f>
        <v>&gt; 0 to ≤ 300</v>
      </c>
      <c r="AD336" s="22" t="str" cm="1">
        <f t="array" ref="AD336">IF(COLUMNS($AB$299:AD$299)&lt;=$Z336,INDEX($G:$G,_xlfn.AGGREGATE(15,3,($A$301:$A$738=$AA336)/($A$301:$A$738=$AA336)*ROW($A$301:$A$738),COLUMNS($AB$299:AD$299))),"")</f>
        <v>&gt; 300 to ≤ 450</v>
      </c>
      <c r="AE336" s="22" t="str" cm="1">
        <f t="array" ref="AE336">IF(COLUMNS($AB$299:AE$299)&lt;=$Z336,INDEX($G:$G,_xlfn.AGGREGATE(15,3,($A$301:$A$738=$AA336)/($A$301:$A$738=$AA336)*ROW($A$301:$A$738),COLUMNS($AB$299:AE$299))),"")</f>
        <v>&gt; 450 to ≤ 600</v>
      </c>
      <c r="AF336" s="22" t="str" cm="1">
        <f t="array" ref="AF336">IF(COLUMNS($AB$299:AF$299)&lt;=$Z336,INDEX($G:$G,_xlfn.AGGREGATE(15,3,($A$301:$A$738=$AA336)/($A$301:$A$738=$AA336)*ROW($A$301:$A$738),COLUMNS($AB$299:AF$299))),"")</f>
        <v>&gt; 600 to ≤ 900</v>
      </c>
      <c r="AG336" s="22" t="str" cm="1">
        <f t="array" ref="AG336">IF(COLUMNS($AB$299:AG$299)&lt;=$Z336,INDEX($G:$G,_xlfn.AGGREGATE(15,3,($A$301:$A$738=$AA336)/($A$301:$A$738=$AA336)*ROW($A$301:$A$738),COLUMNS($AB$299:AG$299))),"")</f>
        <v/>
      </c>
      <c r="AH336" s="22" t="str" cm="1">
        <f t="array" ref="AH336">IF(COLUMNS($AB$299:AH$299)&lt;=$Z336,INDEX($G:$G,_xlfn.AGGREGATE(15,3,($A$301:$A$738=$AA336)/($A$301:$A$738=$AA336)*ROW($A$301:$A$738),COLUMNS($AB$299:AH$299))),"")</f>
        <v/>
      </c>
      <c r="AI336" s="22" t="str" cm="1">
        <f t="array" ref="AI336">IF(COLUMNS($AB$299:AI$299)&lt;=$Z336,INDEX($G:$G,_xlfn.AGGREGATE(15,3,($A$301:$A$738=$AA336)/($A$301:$A$738=$AA336)*ROW($A$301:$A$738),COLUMNS($AB$299:AI$299))),"")</f>
        <v/>
      </c>
      <c r="AJ336" s="22" t="str" cm="1">
        <f t="array" ref="AJ336">IF(COLUMNS($AB$299:AJ$299)&lt;=$Z336,INDEX($G:$G,_xlfn.AGGREGATE(15,3,($A$301:$A$738=$AA336)/($A$301:$A$738=$AA336)*ROW($A$301:$A$738),COLUMNS($AB$299:AJ$299))),"")</f>
        <v/>
      </c>
      <c r="AK336" s="22" t="str" cm="1">
        <f t="array" ref="AK336">IF(COLUMNS($AB$299:AK$299)&lt;=$Z336,INDEX($G:$G,_xlfn.AGGREGATE(15,3,($A$301:$A$738=$AA336)/($A$301:$A$738=$AA336)*ROW($A$301:$A$738),COLUMNS($AB$299:AK$299))),"")</f>
        <v/>
      </c>
      <c r="AL336" s="22" t="str" cm="1">
        <f t="array" ref="AL336">IF(COLUMNS($AB$299:AL$299)&lt;=$Z336,INDEX($G:$G,_xlfn.AGGREGATE(15,3,($A$301:$A$738=$AA336)/($A$301:$A$738=$AA336)*ROW($A$301:$A$738),COLUMNS($AB$299:AL$299))),"")</f>
        <v/>
      </c>
      <c r="AM336" s="22" t="str" cm="1">
        <f t="array" ref="AM336">IF(COLUMNS($AB$299:AM$299)&lt;=$Z336,INDEX($G:$G,_xlfn.AGGREGATE(15,3,($A$301:$A$738=$AA336)/($A$301:$A$738=$AA336)*ROW($A$301:$A$738),COLUMNS($AB$299:AM$299))),"")</f>
        <v/>
      </c>
      <c r="AN336" s="22" t="str" cm="1">
        <f t="array" ref="AN336">IF(COLUMNS($AB$299:AN$299)&lt;=$Z336,INDEX($G:$G,_xlfn.AGGREGATE(15,3,($A$301:$A$738=$AA336)/($A$301:$A$738=$AA336)*ROW($A$301:$A$738),COLUMNS($AB$299:AN$299))),"")</f>
        <v/>
      </c>
      <c r="AO336" s="22" t="str" cm="1">
        <f t="array" ref="AO336">IF(COLUMNS($AB$298:AO$298)&lt;=$Z337,INDEX($G:$G,_xlfn.AGGREGATE(15,3,($A$301:$A$738=$AA337)/($A$301:$A$738=$AA337)*ROW($A$301:$A$738),COLUMNS($AB$298:AO$298))),"")</f>
        <v/>
      </c>
    </row>
    <row r="337" spans="1:41" s="22" customFormat="1" x14ac:dyDescent="0.3">
      <c r="A337" s="22" t="str">
        <f>CONCATENATE(B337,C337,Concrete_block_walls_minimum_insulation_R_Value_climate_zone_1108[[#This Row],[Column1]])</f>
        <v>1Concrete block walls&gt; 0.6 to ≤ 0.7</v>
      </c>
      <c r="B337" s="22">
        <v>1</v>
      </c>
      <c r="C337" s="22" t="s">
        <v>191</v>
      </c>
      <c r="D337" s="22" t="str">
        <f>CONCATENATE(B337,C337,Concrete_block_walls_minimum_insulation_R_Value_climate_zone_1108[[#This Row],[Column1]],Concrete_block_walls_minimum_insulation_R_Value_climate_zone_1108[[#This Row],[Column4]])</f>
        <v>1Concrete block walls&gt; 0.6 to ≤ 0.70</v>
      </c>
      <c r="E337" s="22" t="str">
        <f t="shared" si="3"/>
        <v>1Concrete block walls</v>
      </c>
      <c r="F337" s="32" t="s">
        <v>596</v>
      </c>
      <c r="G337" s="32">
        <v>0</v>
      </c>
      <c r="H337" s="32" t="s">
        <v>321</v>
      </c>
      <c r="I337" s="32" t="s">
        <v>321</v>
      </c>
      <c r="J337" s="32" t="s">
        <v>321</v>
      </c>
      <c r="K337" s="32" t="s">
        <v>321</v>
      </c>
      <c r="W337"/>
      <c r="Z337" s="22">
        <f t="shared" si="4"/>
        <v>5</v>
      </c>
      <c r="AA337" t="s">
        <v>597</v>
      </c>
      <c r="AB337" s="22" cm="1">
        <f t="array" ref="AB337">IF(COLUMNS($AB$299:AB$299)&lt;=$Z337,INDEX($G:$G,_xlfn.AGGREGATE(15,3,($A$301:$A$738=$AA337)/($A$301:$A$738=$AA337)*ROW($A$301:$A$738),COLUMNS($AB$299:AB$299))),"")</f>
        <v>0</v>
      </c>
      <c r="AC337" s="22" t="str" cm="1">
        <f t="array" ref="AC337">IF(COLUMNS($AB$299:AC$299)&lt;=$Z337,INDEX($G:$G,_xlfn.AGGREGATE(15,3,($A$301:$A$738=$AA337)/($A$301:$A$738=$AA337)*ROW($A$301:$A$738),COLUMNS($AB$299:AC$299))),"")</f>
        <v>&gt; 0 to ≤ 300</v>
      </c>
      <c r="AD337" s="22" t="str" cm="1">
        <f t="array" ref="AD337">IF(COLUMNS($AB$299:AD$299)&lt;=$Z337,INDEX($G:$G,_xlfn.AGGREGATE(15,3,($A$301:$A$738=$AA337)/($A$301:$A$738=$AA337)*ROW($A$301:$A$738),COLUMNS($AB$299:AD$299))),"")</f>
        <v>&gt; 300 to ≤ 450</v>
      </c>
      <c r="AE337" s="22" t="str" cm="1">
        <f t="array" ref="AE337">IF(COLUMNS($AB$299:AE$299)&lt;=$Z337,INDEX($G:$G,_xlfn.AGGREGATE(15,3,($A$301:$A$738=$AA337)/($A$301:$A$738=$AA337)*ROW($A$301:$A$738),COLUMNS($AB$299:AE$299))),"")</f>
        <v>&gt; 450 to ≤ 600</v>
      </c>
      <c r="AF337" s="22" t="str" cm="1">
        <f t="array" ref="AF337">IF(COLUMNS($AB$299:AF$299)&lt;=$Z337,INDEX($G:$G,_xlfn.AGGREGATE(15,3,($A$301:$A$738=$AA337)/($A$301:$A$738=$AA337)*ROW($A$301:$A$738),COLUMNS($AB$299:AF$299))),"")</f>
        <v>&gt; 600 to ≤ 900</v>
      </c>
      <c r="AG337" s="22" t="str" cm="1">
        <f t="array" ref="AG337">IF(COLUMNS($AB$299:AG$299)&lt;=$Z337,INDEX($G:$G,_xlfn.AGGREGATE(15,3,($A$301:$A$738=$AA337)/($A$301:$A$738=$AA337)*ROW($A$301:$A$738),COLUMNS($AB$299:AG$299))),"")</f>
        <v/>
      </c>
      <c r="AH337" s="22" t="str" cm="1">
        <f t="array" ref="AH337">IF(COLUMNS($AB$299:AH$299)&lt;=$Z337,INDEX($G:$G,_xlfn.AGGREGATE(15,3,($A$301:$A$738=$AA337)/($A$301:$A$738=$AA337)*ROW($A$301:$A$738),COLUMNS($AB$299:AH$299))),"")</f>
        <v/>
      </c>
      <c r="AI337" s="22" t="str" cm="1">
        <f t="array" ref="AI337">IF(COLUMNS($AB$299:AI$299)&lt;=$Z337,INDEX($G:$G,_xlfn.AGGREGATE(15,3,($A$301:$A$738=$AA337)/($A$301:$A$738=$AA337)*ROW($A$301:$A$738),COLUMNS($AB$299:AI$299))),"")</f>
        <v/>
      </c>
      <c r="AJ337" s="22" t="str" cm="1">
        <f t="array" ref="AJ337">IF(COLUMNS($AB$299:AJ$299)&lt;=$Z337,INDEX($G:$G,_xlfn.AGGREGATE(15,3,($A$301:$A$738=$AA337)/($A$301:$A$738=$AA337)*ROW($A$301:$A$738),COLUMNS($AB$299:AJ$299))),"")</f>
        <v/>
      </c>
      <c r="AK337" s="22" t="str" cm="1">
        <f t="array" ref="AK337">IF(COLUMNS($AB$299:AK$299)&lt;=$Z337,INDEX($G:$G,_xlfn.AGGREGATE(15,3,($A$301:$A$738=$AA337)/($A$301:$A$738=$AA337)*ROW($A$301:$A$738),COLUMNS($AB$299:AK$299))),"")</f>
        <v/>
      </c>
      <c r="AL337" s="22" t="str" cm="1">
        <f t="array" ref="AL337">IF(COLUMNS($AB$299:AL$299)&lt;=$Z337,INDEX($G:$G,_xlfn.AGGREGATE(15,3,($A$301:$A$738=$AA337)/($A$301:$A$738=$AA337)*ROW($A$301:$A$738),COLUMNS($AB$299:AL$299))),"")</f>
        <v/>
      </c>
      <c r="AM337" s="22" t="str" cm="1">
        <f t="array" ref="AM337">IF(COLUMNS($AB$299:AM$299)&lt;=$Z337,INDEX($G:$G,_xlfn.AGGREGATE(15,3,($A$301:$A$738=$AA337)/($A$301:$A$738=$AA337)*ROW($A$301:$A$738),COLUMNS($AB$299:AM$299))),"")</f>
        <v/>
      </c>
      <c r="AN337" s="22" t="str" cm="1">
        <f t="array" ref="AN337">IF(COLUMNS($AB$299:AN$299)&lt;=$Z337,INDEX($G:$G,_xlfn.AGGREGATE(15,3,($A$301:$A$738=$AA337)/($A$301:$A$738=$AA337)*ROW($A$301:$A$738),COLUMNS($AB$299:AN$299))),"")</f>
        <v/>
      </c>
      <c r="AO337" s="22" t="str" cm="1">
        <f t="array" ref="AO337">IF(COLUMNS($AB$298:AO$298)&lt;=$Z338,INDEX($G:$G,_xlfn.AGGREGATE(15,3,($A$301:$A$738=$AA338)/($A$301:$A$738=$AA338)*ROW($A$301:$A$738),COLUMNS($AB$298:AO$298))),"")</f>
        <v/>
      </c>
    </row>
    <row r="338" spans="1:41" s="22" customFormat="1" x14ac:dyDescent="0.3">
      <c r="A338" s="22" t="str">
        <f>CONCATENATE(B338,C338,Concrete_block_walls_minimum_insulation_R_Value_climate_zone_1108[[#This Row],[Column1]])</f>
        <v>1Concrete block walls&gt; 0.6 to ≤ 0.7</v>
      </c>
      <c r="B338" s="22">
        <v>1</v>
      </c>
      <c r="C338" s="22" t="s">
        <v>191</v>
      </c>
      <c r="D338" s="22" t="str">
        <f>CONCATENATE(B338,C338,Concrete_block_walls_minimum_insulation_R_Value_climate_zone_1108[[#This Row],[Column1]],Concrete_block_walls_minimum_insulation_R_Value_climate_zone_1108[[#This Row],[Column4]])</f>
        <v>1Concrete block walls&gt; 0.6 to ≤ 0.7&gt; 0 to ≤ 300</v>
      </c>
      <c r="E338" s="22" t="str">
        <f t="shared" si="3"/>
        <v>1Concrete block walls</v>
      </c>
      <c r="F338" s="32" t="s">
        <v>596</v>
      </c>
      <c r="G338" s="32" t="s">
        <v>521</v>
      </c>
      <c r="H338" s="32" t="s">
        <v>321</v>
      </c>
      <c r="I338" s="32" t="s">
        <v>321</v>
      </c>
      <c r="J338" s="32" t="s">
        <v>321</v>
      </c>
      <c r="K338" s="32" t="s">
        <v>321</v>
      </c>
      <c r="W338"/>
      <c r="Z338" s="22">
        <f t="shared" si="4"/>
        <v>5</v>
      </c>
      <c r="AA338" t="s">
        <v>598</v>
      </c>
      <c r="AB338" s="22" cm="1">
        <f t="array" ref="AB338">IF(COLUMNS($AB$299:AB$299)&lt;=$Z338,INDEX($G:$G,_xlfn.AGGREGATE(15,3,($A$301:$A$738=$AA338)/($A$301:$A$738=$AA338)*ROW($A$301:$A$738),COLUMNS($AB$299:AB$299))),"")</f>
        <v>0</v>
      </c>
      <c r="AC338" s="22" t="str" cm="1">
        <f t="array" ref="AC338">IF(COLUMNS($AB$299:AC$299)&lt;=$Z338,INDEX($G:$G,_xlfn.AGGREGATE(15,3,($A$301:$A$738=$AA338)/($A$301:$A$738=$AA338)*ROW($A$301:$A$738),COLUMNS($AB$299:AC$299))),"")</f>
        <v>&gt; 0 to ≤ 300</v>
      </c>
      <c r="AD338" s="22" t="str" cm="1">
        <f t="array" ref="AD338">IF(COLUMNS($AB$299:AD$299)&lt;=$Z338,INDEX($G:$G,_xlfn.AGGREGATE(15,3,($A$301:$A$738=$AA338)/($A$301:$A$738=$AA338)*ROW($A$301:$A$738),COLUMNS($AB$299:AD$299))),"")</f>
        <v>&gt; 300 to ≤ 450</v>
      </c>
      <c r="AE338" s="22" t="str" cm="1">
        <f t="array" ref="AE338">IF(COLUMNS($AB$299:AE$299)&lt;=$Z338,INDEX($G:$G,_xlfn.AGGREGATE(15,3,($A$301:$A$738=$AA338)/($A$301:$A$738=$AA338)*ROW($A$301:$A$738),COLUMNS($AB$299:AE$299))),"")</f>
        <v>&gt; 450 to ≤ 600</v>
      </c>
      <c r="AF338" s="22" t="str" cm="1">
        <f t="array" ref="AF338">IF(COLUMNS($AB$299:AF$299)&lt;=$Z338,INDEX($G:$G,_xlfn.AGGREGATE(15,3,($A$301:$A$738=$AA338)/($A$301:$A$738=$AA338)*ROW($A$301:$A$738),COLUMNS($AB$299:AF$299))),"")</f>
        <v>&gt; 600 to ≤ 900</v>
      </c>
      <c r="AG338" s="22" t="str" cm="1">
        <f t="array" ref="AG338">IF(COLUMNS($AB$299:AG$299)&lt;=$Z338,INDEX($G:$G,_xlfn.AGGREGATE(15,3,($A$301:$A$738=$AA338)/($A$301:$A$738=$AA338)*ROW($A$301:$A$738),COLUMNS($AB$299:AG$299))),"")</f>
        <v/>
      </c>
      <c r="AH338" s="22" t="str" cm="1">
        <f t="array" ref="AH338">IF(COLUMNS($AB$299:AH$299)&lt;=$Z338,INDEX($G:$G,_xlfn.AGGREGATE(15,3,($A$301:$A$738=$AA338)/($A$301:$A$738=$AA338)*ROW($A$301:$A$738),COLUMNS($AB$299:AH$299))),"")</f>
        <v/>
      </c>
      <c r="AI338" s="22" t="str" cm="1">
        <f t="array" ref="AI338">IF(COLUMNS($AB$299:AI$299)&lt;=$Z338,INDEX($G:$G,_xlfn.AGGREGATE(15,3,($A$301:$A$738=$AA338)/($A$301:$A$738=$AA338)*ROW($A$301:$A$738),COLUMNS($AB$299:AI$299))),"")</f>
        <v/>
      </c>
      <c r="AJ338" s="22" t="str" cm="1">
        <f t="array" ref="AJ338">IF(COLUMNS($AB$299:AJ$299)&lt;=$Z338,INDEX($G:$G,_xlfn.AGGREGATE(15,3,($A$301:$A$738=$AA338)/($A$301:$A$738=$AA338)*ROW($A$301:$A$738),COLUMNS($AB$299:AJ$299))),"")</f>
        <v/>
      </c>
      <c r="AK338" s="22" t="str" cm="1">
        <f t="array" ref="AK338">IF(COLUMNS($AB$299:AK$299)&lt;=$Z338,INDEX($G:$G,_xlfn.AGGREGATE(15,3,($A$301:$A$738=$AA338)/($A$301:$A$738=$AA338)*ROW($A$301:$A$738),COLUMNS($AB$299:AK$299))),"")</f>
        <v/>
      </c>
      <c r="AL338" s="22" t="str" cm="1">
        <f t="array" ref="AL338">IF(COLUMNS($AB$299:AL$299)&lt;=$Z338,INDEX($G:$G,_xlfn.AGGREGATE(15,3,($A$301:$A$738=$AA338)/($A$301:$A$738=$AA338)*ROW($A$301:$A$738),COLUMNS($AB$299:AL$299))),"")</f>
        <v/>
      </c>
      <c r="AM338" s="22" t="str" cm="1">
        <f t="array" ref="AM338">IF(COLUMNS($AB$299:AM$299)&lt;=$Z338,INDEX($G:$G,_xlfn.AGGREGATE(15,3,($A$301:$A$738=$AA338)/($A$301:$A$738=$AA338)*ROW($A$301:$A$738),COLUMNS($AB$299:AM$299))),"")</f>
        <v/>
      </c>
      <c r="AN338" s="22" t="str" cm="1">
        <f t="array" ref="AN338">IF(COLUMNS($AB$299:AN$299)&lt;=$Z338,INDEX($G:$G,_xlfn.AGGREGATE(15,3,($A$301:$A$738=$AA338)/($A$301:$A$738=$AA338)*ROW($A$301:$A$738),COLUMNS($AB$299:AN$299))),"")</f>
        <v/>
      </c>
      <c r="AO338" s="22" t="str" cm="1">
        <f t="array" ref="AO338">IF(COLUMNS($AB$298:AO$298)&lt;=$Z339,INDEX($G:$G,_xlfn.AGGREGATE(15,3,($A$301:$A$738=$AA339)/($A$301:$A$738=$AA339)*ROW($A$301:$A$738),COLUMNS($AB$298:AO$298))),"")</f>
        <v/>
      </c>
    </row>
    <row r="339" spans="1:41" s="22" customFormat="1" x14ac:dyDescent="0.3">
      <c r="A339" s="22" t="str">
        <f>CONCATENATE(B339,C339,Concrete_block_walls_minimum_insulation_R_Value_climate_zone_1108[[#This Row],[Column1]])</f>
        <v>1Concrete block walls&gt; 0.6 to ≤ 0.7</v>
      </c>
      <c r="B339" s="22">
        <v>1</v>
      </c>
      <c r="C339" s="22" t="s">
        <v>191</v>
      </c>
      <c r="D339" s="22" t="str">
        <f>CONCATENATE(B339,C339,Concrete_block_walls_minimum_insulation_R_Value_climate_zone_1108[[#This Row],[Column1]],Concrete_block_walls_minimum_insulation_R_Value_climate_zone_1108[[#This Row],[Column4]])</f>
        <v>1Concrete block walls&gt; 0.6 to ≤ 0.7&gt; 300 to ≤ 450</v>
      </c>
      <c r="E339" s="22" t="str">
        <f t="shared" si="3"/>
        <v>1Concrete block walls</v>
      </c>
      <c r="F339" s="32" t="s">
        <v>596</v>
      </c>
      <c r="G339" s="32" t="s">
        <v>525</v>
      </c>
      <c r="H339" s="32" t="s">
        <v>321</v>
      </c>
      <c r="I339" s="32" t="s">
        <v>321</v>
      </c>
      <c r="J339" s="32" t="s">
        <v>321</v>
      </c>
      <c r="K339" s="32" t="s">
        <v>321</v>
      </c>
      <c r="W339"/>
      <c r="Z339" s="22">
        <f t="shared" si="4"/>
        <v>6</v>
      </c>
      <c r="AA339" t="s">
        <v>599</v>
      </c>
      <c r="AB339" s="22" cm="1">
        <f t="array" ref="AB339">IF(COLUMNS($AB$299:AB$299)&lt;=$Z339,INDEX($G:$G,_xlfn.AGGREGATE(15,3,($A$301:$A$738=$AA339)/($A$301:$A$738=$AA339)*ROW($A$301:$A$738),COLUMNS($AB$299:AB$299))),"")</f>
        <v>0</v>
      </c>
      <c r="AC339" s="22" t="str" cm="1">
        <f t="array" ref="AC339">IF(COLUMNS($AB$299:AC$299)&lt;=$Z339,INDEX($G:$G,_xlfn.AGGREGATE(15,3,($A$301:$A$738=$AA339)/($A$301:$A$738=$AA339)*ROW($A$301:$A$738),COLUMNS($AB$299:AC$299))),"")</f>
        <v>&gt; 0 to ≤ 300</v>
      </c>
      <c r="AD339" s="22" t="str" cm="1">
        <f t="array" ref="AD339">IF(COLUMNS($AB$299:AD$299)&lt;=$Z339,INDEX($G:$G,_xlfn.AGGREGATE(15,3,($A$301:$A$738=$AA339)/($A$301:$A$738=$AA339)*ROW($A$301:$A$738),COLUMNS($AB$299:AD$299))),"")</f>
        <v>&gt; 300 to ≤ 450</v>
      </c>
      <c r="AE339" s="22" t="str" cm="1">
        <f t="array" ref="AE339">IF(COLUMNS($AB$299:AE$299)&lt;=$Z339,INDEX($G:$G,_xlfn.AGGREGATE(15,3,($A$301:$A$738=$AA339)/($A$301:$A$738=$AA339)*ROW($A$301:$A$738),COLUMNS($AB$299:AE$299))),"")</f>
        <v>&gt; 450 to ≤ 600</v>
      </c>
      <c r="AF339" s="22" t="str" cm="1">
        <f t="array" ref="AF339">IF(COLUMNS($AB$299:AF$299)&lt;=$Z339,INDEX($G:$G,_xlfn.AGGREGATE(15,3,($A$301:$A$738=$AA339)/($A$301:$A$738=$AA339)*ROW($A$301:$A$738),COLUMNS($AB$299:AF$299))),"")</f>
        <v>&gt; 600 to ≤ 900</v>
      </c>
      <c r="AG339" s="22" t="str" cm="1">
        <f t="array" ref="AG339">IF(COLUMNS($AB$299:AG$299)&lt;=$Z339,INDEX($G:$G,_xlfn.AGGREGATE(15,3,($A$301:$A$738=$AA339)/($A$301:$A$738=$AA339)*ROW($A$301:$A$738),COLUMNS($AB$299:AG$299))),"")</f>
        <v>&gt; 900 to ≤ 1200</v>
      </c>
      <c r="AH339" s="22" t="str" cm="1">
        <f t="array" ref="AH339">IF(COLUMNS($AB$299:AH$299)&lt;=$Z339,INDEX($G:$G,_xlfn.AGGREGATE(15,3,($A$301:$A$738=$AA339)/($A$301:$A$738=$AA339)*ROW($A$301:$A$738),COLUMNS($AB$299:AH$299))),"")</f>
        <v/>
      </c>
      <c r="AI339" s="22" t="str" cm="1">
        <f t="array" ref="AI339">IF(COLUMNS($AB$299:AI$299)&lt;=$Z339,INDEX($G:$G,_xlfn.AGGREGATE(15,3,($A$301:$A$738=$AA339)/($A$301:$A$738=$AA339)*ROW($A$301:$A$738),COLUMNS($AB$299:AI$299))),"")</f>
        <v/>
      </c>
      <c r="AJ339" s="22" t="str" cm="1">
        <f t="array" ref="AJ339">IF(COLUMNS($AB$299:AJ$299)&lt;=$Z339,INDEX($G:$G,_xlfn.AGGREGATE(15,3,($A$301:$A$738=$AA339)/($A$301:$A$738=$AA339)*ROW($A$301:$A$738),COLUMNS($AB$299:AJ$299))),"")</f>
        <v/>
      </c>
      <c r="AK339" s="22" t="str" cm="1">
        <f t="array" ref="AK339">IF(COLUMNS($AB$299:AK$299)&lt;=$Z339,INDEX($G:$G,_xlfn.AGGREGATE(15,3,($A$301:$A$738=$AA339)/($A$301:$A$738=$AA339)*ROW($A$301:$A$738),COLUMNS($AB$299:AK$299))),"")</f>
        <v/>
      </c>
      <c r="AL339" s="22" t="str" cm="1">
        <f t="array" ref="AL339">IF(COLUMNS($AB$299:AL$299)&lt;=$Z339,INDEX($G:$G,_xlfn.AGGREGATE(15,3,($A$301:$A$738=$AA339)/($A$301:$A$738=$AA339)*ROW($A$301:$A$738),COLUMNS($AB$299:AL$299))),"")</f>
        <v/>
      </c>
      <c r="AM339" s="22" t="str" cm="1">
        <f t="array" ref="AM339">IF(COLUMNS($AB$299:AM$299)&lt;=$Z339,INDEX($G:$G,_xlfn.AGGREGATE(15,3,($A$301:$A$738=$AA339)/($A$301:$A$738=$AA339)*ROW($A$301:$A$738),COLUMNS($AB$299:AM$299))),"")</f>
        <v/>
      </c>
      <c r="AN339" s="22" t="str" cm="1">
        <f t="array" ref="AN339">IF(COLUMNS($AB$299:AN$299)&lt;=$Z339,INDEX($G:$G,_xlfn.AGGREGATE(15,3,($A$301:$A$738=$AA339)/($A$301:$A$738=$AA339)*ROW($A$301:$A$738),COLUMNS($AB$299:AN$299))),"")</f>
        <v/>
      </c>
      <c r="AO339" s="22" t="str" cm="1">
        <f t="array" ref="AO339">IF(COLUMNS($AB$298:AO$298)&lt;=$Z340,INDEX($G:$G,_xlfn.AGGREGATE(15,3,($A$301:$A$738=$AA340)/($A$301:$A$738=$AA340)*ROW($A$301:$A$738),COLUMNS($AB$298:AO$298))),"")</f>
        <v/>
      </c>
    </row>
    <row r="340" spans="1:41" s="22" customFormat="1" x14ac:dyDescent="0.3">
      <c r="A340" s="22" t="str">
        <f>CONCATENATE(B340,C340,Concrete_block_walls_minimum_insulation_R_Value_climate_zone_1108[[#This Row],[Column1]])</f>
        <v>1Concrete block walls&gt; 0.6 to ≤ 0.7</v>
      </c>
      <c r="B340" s="22">
        <v>1</v>
      </c>
      <c r="C340" s="22" t="s">
        <v>191</v>
      </c>
      <c r="D340" s="22" t="str">
        <f>CONCATENATE(B340,C340,Concrete_block_walls_minimum_insulation_R_Value_climate_zone_1108[[#This Row],[Column1]],Concrete_block_walls_minimum_insulation_R_Value_climate_zone_1108[[#This Row],[Column4]])</f>
        <v>1Concrete block walls&gt; 0.6 to ≤ 0.7&gt; 450 to ≤ 600</v>
      </c>
      <c r="E340" s="22" t="str">
        <f t="shared" si="3"/>
        <v>1Concrete block walls</v>
      </c>
      <c r="F340" s="32" t="s">
        <v>596</v>
      </c>
      <c r="G340" s="32" t="s">
        <v>528</v>
      </c>
      <c r="H340" s="32" t="s">
        <v>522</v>
      </c>
      <c r="I340" s="32">
        <v>2</v>
      </c>
      <c r="J340" s="32" t="s">
        <v>321</v>
      </c>
      <c r="K340" s="32" t="s">
        <v>321</v>
      </c>
      <c r="W340"/>
      <c r="Z340" s="22">
        <f t="shared" si="4"/>
        <v>6</v>
      </c>
      <c r="AA340" t="s">
        <v>600</v>
      </c>
      <c r="AB340" s="22" cm="1">
        <f t="array" ref="AB340">IF(COLUMNS($AB$299:AB$299)&lt;=$Z340,INDEX($G:$G,_xlfn.AGGREGATE(15,3,($A$301:$A$738=$AA340)/($A$301:$A$738=$AA340)*ROW($A$301:$A$738),COLUMNS($AB$299:AB$299))),"")</f>
        <v>0</v>
      </c>
      <c r="AC340" s="22" t="str" cm="1">
        <f t="array" ref="AC340">IF(COLUMNS($AB$299:AC$299)&lt;=$Z340,INDEX($G:$G,_xlfn.AGGREGATE(15,3,($A$301:$A$738=$AA340)/($A$301:$A$738=$AA340)*ROW($A$301:$A$738),COLUMNS($AB$299:AC$299))),"")</f>
        <v>&gt; 0 to ≤ 300</v>
      </c>
      <c r="AD340" s="22" t="str" cm="1">
        <f t="array" ref="AD340">IF(COLUMNS($AB$299:AD$299)&lt;=$Z340,INDEX($G:$G,_xlfn.AGGREGATE(15,3,($A$301:$A$738=$AA340)/($A$301:$A$738=$AA340)*ROW($A$301:$A$738),COLUMNS($AB$299:AD$299))),"")</f>
        <v>&gt; 300 to ≤ 450</v>
      </c>
      <c r="AE340" s="22" t="str" cm="1">
        <f t="array" ref="AE340">IF(COLUMNS($AB$299:AE$299)&lt;=$Z340,INDEX($G:$G,_xlfn.AGGREGATE(15,3,($A$301:$A$738=$AA340)/($A$301:$A$738=$AA340)*ROW($A$301:$A$738),COLUMNS($AB$299:AE$299))),"")</f>
        <v>&gt; 450 to ≤ 600</v>
      </c>
      <c r="AF340" s="22" t="str" cm="1">
        <f t="array" ref="AF340">IF(COLUMNS($AB$299:AF$299)&lt;=$Z340,INDEX($G:$G,_xlfn.AGGREGATE(15,3,($A$301:$A$738=$AA340)/($A$301:$A$738=$AA340)*ROW($A$301:$A$738),COLUMNS($AB$299:AF$299))),"")</f>
        <v>&gt; 600 to ≤ 900</v>
      </c>
      <c r="AG340" s="22" t="str" cm="1">
        <f t="array" ref="AG340">IF(COLUMNS($AB$299:AG$299)&lt;=$Z340,INDEX($G:$G,_xlfn.AGGREGATE(15,3,($A$301:$A$738=$AA340)/($A$301:$A$738=$AA340)*ROW($A$301:$A$738),COLUMNS($AB$299:AG$299))),"")</f>
        <v>&gt; 900 to ≤ 1200</v>
      </c>
      <c r="AH340" s="22" t="str" cm="1">
        <f t="array" ref="AH340">IF(COLUMNS($AB$299:AH$299)&lt;=$Z340,INDEX($G:$G,_xlfn.AGGREGATE(15,3,($A$301:$A$738=$AA340)/($A$301:$A$738=$AA340)*ROW($A$301:$A$738),COLUMNS($AB$299:AH$299))),"")</f>
        <v/>
      </c>
      <c r="AI340" s="22" t="str" cm="1">
        <f t="array" ref="AI340">IF(COLUMNS($AB$299:AI$299)&lt;=$Z340,INDEX($G:$G,_xlfn.AGGREGATE(15,3,($A$301:$A$738=$AA340)/($A$301:$A$738=$AA340)*ROW($A$301:$A$738),COLUMNS($AB$299:AI$299))),"")</f>
        <v/>
      </c>
      <c r="AJ340" s="22" t="str" cm="1">
        <f t="array" ref="AJ340">IF(COLUMNS($AB$299:AJ$299)&lt;=$Z340,INDEX($G:$G,_xlfn.AGGREGATE(15,3,($A$301:$A$738=$AA340)/($A$301:$A$738=$AA340)*ROW($A$301:$A$738),COLUMNS($AB$299:AJ$299))),"")</f>
        <v/>
      </c>
      <c r="AK340" s="22" t="str" cm="1">
        <f t="array" ref="AK340">IF(COLUMNS($AB$299:AK$299)&lt;=$Z340,INDEX($G:$G,_xlfn.AGGREGATE(15,3,($A$301:$A$738=$AA340)/($A$301:$A$738=$AA340)*ROW($A$301:$A$738),COLUMNS($AB$299:AK$299))),"")</f>
        <v/>
      </c>
      <c r="AL340" s="22" t="str" cm="1">
        <f t="array" ref="AL340">IF(COLUMNS($AB$299:AL$299)&lt;=$Z340,INDEX($G:$G,_xlfn.AGGREGATE(15,3,($A$301:$A$738=$AA340)/($A$301:$A$738=$AA340)*ROW($A$301:$A$738),COLUMNS($AB$299:AL$299))),"")</f>
        <v/>
      </c>
      <c r="AM340" s="22" t="str" cm="1">
        <f t="array" ref="AM340">IF(COLUMNS($AB$299:AM$299)&lt;=$Z340,INDEX($G:$G,_xlfn.AGGREGATE(15,3,($A$301:$A$738=$AA340)/($A$301:$A$738=$AA340)*ROW($A$301:$A$738),COLUMNS($AB$299:AM$299))),"")</f>
        <v/>
      </c>
      <c r="AN340" s="22" t="str" cm="1">
        <f t="array" ref="AN340">IF(COLUMNS($AB$299:AN$299)&lt;=$Z340,INDEX($G:$G,_xlfn.AGGREGATE(15,3,($A$301:$A$738=$AA340)/($A$301:$A$738=$AA340)*ROW($A$301:$A$738),COLUMNS($AB$299:AN$299))),"")</f>
        <v/>
      </c>
      <c r="AO340" s="22" t="str" cm="1">
        <f t="array" ref="AO340">IF(COLUMNS($AB$298:AO$298)&lt;=$Z341,INDEX($G:$G,_xlfn.AGGREGATE(15,3,($A$301:$A$738=$AA341)/($A$301:$A$738=$AA341)*ROW($A$301:$A$738),COLUMNS($AB$298:AO$298))),"")</f>
        <v/>
      </c>
    </row>
    <row r="341" spans="1:41" s="22" customFormat="1" x14ac:dyDescent="0.3">
      <c r="A341" s="22" t="str">
        <f>CONCATENATE(B341,C341,Concrete_block_walls_minimum_insulation_R_Value_climate_zone_1108[[#This Row],[Column1]])</f>
        <v>1Concrete block walls&gt; 0.6 to ≤ 0.7</v>
      </c>
      <c r="B341" s="22">
        <v>1</v>
      </c>
      <c r="C341" s="22" t="s">
        <v>191</v>
      </c>
      <c r="D341" s="22" t="str">
        <f>CONCATENATE(B341,C341,Concrete_block_walls_minimum_insulation_R_Value_climate_zone_1108[[#This Row],[Column1]],Concrete_block_walls_minimum_insulation_R_Value_climate_zone_1108[[#This Row],[Column4]])</f>
        <v>1Concrete block walls&gt; 0.6 to ≤ 0.7&gt; 600 to ≤ 900</v>
      </c>
      <c r="E341" s="22" t="str">
        <f t="shared" si="3"/>
        <v>1Concrete block walls</v>
      </c>
      <c r="F341" s="32" t="s">
        <v>596</v>
      </c>
      <c r="G341" s="32" t="s">
        <v>531</v>
      </c>
      <c r="H341" s="32" t="s">
        <v>522</v>
      </c>
      <c r="I341" s="32">
        <v>1</v>
      </c>
      <c r="J341" s="32">
        <v>2</v>
      </c>
      <c r="K341" s="32" t="s">
        <v>321</v>
      </c>
      <c r="W341"/>
      <c r="Z341" s="22">
        <f t="shared" si="4"/>
        <v>6</v>
      </c>
      <c r="AA341" t="s">
        <v>601</v>
      </c>
      <c r="AB341" s="22" cm="1">
        <f t="array" ref="AB341">IF(COLUMNS($AB$299:AB$299)&lt;=$Z341,INDEX($G:$G,_xlfn.AGGREGATE(15,3,($A$301:$A$738=$AA341)/($A$301:$A$738=$AA341)*ROW($A$301:$A$738),COLUMNS($AB$299:AB$299))),"")</f>
        <v>0</v>
      </c>
      <c r="AC341" s="22" t="str" cm="1">
        <f t="array" ref="AC341">IF(COLUMNS($AB$299:AC$299)&lt;=$Z341,INDEX($G:$G,_xlfn.AGGREGATE(15,3,($A$301:$A$738=$AA341)/($A$301:$A$738=$AA341)*ROW($A$301:$A$738),COLUMNS($AB$299:AC$299))),"")</f>
        <v>&gt; 0 to ≤ 300</v>
      </c>
      <c r="AD341" s="22" t="str" cm="1">
        <f t="array" ref="AD341">IF(COLUMNS($AB$299:AD$299)&lt;=$Z341,INDEX($G:$G,_xlfn.AGGREGATE(15,3,($A$301:$A$738=$AA341)/($A$301:$A$738=$AA341)*ROW($A$301:$A$738),COLUMNS($AB$299:AD$299))),"")</f>
        <v>&gt; 300 to ≤ 450</v>
      </c>
      <c r="AE341" s="22" t="str" cm="1">
        <f t="array" ref="AE341">IF(COLUMNS($AB$299:AE$299)&lt;=$Z341,INDEX($G:$G,_xlfn.AGGREGATE(15,3,($A$301:$A$738=$AA341)/($A$301:$A$738=$AA341)*ROW($A$301:$A$738),COLUMNS($AB$299:AE$299))),"")</f>
        <v>&gt; 450 to ≤ 600</v>
      </c>
      <c r="AF341" s="22" t="str" cm="1">
        <f t="array" ref="AF341">IF(COLUMNS($AB$299:AF$299)&lt;=$Z341,INDEX($G:$G,_xlfn.AGGREGATE(15,3,($A$301:$A$738=$AA341)/($A$301:$A$738=$AA341)*ROW($A$301:$A$738),COLUMNS($AB$299:AF$299))),"")</f>
        <v>&gt; 600 to ≤ 900</v>
      </c>
      <c r="AG341" s="22" t="str" cm="1">
        <f t="array" ref="AG341">IF(COLUMNS($AB$299:AG$299)&lt;=$Z341,INDEX($G:$G,_xlfn.AGGREGATE(15,3,($A$301:$A$738=$AA341)/($A$301:$A$738=$AA341)*ROW($A$301:$A$738),COLUMNS($AB$299:AG$299))),"")</f>
        <v>&gt; 900 to ≤ 1200</v>
      </c>
      <c r="AH341" s="22" t="str" cm="1">
        <f t="array" ref="AH341">IF(COLUMNS($AB$299:AH$299)&lt;=$Z341,INDEX($G:$G,_xlfn.AGGREGATE(15,3,($A$301:$A$738=$AA341)/($A$301:$A$738=$AA341)*ROW($A$301:$A$738),COLUMNS($AB$299:AH$299))),"")</f>
        <v/>
      </c>
      <c r="AI341" s="22" t="str" cm="1">
        <f t="array" ref="AI341">IF(COLUMNS($AB$299:AI$299)&lt;=$Z341,INDEX($G:$G,_xlfn.AGGREGATE(15,3,($A$301:$A$738=$AA341)/($A$301:$A$738=$AA341)*ROW($A$301:$A$738),COLUMNS($AB$299:AI$299))),"")</f>
        <v/>
      </c>
      <c r="AJ341" s="22" t="str" cm="1">
        <f t="array" ref="AJ341">IF(COLUMNS($AB$299:AJ$299)&lt;=$Z341,INDEX($G:$G,_xlfn.AGGREGATE(15,3,($A$301:$A$738=$AA341)/($A$301:$A$738=$AA341)*ROW($A$301:$A$738),COLUMNS($AB$299:AJ$299))),"")</f>
        <v/>
      </c>
      <c r="AK341" s="22" t="str" cm="1">
        <f t="array" ref="AK341">IF(COLUMNS($AB$299:AK$299)&lt;=$Z341,INDEX($G:$G,_xlfn.AGGREGATE(15,3,($A$301:$A$738=$AA341)/($A$301:$A$738=$AA341)*ROW($A$301:$A$738),COLUMNS($AB$299:AK$299))),"")</f>
        <v/>
      </c>
      <c r="AL341" s="22" t="str" cm="1">
        <f t="array" ref="AL341">IF(COLUMNS($AB$299:AL$299)&lt;=$Z341,INDEX($G:$G,_xlfn.AGGREGATE(15,3,($A$301:$A$738=$AA341)/($A$301:$A$738=$AA341)*ROW($A$301:$A$738),COLUMNS($AB$299:AL$299))),"")</f>
        <v/>
      </c>
      <c r="AM341" s="22" t="str" cm="1">
        <f t="array" ref="AM341">IF(COLUMNS($AB$299:AM$299)&lt;=$Z341,INDEX($G:$G,_xlfn.AGGREGATE(15,3,($A$301:$A$738=$AA341)/($A$301:$A$738=$AA341)*ROW($A$301:$A$738),COLUMNS($AB$299:AM$299))),"")</f>
        <v/>
      </c>
      <c r="AN341" s="22" t="str" cm="1">
        <f t="array" ref="AN341">IF(COLUMNS($AB$299:AN$299)&lt;=$Z341,INDEX($G:$G,_xlfn.AGGREGATE(15,3,($A$301:$A$738=$AA341)/($A$301:$A$738=$AA341)*ROW($A$301:$A$738),COLUMNS($AB$299:AN$299))),"")</f>
        <v/>
      </c>
      <c r="AO341" s="22" t="str" cm="1">
        <f t="array" ref="AO341">IF(COLUMNS($AB$298:AO$298)&lt;=$Z342,INDEX($G:$G,_xlfn.AGGREGATE(15,3,($A$301:$A$738=$AA342)/($A$301:$A$738=$AA342)*ROW($A$301:$A$738),COLUMNS($AB$298:AO$298))),"")</f>
        <v/>
      </c>
    </row>
    <row r="342" spans="1:41" s="22" customFormat="1" x14ac:dyDescent="0.3">
      <c r="A342" s="22" t="str">
        <f>CONCATENATE(B342,C342,Concrete_block_walls_minimum_insulation_R_Value_climate_zone_1108[[#This Row],[Column1]])</f>
        <v>1Concrete block walls&gt; 0.6 to ≤ 0.7</v>
      </c>
      <c r="B342" s="22">
        <v>1</v>
      </c>
      <c r="C342" s="22" t="s">
        <v>191</v>
      </c>
      <c r="D342" s="22" t="str">
        <f>CONCATENATE(B342,C342,Concrete_block_walls_minimum_insulation_R_Value_climate_zone_1108[[#This Row],[Column1]],Concrete_block_walls_minimum_insulation_R_Value_climate_zone_1108[[#This Row],[Column4]])</f>
        <v>1Concrete block walls&gt; 0.6 to ≤ 0.7&gt; 900 to ≤ 1200</v>
      </c>
      <c r="E342" s="22" t="str">
        <f t="shared" si="3"/>
        <v>1Concrete block walls</v>
      </c>
      <c r="F342" s="32" t="s">
        <v>596</v>
      </c>
      <c r="G342" s="32" t="s">
        <v>534</v>
      </c>
      <c r="H342" s="32" t="s">
        <v>522</v>
      </c>
      <c r="I342" s="32" t="s">
        <v>522</v>
      </c>
      <c r="J342" s="32">
        <v>1</v>
      </c>
      <c r="K342" s="32" t="s">
        <v>321</v>
      </c>
      <c r="W342"/>
      <c r="Z342" s="22">
        <f t="shared" si="4"/>
        <v>6</v>
      </c>
      <c r="AA342" t="s">
        <v>602</v>
      </c>
      <c r="AB342" s="22" cm="1">
        <f t="array" ref="AB342">IF(COLUMNS($AB$299:AB$299)&lt;=$Z342,INDEX($G:$G,_xlfn.AGGREGATE(15,3,($A$301:$A$738=$AA342)/($A$301:$A$738=$AA342)*ROW($A$301:$A$738),COLUMNS($AB$299:AB$299))),"")</f>
        <v>0</v>
      </c>
      <c r="AC342" s="22" t="str" cm="1">
        <f t="array" ref="AC342">IF(COLUMNS($AB$299:AC$299)&lt;=$Z342,INDEX($G:$G,_xlfn.AGGREGATE(15,3,($A$301:$A$738=$AA342)/($A$301:$A$738=$AA342)*ROW($A$301:$A$738),COLUMNS($AB$299:AC$299))),"")</f>
        <v>&gt; 0 to ≤ 300</v>
      </c>
      <c r="AD342" s="22" t="str" cm="1">
        <f t="array" ref="AD342">IF(COLUMNS($AB$299:AD$299)&lt;=$Z342,INDEX($G:$G,_xlfn.AGGREGATE(15,3,($A$301:$A$738=$AA342)/($A$301:$A$738=$AA342)*ROW($A$301:$A$738),COLUMNS($AB$299:AD$299))),"")</f>
        <v>&gt; 300 to ≤ 450</v>
      </c>
      <c r="AE342" s="22" t="str" cm="1">
        <f t="array" ref="AE342">IF(COLUMNS($AB$299:AE$299)&lt;=$Z342,INDEX($G:$G,_xlfn.AGGREGATE(15,3,($A$301:$A$738=$AA342)/($A$301:$A$738=$AA342)*ROW($A$301:$A$738),COLUMNS($AB$299:AE$299))),"")</f>
        <v>&gt; 450 to ≤ 600</v>
      </c>
      <c r="AF342" s="22" t="str" cm="1">
        <f t="array" ref="AF342">IF(COLUMNS($AB$299:AF$299)&lt;=$Z342,INDEX($G:$G,_xlfn.AGGREGATE(15,3,($A$301:$A$738=$AA342)/($A$301:$A$738=$AA342)*ROW($A$301:$A$738),COLUMNS($AB$299:AF$299))),"")</f>
        <v>&gt; 600 to ≤ 900</v>
      </c>
      <c r="AG342" s="22" t="str" cm="1">
        <f t="array" ref="AG342">IF(COLUMNS($AB$299:AG$299)&lt;=$Z342,INDEX($G:$G,_xlfn.AGGREGATE(15,3,($A$301:$A$738=$AA342)/($A$301:$A$738=$AA342)*ROW($A$301:$A$738),COLUMNS($AB$299:AG$299))),"")</f>
        <v>&gt; 900 to ≤ 1200</v>
      </c>
      <c r="AH342" s="22" t="str" cm="1">
        <f t="array" ref="AH342">IF(COLUMNS($AB$299:AH$299)&lt;=$Z342,INDEX($G:$G,_xlfn.AGGREGATE(15,3,($A$301:$A$738=$AA342)/($A$301:$A$738=$AA342)*ROW($A$301:$A$738),COLUMNS($AB$299:AH$299))),"")</f>
        <v/>
      </c>
      <c r="AI342" s="22" t="str" cm="1">
        <f t="array" ref="AI342">IF(COLUMNS($AB$299:AI$299)&lt;=$Z342,INDEX($G:$G,_xlfn.AGGREGATE(15,3,($A$301:$A$738=$AA342)/($A$301:$A$738=$AA342)*ROW($A$301:$A$738),COLUMNS($AB$299:AI$299))),"")</f>
        <v/>
      </c>
      <c r="AJ342" s="22" t="str" cm="1">
        <f t="array" ref="AJ342">IF(COLUMNS($AB$299:AJ$299)&lt;=$Z342,INDEX($G:$G,_xlfn.AGGREGATE(15,3,($A$301:$A$738=$AA342)/($A$301:$A$738=$AA342)*ROW($A$301:$A$738),COLUMNS($AB$299:AJ$299))),"")</f>
        <v/>
      </c>
      <c r="AK342" s="22" t="str" cm="1">
        <f t="array" ref="AK342">IF(COLUMNS($AB$299:AK$299)&lt;=$Z342,INDEX($G:$G,_xlfn.AGGREGATE(15,3,($A$301:$A$738=$AA342)/($A$301:$A$738=$AA342)*ROW($A$301:$A$738),COLUMNS($AB$299:AK$299))),"")</f>
        <v/>
      </c>
      <c r="AL342" s="22" t="str" cm="1">
        <f t="array" ref="AL342">IF(COLUMNS($AB$299:AL$299)&lt;=$Z342,INDEX($G:$G,_xlfn.AGGREGATE(15,3,($A$301:$A$738=$AA342)/($A$301:$A$738=$AA342)*ROW($A$301:$A$738),COLUMNS($AB$299:AL$299))),"")</f>
        <v/>
      </c>
      <c r="AM342" s="22" t="str" cm="1">
        <f t="array" ref="AM342">IF(COLUMNS($AB$299:AM$299)&lt;=$Z342,INDEX($G:$G,_xlfn.AGGREGATE(15,3,($A$301:$A$738=$AA342)/($A$301:$A$738=$AA342)*ROW($A$301:$A$738),COLUMNS($AB$299:AM$299))),"")</f>
        <v/>
      </c>
      <c r="AN342" s="22" t="str" cm="1">
        <f t="array" ref="AN342">IF(COLUMNS($AB$299:AN$299)&lt;=$Z342,INDEX($G:$G,_xlfn.AGGREGATE(15,3,($A$301:$A$738=$AA342)/($A$301:$A$738=$AA342)*ROW($A$301:$A$738),COLUMNS($AB$299:AN$299))),"")</f>
        <v/>
      </c>
      <c r="AO342" s="22" t="str" cm="1">
        <f t="array" ref="AO342">IF(COLUMNS($AB$298:AO$298)&lt;=$Z343,INDEX($G:$G,_xlfn.AGGREGATE(15,3,($A$301:$A$738=$AA343)/($A$301:$A$738=$AA343)*ROW($A$301:$A$738),COLUMNS($AB$298:AO$298))),"")</f>
        <v/>
      </c>
    </row>
    <row r="343" spans="1:41" s="22" customFormat="1" x14ac:dyDescent="0.3">
      <c r="A343" s="22" t="str">
        <f>CONCATENATE(B343,C343,Concrete_block_walls_minimum_insulation_R_Value_climate_zone_1108[[#This Row],[Column1]])</f>
        <v>1Concrete block walls&gt; 0.6 to ≤ 0.7</v>
      </c>
      <c r="B343" s="22">
        <v>1</v>
      </c>
      <c r="C343" s="22" t="s">
        <v>191</v>
      </c>
      <c r="D343" s="22" t="str">
        <f>CONCATENATE(B343,C343,Concrete_block_walls_minimum_insulation_R_Value_climate_zone_1108[[#This Row],[Column1]],Concrete_block_walls_minimum_insulation_R_Value_climate_zone_1108[[#This Row],[Column4]])</f>
        <v>1Concrete block walls&gt; 0.6 to ≤ 0.7&gt; 1200 to ≤ 1500</v>
      </c>
      <c r="E343" s="22" t="str">
        <f t="shared" si="3"/>
        <v>1Concrete block walls</v>
      </c>
      <c r="F343" s="32" t="s">
        <v>596</v>
      </c>
      <c r="G343" s="32" t="s">
        <v>536</v>
      </c>
      <c r="H343" s="32">
        <v>0</v>
      </c>
      <c r="I343" s="32" t="s">
        <v>522</v>
      </c>
      <c r="J343" s="32" t="s">
        <v>522</v>
      </c>
      <c r="K343" s="32">
        <v>2</v>
      </c>
      <c r="W343"/>
      <c r="Y343" s="32"/>
      <c r="Z343" s="22">
        <f t="shared" si="4"/>
        <v>6</v>
      </c>
      <c r="AA343" t="s">
        <v>603</v>
      </c>
      <c r="AB343" s="22" cm="1">
        <f t="array" ref="AB343">IF(COLUMNS($AB$299:AB$299)&lt;=$Z343,INDEX($G:$G,_xlfn.AGGREGATE(15,3,($A$301:$A$738=$AA343)/($A$301:$A$738=$AA343)*ROW($A$301:$A$738),COLUMNS($AB$299:AB$299))),"")</f>
        <v>0</v>
      </c>
      <c r="AC343" s="22" t="str" cm="1">
        <f t="array" ref="AC343">IF(COLUMNS($AB$299:AC$299)&lt;=$Z343,INDEX($G:$G,_xlfn.AGGREGATE(15,3,($A$301:$A$738=$AA343)/($A$301:$A$738=$AA343)*ROW($A$301:$A$738),COLUMNS($AB$299:AC$299))),"")</f>
        <v>&gt; 0 to ≤ 300</v>
      </c>
      <c r="AD343" s="22" t="str" cm="1">
        <f t="array" ref="AD343">IF(COLUMNS($AB$299:AD$299)&lt;=$Z343,INDEX($G:$G,_xlfn.AGGREGATE(15,3,($A$301:$A$738=$AA343)/($A$301:$A$738=$AA343)*ROW($A$301:$A$738),COLUMNS($AB$299:AD$299))),"")</f>
        <v>&gt; 300 to ≤ 450</v>
      </c>
      <c r="AE343" s="22" t="str" cm="1">
        <f t="array" ref="AE343">IF(COLUMNS($AB$299:AE$299)&lt;=$Z343,INDEX($G:$G,_xlfn.AGGREGATE(15,3,($A$301:$A$738=$AA343)/($A$301:$A$738=$AA343)*ROW($A$301:$A$738),COLUMNS($AB$299:AE$299))),"")</f>
        <v>&gt; 450 to ≤ 600</v>
      </c>
      <c r="AF343" s="22" t="str" cm="1">
        <f t="array" ref="AF343">IF(COLUMNS($AB$299:AF$299)&lt;=$Z343,INDEX($G:$G,_xlfn.AGGREGATE(15,3,($A$301:$A$738=$AA343)/($A$301:$A$738=$AA343)*ROW($A$301:$A$738),COLUMNS($AB$299:AF$299))),"")</f>
        <v>&gt; 600 to ≤ 900</v>
      </c>
      <c r="AG343" s="22" t="str" cm="1">
        <f t="array" ref="AG343">IF(COLUMNS($AB$299:AG$299)&lt;=$Z343,INDEX($G:$G,_xlfn.AGGREGATE(15,3,($A$301:$A$738=$AA343)/($A$301:$A$738=$AA343)*ROW($A$301:$A$738),COLUMNS($AB$299:AG$299))),"")</f>
        <v>&gt; 900 to ≤ 1200</v>
      </c>
      <c r="AH343" s="22" t="str" cm="1">
        <f t="array" ref="AH343">IF(COLUMNS($AB$299:AH$299)&lt;=$Z343,INDEX($G:$G,_xlfn.AGGREGATE(15,3,($A$301:$A$738=$AA343)/($A$301:$A$738=$AA343)*ROW($A$301:$A$738),COLUMNS($AB$299:AH$299))),"")</f>
        <v/>
      </c>
      <c r="AI343" s="22" t="str" cm="1">
        <f t="array" ref="AI343">IF(COLUMNS($AB$299:AI$299)&lt;=$Z343,INDEX($G:$G,_xlfn.AGGREGATE(15,3,($A$301:$A$738=$AA343)/($A$301:$A$738=$AA343)*ROW($A$301:$A$738),COLUMNS($AB$299:AI$299))),"")</f>
        <v/>
      </c>
      <c r="AJ343" s="22" t="str" cm="1">
        <f t="array" ref="AJ343">IF(COLUMNS($AB$299:AJ$299)&lt;=$Z343,INDEX($G:$G,_xlfn.AGGREGATE(15,3,($A$301:$A$738=$AA343)/($A$301:$A$738=$AA343)*ROW($A$301:$A$738),COLUMNS($AB$299:AJ$299))),"")</f>
        <v/>
      </c>
      <c r="AK343" s="22" t="str" cm="1">
        <f t="array" ref="AK343">IF(COLUMNS($AB$299:AK$299)&lt;=$Z343,INDEX($G:$G,_xlfn.AGGREGATE(15,3,($A$301:$A$738=$AA343)/($A$301:$A$738=$AA343)*ROW($A$301:$A$738),COLUMNS($AB$299:AK$299))),"")</f>
        <v/>
      </c>
      <c r="AL343" s="22" t="str" cm="1">
        <f t="array" ref="AL343">IF(COLUMNS($AB$299:AL$299)&lt;=$Z343,INDEX($G:$G,_xlfn.AGGREGATE(15,3,($A$301:$A$738=$AA343)/($A$301:$A$738=$AA343)*ROW($A$301:$A$738),COLUMNS($AB$299:AL$299))),"")</f>
        <v/>
      </c>
      <c r="AM343" s="22" t="str" cm="1">
        <f t="array" ref="AM343">IF(COLUMNS($AB$299:AM$299)&lt;=$Z343,INDEX($G:$G,_xlfn.AGGREGATE(15,3,($A$301:$A$738=$AA343)/($A$301:$A$738=$AA343)*ROW($A$301:$A$738),COLUMNS($AB$299:AM$299))),"")</f>
        <v/>
      </c>
      <c r="AN343" s="22" t="str" cm="1">
        <f t="array" ref="AN343">IF(COLUMNS($AB$299:AN$299)&lt;=$Z343,INDEX($G:$G,_xlfn.AGGREGATE(15,3,($A$301:$A$738=$AA343)/($A$301:$A$738=$AA343)*ROW($A$301:$A$738),COLUMNS($AB$299:AN$299))),"")</f>
        <v/>
      </c>
      <c r="AO343" s="22" t="str" cm="1">
        <f t="array" ref="AO343">IF(COLUMNS($AB$298:AO$298)&lt;=$Z344,INDEX($G:$G,_xlfn.AGGREGATE(15,3,($A$301:$A$738=$AA344)/($A$301:$A$738=$AA344)*ROW($A$301:$A$738),COLUMNS($AB$298:AO$298))),"")</f>
        <v/>
      </c>
    </row>
    <row r="344" spans="1:41" s="22" customFormat="1" x14ac:dyDescent="0.3">
      <c r="A344" s="22" t="str">
        <f>CONCATENATE(B344,C344,Concrete_block_walls_minimum_insulation_R_Value_climate_zone_1108[[#This Row],[Column1]])</f>
        <v>1Concrete block walls&gt; 0.6 to ≤ 0.7</v>
      </c>
      <c r="B344" s="22">
        <v>1</v>
      </c>
      <c r="C344" s="22" t="s">
        <v>191</v>
      </c>
      <c r="D344" s="22" t="str">
        <f>CONCATENATE(B344,C344,Concrete_block_walls_minimum_insulation_R_Value_climate_zone_1108[[#This Row],[Column1]],Concrete_block_walls_minimum_insulation_R_Value_climate_zone_1108[[#This Row],[Column4]])</f>
        <v>1Concrete block walls&gt; 0.6 to ≤ 0.7&gt; 1500 to ≤ 1800</v>
      </c>
      <c r="E344" s="22" t="str">
        <f t="shared" si="3"/>
        <v>1Concrete block walls</v>
      </c>
      <c r="F344" s="32" t="s">
        <v>596</v>
      </c>
      <c r="G344" s="32" t="s">
        <v>539</v>
      </c>
      <c r="H344" s="32">
        <v>0</v>
      </c>
      <c r="I344" s="32" t="s">
        <v>522</v>
      </c>
      <c r="J344" s="32" t="s">
        <v>522</v>
      </c>
      <c r="K344" s="32">
        <v>1</v>
      </c>
      <c r="W344"/>
      <c r="Y344" s="32"/>
      <c r="Z344" s="22">
        <f t="shared" si="4"/>
        <v>6</v>
      </c>
      <c r="AA344" t="s">
        <v>604</v>
      </c>
      <c r="AB344" s="22" cm="1">
        <f t="array" ref="AB344">IF(COLUMNS($AB$299:AB$299)&lt;=$Z344,INDEX($G:$G,_xlfn.AGGREGATE(15,3,($A$301:$A$738=$AA344)/($A$301:$A$738=$AA344)*ROW($A$301:$A$738),COLUMNS($AB$299:AB$299))),"")</f>
        <v>0</v>
      </c>
      <c r="AC344" s="22" t="str" cm="1">
        <f t="array" ref="AC344">IF(COLUMNS($AB$299:AC$299)&lt;=$Z344,INDEX($G:$G,_xlfn.AGGREGATE(15,3,($A$301:$A$738=$AA344)/($A$301:$A$738=$AA344)*ROW($A$301:$A$738),COLUMNS($AB$299:AC$299))),"")</f>
        <v>&gt; 0 to ≤ 300</v>
      </c>
      <c r="AD344" s="22" t="str" cm="1">
        <f t="array" ref="AD344">IF(COLUMNS($AB$299:AD$299)&lt;=$Z344,INDEX($G:$G,_xlfn.AGGREGATE(15,3,($A$301:$A$738=$AA344)/($A$301:$A$738=$AA344)*ROW($A$301:$A$738),COLUMNS($AB$299:AD$299))),"")</f>
        <v>&gt; 300 to ≤ 450</v>
      </c>
      <c r="AE344" s="22" t="str" cm="1">
        <f t="array" ref="AE344">IF(COLUMNS($AB$299:AE$299)&lt;=$Z344,INDEX($G:$G,_xlfn.AGGREGATE(15,3,($A$301:$A$738=$AA344)/($A$301:$A$738=$AA344)*ROW($A$301:$A$738),COLUMNS($AB$299:AE$299))),"")</f>
        <v>&gt; 450 to ≤ 600</v>
      </c>
      <c r="AF344" s="22" t="str" cm="1">
        <f t="array" ref="AF344">IF(COLUMNS($AB$299:AF$299)&lt;=$Z344,INDEX($G:$G,_xlfn.AGGREGATE(15,3,($A$301:$A$738=$AA344)/($A$301:$A$738=$AA344)*ROW($A$301:$A$738),COLUMNS($AB$299:AF$299))),"")</f>
        <v>&gt; 600 to ≤ 900</v>
      </c>
      <c r="AG344" s="22" t="str" cm="1">
        <f t="array" ref="AG344">IF(COLUMNS($AB$299:AG$299)&lt;=$Z344,INDEX($G:$G,_xlfn.AGGREGATE(15,3,($A$301:$A$738=$AA344)/($A$301:$A$738=$AA344)*ROW($A$301:$A$738),COLUMNS($AB$299:AG$299))),"")</f>
        <v>&gt; 900 to ≤ 1200</v>
      </c>
      <c r="AH344" s="22" t="str" cm="1">
        <f t="array" ref="AH344">IF(COLUMNS($AB$299:AH$299)&lt;=$Z344,INDEX($G:$G,_xlfn.AGGREGATE(15,3,($A$301:$A$738=$AA344)/($A$301:$A$738=$AA344)*ROW($A$301:$A$738),COLUMNS($AB$299:AH$299))),"")</f>
        <v/>
      </c>
      <c r="AI344" s="22" t="str" cm="1">
        <f t="array" ref="AI344">IF(COLUMNS($AB$299:AI$299)&lt;=$Z344,INDEX($G:$G,_xlfn.AGGREGATE(15,3,($A$301:$A$738=$AA344)/($A$301:$A$738=$AA344)*ROW($A$301:$A$738),COLUMNS($AB$299:AI$299))),"")</f>
        <v/>
      </c>
      <c r="AJ344" s="22" t="str" cm="1">
        <f t="array" ref="AJ344">IF(COLUMNS($AB$299:AJ$299)&lt;=$Z344,INDEX($G:$G,_xlfn.AGGREGATE(15,3,($A$301:$A$738=$AA344)/($A$301:$A$738=$AA344)*ROW($A$301:$A$738),COLUMNS($AB$299:AJ$299))),"")</f>
        <v/>
      </c>
      <c r="AK344" s="22" t="str" cm="1">
        <f t="array" ref="AK344">IF(COLUMNS($AB$299:AK$299)&lt;=$Z344,INDEX($G:$G,_xlfn.AGGREGATE(15,3,($A$301:$A$738=$AA344)/($A$301:$A$738=$AA344)*ROW($A$301:$A$738),COLUMNS($AB$299:AK$299))),"")</f>
        <v/>
      </c>
      <c r="AL344" s="22" t="str" cm="1">
        <f t="array" ref="AL344">IF(COLUMNS($AB$299:AL$299)&lt;=$Z344,INDEX($G:$G,_xlfn.AGGREGATE(15,3,($A$301:$A$738=$AA344)/($A$301:$A$738=$AA344)*ROW($A$301:$A$738),COLUMNS($AB$299:AL$299))),"")</f>
        <v/>
      </c>
      <c r="AM344" s="22" t="str" cm="1">
        <f t="array" ref="AM344">IF(COLUMNS($AB$299:AM$299)&lt;=$Z344,INDEX($G:$G,_xlfn.AGGREGATE(15,3,($A$301:$A$738=$AA344)/($A$301:$A$738=$AA344)*ROW($A$301:$A$738),COLUMNS($AB$299:AM$299))),"")</f>
        <v/>
      </c>
      <c r="AN344" s="22" t="str" cm="1">
        <f t="array" ref="AN344">IF(COLUMNS($AB$299:AN$299)&lt;=$Z344,INDEX($G:$G,_xlfn.AGGREGATE(15,3,($A$301:$A$738=$AA344)/($A$301:$A$738=$AA344)*ROW($A$301:$A$738),COLUMNS($AB$299:AN$299))),"")</f>
        <v/>
      </c>
      <c r="AO344" s="22" t="str" cm="1">
        <f t="array" ref="AO344">IF(COLUMNS($AB$298:AO$298)&lt;=$Z345,INDEX($G:$G,_xlfn.AGGREGATE(15,3,($A$301:$A$738=$AA345)/($A$301:$A$738=$AA345)*ROW($A$301:$A$738),COLUMNS($AB$298:AO$298))),"")</f>
        <v/>
      </c>
    </row>
    <row r="345" spans="1:41" s="22" customFormat="1" x14ac:dyDescent="0.3">
      <c r="A345" s="22" t="str">
        <f>CONCATENATE(B345,C345,Concrete_block_walls_minimum_insulation_R_Value_climate_zone_1108[[#This Row],[Column1]])</f>
        <v>1Concrete block walls&gt; 0.6 to ≤ 0.7</v>
      </c>
      <c r="B345" s="22">
        <v>1</v>
      </c>
      <c r="C345" s="22" t="s">
        <v>191</v>
      </c>
      <c r="D345" s="22" t="str">
        <f>CONCATENATE(B345,C345,Concrete_block_walls_minimum_insulation_R_Value_climate_zone_1108[[#This Row],[Column1]],Concrete_block_walls_minimum_insulation_R_Value_climate_zone_1108[[#This Row],[Column4]])</f>
        <v>1Concrete block walls&gt; 0.6 to ≤ 0.7&gt; 1800 to ≤ 2400</v>
      </c>
      <c r="E345" s="22" t="str">
        <f t="shared" si="3"/>
        <v>1Concrete block walls</v>
      </c>
      <c r="F345" s="32" t="s">
        <v>596</v>
      </c>
      <c r="G345" s="32" t="s">
        <v>542</v>
      </c>
      <c r="H345" s="32">
        <v>0</v>
      </c>
      <c r="I345" s="32">
        <v>0</v>
      </c>
      <c r="J345" s="32" t="s">
        <v>522</v>
      </c>
      <c r="K345" s="32" t="s">
        <v>522</v>
      </c>
      <c r="W345"/>
      <c r="Y345" s="32"/>
      <c r="Z345" s="22">
        <f t="shared" si="4"/>
        <v>6</v>
      </c>
      <c r="AA345" t="s">
        <v>605</v>
      </c>
      <c r="AB345" s="22" cm="1">
        <f t="array" ref="AB345">IF(COLUMNS($AB$299:AB$299)&lt;=$Z345,INDEX($G:$G,_xlfn.AGGREGATE(15,3,($A$301:$A$738=$AA345)/($A$301:$A$738=$AA345)*ROW($A$301:$A$738),COLUMNS($AB$299:AB$299))),"")</f>
        <v>0</v>
      </c>
      <c r="AC345" s="22" t="str" cm="1">
        <f t="array" ref="AC345">IF(COLUMNS($AB$299:AC$299)&lt;=$Z345,INDEX($G:$G,_xlfn.AGGREGATE(15,3,($A$301:$A$738=$AA345)/($A$301:$A$738=$AA345)*ROW($A$301:$A$738),COLUMNS($AB$299:AC$299))),"")</f>
        <v>&gt; 0 to ≤ 300</v>
      </c>
      <c r="AD345" s="22" t="str" cm="1">
        <f t="array" ref="AD345">IF(COLUMNS($AB$299:AD$299)&lt;=$Z345,INDEX($G:$G,_xlfn.AGGREGATE(15,3,($A$301:$A$738=$AA345)/($A$301:$A$738=$AA345)*ROW($A$301:$A$738),COLUMNS($AB$299:AD$299))),"")</f>
        <v>&gt; 300 to ≤ 450</v>
      </c>
      <c r="AE345" s="22" t="str" cm="1">
        <f t="array" ref="AE345">IF(COLUMNS($AB$299:AE$299)&lt;=$Z345,INDEX($G:$G,_xlfn.AGGREGATE(15,3,($A$301:$A$738=$AA345)/($A$301:$A$738=$AA345)*ROW($A$301:$A$738),COLUMNS($AB$299:AE$299))),"")</f>
        <v>&gt; 450 to ≤ 600</v>
      </c>
      <c r="AF345" s="22" t="str" cm="1">
        <f t="array" ref="AF345">IF(COLUMNS($AB$299:AF$299)&lt;=$Z345,INDEX($G:$G,_xlfn.AGGREGATE(15,3,($A$301:$A$738=$AA345)/($A$301:$A$738=$AA345)*ROW($A$301:$A$738),COLUMNS($AB$299:AF$299))),"")</f>
        <v>&gt; 600 to ≤ 900</v>
      </c>
      <c r="AG345" s="22" t="str" cm="1">
        <f t="array" ref="AG345">IF(COLUMNS($AB$299:AG$299)&lt;=$Z345,INDEX($G:$G,_xlfn.AGGREGATE(15,3,($A$301:$A$738=$AA345)/($A$301:$A$738=$AA345)*ROW($A$301:$A$738),COLUMNS($AB$299:AG$299))),"")</f>
        <v>&gt; 900 to ≤ 1200</v>
      </c>
      <c r="AH345" s="22" t="str" cm="1">
        <f t="array" ref="AH345">IF(COLUMNS($AB$299:AH$299)&lt;=$Z345,INDEX($G:$G,_xlfn.AGGREGATE(15,3,($A$301:$A$738=$AA345)/($A$301:$A$738=$AA345)*ROW($A$301:$A$738),COLUMNS($AB$299:AH$299))),"")</f>
        <v/>
      </c>
      <c r="AI345" s="22" t="str" cm="1">
        <f t="array" ref="AI345">IF(COLUMNS($AB$299:AI$299)&lt;=$Z345,INDEX($G:$G,_xlfn.AGGREGATE(15,3,($A$301:$A$738=$AA345)/($A$301:$A$738=$AA345)*ROW($A$301:$A$738),COLUMNS($AB$299:AI$299))),"")</f>
        <v/>
      </c>
      <c r="AJ345" s="22" t="str" cm="1">
        <f t="array" ref="AJ345">IF(COLUMNS($AB$299:AJ$299)&lt;=$Z345,INDEX($G:$G,_xlfn.AGGREGATE(15,3,($A$301:$A$738=$AA345)/($A$301:$A$738=$AA345)*ROW($A$301:$A$738),COLUMNS($AB$299:AJ$299))),"")</f>
        <v/>
      </c>
      <c r="AK345" s="22" t="str" cm="1">
        <f t="array" ref="AK345">IF(COLUMNS($AB$299:AK$299)&lt;=$Z345,INDEX($G:$G,_xlfn.AGGREGATE(15,3,($A$301:$A$738=$AA345)/($A$301:$A$738=$AA345)*ROW($A$301:$A$738),COLUMNS($AB$299:AK$299))),"")</f>
        <v/>
      </c>
      <c r="AL345" s="22" t="str" cm="1">
        <f t="array" ref="AL345">IF(COLUMNS($AB$299:AL$299)&lt;=$Z345,INDEX($G:$G,_xlfn.AGGREGATE(15,3,($A$301:$A$738=$AA345)/($A$301:$A$738=$AA345)*ROW($A$301:$A$738),COLUMNS($AB$299:AL$299))),"")</f>
        <v/>
      </c>
      <c r="AM345" s="22" t="str" cm="1">
        <f t="array" ref="AM345">IF(COLUMNS($AB$299:AM$299)&lt;=$Z345,INDEX($G:$G,_xlfn.AGGREGATE(15,3,($A$301:$A$738=$AA345)/($A$301:$A$738=$AA345)*ROW($A$301:$A$738),COLUMNS($AB$299:AM$299))),"")</f>
        <v/>
      </c>
      <c r="AN345" s="22" t="str" cm="1">
        <f t="array" ref="AN345">IF(COLUMNS($AB$299:AN$299)&lt;=$Z345,INDEX($G:$G,_xlfn.AGGREGATE(15,3,($A$301:$A$738=$AA345)/($A$301:$A$738=$AA345)*ROW($A$301:$A$738),COLUMNS($AB$299:AN$299))),"")</f>
        <v/>
      </c>
      <c r="AO345" s="22" t="str" cm="1">
        <f t="array" ref="AO345">IF(COLUMNS($AB$298:AO$298)&lt;=$Z346,INDEX($G:$G,_xlfn.AGGREGATE(15,3,($A$301:$A$738=$AA346)/($A$301:$A$738=$AA346)*ROW($A$301:$A$738),COLUMNS($AB$298:AO$298))),"")</f>
        <v/>
      </c>
    </row>
    <row r="346" spans="1:41" s="22" customFormat="1" ht="14.25" customHeight="1" x14ac:dyDescent="0.3">
      <c r="W346"/>
      <c r="Y346" s="32"/>
      <c r="Z346" s="22">
        <f t="shared" si="4"/>
        <v>6</v>
      </c>
      <c r="AA346" t="s">
        <v>606</v>
      </c>
      <c r="AB346" s="22" cm="1">
        <f t="array" ref="AB346">IF(COLUMNS($AB$299:AB$299)&lt;=$Z346,INDEX($G:$G,_xlfn.AGGREGATE(15,3,($A$301:$A$738=$AA346)/($A$301:$A$738=$AA346)*ROW($A$301:$A$738),COLUMNS($AB$299:AB$299))),"")</f>
        <v>0</v>
      </c>
      <c r="AC346" s="22" t="str" cm="1">
        <f t="array" ref="AC346">IF(COLUMNS($AB$299:AC$299)&lt;=$Z346,INDEX($G:$G,_xlfn.AGGREGATE(15,3,($A$301:$A$738=$AA346)/($A$301:$A$738=$AA346)*ROW($A$301:$A$738),COLUMNS($AB$299:AC$299))),"")</f>
        <v>&gt; 0 to ≤ 300</v>
      </c>
      <c r="AD346" s="22" t="str" cm="1">
        <f t="array" ref="AD346">IF(COLUMNS($AB$299:AD$299)&lt;=$Z346,INDEX($G:$G,_xlfn.AGGREGATE(15,3,($A$301:$A$738=$AA346)/($A$301:$A$738=$AA346)*ROW($A$301:$A$738),COLUMNS($AB$299:AD$299))),"")</f>
        <v>&gt; 300 to ≤ 450</v>
      </c>
      <c r="AE346" s="22" t="str" cm="1">
        <f t="array" ref="AE346">IF(COLUMNS($AB$299:AE$299)&lt;=$Z346,INDEX($G:$G,_xlfn.AGGREGATE(15,3,($A$301:$A$738=$AA346)/($A$301:$A$738=$AA346)*ROW($A$301:$A$738),COLUMNS($AB$299:AE$299))),"")</f>
        <v>&gt; 450 to ≤ 600</v>
      </c>
      <c r="AF346" s="22" t="str" cm="1">
        <f t="array" ref="AF346">IF(COLUMNS($AB$299:AF$299)&lt;=$Z346,INDEX($G:$G,_xlfn.AGGREGATE(15,3,($A$301:$A$738=$AA346)/($A$301:$A$738=$AA346)*ROW($A$301:$A$738),COLUMNS($AB$299:AF$299))),"")</f>
        <v>&gt; 600 to ≤ 900</v>
      </c>
      <c r="AG346" s="22" t="str" cm="1">
        <f t="array" ref="AG346">IF(COLUMNS($AB$299:AG$299)&lt;=$Z346,INDEX($G:$G,_xlfn.AGGREGATE(15,3,($A$301:$A$738=$AA346)/($A$301:$A$738=$AA346)*ROW($A$301:$A$738),COLUMNS($AB$299:AG$299))),"")</f>
        <v>&gt; 900 to ≤ 1200</v>
      </c>
      <c r="AH346" s="22" t="str" cm="1">
        <f t="array" ref="AH346">IF(COLUMNS($AB$299:AH$299)&lt;=$Z346,INDEX($G:$G,_xlfn.AGGREGATE(15,3,($A$301:$A$738=$AA346)/($A$301:$A$738=$AA346)*ROW($A$301:$A$738),COLUMNS($AB$299:AH$299))),"")</f>
        <v/>
      </c>
      <c r="AI346" s="22" t="str" cm="1">
        <f t="array" ref="AI346">IF(COLUMNS($AB$299:AI$299)&lt;=$Z346,INDEX($G:$G,_xlfn.AGGREGATE(15,3,($A$301:$A$738=$AA346)/($A$301:$A$738=$AA346)*ROW($A$301:$A$738),COLUMNS($AB$299:AI$299))),"")</f>
        <v/>
      </c>
      <c r="AJ346" s="22" t="str" cm="1">
        <f t="array" ref="AJ346">IF(COLUMNS($AB$299:AJ$299)&lt;=$Z346,INDEX($G:$G,_xlfn.AGGREGATE(15,3,($A$301:$A$738=$AA346)/($A$301:$A$738=$AA346)*ROW($A$301:$A$738),COLUMNS($AB$299:AJ$299))),"")</f>
        <v/>
      </c>
      <c r="AK346" s="22" t="str" cm="1">
        <f t="array" ref="AK346">IF(COLUMNS($AB$299:AK$299)&lt;=$Z346,INDEX($G:$G,_xlfn.AGGREGATE(15,3,($A$301:$A$738=$AA346)/($A$301:$A$738=$AA346)*ROW($A$301:$A$738),COLUMNS($AB$299:AK$299))),"")</f>
        <v/>
      </c>
      <c r="AL346" s="22" t="str" cm="1">
        <f t="array" ref="AL346">IF(COLUMNS($AB$299:AL$299)&lt;=$Z346,INDEX($G:$G,_xlfn.AGGREGATE(15,3,($A$301:$A$738=$AA346)/($A$301:$A$738=$AA346)*ROW($A$301:$A$738),COLUMNS($AB$299:AL$299))),"")</f>
        <v/>
      </c>
      <c r="AM346" s="22" t="str" cm="1">
        <f t="array" ref="AM346">IF(COLUMNS($AB$299:AM$299)&lt;=$Z346,INDEX($G:$G,_xlfn.AGGREGATE(15,3,($A$301:$A$738=$AA346)/($A$301:$A$738=$AA346)*ROW($A$301:$A$738),COLUMNS($AB$299:AM$299))),"")</f>
        <v/>
      </c>
      <c r="AN346" s="22" t="str" cm="1">
        <f t="array" ref="AN346">IF(COLUMNS($AB$299:AN$299)&lt;=$Z346,INDEX($G:$G,_xlfn.AGGREGATE(15,3,($A$301:$A$738=$AA346)/($A$301:$A$738=$AA346)*ROW($A$301:$A$738),COLUMNS($AB$299:AN$299))),"")</f>
        <v/>
      </c>
      <c r="AO346" s="22" t="str" cm="1">
        <f t="array" ref="AO346">IF(COLUMNS($AB$298:AO$298)&lt;=$Z347,INDEX($G:$G,_xlfn.AGGREGATE(15,3,($A$301:$A$738=$AA347)/($A$301:$A$738=$AA347)*ROW($A$301:$A$738),COLUMNS($AB$298:AO$298))),"")</f>
        <v/>
      </c>
    </row>
    <row r="347" spans="1:41" s="22" customFormat="1" ht="14.25" customHeight="1" x14ac:dyDescent="0.3">
      <c r="F347" s="22" t="s">
        <v>607</v>
      </c>
      <c r="W347"/>
      <c r="Y347" s="32"/>
      <c r="Z347" s="22">
        <f t="shared" si="4"/>
        <v>1</v>
      </c>
      <c r="AA347" t="s">
        <v>608</v>
      </c>
      <c r="AB347" s="22" cm="1">
        <f t="array" ref="AB347">IF(COLUMNS($AB$299:AB$299)&lt;=$Z347,INDEX($G:$G,_xlfn.AGGREGATE(15,3,($A$301:$A$738=$AA347)/($A$301:$A$738=$AA347)*ROW($A$301:$A$738),COLUMNS($AB$299:AB$299))),"")</f>
        <v>0</v>
      </c>
      <c r="AC347" s="22" t="str" cm="1">
        <f t="array" ref="AC347">IF(COLUMNS($AB$299:AC$299)&lt;=$Z347,INDEX($G:$G,_xlfn.AGGREGATE(15,3,($A$301:$A$738=$AA347)/($A$301:$A$738=$AA347)*ROW($A$301:$A$738),COLUMNS($AB$299:AC$299))),"")</f>
        <v/>
      </c>
      <c r="AD347" s="22" t="str" cm="1">
        <f t="array" ref="AD347">IF(COLUMNS($AB$299:AD$299)&lt;=$Z347,INDEX($G:$G,_xlfn.AGGREGATE(15,3,($A$301:$A$738=$AA347)/($A$301:$A$738=$AA347)*ROW($A$301:$A$738),COLUMNS($AB$299:AD$299))),"")</f>
        <v/>
      </c>
      <c r="AE347" s="22" t="str" cm="1">
        <f t="array" ref="AE347">IF(COLUMNS($AB$299:AE$299)&lt;=$Z347,INDEX($G:$G,_xlfn.AGGREGATE(15,3,($A$301:$A$738=$AA347)/($A$301:$A$738=$AA347)*ROW($A$301:$A$738),COLUMNS($AB$299:AE$299))),"")</f>
        <v/>
      </c>
      <c r="AF347" s="22" t="str" cm="1">
        <f t="array" ref="AF347">IF(COLUMNS($AB$299:AF$299)&lt;=$Z347,INDEX($G:$G,_xlfn.AGGREGATE(15,3,($A$301:$A$738=$AA347)/($A$301:$A$738=$AA347)*ROW($A$301:$A$738),COLUMNS($AB$299:AF$299))),"")</f>
        <v/>
      </c>
      <c r="AG347" s="22" t="str" cm="1">
        <f t="array" ref="AG347">IF(COLUMNS($AB$299:AG$299)&lt;=$Z347,INDEX($G:$G,_xlfn.AGGREGATE(15,3,($A$301:$A$738=$AA347)/($A$301:$A$738=$AA347)*ROW($A$301:$A$738),COLUMNS($AB$299:AG$299))),"")</f>
        <v/>
      </c>
      <c r="AH347" s="22" t="str" cm="1">
        <f t="array" ref="AH347">IF(COLUMNS($AB$299:AH$299)&lt;=$Z347,INDEX($G:$G,_xlfn.AGGREGATE(15,3,($A$301:$A$738=$AA347)/($A$301:$A$738=$AA347)*ROW($A$301:$A$738),COLUMNS($AB$299:AH$299))),"")</f>
        <v/>
      </c>
      <c r="AI347" s="22" t="str" cm="1">
        <f t="array" ref="AI347">IF(COLUMNS($AB$299:AI$299)&lt;=$Z347,INDEX($G:$G,_xlfn.AGGREGATE(15,3,($A$301:$A$738=$AA347)/($A$301:$A$738=$AA347)*ROW($A$301:$A$738),COLUMNS($AB$299:AI$299))),"")</f>
        <v/>
      </c>
      <c r="AJ347" s="22" t="str" cm="1">
        <f t="array" ref="AJ347">IF(COLUMNS($AB$299:AJ$299)&lt;=$Z347,INDEX($G:$G,_xlfn.AGGREGATE(15,3,($A$301:$A$738=$AA347)/($A$301:$A$738=$AA347)*ROW($A$301:$A$738),COLUMNS($AB$299:AJ$299))),"")</f>
        <v/>
      </c>
      <c r="AK347" s="22" t="str" cm="1">
        <f t="array" ref="AK347">IF(COLUMNS($AB$299:AK$299)&lt;=$Z347,INDEX($G:$G,_xlfn.AGGREGATE(15,3,($A$301:$A$738=$AA347)/($A$301:$A$738=$AA347)*ROW($A$301:$A$738),COLUMNS($AB$299:AK$299))),"")</f>
        <v/>
      </c>
      <c r="AL347" s="22" t="str" cm="1">
        <f t="array" ref="AL347">IF(COLUMNS($AB$299:AL$299)&lt;=$Z347,INDEX($G:$G,_xlfn.AGGREGATE(15,3,($A$301:$A$738=$AA347)/($A$301:$A$738=$AA347)*ROW($A$301:$A$738),COLUMNS($AB$299:AL$299))),"")</f>
        <v/>
      </c>
      <c r="AM347" s="22" t="str" cm="1">
        <f t="array" ref="AM347">IF(COLUMNS($AB$299:AM$299)&lt;=$Z347,INDEX($G:$G,_xlfn.AGGREGATE(15,3,($A$301:$A$738=$AA347)/($A$301:$A$738=$AA347)*ROW($A$301:$A$738),COLUMNS($AB$299:AM$299))),"")</f>
        <v/>
      </c>
      <c r="AN347" s="22" t="str" cm="1">
        <f t="array" ref="AN347">IF(COLUMNS($AB$299:AN$299)&lt;=$Z347,INDEX($G:$G,_xlfn.AGGREGATE(15,3,($A$301:$A$738=$AA347)/($A$301:$A$738=$AA347)*ROW($A$301:$A$738),COLUMNS($AB$299:AN$299))),"")</f>
        <v/>
      </c>
      <c r="AO347" s="22" t="str" cm="1">
        <f t="array" ref="AO347">IF(COLUMNS($AB$298:AO$298)&lt;=$Z348,INDEX($G:$G,_xlfn.AGGREGATE(15,3,($A$301:$A$738=$AA348)/($A$301:$A$738=$AA348)*ROW($A$301:$A$738),COLUMNS($AB$298:AO$298))),"")</f>
        <v/>
      </c>
    </row>
    <row r="348" spans="1:41" s="22" customFormat="1" ht="14.25" customHeight="1" x14ac:dyDescent="0.3">
      <c r="F348" s="22" t="s">
        <v>609</v>
      </c>
      <c r="W348"/>
      <c r="Y348" s="32"/>
      <c r="Z348" s="22">
        <f t="shared" si="4"/>
        <v>1</v>
      </c>
      <c r="AA348" t="s">
        <v>610</v>
      </c>
      <c r="AB348" s="22" cm="1">
        <f t="array" ref="AB348">IF(COLUMNS($AB$299:AB$299)&lt;=$Z348,INDEX($G:$G,_xlfn.AGGREGATE(15,3,($A$301:$A$738=$AA348)/($A$301:$A$738=$AA348)*ROW($A$301:$A$738),COLUMNS($AB$299:AB$299))),"")</f>
        <v>0</v>
      </c>
      <c r="AC348" s="22" t="str" cm="1">
        <f t="array" ref="AC348">IF(COLUMNS($AB$299:AC$299)&lt;=$Z348,INDEX($G:$G,_xlfn.AGGREGATE(15,3,($A$301:$A$738=$AA348)/($A$301:$A$738=$AA348)*ROW($A$301:$A$738),COLUMNS($AB$299:AC$299))),"")</f>
        <v/>
      </c>
      <c r="AD348" s="22" t="str" cm="1">
        <f t="array" ref="AD348">IF(COLUMNS($AB$299:AD$299)&lt;=$Z348,INDEX($G:$G,_xlfn.AGGREGATE(15,3,($A$301:$A$738=$AA348)/($A$301:$A$738=$AA348)*ROW($A$301:$A$738),COLUMNS($AB$299:AD$299))),"")</f>
        <v/>
      </c>
      <c r="AE348" s="22" t="str" cm="1">
        <f t="array" ref="AE348">IF(COLUMNS($AB$299:AE$299)&lt;=$Z348,INDEX($G:$G,_xlfn.AGGREGATE(15,3,($A$301:$A$738=$AA348)/($A$301:$A$738=$AA348)*ROW($A$301:$A$738),COLUMNS($AB$299:AE$299))),"")</f>
        <v/>
      </c>
      <c r="AF348" s="22" t="str" cm="1">
        <f t="array" ref="AF348">IF(COLUMNS($AB$299:AF$299)&lt;=$Z348,INDEX($G:$G,_xlfn.AGGREGATE(15,3,($A$301:$A$738=$AA348)/($A$301:$A$738=$AA348)*ROW($A$301:$A$738),COLUMNS($AB$299:AF$299))),"")</f>
        <v/>
      </c>
      <c r="AG348" s="22" t="str" cm="1">
        <f t="array" ref="AG348">IF(COLUMNS($AB$299:AG$299)&lt;=$Z348,INDEX($G:$G,_xlfn.AGGREGATE(15,3,($A$301:$A$738=$AA348)/($A$301:$A$738=$AA348)*ROW($A$301:$A$738),COLUMNS($AB$299:AG$299))),"")</f>
        <v/>
      </c>
      <c r="AH348" s="22" t="str" cm="1">
        <f t="array" ref="AH348">IF(COLUMNS($AB$299:AH$299)&lt;=$Z348,INDEX($G:$G,_xlfn.AGGREGATE(15,3,($A$301:$A$738=$AA348)/($A$301:$A$738=$AA348)*ROW($A$301:$A$738),COLUMNS($AB$299:AH$299))),"")</f>
        <v/>
      </c>
      <c r="AI348" s="22" t="str" cm="1">
        <f t="array" ref="AI348">IF(COLUMNS($AB$299:AI$299)&lt;=$Z348,INDEX($G:$G,_xlfn.AGGREGATE(15,3,($A$301:$A$738=$AA348)/($A$301:$A$738=$AA348)*ROW($A$301:$A$738),COLUMNS($AB$299:AI$299))),"")</f>
        <v/>
      </c>
      <c r="AJ348" s="22" t="str" cm="1">
        <f t="array" ref="AJ348">IF(COLUMNS($AB$299:AJ$299)&lt;=$Z348,INDEX($G:$G,_xlfn.AGGREGATE(15,3,($A$301:$A$738=$AA348)/($A$301:$A$738=$AA348)*ROW($A$301:$A$738),COLUMNS($AB$299:AJ$299))),"")</f>
        <v/>
      </c>
      <c r="AK348" s="22" t="str" cm="1">
        <f t="array" ref="AK348">IF(COLUMNS($AB$299:AK$299)&lt;=$Z348,INDEX($G:$G,_xlfn.AGGREGATE(15,3,($A$301:$A$738=$AA348)/($A$301:$A$738=$AA348)*ROW($A$301:$A$738),COLUMNS($AB$299:AK$299))),"")</f>
        <v/>
      </c>
      <c r="AL348" s="22" t="str" cm="1">
        <f t="array" ref="AL348">IF(COLUMNS($AB$299:AL$299)&lt;=$Z348,INDEX($G:$G,_xlfn.AGGREGATE(15,3,($A$301:$A$738=$AA348)/($A$301:$A$738=$AA348)*ROW($A$301:$A$738),COLUMNS($AB$299:AL$299))),"")</f>
        <v/>
      </c>
      <c r="AM348" s="22" t="str" cm="1">
        <f t="array" ref="AM348">IF(COLUMNS($AB$299:AM$299)&lt;=$Z348,INDEX($G:$G,_xlfn.AGGREGATE(15,3,($A$301:$A$738=$AA348)/($A$301:$A$738=$AA348)*ROW($A$301:$A$738),COLUMNS($AB$299:AM$299))),"")</f>
        <v/>
      </c>
      <c r="AN348" s="22" t="str" cm="1">
        <f t="array" ref="AN348">IF(COLUMNS($AB$299:AN$299)&lt;=$Z348,INDEX($G:$G,_xlfn.AGGREGATE(15,3,($A$301:$A$738=$AA348)/($A$301:$A$738=$AA348)*ROW($A$301:$A$738),COLUMNS($AB$299:AN$299))),"")</f>
        <v/>
      </c>
      <c r="AO348" s="22" t="str" cm="1">
        <f t="array" ref="AO348">IF(COLUMNS($AB$298:AO$298)&lt;=$Z349,INDEX($G:$G,_xlfn.AGGREGATE(15,3,($A$301:$A$738=$AA349)/($A$301:$A$738=$AA349)*ROW($A$301:$A$738),COLUMNS($AB$298:AO$298))),"")</f>
        <v/>
      </c>
    </row>
    <row r="349" spans="1:41" s="22" customFormat="1" ht="15" customHeight="1" x14ac:dyDescent="0.3">
      <c r="F349" s="742" t="s">
        <v>234</v>
      </c>
      <c r="G349" s="708" t="s">
        <v>140</v>
      </c>
      <c r="H349" s="708" t="s">
        <v>510</v>
      </c>
      <c r="I349" s="708"/>
      <c r="J349" s="708"/>
      <c r="K349" s="708"/>
      <c r="W349"/>
      <c r="Z349" s="22">
        <f t="shared" si="4"/>
        <v>2</v>
      </c>
      <c r="AA349" t="s">
        <v>611</v>
      </c>
      <c r="AB349" s="22" cm="1">
        <f t="array" ref="AB349">IF(COLUMNS($AB$299:AB$299)&lt;=$Z349,INDEX($G:$G,_xlfn.AGGREGATE(15,3,($A$301:$A$738=$AA349)/($A$301:$A$738=$AA349)*ROW($A$301:$A$738),COLUMNS($AB$299:AB$299))),"")</f>
        <v>0</v>
      </c>
      <c r="AC349" s="22" t="str" cm="1">
        <f t="array" ref="AC349">IF(COLUMNS($AB$299:AC$299)&lt;=$Z349,INDEX($G:$G,_xlfn.AGGREGATE(15,3,($A$301:$A$738=$AA349)/($A$301:$A$738=$AA349)*ROW($A$301:$A$738),COLUMNS($AB$299:AC$299))),"")</f>
        <v>&gt; 0 to ≤ 300</v>
      </c>
      <c r="AD349" s="22" t="str" cm="1">
        <f t="array" ref="AD349">IF(COLUMNS($AB$299:AD$299)&lt;=$Z349,INDEX($G:$G,_xlfn.AGGREGATE(15,3,($A$301:$A$738=$AA349)/($A$301:$A$738=$AA349)*ROW($A$301:$A$738),COLUMNS($AB$299:AD$299))),"")</f>
        <v/>
      </c>
      <c r="AE349" s="22" t="str" cm="1">
        <f t="array" ref="AE349">IF(COLUMNS($AB$299:AE$299)&lt;=$Z349,INDEX($G:$G,_xlfn.AGGREGATE(15,3,($A$301:$A$738=$AA349)/($A$301:$A$738=$AA349)*ROW($A$301:$A$738),COLUMNS($AB$299:AE$299))),"")</f>
        <v/>
      </c>
      <c r="AF349" s="22" t="str" cm="1">
        <f t="array" ref="AF349">IF(COLUMNS($AB$299:AF$299)&lt;=$Z349,INDEX($G:$G,_xlfn.AGGREGATE(15,3,($A$301:$A$738=$AA349)/($A$301:$A$738=$AA349)*ROW($A$301:$A$738),COLUMNS($AB$299:AF$299))),"")</f>
        <v/>
      </c>
      <c r="AG349" s="22" t="str" cm="1">
        <f t="array" ref="AG349">IF(COLUMNS($AB$299:AG$299)&lt;=$Z349,INDEX($G:$G,_xlfn.AGGREGATE(15,3,($A$301:$A$738=$AA349)/($A$301:$A$738=$AA349)*ROW($A$301:$A$738),COLUMNS($AB$299:AG$299))),"")</f>
        <v/>
      </c>
      <c r="AH349" s="22" t="str" cm="1">
        <f t="array" ref="AH349">IF(COLUMNS($AB$299:AH$299)&lt;=$Z349,INDEX($G:$G,_xlfn.AGGREGATE(15,3,($A$301:$A$738=$AA349)/($A$301:$A$738=$AA349)*ROW($A$301:$A$738),COLUMNS($AB$299:AH$299))),"")</f>
        <v/>
      </c>
      <c r="AI349" s="22" t="str" cm="1">
        <f t="array" ref="AI349">IF(COLUMNS($AB$299:AI$299)&lt;=$Z349,INDEX($G:$G,_xlfn.AGGREGATE(15,3,($A$301:$A$738=$AA349)/($A$301:$A$738=$AA349)*ROW($A$301:$A$738),COLUMNS($AB$299:AI$299))),"")</f>
        <v/>
      </c>
      <c r="AJ349" s="22" t="str" cm="1">
        <f t="array" ref="AJ349">IF(COLUMNS($AB$299:AJ$299)&lt;=$Z349,INDEX($G:$G,_xlfn.AGGREGATE(15,3,($A$301:$A$738=$AA349)/($A$301:$A$738=$AA349)*ROW($A$301:$A$738),COLUMNS($AB$299:AJ$299))),"")</f>
        <v/>
      </c>
      <c r="AK349" s="22" t="str" cm="1">
        <f t="array" ref="AK349">IF(COLUMNS($AB$299:AK$299)&lt;=$Z349,INDEX($G:$G,_xlfn.AGGREGATE(15,3,($A$301:$A$738=$AA349)/($A$301:$A$738=$AA349)*ROW($A$301:$A$738),COLUMNS($AB$299:AK$299))),"")</f>
        <v/>
      </c>
      <c r="AL349" s="22" t="str" cm="1">
        <f t="array" ref="AL349">IF(COLUMNS($AB$299:AL$299)&lt;=$Z349,INDEX($G:$G,_xlfn.AGGREGATE(15,3,($A$301:$A$738=$AA349)/($A$301:$A$738=$AA349)*ROW($A$301:$A$738),COLUMNS($AB$299:AL$299))),"")</f>
        <v/>
      </c>
      <c r="AM349" s="22" t="str" cm="1">
        <f t="array" ref="AM349">IF(COLUMNS($AB$299:AM$299)&lt;=$Z349,INDEX($G:$G,_xlfn.AGGREGATE(15,3,($A$301:$A$738=$AA349)/($A$301:$A$738=$AA349)*ROW($A$301:$A$738),COLUMNS($AB$299:AM$299))),"")</f>
        <v/>
      </c>
      <c r="AN349" s="22" t="str" cm="1">
        <f t="array" ref="AN349">IF(COLUMNS($AB$299:AN$299)&lt;=$Z349,INDEX($G:$G,_xlfn.AGGREGATE(15,3,($A$301:$A$738=$AA349)/($A$301:$A$738=$AA349)*ROW($A$301:$A$738),COLUMNS($AB$299:AN$299))),"")</f>
        <v/>
      </c>
      <c r="AO349" s="22" t="str" cm="1">
        <f t="array" ref="AO349">IF(COLUMNS($AB$298:AO$298)&lt;=$Z350,INDEX($G:$G,_xlfn.AGGREGATE(15,3,($A$301:$A$738=$AA350)/($A$301:$A$738=$AA350)*ROW($A$301:$A$738),COLUMNS($AB$298:AO$298))),"")</f>
        <v/>
      </c>
    </row>
    <row r="350" spans="1:41" s="22" customFormat="1" ht="15" customHeight="1" x14ac:dyDescent="0.3">
      <c r="A350" s="22" t="str">
        <f>E351</f>
        <v>1Lightweight walls</v>
      </c>
      <c r="F350" s="742"/>
      <c r="G350" s="708"/>
      <c r="H350" s="708" t="s">
        <v>512</v>
      </c>
      <c r="I350" s="708" t="s">
        <v>513</v>
      </c>
      <c r="J350" s="708" t="s">
        <v>514</v>
      </c>
      <c r="K350" s="708" t="s">
        <v>515</v>
      </c>
      <c r="W350"/>
      <c r="Z350" s="22">
        <f t="shared" si="4"/>
        <v>2</v>
      </c>
      <c r="AA350" t="s">
        <v>612</v>
      </c>
      <c r="AB350" s="22" cm="1">
        <f t="array" ref="AB350">IF(COLUMNS($AB$299:AB$299)&lt;=$Z350,INDEX($G:$G,_xlfn.AGGREGATE(15,3,($A$301:$A$738=$AA350)/($A$301:$A$738=$AA350)*ROW($A$301:$A$738),COLUMNS($AB$299:AB$299))),"")</f>
        <v>0</v>
      </c>
      <c r="AC350" s="22" t="str" cm="1">
        <f t="array" ref="AC350">IF(COLUMNS($AB$299:AC$299)&lt;=$Z350,INDEX($G:$G,_xlfn.AGGREGATE(15,3,($A$301:$A$738=$AA350)/($A$301:$A$738=$AA350)*ROW($A$301:$A$738),COLUMNS($AB$299:AC$299))),"")</f>
        <v>&gt; 0 to ≤ 300</v>
      </c>
      <c r="AD350" s="22" t="str" cm="1">
        <f t="array" ref="AD350">IF(COLUMNS($AB$299:AD$299)&lt;=$Z350,INDEX($G:$G,_xlfn.AGGREGATE(15,3,($A$301:$A$738=$AA350)/($A$301:$A$738=$AA350)*ROW($A$301:$A$738),COLUMNS($AB$299:AD$299))),"")</f>
        <v/>
      </c>
      <c r="AE350" s="22" t="str" cm="1">
        <f t="array" ref="AE350">IF(COLUMNS($AB$299:AE$299)&lt;=$Z350,INDEX($G:$G,_xlfn.AGGREGATE(15,3,($A$301:$A$738=$AA350)/($A$301:$A$738=$AA350)*ROW($A$301:$A$738),COLUMNS($AB$299:AE$299))),"")</f>
        <v/>
      </c>
      <c r="AF350" s="22" t="str" cm="1">
        <f t="array" ref="AF350">IF(COLUMNS($AB$299:AF$299)&lt;=$Z350,INDEX($G:$G,_xlfn.AGGREGATE(15,3,($A$301:$A$738=$AA350)/($A$301:$A$738=$AA350)*ROW($A$301:$A$738),COLUMNS($AB$299:AF$299))),"")</f>
        <v/>
      </c>
      <c r="AG350" s="22" t="str" cm="1">
        <f t="array" ref="AG350">IF(COLUMNS($AB$299:AG$299)&lt;=$Z350,INDEX($G:$G,_xlfn.AGGREGATE(15,3,($A$301:$A$738=$AA350)/($A$301:$A$738=$AA350)*ROW($A$301:$A$738),COLUMNS($AB$299:AG$299))),"")</f>
        <v/>
      </c>
      <c r="AH350" s="22" t="str" cm="1">
        <f t="array" ref="AH350">IF(COLUMNS($AB$299:AH$299)&lt;=$Z350,INDEX($G:$G,_xlfn.AGGREGATE(15,3,($A$301:$A$738=$AA350)/($A$301:$A$738=$AA350)*ROW($A$301:$A$738),COLUMNS($AB$299:AH$299))),"")</f>
        <v/>
      </c>
      <c r="AI350" s="22" t="str" cm="1">
        <f t="array" ref="AI350">IF(COLUMNS($AB$299:AI$299)&lt;=$Z350,INDEX($G:$G,_xlfn.AGGREGATE(15,3,($A$301:$A$738=$AA350)/($A$301:$A$738=$AA350)*ROW($A$301:$A$738),COLUMNS($AB$299:AI$299))),"")</f>
        <v/>
      </c>
      <c r="AJ350" s="22" t="str" cm="1">
        <f t="array" ref="AJ350">IF(COLUMNS($AB$299:AJ$299)&lt;=$Z350,INDEX($G:$G,_xlfn.AGGREGATE(15,3,($A$301:$A$738=$AA350)/($A$301:$A$738=$AA350)*ROW($A$301:$A$738),COLUMNS($AB$299:AJ$299))),"")</f>
        <v/>
      </c>
      <c r="AK350" s="22" t="str" cm="1">
        <f t="array" ref="AK350">IF(COLUMNS($AB$299:AK$299)&lt;=$Z350,INDEX($G:$G,_xlfn.AGGREGATE(15,3,($A$301:$A$738=$AA350)/($A$301:$A$738=$AA350)*ROW($A$301:$A$738),COLUMNS($AB$299:AK$299))),"")</f>
        <v/>
      </c>
      <c r="AL350" s="22" t="str" cm="1">
        <f t="array" ref="AL350">IF(COLUMNS($AB$299:AL$299)&lt;=$Z350,INDEX($G:$G,_xlfn.AGGREGATE(15,3,($A$301:$A$738=$AA350)/($A$301:$A$738=$AA350)*ROW($A$301:$A$738),COLUMNS($AB$299:AL$299))),"")</f>
        <v/>
      </c>
      <c r="AM350" s="22" t="str" cm="1">
        <f t="array" ref="AM350">IF(COLUMNS($AB$299:AM$299)&lt;=$Z350,INDEX($G:$G,_xlfn.AGGREGATE(15,3,($A$301:$A$738=$AA350)/($A$301:$A$738=$AA350)*ROW($A$301:$A$738),COLUMNS($AB$299:AM$299))),"")</f>
        <v/>
      </c>
      <c r="AN350" s="22" t="str" cm="1">
        <f t="array" ref="AN350">IF(COLUMNS($AB$299:AN$299)&lt;=$Z350,INDEX($G:$G,_xlfn.AGGREGATE(15,3,($A$301:$A$738=$AA350)/($A$301:$A$738=$AA350)*ROW($A$301:$A$738),COLUMNS($AB$299:AN$299))),"")</f>
        <v/>
      </c>
      <c r="AO350" s="22" t="str" cm="1">
        <f t="array" ref="AO350">IF(COLUMNS($AB$298:AO$298)&lt;=$Z351,INDEX($G:$G,_xlfn.AGGREGATE(15,3,($A$301:$A$738=$AA351)/($A$301:$A$738=$AA351)*ROW($A$301:$A$738),COLUMNS($AB$298:AO$298))),"")</f>
        <v/>
      </c>
    </row>
    <row r="351" spans="1:41" s="22" customFormat="1" ht="14.25" customHeight="1" x14ac:dyDescent="0.3">
      <c r="A351" s="22" t="str">
        <f>CONCATENATE(B351,C351,Lightweight_walls_minimum_insulation_R_Value_Climate_Zone_1109[[#This Row],[Column1]])</f>
        <v>1Lightweight walls≤ 0.3</v>
      </c>
      <c r="B351" s="22">
        <v>1</v>
      </c>
      <c r="C351" s="22" t="s">
        <v>218</v>
      </c>
      <c r="D351" s="22" t="str">
        <f>CONCATENATE(B351,C351,Lightweight_walls_minimum_insulation_R_Value_Climate_Zone_1109[[#This Row],[Column1]],Lightweight_walls_minimum_insulation_R_Value_Climate_Zone_1109[[#This Row],[Column4]])</f>
        <v>1Lightweight walls≤ 0.30</v>
      </c>
      <c r="E351" s="22" t="str">
        <f t="shared" si="3"/>
        <v>1Lightweight walls</v>
      </c>
      <c r="F351" s="32" t="s">
        <v>518</v>
      </c>
      <c r="G351" s="32">
        <v>0</v>
      </c>
      <c r="H351" s="32" t="s">
        <v>321</v>
      </c>
      <c r="I351" s="32" t="s">
        <v>321</v>
      </c>
      <c r="J351" s="32" t="s">
        <v>321</v>
      </c>
      <c r="K351" s="32" t="s">
        <v>321</v>
      </c>
      <c r="W351"/>
      <c r="Z351" s="22">
        <f t="shared" si="4"/>
        <v>6</v>
      </c>
      <c r="AA351" t="s">
        <v>613</v>
      </c>
      <c r="AB351" s="22" cm="1">
        <f t="array" ref="AB351">IF(COLUMNS($AB$299:AB$299)&lt;=$Z351,INDEX($G:$G,_xlfn.AGGREGATE(15,3,($A$301:$A$738=$AA351)/($A$301:$A$738=$AA351)*ROW($A$301:$A$738),COLUMNS($AB$299:AB$299))),"")</f>
        <v>0</v>
      </c>
      <c r="AC351" s="22" t="str" cm="1">
        <f t="array" ref="AC351">IF(COLUMNS($AB$299:AC$299)&lt;=$Z351,INDEX($G:$G,_xlfn.AGGREGATE(15,3,($A$301:$A$738=$AA351)/($A$301:$A$738=$AA351)*ROW($A$301:$A$738),COLUMNS($AB$299:AC$299))),"")</f>
        <v>&gt; 0 to ≤ 300</v>
      </c>
      <c r="AD351" s="22" t="str" cm="1">
        <f t="array" ref="AD351">IF(COLUMNS($AB$299:AD$299)&lt;=$Z351,INDEX($G:$G,_xlfn.AGGREGATE(15,3,($A$301:$A$738=$AA351)/($A$301:$A$738=$AA351)*ROW($A$301:$A$738),COLUMNS($AB$299:AD$299))),"")</f>
        <v>&gt; 300 to ≤ 450</v>
      </c>
      <c r="AE351" s="22" t="str" cm="1">
        <f t="array" ref="AE351">IF(COLUMNS($AB$299:AE$299)&lt;=$Z351,INDEX($G:$G,_xlfn.AGGREGATE(15,3,($A$301:$A$738=$AA351)/($A$301:$A$738=$AA351)*ROW($A$301:$A$738),COLUMNS($AB$299:AE$299))),"")</f>
        <v>&gt; 450 to ≤ 600</v>
      </c>
      <c r="AF351" s="22" t="str" cm="1">
        <f t="array" ref="AF351">IF(COLUMNS($AB$299:AF$299)&lt;=$Z351,INDEX($G:$G,_xlfn.AGGREGATE(15,3,($A$301:$A$738=$AA351)/($A$301:$A$738=$AA351)*ROW($A$301:$A$738),COLUMNS($AB$299:AF$299))),"")</f>
        <v>&gt; 600 to ≤ 900</v>
      </c>
      <c r="AG351" s="22" t="str" cm="1">
        <f t="array" ref="AG351">IF(COLUMNS($AB$299:AG$299)&lt;=$Z351,INDEX($G:$G,_xlfn.AGGREGATE(15,3,($A$301:$A$738=$AA351)/($A$301:$A$738=$AA351)*ROW($A$301:$A$738),COLUMNS($AB$299:AG$299))),"")</f>
        <v>&gt; 900 to ≤ 1200</v>
      </c>
      <c r="AH351" s="22" t="str" cm="1">
        <f t="array" ref="AH351">IF(COLUMNS($AB$299:AH$299)&lt;=$Z351,INDEX($G:$G,_xlfn.AGGREGATE(15,3,($A$301:$A$738=$AA351)/($A$301:$A$738=$AA351)*ROW($A$301:$A$738),COLUMNS($AB$299:AH$299))),"")</f>
        <v/>
      </c>
      <c r="AI351" s="22" t="str" cm="1">
        <f t="array" ref="AI351">IF(COLUMNS($AB$299:AI$299)&lt;=$Z351,INDEX($G:$G,_xlfn.AGGREGATE(15,3,($A$301:$A$738=$AA351)/($A$301:$A$738=$AA351)*ROW($A$301:$A$738),COLUMNS($AB$299:AI$299))),"")</f>
        <v/>
      </c>
      <c r="AJ351" s="22" t="str" cm="1">
        <f t="array" ref="AJ351">IF(COLUMNS($AB$299:AJ$299)&lt;=$Z351,INDEX($G:$G,_xlfn.AGGREGATE(15,3,($A$301:$A$738=$AA351)/($A$301:$A$738=$AA351)*ROW($A$301:$A$738),COLUMNS($AB$299:AJ$299))),"")</f>
        <v/>
      </c>
      <c r="AK351" s="22" t="str" cm="1">
        <f t="array" ref="AK351">IF(COLUMNS($AB$299:AK$299)&lt;=$Z351,INDEX($G:$G,_xlfn.AGGREGATE(15,3,($A$301:$A$738=$AA351)/($A$301:$A$738=$AA351)*ROW($A$301:$A$738),COLUMNS($AB$299:AK$299))),"")</f>
        <v/>
      </c>
      <c r="AL351" s="22" t="str" cm="1">
        <f t="array" ref="AL351">IF(COLUMNS($AB$299:AL$299)&lt;=$Z351,INDEX($G:$G,_xlfn.AGGREGATE(15,3,($A$301:$A$738=$AA351)/($A$301:$A$738=$AA351)*ROW($A$301:$A$738),COLUMNS($AB$299:AL$299))),"")</f>
        <v/>
      </c>
      <c r="AM351" s="22" t="str" cm="1">
        <f t="array" ref="AM351">IF(COLUMNS($AB$299:AM$299)&lt;=$Z351,INDEX($G:$G,_xlfn.AGGREGATE(15,3,($A$301:$A$738=$AA351)/($A$301:$A$738=$AA351)*ROW($A$301:$A$738),COLUMNS($AB$299:AM$299))),"")</f>
        <v/>
      </c>
      <c r="AN351" s="22" t="str" cm="1">
        <f t="array" ref="AN351">IF(COLUMNS($AB$299:AN$299)&lt;=$Z351,INDEX($G:$G,_xlfn.AGGREGATE(15,3,($A$301:$A$738=$AA351)/($A$301:$A$738=$AA351)*ROW($A$301:$A$738),COLUMNS($AB$299:AN$299))),"")</f>
        <v/>
      </c>
      <c r="AO351" s="22" t="str" cm="1">
        <f t="array" ref="AO351">IF(COLUMNS($AB$298:AO$298)&lt;=$Z352,INDEX($G:$G,_xlfn.AGGREGATE(15,3,($A$301:$A$738=$AA352)/($A$301:$A$738=$AA352)*ROW($A$301:$A$738),COLUMNS($AB$298:AO$298))),"")</f>
        <v/>
      </c>
    </row>
    <row r="352" spans="1:41" s="22" customFormat="1" ht="14.25" customHeight="1" x14ac:dyDescent="0.3">
      <c r="A352" s="22" t="str">
        <f>CONCATENATE(B352,C352,Lightweight_walls_minimum_insulation_R_Value_Climate_Zone_1109[[#This Row],[Column1]])</f>
        <v>1Lightweight walls≤ 0.3</v>
      </c>
      <c r="B352" s="22">
        <v>1</v>
      </c>
      <c r="C352" s="22" t="s">
        <v>218</v>
      </c>
      <c r="D352" s="22" t="str">
        <f>CONCATENATE(B352,C352,Lightweight_walls_minimum_insulation_R_Value_Climate_Zone_1109[[#This Row],[Column1]],Lightweight_walls_minimum_insulation_R_Value_Climate_Zone_1109[[#This Row],[Column4]])</f>
        <v>1Lightweight walls≤ 0.3&gt; 0 to ≤ 300</v>
      </c>
      <c r="E352" s="22" t="str">
        <f t="shared" si="3"/>
        <v>1Lightweight walls</v>
      </c>
      <c r="F352" s="32" t="s">
        <v>518</v>
      </c>
      <c r="G352" s="32" t="s">
        <v>521</v>
      </c>
      <c r="H352" s="32">
        <v>2.5</v>
      </c>
      <c r="I352" s="32" t="s">
        <v>321</v>
      </c>
      <c r="J352" s="32" t="s">
        <v>321</v>
      </c>
      <c r="K352" s="32" t="s">
        <v>321</v>
      </c>
      <c r="W352"/>
      <c r="Z352" s="22">
        <f t="shared" si="4"/>
        <v>6</v>
      </c>
      <c r="AA352" t="s">
        <v>614</v>
      </c>
      <c r="AB352" s="22" cm="1">
        <f t="array" ref="AB352">IF(COLUMNS($AB$299:AB$299)&lt;=$Z352,INDEX($G:$G,_xlfn.AGGREGATE(15,3,($A$301:$A$738=$AA352)/($A$301:$A$738=$AA352)*ROW($A$301:$A$738),COLUMNS($AB$299:AB$299))),"")</f>
        <v>0</v>
      </c>
      <c r="AC352" s="22" t="str" cm="1">
        <f t="array" ref="AC352">IF(COLUMNS($AB$299:AC$299)&lt;=$Z352,INDEX($G:$G,_xlfn.AGGREGATE(15,3,($A$301:$A$738=$AA352)/($A$301:$A$738=$AA352)*ROW($A$301:$A$738),COLUMNS($AB$299:AC$299))),"")</f>
        <v>&gt; 0 to ≤ 300</v>
      </c>
      <c r="AD352" s="22" t="str" cm="1">
        <f t="array" ref="AD352">IF(COLUMNS($AB$299:AD$299)&lt;=$Z352,INDEX($G:$G,_xlfn.AGGREGATE(15,3,($A$301:$A$738=$AA352)/($A$301:$A$738=$AA352)*ROW($A$301:$A$738),COLUMNS($AB$299:AD$299))),"")</f>
        <v>&gt; 300 to ≤ 450</v>
      </c>
      <c r="AE352" s="22" t="str" cm="1">
        <f t="array" ref="AE352">IF(COLUMNS($AB$299:AE$299)&lt;=$Z352,INDEX($G:$G,_xlfn.AGGREGATE(15,3,($A$301:$A$738=$AA352)/($A$301:$A$738=$AA352)*ROW($A$301:$A$738),COLUMNS($AB$299:AE$299))),"")</f>
        <v>&gt; 450 to ≤ 600</v>
      </c>
      <c r="AF352" s="22" t="str" cm="1">
        <f t="array" ref="AF352">IF(COLUMNS($AB$299:AF$299)&lt;=$Z352,INDEX($G:$G,_xlfn.AGGREGATE(15,3,($A$301:$A$738=$AA352)/($A$301:$A$738=$AA352)*ROW($A$301:$A$738),COLUMNS($AB$299:AF$299))),"")</f>
        <v>&gt; 600 to ≤ 900</v>
      </c>
      <c r="AG352" s="22" t="str" cm="1">
        <f t="array" ref="AG352">IF(COLUMNS($AB$299:AG$299)&lt;=$Z352,INDEX($G:$G,_xlfn.AGGREGATE(15,3,($A$301:$A$738=$AA352)/($A$301:$A$738=$AA352)*ROW($A$301:$A$738),COLUMNS($AB$299:AG$299))),"")</f>
        <v>&gt; 900 to ≤ 1200</v>
      </c>
      <c r="AH352" s="22" t="str" cm="1">
        <f t="array" ref="AH352">IF(COLUMNS($AB$299:AH$299)&lt;=$Z352,INDEX($G:$G,_xlfn.AGGREGATE(15,3,($A$301:$A$738=$AA352)/($A$301:$A$738=$AA352)*ROW($A$301:$A$738),COLUMNS($AB$299:AH$299))),"")</f>
        <v/>
      </c>
      <c r="AI352" s="22" t="str" cm="1">
        <f t="array" ref="AI352">IF(COLUMNS($AB$299:AI$299)&lt;=$Z352,INDEX($G:$G,_xlfn.AGGREGATE(15,3,($A$301:$A$738=$AA352)/($A$301:$A$738=$AA352)*ROW($A$301:$A$738),COLUMNS($AB$299:AI$299))),"")</f>
        <v/>
      </c>
      <c r="AJ352" s="22" t="str" cm="1">
        <f t="array" ref="AJ352">IF(COLUMNS($AB$299:AJ$299)&lt;=$Z352,INDEX($G:$G,_xlfn.AGGREGATE(15,3,($A$301:$A$738=$AA352)/($A$301:$A$738=$AA352)*ROW($A$301:$A$738),COLUMNS($AB$299:AJ$299))),"")</f>
        <v/>
      </c>
      <c r="AK352" s="22" t="str" cm="1">
        <f t="array" ref="AK352">IF(COLUMNS($AB$299:AK$299)&lt;=$Z352,INDEX($G:$G,_xlfn.AGGREGATE(15,3,($A$301:$A$738=$AA352)/($A$301:$A$738=$AA352)*ROW($A$301:$A$738),COLUMNS($AB$299:AK$299))),"")</f>
        <v/>
      </c>
      <c r="AL352" s="22" t="str" cm="1">
        <f t="array" ref="AL352">IF(COLUMNS($AB$299:AL$299)&lt;=$Z352,INDEX($G:$G,_xlfn.AGGREGATE(15,3,($A$301:$A$738=$AA352)/($A$301:$A$738=$AA352)*ROW($A$301:$A$738),COLUMNS($AB$299:AL$299))),"")</f>
        <v/>
      </c>
      <c r="AM352" s="22" t="str" cm="1">
        <f t="array" ref="AM352">IF(COLUMNS($AB$299:AM$299)&lt;=$Z352,INDEX($G:$G,_xlfn.AGGREGATE(15,3,($A$301:$A$738=$AA352)/($A$301:$A$738=$AA352)*ROW($A$301:$A$738),COLUMNS($AB$299:AM$299))),"")</f>
        <v/>
      </c>
      <c r="AN352" s="22" t="str" cm="1">
        <f t="array" ref="AN352">IF(COLUMNS($AB$299:AN$299)&lt;=$Z352,INDEX($G:$G,_xlfn.AGGREGATE(15,3,($A$301:$A$738=$AA352)/($A$301:$A$738=$AA352)*ROW($A$301:$A$738),COLUMNS($AB$299:AN$299))),"")</f>
        <v/>
      </c>
      <c r="AO352" s="22" t="str" cm="1">
        <f t="array" ref="AO352">IF(COLUMNS($AB$298:AO$298)&lt;=$Z353,INDEX($G:$G,_xlfn.AGGREGATE(15,3,($A$301:$A$738=$AA353)/($A$301:$A$738=$AA353)*ROW($A$301:$A$738),COLUMNS($AB$298:AO$298))),"")</f>
        <v/>
      </c>
    </row>
    <row r="353" spans="1:41" s="22" customFormat="1" ht="14.25" customHeight="1" x14ac:dyDescent="0.3">
      <c r="A353" s="22" t="str">
        <f>CONCATENATE(B353,C353,Lightweight_walls_minimum_insulation_R_Value_Climate_Zone_1109[[#This Row],[Column1]])</f>
        <v>1Lightweight walls≤ 0.3</v>
      </c>
      <c r="B353" s="22">
        <v>1</v>
      </c>
      <c r="C353" s="22" t="s">
        <v>218</v>
      </c>
      <c r="D353" s="22" t="str">
        <f>CONCATENATE(B353,C353,Lightweight_walls_minimum_insulation_R_Value_Climate_Zone_1109[[#This Row],[Column1]],Lightweight_walls_minimum_insulation_R_Value_Climate_Zone_1109[[#This Row],[Column4]])</f>
        <v>1Lightweight walls≤ 0.3&gt; 300 to ≤ 450</v>
      </c>
      <c r="E353" s="22" t="str">
        <f t="shared" si="3"/>
        <v>1Lightweight walls</v>
      </c>
      <c r="F353" s="32" t="s">
        <v>518</v>
      </c>
      <c r="G353" s="32" t="s">
        <v>525</v>
      </c>
      <c r="H353" s="32">
        <v>1</v>
      </c>
      <c r="I353" s="32" t="s">
        <v>321</v>
      </c>
      <c r="J353" s="32" t="s">
        <v>321</v>
      </c>
      <c r="K353" s="32" t="s">
        <v>321</v>
      </c>
      <c r="W353"/>
      <c r="Z353" s="22">
        <f t="shared" si="4"/>
        <v>6</v>
      </c>
      <c r="AA353" t="s">
        <v>615</v>
      </c>
      <c r="AB353" s="22" cm="1">
        <f t="array" ref="AB353">IF(COLUMNS($AB$299:AB$299)&lt;=$Z353,INDEX($G:$G,_xlfn.AGGREGATE(15,3,($A$301:$A$738=$AA353)/($A$301:$A$738=$AA353)*ROW($A$301:$A$738),COLUMNS($AB$299:AB$299))),"")</f>
        <v>0</v>
      </c>
      <c r="AC353" s="22" t="str" cm="1">
        <f t="array" ref="AC353">IF(COLUMNS($AB$299:AC$299)&lt;=$Z353,INDEX($G:$G,_xlfn.AGGREGATE(15,3,($A$301:$A$738=$AA353)/($A$301:$A$738=$AA353)*ROW($A$301:$A$738),COLUMNS($AB$299:AC$299))),"")</f>
        <v>&gt; 0 to ≤ 300</v>
      </c>
      <c r="AD353" s="22" t="str" cm="1">
        <f t="array" ref="AD353">IF(COLUMNS($AB$299:AD$299)&lt;=$Z353,INDEX($G:$G,_xlfn.AGGREGATE(15,3,($A$301:$A$738=$AA353)/($A$301:$A$738=$AA353)*ROW($A$301:$A$738),COLUMNS($AB$299:AD$299))),"")</f>
        <v>&gt; 300 to ≤ 450</v>
      </c>
      <c r="AE353" s="22" t="str" cm="1">
        <f t="array" ref="AE353">IF(COLUMNS($AB$299:AE$299)&lt;=$Z353,INDEX($G:$G,_xlfn.AGGREGATE(15,3,($A$301:$A$738=$AA353)/($A$301:$A$738=$AA353)*ROW($A$301:$A$738),COLUMNS($AB$299:AE$299))),"")</f>
        <v>&gt; 450 to ≤ 600</v>
      </c>
      <c r="AF353" s="22" t="str" cm="1">
        <f t="array" ref="AF353">IF(COLUMNS($AB$299:AF$299)&lt;=$Z353,INDEX($G:$G,_xlfn.AGGREGATE(15,3,($A$301:$A$738=$AA353)/($A$301:$A$738=$AA353)*ROW($A$301:$A$738),COLUMNS($AB$299:AF$299))),"")</f>
        <v>&gt; 600 to ≤ 900</v>
      </c>
      <c r="AG353" s="22" t="str" cm="1">
        <f t="array" ref="AG353">IF(COLUMNS($AB$299:AG$299)&lt;=$Z353,INDEX($G:$G,_xlfn.AGGREGATE(15,3,($A$301:$A$738=$AA353)/($A$301:$A$738=$AA353)*ROW($A$301:$A$738),COLUMNS($AB$299:AG$299))),"")</f>
        <v>&gt; 900 to ≤ 1200</v>
      </c>
      <c r="AH353" s="22" t="str" cm="1">
        <f t="array" ref="AH353">IF(COLUMNS($AB$299:AH$299)&lt;=$Z353,INDEX($G:$G,_xlfn.AGGREGATE(15,3,($A$301:$A$738=$AA353)/($A$301:$A$738=$AA353)*ROW($A$301:$A$738),COLUMNS($AB$299:AH$299))),"")</f>
        <v/>
      </c>
      <c r="AI353" s="22" t="str" cm="1">
        <f t="array" ref="AI353">IF(COLUMNS($AB$299:AI$299)&lt;=$Z353,INDEX($G:$G,_xlfn.AGGREGATE(15,3,($A$301:$A$738=$AA353)/($A$301:$A$738=$AA353)*ROW($A$301:$A$738),COLUMNS($AB$299:AI$299))),"")</f>
        <v/>
      </c>
      <c r="AJ353" s="22" t="str" cm="1">
        <f t="array" ref="AJ353">IF(COLUMNS($AB$299:AJ$299)&lt;=$Z353,INDEX($G:$G,_xlfn.AGGREGATE(15,3,($A$301:$A$738=$AA353)/($A$301:$A$738=$AA353)*ROW($A$301:$A$738),COLUMNS($AB$299:AJ$299))),"")</f>
        <v/>
      </c>
      <c r="AK353" s="22" t="str" cm="1">
        <f t="array" ref="AK353">IF(COLUMNS($AB$299:AK$299)&lt;=$Z353,INDEX($G:$G,_xlfn.AGGREGATE(15,3,($A$301:$A$738=$AA353)/($A$301:$A$738=$AA353)*ROW($A$301:$A$738),COLUMNS($AB$299:AK$299))),"")</f>
        <v/>
      </c>
      <c r="AL353" s="22" t="str" cm="1">
        <f t="array" ref="AL353">IF(COLUMNS($AB$299:AL$299)&lt;=$Z353,INDEX($G:$G,_xlfn.AGGREGATE(15,3,($A$301:$A$738=$AA353)/($A$301:$A$738=$AA353)*ROW($A$301:$A$738),COLUMNS($AB$299:AL$299))),"")</f>
        <v/>
      </c>
      <c r="AM353" s="22" t="str" cm="1">
        <f t="array" ref="AM353">IF(COLUMNS($AB$299:AM$299)&lt;=$Z353,INDEX($G:$G,_xlfn.AGGREGATE(15,3,($A$301:$A$738=$AA353)/($A$301:$A$738=$AA353)*ROW($A$301:$A$738),COLUMNS($AB$299:AM$299))),"")</f>
        <v/>
      </c>
      <c r="AN353" s="22" t="str" cm="1">
        <f t="array" ref="AN353">IF(COLUMNS($AB$299:AN$299)&lt;=$Z353,INDEX($G:$G,_xlfn.AGGREGATE(15,3,($A$301:$A$738=$AA353)/($A$301:$A$738=$AA353)*ROW($A$301:$A$738),COLUMNS($AB$299:AN$299))),"")</f>
        <v/>
      </c>
      <c r="AO353" s="22" t="str" cm="1">
        <f t="array" ref="AO353">IF(COLUMNS($AB$298:AO$298)&lt;=$Z354,INDEX($G:$G,_xlfn.AGGREGATE(15,3,($A$301:$A$738=$AA354)/($A$301:$A$738=$AA354)*ROW($A$301:$A$738),COLUMNS($AB$298:AO$298))),"")</f>
        <v/>
      </c>
    </row>
    <row r="354" spans="1:41" s="22" customFormat="1" ht="14.25" customHeight="1" x14ac:dyDescent="0.3">
      <c r="A354" s="22" t="str">
        <f>CONCATENATE(B354,C354,Lightweight_walls_minimum_insulation_R_Value_Climate_Zone_1109[[#This Row],[Column1]])</f>
        <v>1Lightweight walls≤ 0.3</v>
      </c>
      <c r="B354" s="22">
        <v>1</v>
      </c>
      <c r="C354" s="22" t="s">
        <v>218</v>
      </c>
      <c r="D354" s="22" t="str">
        <f>CONCATENATE(B354,C354,Lightweight_walls_minimum_insulation_R_Value_Climate_Zone_1109[[#This Row],[Column1]],Lightweight_walls_minimum_insulation_R_Value_Climate_Zone_1109[[#This Row],[Column4]])</f>
        <v>1Lightweight walls≤ 0.3&gt; 450 to ≤ 600</v>
      </c>
      <c r="E354" s="22" t="str">
        <f t="shared" si="3"/>
        <v>1Lightweight walls</v>
      </c>
      <c r="F354" s="32" t="s">
        <v>518</v>
      </c>
      <c r="G354" s="32" t="s">
        <v>528</v>
      </c>
      <c r="H354" s="32" t="s">
        <v>522</v>
      </c>
      <c r="I354" s="32">
        <v>2</v>
      </c>
      <c r="J354" s="32" t="s">
        <v>321</v>
      </c>
      <c r="K354" s="32" t="s">
        <v>321</v>
      </c>
      <c r="W354"/>
      <c r="Z354" s="22">
        <f t="shared" si="4"/>
        <v>6</v>
      </c>
      <c r="AA354" t="s">
        <v>616</v>
      </c>
      <c r="AB354" s="22" cm="1">
        <f t="array" ref="AB354">IF(COLUMNS($AB$299:AB$299)&lt;=$Z354,INDEX($G:$G,_xlfn.AGGREGATE(15,3,($A$301:$A$738=$AA354)/($A$301:$A$738=$AA354)*ROW($A$301:$A$738),COLUMNS($AB$299:AB$299))),"")</f>
        <v>0</v>
      </c>
      <c r="AC354" s="22" t="str" cm="1">
        <f t="array" ref="AC354">IF(COLUMNS($AB$299:AC$299)&lt;=$Z354,INDEX($G:$G,_xlfn.AGGREGATE(15,3,($A$301:$A$738=$AA354)/($A$301:$A$738=$AA354)*ROW($A$301:$A$738),COLUMNS($AB$299:AC$299))),"")</f>
        <v>&gt; 0 to ≤ 300</v>
      </c>
      <c r="AD354" s="22" t="str" cm="1">
        <f t="array" ref="AD354">IF(COLUMNS($AB$299:AD$299)&lt;=$Z354,INDEX($G:$G,_xlfn.AGGREGATE(15,3,($A$301:$A$738=$AA354)/($A$301:$A$738=$AA354)*ROW($A$301:$A$738),COLUMNS($AB$299:AD$299))),"")</f>
        <v>&gt; 300 to ≤ 450</v>
      </c>
      <c r="AE354" s="22" t="str" cm="1">
        <f t="array" ref="AE354">IF(COLUMNS($AB$299:AE$299)&lt;=$Z354,INDEX($G:$G,_xlfn.AGGREGATE(15,3,($A$301:$A$738=$AA354)/($A$301:$A$738=$AA354)*ROW($A$301:$A$738),COLUMNS($AB$299:AE$299))),"")</f>
        <v>&gt; 450 to ≤ 600</v>
      </c>
      <c r="AF354" s="22" t="str" cm="1">
        <f t="array" ref="AF354">IF(COLUMNS($AB$299:AF$299)&lt;=$Z354,INDEX($G:$G,_xlfn.AGGREGATE(15,3,($A$301:$A$738=$AA354)/($A$301:$A$738=$AA354)*ROW($A$301:$A$738),COLUMNS($AB$299:AF$299))),"")</f>
        <v>&gt; 600 to ≤ 900</v>
      </c>
      <c r="AG354" s="22" t="str" cm="1">
        <f t="array" ref="AG354">IF(COLUMNS($AB$299:AG$299)&lt;=$Z354,INDEX($G:$G,_xlfn.AGGREGATE(15,3,($A$301:$A$738=$AA354)/($A$301:$A$738=$AA354)*ROW($A$301:$A$738),COLUMNS($AB$299:AG$299))),"")</f>
        <v>&gt; 900 to ≤ 1200</v>
      </c>
      <c r="AH354" s="22" t="str" cm="1">
        <f t="array" ref="AH354">IF(COLUMNS($AB$299:AH$299)&lt;=$Z354,INDEX($G:$G,_xlfn.AGGREGATE(15,3,($A$301:$A$738=$AA354)/($A$301:$A$738=$AA354)*ROW($A$301:$A$738),COLUMNS($AB$299:AH$299))),"")</f>
        <v/>
      </c>
      <c r="AI354" s="22" t="str" cm="1">
        <f t="array" ref="AI354">IF(COLUMNS($AB$299:AI$299)&lt;=$Z354,INDEX($G:$G,_xlfn.AGGREGATE(15,3,($A$301:$A$738=$AA354)/($A$301:$A$738=$AA354)*ROW($A$301:$A$738),COLUMNS($AB$299:AI$299))),"")</f>
        <v/>
      </c>
      <c r="AJ354" s="22" t="str" cm="1">
        <f t="array" ref="AJ354">IF(COLUMNS($AB$299:AJ$299)&lt;=$Z354,INDEX($G:$G,_xlfn.AGGREGATE(15,3,($A$301:$A$738=$AA354)/($A$301:$A$738=$AA354)*ROW($A$301:$A$738),COLUMNS($AB$299:AJ$299))),"")</f>
        <v/>
      </c>
      <c r="AK354" s="22" t="str" cm="1">
        <f t="array" ref="AK354">IF(COLUMNS($AB$299:AK$299)&lt;=$Z354,INDEX($G:$G,_xlfn.AGGREGATE(15,3,($A$301:$A$738=$AA354)/($A$301:$A$738=$AA354)*ROW($A$301:$A$738),COLUMNS($AB$299:AK$299))),"")</f>
        <v/>
      </c>
      <c r="AL354" s="22" t="str" cm="1">
        <f t="array" ref="AL354">IF(COLUMNS($AB$299:AL$299)&lt;=$Z354,INDEX($G:$G,_xlfn.AGGREGATE(15,3,($A$301:$A$738=$AA354)/($A$301:$A$738=$AA354)*ROW($A$301:$A$738),COLUMNS($AB$299:AL$299))),"")</f>
        <v/>
      </c>
      <c r="AM354" s="22" t="str" cm="1">
        <f t="array" ref="AM354">IF(COLUMNS($AB$299:AM$299)&lt;=$Z354,INDEX($G:$G,_xlfn.AGGREGATE(15,3,($A$301:$A$738=$AA354)/($A$301:$A$738=$AA354)*ROW($A$301:$A$738),COLUMNS($AB$299:AM$299))),"")</f>
        <v/>
      </c>
      <c r="AN354" s="22" t="str" cm="1">
        <f t="array" ref="AN354">IF(COLUMNS($AB$299:AN$299)&lt;=$Z354,INDEX($G:$G,_xlfn.AGGREGATE(15,3,($A$301:$A$738=$AA354)/($A$301:$A$738=$AA354)*ROW($A$301:$A$738),COLUMNS($AB$299:AN$299))),"")</f>
        <v/>
      </c>
    </row>
    <row r="355" spans="1:41" s="22" customFormat="1" ht="14.25" customHeight="1" x14ac:dyDescent="0.3">
      <c r="A355" s="22" t="str">
        <f>CONCATENATE(B355,C355,Lightweight_walls_minimum_insulation_R_Value_Climate_Zone_1109[[#This Row],[Column1]])</f>
        <v>1Lightweight walls≤ 0.3</v>
      </c>
      <c r="B355" s="22">
        <v>1</v>
      </c>
      <c r="C355" s="22" t="s">
        <v>218</v>
      </c>
      <c r="D355" s="22" t="str">
        <f>CONCATENATE(B355,C355,Lightweight_walls_minimum_insulation_R_Value_Climate_Zone_1109[[#This Row],[Column1]],Lightweight_walls_minimum_insulation_R_Value_Climate_Zone_1109[[#This Row],[Column4]])</f>
        <v>1Lightweight walls≤ 0.3&gt; 600 to ≤ 900</v>
      </c>
      <c r="E355" s="22" t="str">
        <f t="shared" si="3"/>
        <v>1Lightweight walls</v>
      </c>
      <c r="F355" s="32" t="s">
        <v>518</v>
      </c>
      <c r="G355" s="32" t="s">
        <v>531</v>
      </c>
      <c r="H355" s="32" t="s">
        <v>522</v>
      </c>
      <c r="I355" s="32">
        <v>1</v>
      </c>
      <c r="J355" s="32">
        <v>2</v>
      </c>
      <c r="K355" s="32" t="s">
        <v>321</v>
      </c>
      <c r="W355"/>
    </row>
    <row r="356" spans="1:41" s="22" customFormat="1" ht="14.25" customHeight="1" x14ac:dyDescent="0.3">
      <c r="A356" s="22" t="str">
        <f>CONCATENATE(B356,C356,Lightweight_walls_minimum_insulation_R_Value_Climate_Zone_1109[[#This Row],[Column1]])</f>
        <v>1Lightweight walls≤ 0.3</v>
      </c>
      <c r="B356" s="22">
        <v>1</v>
      </c>
      <c r="C356" s="22" t="s">
        <v>218</v>
      </c>
      <c r="D356" s="22" t="str">
        <f>CONCATENATE(B356,C356,Lightweight_walls_minimum_insulation_R_Value_Climate_Zone_1109[[#This Row],[Column1]],Lightweight_walls_minimum_insulation_R_Value_Climate_Zone_1109[[#This Row],[Column4]])</f>
        <v>1Lightweight walls≤ 0.3&gt; 900 to ≤ 1200</v>
      </c>
      <c r="E356" s="22" t="str">
        <f t="shared" si="3"/>
        <v>1Lightweight walls</v>
      </c>
      <c r="F356" s="32" t="s">
        <v>518</v>
      </c>
      <c r="G356" s="32" t="s">
        <v>534</v>
      </c>
      <c r="H356" s="32" t="s">
        <v>522</v>
      </c>
      <c r="I356" s="32" t="s">
        <v>522</v>
      </c>
      <c r="J356" s="32">
        <v>1</v>
      </c>
      <c r="K356" s="32" t="s">
        <v>321</v>
      </c>
      <c r="W356"/>
    </row>
    <row r="357" spans="1:41" s="22" customFormat="1" ht="14.25" customHeight="1" x14ac:dyDescent="0.3">
      <c r="A357" s="22" t="str">
        <f>CONCATENATE(B357,C357,Lightweight_walls_minimum_insulation_R_Value_Climate_Zone_1109[[#This Row],[Column1]])</f>
        <v>1Lightweight walls≤ 0.3</v>
      </c>
      <c r="B357" s="22">
        <v>1</v>
      </c>
      <c r="C357" s="22" t="s">
        <v>218</v>
      </c>
      <c r="D357" s="22" t="str">
        <f>CONCATENATE(B357,C357,Lightweight_walls_minimum_insulation_R_Value_Climate_Zone_1109[[#This Row],[Column1]],Lightweight_walls_minimum_insulation_R_Value_Climate_Zone_1109[[#This Row],[Column4]])</f>
        <v>1Lightweight walls≤ 0.3&gt; 1200 to ≤ 1500</v>
      </c>
      <c r="E357" s="22" t="str">
        <f t="shared" si="3"/>
        <v>1Lightweight walls</v>
      </c>
      <c r="F357" s="32" t="s">
        <v>518</v>
      </c>
      <c r="G357" s="32" t="s">
        <v>536</v>
      </c>
      <c r="H357" s="32" t="s">
        <v>522</v>
      </c>
      <c r="I357" s="32" t="s">
        <v>522</v>
      </c>
      <c r="J357" s="32" t="s">
        <v>522</v>
      </c>
      <c r="K357" s="32">
        <v>2.5</v>
      </c>
      <c r="W357"/>
    </row>
    <row r="358" spans="1:41" s="22" customFormat="1" ht="14.25" customHeight="1" x14ac:dyDescent="0.3">
      <c r="A358" s="22" t="str">
        <f>CONCATENATE(B358,C358,Lightweight_walls_minimum_insulation_R_Value_Climate_Zone_1109[[#This Row],[Column1]])</f>
        <v>1Lightweight walls≤ 0.3</v>
      </c>
      <c r="B358" s="22">
        <v>1</v>
      </c>
      <c r="C358" s="22" t="s">
        <v>218</v>
      </c>
      <c r="D358" s="22" t="str">
        <f>CONCATENATE(B358,C358,Lightweight_walls_minimum_insulation_R_Value_Climate_Zone_1109[[#This Row],[Column1]],Lightweight_walls_minimum_insulation_R_Value_Climate_Zone_1109[[#This Row],[Column4]])</f>
        <v>1Lightweight walls≤ 0.3&gt; 1500 to ≤ 1800</v>
      </c>
      <c r="E358" s="22" t="str">
        <f t="shared" si="3"/>
        <v>1Lightweight walls</v>
      </c>
      <c r="F358" s="32" t="s">
        <v>518</v>
      </c>
      <c r="G358" s="32" t="s">
        <v>539</v>
      </c>
      <c r="H358" s="32">
        <v>0</v>
      </c>
      <c r="I358" s="32" t="s">
        <v>522</v>
      </c>
      <c r="J358" s="32" t="s">
        <v>522</v>
      </c>
      <c r="K358" s="32">
        <v>1.5</v>
      </c>
      <c r="W358"/>
      <c r="AA358" s="2" t="s">
        <v>234</v>
      </c>
    </row>
    <row r="359" spans="1:41" s="22" customFormat="1" ht="14.25" customHeight="1" x14ac:dyDescent="0.3">
      <c r="A359" s="22" t="str">
        <f>CONCATENATE(B359,C359,Lightweight_walls_minimum_insulation_R_Value_Climate_Zone_1109[[#This Row],[Column1]])</f>
        <v>1Lightweight walls≤ 0.3</v>
      </c>
      <c r="B359" s="22">
        <v>1</v>
      </c>
      <c r="C359" s="22" t="s">
        <v>218</v>
      </c>
      <c r="D359" s="22" t="str">
        <f>CONCATENATE(B359,C359,Lightweight_walls_minimum_insulation_R_Value_Climate_Zone_1109[[#This Row],[Column1]],Lightweight_walls_minimum_insulation_R_Value_Climate_Zone_1109[[#This Row],[Column4]])</f>
        <v>1Lightweight walls≤ 0.3&gt; 1800 to ≤ 2400</v>
      </c>
      <c r="E359" s="22" t="str">
        <f t="shared" si="3"/>
        <v>1Lightweight walls</v>
      </c>
      <c r="F359" s="32" t="s">
        <v>518</v>
      </c>
      <c r="G359" s="32" t="s">
        <v>542</v>
      </c>
      <c r="H359" s="32">
        <v>0</v>
      </c>
      <c r="I359" s="32">
        <v>0</v>
      </c>
      <c r="J359" s="32" t="s">
        <v>522</v>
      </c>
      <c r="K359" s="32">
        <v>1</v>
      </c>
      <c r="W359"/>
    </row>
    <row r="360" spans="1:41" s="22" customFormat="1" ht="16.5" customHeight="1" x14ac:dyDescent="0.3">
      <c r="A360" s="22" t="str">
        <f>CONCATENATE(B360,C360,Lightweight_walls_minimum_insulation_R_Value_Climate_Zone_1109[[#This Row],[Column1]])</f>
        <v>1Lightweight walls&gt; 0.3 to ≤ 0.4</v>
      </c>
      <c r="B360" s="22">
        <v>1</v>
      </c>
      <c r="C360" s="22" t="s">
        <v>218</v>
      </c>
      <c r="D360" s="22" t="str">
        <f>CONCATENATE(B360,C360,Lightweight_walls_minimum_insulation_R_Value_Climate_Zone_1109[[#This Row],[Column1]],Lightweight_walls_minimum_insulation_R_Value_Climate_Zone_1109[[#This Row],[Column4]])</f>
        <v>1Lightweight walls&gt; 0.3 to ≤ 0.40</v>
      </c>
      <c r="E360" s="22" t="str">
        <f t="shared" si="3"/>
        <v>1Lightweight walls</v>
      </c>
      <c r="F360" s="32" t="s">
        <v>545</v>
      </c>
      <c r="G360" s="32">
        <v>0</v>
      </c>
      <c r="H360" s="32" t="s">
        <v>321</v>
      </c>
      <c r="I360" s="32" t="s">
        <v>321</v>
      </c>
      <c r="J360" s="32" t="s">
        <v>321</v>
      </c>
      <c r="K360" s="32" t="s">
        <v>321</v>
      </c>
      <c r="W360"/>
      <c r="Z360" s="22" t="s">
        <v>498</v>
      </c>
      <c r="AA360" s="22" t="str">
        <f>'13.2 Building Fabric'!C65</f>
        <v>5</v>
      </c>
      <c r="AB360" s="22" t="e" cm="1">
        <f t="array" aca="1" ref="AB360" ca="1">OFFSET(D_Building_Fabric!$AB$365,MATCH('13.2 Building Fabric'!$C65,D_Building_Fabric!$AA$366:$AA$380,0),,,COUNTIF(OFFSET(D_Building_Fabric!$AB$365,MATCH('13.2 Building Fabric'!$C65,D_Building_Fabric!$AA$366:$AA$380,0),,1,20),"?*"))</f>
        <v>#N/A</v>
      </c>
    </row>
    <row r="361" spans="1:41" s="22" customFormat="1" ht="16.5" customHeight="1" x14ac:dyDescent="0.3">
      <c r="A361" s="22" t="str">
        <f>CONCATENATE(B361,C361,Lightweight_walls_minimum_insulation_R_Value_Climate_Zone_1109[[#This Row],[Column1]])</f>
        <v>1Lightweight walls&gt; 0.3 to ≤ 0.4</v>
      </c>
      <c r="B361" s="22">
        <v>1</v>
      </c>
      <c r="C361" s="22" t="s">
        <v>218</v>
      </c>
      <c r="D361" s="22" t="str">
        <f>CONCATENATE(B361,C361,Lightweight_walls_minimum_insulation_R_Value_Climate_Zone_1109[[#This Row],[Column1]],Lightweight_walls_minimum_insulation_R_Value_Climate_Zone_1109[[#This Row],[Column4]])</f>
        <v>1Lightweight walls&gt; 0.3 to ≤ 0.4&gt; 0 to ≤ 300</v>
      </c>
      <c r="E361" s="22" t="str">
        <f t="shared" si="3"/>
        <v>1Lightweight walls</v>
      </c>
      <c r="F361" s="32" t="s">
        <v>545</v>
      </c>
      <c r="G361" s="32" t="s">
        <v>521</v>
      </c>
      <c r="H361" s="32" t="s">
        <v>321</v>
      </c>
      <c r="I361" s="32" t="s">
        <v>321</v>
      </c>
      <c r="J361" s="32" t="s">
        <v>321</v>
      </c>
      <c r="K361" s="32" t="s">
        <v>321</v>
      </c>
      <c r="W361"/>
      <c r="Z361" s="22" t="s">
        <v>500</v>
      </c>
      <c r="AA361" s="22" t="str">
        <f>'13.2 Building Fabric'!C66</f>
        <v>5</v>
      </c>
      <c r="AB361" s="22" t="e" cm="1">
        <f t="array" aca="1" ref="AB361" ca="1">OFFSET(D_Building_Fabric!$AB$365,MATCH('13.2 Building Fabric'!$C66,D_Building_Fabric!$AA$366:$AA$380,0),,,COUNTIF(OFFSET(D_Building_Fabric!$AB$365,MATCH('13.2 Building Fabric'!$C66,D_Building_Fabric!$AA$366:$AA$380,0),,1,20),"?*"))</f>
        <v>#N/A</v>
      </c>
    </row>
    <row r="362" spans="1:41" s="22" customFormat="1" ht="16.5" customHeight="1" x14ac:dyDescent="0.3">
      <c r="A362" s="22" t="str">
        <f>CONCATENATE(B362,C362,Lightweight_walls_minimum_insulation_R_Value_Climate_Zone_1109[[#This Row],[Column1]])</f>
        <v>1Lightweight walls&gt; 0.3 to ≤ 0.4</v>
      </c>
      <c r="B362" s="22">
        <v>1</v>
      </c>
      <c r="C362" s="22" t="s">
        <v>218</v>
      </c>
      <c r="D362" s="22" t="str">
        <f>CONCATENATE(B362,C362,Lightweight_walls_minimum_insulation_R_Value_Climate_Zone_1109[[#This Row],[Column1]],Lightweight_walls_minimum_insulation_R_Value_Climate_Zone_1109[[#This Row],[Column4]])</f>
        <v>1Lightweight walls&gt; 0.3 to ≤ 0.4&gt; 300 to ≤ 450</v>
      </c>
      <c r="E362" s="22" t="str">
        <f t="shared" si="3"/>
        <v>1Lightweight walls</v>
      </c>
      <c r="F362" s="32" t="s">
        <v>545</v>
      </c>
      <c r="G362" s="32" t="s">
        <v>525</v>
      </c>
      <c r="H362" s="32">
        <v>1</v>
      </c>
      <c r="I362" s="32" t="s">
        <v>321</v>
      </c>
      <c r="J362" s="32" t="s">
        <v>321</v>
      </c>
      <c r="K362" s="32" t="s">
        <v>321</v>
      </c>
      <c r="Z362" s="22" t="s">
        <v>617</v>
      </c>
      <c r="AA362" s="22" t="str">
        <f>'13.2 Building Fabric'!C67</f>
        <v>5</v>
      </c>
      <c r="AB362" s="22" t="e" cm="1">
        <f t="array" aca="1" ref="AB362" ca="1">OFFSET(D_Building_Fabric!$AB$365,MATCH('13.2 Building Fabric'!$C67,D_Building_Fabric!$AA$366:$AA$380,0),,,COUNTIF(OFFSET(D_Building_Fabric!$AB$365,MATCH('13.2 Building Fabric'!$C67,D_Building_Fabric!$AA$366:$AA$380,0),,1,20),"?*"))</f>
        <v>#N/A</v>
      </c>
    </row>
    <row r="363" spans="1:41" s="22" customFormat="1" ht="16.5" customHeight="1" x14ac:dyDescent="0.3">
      <c r="A363" s="22" t="str">
        <f>CONCATENATE(B363,C363,Lightweight_walls_minimum_insulation_R_Value_Climate_Zone_1109[[#This Row],[Column1]])</f>
        <v>1Lightweight walls&gt; 0.3 to ≤ 0.4</v>
      </c>
      <c r="B363" s="22">
        <v>1</v>
      </c>
      <c r="C363" s="22" t="s">
        <v>218</v>
      </c>
      <c r="D363" s="22" t="str">
        <f>CONCATENATE(B363,C363,Lightweight_walls_minimum_insulation_R_Value_Climate_Zone_1109[[#This Row],[Column1]],Lightweight_walls_minimum_insulation_R_Value_Climate_Zone_1109[[#This Row],[Column4]])</f>
        <v>1Lightweight walls&gt; 0.3 to ≤ 0.4&gt; 450 to ≤ 600</v>
      </c>
      <c r="E363" s="22" t="str">
        <f t="shared" si="3"/>
        <v>1Lightweight walls</v>
      </c>
      <c r="F363" s="32" t="s">
        <v>545</v>
      </c>
      <c r="G363" s="32" t="s">
        <v>528</v>
      </c>
      <c r="H363" s="32" t="s">
        <v>522</v>
      </c>
      <c r="I363" s="32">
        <v>2</v>
      </c>
      <c r="J363" s="32" t="s">
        <v>321</v>
      </c>
      <c r="K363" s="32" t="s">
        <v>321</v>
      </c>
      <c r="Z363" s="22" t="s">
        <v>618</v>
      </c>
      <c r="AA363" s="22" t="str">
        <f>'13.2 Building Fabric'!C68</f>
        <v>5</v>
      </c>
      <c r="AB363" s="22" t="e" cm="1">
        <f t="array" aca="1" ref="AB363" ca="1">OFFSET(D_Building_Fabric!$AB$365,MATCH('13.2 Building Fabric'!$C68,D_Building_Fabric!$AA$366:$AA$380,0),,,COUNTIF(OFFSET(D_Building_Fabric!$AB$365,MATCH('13.2 Building Fabric'!$C68,D_Building_Fabric!$AA$366:$AA$380,0),,1,20),"?*"))</f>
        <v>#N/A</v>
      </c>
    </row>
    <row r="364" spans="1:41" s="22" customFormat="1" ht="16.5" customHeight="1" x14ac:dyDescent="0.3">
      <c r="A364" s="22" t="str">
        <f>CONCATENATE(B364,C364,Lightweight_walls_minimum_insulation_R_Value_Climate_Zone_1109[[#This Row],[Column1]])</f>
        <v>1Lightweight walls&gt; 0.3 to ≤ 0.4</v>
      </c>
      <c r="B364" s="22">
        <v>1</v>
      </c>
      <c r="C364" s="22" t="s">
        <v>218</v>
      </c>
      <c r="D364" s="22" t="str">
        <f>CONCATENATE(B364,C364,Lightweight_walls_minimum_insulation_R_Value_Climate_Zone_1109[[#This Row],[Column1]],Lightweight_walls_minimum_insulation_R_Value_Climate_Zone_1109[[#This Row],[Column4]])</f>
        <v>1Lightweight walls&gt; 0.3 to ≤ 0.4&gt; 600 to ≤ 900</v>
      </c>
      <c r="E364" s="22" t="str">
        <f t="shared" si="3"/>
        <v>1Lightweight walls</v>
      </c>
      <c r="F364" s="32" t="s">
        <v>545</v>
      </c>
      <c r="G364" s="32" t="s">
        <v>531</v>
      </c>
      <c r="H364" s="32" t="s">
        <v>522</v>
      </c>
      <c r="I364" s="32">
        <v>1</v>
      </c>
      <c r="J364" s="32">
        <v>2</v>
      </c>
      <c r="K364" s="32" t="s">
        <v>321</v>
      </c>
    </row>
    <row r="365" spans="1:41" s="22" customFormat="1" ht="16.5" customHeight="1" x14ac:dyDescent="0.3">
      <c r="A365" s="22" t="str">
        <f>CONCATENATE(B365,C365,Lightweight_walls_minimum_insulation_R_Value_Climate_Zone_1109[[#This Row],[Column1]])</f>
        <v>1Lightweight walls&gt; 0.3 to ≤ 0.4</v>
      </c>
      <c r="B365" s="22">
        <v>1</v>
      </c>
      <c r="C365" s="22" t="s">
        <v>218</v>
      </c>
      <c r="D365" s="22" t="str">
        <f>CONCATENATE(B365,C365,Lightweight_walls_minimum_insulation_R_Value_Climate_Zone_1109[[#This Row],[Column1]],Lightweight_walls_minimum_insulation_R_Value_Climate_Zone_1109[[#This Row],[Column4]])</f>
        <v>1Lightweight walls&gt; 0.3 to ≤ 0.4&gt; 900 to ≤ 1200</v>
      </c>
      <c r="E365" s="22" t="str">
        <f t="shared" si="3"/>
        <v>1Lightweight walls</v>
      </c>
      <c r="F365" s="32" t="s">
        <v>545</v>
      </c>
      <c r="G365" s="32" t="s">
        <v>534</v>
      </c>
      <c r="H365" s="32" t="s">
        <v>522</v>
      </c>
      <c r="I365" s="32" t="s">
        <v>522</v>
      </c>
      <c r="J365" s="32">
        <v>1</v>
      </c>
      <c r="K365" s="32" t="s">
        <v>321</v>
      </c>
      <c r="AB365" s="22">
        <v>1</v>
      </c>
      <c r="AC365" s="22">
        <v>2</v>
      </c>
      <c r="AD365" s="22">
        <v>3</v>
      </c>
      <c r="AE365" s="22">
        <v>4</v>
      </c>
    </row>
    <row r="366" spans="1:41" s="22" customFormat="1" ht="16.5" customHeight="1" x14ac:dyDescent="0.3">
      <c r="A366" s="22" t="str">
        <f>CONCATENATE(B366,C366,Lightweight_walls_minimum_insulation_R_Value_Climate_Zone_1109[[#This Row],[Column1]])</f>
        <v>1Lightweight walls&gt; 0.3 to ≤ 0.4</v>
      </c>
      <c r="B366" s="22">
        <v>1</v>
      </c>
      <c r="C366" s="22" t="s">
        <v>218</v>
      </c>
      <c r="D366" s="22" t="str">
        <f>CONCATENATE(B366,C366,Lightweight_walls_minimum_insulation_R_Value_Climate_Zone_1109[[#This Row],[Column1]],Lightweight_walls_minimum_insulation_R_Value_Climate_Zone_1109[[#This Row],[Column4]])</f>
        <v>1Lightweight walls&gt; 0.3 to ≤ 0.4&gt;1200 to ≤ 1500</v>
      </c>
      <c r="E366" s="22" t="str">
        <f t="shared" ref="E366:E424" si="5">CONCATENATE(B366,C366)</f>
        <v>1Lightweight walls</v>
      </c>
      <c r="F366" s="32" t="s">
        <v>545</v>
      </c>
      <c r="G366" s="32" t="s">
        <v>619</v>
      </c>
      <c r="H366" s="32" t="s">
        <v>522</v>
      </c>
      <c r="I366" s="32" t="s">
        <v>522</v>
      </c>
      <c r="J366" s="32" t="s">
        <v>522</v>
      </c>
      <c r="K366" s="32">
        <v>2.5</v>
      </c>
      <c r="AA366" t="s">
        <v>502</v>
      </c>
      <c r="AB366" s="22" t="str" cm="1">
        <f t="array" ref="AB366">INDEX(_xlfn.UNIQUE(_xlfn._xlws.FILTER($F$301:$F$738, $E$301:$E$738=$AA366)), COLUMNS($AB$365:AB$365))</f>
        <v>≤ 0.3</v>
      </c>
      <c r="AC366" s="22" t="str" cm="1">
        <f t="array" ref="AC366">INDEX(_xlfn.UNIQUE(_xlfn._xlws.FILTER($F$301:$F$738, $E$301:$E$738=$AA366)), COLUMNS($AB$365:AC$365))</f>
        <v>&gt; 0.3 to ≤ 0.4</v>
      </c>
      <c r="AD366" s="22" t="str" cm="1">
        <f t="array" ref="AD366">INDEX(_xlfn.UNIQUE(_xlfn._xlws.FILTER($F$301:$F$738, $E$301:$E$738=$AA366)), COLUMNS($AB$365:AD$365))</f>
        <v>&gt; 0.4 to ≤ 0.5</v>
      </c>
      <c r="AE366" s="22" t="str" cm="1">
        <f t="array" ref="AE366">INDEX(_xlfn.UNIQUE(_xlfn._xlws.FILTER($F$301:$F$738, $E$301:$E$738=$AA366)), COLUMNS($AB$365:AE$365))</f>
        <v>&gt; 0.5 to ≤ 0.6</v>
      </c>
      <c r="AF366" s="22" t="str" cm="1">
        <f t="array" ref="AF366">INDEX(_xlfn.UNIQUE(_xlfn._xlws.FILTER($F$301:$F$738, $E$301:$E$738=$AA366)), COLUMNS($AB$365:AF$365))</f>
        <v>&gt; 0.6 to ≤ 0.7</v>
      </c>
      <c r="AG366" s="22" t="e" cm="1">
        <f t="array" ref="AG366">INDEX(_xlfn.UNIQUE(_xlfn._xlws.FILTER($F$301:$F$738, $E$301:$E$738=$AA366)), COLUMNS($AB$365:AG$365))</f>
        <v>#REF!</v>
      </c>
      <c r="AH366" s="22" t="e" cm="1">
        <f t="array" ref="AH366">INDEX(_xlfn.UNIQUE(_xlfn._xlws.FILTER($F$301:$F$738, $E$301:$E$738=$AA366)), COLUMNS($AB$365:AH$365))</f>
        <v>#REF!</v>
      </c>
      <c r="AI366" s="22" t="e" cm="1">
        <f t="array" ref="AI366">INDEX(_xlfn.UNIQUE(_xlfn._xlws.FILTER($F$301:$F$738, $E$301:$E$738=$AA366)), COLUMNS($AB$365:AI$365))</f>
        <v>#REF!</v>
      </c>
    </row>
    <row r="367" spans="1:41" s="22" customFormat="1" ht="16.5" customHeight="1" x14ac:dyDescent="0.3">
      <c r="A367" s="22" t="str">
        <f>CONCATENATE(B367,C367,Lightweight_walls_minimum_insulation_R_Value_Climate_Zone_1109[[#This Row],[Column1]])</f>
        <v>1Lightweight walls&gt; 0.3 to ≤ 0.4</v>
      </c>
      <c r="B367" s="22">
        <v>1</v>
      </c>
      <c r="C367" s="22" t="s">
        <v>218</v>
      </c>
      <c r="D367" s="22" t="str">
        <f>CONCATENATE(B367,C367,Lightweight_walls_minimum_insulation_R_Value_Climate_Zone_1109[[#This Row],[Column1]],Lightweight_walls_minimum_insulation_R_Value_Climate_Zone_1109[[#This Row],[Column4]])</f>
        <v>1Lightweight walls&gt; 0.3 to ≤ 0.4&gt; 1500 to ≤ 1800</v>
      </c>
      <c r="E367" s="22" t="str">
        <f t="shared" si="5"/>
        <v>1Lightweight walls</v>
      </c>
      <c r="F367" s="32" t="s">
        <v>545</v>
      </c>
      <c r="G367" s="32" t="s">
        <v>539</v>
      </c>
      <c r="H367" s="32">
        <v>0</v>
      </c>
      <c r="I367" s="32" t="s">
        <v>522</v>
      </c>
      <c r="J367" s="32" t="s">
        <v>522</v>
      </c>
      <c r="K367" s="32">
        <v>1.5</v>
      </c>
      <c r="AA367" t="s">
        <v>504</v>
      </c>
      <c r="AB367" s="22" t="str" cm="1">
        <f t="array" ref="AB367">INDEX(_xlfn.UNIQUE(_xlfn._xlws.FILTER($F$301:$F$738, $E$301:$E$738=$AA367)), COLUMNS($AB$365:AB$365))</f>
        <v>≤ 0.3</v>
      </c>
      <c r="AC367" s="22" t="str" cm="1">
        <f t="array" ref="AC367">INDEX(_xlfn.UNIQUE(_xlfn._xlws.FILTER($F$301:$F$738, $E$301:$E$738=$AA367)), COLUMNS($AB$365:AC$365))</f>
        <v>&gt; 0.3 to ≤ 0.4</v>
      </c>
      <c r="AD367" s="22" t="str" cm="1">
        <f t="array" ref="AD367">INDEX(_xlfn.UNIQUE(_xlfn._xlws.FILTER($F$301:$F$738, $E$301:$E$738=$AA367)), COLUMNS($AB$365:AD$365))</f>
        <v>&gt; 0.4 to ≤ 0.5</v>
      </c>
      <c r="AE367" s="22" t="str" cm="1">
        <f t="array" ref="AE367">INDEX(_xlfn.UNIQUE(_xlfn._xlws.FILTER($F$301:$F$738, $E$301:$E$738=$AA367)), COLUMNS($AB$365:AE$365))</f>
        <v>&gt; 0.5 to ≤ 0.6</v>
      </c>
      <c r="AF367" s="22" t="str" cm="1">
        <f t="array" ref="AF367">INDEX(_xlfn.UNIQUE(_xlfn._xlws.FILTER($F$301:$F$738, $E$301:$E$738=$AA367)), COLUMNS($AB$365:AF$365))</f>
        <v>&gt; 0.6 to ≤ 0.7</v>
      </c>
      <c r="AG367" s="22" t="e" cm="1">
        <f t="array" ref="AG367">INDEX(_xlfn.UNIQUE(_xlfn._xlws.FILTER($F$301:$F$738, $E$301:$E$738=$AA367)), COLUMNS($AB$365:AG$365))</f>
        <v>#REF!</v>
      </c>
      <c r="AH367" s="22" t="e" cm="1">
        <f t="array" ref="AH367">INDEX(_xlfn.UNIQUE(_xlfn._xlws.FILTER($F$301:$F$738, $E$301:$E$738=$AA367)), COLUMNS($AB$365:AH$365))</f>
        <v>#REF!</v>
      </c>
      <c r="AI367" s="22" t="e" cm="1">
        <f t="array" ref="AI367">INDEX(_xlfn.UNIQUE(_xlfn._xlws.FILTER($F$301:$F$738, $E$301:$E$738=$AA367)), COLUMNS($AB$365:AI$365))</f>
        <v>#REF!</v>
      </c>
    </row>
    <row r="368" spans="1:41" s="22" customFormat="1" ht="16.5" customHeight="1" x14ac:dyDescent="0.3">
      <c r="A368" s="22" t="str">
        <f>CONCATENATE(B368,C368,Lightweight_walls_minimum_insulation_R_Value_Climate_Zone_1109[[#This Row],[Column1]])</f>
        <v>1Lightweight walls&gt; 0.3 to ≤ 0.4</v>
      </c>
      <c r="B368" s="22">
        <v>1</v>
      </c>
      <c r="C368" s="22" t="s">
        <v>218</v>
      </c>
      <c r="D368" s="22" t="str">
        <f>CONCATENATE(B368,C368,Lightweight_walls_minimum_insulation_R_Value_Climate_Zone_1109[[#This Row],[Column1]],Lightweight_walls_minimum_insulation_R_Value_Climate_Zone_1109[[#This Row],[Column4]])</f>
        <v>1Lightweight walls&gt; 0.3 to ≤ 0.4&gt; 1800 to ≤ 2400</v>
      </c>
      <c r="E368" s="22" t="str">
        <f t="shared" si="5"/>
        <v>1Lightweight walls</v>
      </c>
      <c r="F368" s="32" t="s">
        <v>545</v>
      </c>
      <c r="G368" s="32" t="s">
        <v>542</v>
      </c>
      <c r="H368" s="32">
        <v>0</v>
      </c>
      <c r="I368" s="32">
        <v>0</v>
      </c>
      <c r="J368" s="32" t="s">
        <v>522</v>
      </c>
      <c r="K368" s="32">
        <v>1</v>
      </c>
      <c r="AA368" t="s">
        <v>506</v>
      </c>
      <c r="AB368" s="22" t="str" cm="1">
        <f t="array" ref="AB368">INDEX(_xlfn.UNIQUE(_xlfn._xlws.FILTER($F$301:$F$738, $E$301:$E$738=$AA368)), COLUMNS($AB$365:AB$365))</f>
        <v>≤ 0.35</v>
      </c>
      <c r="AC368" s="22" t="str" cm="1">
        <f t="array" ref="AC368">INDEX(_xlfn.UNIQUE(_xlfn._xlws.FILTER($F$301:$F$738, $E$301:$E$738=$AA368)), COLUMNS($AB$365:AC$365))</f>
        <v>&gt; 0.35 to ≤ 0.5</v>
      </c>
      <c r="AD368" s="22" t="str" cm="1">
        <f t="array" ref="AD368">INDEX(_xlfn.UNIQUE(_xlfn._xlws.FILTER($F$301:$F$738, $E$301:$E$738=$AA368)), COLUMNS($AB$365:AD$365))</f>
        <v>&gt; 0.5 to ≤ 0.7</v>
      </c>
      <c r="AE368" s="22" t="e" cm="1">
        <f t="array" ref="AE368">INDEX(_xlfn.UNIQUE(_xlfn._xlws.FILTER($F$301:$F$738, $E$301:$E$738=$AA368)), COLUMNS($AB$365:AE$365))</f>
        <v>#REF!</v>
      </c>
      <c r="AF368" s="22" t="e" cm="1">
        <f t="array" ref="AF368">INDEX(_xlfn.UNIQUE(_xlfn._xlws.FILTER($F$301:$F$738, $E$301:$E$738=$AA368)), COLUMNS($AB$365:AF$365))</f>
        <v>#REF!</v>
      </c>
      <c r="AG368" s="22" t="e" cm="1">
        <f t="array" ref="AG368">INDEX(_xlfn.UNIQUE(_xlfn._xlws.FILTER($F$301:$F$738, $E$301:$E$738=$AA368)), COLUMNS($AB$365:AG$365))</f>
        <v>#REF!</v>
      </c>
      <c r="AH368" s="22" t="e" cm="1">
        <f t="array" ref="AH368">INDEX(_xlfn.UNIQUE(_xlfn._xlws.FILTER($F$301:$F$738, $E$301:$E$738=$AA368)), COLUMNS($AB$365:AH$365))</f>
        <v>#REF!</v>
      </c>
      <c r="AI368" s="22" t="e" cm="1">
        <f t="array" ref="AI368">INDEX(_xlfn.UNIQUE(_xlfn._xlws.FILTER($F$301:$F$738, $E$301:$E$738=$AA368)), COLUMNS($AB$365:AI$365))</f>
        <v>#REF!</v>
      </c>
      <c r="AJ368" s="22" t="e" cm="1">
        <f t="array" ref="AJ368">INDEX(_xlfn.UNIQUE(_xlfn._xlws.FILTER($F$301:$F$738, $E$301:$E$738=$AA368)), COLUMNS($AB$365:AJ$365))</f>
        <v>#REF!</v>
      </c>
      <c r="AK368" s="22" t="e" cm="1">
        <f t="array" ref="AK368">INDEX(_xlfn.UNIQUE(_xlfn._xlws.FILTER($F$301:$F$738, $E$301:$E$738=$AA368)), COLUMNS($AB$365:AK$365))</f>
        <v>#REF!</v>
      </c>
      <c r="AL368" s="22" t="e" cm="1">
        <f t="array" ref="AL368">INDEX(_xlfn.UNIQUE(_xlfn._xlws.FILTER($F$301:$F$738, $E$301:$E$738=$AA368)), COLUMNS($AB$365:AL$365))</f>
        <v>#REF!</v>
      </c>
    </row>
    <row r="369" spans="1:38" s="22" customFormat="1" x14ac:dyDescent="0.3">
      <c r="A369" s="22" t="str">
        <f>CONCATENATE(B369,C369,Lightweight_walls_minimum_insulation_R_Value_Climate_Zone_1109[[#This Row],[Column1]])</f>
        <v>1Lightweight walls&gt; 0.4 to ≤ 0.5</v>
      </c>
      <c r="B369" s="22">
        <v>1</v>
      </c>
      <c r="C369" s="22" t="s">
        <v>218</v>
      </c>
      <c r="D369" s="22" t="str">
        <f>CONCATENATE(B369,C369,Lightweight_walls_minimum_insulation_R_Value_Climate_Zone_1109[[#This Row],[Column1]],Lightweight_walls_minimum_insulation_R_Value_Climate_Zone_1109[[#This Row],[Column4]])</f>
        <v>1Lightweight walls&gt; 0.4 to ≤ 0.50</v>
      </c>
      <c r="E369" s="22" t="str">
        <f t="shared" si="5"/>
        <v>1Lightweight walls</v>
      </c>
      <c r="F369" s="32" t="s">
        <v>561</v>
      </c>
      <c r="G369" s="32">
        <v>0</v>
      </c>
      <c r="H369" s="32" t="s">
        <v>321</v>
      </c>
      <c r="I369" s="32" t="s">
        <v>321</v>
      </c>
      <c r="J369" s="32" t="s">
        <v>321</v>
      </c>
      <c r="K369" s="32" t="s">
        <v>321</v>
      </c>
      <c r="AA369" t="s">
        <v>511</v>
      </c>
      <c r="AB369" s="22" t="str" cm="1">
        <f t="array" ref="AB369">INDEX(_xlfn.UNIQUE(_xlfn._xlws.FILTER($F$301:$F$738, $E$301:$E$738=$AA369)), COLUMNS($AB$365:AB$365))</f>
        <v>≤ 0.35</v>
      </c>
      <c r="AC369" s="22" t="str" cm="1">
        <f t="array" ref="AC369">INDEX(_xlfn.UNIQUE(_xlfn._xlws.FILTER($F$301:$F$738, $E$301:$E$738=$AA369)), COLUMNS($AB$365:AC$365))</f>
        <v>&gt; 0.35 to ≤ 0.5</v>
      </c>
      <c r="AD369" s="22" t="str" cm="1">
        <f t="array" ref="AD369">INDEX(_xlfn.UNIQUE(_xlfn._xlws.FILTER($F$301:$F$738, $E$301:$E$738=$AA369)), COLUMNS($AB$365:AD$365))</f>
        <v>&gt; 0.5 to ≤ 0.7</v>
      </c>
      <c r="AE369" s="22" t="e" cm="1">
        <f t="array" ref="AE369">INDEX(_xlfn.UNIQUE(_xlfn._xlws.FILTER($F$301:$F$738, $E$301:$E$738=$AA369)), COLUMNS($AB$365:AE$365))</f>
        <v>#REF!</v>
      </c>
      <c r="AF369" s="22" t="e" cm="1">
        <f t="array" ref="AF369">INDEX(_xlfn.UNIQUE(_xlfn._xlws.FILTER($F$301:$F$738, $E$301:$E$738=$AA369)), COLUMNS($AB$365:AF$365))</f>
        <v>#REF!</v>
      </c>
      <c r="AG369" s="22" t="e" cm="1">
        <f t="array" ref="AG369">INDEX(_xlfn.UNIQUE(_xlfn._xlws.FILTER($F$301:$F$738, $E$301:$E$738=$AA369)), COLUMNS($AB$365:AG$365))</f>
        <v>#REF!</v>
      </c>
      <c r="AH369" s="22" t="e" cm="1">
        <f t="array" ref="AH369">INDEX(_xlfn.UNIQUE(_xlfn._xlws.FILTER($F$301:$F$738, $E$301:$E$738=$AA369)), COLUMNS($AB$365:AH$365))</f>
        <v>#REF!</v>
      </c>
      <c r="AI369" s="22" t="e" cm="1">
        <f t="array" ref="AI369">INDEX(_xlfn.UNIQUE(_xlfn._xlws.FILTER($F$301:$F$738, $E$301:$E$738=$AA369)), COLUMNS($AB$365:AI$365))</f>
        <v>#REF!</v>
      </c>
      <c r="AJ369" s="22" t="e" cm="1">
        <f t="array" ref="AJ369">INDEX(_xlfn.UNIQUE(_xlfn._xlws.FILTER($F$301:$F$738, $E$301:$E$738=$AA369)), COLUMNS($AB$365:AJ$365))</f>
        <v>#REF!</v>
      </c>
      <c r="AK369" s="22" t="e" cm="1">
        <f t="array" ref="AK369">INDEX(_xlfn.UNIQUE(_xlfn._xlws.FILTER($F$301:$F$738, $E$301:$E$738=$AA369)), COLUMNS($AB$365:AK$365))</f>
        <v>#REF!</v>
      </c>
      <c r="AL369" s="22" t="e" cm="1">
        <f t="array" ref="AL369">INDEX(_xlfn.UNIQUE(_xlfn._xlws.FILTER($F$301:$F$738, $E$301:$E$738=$AA369)), COLUMNS($AB$365:AL$365))</f>
        <v>#REF!</v>
      </c>
    </row>
    <row r="370" spans="1:38" s="22" customFormat="1" x14ac:dyDescent="0.3">
      <c r="A370" s="22" t="str">
        <f>CONCATENATE(B370,C370,Lightweight_walls_minimum_insulation_R_Value_Climate_Zone_1109[[#This Row],[Column1]])</f>
        <v>1Lightweight walls&gt; 0.4 to ≤ 0.5</v>
      </c>
      <c r="B370" s="22">
        <v>1</v>
      </c>
      <c r="C370" s="22" t="s">
        <v>218</v>
      </c>
      <c r="D370" s="22" t="str">
        <f>CONCATENATE(B370,C370,Lightweight_walls_minimum_insulation_R_Value_Climate_Zone_1109[[#This Row],[Column1]],Lightweight_walls_minimum_insulation_R_Value_Climate_Zone_1109[[#This Row],[Column4]])</f>
        <v>1Lightweight walls&gt; 0.4 to ≤ 0.5&gt; 0 to ≤ 300</v>
      </c>
      <c r="E370" s="22" t="str">
        <f t="shared" si="5"/>
        <v>1Lightweight walls</v>
      </c>
      <c r="F370" s="32" t="s">
        <v>561</v>
      </c>
      <c r="G370" s="32" t="s">
        <v>521</v>
      </c>
      <c r="H370" s="32" t="s">
        <v>321</v>
      </c>
      <c r="I370" s="32" t="s">
        <v>321</v>
      </c>
      <c r="J370" s="32" t="s">
        <v>321</v>
      </c>
      <c r="K370" s="32" t="s">
        <v>321</v>
      </c>
      <c r="AA370" t="s">
        <v>516</v>
      </c>
      <c r="AB370" s="22" t="str" cm="1">
        <f t="array" ref="AB370">INDEX(_xlfn.UNIQUE(_xlfn._xlws.FILTER($F$301:$F$738, $E$301:$E$738=$AA370)), COLUMNS($AB$365:AB$365))</f>
        <v>≤ 0.7</v>
      </c>
      <c r="AC370" s="22" t="e" cm="1">
        <f t="array" ref="AC370">INDEX(_xlfn.UNIQUE(_xlfn._xlws.FILTER($F$301:$F$738, $E$301:$E$738=$AA370)), COLUMNS($AB$365:AC$365))</f>
        <v>#REF!</v>
      </c>
      <c r="AD370" s="22" t="e" cm="1">
        <f t="array" ref="AD370">INDEX(_xlfn.UNIQUE(_xlfn._xlws.FILTER($F$301:$F$738, $E$301:$E$738=$AA370)), COLUMNS($AB$365:AD$365))</f>
        <v>#REF!</v>
      </c>
      <c r="AE370" s="22" t="e" cm="1">
        <f t="array" ref="AE370">INDEX(_xlfn.UNIQUE(_xlfn._xlws.FILTER($F$301:$F$738, $E$301:$E$738=$AA370)), COLUMNS($AB$365:AE$365))</f>
        <v>#REF!</v>
      </c>
      <c r="AF370" s="22" t="e" cm="1">
        <f t="array" ref="AF370">INDEX(_xlfn.UNIQUE(_xlfn._xlws.FILTER($F$301:$F$738, $E$301:$E$738=$AA370)), COLUMNS($AB$365:AF$365))</f>
        <v>#REF!</v>
      </c>
      <c r="AG370" s="22" t="e" cm="1">
        <f t="array" ref="AG370">INDEX(_xlfn.UNIQUE(_xlfn._xlws.FILTER($F$301:$F$738, $E$301:$E$738=$AA370)), COLUMNS($AB$365:AG$365))</f>
        <v>#REF!</v>
      </c>
      <c r="AH370" s="22" t="e" cm="1">
        <f t="array" ref="AH370">INDEX(_xlfn.UNIQUE(_xlfn._xlws.FILTER($F$301:$F$738, $E$301:$E$738=$AA370)), COLUMNS($AB$365:AH$365))</f>
        <v>#REF!</v>
      </c>
      <c r="AI370" s="22" t="e" cm="1">
        <f t="array" ref="AI370">INDEX(_xlfn.UNIQUE(_xlfn._xlws.FILTER($F$301:$F$738, $E$301:$E$738=$AA370)), COLUMNS($AB$365:AI$365))</f>
        <v>#REF!</v>
      </c>
      <c r="AJ370" s="22" t="e" cm="1">
        <f t="array" ref="AJ370">INDEX(_xlfn.UNIQUE(_xlfn._xlws.FILTER($F$301:$F$738, $E$301:$E$738=$AA370)), COLUMNS($AB$365:AJ$365))</f>
        <v>#REF!</v>
      </c>
      <c r="AK370" s="22" t="e" cm="1">
        <f t="array" ref="AK370">INDEX(_xlfn.UNIQUE(_xlfn._xlws.FILTER($F$301:$F$738, $E$301:$E$738=$AA370)), COLUMNS($AB$365:AK$365))</f>
        <v>#REF!</v>
      </c>
      <c r="AL370" s="22" t="e" cm="1">
        <f t="array" ref="AL370">INDEX(_xlfn.UNIQUE(_xlfn._xlws.FILTER($F$301:$F$738, $E$301:$E$738=$AA370)), COLUMNS($AB$365:AL$365))</f>
        <v>#REF!</v>
      </c>
    </row>
    <row r="371" spans="1:38" s="22" customFormat="1" x14ac:dyDescent="0.3">
      <c r="A371" s="22" t="str">
        <f>CONCATENATE(B371,C371,Lightweight_walls_minimum_insulation_R_Value_Climate_Zone_1109[[#This Row],[Column1]])</f>
        <v>1Lightweight walls&gt; 0.4 to ≤ 0.5</v>
      </c>
      <c r="B371" s="22">
        <v>1</v>
      </c>
      <c r="C371" s="22" t="s">
        <v>218</v>
      </c>
      <c r="D371" s="22" t="str">
        <f>CONCATENATE(B371,C371,Lightweight_walls_minimum_insulation_R_Value_Climate_Zone_1109[[#This Row],[Column1]],Lightweight_walls_minimum_insulation_R_Value_Climate_Zone_1109[[#This Row],[Column4]])</f>
        <v>1Lightweight walls&gt; 0.4 to ≤ 0.5&gt; 300 to ≤ 450</v>
      </c>
      <c r="E371" s="22" t="str">
        <f t="shared" si="5"/>
        <v>1Lightweight walls</v>
      </c>
      <c r="F371" s="32" t="s">
        <v>561</v>
      </c>
      <c r="G371" s="32" t="s">
        <v>525</v>
      </c>
      <c r="H371" s="32">
        <v>1</v>
      </c>
      <c r="I371" s="32" t="s">
        <v>321</v>
      </c>
      <c r="J371" s="32" t="s">
        <v>321</v>
      </c>
      <c r="K371" s="32" t="s">
        <v>321</v>
      </c>
      <c r="AA371" t="s">
        <v>519</v>
      </c>
      <c r="AB371" s="22" t="str" cm="1">
        <f t="array" ref="AB371">INDEX(_xlfn.UNIQUE(_xlfn._xlws.FILTER($F$301:$F$738, $E$301:$E$738=$AA371)), COLUMNS($AB$365:AB$365))</f>
        <v>≤ 0.3</v>
      </c>
      <c r="AC371" s="22" t="str" cm="1">
        <f t="array" ref="AC371">INDEX(_xlfn.UNIQUE(_xlfn._xlws.FILTER($F$301:$F$738, $E$301:$E$738=$AA371)), COLUMNS($AB$365:AC$365))</f>
        <v>&gt; 0.3 to ≤ 0.4</v>
      </c>
      <c r="AD371" s="22" t="str" cm="1">
        <f t="array" ref="AD371">INDEX(_xlfn.UNIQUE(_xlfn._xlws.FILTER($F$301:$F$738, $E$301:$E$738=$AA371)), COLUMNS($AB$365:AD$365))</f>
        <v>&gt; 0.4 to ≤ 0.5</v>
      </c>
      <c r="AE371" s="22" t="str" cm="1">
        <f t="array" ref="AE371">INDEX(_xlfn.UNIQUE(_xlfn._xlws.FILTER($F$301:$F$738, $E$301:$E$738=$AA371)), COLUMNS($AB$365:AE$365))</f>
        <v>&gt; 0.5 to ≤ 0.6</v>
      </c>
      <c r="AF371" s="22" t="str" cm="1">
        <f t="array" ref="AF371">INDEX(_xlfn.UNIQUE(_xlfn._xlws.FILTER($F$301:$F$738, $E$301:$E$738=$AA371)), COLUMNS($AB$365:AF$365))</f>
        <v>&gt; 0.6 to ≤ 0.7</v>
      </c>
      <c r="AG371" s="22" t="e" cm="1">
        <f t="array" ref="AG371">INDEX(_xlfn.UNIQUE(_xlfn._xlws.FILTER($F$301:$F$738, $E$301:$E$738=$AA371)), COLUMNS($AB$365:AG$365))</f>
        <v>#REF!</v>
      </c>
      <c r="AH371" s="22" t="e" cm="1">
        <f t="array" ref="AH371">INDEX(_xlfn.UNIQUE(_xlfn._xlws.FILTER($F$301:$F$738, $E$301:$E$738=$AA371)), COLUMNS($AB$365:AH$365))</f>
        <v>#REF!</v>
      </c>
      <c r="AI371" s="22" t="e" cm="1">
        <f t="array" ref="AI371">INDEX(_xlfn.UNIQUE(_xlfn._xlws.FILTER($F$301:$F$738, $E$301:$E$738=$AA371)), COLUMNS($AB$365:AI$365))</f>
        <v>#REF!</v>
      </c>
      <c r="AJ371" s="22" t="e" cm="1">
        <f t="array" ref="AJ371">INDEX(_xlfn.UNIQUE(_xlfn._xlws.FILTER($F$301:$F$738, $E$301:$E$738=$AA371)), COLUMNS($AB$365:AJ$365))</f>
        <v>#REF!</v>
      </c>
      <c r="AK371" s="22" t="e" cm="1">
        <f t="array" ref="AK371">INDEX(_xlfn.UNIQUE(_xlfn._xlws.FILTER($F$301:$F$738, $E$301:$E$738=$AA371)), COLUMNS($AB$365:AK$365))</f>
        <v>#REF!</v>
      </c>
      <c r="AL371" s="22" t="e" cm="1">
        <f t="array" ref="AL371">INDEX(_xlfn.UNIQUE(_xlfn._xlws.FILTER($F$301:$F$738, $E$301:$E$738=$AA371)), COLUMNS($AB$365:AL$365))</f>
        <v>#REF!</v>
      </c>
    </row>
    <row r="372" spans="1:38" s="22" customFormat="1" x14ac:dyDescent="0.3">
      <c r="A372" s="22" t="str">
        <f>CONCATENATE(B372,C372,Lightweight_walls_minimum_insulation_R_Value_Climate_Zone_1109[[#This Row],[Column1]])</f>
        <v>1Lightweight walls&gt; 0.4 to ≤ 0.5</v>
      </c>
      <c r="B372" s="22">
        <v>1</v>
      </c>
      <c r="C372" s="22" t="s">
        <v>218</v>
      </c>
      <c r="D372" s="22" t="str">
        <f>CONCATENATE(B372,C372,Lightweight_walls_minimum_insulation_R_Value_Climate_Zone_1109[[#This Row],[Column1]],Lightweight_walls_minimum_insulation_R_Value_Climate_Zone_1109[[#This Row],[Column4]])</f>
        <v>1Lightweight walls&gt; 0.4 to ≤ 0.5&gt; 450 to ≤ 600</v>
      </c>
      <c r="E372" s="22" t="str">
        <f t="shared" si="5"/>
        <v>1Lightweight walls</v>
      </c>
      <c r="F372" s="32" t="s">
        <v>561</v>
      </c>
      <c r="G372" s="32" t="s">
        <v>528</v>
      </c>
      <c r="H372" s="32" t="s">
        <v>522</v>
      </c>
      <c r="I372" s="32">
        <v>2</v>
      </c>
      <c r="J372" s="32" t="s">
        <v>321</v>
      </c>
      <c r="K372" s="32" t="s">
        <v>321</v>
      </c>
      <c r="AA372" t="s">
        <v>523</v>
      </c>
      <c r="AB372" s="22" t="str" cm="1">
        <f t="array" ref="AB372">INDEX(_xlfn.UNIQUE(_xlfn._xlws.FILTER($F$301:$F$738, $E$301:$E$738=$AA372)), COLUMNS($AB$365:AB$365))</f>
        <v>≤ 0.35</v>
      </c>
      <c r="AC372" s="22" t="str" cm="1">
        <f t="array" ref="AC372">INDEX(_xlfn.UNIQUE(_xlfn._xlws.FILTER($F$301:$F$738, $E$301:$E$738=$AA372)), COLUMNS($AB$365:AC$365))</f>
        <v>&gt; 0.35 to ≤ 0.5</v>
      </c>
      <c r="AD372" s="22" t="str" cm="1">
        <f t="array" ref="AD372">INDEX(_xlfn.UNIQUE(_xlfn._xlws.FILTER($F$301:$F$738, $E$301:$E$738=$AA372)), COLUMNS($AB$365:AD$365))</f>
        <v>&gt; 0.5 to ≤ 0.7</v>
      </c>
      <c r="AE372" s="22" t="e" cm="1">
        <f t="array" ref="AE372">INDEX(_xlfn.UNIQUE(_xlfn._xlws.FILTER($F$301:$F$738, $E$301:$E$738=$AA372)), COLUMNS($AB$365:AE$365))</f>
        <v>#REF!</v>
      </c>
      <c r="AF372" s="22" t="e" cm="1">
        <f t="array" ref="AF372">INDEX(_xlfn.UNIQUE(_xlfn._xlws.FILTER($F$301:$F$738, $E$301:$E$738=$AA372)), COLUMNS($AB$365:AF$365))</f>
        <v>#REF!</v>
      </c>
      <c r="AG372" s="22" t="e" cm="1">
        <f t="array" ref="AG372">INDEX(_xlfn.UNIQUE(_xlfn._xlws.FILTER($F$301:$F$738, $E$301:$E$738=$AA372)), COLUMNS($AB$365:AG$365))</f>
        <v>#REF!</v>
      </c>
      <c r="AH372" s="22" t="e" cm="1">
        <f t="array" ref="AH372">INDEX(_xlfn.UNIQUE(_xlfn._xlws.FILTER($F$301:$F$738, $E$301:$E$738=$AA372)), COLUMNS($AB$365:AH$365))</f>
        <v>#REF!</v>
      </c>
      <c r="AI372" s="22" t="e" cm="1">
        <f t="array" ref="AI372">INDEX(_xlfn.UNIQUE(_xlfn._xlws.FILTER($F$301:$F$738, $E$301:$E$738=$AA372)), COLUMNS($AB$365:AI$365))</f>
        <v>#REF!</v>
      </c>
      <c r="AJ372" s="22" t="e" cm="1">
        <f t="array" ref="AJ372">INDEX(_xlfn.UNIQUE(_xlfn._xlws.FILTER($F$301:$F$738, $E$301:$E$738=$AA372)), COLUMNS($AB$365:AJ$365))</f>
        <v>#REF!</v>
      </c>
      <c r="AK372" s="22" t="e" cm="1">
        <f t="array" ref="AK372">INDEX(_xlfn.UNIQUE(_xlfn._xlws.FILTER($F$301:$F$738, $E$301:$E$738=$AA372)), COLUMNS($AB$365:AK$365))</f>
        <v>#REF!</v>
      </c>
      <c r="AL372" s="22" t="e" cm="1">
        <f t="array" ref="AL372">INDEX(_xlfn.UNIQUE(_xlfn._xlws.FILTER($F$301:$F$738, $E$301:$E$738=$AA372)), COLUMNS($AB$365:AL$365))</f>
        <v>#REF!</v>
      </c>
    </row>
    <row r="373" spans="1:38" s="22" customFormat="1" x14ac:dyDescent="0.3">
      <c r="A373" s="22" t="str">
        <f>CONCATENATE(B373,C373,Lightweight_walls_minimum_insulation_R_Value_Climate_Zone_1109[[#This Row],[Column1]])</f>
        <v>1Lightweight walls&gt; 0.4 to ≤ 0.5</v>
      </c>
      <c r="B373" s="22">
        <v>1</v>
      </c>
      <c r="C373" s="22" t="s">
        <v>218</v>
      </c>
      <c r="D373" s="22" t="str">
        <f>CONCATENATE(B373,C373,Lightweight_walls_minimum_insulation_R_Value_Climate_Zone_1109[[#This Row],[Column1]],Lightweight_walls_minimum_insulation_R_Value_Climate_Zone_1109[[#This Row],[Column4]])</f>
        <v>1Lightweight walls&gt; 0.4 to ≤ 0.5&gt; 600 to ≤ 900</v>
      </c>
      <c r="E373" s="22" t="str">
        <f t="shared" si="5"/>
        <v>1Lightweight walls</v>
      </c>
      <c r="F373" s="32" t="s">
        <v>561</v>
      </c>
      <c r="G373" s="32" t="s">
        <v>531</v>
      </c>
      <c r="H373" s="32" t="s">
        <v>522</v>
      </c>
      <c r="I373" s="32">
        <v>1</v>
      </c>
      <c r="J373" s="32">
        <v>2</v>
      </c>
      <c r="K373" s="32" t="s">
        <v>321</v>
      </c>
      <c r="AA373" t="s">
        <v>526</v>
      </c>
      <c r="AB373" s="22" t="str" cm="1">
        <f t="array" ref="AB373">INDEX(_xlfn.UNIQUE(_xlfn._xlws.FILTER($F$301:$F$738, $E$301:$E$738=$AA373)), COLUMNS($AB$365:AB$365))</f>
        <v>≤ 0.35</v>
      </c>
      <c r="AC373" s="22" t="str" cm="1">
        <f t="array" ref="AC373">INDEX(_xlfn.UNIQUE(_xlfn._xlws.FILTER($F$301:$F$738, $E$301:$E$738=$AA373)), COLUMNS($AB$365:AC$365))</f>
        <v>&gt; 0.35 to ≤ 0.5</v>
      </c>
      <c r="AD373" s="22" t="str" cm="1">
        <f t="array" ref="AD373">INDEX(_xlfn.UNIQUE(_xlfn._xlws.FILTER($F$301:$F$738, $E$301:$E$738=$AA373)), COLUMNS($AB$365:AD$365))</f>
        <v>&gt; 0.5 to ≤ 0.7</v>
      </c>
      <c r="AE373" s="22" t="e" cm="1">
        <f t="array" ref="AE373">INDEX(_xlfn.UNIQUE(_xlfn._xlws.FILTER($F$301:$F$738, $E$301:$E$738=$AA373)), COLUMNS($AB$365:AE$365))</f>
        <v>#REF!</v>
      </c>
      <c r="AF373" s="22" t="e" cm="1">
        <f t="array" ref="AF373">INDEX(_xlfn.UNIQUE(_xlfn._xlws.FILTER($F$301:$F$738, $E$301:$E$738=$AA373)), COLUMNS($AB$365:AF$365))</f>
        <v>#REF!</v>
      </c>
      <c r="AG373" s="22" t="e" cm="1">
        <f t="array" ref="AG373">INDEX(_xlfn.UNIQUE(_xlfn._xlws.FILTER($F$301:$F$738, $E$301:$E$738=$AA373)), COLUMNS($AB$365:AG$365))</f>
        <v>#REF!</v>
      </c>
      <c r="AH373" s="22" t="e" cm="1">
        <f t="array" ref="AH373">INDEX(_xlfn.UNIQUE(_xlfn._xlws.FILTER($F$301:$F$738, $E$301:$E$738=$AA373)), COLUMNS($AB$365:AH$365))</f>
        <v>#REF!</v>
      </c>
      <c r="AI373" s="22" t="e" cm="1">
        <f t="array" ref="AI373">INDEX(_xlfn.UNIQUE(_xlfn._xlws.FILTER($F$301:$F$738, $E$301:$E$738=$AA373)), COLUMNS($AB$365:AI$365))</f>
        <v>#REF!</v>
      </c>
      <c r="AJ373" s="22" t="e" cm="1">
        <f t="array" ref="AJ373">INDEX(_xlfn.UNIQUE(_xlfn._xlws.FILTER($F$301:$F$738, $E$301:$E$738=$AA373)), COLUMNS($AB$365:AJ$365))</f>
        <v>#REF!</v>
      </c>
      <c r="AK373" s="22" t="e" cm="1">
        <f t="array" ref="AK373">INDEX(_xlfn.UNIQUE(_xlfn._xlws.FILTER($F$301:$F$738, $E$301:$E$738=$AA373)), COLUMNS($AB$365:AK$365))</f>
        <v>#REF!</v>
      </c>
      <c r="AL373" s="22" t="e" cm="1">
        <f t="array" ref="AL373">INDEX(_xlfn.UNIQUE(_xlfn._xlws.FILTER($F$301:$F$738, $E$301:$E$738=$AA373)), COLUMNS($AB$365:AL$365))</f>
        <v>#REF!</v>
      </c>
    </row>
    <row r="374" spans="1:38" s="22" customFormat="1" ht="16.5" customHeight="1" x14ac:dyDescent="0.3">
      <c r="A374" s="22" t="str">
        <f>CONCATENATE(B374,C374,Lightweight_walls_minimum_insulation_R_Value_Climate_Zone_1109[[#This Row],[Column1]])</f>
        <v>1Lightweight walls&gt; 0.4 to ≤ 0.5</v>
      </c>
      <c r="B374" s="22">
        <v>1</v>
      </c>
      <c r="C374" s="22" t="s">
        <v>218</v>
      </c>
      <c r="D374" s="22" t="str">
        <f>CONCATENATE(B374,C374,Lightweight_walls_minimum_insulation_R_Value_Climate_Zone_1109[[#This Row],[Column1]],Lightweight_walls_minimum_insulation_R_Value_Climate_Zone_1109[[#This Row],[Column4]])</f>
        <v>1Lightweight walls&gt; 0.4 to ≤ 0.5&gt; 900 to ≤ 1200</v>
      </c>
      <c r="E374" s="22" t="str">
        <f t="shared" si="5"/>
        <v>1Lightweight walls</v>
      </c>
      <c r="F374" s="32" t="s">
        <v>561</v>
      </c>
      <c r="G374" s="32" t="s">
        <v>534</v>
      </c>
      <c r="H374" s="32" t="s">
        <v>522</v>
      </c>
      <c r="I374" s="32" t="s">
        <v>522</v>
      </c>
      <c r="J374" s="32">
        <v>1</v>
      </c>
      <c r="K374" s="32" t="s">
        <v>321</v>
      </c>
      <c r="AA374" t="s">
        <v>529</v>
      </c>
      <c r="AB374" s="22" t="str" cm="1">
        <f t="array" ref="AB374">INDEX(_xlfn.UNIQUE(_xlfn._xlws.FILTER($F$301:$F$738, $E$301:$E$738=$AA374)), COLUMNS($AB$365:AB$365))</f>
        <v>≤ 0.35</v>
      </c>
      <c r="AC374" s="22" t="str" cm="1">
        <f t="array" ref="AC374">INDEX(_xlfn.UNIQUE(_xlfn._xlws.FILTER($F$301:$F$738, $E$301:$E$738=$AA374)), COLUMNS($AB$365:AC$365))</f>
        <v>&gt; 0.35 to ≤ 0.5</v>
      </c>
      <c r="AD374" s="22" t="str" cm="1">
        <f t="array" ref="AD374">INDEX(_xlfn.UNIQUE(_xlfn._xlws.FILTER($F$301:$F$738, $E$301:$E$738=$AA374)), COLUMNS($AB$365:AD$365))</f>
        <v>&gt; 0.5 to ≤ 0.7</v>
      </c>
      <c r="AE374" s="22" t="e" cm="1">
        <f t="array" ref="AE374">INDEX(_xlfn.UNIQUE(_xlfn._xlws.FILTER($F$301:$F$738, $E$301:$E$738=$AA374)), COLUMNS($AB$365:AE$365))</f>
        <v>#REF!</v>
      </c>
      <c r="AF374" s="22" t="e" cm="1">
        <f t="array" ref="AF374">INDEX(_xlfn.UNIQUE(_xlfn._xlws.FILTER($F$301:$F$738, $E$301:$E$738=$AA374)), COLUMNS($AB$365:AF$365))</f>
        <v>#REF!</v>
      </c>
      <c r="AG374" s="22" t="e" cm="1">
        <f t="array" ref="AG374">INDEX(_xlfn.UNIQUE(_xlfn._xlws.FILTER($F$301:$F$738, $E$301:$E$738=$AA374)), COLUMNS($AB$365:AG$365))</f>
        <v>#REF!</v>
      </c>
      <c r="AH374" s="22" t="e" cm="1">
        <f t="array" ref="AH374">INDEX(_xlfn.UNIQUE(_xlfn._xlws.FILTER($F$301:$F$738, $E$301:$E$738=$AA374)), COLUMNS($AB$365:AH$365))</f>
        <v>#REF!</v>
      </c>
      <c r="AI374" s="22" t="e" cm="1">
        <f t="array" ref="AI374">INDEX(_xlfn.UNIQUE(_xlfn._xlws.FILTER($F$301:$F$738, $E$301:$E$738=$AA374)), COLUMNS($AB$365:AI$365))</f>
        <v>#REF!</v>
      </c>
      <c r="AJ374" s="22" t="e" cm="1">
        <f t="array" ref="AJ374">INDEX(_xlfn.UNIQUE(_xlfn._xlws.FILTER($F$301:$F$738, $E$301:$E$738=$AA374)), COLUMNS($AB$365:AJ$365))</f>
        <v>#REF!</v>
      </c>
      <c r="AK374" s="22" t="e" cm="1">
        <f t="array" ref="AK374">INDEX(_xlfn.UNIQUE(_xlfn._xlws.FILTER($F$301:$F$738, $E$301:$E$738=$AA374)), COLUMNS($AB$365:AK$365))</f>
        <v>#REF!</v>
      </c>
      <c r="AL374" s="22" t="e" cm="1">
        <f t="array" ref="AL374">INDEX(_xlfn.UNIQUE(_xlfn._xlws.FILTER($F$301:$F$738, $E$301:$E$738=$AA374)), COLUMNS($AB$365:AL$365))</f>
        <v>#REF!</v>
      </c>
    </row>
    <row r="375" spans="1:38" s="22" customFormat="1" ht="16.5" customHeight="1" x14ac:dyDescent="0.3">
      <c r="A375" s="22" t="str">
        <f>CONCATENATE(B375,C375,Lightweight_walls_minimum_insulation_R_Value_Climate_Zone_1109[[#This Row],[Column1]])</f>
        <v>1Lightweight walls&gt; 0.4 to ≤ 0.5</v>
      </c>
      <c r="B375" s="22">
        <v>1</v>
      </c>
      <c r="C375" s="22" t="s">
        <v>218</v>
      </c>
      <c r="D375" s="22" t="str">
        <f>CONCATENATE(B375,C375,Lightweight_walls_minimum_insulation_R_Value_Climate_Zone_1109[[#This Row],[Column1]],Lightweight_walls_minimum_insulation_R_Value_Climate_Zone_1109[[#This Row],[Column4]])</f>
        <v>1Lightweight walls&gt; 0.4 to ≤ 0.5&gt; 1200 to ≤ 1500</v>
      </c>
      <c r="E375" s="22" t="str">
        <f t="shared" si="5"/>
        <v>1Lightweight walls</v>
      </c>
      <c r="F375" s="32" t="s">
        <v>561</v>
      </c>
      <c r="G375" s="32" t="s">
        <v>536</v>
      </c>
      <c r="H375" s="32" t="s">
        <v>522</v>
      </c>
      <c r="I375" s="32" t="s">
        <v>522</v>
      </c>
      <c r="J375" s="32" t="s">
        <v>522</v>
      </c>
      <c r="K375" s="32">
        <v>2.5</v>
      </c>
      <c r="AA375" t="s">
        <v>532</v>
      </c>
      <c r="AB375" s="22" t="str" cm="1">
        <f t="array" ref="AB375">INDEX(_xlfn.UNIQUE(_xlfn._xlws.FILTER($F$301:$F$738, $E$301:$E$738=$AA375)), COLUMNS($AB$365:AB$365))</f>
        <v>≤ 0.35</v>
      </c>
      <c r="AC375" s="22" t="str" cm="1">
        <f t="array" ref="AC375">INDEX(_xlfn.UNIQUE(_xlfn._xlws.FILTER($F$301:$F$738, $E$301:$E$738=$AA375)), COLUMNS($AB$365:AC$365))</f>
        <v>&gt; 0.35 to ≤ 0.5</v>
      </c>
      <c r="AD375" s="22" t="str" cm="1">
        <f t="array" ref="AD375">INDEX(_xlfn.UNIQUE(_xlfn._xlws.FILTER($F$301:$F$738, $E$301:$E$738=$AA375)), COLUMNS($AB$365:AD$365))</f>
        <v>&gt; 0.5 to ≤ 0.7</v>
      </c>
      <c r="AE375" s="22" t="e" cm="1">
        <f t="array" ref="AE375">INDEX(_xlfn.UNIQUE(_xlfn._xlws.FILTER($F$301:$F$738, $E$301:$E$738=$AA375)), COLUMNS($AB$365:AE$365))</f>
        <v>#REF!</v>
      </c>
      <c r="AF375" s="22" t="e" cm="1">
        <f t="array" ref="AF375">INDEX(_xlfn.UNIQUE(_xlfn._xlws.FILTER($F$301:$F$738, $E$301:$E$738=$AA375)), COLUMNS($AB$365:AF$365))</f>
        <v>#REF!</v>
      </c>
      <c r="AG375" s="22" t="e" cm="1">
        <f t="array" ref="AG375">INDEX(_xlfn.UNIQUE(_xlfn._xlws.FILTER($F$301:$F$738, $E$301:$E$738=$AA375)), COLUMNS($AB$365:AG$365))</f>
        <v>#REF!</v>
      </c>
      <c r="AH375" s="22" t="e" cm="1">
        <f t="array" ref="AH375">INDEX(_xlfn.UNIQUE(_xlfn._xlws.FILTER($F$301:$F$738, $E$301:$E$738=$AA375)), COLUMNS($AB$365:AH$365))</f>
        <v>#REF!</v>
      </c>
      <c r="AI375" s="22" t="e" cm="1">
        <f t="array" ref="AI375">INDEX(_xlfn.UNIQUE(_xlfn._xlws.FILTER($F$301:$F$738, $E$301:$E$738=$AA375)), COLUMNS($AB$365:AI$365))</f>
        <v>#REF!</v>
      </c>
      <c r="AJ375" s="22" t="e" cm="1">
        <f t="array" ref="AJ375">INDEX(_xlfn.UNIQUE(_xlfn._xlws.FILTER($F$301:$F$738, $E$301:$E$738=$AA375)), COLUMNS($AB$365:AJ$365))</f>
        <v>#REF!</v>
      </c>
      <c r="AK375" s="22" t="e" cm="1">
        <f t="array" ref="AK375">INDEX(_xlfn.UNIQUE(_xlfn._xlws.FILTER($F$301:$F$738, $E$301:$E$738=$AA375)), COLUMNS($AB$365:AK$365))</f>
        <v>#REF!</v>
      </c>
      <c r="AL375" s="22" t="e" cm="1">
        <f t="array" ref="AL375">INDEX(_xlfn.UNIQUE(_xlfn._xlws.FILTER($F$301:$F$738, $E$301:$E$738=$AA375)), COLUMNS($AB$365:AL$365))</f>
        <v>#REF!</v>
      </c>
    </row>
    <row r="376" spans="1:38" s="22" customFormat="1" x14ac:dyDescent="0.3">
      <c r="A376" s="22" t="str">
        <f>CONCATENATE(B376,C376,Lightweight_walls_minimum_insulation_R_Value_Climate_Zone_1109[[#This Row],[Column1]])</f>
        <v>1Lightweight walls&gt; 0.4 to ≤ 0.5</v>
      </c>
      <c r="B376" s="22">
        <v>1</v>
      </c>
      <c r="C376" s="22" t="s">
        <v>218</v>
      </c>
      <c r="D376" s="22" t="str">
        <f>CONCATENATE(B376,C376,Lightweight_walls_minimum_insulation_R_Value_Climate_Zone_1109[[#This Row],[Column1]],Lightweight_walls_minimum_insulation_R_Value_Climate_Zone_1109[[#This Row],[Column4]])</f>
        <v>1Lightweight walls&gt; 0.4 to ≤ 0.5&gt; 1500 to ≤ 1800</v>
      </c>
      <c r="E376" s="22" t="str">
        <f t="shared" si="5"/>
        <v>1Lightweight walls</v>
      </c>
      <c r="F376" s="32" t="s">
        <v>561</v>
      </c>
      <c r="G376" s="32" t="s">
        <v>539</v>
      </c>
      <c r="H376" s="32">
        <v>0</v>
      </c>
      <c r="I376" s="32" t="s">
        <v>522</v>
      </c>
      <c r="J376" s="32" t="s">
        <v>522</v>
      </c>
      <c r="K376" s="32">
        <v>1.5</v>
      </c>
      <c r="AA376" t="s">
        <v>535</v>
      </c>
      <c r="AB376" s="22" t="str" cm="1">
        <f t="array" ref="AB376">INDEX(_xlfn.UNIQUE(_xlfn._xlws.FILTER($F$301:$F$738, $E$301:$E$738=$AA376)), COLUMNS($AB$365:AB$365))</f>
        <v>≤ 0.35</v>
      </c>
      <c r="AC376" s="22" t="str" cm="1">
        <f t="array" ref="AC376">INDEX(_xlfn.UNIQUE(_xlfn._xlws.FILTER($F$301:$F$738, $E$301:$E$738=$AA376)), COLUMNS($AB$365:AC$365))</f>
        <v>&gt; 0.35 to ≤ 0.5</v>
      </c>
      <c r="AD376" s="22" t="str" cm="1">
        <f t="array" ref="AD376">INDEX(_xlfn.UNIQUE(_xlfn._xlws.FILTER($F$301:$F$738, $E$301:$E$738=$AA376)), COLUMNS($AB$365:AD$365))</f>
        <v>&gt; 0.5 to ≤ 0.7</v>
      </c>
      <c r="AE376" s="22" t="str" cm="1">
        <f t="array" ref="AE376">INDEX(_xlfn.UNIQUE(_xlfn._xlws.FILTER($F$301:$F$738, $E$301:$E$738=$AA376)), COLUMNS($AB$365:AE$365))</f>
        <v>&gt; 0.7 to ≤ 0.85</v>
      </c>
      <c r="AF376" s="22" t="e" cm="1">
        <f t="array" ref="AF376">INDEX(_xlfn.UNIQUE(_xlfn._xlws.FILTER($F$301:$F$738, $E$301:$E$738=$AA376)), COLUMNS($AB$365:AF$365))</f>
        <v>#REF!</v>
      </c>
      <c r="AG376" s="22" t="e" cm="1">
        <f t="array" ref="AG376">INDEX(_xlfn.UNIQUE(_xlfn._xlws.FILTER($F$301:$F$738, $E$301:$E$738=$AA376)), COLUMNS($AB$365:AG$365))</f>
        <v>#REF!</v>
      </c>
      <c r="AH376" s="22" t="e" cm="1">
        <f t="array" ref="AH376">INDEX(_xlfn.UNIQUE(_xlfn._xlws.FILTER($F$301:$F$738, $E$301:$E$738=$AA376)), COLUMNS($AB$365:AH$365))</f>
        <v>#REF!</v>
      </c>
      <c r="AI376" s="22" t="e" cm="1">
        <f t="array" ref="AI376">INDEX(_xlfn.UNIQUE(_xlfn._xlws.FILTER($F$301:$F$738, $E$301:$E$738=$AA376)), COLUMNS($AB$365:AI$365))</f>
        <v>#REF!</v>
      </c>
      <c r="AJ376" s="22" t="e" cm="1">
        <f t="array" ref="AJ376">INDEX(_xlfn.UNIQUE(_xlfn._xlws.FILTER($F$301:$F$738, $E$301:$E$738=$AA376)), COLUMNS($AB$365:AJ$365))</f>
        <v>#REF!</v>
      </c>
      <c r="AK376" s="22" t="e" cm="1">
        <f t="array" ref="AK376">INDEX(_xlfn.UNIQUE(_xlfn._xlws.FILTER($F$301:$F$738, $E$301:$E$738=$AA376)), COLUMNS($AB$365:AK$365))</f>
        <v>#REF!</v>
      </c>
      <c r="AL376" s="22" t="e" cm="1">
        <f t="array" ref="AL376">INDEX(_xlfn.UNIQUE(_xlfn._xlws.FILTER($F$301:$F$738, $E$301:$E$738=$AA376)), COLUMNS($AB$365:AL$365))</f>
        <v>#REF!</v>
      </c>
    </row>
    <row r="377" spans="1:38" s="22" customFormat="1" x14ac:dyDescent="0.3">
      <c r="A377" s="22" t="str">
        <f>CONCATENATE(B377,C377,Lightweight_walls_minimum_insulation_R_Value_Climate_Zone_1109[[#This Row],[Column1]])</f>
        <v>1Lightweight walls&gt; 0.4 to ≤ 0.5</v>
      </c>
      <c r="B377" s="22">
        <v>1</v>
      </c>
      <c r="C377" s="22" t="s">
        <v>218</v>
      </c>
      <c r="D377" s="22" t="str">
        <f>CONCATENATE(B377,C377,Lightweight_walls_minimum_insulation_R_Value_Climate_Zone_1109[[#This Row],[Column1]],Lightweight_walls_minimum_insulation_R_Value_Climate_Zone_1109[[#This Row],[Column4]])</f>
        <v>1Lightweight walls&gt; 0.4 to ≤ 0.5&gt; 1800 to ≤ 2400</v>
      </c>
      <c r="E377" s="22" t="str">
        <f t="shared" si="5"/>
        <v>1Lightweight walls</v>
      </c>
      <c r="F377" s="32" t="s">
        <v>561</v>
      </c>
      <c r="G377" s="32" t="s">
        <v>542</v>
      </c>
      <c r="H377" s="32">
        <v>0</v>
      </c>
      <c r="I377" s="32">
        <v>0</v>
      </c>
      <c r="J377" s="32" t="s">
        <v>522</v>
      </c>
      <c r="K377" s="32">
        <v>1</v>
      </c>
      <c r="AA377" t="s">
        <v>537</v>
      </c>
      <c r="AB377" s="22" t="str" cm="1">
        <f t="array" ref="AB377">INDEX(_xlfn.UNIQUE(_xlfn._xlws.FILTER($F$301:$F$738, $E$301:$E$738=$AA377)), COLUMNS($AB$365:AB$365))</f>
        <v>≤ 0.35</v>
      </c>
      <c r="AC377" s="22" t="str" cm="1">
        <f t="array" ref="AC377">INDEX(_xlfn.UNIQUE(_xlfn._xlws.FILTER($F$301:$F$738, $E$301:$E$738=$AA377)), COLUMNS($AB$365:AC$365))</f>
        <v>&gt; 0.35 to ≤ 0.5</v>
      </c>
      <c r="AD377" s="22" t="str" cm="1">
        <f t="array" ref="AD377">INDEX(_xlfn.UNIQUE(_xlfn._xlws.FILTER($F$301:$F$738, $E$301:$E$738=$AA377)), COLUMNS($AB$365:AD$365))</f>
        <v>&gt; 0.5 to ≤ 0.7</v>
      </c>
      <c r="AE377" s="22" t="str" cm="1">
        <f t="array" ref="AE377">INDEX(_xlfn.UNIQUE(_xlfn._xlws.FILTER($F$301:$F$738, $E$301:$E$738=$AA377)), COLUMNS($AB$365:AE$365))</f>
        <v>&gt; 0.7 to ≤ 0.85</v>
      </c>
      <c r="AF377" s="22" t="e" cm="1">
        <f t="array" ref="AF377">INDEX(_xlfn.UNIQUE(_xlfn._xlws.FILTER($F$301:$F$738, $E$301:$E$738=$AA377)), COLUMNS($AB$365:AF$365))</f>
        <v>#REF!</v>
      </c>
      <c r="AG377" s="22" t="e" cm="1">
        <f t="array" ref="AG377">INDEX(_xlfn.UNIQUE(_xlfn._xlws.FILTER($F$301:$F$738, $E$301:$E$738=$AA377)), COLUMNS($AB$365:AG$365))</f>
        <v>#REF!</v>
      </c>
      <c r="AH377" s="22" t="e" cm="1">
        <f t="array" ref="AH377">INDEX(_xlfn.UNIQUE(_xlfn._xlws.FILTER($F$301:$F$738, $E$301:$E$738=$AA377)), COLUMNS($AB$365:AH$365))</f>
        <v>#REF!</v>
      </c>
      <c r="AI377" s="22" t="e" cm="1">
        <f t="array" ref="AI377">INDEX(_xlfn.UNIQUE(_xlfn._xlws.FILTER($F$301:$F$738, $E$301:$E$738=$AA377)), COLUMNS($AB$365:AI$365))</f>
        <v>#REF!</v>
      </c>
      <c r="AJ377" s="22" t="e" cm="1">
        <f t="array" ref="AJ377">INDEX(_xlfn.UNIQUE(_xlfn._xlws.FILTER($F$301:$F$738, $E$301:$E$738=$AA377)), COLUMNS($AB$365:AJ$365))</f>
        <v>#REF!</v>
      </c>
      <c r="AK377" s="22" t="e" cm="1">
        <f t="array" ref="AK377">INDEX(_xlfn.UNIQUE(_xlfn._xlws.FILTER($F$301:$F$738, $E$301:$E$738=$AA377)), COLUMNS($AB$365:AK$365))</f>
        <v>#REF!</v>
      </c>
      <c r="AL377" s="22" t="e" cm="1">
        <f t="array" ref="AL377">INDEX(_xlfn.UNIQUE(_xlfn._xlws.FILTER($F$301:$F$738, $E$301:$E$738=$AA377)), COLUMNS($AB$365:AL$365))</f>
        <v>#REF!</v>
      </c>
    </row>
    <row r="378" spans="1:38" s="22" customFormat="1" x14ac:dyDescent="0.3">
      <c r="A378" s="22" t="str">
        <f>CONCATENATE(B378,C378,Lightweight_walls_minimum_insulation_R_Value_Climate_Zone_1109[[#This Row],[Column1]])</f>
        <v>1Lightweight walls&gt; 0.5 to ≤ 0.6</v>
      </c>
      <c r="B378" s="22">
        <v>1</v>
      </c>
      <c r="C378" s="22" t="s">
        <v>218</v>
      </c>
      <c r="D378" s="22" t="str">
        <f>CONCATENATE(B378,C378,Lightweight_walls_minimum_insulation_R_Value_Climate_Zone_1109[[#This Row],[Column1]],Lightweight_walls_minimum_insulation_R_Value_Climate_Zone_1109[[#This Row],[Column4]])</f>
        <v>1Lightweight walls&gt; 0.5 to ≤ 0.60</v>
      </c>
      <c r="E378" s="22" t="str">
        <f t="shared" si="5"/>
        <v>1Lightweight walls</v>
      </c>
      <c r="F378" s="32" t="s">
        <v>583</v>
      </c>
      <c r="G378" s="32">
        <v>0</v>
      </c>
      <c r="H378" s="32" t="s">
        <v>321</v>
      </c>
      <c r="I378" s="32" t="s">
        <v>321</v>
      </c>
      <c r="J378" s="32" t="s">
        <v>321</v>
      </c>
      <c r="K378" s="32" t="s">
        <v>321</v>
      </c>
      <c r="AA378" t="s">
        <v>540</v>
      </c>
      <c r="AB378" s="22" t="str" cm="1">
        <f t="array" ref="AB378">INDEX(_xlfn.UNIQUE(_xlfn._xlws.FILTER($F$301:$F$738, $E$301:$E$738=$AA378)), COLUMNS($AB$365:AB$365))</f>
        <v>≤ 0.35</v>
      </c>
      <c r="AC378" s="22" t="str" cm="1">
        <f t="array" ref="AC378">INDEX(_xlfn.UNIQUE(_xlfn._xlws.FILTER($F$301:$F$738, $E$301:$E$738=$AA378)), COLUMNS($AB$365:AC$365))</f>
        <v>&gt; 0.35 to ≤ 0.5</v>
      </c>
      <c r="AD378" s="22" t="str" cm="1">
        <f t="array" ref="AD378">INDEX(_xlfn.UNIQUE(_xlfn._xlws.FILTER($F$301:$F$738, $E$301:$E$738=$AA378)), COLUMNS($AB$365:AD$365))</f>
        <v>&gt; 0.5 to ≤ 0.7</v>
      </c>
      <c r="AE378" s="22" t="str" cm="1">
        <f t="array" ref="AE378">INDEX(_xlfn.UNIQUE(_xlfn._xlws.FILTER($F$301:$F$738, $E$301:$E$738=$AA378)), COLUMNS($AB$365:AE$365))</f>
        <v>&gt; 0.7 to ≤ 0.85</v>
      </c>
      <c r="AF378" s="22" t="e" cm="1">
        <f t="array" ref="AF378">INDEX(_xlfn.UNIQUE(_xlfn._xlws.FILTER($F$301:$F$738, $E$301:$E$738=$AA378)), COLUMNS($AB$365:AF$365))</f>
        <v>#REF!</v>
      </c>
      <c r="AG378" s="22" t="e" cm="1">
        <f t="array" ref="AG378">INDEX(_xlfn.UNIQUE(_xlfn._xlws.FILTER($F$301:$F$738, $E$301:$E$738=$AA378)), COLUMNS($AB$365:AG$365))</f>
        <v>#REF!</v>
      </c>
      <c r="AH378" s="22" t="e" cm="1">
        <f t="array" ref="AH378">INDEX(_xlfn.UNIQUE(_xlfn._xlws.FILTER($F$301:$F$738, $E$301:$E$738=$AA378)), COLUMNS($AB$365:AH$365))</f>
        <v>#REF!</v>
      </c>
      <c r="AI378" s="22" t="e" cm="1">
        <f t="array" ref="AI378">INDEX(_xlfn.UNIQUE(_xlfn._xlws.FILTER($F$301:$F$738, $E$301:$E$738=$AA378)), COLUMNS($AB$365:AI$365))</f>
        <v>#REF!</v>
      </c>
      <c r="AJ378" s="22" t="e" cm="1">
        <f t="array" ref="AJ378">INDEX(_xlfn.UNIQUE(_xlfn._xlws.FILTER($F$301:$F$738, $E$301:$E$738=$AA378)), COLUMNS($AB$365:AJ$365))</f>
        <v>#REF!</v>
      </c>
      <c r="AK378" s="22" t="e" cm="1">
        <f t="array" ref="AK378">INDEX(_xlfn.UNIQUE(_xlfn._xlws.FILTER($F$301:$F$738, $E$301:$E$738=$AA378)), COLUMNS($AB$365:AK$365))</f>
        <v>#REF!</v>
      </c>
      <c r="AL378" s="22" t="e" cm="1">
        <f t="array" ref="AL378">INDEX(_xlfn.UNIQUE(_xlfn._xlws.FILTER($F$301:$F$738, $E$301:$E$738=$AA378)), COLUMNS($AB$365:AL$365))</f>
        <v>#REF!</v>
      </c>
    </row>
    <row r="379" spans="1:38" s="22" customFormat="1" x14ac:dyDescent="0.3">
      <c r="A379" s="22" t="str">
        <f>CONCATENATE(B379,C379,Lightweight_walls_minimum_insulation_R_Value_Climate_Zone_1109[[#This Row],[Column1]])</f>
        <v>1Lightweight walls&gt; 0.5 to ≤ 0.6</v>
      </c>
      <c r="B379" s="22">
        <v>1</v>
      </c>
      <c r="C379" s="22" t="s">
        <v>218</v>
      </c>
      <c r="D379" s="22" t="str">
        <f>CONCATENATE(B379,C379,Lightweight_walls_minimum_insulation_R_Value_Climate_Zone_1109[[#This Row],[Column1]],Lightweight_walls_minimum_insulation_R_Value_Climate_Zone_1109[[#This Row],[Column4]])</f>
        <v>1Lightweight walls&gt; 0.5 to ≤ 0.6&gt; 0 to ≤ 300</v>
      </c>
      <c r="E379" s="22" t="str">
        <f t="shared" si="5"/>
        <v>1Lightweight walls</v>
      </c>
      <c r="F379" s="32" t="s">
        <v>583</v>
      </c>
      <c r="G379" s="32" t="s">
        <v>521</v>
      </c>
      <c r="H379" s="32" t="s">
        <v>321</v>
      </c>
      <c r="I379" s="32" t="s">
        <v>321</v>
      </c>
      <c r="J379" s="32" t="s">
        <v>321</v>
      </c>
      <c r="K379" s="32" t="s">
        <v>321</v>
      </c>
      <c r="AA379" s="22" t="s">
        <v>543</v>
      </c>
      <c r="AB379" s="22" t="str" cm="1">
        <f t="array" ref="AB379">INDEX(_xlfn.UNIQUE(_xlfn._xlws.FILTER($F$301:$F$738, $E$301:$E$738=$AA379)), COLUMNS($AB$365:AB$365))</f>
        <v>≤ 0.35</v>
      </c>
      <c r="AC379" s="22" t="str" cm="1">
        <f t="array" ref="AC379">INDEX(_xlfn.UNIQUE(_xlfn._xlws.FILTER($F$301:$F$738, $E$301:$E$738=$AA379)), COLUMNS($AB$365:AC$365))</f>
        <v>&gt; 0.35 to ≤ 0.5</v>
      </c>
      <c r="AD379" s="22" t="str" cm="1">
        <f t="array" ref="AD379">INDEX(_xlfn.UNIQUE(_xlfn._xlws.FILTER($F$301:$F$738, $E$301:$E$738=$AA379)), COLUMNS($AB$365:AD$365))</f>
        <v>&gt; 0.5 to ≤ 0.7</v>
      </c>
      <c r="AE379" s="22" t="str" cm="1">
        <f t="array" ref="AE379">INDEX(_xlfn.UNIQUE(_xlfn._xlws.FILTER($F$301:$F$738, $E$301:$E$738=$AA379)), COLUMNS($AB$365:AE$365))</f>
        <v>&gt; 0.7 to ≤ 0.85</v>
      </c>
      <c r="AF379" s="22" t="e" cm="1">
        <f t="array" ref="AF379">INDEX(_xlfn.UNIQUE(_xlfn._xlws.FILTER($F$301:$F$738, $E$301:$E$738=$AA379)), COLUMNS($AB$365:AF$365))</f>
        <v>#REF!</v>
      </c>
      <c r="AG379" s="22" t="e" cm="1">
        <f t="array" ref="AG379">INDEX(_xlfn.UNIQUE(_xlfn._xlws.FILTER($F$301:$F$738, $E$301:$E$738=$AA379)), COLUMNS($AB$365:AG$365))</f>
        <v>#REF!</v>
      </c>
      <c r="AH379" s="22" t="e" cm="1">
        <f t="array" ref="AH379">INDEX(_xlfn.UNIQUE(_xlfn._xlws.FILTER($F$301:$F$738, $E$301:$E$738=$AA379)), COLUMNS($AB$365:AH$365))</f>
        <v>#REF!</v>
      </c>
      <c r="AI379" s="22" t="e" cm="1">
        <f t="array" ref="AI379">INDEX(_xlfn.UNIQUE(_xlfn._xlws.FILTER($F$301:$F$738, $E$301:$E$738=$AA379)), COLUMNS($AB$365:AI$365))</f>
        <v>#REF!</v>
      </c>
      <c r="AJ379" s="22" t="e" cm="1">
        <f t="array" ref="AJ379">INDEX(_xlfn.UNIQUE(_xlfn._xlws.FILTER($F$301:$F$738, $E$301:$E$738=$AA379)), COLUMNS($AB$365:AJ$365))</f>
        <v>#REF!</v>
      </c>
      <c r="AK379" s="22" t="e" cm="1">
        <f t="array" ref="AK379">INDEX(_xlfn.UNIQUE(_xlfn._xlws.FILTER($F$301:$F$738, $E$301:$E$738=$AA379)), COLUMNS($AB$365:AK$365))</f>
        <v>#REF!</v>
      </c>
      <c r="AL379" s="22" t="e" cm="1">
        <f t="array" ref="AL379">INDEX(_xlfn.UNIQUE(_xlfn._xlws.FILTER($F$301:$F$738, $E$301:$E$738=$AA379)), COLUMNS($AB$365:AL$365))</f>
        <v>#REF!</v>
      </c>
    </row>
    <row r="380" spans="1:38" s="22" customFormat="1" x14ac:dyDescent="0.3">
      <c r="A380" s="22" t="str">
        <f>CONCATENATE(B380,C380,Lightweight_walls_minimum_insulation_R_Value_Climate_Zone_1109[[#This Row],[Column1]])</f>
        <v>1Lightweight walls&gt; 0.5 to ≤ 0.6</v>
      </c>
      <c r="B380" s="22">
        <v>1</v>
      </c>
      <c r="C380" s="22" t="s">
        <v>218</v>
      </c>
      <c r="D380" s="22" t="str">
        <f>CONCATENATE(B380,C380,Lightweight_walls_minimum_insulation_R_Value_Climate_Zone_1109[[#This Row],[Column1]],Lightweight_walls_minimum_insulation_R_Value_Climate_Zone_1109[[#This Row],[Column4]])</f>
        <v>1Lightweight walls&gt; 0.5 to ≤ 0.6&gt; 300 to ≤ 450</v>
      </c>
      <c r="E380" s="22" t="str">
        <f t="shared" si="5"/>
        <v>1Lightweight walls</v>
      </c>
      <c r="F380" s="32" t="s">
        <v>583</v>
      </c>
      <c r="G380" s="32" t="s">
        <v>525</v>
      </c>
      <c r="H380" s="32">
        <v>1</v>
      </c>
      <c r="I380" s="32" t="s">
        <v>321</v>
      </c>
      <c r="J380" s="32" t="s">
        <v>321</v>
      </c>
      <c r="K380" s="32" t="s">
        <v>321</v>
      </c>
      <c r="AA380" s="22" t="s">
        <v>546</v>
      </c>
      <c r="AB380" s="22" t="str" cm="1">
        <f t="array" ref="AB380">INDEX(_xlfn.UNIQUE(_xlfn._xlws.FILTER($F$301:$F$738, $E$301:$E$738=$AA380)), COLUMNS($AB$365:AB$365))</f>
        <v>≤ 0.35</v>
      </c>
      <c r="AC380" s="22" t="str" cm="1">
        <f t="array" ref="AC380">INDEX(_xlfn.UNIQUE(_xlfn._xlws.FILTER($F$301:$F$738, $E$301:$E$738=$AA380)), COLUMNS($AB$365:AC$365))</f>
        <v>&gt; 0.35 to ≤ 0.5</v>
      </c>
      <c r="AD380" s="22" t="str" cm="1">
        <f t="array" ref="AD380">INDEX(_xlfn.UNIQUE(_xlfn._xlws.FILTER($F$301:$F$738, $E$301:$E$738=$AA380)), COLUMNS($AB$365:AD$365))</f>
        <v>&gt; 0.5 to ≤ 0.7</v>
      </c>
      <c r="AE380" s="22" t="str" cm="1">
        <f t="array" ref="AE380">INDEX(_xlfn.UNIQUE(_xlfn._xlws.FILTER($F$301:$F$738, $E$301:$E$738=$AA380)), COLUMNS($AB$365:AE$365))</f>
        <v>&gt; 0.7 to ≤ 0.85</v>
      </c>
      <c r="AF380" s="22" t="e" cm="1">
        <f t="array" ref="AF380">INDEX(_xlfn.UNIQUE(_xlfn._xlws.FILTER($F$301:$F$738, $E$301:$E$738=$AA380)), COLUMNS($AB$365:AF$365))</f>
        <v>#REF!</v>
      </c>
      <c r="AG380" s="22" t="e" cm="1">
        <f t="array" ref="AG380">INDEX(_xlfn.UNIQUE(_xlfn._xlws.FILTER($F$301:$F$738, $E$301:$E$738=$AA380)), COLUMNS($AB$365:AG$365))</f>
        <v>#REF!</v>
      </c>
      <c r="AH380" s="22" t="e" cm="1">
        <f t="array" ref="AH380">INDEX(_xlfn.UNIQUE(_xlfn._xlws.FILTER($F$301:$F$738, $E$301:$E$738=$AA380)), COLUMNS($AB$365:AH$365))</f>
        <v>#REF!</v>
      </c>
      <c r="AI380" s="22" t="e" cm="1">
        <f t="array" ref="AI380">INDEX(_xlfn.UNIQUE(_xlfn._xlws.FILTER($F$301:$F$738, $E$301:$E$738=$AA380)), COLUMNS($AB$365:AI$365))</f>
        <v>#REF!</v>
      </c>
      <c r="AJ380" s="22" t="e" cm="1">
        <f t="array" ref="AJ380">INDEX(_xlfn.UNIQUE(_xlfn._xlws.FILTER($F$301:$F$738, $E$301:$E$738=$AA380)), COLUMNS($AB$365:AJ$365))</f>
        <v>#REF!</v>
      </c>
      <c r="AK380" s="22" t="e" cm="1">
        <f t="array" ref="AK380">INDEX(_xlfn.UNIQUE(_xlfn._xlws.FILTER($F$301:$F$738, $E$301:$E$738=$AA380)), COLUMNS($AB$365:AK$365))</f>
        <v>#REF!</v>
      </c>
      <c r="AL380" s="22" t="e" cm="1">
        <f t="array" ref="AL380">INDEX(_xlfn.UNIQUE(_xlfn._xlws.FILTER($F$301:$F$738, $E$301:$E$738=$AA380)), COLUMNS($AB$365:AL$365))</f>
        <v>#REF!</v>
      </c>
    </row>
    <row r="381" spans="1:38" s="22" customFormat="1" x14ac:dyDescent="0.3">
      <c r="A381" s="22" t="str">
        <f>CONCATENATE(B381,C381,Lightweight_walls_minimum_insulation_R_Value_Climate_Zone_1109[[#This Row],[Column1]])</f>
        <v>1Lightweight walls&gt; 0.5 to ≤ 0.6</v>
      </c>
      <c r="B381" s="22">
        <v>1</v>
      </c>
      <c r="C381" s="22" t="s">
        <v>218</v>
      </c>
      <c r="D381" s="22" t="str">
        <f>CONCATENATE(B381,C381,Lightweight_walls_minimum_insulation_R_Value_Climate_Zone_1109[[#This Row],[Column1]],Lightweight_walls_minimum_insulation_R_Value_Climate_Zone_1109[[#This Row],[Column4]])</f>
        <v>1Lightweight walls&gt; 0.5 to ≤ 0.6&gt; 450 to ≤ 600</v>
      </c>
      <c r="E381" s="22" t="str">
        <f t="shared" si="5"/>
        <v>1Lightweight walls</v>
      </c>
      <c r="F381" s="32" t="s">
        <v>583</v>
      </c>
      <c r="G381" s="32" t="s">
        <v>528</v>
      </c>
      <c r="H381" s="32" t="s">
        <v>522</v>
      </c>
      <c r="I381" s="32">
        <v>2</v>
      </c>
      <c r="J381" s="32" t="s">
        <v>321</v>
      </c>
      <c r="K381" s="32" t="s">
        <v>321</v>
      </c>
      <c r="AA381"/>
      <c r="AC381"/>
    </row>
    <row r="382" spans="1:38" s="22" customFormat="1" x14ac:dyDescent="0.3">
      <c r="A382" s="22" t="str">
        <f>CONCATENATE(B382,C382,Lightweight_walls_minimum_insulation_R_Value_Climate_Zone_1109[[#This Row],[Column1]])</f>
        <v>1Lightweight walls&gt; 0.5 to ≤ 0.6</v>
      </c>
      <c r="B382" s="22">
        <v>1</v>
      </c>
      <c r="C382" s="22" t="s">
        <v>218</v>
      </c>
      <c r="D382" s="22" t="str">
        <f>CONCATENATE(B382,C382,Lightweight_walls_minimum_insulation_R_Value_Climate_Zone_1109[[#This Row],[Column1]],Lightweight_walls_minimum_insulation_R_Value_Climate_Zone_1109[[#This Row],[Column4]])</f>
        <v>1Lightweight walls&gt; 0.5 to ≤ 0.6&gt; 600 to ≤ 900</v>
      </c>
      <c r="E382" s="22" t="str">
        <f t="shared" si="5"/>
        <v>1Lightweight walls</v>
      </c>
      <c r="F382" s="32" t="s">
        <v>583</v>
      </c>
      <c r="G382" s="32" t="s">
        <v>531</v>
      </c>
      <c r="H382" s="32" t="s">
        <v>522</v>
      </c>
      <c r="I382" s="32">
        <v>1</v>
      </c>
      <c r="J382" s="32">
        <v>2</v>
      </c>
      <c r="K382" s="32" t="s">
        <v>321</v>
      </c>
      <c r="AA382"/>
      <c r="AC382"/>
    </row>
    <row r="383" spans="1:38" s="22" customFormat="1" x14ac:dyDescent="0.3">
      <c r="A383" s="22" t="str">
        <f>CONCATENATE(B383,C383,Lightweight_walls_minimum_insulation_R_Value_Climate_Zone_1109[[#This Row],[Column1]])</f>
        <v>1Lightweight walls&gt; 0.5 to ≤ 0.6</v>
      </c>
      <c r="B383" s="22">
        <v>1</v>
      </c>
      <c r="C383" s="22" t="s">
        <v>218</v>
      </c>
      <c r="D383" s="22" t="str">
        <f>CONCATENATE(B383,C383,Lightweight_walls_minimum_insulation_R_Value_Climate_Zone_1109[[#This Row],[Column1]],Lightweight_walls_minimum_insulation_R_Value_Climate_Zone_1109[[#This Row],[Column4]])</f>
        <v>1Lightweight walls&gt; 0.5 to ≤ 0.6&gt; 900 to ≤ 1200</v>
      </c>
      <c r="E383" s="22" t="str">
        <f t="shared" si="5"/>
        <v>1Lightweight walls</v>
      </c>
      <c r="F383" s="32" t="s">
        <v>583</v>
      </c>
      <c r="G383" s="32" t="s">
        <v>534</v>
      </c>
      <c r="H383" s="32" t="s">
        <v>522</v>
      </c>
      <c r="I383" s="32" t="s">
        <v>522</v>
      </c>
      <c r="J383" s="32">
        <v>1</v>
      </c>
      <c r="K383" s="32" t="s">
        <v>321</v>
      </c>
      <c r="AA383"/>
      <c r="AC383"/>
    </row>
    <row r="384" spans="1:38" s="22" customFormat="1" x14ac:dyDescent="0.3">
      <c r="A384" s="22" t="str">
        <f>CONCATENATE(B384,C384,Lightweight_walls_minimum_insulation_R_Value_Climate_Zone_1109[[#This Row],[Column1]])</f>
        <v>1Lightweight walls&gt; 0.5 to ≤ 0.6</v>
      </c>
      <c r="B384" s="22">
        <v>1</v>
      </c>
      <c r="C384" s="22" t="s">
        <v>218</v>
      </c>
      <c r="D384" s="22" t="str">
        <f>CONCATENATE(B384,C384,Lightweight_walls_minimum_insulation_R_Value_Climate_Zone_1109[[#This Row],[Column1]],Lightweight_walls_minimum_insulation_R_Value_Climate_Zone_1109[[#This Row],[Column4]])</f>
        <v>1Lightweight walls&gt; 0.5 to ≤ 0.6&gt; 1200 to ≤ 1500</v>
      </c>
      <c r="E384" s="22" t="str">
        <f t="shared" si="5"/>
        <v>1Lightweight walls</v>
      </c>
      <c r="F384" s="32" t="s">
        <v>583</v>
      </c>
      <c r="G384" s="32" t="s">
        <v>536</v>
      </c>
      <c r="H384" s="32" t="s">
        <v>522</v>
      </c>
      <c r="I384" s="32" t="s">
        <v>522</v>
      </c>
      <c r="J384" s="32" t="s">
        <v>522</v>
      </c>
      <c r="K384" s="32">
        <v>2.5</v>
      </c>
      <c r="AA384" s="2" t="s">
        <v>620</v>
      </c>
      <c r="AC384"/>
    </row>
    <row r="385" spans="1:31" s="22" customFormat="1" x14ac:dyDescent="0.3">
      <c r="A385" s="22" t="str">
        <f>CONCATENATE(B385,C385,Lightweight_walls_minimum_insulation_R_Value_Climate_Zone_1109[[#This Row],[Column1]])</f>
        <v>1Lightweight walls&gt; 0.5 to ≤ 0.6</v>
      </c>
      <c r="B385" s="22">
        <v>1</v>
      </c>
      <c r="C385" s="22" t="s">
        <v>218</v>
      </c>
      <c r="D385" s="22" t="str">
        <f>CONCATENATE(B385,C385,Lightweight_walls_minimum_insulation_R_Value_Climate_Zone_1109[[#This Row],[Column1]],Lightweight_walls_minimum_insulation_R_Value_Climate_Zone_1109[[#This Row],[Column4]])</f>
        <v>1Lightweight walls&gt; 0.5 to ≤ 0.6&gt; 1500 to ≤ 1800</v>
      </c>
      <c r="E385" s="22" t="str">
        <f t="shared" si="5"/>
        <v>1Lightweight walls</v>
      </c>
      <c r="F385" s="32" t="s">
        <v>583</v>
      </c>
      <c r="G385" s="32" t="s">
        <v>539</v>
      </c>
      <c r="H385" s="32">
        <v>0</v>
      </c>
      <c r="I385" s="32" t="s">
        <v>522</v>
      </c>
      <c r="J385" s="32" t="s">
        <v>522</v>
      </c>
      <c r="K385" s="32">
        <v>1.5</v>
      </c>
    </row>
    <row r="386" spans="1:31" s="22" customFormat="1" x14ac:dyDescent="0.3">
      <c r="A386" s="22" t="str">
        <f>CONCATENATE(B386,C386,Lightweight_walls_minimum_insulation_R_Value_Climate_Zone_1109[[#This Row],[Column1]])</f>
        <v>1Lightweight walls&gt; 0.5 to ≤ 0.6</v>
      </c>
      <c r="B386" s="22">
        <v>1</v>
      </c>
      <c r="C386" s="22" t="s">
        <v>218</v>
      </c>
      <c r="D386" s="22" t="str">
        <f>CONCATENATE(B386,C386,Lightweight_walls_minimum_insulation_R_Value_Climate_Zone_1109[[#This Row],[Column1]],Lightweight_walls_minimum_insulation_R_Value_Climate_Zone_1109[[#This Row],[Column4]])</f>
        <v>1Lightweight walls&gt; 0.5 to ≤ 0.6&gt; 1800 to ≤ 2400</v>
      </c>
      <c r="E386" s="22" t="str">
        <f t="shared" si="5"/>
        <v>1Lightweight walls</v>
      </c>
      <c r="F386" s="32" t="s">
        <v>583</v>
      </c>
      <c r="G386" s="32" t="s">
        <v>542</v>
      </c>
      <c r="H386" s="32">
        <v>0</v>
      </c>
      <c r="I386" s="32">
        <v>0</v>
      </c>
      <c r="J386" s="32" t="s">
        <v>522</v>
      </c>
      <c r="K386" s="32">
        <v>1</v>
      </c>
    </row>
    <row r="387" spans="1:31" s="22" customFormat="1" x14ac:dyDescent="0.3">
      <c r="A387" s="22" t="str">
        <f>CONCATENATE(B387,C387,Lightweight_walls_minimum_insulation_R_Value_Climate_Zone_1109[[#This Row],[Column1]])</f>
        <v>1Lightweight walls&gt; 0.6 to ≤ 0.7</v>
      </c>
      <c r="B387" s="22">
        <v>1</v>
      </c>
      <c r="C387" s="22" t="s">
        <v>218</v>
      </c>
      <c r="D387" s="22" t="str">
        <f>CONCATENATE(B387,C387,Lightweight_walls_minimum_insulation_R_Value_Climate_Zone_1109[[#This Row],[Column1]],Lightweight_walls_minimum_insulation_R_Value_Climate_Zone_1109[[#This Row],[Column4]])</f>
        <v>1Lightweight walls&gt; 0.6 to ≤ 0.70</v>
      </c>
      <c r="E387" s="22" t="str">
        <f t="shared" si="5"/>
        <v>1Lightweight walls</v>
      </c>
      <c r="F387" s="32" t="s">
        <v>596</v>
      </c>
      <c r="G387" s="32">
        <v>0</v>
      </c>
      <c r="H387" s="32" t="s">
        <v>321</v>
      </c>
      <c r="I387" s="32" t="s">
        <v>321</v>
      </c>
      <c r="J387" s="32" t="s">
        <v>321</v>
      </c>
      <c r="K387" s="32" t="s">
        <v>321</v>
      </c>
      <c r="Z387" s="22" t="s">
        <v>498</v>
      </c>
      <c r="AA387" s="22" t="str">
        <f>'13.2 Building Fabric'!C65</f>
        <v>5</v>
      </c>
      <c r="AB387" s="22" t="e" cm="1">
        <f t="array" aca="1" ref="AB387" ca="1">OFFSET(D_Building_Fabric!$AB$394,MATCH('13.2 Building Fabric'!$C65,D_Building_Fabric!$AA$395:$AA$409,0),,,COUNTIF(OFFSET(D_Building_Fabric!$AB$394,MATCH('13.2 Building Fabric'!$C65,D_Building_Fabric!$AA$395:$AA$409,0),,1,20),"?*"))</f>
        <v>#N/A</v>
      </c>
    </row>
    <row r="388" spans="1:31" s="22" customFormat="1" x14ac:dyDescent="0.3">
      <c r="A388" s="22" t="str">
        <f>CONCATENATE(B388,C388,Lightweight_walls_minimum_insulation_R_Value_Climate_Zone_1109[[#This Row],[Column1]])</f>
        <v>1Lightweight walls&gt; 0.6 to ≤ 0.7</v>
      </c>
      <c r="B388" s="22">
        <v>1</v>
      </c>
      <c r="C388" s="22" t="s">
        <v>218</v>
      </c>
      <c r="D388" s="22" t="str">
        <f>CONCATENATE(B388,C388,Lightweight_walls_minimum_insulation_R_Value_Climate_Zone_1109[[#This Row],[Column1]],Lightweight_walls_minimum_insulation_R_Value_Climate_Zone_1109[[#This Row],[Column4]])</f>
        <v>1Lightweight walls&gt; 0.6 to ≤ 0.7&gt; 0 to ≤ 300</v>
      </c>
      <c r="E388" s="22" t="str">
        <f t="shared" si="5"/>
        <v>1Lightweight walls</v>
      </c>
      <c r="F388" s="32" t="s">
        <v>596</v>
      </c>
      <c r="G388" s="32" t="s">
        <v>521</v>
      </c>
      <c r="H388" s="32" t="s">
        <v>321</v>
      </c>
      <c r="I388" s="32" t="s">
        <v>321</v>
      </c>
      <c r="J388" s="32" t="s">
        <v>321</v>
      </c>
      <c r="K388" s="32" t="s">
        <v>321</v>
      </c>
      <c r="Z388" s="22" t="s">
        <v>500</v>
      </c>
      <c r="AA388" s="22" t="str">
        <f>'13.2 Building Fabric'!C66</f>
        <v>5</v>
      </c>
      <c r="AB388" s="22" t="e" cm="1">
        <f t="array" aca="1" ref="AB388" ca="1">OFFSET(D_Building_Fabric!$AB$394,MATCH('13.2 Building Fabric'!$C66,D_Building_Fabric!$AA$395:$AA$409,0),,,COUNTIF(OFFSET(D_Building_Fabric!$AB$394,MATCH('13.2 Building Fabric'!$C66,D_Building_Fabric!$AA$395:$AA$409,0),,1,20),"?*"))</f>
        <v>#N/A</v>
      </c>
    </row>
    <row r="389" spans="1:31" s="22" customFormat="1" x14ac:dyDescent="0.3">
      <c r="A389" s="22" t="str">
        <f>CONCATENATE(B389,C389,Lightweight_walls_minimum_insulation_R_Value_Climate_Zone_1109[[#This Row],[Column1]])</f>
        <v>1Lightweight walls&gt; 0.6 to ≤ 0.7</v>
      </c>
      <c r="B389" s="22">
        <v>1</v>
      </c>
      <c r="C389" s="22" t="s">
        <v>218</v>
      </c>
      <c r="D389" s="22" t="str">
        <f>CONCATENATE(B389,C389,Lightweight_walls_minimum_insulation_R_Value_Climate_Zone_1109[[#This Row],[Column1]],Lightweight_walls_minimum_insulation_R_Value_Climate_Zone_1109[[#This Row],[Column4]])</f>
        <v>1Lightweight walls&gt; 0.6 to ≤ 0.7&gt; 300 to ≤ 450</v>
      </c>
      <c r="E389" s="22" t="str">
        <f t="shared" si="5"/>
        <v>1Lightweight walls</v>
      </c>
      <c r="F389" s="32" t="s">
        <v>596</v>
      </c>
      <c r="G389" s="32" t="s">
        <v>525</v>
      </c>
      <c r="H389" s="32">
        <v>1</v>
      </c>
      <c r="I389" s="32" t="s">
        <v>321</v>
      </c>
      <c r="J389" s="32" t="s">
        <v>321</v>
      </c>
      <c r="K389" s="32" t="s">
        <v>321</v>
      </c>
      <c r="Z389" s="22" t="s">
        <v>617</v>
      </c>
      <c r="AA389" s="22" t="str">
        <f>'13.2 Building Fabric'!C67</f>
        <v>5</v>
      </c>
      <c r="AB389" s="22" t="e" cm="1">
        <f t="array" aca="1" ref="AB389" ca="1">OFFSET(D_Building_Fabric!$AB$394,MATCH('13.2 Building Fabric'!$C67,D_Building_Fabric!$AA$395:$AA$409,0),,,COUNTIF(OFFSET(D_Building_Fabric!$AB$394,MATCH('13.2 Building Fabric'!$C67,D_Building_Fabric!$AA$395:$AA$409,0),,1,20),"?*"))</f>
        <v>#N/A</v>
      </c>
    </row>
    <row r="390" spans="1:31" s="22" customFormat="1" x14ac:dyDescent="0.3">
      <c r="A390" s="22" t="str">
        <f>CONCATENATE(B390,C390,Lightweight_walls_minimum_insulation_R_Value_Climate_Zone_1109[[#This Row],[Column1]])</f>
        <v>1Lightweight walls&gt; 0.6 to ≤ 0.7</v>
      </c>
      <c r="B390" s="22">
        <v>1</v>
      </c>
      <c r="C390" s="22" t="s">
        <v>218</v>
      </c>
      <c r="D390" s="22" t="str">
        <f>CONCATENATE(B390,C390,Lightweight_walls_minimum_insulation_R_Value_Climate_Zone_1109[[#This Row],[Column1]],Lightweight_walls_minimum_insulation_R_Value_Climate_Zone_1109[[#This Row],[Column4]])</f>
        <v>1Lightweight walls&gt; 0.6 to ≤ 0.7&gt; 450 to ≤ 600</v>
      </c>
      <c r="E390" s="22" t="str">
        <f t="shared" si="5"/>
        <v>1Lightweight walls</v>
      </c>
      <c r="F390" s="32" t="s">
        <v>596</v>
      </c>
      <c r="G390" s="32" t="s">
        <v>528</v>
      </c>
      <c r="H390" s="32" t="s">
        <v>522</v>
      </c>
      <c r="I390" s="32">
        <v>2</v>
      </c>
      <c r="J390" s="32" t="s">
        <v>321</v>
      </c>
      <c r="K390" s="32" t="s">
        <v>321</v>
      </c>
      <c r="Z390" s="22" t="s">
        <v>618</v>
      </c>
      <c r="AA390" s="22" t="str">
        <f>'13.2 Building Fabric'!C68</f>
        <v>5</v>
      </c>
      <c r="AB390" s="22" t="e" cm="1">
        <f t="array" aca="1" ref="AB390" ca="1">OFFSET(D_Building_Fabric!$AB$394,MATCH('13.2 Building Fabric'!$C68,D_Building_Fabric!$AA$395:$AA$409,0),,,COUNTIF(OFFSET(D_Building_Fabric!$AB$394,MATCH('13.2 Building Fabric'!$C68,D_Building_Fabric!$AA$395:$AA$409,0),,1,20),"?*"))</f>
        <v>#N/A</v>
      </c>
    </row>
    <row r="391" spans="1:31" s="22" customFormat="1" x14ac:dyDescent="0.3">
      <c r="A391" s="22" t="str">
        <f>CONCATENATE(B391,C391,Lightweight_walls_minimum_insulation_R_Value_Climate_Zone_1109[[#This Row],[Column1]])</f>
        <v>1Lightweight walls&gt; 0.6 to ≤ 0.7</v>
      </c>
      <c r="B391" s="22">
        <v>1</v>
      </c>
      <c r="C391" s="22" t="s">
        <v>218</v>
      </c>
      <c r="D391" s="22" t="str">
        <f>CONCATENATE(B391,C391,Lightweight_walls_minimum_insulation_R_Value_Climate_Zone_1109[[#This Row],[Column1]],Lightweight_walls_minimum_insulation_R_Value_Climate_Zone_1109[[#This Row],[Column4]])</f>
        <v>1Lightweight walls&gt; 0.6 to ≤ 0.7&gt; 600 to ≤ 900</v>
      </c>
      <c r="E391" s="22" t="str">
        <f t="shared" si="5"/>
        <v>1Lightweight walls</v>
      </c>
      <c r="F391" s="32" t="s">
        <v>596</v>
      </c>
      <c r="G391" s="32" t="s">
        <v>531</v>
      </c>
      <c r="H391" s="32" t="s">
        <v>522</v>
      </c>
      <c r="I391" s="32">
        <v>1</v>
      </c>
      <c r="J391" s="32">
        <v>2</v>
      </c>
      <c r="K391" s="32" t="s">
        <v>321</v>
      </c>
    </row>
    <row r="392" spans="1:31" s="22" customFormat="1" x14ac:dyDescent="0.3">
      <c r="A392" s="22" t="str">
        <f>CONCATENATE(B392,C392,Lightweight_walls_minimum_insulation_R_Value_Climate_Zone_1109[[#This Row],[Column1]])</f>
        <v>1Lightweight walls&gt; 0.6 to ≤ 0.7</v>
      </c>
      <c r="B392" s="22">
        <v>1</v>
      </c>
      <c r="C392" s="22" t="s">
        <v>218</v>
      </c>
      <c r="D392" s="22" t="str">
        <f>CONCATENATE(B392,C392,Lightweight_walls_minimum_insulation_R_Value_Climate_Zone_1109[[#This Row],[Column1]],Lightweight_walls_minimum_insulation_R_Value_Climate_Zone_1109[[#This Row],[Column4]])</f>
        <v>1Lightweight walls&gt; 0.6 to ≤ 0.7&gt; 900 to ≤ 1200</v>
      </c>
      <c r="E392" s="22" t="str">
        <f t="shared" si="5"/>
        <v>1Lightweight walls</v>
      </c>
      <c r="F392" s="32" t="s">
        <v>596</v>
      </c>
      <c r="G392" s="32" t="s">
        <v>534</v>
      </c>
      <c r="H392" s="32" t="s">
        <v>522</v>
      </c>
      <c r="I392" s="32" t="s">
        <v>522</v>
      </c>
      <c r="J392" s="32">
        <v>1</v>
      </c>
      <c r="K392" s="32" t="s">
        <v>321</v>
      </c>
    </row>
    <row r="393" spans="1:31" s="22" customFormat="1" x14ac:dyDescent="0.3">
      <c r="A393" s="22" t="str">
        <f>CONCATENATE(B393,C393,Lightweight_walls_minimum_insulation_R_Value_Climate_Zone_1109[[#This Row],[Column1]])</f>
        <v>1Lightweight walls&gt; 0.6 to ≤ 0.7</v>
      </c>
      <c r="B393" s="22">
        <v>1</v>
      </c>
      <c r="C393" s="22" t="s">
        <v>218</v>
      </c>
      <c r="D393" s="22" t="str">
        <f>CONCATENATE(B393,C393,Lightweight_walls_minimum_insulation_R_Value_Climate_Zone_1109[[#This Row],[Column1]],Lightweight_walls_minimum_insulation_R_Value_Climate_Zone_1109[[#This Row],[Column4]])</f>
        <v>1Lightweight walls&gt; 0.6 to ≤ 0.7&gt; 1200 to ≤ 1500</v>
      </c>
      <c r="E393" s="22" t="str">
        <f t="shared" si="5"/>
        <v>1Lightweight walls</v>
      </c>
      <c r="F393" s="32" t="s">
        <v>596</v>
      </c>
      <c r="G393" s="32" t="s">
        <v>536</v>
      </c>
      <c r="H393" s="32" t="s">
        <v>522</v>
      </c>
      <c r="I393" s="32" t="s">
        <v>522</v>
      </c>
      <c r="J393" s="32" t="s">
        <v>522</v>
      </c>
      <c r="K393" s="32">
        <v>2.5</v>
      </c>
    </row>
    <row r="394" spans="1:31" s="22" customFormat="1" x14ac:dyDescent="0.3">
      <c r="A394" s="22" t="str">
        <f>CONCATENATE(B394,C394,Lightweight_walls_minimum_insulation_R_Value_Climate_Zone_1109[[#This Row],[Column1]])</f>
        <v>1Lightweight walls&gt; 0.6 to ≤ 0.7</v>
      </c>
      <c r="B394" s="22">
        <v>1</v>
      </c>
      <c r="C394" s="22" t="s">
        <v>218</v>
      </c>
      <c r="D394" s="22" t="str">
        <f>CONCATENATE(B394,C394,Lightweight_walls_minimum_insulation_R_Value_Climate_Zone_1109[[#This Row],[Column1]],Lightweight_walls_minimum_insulation_R_Value_Climate_Zone_1109[[#This Row],[Column4]])</f>
        <v>1Lightweight walls&gt; 0.6 to ≤ 0.7&gt; 1500 to ≤ 1800</v>
      </c>
      <c r="E394" s="22" t="str">
        <f t="shared" si="5"/>
        <v>1Lightweight walls</v>
      </c>
      <c r="F394" s="32" t="s">
        <v>596</v>
      </c>
      <c r="G394" s="32" t="s">
        <v>539</v>
      </c>
      <c r="H394" s="32">
        <v>0</v>
      </c>
      <c r="I394" s="32" t="s">
        <v>522</v>
      </c>
      <c r="J394" s="32" t="s">
        <v>522</v>
      </c>
      <c r="K394" s="32">
        <v>1.5</v>
      </c>
      <c r="AA394"/>
      <c r="AB394" s="22">
        <v>1</v>
      </c>
      <c r="AC394">
        <v>2</v>
      </c>
      <c r="AD394" s="22">
        <v>3</v>
      </c>
      <c r="AE394" s="22">
        <v>4</v>
      </c>
    </row>
    <row r="395" spans="1:31" s="22" customFormat="1" x14ac:dyDescent="0.3">
      <c r="A395" s="22" t="str">
        <f>CONCATENATE(B395,C395,Lightweight_walls_minimum_insulation_R_Value_Climate_Zone_1109[[#This Row],[Column1]])</f>
        <v>1Lightweight walls&gt; 0.6 to ≤ 0.7</v>
      </c>
      <c r="B395" s="22">
        <v>1</v>
      </c>
      <c r="C395" s="22" t="s">
        <v>218</v>
      </c>
      <c r="D395" s="22" t="str">
        <f>CONCATENATE(B395,C395,Lightweight_walls_minimum_insulation_R_Value_Climate_Zone_1109[[#This Row],[Column1]],Lightweight_walls_minimum_insulation_R_Value_Climate_Zone_1109[[#This Row],[Column4]])</f>
        <v>1Lightweight walls&gt; 0.6 to ≤ 0.7&gt; 1800 to ≤ 2400</v>
      </c>
      <c r="E395" s="22" t="str">
        <f t="shared" si="5"/>
        <v>1Lightweight walls</v>
      </c>
      <c r="F395" s="32" t="s">
        <v>596</v>
      </c>
      <c r="G395" s="32" t="s">
        <v>542</v>
      </c>
      <c r="H395" s="32">
        <v>0</v>
      </c>
      <c r="I395" s="32">
        <v>0</v>
      </c>
      <c r="J395" s="32" t="s">
        <v>522</v>
      </c>
      <c r="K395" s="32">
        <v>1</v>
      </c>
      <c r="AA395" t="s">
        <v>502</v>
      </c>
      <c r="AB395" s="22" t="str" cm="1">
        <f t="array" aca="1" ref="AB395:AE395" ca="1">OFFSET($A$13,MATCH($AA395,$A$13:$A$1000,0)-1,7,1,COUNTIF(H$13:K$13,"&lt;&gt;"))</f>
        <v>≤ 2.4</v>
      </c>
      <c r="AC395" t="str">
        <f ca="1"/>
        <v>&gt; 2.4 to ≤ 2.7</v>
      </c>
      <c r="AD395" s="22" t="str">
        <f ca="1"/>
        <v>&gt; 2.7 to ≤ 3.0</v>
      </c>
      <c r="AE395" s="22" t="str">
        <f ca="1"/>
        <v>&gt; 3.0 to ≤ 3.6</v>
      </c>
    </row>
    <row r="396" spans="1:31" s="22" customFormat="1" x14ac:dyDescent="0.3">
      <c r="AA396" t="s">
        <v>504</v>
      </c>
      <c r="AB396" s="22" t="str" cm="1">
        <f t="array" aca="1" ref="AB396:AE396" ca="1">OFFSET($A$13,MATCH($AA396,$A$13:$A$1000,0)-1,7,1,COUNTIF(H$13:K$13,"&lt;&gt;"))</f>
        <v>≤ 2.4</v>
      </c>
      <c r="AC396" t="str">
        <f ca="1"/>
        <v>&gt; 2.4 to ≤ 2.7</v>
      </c>
      <c r="AD396" s="22" t="str">
        <f ca="1"/>
        <v>&gt; 2.7 to ≤ 3.0</v>
      </c>
      <c r="AE396" s="22" t="str">
        <f ca="1"/>
        <v>&gt; 3.0 to ≤ 3.6</v>
      </c>
    </row>
    <row r="397" spans="1:31" s="22" customFormat="1" x14ac:dyDescent="0.3">
      <c r="F397" s="22" t="s">
        <v>621</v>
      </c>
      <c r="AA397" t="s">
        <v>506</v>
      </c>
      <c r="AB397" s="22" t="str" cm="1">
        <f t="array" aca="1" ref="AB397:AE397" ca="1">OFFSET($A$13,MATCH($AA397,$A$13:$A$1000,0)-1,7,1,COUNTIF(H$13:K$13,"&lt;&gt;"))</f>
        <v>≤ 2.4</v>
      </c>
      <c r="AC397" t="str">
        <f ca="1"/>
        <v>&gt; 2.4 to ≤ 2.7</v>
      </c>
      <c r="AD397" s="22" t="str">
        <f ca="1"/>
        <v>&gt; 2.7 to ≤ 3.0</v>
      </c>
      <c r="AE397" s="22" t="str">
        <f ca="1"/>
        <v>&gt; 3.0 to ≤ 3.6</v>
      </c>
    </row>
    <row r="398" spans="1:31" s="22" customFormat="1" x14ac:dyDescent="0.3">
      <c r="F398" s="22" t="s">
        <v>622</v>
      </c>
      <c r="AA398" t="s">
        <v>511</v>
      </c>
      <c r="AB398" s="22" t="str" cm="1">
        <f t="array" aca="1" ref="AB398:AE398" ca="1">OFFSET($A$13,MATCH($AA398,$A$13:$A$1000,0)-1,7,1,COUNTIF(H$13:K$13,"&lt;&gt;"))</f>
        <v>≤ 2.4</v>
      </c>
      <c r="AC398" t="str">
        <f ca="1"/>
        <v>&gt; 2.4 to ≤ 2.7</v>
      </c>
      <c r="AD398" s="22" t="str">
        <f ca="1"/>
        <v>&gt; 2.7 to ≤ 3.0</v>
      </c>
      <c r="AE398" s="22" t="str">
        <f ca="1"/>
        <v>&gt; 3.0 to ≤ 3.6</v>
      </c>
    </row>
    <row r="399" spans="1:31" s="22" customFormat="1" x14ac:dyDescent="0.3">
      <c r="F399" s="742" t="s">
        <v>234</v>
      </c>
      <c r="G399" s="708" t="s">
        <v>140</v>
      </c>
      <c r="H399" s="742" t="s">
        <v>510</v>
      </c>
      <c r="I399" s="742"/>
      <c r="J399" s="742"/>
      <c r="K399" s="742"/>
      <c r="AA399" t="s">
        <v>516</v>
      </c>
      <c r="AB399" s="22" t="str" cm="1">
        <f t="array" ref="AB399">IF(Concrete_block_wall_minimum_insulation_R_Value_climate_zone_3112[Overhang (mm)]="","")</f>
        <v/>
      </c>
      <c r="AC399"/>
    </row>
    <row r="400" spans="1:31" s="22" customFormat="1" x14ac:dyDescent="0.3">
      <c r="A400" s="22" t="str">
        <f>E401</f>
        <v>2Masonry veneer walls</v>
      </c>
      <c r="F400" s="742"/>
      <c r="G400" s="742"/>
      <c r="H400" s="742" t="s">
        <v>512</v>
      </c>
      <c r="I400" s="742" t="s">
        <v>513</v>
      </c>
      <c r="J400" s="742" t="s">
        <v>514</v>
      </c>
      <c r="K400" s="742" t="s">
        <v>515</v>
      </c>
      <c r="AA400" t="s">
        <v>519</v>
      </c>
      <c r="AB400" s="22" t="str" cm="1">
        <f t="array" aca="1" ref="AB400:AE400" ca="1">OFFSET($A$13,MATCH($AA400,$A$13:$A$1000,0)-1,7,1,COUNTIF(H$13:K$13,"&lt;&gt;"))</f>
        <v>≤ 2.4</v>
      </c>
      <c r="AC400" t="str">
        <f ca="1"/>
        <v>&gt; 2.4 to ≤ 2.7</v>
      </c>
      <c r="AD400" s="22" t="str">
        <f ca="1"/>
        <v>&gt; 2.7 to ≤ 3.0</v>
      </c>
      <c r="AE400" s="22" t="str">
        <f ca="1"/>
        <v>&gt; 3.0 to ≤ 3.6</v>
      </c>
    </row>
    <row r="401" spans="1:31" s="22" customFormat="1" x14ac:dyDescent="0.3">
      <c r="A401" s="22" t="str">
        <f>CONCATENATE(B401,C401,Masonry_veneer_wall_minimum_insulation_R_Value_climate_zone_2110[[#This Row],[Column1]])</f>
        <v>2Masonry veneer walls≤ 0.35</v>
      </c>
      <c r="B401" s="22">
        <v>2</v>
      </c>
      <c r="C401" s="22" t="s">
        <v>233</v>
      </c>
      <c r="D401" s="22" t="str">
        <f>CONCATENATE(B401,C401,Masonry_veneer_wall_minimum_insulation_R_Value_climate_zone_2110[[#This Row],[Column1]],Masonry_veneer_wall_minimum_insulation_R_Value_climate_zone_2110[[#This Row],[Column6]])</f>
        <v>2Masonry veneer walls≤ 0.350</v>
      </c>
      <c r="E401" s="22" t="str">
        <f t="shared" si="5"/>
        <v>2Masonry veneer walls</v>
      </c>
      <c r="F401" s="32" t="s">
        <v>623</v>
      </c>
      <c r="G401" s="32">
        <v>0</v>
      </c>
      <c r="H401" s="32" t="s">
        <v>321</v>
      </c>
      <c r="I401" s="32" t="s">
        <v>321</v>
      </c>
      <c r="J401" s="32" t="s">
        <v>321</v>
      </c>
      <c r="K401" s="32" t="s">
        <v>321</v>
      </c>
      <c r="AA401" t="s">
        <v>523</v>
      </c>
      <c r="AB401" s="22" t="str" cm="1">
        <f t="array" aca="1" ref="AB401:AE401" ca="1">OFFSET($A$13,MATCH($AA401,$A$13:$A$1000,0)-1,7,1,COUNTIF(H$13:K$13,"&lt;&gt;"))</f>
        <v>≤ 2.4</v>
      </c>
      <c r="AC401" t="str">
        <f ca="1"/>
        <v>&gt; 2.4 to ≤ 2.7</v>
      </c>
      <c r="AD401" s="22" t="str">
        <f ca="1"/>
        <v>&gt; 2.7 to ≤ 3.0</v>
      </c>
      <c r="AE401" s="22" t="str">
        <f ca="1"/>
        <v>&gt; 3.0 to ≤ 3.6</v>
      </c>
    </row>
    <row r="402" spans="1:31" s="22" customFormat="1" x14ac:dyDescent="0.3">
      <c r="A402" s="22" t="str">
        <f>CONCATENATE(B402,C402,Masonry_veneer_wall_minimum_insulation_R_Value_climate_zone_2110[[#This Row],[Column1]])</f>
        <v>2Masonry veneer walls≤ 0.35</v>
      </c>
      <c r="B402" s="22">
        <v>2</v>
      </c>
      <c r="C402" s="22" t="s">
        <v>233</v>
      </c>
      <c r="D402" s="22" t="str">
        <f>CONCATENATE(B402,C402,Masonry_veneer_wall_minimum_insulation_R_Value_climate_zone_2110[[#This Row],[Column1]],Masonry_veneer_wall_minimum_insulation_R_Value_climate_zone_2110[[#This Row],[Column6]])</f>
        <v>2Masonry veneer walls≤ 0.35&gt; 0 to ≤ 300</v>
      </c>
      <c r="E402" s="22" t="str">
        <f t="shared" si="5"/>
        <v>2Masonry veneer walls</v>
      </c>
      <c r="F402" s="32" t="s">
        <v>623</v>
      </c>
      <c r="G402" s="32" t="s">
        <v>521</v>
      </c>
      <c r="H402" s="32">
        <v>2</v>
      </c>
      <c r="I402" s="32" t="s">
        <v>321</v>
      </c>
      <c r="J402" s="32" t="s">
        <v>321</v>
      </c>
      <c r="K402" s="32" t="s">
        <v>321</v>
      </c>
      <c r="AA402" t="s">
        <v>526</v>
      </c>
      <c r="AB402" s="22" t="str" cm="1">
        <f t="array" aca="1" ref="AB402:AE402" ca="1">OFFSET($A$13,MATCH($AA402,$A$13:$A$1000,0)-1,7,1,COUNTIF(H$13:K$13,"&lt;&gt;"))</f>
        <v>≤ 2.4</v>
      </c>
      <c r="AC402" t="str">
        <f ca="1"/>
        <v>&gt; 2.4 to ≤ 2.7</v>
      </c>
      <c r="AD402" s="22" t="str">
        <f ca="1"/>
        <v>&gt; 2.7 to ≤ 3.0</v>
      </c>
      <c r="AE402" s="22" t="str">
        <f ca="1"/>
        <v>&gt; 3.0 to ≤ 3.6</v>
      </c>
    </row>
    <row r="403" spans="1:31" s="22" customFormat="1" x14ac:dyDescent="0.3">
      <c r="A403" s="22" t="str">
        <f>CONCATENATE(B403,C403,Masonry_veneer_wall_minimum_insulation_R_Value_climate_zone_2110[[#This Row],[Column1]])</f>
        <v>2Masonry veneer walls≤ 0.35</v>
      </c>
      <c r="B403" s="22">
        <v>2</v>
      </c>
      <c r="C403" s="22" t="s">
        <v>233</v>
      </c>
      <c r="D403" s="22" t="str">
        <f>CONCATENATE(B403,C403,Masonry_veneer_wall_minimum_insulation_R_Value_climate_zone_2110[[#This Row],[Column1]],Masonry_veneer_wall_minimum_insulation_R_Value_climate_zone_2110[[#This Row],[Column6]])</f>
        <v>2Masonry veneer walls≤ 0.35&gt; 300 to ≤ 450</v>
      </c>
      <c r="E403" s="22" t="str">
        <f t="shared" si="5"/>
        <v>2Masonry veneer walls</v>
      </c>
      <c r="F403" s="32" t="s">
        <v>623</v>
      </c>
      <c r="G403" s="32" t="s">
        <v>525</v>
      </c>
      <c r="H403" s="32">
        <v>1.5</v>
      </c>
      <c r="I403" s="32" t="s">
        <v>321</v>
      </c>
      <c r="J403" s="32" t="s">
        <v>321</v>
      </c>
      <c r="K403" s="32" t="s">
        <v>321</v>
      </c>
      <c r="AA403" t="s">
        <v>529</v>
      </c>
      <c r="AB403" s="22" t="str" cm="1">
        <f t="array" aca="1" ref="AB403:AE403" ca="1">OFFSET($A$13,MATCH($AA403,$A$13:$A$1000,0)-1,7,1,COUNTIF(H$13:K$13,"&lt;&gt;"))</f>
        <v>≤ 2.4</v>
      </c>
      <c r="AC403" t="str">
        <f ca="1"/>
        <v>&gt; 2.4 to ≤ 2.7</v>
      </c>
      <c r="AD403" s="22" t="str">
        <f ca="1"/>
        <v>2.7 to ≤ 3.0</v>
      </c>
      <c r="AE403" s="22" t="str">
        <f ca="1"/>
        <v>&gt; 3.0 to ≤ 3.6</v>
      </c>
    </row>
    <row r="404" spans="1:31" s="22" customFormat="1" x14ac:dyDescent="0.3">
      <c r="A404" s="22" t="str">
        <f>CONCATENATE(B404,C404,Masonry_veneer_wall_minimum_insulation_R_Value_climate_zone_2110[[#This Row],[Column1]])</f>
        <v>2Masonry veneer walls≤ 0.35</v>
      </c>
      <c r="B404" s="22">
        <v>2</v>
      </c>
      <c r="C404" s="22" t="s">
        <v>233</v>
      </c>
      <c r="D404" s="22" t="str">
        <f>CONCATENATE(B404,C404,Masonry_veneer_wall_minimum_insulation_R_Value_climate_zone_2110[[#This Row],[Column1]],Masonry_veneer_wall_minimum_insulation_R_Value_climate_zone_2110[[#This Row],[Column6]])</f>
        <v>2Masonry veneer walls≤ 0.35&gt; 450 to ≤ 600</v>
      </c>
      <c r="E404" s="22" t="str">
        <f t="shared" si="5"/>
        <v>2Masonry veneer walls</v>
      </c>
      <c r="F404" s="32" t="s">
        <v>623</v>
      </c>
      <c r="G404" s="32" t="s">
        <v>528</v>
      </c>
      <c r="H404" s="32">
        <v>1.5</v>
      </c>
      <c r="I404" s="32">
        <v>2</v>
      </c>
      <c r="J404" s="32" t="s">
        <v>321</v>
      </c>
      <c r="K404" s="32" t="s">
        <v>321</v>
      </c>
      <c r="AA404" t="s">
        <v>532</v>
      </c>
      <c r="AB404" s="22" t="str" cm="1">
        <f t="array" aca="1" ref="AB404:AE404" ca="1">OFFSET($A$13,MATCH($AA404,$A$13:$A$1000,0)-1,7,1,COUNTIF(H$13:K$13,"&lt;&gt;"))</f>
        <v>≤ 2.4</v>
      </c>
      <c r="AC404" t="str">
        <f ca="1"/>
        <v>&gt; 2.4 to ≤ 2.7</v>
      </c>
      <c r="AD404" s="22" t="str">
        <f ca="1"/>
        <v>&gt; 2.7 to ≤ 3.0</v>
      </c>
      <c r="AE404" s="22" t="str">
        <f ca="1"/>
        <v>&gt; 3.0 to ≤ 3.6</v>
      </c>
    </row>
    <row r="405" spans="1:31" s="22" customFormat="1" x14ac:dyDescent="0.3">
      <c r="A405" s="22" t="str">
        <f>CONCATENATE(B405,C405,Masonry_veneer_wall_minimum_insulation_R_Value_climate_zone_2110[[#This Row],[Column1]])</f>
        <v>2Masonry veneer walls≤ 0.35</v>
      </c>
      <c r="B405" s="22">
        <v>2</v>
      </c>
      <c r="C405" s="22" t="s">
        <v>233</v>
      </c>
      <c r="D405" s="22" t="str">
        <f>CONCATENATE(B405,C405,Masonry_veneer_wall_minimum_insulation_R_Value_climate_zone_2110[[#This Row],[Column1]],Masonry_veneer_wall_minimum_insulation_R_Value_climate_zone_2110[[#This Row],[Column6]])</f>
        <v>2Masonry veneer walls≤ 0.35&gt; 600 to ≤ 900</v>
      </c>
      <c r="E405" s="22" t="str">
        <f t="shared" si="5"/>
        <v>2Masonry veneer walls</v>
      </c>
      <c r="F405" s="32" t="s">
        <v>623</v>
      </c>
      <c r="G405" s="32" t="s">
        <v>531</v>
      </c>
      <c r="H405" s="32">
        <v>1.5</v>
      </c>
      <c r="I405" s="32">
        <v>1.5</v>
      </c>
      <c r="J405" s="32">
        <v>2.5</v>
      </c>
      <c r="K405" s="32" t="s">
        <v>321</v>
      </c>
      <c r="AA405" t="s">
        <v>535</v>
      </c>
      <c r="AB405" s="22" t="str" cm="1">
        <f t="array" aca="1" ref="AB405:AE405" ca="1">OFFSET($A$13,MATCH($AA405,$A$13:$A$1000,0)-1,7,1,COUNTIF(H$13:K$13,"&lt;&gt;"))</f>
        <v>≤ 2.4</v>
      </c>
      <c r="AC405" t="str">
        <f ca="1"/>
        <v>&gt; 2.4 to ≤ 2.7</v>
      </c>
      <c r="AD405" s="22" t="str">
        <f ca="1"/>
        <v>&gt; 2.7 to ≤ 3.0</v>
      </c>
      <c r="AE405" s="22" t="str">
        <f ca="1"/>
        <v>&gt; 3.0 to ≤ 3.6</v>
      </c>
    </row>
    <row r="406" spans="1:31" s="22" customFormat="1" x14ac:dyDescent="0.3">
      <c r="A406" s="22" t="str">
        <f>CONCATENATE(B406,C406,Masonry_veneer_wall_minimum_insulation_R_Value_climate_zone_2110[[#This Row],[Column1]])</f>
        <v>2Masonry veneer walls≤ 0.35</v>
      </c>
      <c r="B406" s="22">
        <v>2</v>
      </c>
      <c r="C406" s="22" t="s">
        <v>233</v>
      </c>
      <c r="D406" s="22" t="str">
        <f>CONCATENATE(B406,C406,Masonry_veneer_wall_minimum_insulation_R_Value_climate_zone_2110[[#This Row],[Column1]],Masonry_veneer_wall_minimum_insulation_R_Value_climate_zone_2110[[#This Row],[Column6]])</f>
        <v>2Masonry veneer walls≤ 0.35&gt; 900 to ≤ 1200</v>
      </c>
      <c r="E406" s="22" t="str">
        <f t="shared" si="5"/>
        <v>2Masonry veneer walls</v>
      </c>
      <c r="F406" s="32" t="s">
        <v>623</v>
      </c>
      <c r="G406" s="32" t="s">
        <v>534</v>
      </c>
      <c r="H406" s="32">
        <v>1.5</v>
      </c>
      <c r="I406" s="32">
        <v>1.5</v>
      </c>
      <c r="J406" s="32">
        <v>1.5</v>
      </c>
      <c r="K406" s="32" t="s">
        <v>321</v>
      </c>
      <c r="AA406" t="s">
        <v>537</v>
      </c>
      <c r="AB406" s="22" t="str" cm="1">
        <f t="array" aca="1" ref="AB406:AE406" ca="1">OFFSET($A$13,MATCH($AA406,$A$13:$A$1000,0)-1,7,1,COUNTIF(H$13:K$13,"&lt;&gt;"))</f>
        <v>≤ 2.4</v>
      </c>
      <c r="AC406" t="str">
        <f ca="1"/>
        <v>&gt; 2.4 to ≤ 2.7</v>
      </c>
      <c r="AD406" s="22" t="str">
        <f ca="1"/>
        <v>&gt; 2.7 to ≤ 3.0</v>
      </c>
      <c r="AE406" s="22" t="str">
        <f ca="1"/>
        <v>&gt; 3.0 to ≤ 3.6</v>
      </c>
    </row>
    <row r="407" spans="1:31" s="22" customFormat="1" x14ac:dyDescent="0.3">
      <c r="A407" s="22" t="str">
        <f>CONCATENATE(B407,C407,Masonry_veneer_wall_minimum_insulation_R_Value_climate_zone_2110[[#This Row],[Column1]])</f>
        <v>2Masonry veneer walls≤ 0.35</v>
      </c>
      <c r="B407" s="22">
        <v>2</v>
      </c>
      <c r="C407" s="22" t="s">
        <v>233</v>
      </c>
      <c r="D407" s="22" t="str">
        <f>CONCATENATE(B407,C407,Masonry_veneer_wall_minimum_insulation_R_Value_climate_zone_2110[[#This Row],[Column1]],Masonry_veneer_wall_minimum_insulation_R_Value_climate_zone_2110[[#This Row],[Column6]])</f>
        <v>2Masonry veneer walls≤ 0.35&gt; 1200 to ≤ 1500</v>
      </c>
      <c r="E407" s="22" t="str">
        <f t="shared" si="5"/>
        <v>2Masonry veneer walls</v>
      </c>
      <c r="F407" s="32" t="s">
        <v>623</v>
      </c>
      <c r="G407" s="32" t="s">
        <v>536</v>
      </c>
      <c r="H407" s="32">
        <v>1.5</v>
      </c>
      <c r="I407" s="32">
        <v>1.5</v>
      </c>
      <c r="J407" s="32">
        <v>1.5</v>
      </c>
      <c r="K407" s="32">
        <v>2.5</v>
      </c>
      <c r="AA407" t="s">
        <v>540</v>
      </c>
      <c r="AB407" s="22" t="str" cm="1">
        <f t="array" aca="1" ref="AB407:AE407" ca="1">OFFSET($A$13,MATCH($AA407,$A$13:$A$1000,0)-1,7,1,COUNTIF(H$13:K$13,"&lt;&gt;"))</f>
        <v>≤ 2.4</v>
      </c>
      <c r="AC407" t="str">
        <f ca="1"/>
        <v>&gt; 2.4 to ≤ 2.7</v>
      </c>
      <c r="AD407" s="22" t="str">
        <f ca="1"/>
        <v>&gt; 2.7 to ≤ 3.0</v>
      </c>
      <c r="AE407" s="22" t="str">
        <f ca="1"/>
        <v>&gt; 3.0 to ≤ 3.6</v>
      </c>
    </row>
    <row r="408" spans="1:31" s="22" customFormat="1" x14ac:dyDescent="0.3">
      <c r="A408" s="22" t="str">
        <f>CONCATENATE(B408,C408,Masonry_veneer_wall_minimum_insulation_R_Value_climate_zone_2110[[#This Row],[Column1]])</f>
        <v>2Masonry veneer walls≤ 0.35</v>
      </c>
      <c r="B408" s="22">
        <v>2</v>
      </c>
      <c r="C408" s="22" t="s">
        <v>233</v>
      </c>
      <c r="D408" s="22" t="str">
        <f>CONCATENATE(B408,C408,Masonry_veneer_wall_minimum_insulation_R_Value_climate_zone_2110[[#This Row],[Column1]],Masonry_veneer_wall_minimum_insulation_R_Value_climate_zone_2110[[#This Row],[Column6]])</f>
        <v>2Masonry veneer walls≤ 0.35&gt; 1500 to ≤ 1800</v>
      </c>
      <c r="E408" s="22" t="str">
        <f t="shared" si="5"/>
        <v>2Masonry veneer walls</v>
      </c>
      <c r="F408" s="32" t="s">
        <v>623</v>
      </c>
      <c r="G408" s="32" t="s">
        <v>539</v>
      </c>
      <c r="H408" s="32">
        <v>1.5</v>
      </c>
      <c r="I408" s="32">
        <v>1.5</v>
      </c>
      <c r="J408" s="32">
        <v>1.5</v>
      </c>
      <c r="K408" s="32">
        <v>2</v>
      </c>
      <c r="AA408" s="22" t="s">
        <v>543</v>
      </c>
      <c r="AB408" s="22" t="str" cm="1">
        <f t="array" aca="1" ref="AB408:AE408" ca="1">OFFSET($A$13,MATCH($AA408,$A$13:$A$1000,0)-1,7,1,COUNTIF(H$13:K$13,"&lt;&gt;"))</f>
        <v>≤ 2.4</v>
      </c>
      <c r="AC408" t="str">
        <f ca="1"/>
        <v>&gt; 2.4 to ≤ 2.7</v>
      </c>
      <c r="AD408" s="22" t="str">
        <f ca="1"/>
        <v>&gt; 2.7 to ≤ 3.0</v>
      </c>
      <c r="AE408" s="22" t="str">
        <f ca="1"/>
        <v>&gt; 3.0 to ≤ 3.6</v>
      </c>
    </row>
    <row r="409" spans="1:31" s="22" customFormat="1" x14ac:dyDescent="0.3">
      <c r="A409" s="22" t="str">
        <f>CONCATENATE(B409,C409,Masonry_veneer_wall_minimum_insulation_R_Value_climate_zone_2110[[#This Row],[Column1]])</f>
        <v>2Masonry veneer walls&gt; 0.35 to ≤ 0.5</v>
      </c>
      <c r="B409" s="22">
        <v>2</v>
      </c>
      <c r="C409" s="22" t="s">
        <v>233</v>
      </c>
      <c r="D409" s="22" t="str">
        <f>CONCATENATE(B409,C409,Masonry_veneer_wall_minimum_insulation_R_Value_climate_zone_2110[[#This Row],[Column1]],Masonry_veneer_wall_minimum_insulation_R_Value_climate_zone_2110[[#This Row],[Column6]])</f>
        <v>2Masonry veneer walls&gt; 0.35 to ≤ 0.50</v>
      </c>
      <c r="E409" s="22" t="str">
        <f t="shared" si="5"/>
        <v>2Masonry veneer walls</v>
      </c>
      <c r="F409" s="32" t="s">
        <v>624</v>
      </c>
      <c r="G409" s="32">
        <v>0</v>
      </c>
      <c r="H409" s="32" t="s">
        <v>321</v>
      </c>
      <c r="I409" s="32" t="s">
        <v>321</v>
      </c>
      <c r="J409" s="32" t="s">
        <v>321</v>
      </c>
      <c r="K409" s="32" t="s">
        <v>321</v>
      </c>
      <c r="AA409" s="22" t="s">
        <v>546</v>
      </c>
      <c r="AB409" s="22" t="str" cm="1">
        <f t="array" aca="1" ref="AB409:AE409" ca="1">OFFSET($A$13,MATCH($AA409,$A$13:$A$1000,0)-1,7,1,COUNTIF(H$13:K$13,"&lt;&gt;"))</f>
        <v>≤ 2.4</v>
      </c>
      <c r="AC409" t="str">
        <f ca="1"/>
        <v>&gt; 2.4 to ≤ 2.7</v>
      </c>
      <c r="AD409" s="22" t="str">
        <f ca="1"/>
        <v>&gt; 2.7 to ≤ 3.0</v>
      </c>
      <c r="AE409" s="22" t="str">
        <f ca="1"/>
        <v>&gt; 3.0 to ≤ 3.6</v>
      </c>
    </row>
    <row r="410" spans="1:31" s="22" customFormat="1" x14ac:dyDescent="0.3">
      <c r="A410" s="22" t="str">
        <f>CONCATENATE(B410,C410,Masonry_veneer_wall_minimum_insulation_R_Value_climate_zone_2110[[#This Row],[Column1]])</f>
        <v>2Masonry veneer walls&gt; 0.35 to ≤ 0.5</v>
      </c>
      <c r="B410" s="22">
        <v>2</v>
      </c>
      <c r="C410" s="22" t="s">
        <v>233</v>
      </c>
      <c r="D410" s="22" t="str">
        <f>CONCATENATE(B410,C410,Masonry_veneer_wall_minimum_insulation_R_Value_climate_zone_2110[[#This Row],[Column1]],Masonry_veneer_wall_minimum_insulation_R_Value_climate_zone_2110[[#This Row],[Column6]])</f>
        <v>2Masonry veneer walls&gt; 0.35 to ≤ 0.5&gt; 0 to ≤ 300</v>
      </c>
      <c r="E410" s="22" t="str">
        <f t="shared" si="5"/>
        <v>2Masonry veneer walls</v>
      </c>
      <c r="F410" s="32" t="s">
        <v>624</v>
      </c>
      <c r="G410" s="32" t="s">
        <v>521</v>
      </c>
      <c r="H410" s="32">
        <v>2</v>
      </c>
      <c r="I410" s="32" t="s">
        <v>321</v>
      </c>
      <c r="J410" s="32" t="s">
        <v>321</v>
      </c>
      <c r="K410" s="32" t="s">
        <v>321</v>
      </c>
      <c r="AA410"/>
      <c r="AC410"/>
    </row>
    <row r="411" spans="1:31" s="22" customFormat="1" x14ac:dyDescent="0.3">
      <c r="A411" s="22" t="str">
        <f>CONCATENATE(B411,C411,Masonry_veneer_wall_minimum_insulation_R_Value_climate_zone_2110[[#This Row],[Column1]])</f>
        <v>2Masonry veneer walls&gt; 0.35 to ≤ 0.5</v>
      </c>
      <c r="B411" s="22">
        <v>2</v>
      </c>
      <c r="C411" s="22" t="s">
        <v>233</v>
      </c>
      <c r="D411" s="22" t="str">
        <f>CONCATENATE(B411,C411,Masonry_veneer_wall_minimum_insulation_R_Value_climate_zone_2110[[#This Row],[Column1]],Masonry_veneer_wall_minimum_insulation_R_Value_climate_zone_2110[[#This Row],[Column6]])</f>
        <v>2Masonry veneer walls&gt; 0.35 to ≤ 0.5&gt; 300 to ≤ 450</v>
      </c>
      <c r="E411" s="22" t="str">
        <f t="shared" si="5"/>
        <v>2Masonry veneer walls</v>
      </c>
      <c r="F411" s="32" t="s">
        <v>624</v>
      </c>
      <c r="G411" s="32" t="s">
        <v>525</v>
      </c>
      <c r="H411" s="32">
        <v>1.5</v>
      </c>
      <c r="I411" s="32" t="s">
        <v>321</v>
      </c>
      <c r="J411" s="32" t="s">
        <v>321</v>
      </c>
      <c r="K411" s="32" t="s">
        <v>321</v>
      </c>
      <c r="AA411"/>
      <c r="AC411"/>
    </row>
    <row r="412" spans="1:31" s="22" customFormat="1" x14ac:dyDescent="0.3">
      <c r="A412" s="22" t="str">
        <f>CONCATENATE(B412,C412,Masonry_veneer_wall_minimum_insulation_R_Value_climate_zone_2110[[#This Row],[Column1]])</f>
        <v>2Masonry veneer walls&gt; 0.35 to ≤ 0.5</v>
      </c>
      <c r="B412" s="22">
        <v>2</v>
      </c>
      <c r="C412" s="22" t="s">
        <v>233</v>
      </c>
      <c r="D412" s="22" t="str">
        <f>CONCATENATE(B412,C412,Masonry_veneer_wall_minimum_insulation_R_Value_climate_zone_2110[[#This Row],[Column1]],Masonry_veneer_wall_minimum_insulation_R_Value_climate_zone_2110[[#This Row],[Column6]])</f>
        <v>2Masonry veneer walls&gt; 0.35 to ≤ 0.5&gt; 450 to ≤ 600</v>
      </c>
      <c r="E412" s="22" t="str">
        <f t="shared" si="5"/>
        <v>2Masonry veneer walls</v>
      </c>
      <c r="F412" s="32" t="s">
        <v>624</v>
      </c>
      <c r="G412" s="32" t="s">
        <v>528</v>
      </c>
      <c r="H412" s="32">
        <v>1.5</v>
      </c>
      <c r="I412" s="32">
        <v>2.5</v>
      </c>
      <c r="J412" s="32" t="s">
        <v>321</v>
      </c>
      <c r="K412" s="32" t="s">
        <v>321</v>
      </c>
      <c r="AA412"/>
      <c r="AC412"/>
    </row>
    <row r="413" spans="1:31" s="22" customFormat="1" x14ac:dyDescent="0.3">
      <c r="A413" s="22" t="str">
        <f>CONCATENATE(B413,C413,Masonry_veneer_wall_minimum_insulation_R_Value_climate_zone_2110[[#This Row],[Column1]])</f>
        <v>2Masonry veneer walls&gt; 0.35 to ≤ 0.5</v>
      </c>
      <c r="B413" s="22">
        <v>2</v>
      </c>
      <c r="C413" s="22" t="s">
        <v>233</v>
      </c>
      <c r="D413" s="22" t="str">
        <f>CONCATENATE(B413,C413,Masonry_veneer_wall_minimum_insulation_R_Value_climate_zone_2110[[#This Row],[Column1]],Masonry_veneer_wall_minimum_insulation_R_Value_climate_zone_2110[[#This Row],[Column6]])</f>
        <v>2Masonry veneer walls&gt; 0.35 to ≤ 0.5&gt; 600 to ≤ 900</v>
      </c>
      <c r="E413" s="22" t="str">
        <f t="shared" si="5"/>
        <v>2Masonry veneer walls</v>
      </c>
      <c r="F413" s="32" t="s">
        <v>624</v>
      </c>
      <c r="G413" s="32" t="s">
        <v>531</v>
      </c>
      <c r="H413" s="32">
        <v>1.5</v>
      </c>
      <c r="I413" s="32">
        <v>1.5</v>
      </c>
      <c r="J413" s="32">
        <v>2.5</v>
      </c>
      <c r="K413" s="32" t="s">
        <v>321</v>
      </c>
      <c r="AA413"/>
      <c r="AC413"/>
    </row>
    <row r="414" spans="1:31" s="22" customFormat="1" x14ac:dyDescent="0.3">
      <c r="A414" s="22" t="str">
        <f>CONCATENATE(B414,C414,Masonry_veneer_wall_minimum_insulation_R_Value_climate_zone_2110[[#This Row],[Column1]])</f>
        <v>2Masonry veneer walls&gt; 0.35 to ≤ 0.5</v>
      </c>
      <c r="B414" s="22">
        <v>2</v>
      </c>
      <c r="C414" s="22" t="s">
        <v>233</v>
      </c>
      <c r="D414" s="22" t="str">
        <f>CONCATENATE(B414,C414,Masonry_veneer_wall_minimum_insulation_R_Value_climate_zone_2110[[#This Row],[Column1]],Masonry_veneer_wall_minimum_insulation_R_Value_climate_zone_2110[[#This Row],[Column6]])</f>
        <v>2Masonry veneer walls&gt; 0.35 to ≤ 0.5&gt; 900 to ≤ 1200</v>
      </c>
      <c r="E414" s="22" t="str">
        <f t="shared" si="5"/>
        <v>2Masonry veneer walls</v>
      </c>
      <c r="F414" s="32" t="s">
        <v>624</v>
      </c>
      <c r="G414" s="32" t="s">
        <v>534</v>
      </c>
      <c r="H414" s="32">
        <v>1.5</v>
      </c>
      <c r="I414" s="32">
        <v>1.5</v>
      </c>
      <c r="J414" s="32">
        <v>1.5</v>
      </c>
      <c r="K414" s="32" t="s">
        <v>321</v>
      </c>
      <c r="AA414"/>
      <c r="AC414"/>
    </row>
    <row r="415" spans="1:31" s="22" customFormat="1" x14ac:dyDescent="0.3">
      <c r="A415" s="22" t="str">
        <f>CONCATENATE(B415,C415,Masonry_veneer_wall_minimum_insulation_R_Value_climate_zone_2110[[#This Row],[Column1]])</f>
        <v>2Masonry veneer walls&gt; 0.35 to ≤ 0.5</v>
      </c>
      <c r="B415" s="22">
        <v>2</v>
      </c>
      <c r="C415" s="22" t="s">
        <v>233</v>
      </c>
      <c r="D415" s="22" t="str">
        <f>CONCATENATE(B415,C415,Masonry_veneer_wall_minimum_insulation_R_Value_climate_zone_2110[[#This Row],[Column1]],Masonry_veneer_wall_minimum_insulation_R_Value_climate_zone_2110[[#This Row],[Column6]])</f>
        <v>2Masonry veneer walls&gt; 0.35 to ≤ 0.5&gt; 1200 to ≤ 1500</v>
      </c>
      <c r="E415" s="22" t="str">
        <f t="shared" si="5"/>
        <v>2Masonry veneer walls</v>
      </c>
      <c r="F415" s="32" t="s">
        <v>624</v>
      </c>
      <c r="G415" s="32" t="s">
        <v>536</v>
      </c>
      <c r="H415" s="32">
        <v>1.5</v>
      </c>
      <c r="I415" s="32">
        <v>1.5</v>
      </c>
      <c r="J415" s="32">
        <v>1.5</v>
      </c>
      <c r="K415" s="32">
        <v>2.5</v>
      </c>
      <c r="AA415"/>
      <c r="AC415"/>
    </row>
    <row r="416" spans="1:31" s="22" customFormat="1" x14ac:dyDescent="0.3">
      <c r="A416" s="22" t="str">
        <f>CONCATENATE(B416,C416,Masonry_veneer_wall_minimum_insulation_R_Value_climate_zone_2110[[#This Row],[Column1]])</f>
        <v>2Masonry veneer walls&gt; 0.35 to ≤ 0.5</v>
      </c>
      <c r="B416" s="22">
        <v>2</v>
      </c>
      <c r="C416" s="22" t="s">
        <v>233</v>
      </c>
      <c r="D416" s="22" t="str">
        <f>CONCATENATE(B416,C416,Masonry_veneer_wall_minimum_insulation_R_Value_climate_zone_2110[[#This Row],[Column1]],Masonry_veneer_wall_minimum_insulation_R_Value_climate_zone_2110[[#This Row],[Column6]])</f>
        <v>2Masonry veneer walls&gt; 0.35 to ≤ 0.5&gt; 1500 to ≤ 1800</v>
      </c>
      <c r="E416" s="22" t="str">
        <f t="shared" si="5"/>
        <v>2Masonry veneer walls</v>
      </c>
      <c r="F416" s="32" t="s">
        <v>624</v>
      </c>
      <c r="G416" s="32" t="s">
        <v>539</v>
      </c>
      <c r="H416" s="32">
        <v>1.5</v>
      </c>
      <c r="I416" s="32">
        <v>1.5</v>
      </c>
      <c r="J416" s="32">
        <v>1.5</v>
      </c>
      <c r="K416" s="32">
        <v>2</v>
      </c>
      <c r="AA416"/>
      <c r="AC416"/>
    </row>
    <row r="417" spans="1:29" s="22" customFormat="1" x14ac:dyDescent="0.3">
      <c r="A417" s="22" t="str">
        <f>CONCATENATE(B417,C417,Masonry_veneer_wall_minimum_insulation_R_Value_climate_zone_2110[[#This Row],[Column1]])</f>
        <v>2Masonry veneer walls&gt; 0.5 to ≤ 0.7</v>
      </c>
      <c r="B417" s="22">
        <v>2</v>
      </c>
      <c r="C417" s="22" t="s">
        <v>233</v>
      </c>
      <c r="D417" s="22" t="str">
        <f>CONCATENATE(B417,C417,Masonry_veneer_wall_minimum_insulation_R_Value_climate_zone_2110[[#This Row],[Column1]],Masonry_veneer_wall_minimum_insulation_R_Value_climate_zone_2110[[#This Row],[Column6]])</f>
        <v>2Masonry veneer walls&gt; 0.5 to ≤ 0.70</v>
      </c>
      <c r="E417" s="22" t="str">
        <f t="shared" si="5"/>
        <v>2Masonry veneer walls</v>
      </c>
      <c r="F417" s="32" t="s">
        <v>625</v>
      </c>
      <c r="G417" s="32">
        <v>0</v>
      </c>
      <c r="H417" s="32" t="s">
        <v>321</v>
      </c>
      <c r="I417" s="32" t="s">
        <v>321</v>
      </c>
      <c r="J417" s="32" t="s">
        <v>321</v>
      </c>
      <c r="K417" s="32" t="s">
        <v>321</v>
      </c>
      <c r="AA417"/>
      <c r="AC417"/>
    </row>
    <row r="418" spans="1:29" s="22" customFormat="1" x14ac:dyDescent="0.3">
      <c r="A418" s="22" t="str">
        <f>CONCATENATE(B418,C418,Masonry_veneer_wall_minimum_insulation_R_Value_climate_zone_2110[[#This Row],[Column1]])</f>
        <v>2Masonry veneer walls&gt; 0.5 to ≤ 0.7</v>
      </c>
      <c r="B418" s="22">
        <v>2</v>
      </c>
      <c r="C418" s="22" t="s">
        <v>233</v>
      </c>
      <c r="D418" s="22" t="str">
        <f>CONCATENATE(B418,C418,Masonry_veneer_wall_minimum_insulation_R_Value_climate_zone_2110[[#This Row],[Column1]],Masonry_veneer_wall_minimum_insulation_R_Value_climate_zone_2110[[#This Row],[Column6]])</f>
        <v>2Masonry veneer walls&gt; 0.5 to ≤ 0.7&gt; 0 to ≤ 300</v>
      </c>
      <c r="E418" s="22" t="str">
        <f t="shared" si="5"/>
        <v>2Masonry veneer walls</v>
      </c>
      <c r="F418" s="32" t="s">
        <v>625</v>
      </c>
      <c r="G418" s="32" t="s">
        <v>521</v>
      </c>
      <c r="H418" s="32">
        <v>2</v>
      </c>
      <c r="I418" s="32" t="s">
        <v>321</v>
      </c>
      <c r="J418" s="32" t="s">
        <v>321</v>
      </c>
      <c r="K418" s="32" t="s">
        <v>321</v>
      </c>
      <c r="AA418"/>
      <c r="AC418"/>
    </row>
    <row r="419" spans="1:29" s="22" customFormat="1" x14ac:dyDescent="0.3">
      <c r="A419" s="22" t="str">
        <f>CONCATENATE(B419,C419,Masonry_veneer_wall_minimum_insulation_R_Value_climate_zone_2110[[#This Row],[Column1]])</f>
        <v>2Masonry veneer walls&gt; 0.5 to ≤ 0.7</v>
      </c>
      <c r="B419" s="22">
        <v>2</v>
      </c>
      <c r="C419" s="22" t="s">
        <v>233</v>
      </c>
      <c r="D419" s="22" t="str">
        <f>CONCATENATE(B419,C419,Masonry_veneer_wall_minimum_insulation_R_Value_climate_zone_2110[[#This Row],[Column1]],Masonry_veneer_wall_minimum_insulation_R_Value_climate_zone_2110[[#This Row],[Column6]])</f>
        <v>2Masonry veneer walls&gt; 0.5 to ≤ 0.7&gt; 300 to ≤ 450</v>
      </c>
      <c r="E419" s="22" t="str">
        <f t="shared" si="5"/>
        <v>2Masonry veneer walls</v>
      </c>
      <c r="F419" s="32" t="s">
        <v>625</v>
      </c>
      <c r="G419" s="32" t="s">
        <v>525</v>
      </c>
      <c r="H419" s="32">
        <v>1.5</v>
      </c>
      <c r="I419" s="32" t="s">
        <v>321</v>
      </c>
      <c r="J419" s="32" t="s">
        <v>321</v>
      </c>
      <c r="K419" s="32" t="s">
        <v>321</v>
      </c>
      <c r="AA419"/>
      <c r="AC419"/>
    </row>
    <row r="420" spans="1:29" s="22" customFormat="1" x14ac:dyDescent="0.3">
      <c r="A420" s="22" t="str">
        <f>CONCATENATE(B420,C420,Masonry_veneer_wall_minimum_insulation_R_Value_climate_zone_2110[[#This Row],[Column1]])</f>
        <v>2Masonry veneer walls&gt; 0.5 to ≤ 0.7</v>
      </c>
      <c r="B420" s="22">
        <v>2</v>
      </c>
      <c r="C420" s="22" t="s">
        <v>233</v>
      </c>
      <c r="D420" s="22" t="str">
        <f>CONCATENATE(B420,C420,Masonry_veneer_wall_minimum_insulation_R_Value_climate_zone_2110[[#This Row],[Column1]],Masonry_veneer_wall_minimum_insulation_R_Value_climate_zone_2110[[#This Row],[Column6]])</f>
        <v>2Masonry veneer walls&gt; 0.5 to ≤ 0.7&gt; 450 to ≤ 600</v>
      </c>
      <c r="E420" s="22" t="str">
        <f t="shared" si="5"/>
        <v>2Masonry veneer walls</v>
      </c>
      <c r="F420" s="32" t="s">
        <v>625</v>
      </c>
      <c r="G420" s="32" t="s">
        <v>528</v>
      </c>
      <c r="H420" s="32">
        <v>1.5</v>
      </c>
      <c r="I420" s="32">
        <v>2</v>
      </c>
      <c r="J420" s="32" t="s">
        <v>321</v>
      </c>
      <c r="K420" s="32" t="s">
        <v>321</v>
      </c>
      <c r="AA420"/>
    </row>
    <row r="421" spans="1:29" s="22" customFormat="1" x14ac:dyDescent="0.3">
      <c r="A421" s="22" t="str">
        <f>CONCATENATE(B421,C421,Masonry_veneer_wall_minimum_insulation_R_Value_climate_zone_2110[[#This Row],[Column1]])</f>
        <v>2Masonry veneer walls&gt; 0.5 to ≤ 0.7</v>
      </c>
      <c r="B421" s="22">
        <v>2</v>
      </c>
      <c r="C421" s="22" t="s">
        <v>233</v>
      </c>
      <c r="D421" s="22" t="str">
        <f>CONCATENATE(B421,C421,Masonry_veneer_wall_minimum_insulation_R_Value_climate_zone_2110[[#This Row],[Column1]],Masonry_veneer_wall_minimum_insulation_R_Value_climate_zone_2110[[#This Row],[Column6]])</f>
        <v>2Masonry veneer walls&gt; 0.5 to ≤ 0.7&gt; 600 to ≤ 900</v>
      </c>
      <c r="E421" s="22" t="str">
        <f t="shared" si="5"/>
        <v>2Masonry veneer walls</v>
      </c>
      <c r="F421" s="32" t="s">
        <v>625</v>
      </c>
      <c r="G421" s="32" t="s">
        <v>531</v>
      </c>
      <c r="H421" s="32">
        <v>1.5</v>
      </c>
      <c r="I421" s="32">
        <v>1.5</v>
      </c>
      <c r="J421" s="32">
        <v>2.5</v>
      </c>
      <c r="K421" s="32" t="s">
        <v>321</v>
      </c>
      <c r="AA421"/>
    </row>
    <row r="422" spans="1:29" s="22" customFormat="1" x14ac:dyDescent="0.3">
      <c r="A422" s="22" t="str">
        <f>CONCATENATE(B422,C422,Masonry_veneer_wall_minimum_insulation_R_Value_climate_zone_2110[[#This Row],[Column1]])</f>
        <v>2Masonry veneer walls&gt; 0.5 to ≤ 0.7</v>
      </c>
      <c r="B422" s="22">
        <v>2</v>
      </c>
      <c r="C422" s="22" t="s">
        <v>233</v>
      </c>
      <c r="D422" s="22" t="str">
        <f>CONCATENATE(B422,C422,Masonry_veneer_wall_minimum_insulation_R_Value_climate_zone_2110[[#This Row],[Column1]],Masonry_veneer_wall_minimum_insulation_R_Value_climate_zone_2110[[#This Row],[Column6]])</f>
        <v>2Masonry veneer walls&gt; 0.5 to ≤ 0.7&gt; 900 to ≤ 1200</v>
      </c>
      <c r="E422" s="22" t="str">
        <f t="shared" si="5"/>
        <v>2Masonry veneer walls</v>
      </c>
      <c r="F422" s="32" t="s">
        <v>625</v>
      </c>
      <c r="G422" s="32" t="s">
        <v>534</v>
      </c>
      <c r="H422" s="32">
        <v>1.5</v>
      </c>
      <c r="I422" s="32">
        <v>1.5</v>
      </c>
      <c r="J422" s="32">
        <v>1.5</v>
      </c>
      <c r="K422" s="32" t="s">
        <v>321</v>
      </c>
      <c r="AA422"/>
    </row>
    <row r="423" spans="1:29" s="22" customFormat="1" x14ac:dyDescent="0.3">
      <c r="A423" s="22" t="str">
        <f>CONCATENATE(B423,C423,Masonry_veneer_wall_minimum_insulation_R_Value_climate_zone_2110[[#This Row],[Column1]])</f>
        <v>2Masonry veneer walls&gt; 0.5 to ≤ 0.7</v>
      </c>
      <c r="B423" s="22">
        <v>2</v>
      </c>
      <c r="C423" s="22" t="s">
        <v>233</v>
      </c>
      <c r="D423" s="22" t="str">
        <f>CONCATENATE(B423,C423,Masonry_veneer_wall_minimum_insulation_R_Value_climate_zone_2110[[#This Row],[Column1]],Masonry_veneer_wall_minimum_insulation_R_Value_climate_zone_2110[[#This Row],[Column6]])</f>
        <v>2Masonry veneer walls&gt; 0.5 to ≤ 0.7&gt; 1200 to ≤ 1500</v>
      </c>
      <c r="E423" s="22" t="str">
        <f t="shared" si="5"/>
        <v>2Masonry veneer walls</v>
      </c>
      <c r="F423" s="32" t="s">
        <v>625</v>
      </c>
      <c r="G423" s="32" t="s">
        <v>536</v>
      </c>
      <c r="H423" s="32">
        <v>1.5</v>
      </c>
      <c r="I423" s="32">
        <v>1.5</v>
      </c>
      <c r="J423" s="32">
        <v>1.5</v>
      </c>
      <c r="K423" s="32" t="s">
        <v>321</v>
      </c>
      <c r="AA423"/>
    </row>
    <row r="424" spans="1:29" s="22" customFormat="1" x14ac:dyDescent="0.3">
      <c r="A424" s="22" t="str">
        <f>CONCATENATE(B424,C424,Masonry_veneer_wall_minimum_insulation_R_Value_climate_zone_2110[[#This Row],[Column1]])</f>
        <v>2Masonry veneer walls&gt; 0.5 to ≤ 0.7</v>
      </c>
      <c r="B424" s="22">
        <v>2</v>
      </c>
      <c r="C424" s="22" t="s">
        <v>233</v>
      </c>
      <c r="D424" s="22" t="str">
        <f>CONCATENATE(B424,C424,Masonry_veneer_wall_minimum_insulation_R_Value_climate_zone_2110[[#This Row],[Column1]],Masonry_veneer_wall_minimum_insulation_R_Value_climate_zone_2110[[#This Row],[Column6]])</f>
        <v>2Masonry veneer walls&gt; 0.5 to ≤ 0.7&gt; 1500 to ≤ 1800</v>
      </c>
      <c r="E424" s="22" t="str">
        <f t="shared" si="5"/>
        <v>2Masonry veneer walls</v>
      </c>
      <c r="F424" s="32" t="s">
        <v>625</v>
      </c>
      <c r="G424" s="32" t="s">
        <v>539</v>
      </c>
      <c r="H424" s="32">
        <v>1.5</v>
      </c>
      <c r="I424" s="32">
        <v>1.5</v>
      </c>
      <c r="J424" s="32">
        <v>1.5</v>
      </c>
      <c r="K424" s="32">
        <v>2</v>
      </c>
      <c r="AA424"/>
    </row>
    <row r="425" spans="1:29" s="22" customFormat="1" x14ac:dyDescent="0.3">
      <c r="AA425"/>
    </row>
    <row r="426" spans="1:29" s="22" customFormat="1" x14ac:dyDescent="0.3">
      <c r="F426" s="22" t="s">
        <v>626</v>
      </c>
      <c r="AA426"/>
    </row>
    <row r="427" spans="1:29" s="22" customFormat="1" x14ac:dyDescent="0.3">
      <c r="F427" s="22" t="s">
        <v>627</v>
      </c>
      <c r="AA427"/>
    </row>
    <row r="428" spans="1:29" s="22" customFormat="1" x14ac:dyDescent="0.3">
      <c r="F428" s="708" t="s">
        <v>234</v>
      </c>
      <c r="G428" s="708" t="s">
        <v>140</v>
      </c>
      <c r="H428" s="708" t="s">
        <v>510</v>
      </c>
      <c r="I428" s="708"/>
      <c r="J428" s="708"/>
      <c r="K428" s="708"/>
      <c r="AA428"/>
    </row>
    <row r="429" spans="1:29" s="22" customFormat="1" x14ac:dyDescent="0.3">
      <c r="A429" s="22" t="str">
        <f>E430</f>
        <v>2Masonry cavity wall</v>
      </c>
      <c r="F429" s="742"/>
      <c r="G429" s="742"/>
      <c r="H429" s="742" t="s">
        <v>512</v>
      </c>
      <c r="I429" s="742" t="s">
        <v>513</v>
      </c>
      <c r="J429" s="742" t="s">
        <v>514</v>
      </c>
      <c r="K429" s="742" t="s">
        <v>515</v>
      </c>
      <c r="AA429"/>
    </row>
    <row r="430" spans="1:29" s="22" customFormat="1" x14ac:dyDescent="0.3">
      <c r="A430" s="22" t="str">
        <f>CONCATENATE(B430,C430,Masonry_cavity_wall_minimum_insulation_R_Value_climate_zone_2111[[#This Row],[Column1]])</f>
        <v>2Masonry cavity wall≤ 0.35</v>
      </c>
      <c r="B430" s="22">
        <v>2</v>
      </c>
      <c r="C430" s="22" t="s">
        <v>240</v>
      </c>
      <c r="D430" s="22" t="str">
        <f>CONCATENATE(B430,C430,Masonry_cavity_wall_minimum_insulation_R_Value_climate_zone_2111[[#This Row],[Column1]],Masonry_cavity_wall_minimum_insulation_R_Value_climate_zone_2111[[#This Row],[Column2]])</f>
        <v>2Masonry cavity wall≤ 0.350</v>
      </c>
      <c r="E430" s="22" t="str">
        <f t="shared" ref="E430:E493" si="6">CONCATENATE(B430,C430)</f>
        <v>2Masonry cavity wall</v>
      </c>
      <c r="F430" s="32" t="s">
        <v>623</v>
      </c>
      <c r="G430" s="32">
        <v>0</v>
      </c>
      <c r="H430" s="32">
        <v>0.25</v>
      </c>
      <c r="I430" s="32">
        <v>0.25</v>
      </c>
      <c r="J430" s="32">
        <v>0.25</v>
      </c>
      <c r="K430" s="32">
        <v>0.51</v>
      </c>
      <c r="AA430"/>
    </row>
    <row r="431" spans="1:29" s="22" customFormat="1" x14ac:dyDescent="0.3">
      <c r="A431" s="22" t="str">
        <f>CONCATENATE(B431,C431,Masonry_cavity_wall_minimum_insulation_R_Value_climate_zone_2111[[#This Row],[Column1]])</f>
        <v>2Masonry cavity wall≤ 0.35</v>
      </c>
      <c r="B431" s="22">
        <v>2</v>
      </c>
      <c r="C431" s="22" t="s">
        <v>240</v>
      </c>
      <c r="D431" s="22" t="str">
        <f>CONCATENATE(B431,C431,Masonry_cavity_wall_minimum_insulation_R_Value_climate_zone_2111[[#This Row],[Column1]],Masonry_cavity_wall_minimum_insulation_R_Value_climate_zone_2111[[#This Row],[Column2]])</f>
        <v>2Masonry cavity wall≤ 0.35&gt; 0 to ≤ 300</v>
      </c>
      <c r="E431" s="22" t="str">
        <f t="shared" si="6"/>
        <v>2Masonry cavity wall</v>
      </c>
      <c r="F431" s="32" t="s">
        <v>623</v>
      </c>
      <c r="G431" s="32" t="s">
        <v>521</v>
      </c>
      <c r="H431" s="32">
        <v>0</v>
      </c>
      <c r="I431" s="32">
        <v>0.25</v>
      </c>
      <c r="J431" s="32">
        <v>0.25</v>
      </c>
      <c r="K431" s="32">
        <v>0.51</v>
      </c>
      <c r="AA431"/>
    </row>
    <row r="432" spans="1:29" s="22" customFormat="1" x14ac:dyDescent="0.3">
      <c r="A432" s="22" t="str">
        <f>CONCATENATE(B432,C432,Masonry_cavity_wall_minimum_insulation_R_Value_climate_zone_2111[[#This Row],[Column1]])</f>
        <v>2Masonry cavity wall≤ 0.35</v>
      </c>
      <c r="B432" s="22">
        <v>2</v>
      </c>
      <c r="C432" s="22" t="s">
        <v>240</v>
      </c>
      <c r="D432" s="22" t="str">
        <f>CONCATENATE(B432,C432,Masonry_cavity_wall_minimum_insulation_R_Value_climate_zone_2111[[#This Row],[Column1]],Masonry_cavity_wall_minimum_insulation_R_Value_climate_zone_2111[[#This Row],[Column2]])</f>
        <v>2Masonry cavity wall≤ 0.35&gt; 300 to ≤ 450</v>
      </c>
      <c r="E432" s="22" t="str">
        <f t="shared" si="6"/>
        <v>2Masonry cavity wall</v>
      </c>
      <c r="F432" s="32" t="s">
        <v>623</v>
      </c>
      <c r="G432" s="32" t="s">
        <v>525</v>
      </c>
      <c r="H432" s="32">
        <v>0</v>
      </c>
      <c r="I432" s="32">
        <v>0</v>
      </c>
      <c r="J432" s="32">
        <v>0.25</v>
      </c>
      <c r="K432" s="32">
        <v>0.51</v>
      </c>
      <c r="AA432"/>
    </row>
    <row r="433" spans="1:27" s="22" customFormat="1" x14ac:dyDescent="0.3">
      <c r="A433" s="22" t="str">
        <f>CONCATENATE(B433,C433,Masonry_cavity_wall_minimum_insulation_R_Value_climate_zone_2111[[#This Row],[Column1]])</f>
        <v>2Masonry cavity wall≤ 0.35</v>
      </c>
      <c r="B433" s="22">
        <v>2</v>
      </c>
      <c r="C433" s="22" t="s">
        <v>240</v>
      </c>
      <c r="D433" s="22" t="str">
        <f>CONCATENATE(B433,C433,Masonry_cavity_wall_minimum_insulation_R_Value_climate_zone_2111[[#This Row],[Column1]],Masonry_cavity_wall_minimum_insulation_R_Value_climate_zone_2111[[#This Row],[Column2]])</f>
        <v>2Masonry cavity wall≤ 0.35&gt; 450 to ≤ 600</v>
      </c>
      <c r="E433" s="22" t="str">
        <f t="shared" si="6"/>
        <v>2Masonry cavity wall</v>
      </c>
      <c r="F433" s="32" t="s">
        <v>623</v>
      </c>
      <c r="G433" s="32" t="s">
        <v>528</v>
      </c>
      <c r="H433" s="32">
        <v>0</v>
      </c>
      <c r="I433" s="32">
        <v>0</v>
      </c>
      <c r="J433" s="32">
        <v>0.25</v>
      </c>
      <c r="K433" s="32">
        <v>0.51</v>
      </c>
      <c r="AA433"/>
    </row>
    <row r="434" spans="1:27" s="22" customFormat="1" x14ac:dyDescent="0.3">
      <c r="A434" s="22" t="str">
        <f>CONCATENATE(B434,C434,Masonry_cavity_wall_minimum_insulation_R_Value_climate_zone_2111[[#This Row],[Column1]])</f>
        <v>2Masonry cavity wall≤ 0.35</v>
      </c>
      <c r="B434" s="22">
        <v>2</v>
      </c>
      <c r="C434" s="22" t="s">
        <v>240</v>
      </c>
      <c r="D434" s="22" t="str">
        <f>CONCATENATE(B434,C434,Masonry_cavity_wall_minimum_insulation_R_Value_climate_zone_2111[[#This Row],[Column1]],Masonry_cavity_wall_minimum_insulation_R_Value_climate_zone_2111[[#This Row],[Column2]])</f>
        <v>2Masonry cavity wall≤ 0.35&gt; 600 to ≤ 900</v>
      </c>
      <c r="E434" s="22" t="str">
        <f t="shared" si="6"/>
        <v>2Masonry cavity wall</v>
      </c>
      <c r="F434" s="32" t="s">
        <v>623</v>
      </c>
      <c r="G434" s="32" t="s">
        <v>531</v>
      </c>
      <c r="H434" s="32">
        <v>0</v>
      </c>
      <c r="I434" s="32">
        <v>0</v>
      </c>
      <c r="J434" s="32">
        <v>0.25</v>
      </c>
      <c r="K434" s="32">
        <v>0.25</v>
      </c>
      <c r="AA434"/>
    </row>
    <row r="435" spans="1:27" s="22" customFormat="1" x14ac:dyDescent="0.3">
      <c r="A435" s="22" t="str">
        <f>CONCATENATE(B435,C435,Masonry_cavity_wall_minimum_insulation_R_Value_climate_zone_2111[[#This Row],[Column1]])</f>
        <v>2Masonry cavity wall≤ 0.35</v>
      </c>
      <c r="B435" s="22">
        <v>2</v>
      </c>
      <c r="C435" s="22" t="s">
        <v>240</v>
      </c>
      <c r="D435" s="22" t="str">
        <f>CONCATENATE(B435,C435,Masonry_cavity_wall_minimum_insulation_R_Value_climate_zone_2111[[#This Row],[Column1]],Masonry_cavity_wall_minimum_insulation_R_Value_climate_zone_2111[[#This Row],[Column2]])</f>
        <v>2Masonry cavity wall≤ 0.35&gt; 900 to ≤ 1200</v>
      </c>
      <c r="E435" s="22" t="str">
        <f t="shared" si="6"/>
        <v>2Masonry cavity wall</v>
      </c>
      <c r="F435" s="32" t="s">
        <v>623</v>
      </c>
      <c r="G435" s="32" t="s">
        <v>534</v>
      </c>
      <c r="H435" s="32">
        <v>0</v>
      </c>
      <c r="I435" s="32">
        <v>0.25</v>
      </c>
      <c r="J435" s="32">
        <v>0.25</v>
      </c>
      <c r="K435" s="32">
        <v>0.25</v>
      </c>
      <c r="AA435"/>
    </row>
    <row r="436" spans="1:27" s="22" customFormat="1" x14ac:dyDescent="0.3">
      <c r="A436" s="22" t="str">
        <f>CONCATENATE(B436,C436,Masonry_cavity_wall_minimum_insulation_R_Value_climate_zone_2111[[#This Row],[Column1]])</f>
        <v>2Masonry cavity wall≤ 0.35</v>
      </c>
      <c r="B436" s="22">
        <v>2</v>
      </c>
      <c r="C436" s="22" t="s">
        <v>240</v>
      </c>
      <c r="D436" s="22" t="str">
        <f>CONCATENATE(B436,C436,Masonry_cavity_wall_minimum_insulation_R_Value_climate_zone_2111[[#This Row],[Column1]],Masonry_cavity_wall_minimum_insulation_R_Value_climate_zone_2111[[#This Row],[Column2]])</f>
        <v>2Masonry cavity wall≤ 0.35&gt; 1200 to ≤ 1500</v>
      </c>
      <c r="E436" s="22" t="str">
        <f t="shared" si="6"/>
        <v>2Masonry cavity wall</v>
      </c>
      <c r="F436" s="32" t="s">
        <v>623</v>
      </c>
      <c r="G436" s="32" t="s">
        <v>536</v>
      </c>
      <c r="H436" s="32">
        <v>0</v>
      </c>
      <c r="I436" s="32">
        <v>0.25</v>
      </c>
      <c r="J436" s="32">
        <v>0.25</v>
      </c>
      <c r="K436" s="32">
        <v>0.25</v>
      </c>
      <c r="AA436"/>
    </row>
    <row r="437" spans="1:27" s="22" customFormat="1" x14ac:dyDescent="0.3">
      <c r="A437" s="22" t="str">
        <f>CONCATENATE(B437,C437,Masonry_cavity_wall_minimum_insulation_R_Value_climate_zone_2111[[#This Row],[Column1]])</f>
        <v>2Masonry cavity wall≤ 0.35</v>
      </c>
      <c r="B437" s="22">
        <v>2</v>
      </c>
      <c r="C437" s="22" t="s">
        <v>240</v>
      </c>
      <c r="D437" s="22" t="str">
        <f>CONCATENATE(B437,C437,Masonry_cavity_wall_minimum_insulation_R_Value_climate_zone_2111[[#This Row],[Column1]],Masonry_cavity_wall_minimum_insulation_R_Value_climate_zone_2111[[#This Row],[Column2]])</f>
        <v>2Masonry cavity wall≤ 0.35&gt; 1500 to ≤ 1800</v>
      </c>
      <c r="E437" s="22" t="str">
        <f t="shared" si="6"/>
        <v>2Masonry cavity wall</v>
      </c>
      <c r="F437" s="32" t="s">
        <v>623</v>
      </c>
      <c r="G437" s="32" t="s">
        <v>539</v>
      </c>
      <c r="H437" s="32">
        <v>0</v>
      </c>
      <c r="I437" s="32">
        <v>0.25</v>
      </c>
      <c r="J437" s="32">
        <v>0.25</v>
      </c>
      <c r="K437" s="32">
        <v>0.25</v>
      </c>
      <c r="AA437"/>
    </row>
    <row r="438" spans="1:27" s="22" customFormat="1" x14ac:dyDescent="0.3">
      <c r="A438" s="22" t="str">
        <f>CONCATENATE(B438,C438,Masonry_cavity_wall_minimum_insulation_R_Value_climate_zone_2111[[#This Row],[Column1]])</f>
        <v>2Masonry cavity wall&gt; 0.35 to ≤ 0.5</v>
      </c>
      <c r="B438" s="22">
        <v>2</v>
      </c>
      <c r="C438" s="22" t="s">
        <v>240</v>
      </c>
      <c r="D438" s="22" t="str">
        <f>CONCATENATE(B438,C438,Masonry_cavity_wall_minimum_insulation_R_Value_climate_zone_2111[[#This Row],[Column1]],Masonry_cavity_wall_minimum_insulation_R_Value_climate_zone_2111[[#This Row],[Column2]])</f>
        <v>2Masonry cavity wall&gt; 0.35 to ≤ 0.50</v>
      </c>
      <c r="E438" s="22" t="str">
        <f t="shared" si="6"/>
        <v>2Masonry cavity wall</v>
      </c>
      <c r="F438" s="32" t="s">
        <v>624</v>
      </c>
      <c r="G438" s="32">
        <v>0</v>
      </c>
      <c r="H438" s="32">
        <v>0.25</v>
      </c>
      <c r="I438" s="32">
        <v>0.25</v>
      </c>
      <c r="J438" s="32">
        <v>0.25</v>
      </c>
      <c r="K438" s="32">
        <v>0.51</v>
      </c>
      <c r="AA438"/>
    </row>
    <row r="439" spans="1:27" s="22" customFormat="1" x14ac:dyDescent="0.3">
      <c r="A439" s="22" t="str">
        <f>CONCATENATE(B439,C439,Masonry_cavity_wall_minimum_insulation_R_Value_climate_zone_2111[[#This Row],[Column1]])</f>
        <v>2Masonry cavity wall&gt; 0.35 to ≤ 0.5</v>
      </c>
      <c r="B439" s="22">
        <v>2</v>
      </c>
      <c r="C439" s="22" t="s">
        <v>240</v>
      </c>
      <c r="D439" s="22" t="str">
        <f>CONCATENATE(B439,C439,Masonry_cavity_wall_minimum_insulation_R_Value_climate_zone_2111[[#This Row],[Column1]],Masonry_cavity_wall_minimum_insulation_R_Value_climate_zone_2111[[#This Row],[Column2]])</f>
        <v>2Masonry cavity wall&gt; 0.35 to ≤ 0.5&gt; 0 to ≤ 300</v>
      </c>
      <c r="E439" s="22" t="str">
        <f t="shared" si="6"/>
        <v>2Masonry cavity wall</v>
      </c>
      <c r="F439" s="32" t="s">
        <v>624</v>
      </c>
      <c r="G439" s="32" t="s">
        <v>521</v>
      </c>
      <c r="H439" s="32">
        <v>0</v>
      </c>
      <c r="I439" s="32">
        <v>0.25</v>
      </c>
      <c r="J439" s="32">
        <v>0.25</v>
      </c>
      <c r="K439" s="32">
        <v>0.51</v>
      </c>
      <c r="AA439"/>
    </row>
    <row r="440" spans="1:27" s="22" customFormat="1" x14ac:dyDescent="0.3">
      <c r="A440" s="22" t="str">
        <f>CONCATENATE(B440,C440,Masonry_cavity_wall_minimum_insulation_R_Value_climate_zone_2111[[#This Row],[Column1]])</f>
        <v>2Masonry cavity wall&gt; 0.35 to ≤ 0.5</v>
      </c>
      <c r="B440" s="22">
        <v>2</v>
      </c>
      <c r="C440" s="22" t="s">
        <v>240</v>
      </c>
      <c r="D440" s="22" t="str">
        <f>CONCATENATE(B440,C440,Masonry_cavity_wall_minimum_insulation_R_Value_climate_zone_2111[[#This Row],[Column1]],Masonry_cavity_wall_minimum_insulation_R_Value_climate_zone_2111[[#This Row],[Column2]])</f>
        <v>2Masonry cavity wall&gt; 0.35 to ≤ 0.5&gt; 300 to ≤ 450</v>
      </c>
      <c r="E440" s="22" t="str">
        <f t="shared" si="6"/>
        <v>2Masonry cavity wall</v>
      </c>
      <c r="F440" s="32" t="s">
        <v>624</v>
      </c>
      <c r="G440" s="32" t="s">
        <v>525</v>
      </c>
      <c r="H440" s="32">
        <v>0</v>
      </c>
      <c r="I440" s="32">
        <v>0</v>
      </c>
      <c r="J440" s="32">
        <v>0.25</v>
      </c>
      <c r="K440" s="32">
        <v>0.51</v>
      </c>
      <c r="AA440"/>
    </row>
    <row r="441" spans="1:27" s="22" customFormat="1" x14ac:dyDescent="0.3">
      <c r="A441" s="22" t="str">
        <f>CONCATENATE(B441,C441,Masonry_cavity_wall_minimum_insulation_R_Value_climate_zone_2111[[#This Row],[Column1]])</f>
        <v>2Masonry cavity wall&gt; 0.35 to ≤ 0.5</v>
      </c>
      <c r="B441" s="22">
        <v>2</v>
      </c>
      <c r="C441" s="22" t="s">
        <v>240</v>
      </c>
      <c r="D441" s="22" t="str">
        <f>CONCATENATE(B441,C441,Masonry_cavity_wall_minimum_insulation_R_Value_climate_zone_2111[[#This Row],[Column1]],Masonry_cavity_wall_minimum_insulation_R_Value_climate_zone_2111[[#This Row],[Column2]])</f>
        <v>2Masonry cavity wall&gt; 0.35 to ≤ 0.5&gt; 450 to ≤ 600</v>
      </c>
      <c r="E441" s="22" t="str">
        <f t="shared" si="6"/>
        <v>2Masonry cavity wall</v>
      </c>
      <c r="F441" s="32" t="s">
        <v>624</v>
      </c>
      <c r="G441" s="32" t="s">
        <v>528</v>
      </c>
      <c r="H441" s="32">
        <v>0</v>
      </c>
      <c r="I441" s="32">
        <v>0</v>
      </c>
      <c r="J441" s="32">
        <v>0.25</v>
      </c>
      <c r="K441" s="32">
        <v>0.51</v>
      </c>
      <c r="AA441"/>
    </row>
    <row r="442" spans="1:27" s="22" customFormat="1" x14ac:dyDescent="0.3">
      <c r="A442" s="22" t="str">
        <f>CONCATENATE(B442,C442,Masonry_cavity_wall_minimum_insulation_R_Value_climate_zone_2111[[#This Row],[Column1]])</f>
        <v>2Masonry cavity wall&gt; 0.35 to ≤ 0.5</v>
      </c>
      <c r="B442" s="22">
        <v>2</v>
      </c>
      <c r="C442" s="22" t="s">
        <v>240</v>
      </c>
      <c r="D442" s="22" t="str">
        <f>CONCATENATE(B442,C442,Masonry_cavity_wall_minimum_insulation_R_Value_climate_zone_2111[[#This Row],[Column1]],Masonry_cavity_wall_minimum_insulation_R_Value_climate_zone_2111[[#This Row],[Column2]])</f>
        <v>2Masonry cavity wall&gt; 0.35 to ≤ 0.5&gt; 600 to ≤ 900</v>
      </c>
      <c r="E442" s="22" t="str">
        <f t="shared" si="6"/>
        <v>2Masonry cavity wall</v>
      </c>
      <c r="F442" s="32" t="s">
        <v>624</v>
      </c>
      <c r="G442" s="32" t="s">
        <v>531</v>
      </c>
      <c r="H442" s="32">
        <v>0</v>
      </c>
      <c r="I442" s="32">
        <v>0</v>
      </c>
      <c r="J442" s="32">
        <v>0.25</v>
      </c>
      <c r="K442" s="32">
        <v>0.25</v>
      </c>
      <c r="AA442"/>
    </row>
    <row r="443" spans="1:27" s="22" customFormat="1" x14ac:dyDescent="0.3">
      <c r="A443" s="22" t="str">
        <f>CONCATENATE(B443,C443,Masonry_cavity_wall_minimum_insulation_R_Value_climate_zone_2111[[#This Row],[Column1]])</f>
        <v>2Masonry cavity wall&gt; 0.35 to ≤ 0.5</v>
      </c>
      <c r="B443" s="22">
        <v>2</v>
      </c>
      <c r="C443" s="22" t="s">
        <v>240</v>
      </c>
      <c r="D443" s="22" t="str">
        <f>CONCATENATE(B443,C443,Masonry_cavity_wall_minimum_insulation_R_Value_climate_zone_2111[[#This Row],[Column1]],Masonry_cavity_wall_minimum_insulation_R_Value_climate_zone_2111[[#This Row],[Column2]])</f>
        <v>2Masonry cavity wall&gt; 0.35 to ≤ 0.5&gt; 900 to ≤ 1200</v>
      </c>
      <c r="E443" s="22" t="str">
        <f t="shared" si="6"/>
        <v>2Masonry cavity wall</v>
      </c>
      <c r="F443" s="32" t="s">
        <v>624</v>
      </c>
      <c r="G443" s="32" t="s">
        <v>534</v>
      </c>
      <c r="H443" s="32">
        <v>0</v>
      </c>
      <c r="I443" s="32">
        <v>0</v>
      </c>
      <c r="J443" s="32">
        <v>0</v>
      </c>
      <c r="K443" s="32">
        <v>0.25</v>
      </c>
      <c r="AA443"/>
    </row>
    <row r="444" spans="1:27" s="22" customFormat="1" x14ac:dyDescent="0.3">
      <c r="A444" s="22" t="str">
        <f>CONCATENATE(B444,C444,Masonry_cavity_wall_minimum_insulation_R_Value_climate_zone_2111[[#This Row],[Column1]])</f>
        <v>2Masonry cavity wall&gt; 0.35 to ≤ 0.5</v>
      </c>
      <c r="B444" s="22">
        <v>2</v>
      </c>
      <c r="C444" s="22" t="s">
        <v>240</v>
      </c>
      <c r="D444" s="22" t="str">
        <f>CONCATENATE(B444,C444,Masonry_cavity_wall_minimum_insulation_R_Value_climate_zone_2111[[#This Row],[Column1]],Masonry_cavity_wall_minimum_insulation_R_Value_climate_zone_2111[[#This Row],[Column2]])</f>
        <v>2Masonry cavity wall&gt; 0.35 to ≤ 0.5&gt; 1200 to ≤ 1500</v>
      </c>
      <c r="E444" s="22" t="str">
        <f t="shared" si="6"/>
        <v>2Masonry cavity wall</v>
      </c>
      <c r="F444" s="32" t="s">
        <v>624</v>
      </c>
      <c r="G444" s="32" t="s">
        <v>536</v>
      </c>
      <c r="H444" s="32">
        <v>0.25</v>
      </c>
      <c r="I444" s="32">
        <v>0</v>
      </c>
      <c r="J444" s="32">
        <v>0.25</v>
      </c>
      <c r="K444" s="32">
        <v>0.25</v>
      </c>
      <c r="AA444"/>
    </row>
    <row r="445" spans="1:27" s="22" customFormat="1" x14ac:dyDescent="0.3">
      <c r="A445" s="22" t="str">
        <f>CONCATENATE(B445,C445,Masonry_cavity_wall_minimum_insulation_R_Value_climate_zone_2111[[#This Row],[Column1]])</f>
        <v>2Masonry cavity wall&gt; 0.35 to ≤ 0.5</v>
      </c>
      <c r="B445" s="22">
        <v>2</v>
      </c>
      <c r="C445" s="22" t="s">
        <v>240</v>
      </c>
      <c r="D445" s="22" t="str">
        <f>CONCATENATE(B445,C445,Masonry_cavity_wall_minimum_insulation_R_Value_climate_zone_2111[[#This Row],[Column1]],Masonry_cavity_wall_minimum_insulation_R_Value_climate_zone_2111[[#This Row],[Column2]])</f>
        <v>2Masonry cavity wall&gt; 0.35 to ≤ 0.5&gt; 1500 to ≤ 1800</v>
      </c>
      <c r="E445" s="22" t="str">
        <f t="shared" si="6"/>
        <v>2Masonry cavity wall</v>
      </c>
      <c r="F445" s="32" t="s">
        <v>624</v>
      </c>
      <c r="G445" s="32" t="s">
        <v>539</v>
      </c>
      <c r="H445" s="32">
        <v>0.25</v>
      </c>
      <c r="I445" s="32">
        <v>0.25</v>
      </c>
      <c r="J445" s="32">
        <v>0.25</v>
      </c>
      <c r="K445" s="32">
        <v>0.25</v>
      </c>
      <c r="AA445"/>
    </row>
    <row r="446" spans="1:27" s="22" customFormat="1" x14ac:dyDescent="0.3">
      <c r="A446" s="22" t="str">
        <f>CONCATENATE(B446,C446,Masonry_cavity_wall_minimum_insulation_R_Value_climate_zone_2111[[#This Row],[Column1]])</f>
        <v>2Masonry cavity wall&gt; 0.5 to ≤ 0.7</v>
      </c>
      <c r="B446" s="22">
        <v>2</v>
      </c>
      <c r="C446" s="22" t="s">
        <v>240</v>
      </c>
      <c r="D446" s="22" t="str">
        <f>CONCATENATE(B446,C446,Masonry_cavity_wall_minimum_insulation_R_Value_climate_zone_2111[[#This Row],[Column1]],Masonry_cavity_wall_minimum_insulation_R_Value_climate_zone_2111[[#This Row],[Column2]])</f>
        <v>2Masonry cavity wall&gt; 0.5 to ≤ 0.70</v>
      </c>
      <c r="E446" s="22" t="str">
        <f t="shared" si="6"/>
        <v>2Masonry cavity wall</v>
      </c>
      <c r="F446" s="32" t="s">
        <v>625</v>
      </c>
      <c r="G446" s="32">
        <v>0</v>
      </c>
      <c r="H446" s="32">
        <v>0.25</v>
      </c>
      <c r="I446" s="32">
        <v>0.25</v>
      </c>
      <c r="J446" s="32">
        <v>0.51</v>
      </c>
      <c r="K446" s="32">
        <v>0.51</v>
      </c>
      <c r="AA446"/>
    </row>
    <row r="447" spans="1:27" s="22" customFormat="1" x14ac:dyDescent="0.3">
      <c r="A447" s="22" t="str">
        <f>CONCATENATE(B447,C447,Masonry_cavity_wall_minimum_insulation_R_Value_climate_zone_2111[[#This Row],[Column1]])</f>
        <v>2Masonry cavity wall&gt; 0.5 to ≤ 0.7</v>
      </c>
      <c r="B447" s="22">
        <v>2</v>
      </c>
      <c r="C447" s="22" t="s">
        <v>240</v>
      </c>
      <c r="D447" s="22" t="str">
        <f>CONCATENATE(B447,C447,Masonry_cavity_wall_minimum_insulation_R_Value_climate_zone_2111[[#This Row],[Column1]],Masonry_cavity_wall_minimum_insulation_R_Value_climate_zone_2111[[#This Row],[Column2]])</f>
        <v>2Masonry cavity wall&gt; 0.5 to ≤ 0.7&gt; 0 to ≤ 300</v>
      </c>
      <c r="E447" s="22" t="str">
        <f t="shared" si="6"/>
        <v>2Masonry cavity wall</v>
      </c>
      <c r="F447" s="32" t="s">
        <v>625</v>
      </c>
      <c r="G447" s="32" t="s">
        <v>521</v>
      </c>
      <c r="H447" s="32">
        <v>0</v>
      </c>
      <c r="I447" s="32">
        <v>0.25</v>
      </c>
      <c r="J447" s="32">
        <v>0.25</v>
      </c>
      <c r="K447" s="32">
        <v>0.51</v>
      </c>
      <c r="AA447"/>
    </row>
    <row r="448" spans="1:27" s="22" customFormat="1" x14ac:dyDescent="0.3">
      <c r="A448" s="22" t="str">
        <f>CONCATENATE(B448,C448,Masonry_cavity_wall_minimum_insulation_R_Value_climate_zone_2111[[#This Row],[Column1]])</f>
        <v>2Masonry cavity wall&gt; 0.5 to ≤ 0.7</v>
      </c>
      <c r="B448" s="22">
        <v>2</v>
      </c>
      <c r="C448" s="22" t="s">
        <v>240</v>
      </c>
      <c r="D448" s="22" t="str">
        <f>CONCATENATE(B448,C448,Masonry_cavity_wall_minimum_insulation_R_Value_climate_zone_2111[[#This Row],[Column1]],Masonry_cavity_wall_minimum_insulation_R_Value_climate_zone_2111[[#This Row],[Column2]])</f>
        <v>2Masonry cavity wall&gt; 0.5 to ≤ 0.7&gt; 300 to ≤ 450</v>
      </c>
      <c r="E448" s="22" t="str">
        <f t="shared" si="6"/>
        <v>2Masonry cavity wall</v>
      </c>
      <c r="F448" s="32" t="s">
        <v>625</v>
      </c>
      <c r="G448" s="32" t="s">
        <v>525</v>
      </c>
      <c r="H448" s="32">
        <v>0</v>
      </c>
      <c r="I448" s="32">
        <v>0</v>
      </c>
      <c r="J448" s="32">
        <v>0.25</v>
      </c>
      <c r="K448" s="32">
        <v>0.51</v>
      </c>
      <c r="AA448"/>
    </row>
    <row r="449" spans="1:27" s="22" customFormat="1" x14ac:dyDescent="0.3">
      <c r="A449" s="22" t="str">
        <f>CONCATENATE(B449,C449,Masonry_cavity_wall_minimum_insulation_R_Value_climate_zone_2111[[#This Row],[Column1]])</f>
        <v>2Masonry cavity wall&gt; 0.5 to ≤ 0.7</v>
      </c>
      <c r="B449" s="22">
        <v>2</v>
      </c>
      <c r="C449" s="22" t="s">
        <v>240</v>
      </c>
      <c r="D449" s="22" t="str">
        <f>CONCATENATE(B449,C449,Masonry_cavity_wall_minimum_insulation_R_Value_climate_zone_2111[[#This Row],[Column1]],Masonry_cavity_wall_minimum_insulation_R_Value_climate_zone_2111[[#This Row],[Column2]])</f>
        <v>2Masonry cavity wall&gt; 0.5 to ≤ 0.7&gt; 450 to ≤ 600</v>
      </c>
      <c r="E449" s="22" t="str">
        <f t="shared" si="6"/>
        <v>2Masonry cavity wall</v>
      </c>
      <c r="F449" s="32" t="s">
        <v>625</v>
      </c>
      <c r="G449" s="32" t="s">
        <v>528</v>
      </c>
      <c r="H449" s="32">
        <v>0</v>
      </c>
      <c r="I449" s="32">
        <v>0</v>
      </c>
      <c r="J449" s="32">
        <v>0.25</v>
      </c>
      <c r="K449" s="32">
        <v>0.51</v>
      </c>
      <c r="AA449"/>
    </row>
    <row r="450" spans="1:27" s="22" customFormat="1" x14ac:dyDescent="0.3">
      <c r="A450" s="22" t="str">
        <f>CONCATENATE(B450,C450,Masonry_cavity_wall_minimum_insulation_R_Value_climate_zone_2111[[#This Row],[Column1]])</f>
        <v>2Masonry cavity wall&gt; 0.5 to ≤ 0.7</v>
      </c>
      <c r="B450" s="22">
        <v>2</v>
      </c>
      <c r="C450" s="22" t="s">
        <v>240</v>
      </c>
      <c r="D450" s="22" t="str">
        <f>CONCATENATE(B450,C450,Masonry_cavity_wall_minimum_insulation_R_Value_climate_zone_2111[[#This Row],[Column1]],Masonry_cavity_wall_minimum_insulation_R_Value_climate_zone_2111[[#This Row],[Column2]])</f>
        <v>2Masonry cavity wall&gt; 0.5 to ≤ 0.7&gt; 600 to ≤ 900</v>
      </c>
      <c r="E450" s="22" t="str">
        <f t="shared" si="6"/>
        <v>2Masonry cavity wall</v>
      </c>
      <c r="F450" s="32" t="s">
        <v>625</v>
      </c>
      <c r="G450" s="32" t="s">
        <v>531</v>
      </c>
      <c r="H450" s="32">
        <v>0</v>
      </c>
      <c r="I450" s="32">
        <v>0</v>
      </c>
      <c r="J450" s="32">
        <v>0.25</v>
      </c>
      <c r="K450" s="32">
        <v>0.25</v>
      </c>
      <c r="AA450"/>
    </row>
    <row r="451" spans="1:27" s="22" customFormat="1" x14ac:dyDescent="0.3">
      <c r="A451" s="22" t="str">
        <f>CONCATENATE(B451,C451,Masonry_cavity_wall_minimum_insulation_R_Value_climate_zone_2111[[#This Row],[Column1]])</f>
        <v>2Masonry cavity wall&gt; 0.5 to ≤ 0.7</v>
      </c>
      <c r="B451" s="22">
        <v>2</v>
      </c>
      <c r="C451" s="22" t="s">
        <v>240</v>
      </c>
      <c r="D451" s="22" t="str">
        <f>CONCATENATE(B451,C451,Masonry_cavity_wall_minimum_insulation_R_Value_climate_zone_2111[[#This Row],[Column1]],Masonry_cavity_wall_minimum_insulation_R_Value_climate_zone_2111[[#This Row],[Column2]])</f>
        <v>2Masonry cavity wall&gt; 0.5 to ≤ 0.7&gt; 900 to ≤ 1200</v>
      </c>
      <c r="E451" s="22" t="str">
        <f t="shared" si="6"/>
        <v>2Masonry cavity wall</v>
      </c>
      <c r="F451" s="32" t="s">
        <v>625</v>
      </c>
      <c r="G451" s="32" t="s">
        <v>534</v>
      </c>
      <c r="H451" s="32">
        <v>0</v>
      </c>
      <c r="I451" s="32">
        <v>0</v>
      </c>
      <c r="J451" s="32">
        <v>0</v>
      </c>
      <c r="K451" s="32">
        <v>0.25</v>
      </c>
      <c r="AA451"/>
    </row>
    <row r="452" spans="1:27" s="22" customFormat="1" x14ac:dyDescent="0.3">
      <c r="A452" s="22" t="str">
        <f>CONCATENATE(B452,C452,Masonry_cavity_wall_minimum_insulation_R_Value_climate_zone_2111[[#This Row],[Column1]])</f>
        <v>2Masonry cavity wall&gt; 0.5 to ≤ 0.7</v>
      </c>
      <c r="B452" s="22">
        <v>2</v>
      </c>
      <c r="C452" s="22" t="s">
        <v>240</v>
      </c>
      <c r="D452" s="22" t="str">
        <f>CONCATENATE(B452,C452,Masonry_cavity_wall_minimum_insulation_R_Value_climate_zone_2111[[#This Row],[Column1]],Masonry_cavity_wall_minimum_insulation_R_Value_climate_zone_2111[[#This Row],[Column2]])</f>
        <v>2Masonry cavity wall&gt; 0.5 to ≤ 0.7&gt; 1200 to ≤ 1500</v>
      </c>
      <c r="E452" s="22" t="str">
        <f t="shared" si="6"/>
        <v>2Masonry cavity wall</v>
      </c>
      <c r="F452" s="32" t="s">
        <v>625</v>
      </c>
      <c r="G452" s="32" t="s">
        <v>536</v>
      </c>
      <c r="H452" s="32">
        <v>0</v>
      </c>
      <c r="I452" s="32">
        <v>0</v>
      </c>
      <c r="J452" s="32">
        <v>0</v>
      </c>
      <c r="K452" s="32">
        <v>0.25</v>
      </c>
      <c r="AA452"/>
    </row>
    <row r="453" spans="1:27" s="22" customFormat="1" x14ac:dyDescent="0.3">
      <c r="A453" s="22" t="str">
        <f>CONCATENATE(B453,C453,Masonry_cavity_wall_minimum_insulation_R_Value_climate_zone_2111[[#This Row],[Column1]])</f>
        <v>2Masonry cavity wall&gt; 0.5 to ≤ 0.7</v>
      </c>
      <c r="B453" s="22">
        <v>2</v>
      </c>
      <c r="C453" s="22" t="s">
        <v>240</v>
      </c>
      <c r="D453" s="22" t="str">
        <f>CONCATENATE(B453,C453,Masonry_cavity_wall_minimum_insulation_R_Value_climate_zone_2111[[#This Row],[Column1]],Masonry_cavity_wall_minimum_insulation_R_Value_climate_zone_2111[[#This Row],[Column2]])</f>
        <v>2Masonry cavity wall&gt; 0.5 to ≤ 0.7&gt; 1500 to ≤ 1800</v>
      </c>
      <c r="E453" s="22" t="str">
        <f t="shared" si="6"/>
        <v>2Masonry cavity wall</v>
      </c>
      <c r="F453" s="32" t="s">
        <v>625</v>
      </c>
      <c r="G453" s="32" t="s">
        <v>539</v>
      </c>
      <c r="H453" s="32">
        <v>0</v>
      </c>
      <c r="I453" s="32">
        <v>0</v>
      </c>
      <c r="J453" s="32">
        <v>0.25</v>
      </c>
      <c r="K453" s="32">
        <v>0.25</v>
      </c>
      <c r="AA453"/>
    </row>
    <row r="454" spans="1:27" s="22" customFormat="1" x14ac:dyDescent="0.3">
      <c r="AA454"/>
    </row>
    <row r="455" spans="1:27" s="22" customFormat="1" x14ac:dyDescent="0.3">
      <c r="F455" s="22" t="s">
        <v>628</v>
      </c>
      <c r="AA455"/>
    </row>
    <row r="456" spans="1:27" s="22" customFormat="1" x14ac:dyDescent="0.3">
      <c r="F456" s="22" t="s">
        <v>629</v>
      </c>
      <c r="AA456"/>
    </row>
    <row r="457" spans="1:27" s="22" customFormat="1" x14ac:dyDescent="0.3">
      <c r="A457" s="22" t="str">
        <f>E458</f>
        <v>3Concrete block walls</v>
      </c>
      <c r="F457" s="742" t="s">
        <v>234</v>
      </c>
      <c r="G457" s="742" t="s">
        <v>140</v>
      </c>
      <c r="H457" s="750" t="s">
        <v>497</v>
      </c>
      <c r="AA457"/>
    </row>
    <row r="458" spans="1:27" s="22" customFormat="1" x14ac:dyDescent="0.3">
      <c r="A458" s="22" t="str">
        <f>CONCATENATE(B458,C458,Concrete_block_wall_minimum_insulation_R_Value_climate_zone_3112[[#This Row],[SA]])</f>
        <v>3Concrete block walls≤ 0.7</v>
      </c>
      <c r="B458" s="22">
        <v>3</v>
      </c>
      <c r="C458" s="22" t="s">
        <v>191</v>
      </c>
      <c r="E458" s="22" t="str">
        <f t="shared" si="6"/>
        <v>3Concrete block walls</v>
      </c>
      <c r="F458" s="32" t="s">
        <v>630</v>
      </c>
      <c r="G458" s="769"/>
      <c r="H458" s="770">
        <v>1.5</v>
      </c>
      <c r="Y458" s="22" t="str">
        <f>CONCATENATE(C459,D459,E459)</f>
        <v/>
      </c>
      <c r="AA458"/>
    </row>
    <row r="459" spans="1:27" s="22" customFormat="1" x14ac:dyDescent="0.3">
      <c r="AA459"/>
    </row>
    <row r="460" spans="1:27" s="22" customFormat="1" x14ac:dyDescent="0.3">
      <c r="F460" s="22" t="s">
        <v>631</v>
      </c>
      <c r="AA460"/>
    </row>
    <row r="461" spans="1:27" s="22" customFormat="1" x14ac:dyDescent="0.3">
      <c r="F461" s="22" t="s">
        <v>632</v>
      </c>
      <c r="AA461"/>
    </row>
    <row r="462" spans="1:27" s="22" customFormat="1" x14ac:dyDescent="0.3">
      <c r="F462" s="708" t="s">
        <v>234</v>
      </c>
      <c r="G462" s="708" t="s">
        <v>140</v>
      </c>
      <c r="H462" s="708" t="s">
        <v>510</v>
      </c>
      <c r="I462" s="708"/>
      <c r="J462" s="708"/>
      <c r="K462" s="708"/>
      <c r="AA462"/>
    </row>
    <row r="463" spans="1:27" s="22" customFormat="1" x14ac:dyDescent="0.3">
      <c r="A463" s="22" t="str">
        <f>E464</f>
        <v>3Lightweight walls</v>
      </c>
      <c r="F463" s="708"/>
      <c r="G463" s="708"/>
      <c r="H463" s="708" t="s">
        <v>512</v>
      </c>
      <c r="I463" s="708" t="s">
        <v>513</v>
      </c>
      <c r="J463" s="708" t="s">
        <v>514</v>
      </c>
      <c r="K463" s="708" t="s">
        <v>515</v>
      </c>
      <c r="AA463"/>
    </row>
    <row r="464" spans="1:27" s="22" customFormat="1" x14ac:dyDescent="0.3">
      <c r="A464" s="22" t="str">
        <f>CONCATENATE(B464,C464,Lightweight_wall_minimum_insulation_R_Value_Climate_Zone_3113[[#This Row],[Column1]])</f>
        <v>3Lightweight walls≤ 0.3</v>
      </c>
      <c r="B464" s="22">
        <v>3</v>
      </c>
      <c r="C464" s="22" t="s">
        <v>218</v>
      </c>
      <c r="D464" s="22" t="str">
        <f>CONCATENATE(B464,C464,Lightweight_wall_minimum_insulation_R_Value_Climate_Zone_3113[[#This Row],[Column1]],Lightweight_wall_minimum_insulation_R_Value_Climate_Zone_3113[[#This Row],[Column2]])</f>
        <v>3Lightweight walls≤ 0.30</v>
      </c>
      <c r="E464" s="22" t="str">
        <f t="shared" si="6"/>
        <v>3Lightweight walls</v>
      </c>
      <c r="F464" s="32" t="s">
        <v>518</v>
      </c>
      <c r="G464" s="32">
        <v>0</v>
      </c>
      <c r="H464" s="32" t="s">
        <v>321</v>
      </c>
      <c r="I464" s="32" t="s">
        <v>321</v>
      </c>
      <c r="J464" s="32" t="s">
        <v>321</v>
      </c>
      <c r="K464" s="32" t="s">
        <v>321</v>
      </c>
      <c r="AA464"/>
    </row>
    <row r="465" spans="1:27" s="22" customFormat="1" x14ac:dyDescent="0.3">
      <c r="A465" s="22" t="str">
        <f>CONCATENATE(B465,C465,Lightweight_wall_minimum_insulation_R_Value_Climate_Zone_3113[[#This Row],[Column1]])</f>
        <v>3Lightweight walls≤ 0.3</v>
      </c>
      <c r="B465" s="22">
        <v>3</v>
      </c>
      <c r="C465" s="22" t="s">
        <v>218</v>
      </c>
      <c r="D465" s="22" t="str">
        <f>CONCATENATE(B465,C465,Lightweight_wall_minimum_insulation_R_Value_Climate_Zone_3113[[#This Row],[Column1]],Lightweight_wall_minimum_insulation_R_Value_Climate_Zone_3113[[#This Row],[Column2]])</f>
        <v>3Lightweight walls≤ 0.3&gt; 0 to ≤ 300</v>
      </c>
      <c r="E465" s="22" t="str">
        <f t="shared" si="6"/>
        <v>3Lightweight walls</v>
      </c>
      <c r="F465" s="32" t="s">
        <v>518</v>
      </c>
      <c r="G465" s="32" t="s">
        <v>521</v>
      </c>
      <c r="H465" s="32">
        <v>2.5</v>
      </c>
      <c r="I465" s="32" t="s">
        <v>321</v>
      </c>
      <c r="J465" s="32" t="s">
        <v>321</v>
      </c>
      <c r="K465" s="32" t="s">
        <v>321</v>
      </c>
      <c r="AA465"/>
    </row>
    <row r="466" spans="1:27" s="22" customFormat="1" x14ac:dyDescent="0.3">
      <c r="A466" s="22" t="str">
        <f>CONCATENATE(B466,C466,Lightweight_wall_minimum_insulation_R_Value_Climate_Zone_3113[[#This Row],[Column1]])</f>
        <v>3Lightweight walls≤ 0.3</v>
      </c>
      <c r="B466" s="22">
        <v>3</v>
      </c>
      <c r="C466" s="22" t="s">
        <v>218</v>
      </c>
      <c r="D466" s="22" t="str">
        <f>CONCATENATE(B466,C466,Lightweight_wall_minimum_insulation_R_Value_Climate_Zone_3113[[#This Row],[Column1]],Lightweight_wall_minimum_insulation_R_Value_Climate_Zone_3113[[#This Row],[Column2]])</f>
        <v>3Lightweight walls≤ 0.3&gt; 300 to ≤ 450</v>
      </c>
      <c r="E466" s="22" t="str">
        <f t="shared" si="6"/>
        <v>3Lightweight walls</v>
      </c>
      <c r="F466" s="32" t="s">
        <v>518</v>
      </c>
      <c r="G466" s="32" t="s">
        <v>525</v>
      </c>
      <c r="H466" s="32">
        <v>1.5</v>
      </c>
      <c r="I466" s="32" t="s">
        <v>321</v>
      </c>
      <c r="J466" s="32" t="s">
        <v>321</v>
      </c>
      <c r="K466" s="32" t="s">
        <v>321</v>
      </c>
      <c r="AA466"/>
    </row>
    <row r="467" spans="1:27" s="22" customFormat="1" x14ac:dyDescent="0.3">
      <c r="A467" s="22" t="str">
        <f>CONCATENATE(B467,C467,Lightweight_wall_minimum_insulation_R_Value_Climate_Zone_3113[[#This Row],[Column1]])</f>
        <v>3Lightweight walls≤ 0.3</v>
      </c>
      <c r="B467" s="22">
        <v>3</v>
      </c>
      <c r="C467" s="22" t="s">
        <v>218</v>
      </c>
      <c r="D467" s="22" t="str">
        <f>CONCATENATE(B467,C467,Lightweight_wall_minimum_insulation_R_Value_Climate_Zone_3113[[#This Row],[Column1]],Lightweight_wall_minimum_insulation_R_Value_Climate_Zone_3113[[#This Row],[Column2]])</f>
        <v>3Lightweight walls≤ 0.3&gt; 450 to ≤ 600</v>
      </c>
      <c r="E467" s="22" t="str">
        <f t="shared" si="6"/>
        <v>3Lightweight walls</v>
      </c>
      <c r="F467" s="32" t="s">
        <v>518</v>
      </c>
      <c r="G467" s="32" t="s">
        <v>528</v>
      </c>
      <c r="H467" s="32">
        <v>1.5</v>
      </c>
      <c r="I467" s="32">
        <v>2.5</v>
      </c>
      <c r="J467" s="32" t="s">
        <v>321</v>
      </c>
      <c r="K467" s="32" t="s">
        <v>321</v>
      </c>
      <c r="AA467"/>
    </row>
    <row r="468" spans="1:27" s="22" customFormat="1" x14ac:dyDescent="0.3">
      <c r="A468" s="22" t="str">
        <f>CONCATENATE(B468,C468,Lightweight_wall_minimum_insulation_R_Value_Climate_Zone_3113[[#This Row],[Column1]])</f>
        <v>3Lightweight walls≤ 0.3</v>
      </c>
      <c r="B468" s="22">
        <v>3</v>
      </c>
      <c r="C468" s="22" t="s">
        <v>218</v>
      </c>
      <c r="D468" s="22" t="str">
        <f>CONCATENATE(B468,C468,Lightweight_wall_minimum_insulation_R_Value_Climate_Zone_3113[[#This Row],[Column1]],Lightweight_wall_minimum_insulation_R_Value_Climate_Zone_3113[[#This Row],[Column2]])</f>
        <v>3Lightweight walls≤ 0.3&gt; 600 to ≤ 900</v>
      </c>
      <c r="E468" s="22" t="str">
        <f t="shared" si="6"/>
        <v>3Lightweight walls</v>
      </c>
      <c r="F468" s="32" t="s">
        <v>518</v>
      </c>
      <c r="G468" s="32" t="s">
        <v>531</v>
      </c>
      <c r="H468" s="32">
        <v>1.5</v>
      </c>
      <c r="I468" s="32">
        <v>1.5</v>
      </c>
      <c r="J468" s="32">
        <v>2.5</v>
      </c>
      <c r="K468" s="32" t="s">
        <v>321</v>
      </c>
      <c r="AA468"/>
    </row>
    <row r="469" spans="1:27" s="22" customFormat="1" x14ac:dyDescent="0.3">
      <c r="A469" s="22" t="str">
        <f>CONCATENATE(B469,C469,Lightweight_wall_minimum_insulation_R_Value_Climate_Zone_3113[[#This Row],[Column1]])</f>
        <v>3Lightweight walls≤ 0.3</v>
      </c>
      <c r="B469" s="22">
        <v>3</v>
      </c>
      <c r="C469" s="22" t="s">
        <v>218</v>
      </c>
      <c r="D469" s="22" t="str">
        <f>CONCATENATE(B469,C469,Lightweight_wall_minimum_insulation_R_Value_Climate_Zone_3113[[#This Row],[Column1]],Lightweight_wall_minimum_insulation_R_Value_Climate_Zone_3113[[#This Row],[Column2]])</f>
        <v>3Lightweight walls≤ 0.3&gt; 900 to ≤ 1200</v>
      </c>
      <c r="E469" s="22" t="str">
        <f t="shared" si="6"/>
        <v>3Lightweight walls</v>
      </c>
      <c r="F469" s="32" t="s">
        <v>518</v>
      </c>
      <c r="G469" s="32" t="s">
        <v>534</v>
      </c>
      <c r="H469" s="32">
        <v>1.5</v>
      </c>
      <c r="I469" s="32">
        <v>1.5</v>
      </c>
      <c r="J469" s="32">
        <v>1.5</v>
      </c>
      <c r="K469" s="32" t="s">
        <v>321</v>
      </c>
      <c r="AA469"/>
    </row>
    <row r="470" spans="1:27" s="22" customFormat="1" x14ac:dyDescent="0.3">
      <c r="A470" s="22" t="str">
        <f>CONCATENATE(B470,C470,Lightweight_wall_minimum_insulation_R_Value_Climate_Zone_3113[[#This Row],[Column1]])</f>
        <v>3Lightweight walls≤ 0.3</v>
      </c>
      <c r="B470" s="22">
        <v>3</v>
      </c>
      <c r="C470" s="22" t="s">
        <v>218</v>
      </c>
      <c r="D470" s="22" t="str">
        <f>CONCATENATE(B470,C470,Lightweight_wall_minimum_insulation_R_Value_Climate_Zone_3113[[#This Row],[Column1]],Lightweight_wall_minimum_insulation_R_Value_Climate_Zone_3113[[#This Row],[Column2]])</f>
        <v>3Lightweight walls≤ 0.3&gt; 1200 to ≤ 1500</v>
      </c>
      <c r="E470" s="22" t="str">
        <f t="shared" si="6"/>
        <v>3Lightweight walls</v>
      </c>
      <c r="F470" s="32" t="s">
        <v>518</v>
      </c>
      <c r="G470" s="32" t="s">
        <v>536</v>
      </c>
      <c r="H470" s="32" t="s">
        <v>522</v>
      </c>
      <c r="I470" s="32">
        <v>1.5</v>
      </c>
      <c r="J470" s="32">
        <v>1.5</v>
      </c>
      <c r="K470" s="32">
        <v>2.5</v>
      </c>
      <c r="AA470"/>
    </row>
    <row r="471" spans="1:27" s="22" customFormat="1" x14ac:dyDescent="0.3">
      <c r="A471" s="22" t="str">
        <f>CONCATENATE(B471,C471,Lightweight_wall_minimum_insulation_R_Value_Climate_Zone_3113[[#This Row],[Column1]])</f>
        <v>3Lightweight walls≤ 0.3</v>
      </c>
      <c r="B471" s="22">
        <v>3</v>
      </c>
      <c r="C471" s="22" t="s">
        <v>218</v>
      </c>
      <c r="D471" s="22" t="str">
        <f>CONCATENATE(B471,C471,Lightweight_wall_minimum_insulation_R_Value_Climate_Zone_3113[[#This Row],[Column1]],Lightweight_wall_minimum_insulation_R_Value_Climate_Zone_3113[[#This Row],[Column2]])</f>
        <v>3Lightweight walls≤ 0.3&gt; 1500 to ≤ 1800</v>
      </c>
      <c r="E471" s="22" t="str">
        <f t="shared" si="6"/>
        <v>3Lightweight walls</v>
      </c>
      <c r="F471" s="32" t="s">
        <v>518</v>
      </c>
      <c r="G471" s="32" t="s">
        <v>539</v>
      </c>
      <c r="H471" s="32" t="s">
        <v>522</v>
      </c>
      <c r="I471" s="32">
        <v>1.5</v>
      </c>
      <c r="J471" s="32">
        <v>1.5</v>
      </c>
      <c r="K471" s="32">
        <v>2</v>
      </c>
      <c r="AA471"/>
    </row>
    <row r="472" spans="1:27" s="22" customFormat="1" x14ac:dyDescent="0.3">
      <c r="A472" s="22" t="str">
        <f>CONCATENATE(B472,C472,Lightweight_wall_minimum_insulation_R_Value_Climate_Zone_3113[[#This Row],[Column1]])</f>
        <v>3Lightweight walls≤ 0.3</v>
      </c>
      <c r="B472" s="22">
        <v>3</v>
      </c>
      <c r="C472" s="22" t="s">
        <v>218</v>
      </c>
      <c r="D472" s="22" t="str">
        <f>CONCATENATE(B472,C472,Lightweight_wall_minimum_insulation_R_Value_Climate_Zone_3113[[#This Row],[Column1]],Lightweight_wall_minimum_insulation_R_Value_Climate_Zone_3113[[#This Row],[Column2]])</f>
        <v>3Lightweight walls≤ 0.3&gt; 1800 to ≤ 2400</v>
      </c>
      <c r="E472" s="22" t="str">
        <f t="shared" si="6"/>
        <v>3Lightweight walls</v>
      </c>
      <c r="F472" s="32" t="s">
        <v>518</v>
      </c>
      <c r="G472" s="32" t="s">
        <v>542</v>
      </c>
      <c r="H472" s="32" t="s">
        <v>522</v>
      </c>
      <c r="I472" s="32" t="s">
        <v>522</v>
      </c>
      <c r="J472" s="32">
        <v>1.5</v>
      </c>
      <c r="K472" s="32">
        <v>1.5</v>
      </c>
      <c r="AA472"/>
    </row>
    <row r="473" spans="1:27" s="22" customFormat="1" x14ac:dyDescent="0.3">
      <c r="A473" s="22" t="str">
        <f>CONCATENATE(B473,C473,Lightweight_wall_minimum_insulation_R_Value_Climate_Zone_3113[[#This Row],[Column1]])</f>
        <v>3Lightweight walls&gt; 0.3 to ≤ 0.4</v>
      </c>
      <c r="B473" s="22">
        <v>3</v>
      </c>
      <c r="C473" s="22" t="s">
        <v>218</v>
      </c>
      <c r="D473" s="22" t="str">
        <f>CONCATENATE(B473,C473,Lightweight_wall_minimum_insulation_R_Value_Climate_Zone_3113[[#This Row],[Column1]],Lightweight_wall_minimum_insulation_R_Value_Climate_Zone_3113[[#This Row],[Column2]])</f>
        <v>3Lightweight walls&gt; 0.3 to ≤ 0.40</v>
      </c>
      <c r="E473" s="22" t="str">
        <f t="shared" si="6"/>
        <v>3Lightweight walls</v>
      </c>
      <c r="F473" s="32" t="s">
        <v>545</v>
      </c>
      <c r="G473" s="32">
        <v>0</v>
      </c>
      <c r="H473" s="32" t="s">
        <v>321</v>
      </c>
      <c r="I473" s="32" t="s">
        <v>321</v>
      </c>
      <c r="J473" s="32" t="s">
        <v>321</v>
      </c>
      <c r="K473" s="32" t="s">
        <v>321</v>
      </c>
      <c r="AA473"/>
    </row>
    <row r="474" spans="1:27" s="22" customFormat="1" x14ac:dyDescent="0.3">
      <c r="A474" s="22" t="str">
        <f>CONCATENATE(B474,C474,Lightweight_wall_minimum_insulation_R_Value_Climate_Zone_3113[[#This Row],[Column1]])</f>
        <v>3Lightweight walls&gt; 0.3 to ≤ 0.4</v>
      </c>
      <c r="B474" s="22">
        <v>3</v>
      </c>
      <c r="C474" s="22" t="s">
        <v>218</v>
      </c>
      <c r="D474" s="22" t="str">
        <f>CONCATENATE(B474,C474,Lightweight_wall_minimum_insulation_R_Value_Climate_Zone_3113[[#This Row],[Column1]],Lightweight_wall_minimum_insulation_R_Value_Climate_Zone_3113[[#This Row],[Column2]])</f>
        <v>3Lightweight walls&gt; 0.3 to ≤ 0.4&gt; 0 to ≤ 300</v>
      </c>
      <c r="E474" s="22" t="str">
        <f t="shared" si="6"/>
        <v>3Lightweight walls</v>
      </c>
      <c r="F474" s="32" t="s">
        <v>545</v>
      </c>
      <c r="G474" s="32" t="s">
        <v>521</v>
      </c>
      <c r="H474" s="32">
        <v>2.5</v>
      </c>
      <c r="I474" s="32" t="s">
        <v>321</v>
      </c>
      <c r="J474" s="32" t="s">
        <v>321</v>
      </c>
      <c r="K474" s="32" t="s">
        <v>321</v>
      </c>
      <c r="AA474"/>
    </row>
    <row r="475" spans="1:27" s="22" customFormat="1" x14ac:dyDescent="0.3">
      <c r="A475" s="22" t="str">
        <f>CONCATENATE(B475,C475,Lightweight_wall_minimum_insulation_R_Value_Climate_Zone_3113[[#This Row],[Column1]])</f>
        <v>3Lightweight walls&gt; 0.3 to ≤ 0.4</v>
      </c>
      <c r="B475" s="22">
        <v>3</v>
      </c>
      <c r="C475" s="22" t="s">
        <v>218</v>
      </c>
      <c r="D475" s="22" t="str">
        <f>CONCATENATE(B475,C475,Lightweight_wall_minimum_insulation_R_Value_Climate_Zone_3113[[#This Row],[Column1]],Lightweight_wall_minimum_insulation_R_Value_Climate_Zone_3113[[#This Row],[Column2]])</f>
        <v>3Lightweight walls&gt; 0.3 to ≤ 0.4&gt; 300 to ≤ 450</v>
      </c>
      <c r="E475" s="22" t="str">
        <f t="shared" si="6"/>
        <v>3Lightweight walls</v>
      </c>
      <c r="F475" s="32" t="s">
        <v>545</v>
      </c>
      <c r="G475" s="32" t="s">
        <v>525</v>
      </c>
      <c r="H475" s="32">
        <v>2</v>
      </c>
      <c r="I475" s="32" t="s">
        <v>321</v>
      </c>
      <c r="J475" s="32" t="s">
        <v>321</v>
      </c>
      <c r="K475" s="32" t="s">
        <v>321</v>
      </c>
      <c r="AA475"/>
    </row>
    <row r="476" spans="1:27" s="22" customFormat="1" x14ac:dyDescent="0.3">
      <c r="A476" s="22" t="str">
        <f>CONCATENATE(B476,C476,Lightweight_wall_minimum_insulation_R_Value_Climate_Zone_3113[[#This Row],[Column1]])</f>
        <v>3Lightweight walls&gt; 0.3 to ≤ 0.4</v>
      </c>
      <c r="B476" s="22">
        <v>3</v>
      </c>
      <c r="C476" s="22" t="s">
        <v>218</v>
      </c>
      <c r="D476" s="22" t="str">
        <f>CONCATENATE(B476,C476,Lightweight_wall_minimum_insulation_R_Value_Climate_Zone_3113[[#This Row],[Column1]],Lightweight_wall_minimum_insulation_R_Value_Climate_Zone_3113[[#This Row],[Column2]])</f>
        <v>3Lightweight walls&gt; 0.3 to ≤ 0.4&gt; 450 to ≤ 600</v>
      </c>
      <c r="E476" s="22" t="str">
        <f t="shared" si="6"/>
        <v>3Lightweight walls</v>
      </c>
      <c r="F476" s="32" t="s">
        <v>545</v>
      </c>
      <c r="G476" s="32" t="s">
        <v>528</v>
      </c>
      <c r="H476" s="32">
        <v>1.5</v>
      </c>
      <c r="I476" s="32">
        <v>2.5</v>
      </c>
      <c r="J476" s="32" t="s">
        <v>321</v>
      </c>
      <c r="K476" s="32" t="s">
        <v>321</v>
      </c>
      <c r="AA476"/>
    </row>
    <row r="477" spans="1:27" s="22" customFormat="1" x14ac:dyDescent="0.3">
      <c r="A477" s="22" t="str">
        <f>CONCATENATE(B477,C477,Lightweight_wall_minimum_insulation_R_Value_Climate_Zone_3113[[#This Row],[Column1]])</f>
        <v>3Lightweight walls&gt; 0.3 to ≤ 0.4</v>
      </c>
      <c r="B477" s="22">
        <v>3</v>
      </c>
      <c r="C477" s="22" t="s">
        <v>218</v>
      </c>
      <c r="D477" s="22" t="str">
        <f>CONCATENATE(B477,C477,Lightweight_wall_minimum_insulation_R_Value_Climate_Zone_3113[[#This Row],[Column1]],Lightweight_wall_minimum_insulation_R_Value_Climate_Zone_3113[[#This Row],[Column2]])</f>
        <v>3Lightweight walls&gt; 0.3 to ≤ 0.4&gt; 600 to ≤ 900</v>
      </c>
      <c r="E477" s="22" t="str">
        <f t="shared" si="6"/>
        <v>3Lightweight walls</v>
      </c>
      <c r="F477" s="32" t="s">
        <v>545</v>
      </c>
      <c r="G477" s="32" t="s">
        <v>531</v>
      </c>
      <c r="H477" s="32">
        <v>1.5</v>
      </c>
      <c r="I477" s="32">
        <v>1.5</v>
      </c>
      <c r="J477" s="32">
        <v>2.5</v>
      </c>
      <c r="K477" s="32" t="s">
        <v>321</v>
      </c>
      <c r="AA477"/>
    </row>
    <row r="478" spans="1:27" s="22" customFormat="1" x14ac:dyDescent="0.3">
      <c r="A478" s="22" t="str">
        <f>CONCATENATE(B478,C478,Lightweight_wall_minimum_insulation_R_Value_Climate_Zone_3113[[#This Row],[Column1]])</f>
        <v>3Lightweight walls&gt; 0.3 to ≤ 0.4</v>
      </c>
      <c r="B478" s="22">
        <v>3</v>
      </c>
      <c r="C478" s="22" t="s">
        <v>218</v>
      </c>
      <c r="D478" s="22" t="str">
        <f>CONCATENATE(B478,C478,Lightweight_wall_minimum_insulation_R_Value_Climate_Zone_3113[[#This Row],[Column1]],Lightweight_wall_minimum_insulation_R_Value_Climate_Zone_3113[[#This Row],[Column2]])</f>
        <v>3Lightweight walls&gt; 0.3 to ≤ 0.4&gt; 900 to ≤ 1200</v>
      </c>
      <c r="E478" s="22" t="str">
        <f t="shared" si="6"/>
        <v>3Lightweight walls</v>
      </c>
      <c r="F478" s="32" t="s">
        <v>545</v>
      </c>
      <c r="G478" s="32" t="s">
        <v>534</v>
      </c>
      <c r="H478" s="32">
        <v>1.5</v>
      </c>
      <c r="I478" s="32">
        <v>1.5</v>
      </c>
      <c r="J478" s="32">
        <v>2</v>
      </c>
      <c r="K478" s="32" t="s">
        <v>321</v>
      </c>
      <c r="AA478"/>
    </row>
    <row r="479" spans="1:27" s="22" customFormat="1" x14ac:dyDescent="0.3">
      <c r="A479" s="22" t="str">
        <f>CONCATENATE(B479,C479,Lightweight_wall_minimum_insulation_R_Value_Climate_Zone_3113[[#This Row],[Column1]])</f>
        <v>3Lightweight walls&gt; 0.3 to ≤ 0.4</v>
      </c>
      <c r="B479" s="22">
        <v>3</v>
      </c>
      <c r="C479" s="22" t="s">
        <v>218</v>
      </c>
      <c r="D479" s="22" t="str">
        <f>CONCATENATE(B479,C479,Lightweight_wall_minimum_insulation_R_Value_Climate_Zone_3113[[#This Row],[Column1]],Lightweight_wall_minimum_insulation_R_Value_Climate_Zone_3113[[#This Row],[Column2]])</f>
        <v>3Lightweight walls&gt; 0.3 to ≤ 0.4&gt; 1200 to ≤ 1500</v>
      </c>
      <c r="E479" s="22" t="str">
        <f t="shared" si="6"/>
        <v>3Lightweight walls</v>
      </c>
      <c r="F479" s="32" t="s">
        <v>545</v>
      </c>
      <c r="G479" s="32" t="s">
        <v>536</v>
      </c>
      <c r="H479" s="32" t="s">
        <v>522</v>
      </c>
      <c r="I479" s="32">
        <v>1.5</v>
      </c>
      <c r="J479" s="32">
        <v>1.5</v>
      </c>
      <c r="K479" s="32">
        <v>2.7</v>
      </c>
      <c r="AA479"/>
    </row>
    <row r="480" spans="1:27" s="22" customFormat="1" x14ac:dyDescent="0.3">
      <c r="A480" s="22" t="str">
        <f>CONCATENATE(B480,C480,Lightweight_wall_minimum_insulation_R_Value_Climate_Zone_3113[[#This Row],[Column1]])</f>
        <v>3Lightweight walls&gt; 0.3 to ≤ 0.4</v>
      </c>
      <c r="B480" s="22">
        <v>3</v>
      </c>
      <c r="C480" s="22" t="s">
        <v>218</v>
      </c>
      <c r="D480" s="22" t="str">
        <f>CONCATENATE(B480,C480,Lightweight_wall_minimum_insulation_R_Value_Climate_Zone_3113[[#This Row],[Column1]],Lightweight_wall_minimum_insulation_R_Value_Climate_Zone_3113[[#This Row],[Column2]])</f>
        <v>3Lightweight walls&gt; 0.3 to ≤ 0.4&gt; 1500 to ≤ 1800</v>
      </c>
      <c r="E480" s="22" t="str">
        <f t="shared" si="6"/>
        <v>3Lightweight walls</v>
      </c>
      <c r="F480" s="32" t="s">
        <v>545</v>
      </c>
      <c r="G480" s="32" t="s">
        <v>539</v>
      </c>
      <c r="H480" s="32" t="s">
        <v>522</v>
      </c>
      <c r="I480" s="32">
        <v>1.5</v>
      </c>
      <c r="J480" s="32">
        <v>1.5</v>
      </c>
      <c r="K480" s="32">
        <v>2</v>
      </c>
      <c r="AA480"/>
    </row>
    <row r="481" spans="1:27" s="22" customFormat="1" x14ac:dyDescent="0.3">
      <c r="A481" s="22" t="str">
        <f>CONCATENATE(B481,C481,Lightweight_wall_minimum_insulation_R_Value_Climate_Zone_3113[[#This Row],[Column1]])</f>
        <v>3Lightweight walls&gt; 0.3 to ≤ 0.4</v>
      </c>
      <c r="B481" s="22">
        <v>3</v>
      </c>
      <c r="C481" s="22" t="s">
        <v>218</v>
      </c>
      <c r="D481" s="22" t="str">
        <f>CONCATENATE(B481,C481,Lightweight_wall_minimum_insulation_R_Value_Climate_Zone_3113[[#This Row],[Column1]],Lightweight_wall_minimum_insulation_R_Value_Climate_Zone_3113[[#This Row],[Column2]])</f>
        <v>3Lightweight walls&gt; 0.3 to ≤ 0.4&gt; 1800 to ≤ 2400</v>
      </c>
      <c r="E481" s="22" t="str">
        <f t="shared" si="6"/>
        <v>3Lightweight walls</v>
      </c>
      <c r="F481" s="32" t="s">
        <v>545</v>
      </c>
      <c r="G481" s="32" t="s">
        <v>542</v>
      </c>
      <c r="H481" s="32" t="s">
        <v>522</v>
      </c>
      <c r="I481" s="32" t="s">
        <v>522</v>
      </c>
      <c r="J481" s="32">
        <v>1.5</v>
      </c>
      <c r="K481" s="32">
        <v>1.5</v>
      </c>
      <c r="AA481"/>
    </row>
    <row r="482" spans="1:27" s="22" customFormat="1" x14ac:dyDescent="0.3">
      <c r="A482" s="22" t="str">
        <f>CONCATENATE(B482,C482,Lightweight_wall_minimum_insulation_R_Value_Climate_Zone_3113[[#This Row],[Column1]])</f>
        <v>3Lightweight walls&gt; 0.4 to ≤ 0.5</v>
      </c>
      <c r="B482" s="22">
        <v>3</v>
      </c>
      <c r="C482" s="22" t="s">
        <v>218</v>
      </c>
      <c r="D482" s="22" t="str">
        <f>CONCATENATE(B482,C482,Lightweight_wall_minimum_insulation_R_Value_Climate_Zone_3113[[#This Row],[Column1]],Lightweight_wall_minimum_insulation_R_Value_Climate_Zone_3113[[#This Row],[Column2]])</f>
        <v>3Lightweight walls&gt; 0.4 to ≤ 0.50</v>
      </c>
      <c r="E482" s="22" t="str">
        <f t="shared" si="6"/>
        <v>3Lightweight walls</v>
      </c>
      <c r="F482" s="32" t="s">
        <v>561</v>
      </c>
      <c r="G482" s="32">
        <v>0</v>
      </c>
      <c r="H482" s="32" t="s">
        <v>321</v>
      </c>
      <c r="I482" s="32" t="s">
        <v>321</v>
      </c>
      <c r="J482" s="32" t="s">
        <v>321</v>
      </c>
      <c r="K482" s="32" t="s">
        <v>321</v>
      </c>
      <c r="AA482"/>
    </row>
    <row r="483" spans="1:27" s="22" customFormat="1" x14ac:dyDescent="0.3">
      <c r="A483" s="22" t="str">
        <f>CONCATENATE(B483,C483,Lightweight_wall_minimum_insulation_R_Value_Climate_Zone_3113[[#This Row],[Column1]])</f>
        <v>3Lightweight walls&gt; 0.4 to ≤ 0.5</v>
      </c>
      <c r="B483" s="22">
        <v>3</v>
      </c>
      <c r="C483" s="22" t="s">
        <v>218</v>
      </c>
      <c r="D483" s="22" t="str">
        <f>CONCATENATE(B483,C483,Lightweight_wall_minimum_insulation_R_Value_Climate_Zone_3113[[#This Row],[Column1]],Lightweight_wall_minimum_insulation_R_Value_Climate_Zone_3113[[#This Row],[Column2]])</f>
        <v>3Lightweight walls&gt; 0.4 to ≤ 0.5&gt; 0 to ≤ 300</v>
      </c>
      <c r="E483" s="22" t="str">
        <f t="shared" si="6"/>
        <v>3Lightweight walls</v>
      </c>
      <c r="F483" s="32" t="s">
        <v>561</v>
      </c>
      <c r="G483" s="32" t="s">
        <v>521</v>
      </c>
      <c r="H483" s="32" t="s">
        <v>321</v>
      </c>
      <c r="I483" s="32" t="s">
        <v>321</v>
      </c>
      <c r="J483" s="32" t="s">
        <v>321</v>
      </c>
      <c r="K483" s="32" t="s">
        <v>321</v>
      </c>
      <c r="AA483"/>
    </row>
    <row r="484" spans="1:27" s="22" customFormat="1" x14ac:dyDescent="0.3">
      <c r="A484" s="22" t="str">
        <f>CONCATENATE(B484,C484,Lightweight_wall_minimum_insulation_R_Value_Climate_Zone_3113[[#This Row],[Column1]])</f>
        <v>3Lightweight walls&gt; 0.4 to ≤ 0.5</v>
      </c>
      <c r="B484" s="22">
        <v>3</v>
      </c>
      <c r="C484" s="22" t="s">
        <v>218</v>
      </c>
      <c r="D484" s="22" t="str">
        <f>CONCATENATE(B484,C484,Lightweight_wall_minimum_insulation_R_Value_Climate_Zone_3113[[#This Row],[Column1]],Lightweight_wall_minimum_insulation_R_Value_Climate_Zone_3113[[#This Row],[Column2]])</f>
        <v>3Lightweight walls&gt; 0.4 to ≤ 0.5&gt; 300 to ≤ 450</v>
      </c>
      <c r="E484" s="22" t="str">
        <f t="shared" si="6"/>
        <v>3Lightweight walls</v>
      </c>
      <c r="F484" s="32" t="s">
        <v>561</v>
      </c>
      <c r="G484" s="32" t="s">
        <v>525</v>
      </c>
      <c r="H484" s="32">
        <v>2</v>
      </c>
      <c r="I484" s="32" t="s">
        <v>321</v>
      </c>
      <c r="J484" s="32" t="s">
        <v>321</v>
      </c>
      <c r="K484" s="32" t="s">
        <v>321</v>
      </c>
      <c r="AA484"/>
    </row>
    <row r="485" spans="1:27" s="22" customFormat="1" x14ac:dyDescent="0.3">
      <c r="A485" s="22" t="str">
        <f>CONCATENATE(B485,C485,Lightweight_wall_minimum_insulation_R_Value_Climate_Zone_3113[[#This Row],[Column1]])</f>
        <v>3Lightweight walls&gt; 0.4 to ≤ 0.5</v>
      </c>
      <c r="B485" s="22">
        <v>3</v>
      </c>
      <c r="C485" s="22" t="s">
        <v>218</v>
      </c>
      <c r="D485" s="22" t="str">
        <f>CONCATENATE(B485,C485,Lightweight_wall_minimum_insulation_R_Value_Climate_Zone_3113[[#This Row],[Column1]],Lightweight_wall_minimum_insulation_R_Value_Climate_Zone_3113[[#This Row],[Column2]])</f>
        <v>3Lightweight walls&gt; 0.4 to ≤ 0.5&gt; 450 to ≤ 600</v>
      </c>
      <c r="E485" s="22" t="str">
        <f t="shared" si="6"/>
        <v>3Lightweight walls</v>
      </c>
      <c r="F485" s="32" t="s">
        <v>561</v>
      </c>
      <c r="G485" s="32" t="s">
        <v>528</v>
      </c>
      <c r="H485" s="32">
        <v>1.5</v>
      </c>
      <c r="I485" s="32" t="s">
        <v>321</v>
      </c>
      <c r="J485" s="32" t="s">
        <v>321</v>
      </c>
      <c r="K485" s="32" t="s">
        <v>321</v>
      </c>
      <c r="AA485"/>
    </row>
    <row r="486" spans="1:27" s="22" customFormat="1" x14ac:dyDescent="0.3">
      <c r="A486" s="22" t="str">
        <f>CONCATENATE(B486,C486,Lightweight_wall_minimum_insulation_R_Value_Climate_Zone_3113[[#This Row],[Column1]])</f>
        <v>3Lightweight walls&gt; 0.4 to ≤ 0.5</v>
      </c>
      <c r="B486" s="22">
        <v>3</v>
      </c>
      <c r="C486" s="22" t="s">
        <v>218</v>
      </c>
      <c r="D486" s="22" t="str">
        <f>CONCATENATE(B486,C486,Lightweight_wall_minimum_insulation_R_Value_Climate_Zone_3113[[#This Row],[Column1]],Lightweight_wall_minimum_insulation_R_Value_Climate_Zone_3113[[#This Row],[Column2]])</f>
        <v>3Lightweight walls&gt; 0.4 to ≤ 0.5&gt; 600 to ≤ 900</v>
      </c>
      <c r="E486" s="22" t="str">
        <f t="shared" si="6"/>
        <v>3Lightweight walls</v>
      </c>
      <c r="F486" s="32" t="s">
        <v>561</v>
      </c>
      <c r="G486" s="32" t="s">
        <v>531</v>
      </c>
      <c r="H486" s="32">
        <v>1.5</v>
      </c>
      <c r="I486" s="32">
        <v>2</v>
      </c>
      <c r="J486" s="32">
        <v>2.7</v>
      </c>
      <c r="K486" s="32" t="s">
        <v>321</v>
      </c>
      <c r="AA486"/>
    </row>
    <row r="487" spans="1:27" s="22" customFormat="1" x14ac:dyDescent="0.3">
      <c r="A487" s="22" t="str">
        <f>CONCATENATE(B487,C487,Lightweight_wall_minimum_insulation_R_Value_Climate_Zone_3113[[#This Row],[Column1]])</f>
        <v>3Lightweight walls&gt; 0.4 to ≤ 0.5</v>
      </c>
      <c r="B487" s="22">
        <v>3</v>
      </c>
      <c r="C487" s="22" t="s">
        <v>218</v>
      </c>
      <c r="D487" s="22" t="str">
        <f>CONCATENATE(B487,C487,Lightweight_wall_minimum_insulation_R_Value_Climate_Zone_3113[[#This Row],[Column1]],Lightweight_wall_minimum_insulation_R_Value_Climate_Zone_3113[[#This Row],[Column2]])</f>
        <v>3Lightweight walls&gt; 0.4 to ≤ 0.5&gt; 900 to ≤ 1200</v>
      </c>
      <c r="E487" s="22" t="str">
        <f t="shared" si="6"/>
        <v>3Lightweight walls</v>
      </c>
      <c r="F487" s="32" t="s">
        <v>561</v>
      </c>
      <c r="G487" s="32" t="s">
        <v>534</v>
      </c>
      <c r="H487" s="32">
        <v>1.5</v>
      </c>
      <c r="I487" s="32">
        <v>1.5</v>
      </c>
      <c r="J487" s="32">
        <v>2</v>
      </c>
      <c r="K487" s="32" t="s">
        <v>321</v>
      </c>
      <c r="AA487"/>
    </row>
    <row r="488" spans="1:27" s="22" customFormat="1" x14ac:dyDescent="0.3">
      <c r="A488" s="22" t="str">
        <f>CONCATENATE(B488,C488,Lightweight_wall_minimum_insulation_R_Value_Climate_Zone_3113[[#This Row],[Column1]])</f>
        <v>3Lightweight walls&gt; 0.4 to ≤ 0.5</v>
      </c>
      <c r="B488" s="22">
        <v>3</v>
      </c>
      <c r="C488" s="22" t="s">
        <v>218</v>
      </c>
      <c r="D488" s="22" t="str">
        <f>CONCATENATE(B488,C488,Lightweight_wall_minimum_insulation_R_Value_Climate_Zone_3113[[#This Row],[Column1]],Lightweight_wall_minimum_insulation_R_Value_Climate_Zone_3113[[#This Row],[Column2]])</f>
        <v>3Lightweight walls&gt; 0.4 to ≤ 0.5&gt; 1200 to ≤ 1500</v>
      </c>
      <c r="E488" s="22" t="str">
        <f t="shared" si="6"/>
        <v>3Lightweight walls</v>
      </c>
      <c r="F488" s="32" t="s">
        <v>561</v>
      </c>
      <c r="G488" s="32" t="s">
        <v>536</v>
      </c>
      <c r="H488" s="32">
        <v>1.5</v>
      </c>
      <c r="I488" s="32">
        <v>1.5</v>
      </c>
      <c r="J488" s="32">
        <v>1.5</v>
      </c>
      <c r="K488" s="32" t="s">
        <v>321</v>
      </c>
      <c r="AA488"/>
    </row>
    <row r="489" spans="1:27" s="22" customFormat="1" x14ac:dyDescent="0.3">
      <c r="A489" s="22" t="str">
        <f>CONCATENATE(B489,C489,Lightweight_wall_minimum_insulation_R_Value_Climate_Zone_3113[[#This Row],[Column1]])</f>
        <v>3Lightweight walls&gt; 0.4 to ≤ 0.5</v>
      </c>
      <c r="B489" s="22">
        <v>3</v>
      </c>
      <c r="C489" s="22" t="s">
        <v>218</v>
      </c>
      <c r="D489" s="22" t="str">
        <f>CONCATENATE(B489,C489,Lightweight_wall_minimum_insulation_R_Value_Climate_Zone_3113[[#This Row],[Column1]],Lightweight_wall_minimum_insulation_R_Value_Climate_Zone_3113[[#This Row],[Column2]])</f>
        <v>3Lightweight walls&gt; 0.4 to ≤ 0.5&gt; 1500 to ≤ 1800</v>
      </c>
      <c r="E489" s="22" t="str">
        <f t="shared" si="6"/>
        <v>3Lightweight walls</v>
      </c>
      <c r="F489" s="32" t="s">
        <v>561</v>
      </c>
      <c r="G489" s="32" t="s">
        <v>539</v>
      </c>
      <c r="H489" s="32" t="s">
        <v>522</v>
      </c>
      <c r="I489" s="32">
        <v>1.5</v>
      </c>
      <c r="J489" s="32">
        <v>1.5</v>
      </c>
      <c r="K489" s="32">
        <v>2.5</v>
      </c>
      <c r="AA489"/>
    </row>
    <row r="490" spans="1:27" s="22" customFormat="1" x14ac:dyDescent="0.3">
      <c r="A490" s="22" t="str">
        <f>CONCATENATE(B490,C490,Lightweight_wall_minimum_insulation_R_Value_Climate_Zone_3113[[#This Row],[Column1]])</f>
        <v>3Lightweight walls&gt; 0.4 to ≤ 0.5</v>
      </c>
      <c r="B490" s="22">
        <v>3</v>
      </c>
      <c r="C490" s="22" t="s">
        <v>218</v>
      </c>
      <c r="D490" s="22" t="str">
        <f>CONCATENATE(B490,C490,Lightweight_wall_minimum_insulation_R_Value_Climate_Zone_3113[[#This Row],[Column1]],Lightweight_wall_minimum_insulation_R_Value_Climate_Zone_3113[[#This Row],[Column2]])</f>
        <v>3Lightweight walls&gt; 0.4 to ≤ 0.5&gt; 1800 to ≤ 2400</v>
      </c>
      <c r="E490" s="22" t="str">
        <f t="shared" si="6"/>
        <v>3Lightweight walls</v>
      </c>
      <c r="F490" s="32" t="s">
        <v>561</v>
      </c>
      <c r="G490" s="32" t="s">
        <v>542</v>
      </c>
      <c r="H490" s="32" t="s">
        <v>522</v>
      </c>
      <c r="I490" s="32" t="s">
        <v>522</v>
      </c>
      <c r="J490" s="32">
        <v>1.5</v>
      </c>
      <c r="K490" s="32">
        <v>1.5</v>
      </c>
      <c r="AA490"/>
    </row>
    <row r="491" spans="1:27" s="22" customFormat="1" x14ac:dyDescent="0.3">
      <c r="A491" s="22" t="str">
        <f>CONCATENATE(B491,C491,Lightweight_wall_minimum_insulation_R_Value_Climate_Zone_3113[[#This Row],[Column1]])</f>
        <v>3Lightweight walls&gt; 0.5 to ≤ 0.6</v>
      </c>
      <c r="B491" s="22">
        <v>3</v>
      </c>
      <c r="C491" s="22" t="s">
        <v>218</v>
      </c>
      <c r="D491" s="22" t="str">
        <f>CONCATENATE(B491,C491,Lightweight_wall_minimum_insulation_R_Value_Climate_Zone_3113[[#This Row],[Column1]],Lightweight_wall_minimum_insulation_R_Value_Climate_Zone_3113[[#This Row],[Column2]])</f>
        <v>3Lightweight walls&gt; 0.5 to ≤ 0.60</v>
      </c>
      <c r="E491" s="22" t="str">
        <f t="shared" si="6"/>
        <v>3Lightweight walls</v>
      </c>
      <c r="F491" s="32" t="s">
        <v>583</v>
      </c>
      <c r="G491" s="32">
        <v>0</v>
      </c>
      <c r="H491" s="32" t="s">
        <v>321</v>
      </c>
      <c r="I491" s="32" t="s">
        <v>321</v>
      </c>
      <c r="J491" s="32" t="s">
        <v>321</v>
      </c>
      <c r="K491" s="32" t="s">
        <v>321</v>
      </c>
      <c r="AA491"/>
    </row>
    <row r="492" spans="1:27" s="22" customFormat="1" x14ac:dyDescent="0.3">
      <c r="A492" s="22" t="str">
        <f>CONCATENATE(B492,C492,Lightweight_wall_minimum_insulation_R_Value_Climate_Zone_3113[[#This Row],[Column1]])</f>
        <v>3Lightweight walls&gt; 0.5 to ≤ 0.6</v>
      </c>
      <c r="B492" s="22">
        <v>3</v>
      </c>
      <c r="C492" s="22" t="s">
        <v>218</v>
      </c>
      <c r="D492" s="22" t="str">
        <f>CONCATENATE(B492,C492,Lightweight_wall_minimum_insulation_R_Value_Climate_Zone_3113[[#This Row],[Column1]],Lightweight_wall_minimum_insulation_R_Value_Climate_Zone_3113[[#This Row],[Column2]])</f>
        <v>3Lightweight walls&gt; 0.5 to ≤ 0.6&gt; to ≤ 300</v>
      </c>
      <c r="E492" s="22" t="str">
        <f t="shared" si="6"/>
        <v>3Lightweight walls</v>
      </c>
      <c r="F492" s="32" t="s">
        <v>583</v>
      </c>
      <c r="G492" s="32" t="s">
        <v>633</v>
      </c>
      <c r="H492" s="32" t="s">
        <v>321</v>
      </c>
      <c r="I492" s="32" t="s">
        <v>321</v>
      </c>
      <c r="J492" s="32" t="s">
        <v>321</v>
      </c>
      <c r="K492" s="32" t="s">
        <v>321</v>
      </c>
      <c r="AA492"/>
    </row>
    <row r="493" spans="1:27" s="22" customFormat="1" x14ac:dyDescent="0.3">
      <c r="A493" s="22" t="str">
        <f>CONCATENATE(B493,C493,Lightweight_wall_minimum_insulation_R_Value_Climate_Zone_3113[[#This Row],[Column1]])</f>
        <v>3Lightweight walls&gt; 0.5 to ≤ 0.6</v>
      </c>
      <c r="B493" s="22">
        <v>3</v>
      </c>
      <c r="C493" s="22" t="s">
        <v>218</v>
      </c>
      <c r="D493" s="22" t="str">
        <f>CONCATENATE(B493,C493,Lightweight_wall_minimum_insulation_R_Value_Climate_Zone_3113[[#This Row],[Column1]],Lightweight_wall_minimum_insulation_R_Value_Climate_Zone_3113[[#This Row],[Column2]])</f>
        <v>3Lightweight walls&gt; 0.5 to ≤ 0.6&gt; 300 to ≤ 450</v>
      </c>
      <c r="E493" s="22" t="str">
        <f t="shared" si="6"/>
        <v>3Lightweight walls</v>
      </c>
      <c r="F493" s="32" t="s">
        <v>583</v>
      </c>
      <c r="G493" s="32" t="s">
        <v>525</v>
      </c>
      <c r="H493" s="32">
        <v>2</v>
      </c>
      <c r="I493" s="32" t="s">
        <v>321</v>
      </c>
      <c r="J493" s="32" t="s">
        <v>321</v>
      </c>
      <c r="K493" s="32" t="s">
        <v>321</v>
      </c>
      <c r="AA493"/>
    </row>
    <row r="494" spans="1:27" s="22" customFormat="1" x14ac:dyDescent="0.3">
      <c r="A494" s="22" t="str">
        <f>CONCATENATE(B494,C494,Lightweight_wall_minimum_insulation_R_Value_Climate_Zone_3113[[#This Row],[Column1]])</f>
        <v>3Lightweight walls&gt; 0.5 to ≤ 0.6</v>
      </c>
      <c r="B494" s="22">
        <v>3</v>
      </c>
      <c r="C494" s="22" t="s">
        <v>218</v>
      </c>
      <c r="D494" s="22" t="str">
        <f>CONCATENATE(B494,C494,Lightweight_wall_minimum_insulation_R_Value_Climate_Zone_3113[[#This Row],[Column1]],Lightweight_wall_minimum_insulation_R_Value_Climate_Zone_3113[[#This Row],[Column2]])</f>
        <v>3Lightweight walls&gt; 0.5 to ≤ 0.6&gt; 450 to ≤ 600</v>
      </c>
      <c r="E494" s="22" t="str">
        <f t="shared" ref="E494:E557" si="7">CONCATENATE(B494,C494)</f>
        <v>3Lightweight walls</v>
      </c>
      <c r="F494" s="32" t="s">
        <v>583</v>
      </c>
      <c r="G494" s="32" t="s">
        <v>528</v>
      </c>
      <c r="H494" s="32">
        <v>1.5</v>
      </c>
      <c r="I494" s="32" t="s">
        <v>321</v>
      </c>
      <c r="J494" s="32" t="s">
        <v>321</v>
      </c>
      <c r="K494" s="32" t="s">
        <v>321</v>
      </c>
      <c r="AA494"/>
    </row>
    <row r="495" spans="1:27" s="22" customFormat="1" x14ac:dyDescent="0.3">
      <c r="A495" s="22" t="str">
        <f>CONCATENATE(B495,C495,Lightweight_wall_minimum_insulation_R_Value_Climate_Zone_3113[[#This Row],[Column1]])</f>
        <v>3Lightweight walls&gt; 0.5 to ≤ 0.6</v>
      </c>
      <c r="B495" s="22">
        <v>3</v>
      </c>
      <c r="C495" s="22" t="s">
        <v>218</v>
      </c>
      <c r="D495" s="22" t="str">
        <f>CONCATENATE(B495,C495,Lightweight_wall_minimum_insulation_R_Value_Climate_Zone_3113[[#This Row],[Column1]],Lightweight_wall_minimum_insulation_R_Value_Climate_Zone_3113[[#This Row],[Column2]])</f>
        <v>3Lightweight walls&gt; 0.5 to ≤ 0.6&gt; 600 to ≤ 900</v>
      </c>
      <c r="E495" s="22" t="str">
        <f t="shared" si="7"/>
        <v>3Lightweight walls</v>
      </c>
      <c r="F495" s="32" t="s">
        <v>583</v>
      </c>
      <c r="G495" s="32" t="s">
        <v>531</v>
      </c>
      <c r="H495" s="32">
        <v>1.5</v>
      </c>
      <c r="I495" s="32">
        <v>2</v>
      </c>
      <c r="J495" s="32" t="s">
        <v>321</v>
      </c>
      <c r="K495" s="32" t="s">
        <v>321</v>
      </c>
      <c r="AA495"/>
    </row>
    <row r="496" spans="1:27" s="22" customFormat="1" x14ac:dyDescent="0.3">
      <c r="A496" s="22" t="str">
        <f>CONCATENATE(B496,C496,Lightweight_wall_minimum_insulation_R_Value_Climate_Zone_3113[[#This Row],[Column1]])</f>
        <v>3Lightweight walls&gt; 0.5 to ≤ 0.6</v>
      </c>
      <c r="B496" s="22">
        <v>3</v>
      </c>
      <c r="C496" s="22" t="s">
        <v>218</v>
      </c>
      <c r="D496" s="22" t="str">
        <f>CONCATENATE(B496,C496,Lightweight_wall_minimum_insulation_R_Value_Climate_Zone_3113[[#This Row],[Column1]],Lightweight_wall_minimum_insulation_R_Value_Climate_Zone_3113[[#This Row],[Column2]])</f>
        <v>3Lightweight walls&gt; 0.5 to ≤ 0.6&gt; 900 to ≤ 1200</v>
      </c>
      <c r="E496" s="22" t="str">
        <f t="shared" si="7"/>
        <v>3Lightweight walls</v>
      </c>
      <c r="F496" s="32" t="s">
        <v>583</v>
      </c>
      <c r="G496" s="32" t="s">
        <v>534</v>
      </c>
      <c r="H496" s="32">
        <v>1.5</v>
      </c>
      <c r="I496" s="32">
        <v>1.5</v>
      </c>
      <c r="J496" s="32">
        <v>2</v>
      </c>
      <c r="K496" s="32" t="s">
        <v>321</v>
      </c>
      <c r="AA496"/>
    </row>
    <row r="497" spans="1:27" s="22" customFormat="1" x14ac:dyDescent="0.3">
      <c r="A497" s="22" t="str">
        <f>CONCATENATE(B497,C497,Lightweight_wall_minimum_insulation_R_Value_Climate_Zone_3113[[#This Row],[Column1]])</f>
        <v>3Lightweight walls&gt; 0.5 to ≤ 0.6</v>
      </c>
      <c r="B497" s="22">
        <v>3</v>
      </c>
      <c r="C497" s="22" t="s">
        <v>218</v>
      </c>
      <c r="D497" s="22" t="str">
        <f>CONCATENATE(B497,C497,Lightweight_wall_minimum_insulation_R_Value_Climate_Zone_3113[[#This Row],[Column1]],Lightweight_wall_minimum_insulation_R_Value_Climate_Zone_3113[[#This Row],[Column2]])</f>
        <v>3Lightweight walls&gt; 0.5 to ≤ 0.6&gt; 1200 to ≤ 1500</v>
      </c>
      <c r="E497" s="22" t="str">
        <f t="shared" si="7"/>
        <v>3Lightweight walls</v>
      </c>
      <c r="F497" s="32" t="s">
        <v>583</v>
      </c>
      <c r="G497" s="32" t="s">
        <v>536</v>
      </c>
      <c r="H497" s="32">
        <v>1.5</v>
      </c>
      <c r="I497" s="32">
        <v>1.5</v>
      </c>
      <c r="J497" s="32">
        <v>1.5</v>
      </c>
      <c r="K497" s="32" t="s">
        <v>321</v>
      </c>
      <c r="AA497"/>
    </row>
    <row r="498" spans="1:27" s="22" customFormat="1" x14ac:dyDescent="0.3">
      <c r="A498" s="22" t="str">
        <f>CONCATENATE(B498,C498,Lightweight_wall_minimum_insulation_R_Value_Climate_Zone_3113[[#This Row],[Column1]])</f>
        <v>3Lightweight walls&gt; 0.5 to ≤ 0.6</v>
      </c>
      <c r="B498" s="22">
        <v>3</v>
      </c>
      <c r="C498" s="22" t="s">
        <v>218</v>
      </c>
      <c r="D498" s="22" t="str">
        <f>CONCATENATE(B498,C498,Lightweight_wall_minimum_insulation_R_Value_Climate_Zone_3113[[#This Row],[Column1]],Lightweight_wall_minimum_insulation_R_Value_Climate_Zone_3113[[#This Row],[Column2]])</f>
        <v>3Lightweight walls&gt; 0.5 to ≤ 0.6&gt; 1500 to ≤ 1800</v>
      </c>
      <c r="E498" s="22" t="str">
        <f t="shared" si="7"/>
        <v>3Lightweight walls</v>
      </c>
      <c r="F498" s="32" t="s">
        <v>583</v>
      </c>
      <c r="G498" s="32" t="s">
        <v>539</v>
      </c>
      <c r="H498" s="32">
        <v>1.5</v>
      </c>
      <c r="I498" s="32">
        <v>1.5</v>
      </c>
      <c r="J498" s="32">
        <v>1.5</v>
      </c>
      <c r="K498" s="32">
        <v>2.5</v>
      </c>
      <c r="AA498"/>
    </row>
    <row r="499" spans="1:27" s="22" customFormat="1" x14ac:dyDescent="0.3">
      <c r="A499" s="22" t="str">
        <f>CONCATENATE(B499,C499,Lightweight_wall_minimum_insulation_R_Value_Climate_Zone_3113[[#This Row],[Column1]])</f>
        <v>3Lightweight walls&gt; 0.5 to ≤ 0.6</v>
      </c>
      <c r="B499" s="22">
        <v>3</v>
      </c>
      <c r="C499" s="22" t="s">
        <v>218</v>
      </c>
      <c r="D499" s="22" t="str">
        <f>CONCATENATE(B499,C499,Lightweight_wall_minimum_insulation_R_Value_Climate_Zone_3113[[#This Row],[Column1]],Lightweight_wall_minimum_insulation_R_Value_Climate_Zone_3113[[#This Row],[Column2]])</f>
        <v>3Lightweight walls&gt; 0.5 to ≤ 0.6&gt; 1800 to ≤ 2400</v>
      </c>
      <c r="E499" s="22" t="str">
        <f t="shared" si="7"/>
        <v>3Lightweight walls</v>
      </c>
      <c r="F499" s="32" t="s">
        <v>583</v>
      </c>
      <c r="G499" s="32" t="s">
        <v>542</v>
      </c>
      <c r="H499" s="32" t="s">
        <v>522</v>
      </c>
      <c r="I499" s="32">
        <v>1.5</v>
      </c>
      <c r="J499" s="32">
        <v>1.5</v>
      </c>
      <c r="K499" s="32">
        <v>2</v>
      </c>
      <c r="AA499"/>
    </row>
    <row r="500" spans="1:27" s="22" customFormat="1" x14ac:dyDescent="0.3">
      <c r="A500" s="22" t="str">
        <f>CONCATENATE(B500,C500,Lightweight_wall_minimum_insulation_R_Value_Climate_Zone_3113[[#This Row],[Column1]])</f>
        <v>3Lightweight walls&gt; 0.6 to ≤ 0.7</v>
      </c>
      <c r="B500" s="22">
        <v>3</v>
      </c>
      <c r="C500" s="22" t="s">
        <v>218</v>
      </c>
      <c r="D500" s="22" t="str">
        <f>CONCATENATE(B500,C500,Lightweight_wall_minimum_insulation_R_Value_Climate_Zone_3113[[#This Row],[Column1]],Lightweight_wall_minimum_insulation_R_Value_Climate_Zone_3113[[#This Row],[Column2]])</f>
        <v>3Lightweight walls&gt; 0.6 to ≤ 0.70</v>
      </c>
      <c r="E500" s="22" t="str">
        <f t="shared" si="7"/>
        <v>3Lightweight walls</v>
      </c>
      <c r="F500" s="32" t="s">
        <v>596</v>
      </c>
      <c r="G500" s="32">
        <v>0</v>
      </c>
      <c r="H500" s="32" t="s">
        <v>321</v>
      </c>
      <c r="I500" s="32" t="s">
        <v>321</v>
      </c>
      <c r="J500" s="32" t="s">
        <v>321</v>
      </c>
      <c r="K500" s="32" t="s">
        <v>321</v>
      </c>
      <c r="AA500"/>
    </row>
    <row r="501" spans="1:27" s="22" customFormat="1" x14ac:dyDescent="0.3">
      <c r="A501" s="22" t="str">
        <f>CONCATENATE(B501,C501,Lightweight_wall_minimum_insulation_R_Value_Climate_Zone_3113[[#This Row],[Column1]])</f>
        <v>3Lightweight walls&gt; 0.6 to ≤ 0.7</v>
      </c>
      <c r="B501" s="22">
        <v>3</v>
      </c>
      <c r="C501" s="22" t="s">
        <v>218</v>
      </c>
      <c r="D501" s="22" t="str">
        <f>CONCATENATE(B501,C501,Lightweight_wall_minimum_insulation_R_Value_Climate_Zone_3113[[#This Row],[Column1]],Lightweight_wall_minimum_insulation_R_Value_Climate_Zone_3113[[#This Row],[Column2]])</f>
        <v>3Lightweight walls&gt; 0.6 to ≤ 0.7&gt; 0 to ≤ 300</v>
      </c>
      <c r="E501" s="22" t="str">
        <f t="shared" si="7"/>
        <v>3Lightweight walls</v>
      </c>
      <c r="F501" s="32" t="s">
        <v>596</v>
      </c>
      <c r="G501" s="32" t="s">
        <v>521</v>
      </c>
      <c r="H501" s="32" t="s">
        <v>321</v>
      </c>
      <c r="I501" s="32" t="s">
        <v>321</v>
      </c>
      <c r="J501" s="32" t="s">
        <v>321</v>
      </c>
      <c r="K501" s="32" t="s">
        <v>321</v>
      </c>
      <c r="AA501"/>
    </row>
    <row r="502" spans="1:27" s="22" customFormat="1" x14ac:dyDescent="0.3">
      <c r="A502" s="22" t="str">
        <f>CONCATENATE(B502,C502,Lightweight_wall_minimum_insulation_R_Value_Climate_Zone_3113[[#This Row],[Column1]])</f>
        <v>3Lightweight walls&gt; 0.6 to ≤ 0.7</v>
      </c>
      <c r="B502" s="22">
        <v>3</v>
      </c>
      <c r="C502" s="22" t="s">
        <v>218</v>
      </c>
      <c r="D502" s="22" t="str">
        <f>CONCATENATE(B502,C502,Lightweight_wall_minimum_insulation_R_Value_Climate_Zone_3113[[#This Row],[Column1]],Lightweight_wall_minimum_insulation_R_Value_Climate_Zone_3113[[#This Row],[Column2]])</f>
        <v>3Lightweight walls&gt; 0.6 to ≤ 0.7&gt; 300 to ≤ 450</v>
      </c>
      <c r="E502" s="22" t="str">
        <f t="shared" si="7"/>
        <v>3Lightweight walls</v>
      </c>
      <c r="F502" s="32" t="s">
        <v>596</v>
      </c>
      <c r="G502" s="32" t="s">
        <v>525</v>
      </c>
      <c r="H502" s="32">
        <v>2.5</v>
      </c>
      <c r="I502" s="32" t="s">
        <v>321</v>
      </c>
      <c r="J502" s="32" t="s">
        <v>321</v>
      </c>
      <c r="K502" s="32" t="s">
        <v>321</v>
      </c>
      <c r="AA502"/>
    </row>
    <row r="503" spans="1:27" s="22" customFormat="1" x14ac:dyDescent="0.3">
      <c r="A503" s="22" t="str">
        <f>CONCATENATE(B503,C503,Lightweight_wall_minimum_insulation_R_Value_Climate_Zone_3113[[#This Row],[Column1]])</f>
        <v>3Lightweight walls&gt; 0.6 to ≤ 0.7</v>
      </c>
      <c r="B503" s="22">
        <v>3</v>
      </c>
      <c r="C503" s="22" t="s">
        <v>218</v>
      </c>
      <c r="D503" s="22" t="str">
        <f>CONCATENATE(B503,C503,Lightweight_wall_minimum_insulation_R_Value_Climate_Zone_3113[[#This Row],[Column1]],Lightweight_wall_minimum_insulation_R_Value_Climate_Zone_3113[[#This Row],[Column2]])</f>
        <v>3Lightweight walls&gt; 0.6 to ≤ 0.7&gt; 450 to ≤ 600</v>
      </c>
      <c r="E503" s="22" t="str">
        <f t="shared" si="7"/>
        <v>3Lightweight walls</v>
      </c>
      <c r="F503" s="32" t="s">
        <v>596</v>
      </c>
      <c r="G503" s="32" t="s">
        <v>528</v>
      </c>
      <c r="H503" s="32">
        <v>2</v>
      </c>
      <c r="I503" s="32" t="s">
        <v>321</v>
      </c>
      <c r="J503" s="32" t="s">
        <v>321</v>
      </c>
      <c r="K503" s="32" t="s">
        <v>321</v>
      </c>
      <c r="AA503"/>
    </row>
    <row r="504" spans="1:27" s="22" customFormat="1" x14ac:dyDescent="0.3">
      <c r="A504" s="22" t="str">
        <f>CONCATENATE(B504,C504,Lightweight_wall_minimum_insulation_R_Value_Climate_Zone_3113[[#This Row],[Column1]])</f>
        <v>3Lightweight walls&gt; 0.6 to ≤ 0.7</v>
      </c>
      <c r="B504" s="22">
        <v>3</v>
      </c>
      <c r="C504" s="22" t="s">
        <v>218</v>
      </c>
      <c r="D504" s="22" t="str">
        <f>CONCATENATE(B504,C504,Lightweight_wall_minimum_insulation_R_Value_Climate_Zone_3113[[#This Row],[Column1]],Lightweight_wall_minimum_insulation_R_Value_Climate_Zone_3113[[#This Row],[Column2]])</f>
        <v>3Lightweight walls&gt; 0.6 to ≤ 0.7&gt; 600 to ≤ 900</v>
      </c>
      <c r="E504" s="22" t="str">
        <f t="shared" si="7"/>
        <v>3Lightweight walls</v>
      </c>
      <c r="F504" s="32" t="s">
        <v>596</v>
      </c>
      <c r="G504" s="32" t="s">
        <v>531</v>
      </c>
      <c r="H504" s="32">
        <v>1.5</v>
      </c>
      <c r="I504" s="32">
        <v>2</v>
      </c>
      <c r="J504" s="32" t="s">
        <v>321</v>
      </c>
      <c r="K504" s="32" t="s">
        <v>321</v>
      </c>
      <c r="AA504"/>
    </row>
    <row r="505" spans="1:27" s="22" customFormat="1" x14ac:dyDescent="0.3">
      <c r="A505" s="22" t="str">
        <f>CONCATENATE(B505,C505,Lightweight_wall_minimum_insulation_R_Value_Climate_Zone_3113[[#This Row],[Column1]])</f>
        <v>3Lightweight walls&gt; 0.6 to ≤ 0.7</v>
      </c>
      <c r="B505" s="22">
        <v>3</v>
      </c>
      <c r="C505" s="22" t="s">
        <v>218</v>
      </c>
      <c r="D505" s="22" t="str">
        <f>CONCATENATE(B505,C505,Lightweight_wall_minimum_insulation_R_Value_Climate_Zone_3113[[#This Row],[Column1]],Lightweight_wall_minimum_insulation_R_Value_Climate_Zone_3113[[#This Row],[Column2]])</f>
        <v>3Lightweight walls&gt; 0.6 to ≤ 0.7&gt; 900 to ≤ 1200</v>
      </c>
      <c r="E505" s="22" t="str">
        <f t="shared" si="7"/>
        <v>3Lightweight walls</v>
      </c>
      <c r="F505" s="32" t="s">
        <v>596</v>
      </c>
      <c r="G505" s="32" t="s">
        <v>534</v>
      </c>
      <c r="H505" s="32">
        <v>1.5</v>
      </c>
      <c r="I505" s="32">
        <v>1.5</v>
      </c>
      <c r="J505" s="32">
        <v>2.5</v>
      </c>
      <c r="K505" s="32" t="s">
        <v>321</v>
      </c>
      <c r="AA505"/>
    </row>
    <row r="506" spans="1:27" s="22" customFormat="1" x14ac:dyDescent="0.3">
      <c r="A506" s="22" t="str">
        <f>CONCATENATE(B506,C506,Lightweight_wall_minimum_insulation_R_Value_Climate_Zone_3113[[#This Row],[Column1]])</f>
        <v>3Lightweight walls&gt; 0.6 to ≤ 0.7</v>
      </c>
      <c r="B506" s="22">
        <v>3</v>
      </c>
      <c r="C506" s="22" t="s">
        <v>218</v>
      </c>
      <c r="D506" s="22" t="str">
        <f>CONCATENATE(B506,C506,Lightweight_wall_minimum_insulation_R_Value_Climate_Zone_3113[[#This Row],[Column1]],Lightweight_wall_minimum_insulation_R_Value_Climate_Zone_3113[[#This Row],[Column2]])</f>
        <v>3Lightweight walls&gt; 0.6 to ≤ 0.7&gt; 1200 to ≤ 1500</v>
      </c>
      <c r="E506" s="22" t="str">
        <f t="shared" si="7"/>
        <v>3Lightweight walls</v>
      </c>
      <c r="F506" s="32" t="s">
        <v>596</v>
      </c>
      <c r="G506" s="32" t="s">
        <v>536</v>
      </c>
      <c r="H506" s="32">
        <v>1.5</v>
      </c>
      <c r="I506" s="32">
        <v>1.5</v>
      </c>
      <c r="J506" s="32">
        <v>2</v>
      </c>
      <c r="K506" s="32" t="s">
        <v>321</v>
      </c>
      <c r="AA506"/>
    </row>
    <row r="507" spans="1:27" s="22" customFormat="1" x14ac:dyDescent="0.3">
      <c r="A507" s="22" t="str">
        <f>CONCATENATE(B507,C507,Lightweight_wall_minimum_insulation_R_Value_Climate_Zone_3113[[#This Row],[Column1]])</f>
        <v>3Lightweight walls&gt; 0.6 to ≤ 0.7</v>
      </c>
      <c r="B507" s="22">
        <v>3</v>
      </c>
      <c r="C507" s="22" t="s">
        <v>218</v>
      </c>
      <c r="D507" s="22" t="str">
        <f>CONCATENATE(B507,C507,Lightweight_wall_minimum_insulation_R_Value_Climate_Zone_3113[[#This Row],[Column1]],Lightweight_wall_minimum_insulation_R_Value_Climate_Zone_3113[[#This Row],[Column2]])</f>
        <v>3Lightweight walls&gt; 0.6 to ≤ 0.7&gt; 1500 to ≤ 1800</v>
      </c>
      <c r="E507" s="22" t="str">
        <f t="shared" si="7"/>
        <v>3Lightweight walls</v>
      </c>
      <c r="F507" s="32" t="s">
        <v>596</v>
      </c>
      <c r="G507" s="32" t="s">
        <v>539</v>
      </c>
      <c r="H507" s="32" t="s">
        <v>522</v>
      </c>
      <c r="I507" s="32">
        <v>1.5</v>
      </c>
      <c r="J507" s="32">
        <v>1.5</v>
      </c>
      <c r="K507" s="32">
        <v>2.7</v>
      </c>
      <c r="AA507"/>
    </row>
    <row r="508" spans="1:27" s="22" customFormat="1" x14ac:dyDescent="0.3">
      <c r="A508" s="22" t="str">
        <f>CONCATENATE(B508,C508,Lightweight_wall_minimum_insulation_R_Value_Climate_Zone_3113[[#This Row],[Column1]])</f>
        <v>3Lightweight walls&gt; 0.6 to ≤ 0.7</v>
      </c>
      <c r="B508" s="22">
        <v>3</v>
      </c>
      <c r="C508" s="22" t="s">
        <v>218</v>
      </c>
      <c r="D508" s="22" t="str">
        <f>CONCATENATE(B508,C508,Lightweight_wall_minimum_insulation_R_Value_Climate_Zone_3113[[#This Row],[Column1]],Lightweight_wall_minimum_insulation_R_Value_Climate_Zone_3113[[#This Row],[Column2]])</f>
        <v>3Lightweight walls&gt; 0.6 to ≤ 0.7&gt; 1800 to ≤ 2400</v>
      </c>
      <c r="E508" s="22" t="str">
        <f t="shared" si="7"/>
        <v>3Lightweight walls</v>
      </c>
      <c r="F508" s="32" t="s">
        <v>596</v>
      </c>
      <c r="G508" s="32" t="s">
        <v>542</v>
      </c>
      <c r="H508" s="32" t="s">
        <v>522</v>
      </c>
      <c r="I508" s="32">
        <v>1.5</v>
      </c>
      <c r="J508" s="32">
        <v>1.5</v>
      </c>
      <c r="K508" s="32">
        <v>2</v>
      </c>
      <c r="AA508"/>
    </row>
    <row r="509" spans="1:27" s="22" customFormat="1" x14ac:dyDescent="0.3">
      <c r="AA509"/>
    </row>
    <row r="510" spans="1:27" s="22" customFormat="1" x14ac:dyDescent="0.3">
      <c r="F510" s="22" t="s">
        <v>634</v>
      </c>
      <c r="AA510"/>
    </row>
    <row r="511" spans="1:27" s="22" customFormat="1" x14ac:dyDescent="0.3">
      <c r="F511" s="22" t="s">
        <v>635</v>
      </c>
      <c r="AA511"/>
    </row>
    <row r="512" spans="1:27" s="22" customFormat="1" x14ac:dyDescent="0.3">
      <c r="F512" s="708" t="s">
        <v>234</v>
      </c>
      <c r="G512" s="708" t="s">
        <v>140</v>
      </c>
      <c r="H512" s="708" t="s">
        <v>510</v>
      </c>
      <c r="I512" s="708"/>
      <c r="J512" s="708"/>
      <c r="K512" s="708"/>
      <c r="AA512"/>
    </row>
    <row r="513" spans="1:27" s="22" customFormat="1" x14ac:dyDescent="0.3">
      <c r="A513" s="22" t="str">
        <f>E514</f>
        <v>4Masonry veneer walls</v>
      </c>
      <c r="F513" s="708"/>
      <c r="G513" s="708"/>
      <c r="H513" s="708" t="s">
        <v>512</v>
      </c>
      <c r="I513" s="708" t="s">
        <v>513</v>
      </c>
      <c r="J513" s="708" t="s">
        <v>514</v>
      </c>
      <c r="K513" s="708" t="s">
        <v>515</v>
      </c>
      <c r="AA513"/>
    </row>
    <row r="514" spans="1:27" s="22" customFormat="1" x14ac:dyDescent="0.3">
      <c r="A514" s="22" t="str">
        <f>CONCATENATE(B514,C514,Masonry_veneer_wall_minimum_insulation_R_Value_climate_zone_4114[[#This Row],[Column1]])</f>
        <v>4Masonry veneer walls≤ 0.35</v>
      </c>
      <c r="B514" s="22">
        <v>4</v>
      </c>
      <c r="C514" s="22" t="s">
        <v>233</v>
      </c>
      <c r="D514" s="22" t="str">
        <f>CONCATENATE(B514,C514,Masonry_veneer_wall_minimum_insulation_R_Value_climate_zone_4114[[#This Row],[Column1]],Masonry_veneer_wall_minimum_insulation_R_Value_climate_zone_4114[[#This Row],[Column2]])</f>
        <v>4Masonry veneer walls≤ 0.350</v>
      </c>
      <c r="E514" s="22" t="str">
        <f t="shared" si="7"/>
        <v>4Masonry veneer walls</v>
      </c>
      <c r="F514" s="32" t="s">
        <v>623</v>
      </c>
      <c r="G514" s="32">
        <v>0</v>
      </c>
      <c r="H514" s="32">
        <v>2</v>
      </c>
      <c r="I514" s="32">
        <v>2.5</v>
      </c>
      <c r="J514" s="32">
        <v>2.5</v>
      </c>
      <c r="K514" s="32" t="s">
        <v>321</v>
      </c>
      <c r="AA514"/>
    </row>
    <row r="515" spans="1:27" s="22" customFormat="1" x14ac:dyDescent="0.3">
      <c r="A515" s="22" t="str">
        <f>CONCATENATE(B515,C515,Masonry_veneer_wall_minimum_insulation_R_Value_climate_zone_4114[[#This Row],[Column1]])</f>
        <v>4Masonry veneer walls≤ 0.35</v>
      </c>
      <c r="B515" s="22">
        <v>4</v>
      </c>
      <c r="C515" s="22" t="s">
        <v>233</v>
      </c>
      <c r="D515" s="22" t="str">
        <f>CONCATENATE(B515,C515,Masonry_veneer_wall_minimum_insulation_R_Value_climate_zone_4114[[#This Row],[Column1]],Masonry_veneer_wall_minimum_insulation_R_Value_climate_zone_4114[[#This Row],[Column2]])</f>
        <v>4Masonry veneer walls≤ 0.35&gt; 0 to ≤ 300</v>
      </c>
      <c r="E515" s="22" t="str">
        <f t="shared" si="7"/>
        <v>4Masonry veneer walls</v>
      </c>
      <c r="F515" s="32" t="s">
        <v>623</v>
      </c>
      <c r="G515" s="32" t="s">
        <v>521</v>
      </c>
      <c r="H515" s="32">
        <v>2</v>
      </c>
      <c r="I515" s="32">
        <v>2</v>
      </c>
      <c r="J515" s="32">
        <v>2.5</v>
      </c>
      <c r="K515" s="32" t="s">
        <v>321</v>
      </c>
      <c r="AA515"/>
    </row>
    <row r="516" spans="1:27" s="22" customFormat="1" x14ac:dyDescent="0.3">
      <c r="A516" s="22" t="str">
        <f>CONCATENATE(B516,C516,Masonry_veneer_wall_minimum_insulation_R_Value_climate_zone_4114[[#This Row],[Column1]])</f>
        <v>4Masonry veneer walls≤ 0.35</v>
      </c>
      <c r="B516" s="22">
        <v>4</v>
      </c>
      <c r="C516" s="22" t="s">
        <v>233</v>
      </c>
      <c r="D516" s="22" t="str">
        <f>CONCATENATE(B516,C516,Masonry_veneer_wall_minimum_insulation_R_Value_climate_zone_4114[[#This Row],[Column1]],Masonry_veneer_wall_minimum_insulation_R_Value_climate_zone_4114[[#This Row],[Column2]])</f>
        <v>4Masonry veneer walls≤ 0.35&gt; 300 to ≤ 450</v>
      </c>
      <c r="E516" s="22" t="str">
        <f t="shared" si="7"/>
        <v>4Masonry veneer walls</v>
      </c>
      <c r="F516" s="32" t="s">
        <v>623</v>
      </c>
      <c r="G516" s="32" t="s">
        <v>525</v>
      </c>
      <c r="H516" s="32">
        <v>2</v>
      </c>
      <c r="I516" s="32">
        <v>2</v>
      </c>
      <c r="J516" s="32">
        <v>2.5</v>
      </c>
      <c r="K516" s="32">
        <v>3</v>
      </c>
      <c r="AA516"/>
    </row>
    <row r="517" spans="1:27" s="22" customFormat="1" x14ac:dyDescent="0.3">
      <c r="A517" s="22" t="str">
        <f>CONCATENATE(B517,C517,Masonry_veneer_wall_minimum_insulation_R_Value_climate_zone_4114[[#This Row],[Column1]])</f>
        <v>4Masonry veneer walls≤ 0.35</v>
      </c>
      <c r="B517" s="22">
        <v>4</v>
      </c>
      <c r="C517" s="22" t="s">
        <v>233</v>
      </c>
      <c r="D517" s="22" t="str">
        <f>CONCATENATE(B517,C517,Masonry_veneer_wall_minimum_insulation_R_Value_climate_zone_4114[[#This Row],[Column1]],Masonry_veneer_wall_minimum_insulation_R_Value_climate_zone_4114[[#This Row],[Column2]])</f>
        <v>4Masonry veneer walls≤ 0.35&gt; 450 to ≤ 600</v>
      </c>
      <c r="E517" s="22" t="str">
        <f t="shared" si="7"/>
        <v>4Masonry veneer walls</v>
      </c>
      <c r="F517" s="32" t="s">
        <v>623</v>
      </c>
      <c r="G517" s="32" t="s">
        <v>528</v>
      </c>
      <c r="H517" s="32">
        <v>2</v>
      </c>
      <c r="I517" s="32">
        <v>2.5</v>
      </c>
      <c r="J517" s="32">
        <v>2.5</v>
      </c>
      <c r="K517" s="32">
        <v>3</v>
      </c>
      <c r="AA517"/>
    </row>
    <row r="518" spans="1:27" s="22" customFormat="1" x14ac:dyDescent="0.3">
      <c r="A518" s="22" t="str">
        <f>CONCATENATE(B518,C518,Masonry_veneer_wall_minimum_insulation_R_Value_climate_zone_4114[[#This Row],[Column1]])</f>
        <v>4Masonry veneer walls≤ 0.35</v>
      </c>
      <c r="B518" s="22">
        <v>4</v>
      </c>
      <c r="C518" s="22" t="s">
        <v>233</v>
      </c>
      <c r="D518" s="22" t="str">
        <f>CONCATENATE(B518,C518,Masonry_veneer_wall_minimum_insulation_R_Value_climate_zone_4114[[#This Row],[Column1]],Masonry_veneer_wall_minimum_insulation_R_Value_climate_zone_4114[[#This Row],[Column2]])</f>
        <v>4Masonry veneer walls≤ 0.35&gt; 600 to ≤ 900</v>
      </c>
      <c r="E518" s="22" t="str">
        <f t="shared" si="7"/>
        <v>4Masonry veneer walls</v>
      </c>
      <c r="F518" s="32" t="s">
        <v>623</v>
      </c>
      <c r="G518" s="32" t="s">
        <v>531</v>
      </c>
      <c r="H518" s="32">
        <v>2.5</v>
      </c>
      <c r="I518" s="32">
        <v>2.5</v>
      </c>
      <c r="J518" s="32">
        <v>2.5</v>
      </c>
      <c r="K518" s="32">
        <v>3</v>
      </c>
      <c r="AA518"/>
    </row>
    <row r="519" spans="1:27" s="22" customFormat="1" x14ac:dyDescent="0.3">
      <c r="A519" s="22" t="str">
        <f>CONCATENATE(B519,C519,Masonry_veneer_wall_minimum_insulation_R_Value_climate_zone_4114[[#This Row],[Column1]])</f>
        <v>4Masonry veneer walls≤ 0.35</v>
      </c>
      <c r="B519" s="22">
        <v>4</v>
      </c>
      <c r="C519" s="22" t="s">
        <v>233</v>
      </c>
      <c r="D519" s="22" t="str">
        <f>CONCATENATE(B519,C519,Masonry_veneer_wall_minimum_insulation_R_Value_climate_zone_4114[[#This Row],[Column1]],Masonry_veneer_wall_minimum_insulation_R_Value_climate_zone_4114[[#This Row],[Column2]])</f>
        <v>4Masonry veneer walls≤ 0.35&gt; 900 to ≤ 1200</v>
      </c>
      <c r="E519" s="22" t="str">
        <f t="shared" si="7"/>
        <v>4Masonry veneer walls</v>
      </c>
      <c r="F519" s="32" t="s">
        <v>623</v>
      </c>
      <c r="G519" s="32" t="s">
        <v>534</v>
      </c>
      <c r="H519" s="32" t="s">
        <v>321</v>
      </c>
      <c r="I519" s="32">
        <v>3</v>
      </c>
      <c r="J519" s="32">
        <v>3</v>
      </c>
      <c r="K519" s="32">
        <v>3</v>
      </c>
      <c r="AA519"/>
    </row>
    <row r="520" spans="1:27" s="22" customFormat="1" x14ac:dyDescent="0.3">
      <c r="A520" s="22" t="str">
        <f>CONCATENATE(B520,C520,Masonry_veneer_wall_minimum_insulation_R_Value_climate_zone_4114[[#This Row],[Column1]])</f>
        <v>4Masonry veneer walls≤ 0.35</v>
      </c>
      <c r="B520" s="22">
        <v>4</v>
      </c>
      <c r="C520" s="22" t="s">
        <v>233</v>
      </c>
      <c r="D520" s="22" t="str">
        <f>CONCATENATE(B520,C520,Masonry_veneer_wall_minimum_insulation_R_Value_climate_zone_4114[[#This Row],[Column1]],Masonry_veneer_wall_minimum_insulation_R_Value_climate_zone_4114[[#This Row],[Column2]])</f>
        <v>4Masonry veneer walls≤ 0.35&gt; 1200 to ≤ 1500</v>
      </c>
      <c r="E520" s="22" t="str">
        <f t="shared" si="7"/>
        <v>4Masonry veneer walls</v>
      </c>
      <c r="F520" s="32" t="s">
        <v>623</v>
      </c>
      <c r="G520" s="32" t="s">
        <v>536</v>
      </c>
      <c r="H520" s="32" t="s">
        <v>321</v>
      </c>
      <c r="I520" s="32" t="s">
        <v>321</v>
      </c>
      <c r="J520" s="32">
        <v>3</v>
      </c>
      <c r="K520" s="32" t="s">
        <v>321</v>
      </c>
      <c r="AA520"/>
    </row>
    <row r="521" spans="1:27" s="22" customFormat="1" x14ac:dyDescent="0.3">
      <c r="A521" s="22" t="str">
        <f>CONCATENATE(B521,C521,Masonry_veneer_wall_minimum_insulation_R_Value_climate_zone_4114[[#This Row],[Column1]])</f>
        <v>4Masonry veneer walls&gt; 0.35 to ≤ 0.5</v>
      </c>
      <c r="B521" s="22">
        <v>4</v>
      </c>
      <c r="C521" s="22" t="s">
        <v>233</v>
      </c>
      <c r="D521" s="22" t="str">
        <f>CONCATENATE(B521,C521,Masonry_veneer_wall_minimum_insulation_R_Value_climate_zone_4114[[#This Row],[Column1]],Masonry_veneer_wall_minimum_insulation_R_Value_climate_zone_4114[[#This Row],[Column2]])</f>
        <v>4Masonry veneer walls&gt; 0.35 to ≤ 0.50</v>
      </c>
      <c r="E521" s="22" t="str">
        <f t="shared" si="7"/>
        <v>4Masonry veneer walls</v>
      </c>
      <c r="F521" s="32" t="s">
        <v>624</v>
      </c>
      <c r="G521" s="32">
        <v>0</v>
      </c>
      <c r="H521" s="32">
        <v>2</v>
      </c>
      <c r="I521" s="32">
        <v>2.5</v>
      </c>
      <c r="J521" s="32">
        <v>2.5</v>
      </c>
      <c r="K521" s="32" t="s">
        <v>321</v>
      </c>
      <c r="AA521"/>
    </row>
    <row r="522" spans="1:27" s="22" customFormat="1" x14ac:dyDescent="0.3">
      <c r="A522" s="22" t="str">
        <f>CONCATENATE(B522,C522,Masonry_veneer_wall_minimum_insulation_R_Value_climate_zone_4114[[#This Row],[Column1]])</f>
        <v>4Masonry veneer walls&gt; 0.35 to ≤ 0.5</v>
      </c>
      <c r="B522" s="22">
        <v>4</v>
      </c>
      <c r="C522" s="22" t="s">
        <v>233</v>
      </c>
      <c r="D522" s="22" t="str">
        <f>CONCATENATE(B522,C522,Masonry_veneer_wall_minimum_insulation_R_Value_climate_zone_4114[[#This Row],[Column1]],Masonry_veneer_wall_minimum_insulation_R_Value_climate_zone_4114[[#This Row],[Column2]])</f>
        <v>4Masonry veneer walls&gt; 0.35 to ≤ 0.5&gt; 0 to ≤ 300</v>
      </c>
      <c r="E522" s="22" t="str">
        <f t="shared" si="7"/>
        <v>4Masonry veneer walls</v>
      </c>
      <c r="F522" s="32" t="s">
        <v>624</v>
      </c>
      <c r="G522" s="32" t="s">
        <v>521</v>
      </c>
      <c r="H522" s="32">
        <v>2</v>
      </c>
      <c r="I522" s="32">
        <v>2</v>
      </c>
      <c r="J522" s="32">
        <v>2.5</v>
      </c>
      <c r="K522" s="32" t="s">
        <v>321</v>
      </c>
      <c r="AA522"/>
    </row>
    <row r="523" spans="1:27" s="22" customFormat="1" x14ac:dyDescent="0.3">
      <c r="A523" s="22" t="str">
        <f>CONCATENATE(B523,C523,Masonry_veneer_wall_minimum_insulation_R_Value_climate_zone_4114[[#This Row],[Column1]])</f>
        <v>4Masonry veneer walls&gt; 0.35 to ≤ 0.5</v>
      </c>
      <c r="B523" s="22">
        <v>4</v>
      </c>
      <c r="C523" s="22" t="s">
        <v>233</v>
      </c>
      <c r="D523" s="22" t="str">
        <f>CONCATENATE(B523,C523,Masonry_veneer_wall_minimum_insulation_R_Value_climate_zone_4114[[#This Row],[Column1]],Masonry_veneer_wall_minimum_insulation_R_Value_climate_zone_4114[[#This Row],[Column2]])</f>
        <v>4Masonry veneer walls&gt; 0.35 to ≤ 0.5&gt; 300 to ≤ 450</v>
      </c>
      <c r="E523" s="22" t="str">
        <f t="shared" si="7"/>
        <v>4Masonry veneer walls</v>
      </c>
      <c r="F523" s="32" t="s">
        <v>624</v>
      </c>
      <c r="G523" s="32" t="s">
        <v>525</v>
      </c>
      <c r="H523" s="32">
        <v>2</v>
      </c>
      <c r="I523" s="32">
        <v>2</v>
      </c>
      <c r="J523" s="32">
        <v>2.5</v>
      </c>
      <c r="K523" s="32">
        <v>3</v>
      </c>
      <c r="AA523"/>
    </row>
    <row r="524" spans="1:27" s="22" customFormat="1" x14ac:dyDescent="0.3">
      <c r="A524" s="22" t="str">
        <f>CONCATENATE(B524,C524,Masonry_veneer_wall_minimum_insulation_R_Value_climate_zone_4114[[#This Row],[Column1]])</f>
        <v>4Masonry veneer walls&gt; 0.35 to ≤ 0.5</v>
      </c>
      <c r="B524" s="22">
        <v>4</v>
      </c>
      <c r="C524" s="22" t="s">
        <v>233</v>
      </c>
      <c r="D524" s="22" t="str">
        <f>CONCATENATE(B524,C524,Masonry_veneer_wall_minimum_insulation_R_Value_climate_zone_4114[[#This Row],[Column1]],Masonry_veneer_wall_minimum_insulation_R_Value_climate_zone_4114[[#This Row],[Column2]])</f>
        <v>4Masonry veneer walls&gt; 0.35 to ≤ 0.5&gt; 450 to ≤ 600</v>
      </c>
      <c r="E524" s="22" t="str">
        <f t="shared" si="7"/>
        <v>4Masonry veneer walls</v>
      </c>
      <c r="F524" s="32" t="s">
        <v>624</v>
      </c>
      <c r="G524" s="32" t="s">
        <v>528</v>
      </c>
      <c r="H524" s="32">
        <v>2</v>
      </c>
      <c r="I524" s="32">
        <v>2</v>
      </c>
      <c r="J524" s="32">
        <v>2.5</v>
      </c>
      <c r="K524" s="32">
        <v>3</v>
      </c>
      <c r="AA524"/>
    </row>
    <row r="525" spans="1:27" s="22" customFormat="1" x14ac:dyDescent="0.3">
      <c r="A525" s="22" t="str">
        <f>CONCATENATE(B525,C525,Masonry_veneer_wall_minimum_insulation_R_Value_climate_zone_4114[[#This Row],[Column1]])</f>
        <v>4Masonry veneer walls&gt; 0.35 to ≤ 0.5</v>
      </c>
      <c r="B525" s="22">
        <v>4</v>
      </c>
      <c r="C525" s="22" t="s">
        <v>233</v>
      </c>
      <c r="D525" s="22" t="str">
        <f>CONCATENATE(B525,C525,Masonry_veneer_wall_minimum_insulation_R_Value_climate_zone_4114[[#This Row],[Column1]],Masonry_veneer_wall_minimum_insulation_R_Value_climate_zone_4114[[#This Row],[Column2]])</f>
        <v>4Masonry veneer walls&gt; 0.35 to ≤ 0.5&gt; 600 to ≤ 900</v>
      </c>
      <c r="E525" s="22" t="str">
        <f t="shared" si="7"/>
        <v>4Masonry veneer walls</v>
      </c>
      <c r="F525" s="32" t="s">
        <v>624</v>
      </c>
      <c r="G525" s="32" t="s">
        <v>531</v>
      </c>
      <c r="H525" s="32">
        <v>2.5</v>
      </c>
      <c r="I525" s="32">
        <v>2.5</v>
      </c>
      <c r="J525" s="32">
        <v>2.5</v>
      </c>
      <c r="K525" s="32">
        <v>3</v>
      </c>
      <c r="AA525"/>
    </row>
    <row r="526" spans="1:27" s="22" customFormat="1" x14ac:dyDescent="0.3">
      <c r="A526" s="22" t="str">
        <f>CONCATENATE(B526,C526,Masonry_veneer_wall_minimum_insulation_R_Value_climate_zone_4114[[#This Row],[Column1]])</f>
        <v>4Masonry veneer walls&gt; 0.35 to ≤ 0.5</v>
      </c>
      <c r="B526" s="22">
        <v>4</v>
      </c>
      <c r="C526" s="22" t="s">
        <v>233</v>
      </c>
      <c r="D526" s="22" t="str">
        <f>CONCATENATE(B526,C526,Masonry_veneer_wall_minimum_insulation_R_Value_climate_zone_4114[[#This Row],[Column1]],Masonry_veneer_wall_minimum_insulation_R_Value_climate_zone_4114[[#This Row],[Column2]])</f>
        <v>4Masonry veneer walls&gt; 0.35 to ≤ 0.5&gt; 900 to ≤ 1200</v>
      </c>
      <c r="E526" s="22" t="str">
        <f t="shared" si="7"/>
        <v>4Masonry veneer walls</v>
      </c>
      <c r="F526" s="32" t="s">
        <v>624</v>
      </c>
      <c r="G526" s="32" t="s">
        <v>534</v>
      </c>
      <c r="H526" s="32" t="s">
        <v>321</v>
      </c>
      <c r="I526" s="32">
        <v>2.5</v>
      </c>
      <c r="J526" s="32">
        <v>2.5</v>
      </c>
      <c r="K526" s="32">
        <v>3</v>
      </c>
      <c r="AA526"/>
    </row>
    <row r="527" spans="1:27" s="22" customFormat="1" x14ac:dyDescent="0.3">
      <c r="A527" s="22" t="str">
        <f>CONCATENATE(B527,C527,Masonry_veneer_wall_minimum_insulation_R_Value_climate_zone_4114[[#This Row],[Column1]])</f>
        <v>4Masonry veneer walls&gt; 0.35 to ≤ 0.5</v>
      </c>
      <c r="B527" s="22">
        <v>4</v>
      </c>
      <c r="C527" s="22" t="s">
        <v>233</v>
      </c>
      <c r="D527" s="22" t="str">
        <f>CONCATENATE(B527,C527,Masonry_veneer_wall_minimum_insulation_R_Value_climate_zone_4114[[#This Row],[Column1]],Masonry_veneer_wall_minimum_insulation_R_Value_climate_zone_4114[[#This Row],[Column2]])</f>
        <v>4Masonry veneer walls&gt; 0.35 to ≤ 0.5&gt; 1200 to ≤ 1500</v>
      </c>
      <c r="E527" s="22" t="str">
        <f t="shared" si="7"/>
        <v>4Masonry veneer walls</v>
      </c>
      <c r="F527" s="32" t="s">
        <v>624</v>
      </c>
      <c r="G527" s="32" t="s">
        <v>536</v>
      </c>
      <c r="H527" s="32" t="s">
        <v>321</v>
      </c>
      <c r="I527" s="32" t="s">
        <v>321</v>
      </c>
      <c r="J527" s="32">
        <v>3</v>
      </c>
      <c r="K527" s="32">
        <v>3</v>
      </c>
      <c r="AA527"/>
    </row>
    <row r="528" spans="1:27" s="22" customFormat="1" x14ac:dyDescent="0.3">
      <c r="A528" s="22" t="str">
        <f>CONCATENATE(B528,C528,Masonry_veneer_wall_minimum_insulation_R_Value_climate_zone_4114[[#This Row],[Column1]])</f>
        <v>4Masonry veneer walls&gt; 0.5 to ≤ 0.7</v>
      </c>
      <c r="B528" s="22">
        <v>4</v>
      </c>
      <c r="C528" s="22" t="s">
        <v>233</v>
      </c>
      <c r="D528" s="22" t="str">
        <f>CONCATENATE(B528,C528,Masonry_veneer_wall_minimum_insulation_R_Value_climate_zone_4114[[#This Row],[Column1]],Masonry_veneer_wall_minimum_insulation_R_Value_climate_zone_4114[[#This Row],[Column2]])</f>
        <v>4Masonry veneer walls&gt; 0.5 to ≤ 0.70</v>
      </c>
      <c r="E528" s="22" t="str">
        <f t="shared" si="7"/>
        <v>4Masonry veneer walls</v>
      </c>
      <c r="F528" s="32" t="s">
        <v>625</v>
      </c>
      <c r="G528" s="32">
        <v>0</v>
      </c>
      <c r="H528" s="32">
        <v>2</v>
      </c>
      <c r="I528" s="32">
        <v>2.5</v>
      </c>
      <c r="J528" s="32">
        <v>2.5</v>
      </c>
      <c r="K528" s="32" t="s">
        <v>321</v>
      </c>
      <c r="AA528"/>
    </row>
    <row r="529" spans="1:27" s="22" customFormat="1" x14ac:dyDescent="0.3">
      <c r="A529" s="22" t="str">
        <f>CONCATENATE(B529,C529,Masonry_veneer_wall_minimum_insulation_R_Value_climate_zone_4114[[#This Row],[Column1]])</f>
        <v>4Masonry veneer walls&gt; 0.5 to ≤ 0.7</v>
      </c>
      <c r="B529" s="22">
        <v>4</v>
      </c>
      <c r="C529" s="22" t="s">
        <v>233</v>
      </c>
      <c r="D529" s="22" t="str">
        <f>CONCATENATE(B529,C529,Masonry_veneer_wall_minimum_insulation_R_Value_climate_zone_4114[[#This Row],[Column1]],Masonry_veneer_wall_minimum_insulation_R_Value_climate_zone_4114[[#This Row],[Column2]])</f>
        <v>4Masonry veneer walls&gt; 0.5 to ≤ 0.7&gt; 0 to ≤ 300</v>
      </c>
      <c r="E529" s="22" t="str">
        <f t="shared" si="7"/>
        <v>4Masonry veneer walls</v>
      </c>
      <c r="F529" s="32" t="s">
        <v>625</v>
      </c>
      <c r="G529" s="32" t="s">
        <v>521</v>
      </c>
      <c r="H529" s="32">
        <v>2</v>
      </c>
      <c r="I529" s="32">
        <v>2</v>
      </c>
      <c r="J529" s="32">
        <v>2.5</v>
      </c>
      <c r="K529" s="32" t="s">
        <v>321</v>
      </c>
      <c r="AA529"/>
    </row>
    <row r="530" spans="1:27" s="22" customFormat="1" x14ac:dyDescent="0.3">
      <c r="A530" s="22" t="str">
        <f>CONCATENATE(B530,C530,Masonry_veneer_wall_minimum_insulation_R_Value_climate_zone_4114[[#This Row],[Column1]])</f>
        <v>4Masonry veneer walls&gt; 0.5 to ≤ 0.7</v>
      </c>
      <c r="B530" s="22">
        <v>4</v>
      </c>
      <c r="C530" s="22" t="s">
        <v>233</v>
      </c>
      <c r="D530" s="22" t="str">
        <f>CONCATENATE(B530,C530,Masonry_veneer_wall_minimum_insulation_R_Value_climate_zone_4114[[#This Row],[Column1]],Masonry_veneer_wall_minimum_insulation_R_Value_climate_zone_4114[[#This Row],[Column2]])</f>
        <v>4Masonry veneer walls&gt; 0.5 to ≤ 0.7&gt; 300 to ≤ 450</v>
      </c>
      <c r="E530" s="22" t="str">
        <f t="shared" si="7"/>
        <v>4Masonry veneer walls</v>
      </c>
      <c r="F530" s="32" t="s">
        <v>625</v>
      </c>
      <c r="G530" s="32" t="s">
        <v>525</v>
      </c>
      <c r="H530" s="32">
        <v>2</v>
      </c>
      <c r="I530" s="32">
        <v>2</v>
      </c>
      <c r="J530" s="32">
        <v>2.5</v>
      </c>
      <c r="K530" s="32">
        <v>3</v>
      </c>
      <c r="AA530"/>
    </row>
    <row r="531" spans="1:27" s="22" customFormat="1" x14ac:dyDescent="0.3">
      <c r="A531" s="22" t="str">
        <f>CONCATENATE(B531,C531,Masonry_veneer_wall_minimum_insulation_R_Value_climate_zone_4114[[#This Row],[Column1]])</f>
        <v>4Masonry veneer walls&gt; 0.5 to ≤ 0.7</v>
      </c>
      <c r="B531" s="22">
        <v>4</v>
      </c>
      <c r="C531" s="22" t="s">
        <v>233</v>
      </c>
      <c r="D531" s="22" t="str">
        <f>CONCATENATE(B531,C531,Masonry_veneer_wall_minimum_insulation_R_Value_climate_zone_4114[[#This Row],[Column1]],Masonry_veneer_wall_minimum_insulation_R_Value_climate_zone_4114[[#This Row],[Column2]])</f>
        <v>4Masonry veneer walls&gt; 0.5 to ≤ 0.7&gt; 450 to ≤ 600</v>
      </c>
      <c r="E531" s="22" t="str">
        <f t="shared" si="7"/>
        <v>4Masonry veneer walls</v>
      </c>
      <c r="F531" s="32" t="s">
        <v>625</v>
      </c>
      <c r="G531" s="32" t="s">
        <v>528</v>
      </c>
      <c r="H531" s="32">
        <v>2</v>
      </c>
      <c r="I531" s="32">
        <v>2</v>
      </c>
      <c r="J531" s="32">
        <v>2.5</v>
      </c>
      <c r="K531" s="32">
        <v>3</v>
      </c>
      <c r="AA531"/>
    </row>
    <row r="532" spans="1:27" s="22" customFormat="1" x14ac:dyDescent="0.3">
      <c r="A532" s="22" t="str">
        <f>CONCATENATE(B532,C532,Masonry_veneer_wall_minimum_insulation_R_Value_climate_zone_4114[[#This Row],[Column1]])</f>
        <v>4Masonry veneer walls&gt; 0.5 to ≤ 0.7</v>
      </c>
      <c r="B532" s="22">
        <v>4</v>
      </c>
      <c r="C532" s="22" t="s">
        <v>233</v>
      </c>
      <c r="D532" s="22" t="str">
        <f>CONCATENATE(B532,C532,Masonry_veneer_wall_minimum_insulation_R_Value_climate_zone_4114[[#This Row],[Column1]],Masonry_veneer_wall_minimum_insulation_R_Value_climate_zone_4114[[#This Row],[Column2]])</f>
        <v>4Masonry veneer walls&gt; 0.5 to ≤ 0.7&gt; 600 to ≤ 900</v>
      </c>
      <c r="E532" s="22" t="str">
        <f t="shared" si="7"/>
        <v>4Masonry veneer walls</v>
      </c>
      <c r="F532" s="32" t="s">
        <v>625</v>
      </c>
      <c r="G532" s="32" t="s">
        <v>531</v>
      </c>
      <c r="H532" s="32">
        <v>2</v>
      </c>
      <c r="I532" s="32">
        <v>2</v>
      </c>
      <c r="J532" s="32">
        <v>2.5</v>
      </c>
      <c r="K532" s="32">
        <v>3</v>
      </c>
      <c r="AA532"/>
    </row>
    <row r="533" spans="1:27" s="22" customFormat="1" x14ac:dyDescent="0.3">
      <c r="A533" s="22" t="str">
        <f>CONCATENATE(B533,C533,Masonry_veneer_wall_minimum_insulation_R_Value_climate_zone_4114[[#This Row],[Column1]])</f>
        <v>4Masonry veneer walls&gt; 0.5 to ≤ 0.7</v>
      </c>
      <c r="B533" s="22">
        <v>4</v>
      </c>
      <c r="C533" s="22" t="s">
        <v>233</v>
      </c>
      <c r="D533" s="22" t="str">
        <f>CONCATENATE(B533,C533,Masonry_veneer_wall_minimum_insulation_R_Value_climate_zone_4114[[#This Row],[Column1]],Masonry_veneer_wall_minimum_insulation_R_Value_climate_zone_4114[[#This Row],[Column2]])</f>
        <v>4Masonry veneer walls&gt; 0.5 to ≤ 0.7&gt; 900 to ≤ 1200</v>
      </c>
      <c r="E533" s="22" t="str">
        <f t="shared" si="7"/>
        <v>4Masonry veneer walls</v>
      </c>
      <c r="F533" s="32" t="s">
        <v>625</v>
      </c>
      <c r="G533" s="32" t="s">
        <v>534</v>
      </c>
      <c r="H533" s="32">
        <v>3</v>
      </c>
      <c r="I533" s="32">
        <v>2.5</v>
      </c>
      <c r="J533" s="32">
        <v>2.5</v>
      </c>
      <c r="K533" s="32">
        <v>3</v>
      </c>
      <c r="AA533"/>
    </row>
    <row r="534" spans="1:27" s="22" customFormat="1" x14ac:dyDescent="0.3">
      <c r="A534" s="22" t="str">
        <f>CONCATENATE(B534,C534,Masonry_veneer_wall_minimum_insulation_R_Value_climate_zone_4114[[#This Row],[Column1]])</f>
        <v>4Masonry veneer walls&gt; 0.5 to ≤ 0.7</v>
      </c>
      <c r="B534" s="22">
        <v>4</v>
      </c>
      <c r="C534" s="22" t="s">
        <v>233</v>
      </c>
      <c r="D534" s="22" t="str">
        <f>CONCATENATE(B534,C534,Masonry_veneer_wall_minimum_insulation_R_Value_climate_zone_4114[[#This Row],[Column1]],Masonry_veneer_wall_minimum_insulation_R_Value_climate_zone_4114[[#This Row],[Column2]])</f>
        <v>4Masonry veneer walls&gt; 0.5 to ≤ 0.7&gt; 1200 to ≤ 1500</v>
      </c>
      <c r="E534" s="22" t="str">
        <f t="shared" si="7"/>
        <v>4Masonry veneer walls</v>
      </c>
      <c r="F534" s="32" t="s">
        <v>625</v>
      </c>
      <c r="G534" s="32" t="s">
        <v>536</v>
      </c>
      <c r="H534" s="32" t="s">
        <v>321</v>
      </c>
      <c r="I534" s="32">
        <v>3</v>
      </c>
      <c r="J534" s="32">
        <v>2.5</v>
      </c>
      <c r="K534" s="32">
        <v>3</v>
      </c>
      <c r="AA534"/>
    </row>
    <row r="535" spans="1:27" s="22" customFormat="1" x14ac:dyDescent="0.3">
      <c r="AA535"/>
    </row>
    <row r="536" spans="1:27" s="22" customFormat="1" x14ac:dyDescent="0.3">
      <c r="F536" s="22" t="s">
        <v>636</v>
      </c>
      <c r="AA536"/>
    </row>
    <row r="537" spans="1:27" s="22" customFormat="1" x14ac:dyDescent="0.3">
      <c r="F537" s="22" t="s">
        <v>637</v>
      </c>
      <c r="AA537"/>
    </row>
    <row r="538" spans="1:27" s="22" customFormat="1" x14ac:dyDescent="0.3">
      <c r="F538" s="708" t="s">
        <v>234</v>
      </c>
      <c r="G538" s="708" t="s">
        <v>140</v>
      </c>
      <c r="H538" s="708" t="s">
        <v>510</v>
      </c>
      <c r="I538" s="708"/>
      <c r="J538" s="708"/>
      <c r="K538" s="708"/>
      <c r="AA538"/>
    </row>
    <row r="539" spans="1:27" s="22" customFormat="1" x14ac:dyDescent="0.3">
      <c r="A539" s="22" t="str">
        <f>E540</f>
        <v>4Masonry cavity wall</v>
      </c>
      <c r="F539" s="708"/>
      <c r="G539" s="708"/>
      <c r="H539" s="708" t="s">
        <v>512</v>
      </c>
      <c r="I539" s="708" t="s">
        <v>513</v>
      </c>
      <c r="J539" s="708" t="s">
        <v>514</v>
      </c>
      <c r="K539" s="708" t="s">
        <v>515</v>
      </c>
      <c r="AA539"/>
    </row>
    <row r="540" spans="1:27" s="22" customFormat="1" x14ac:dyDescent="0.3">
      <c r="A540" s="22" t="str">
        <f>CONCATENATE(B540,C540,Masonry_cavity_wall_minimum_insulation_R_Value_climate_zone_4115[[#This Row],[Column1]])</f>
        <v>4Masonry cavity wall≤ 0.35</v>
      </c>
      <c r="B540" s="22">
        <v>4</v>
      </c>
      <c r="C540" s="22" t="s">
        <v>240</v>
      </c>
      <c r="D540" s="22" t="str">
        <f>CONCATENATE(B540,C540,Masonry_cavity_wall_minimum_insulation_R_Value_climate_zone_4115[[#This Row],[Column1]],Masonry_cavity_wall_minimum_insulation_R_Value_climate_zone_4115[[#This Row],[Column2]])</f>
        <v>4Masonry cavity wall≤ 0.350</v>
      </c>
      <c r="E540" s="22" t="str">
        <f t="shared" si="7"/>
        <v>4Masonry cavity wall</v>
      </c>
      <c r="F540" s="32" t="s">
        <v>623</v>
      </c>
      <c r="G540" s="32">
        <v>0</v>
      </c>
      <c r="H540" s="32">
        <v>0.25</v>
      </c>
      <c r="I540" s="32">
        <v>0.25</v>
      </c>
      <c r="J540" s="32">
        <v>0.51</v>
      </c>
      <c r="K540" s="32">
        <v>0.75</v>
      </c>
      <c r="AA540"/>
    </row>
    <row r="541" spans="1:27" s="22" customFormat="1" x14ac:dyDescent="0.3">
      <c r="A541" s="22" t="str">
        <f>CONCATENATE(B541,C541,Masonry_cavity_wall_minimum_insulation_R_Value_climate_zone_4115[[#This Row],[Column1]])</f>
        <v>4Masonry cavity wall≤ 0.35</v>
      </c>
      <c r="B541" s="22">
        <v>4</v>
      </c>
      <c r="C541" s="22" t="s">
        <v>240</v>
      </c>
      <c r="D541" s="22" t="str">
        <f>CONCATENATE(B541,C541,Masonry_cavity_wall_minimum_insulation_R_Value_climate_zone_4115[[#This Row],[Column1]],Masonry_cavity_wall_minimum_insulation_R_Value_climate_zone_4115[[#This Row],[Column2]])</f>
        <v>4Masonry cavity wall≤ 0.35&gt; 0 to ≤ 300</v>
      </c>
      <c r="E541" s="22" t="str">
        <f t="shared" si="7"/>
        <v>4Masonry cavity wall</v>
      </c>
      <c r="F541" s="32" t="s">
        <v>623</v>
      </c>
      <c r="G541" s="32" t="s">
        <v>521</v>
      </c>
      <c r="H541" s="32">
        <v>0.51</v>
      </c>
      <c r="I541" s="32">
        <v>0.51</v>
      </c>
      <c r="J541" s="32">
        <v>0.51</v>
      </c>
      <c r="K541" s="32">
        <v>0.75</v>
      </c>
      <c r="AA541"/>
    </row>
    <row r="542" spans="1:27" s="22" customFormat="1" x14ac:dyDescent="0.3">
      <c r="A542" s="22" t="str">
        <f>CONCATENATE(B542,C542,Masonry_cavity_wall_minimum_insulation_R_Value_climate_zone_4115[[#This Row],[Column1]])</f>
        <v>4Masonry cavity wall≤ 0.35</v>
      </c>
      <c r="B542" s="22">
        <v>4</v>
      </c>
      <c r="C542" s="22" t="s">
        <v>240</v>
      </c>
      <c r="D542" s="22" t="str">
        <f>CONCATENATE(B542,C542,Masonry_cavity_wall_minimum_insulation_R_Value_climate_zone_4115[[#This Row],[Column1]],Masonry_cavity_wall_minimum_insulation_R_Value_climate_zone_4115[[#This Row],[Column2]])</f>
        <v>4Masonry cavity wall≤ 0.35&gt; 300 to ≤ 450</v>
      </c>
      <c r="E542" s="22" t="str">
        <f t="shared" si="7"/>
        <v>4Masonry cavity wall</v>
      </c>
      <c r="F542" s="32" t="s">
        <v>623</v>
      </c>
      <c r="G542" s="32" t="s">
        <v>525</v>
      </c>
      <c r="H542" s="32">
        <v>0.51</v>
      </c>
      <c r="I542" s="32">
        <v>0.51</v>
      </c>
      <c r="J542" s="32" t="s">
        <v>638</v>
      </c>
      <c r="K542" s="32">
        <v>0.75</v>
      </c>
      <c r="AA542"/>
    </row>
    <row r="543" spans="1:27" s="22" customFormat="1" x14ac:dyDescent="0.3">
      <c r="A543" s="22" t="str">
        <f>CONCATENATE(B543,C543,Masonry_cavity_wall_minimum_insulation_R_Value_climate_zone_4115[[#This Row],[Column1]])</f>
        <v>4Masonry cavity wall≤ 0.35</v>
      </c>
      <c r="B543" s="22">
        <v>4</v>
      </c>
      <c r="C543" s="22" t="s">
        <v>240</v>
      </c>
      <c r="D543" s="22" t="str">
        <f>CONCATENATE(B543,C543,Masonry_cavity_wall_minimum_insulation_R_Value_climate_zone_4115[[#This Row],[Column1]],Masonry_cavity_wall_minimum_insulation_R_Value_climate_zone_4115[[#This Row],[Column2]])</f>
        <v>4Masonry cavity wall≤ 0.35&gt; 450 to ≤ 600</v>
      </c>
      <c r="E543" s="22" t="str">
        <f t="shared" si="7"/>
        <v>4Masonry cavity wall</v>
      </c>
      <c r="F543" s="32" t="s">
        <v>623</v>
      </c>
      <c r="G543" s="32" t="s">
        <v>528</v>
      </c>
      <c r="H543" s="32">
        <v>0.51</v>
      </c>
      <c r="I543" s="32">
        <v>0.51</v>
      </c>
      <c r="J543" s="32">
        <v>0.51</v>
      </c>
      <c r="K543" s="32">
        <v>0.75</v>
      </c>
      <c r="AA543"/>
    </row>
    <row r="544" spans="1:27" s="22" customFormat="1" x14ac:dyDescent="0.3">
      <c r="A544" s="22" t="str">
        <f>CONCATENATE(B544,C544,Masonry_cavity_wall_minimum_insulation_R_Value_climate_zone_4115[[#This Row],[Column1]])</f>
        <v>4Masonry cavity wall≤ 0.35</v>
      </c>
      <c r="B544" s="22">
        <v>4</v>
      </c>
      <c r="C544" s="22" t="s">
        <v>240</v>
      </c>
      <c r="D544" s="22" t="str">
        <f>CONCATENATE(B544,C544,Masonry_cavity_wall_minimum_insulation_R_Value_climate_zone_4115[[#This Row],[Column1]],Masonry_cavity_wall_minimum_insulation_R_Value_climate_zone_4115[[#This Row],[Column2]])</f>
        <v>4Masonry cavity wall≤ 0.35&gt; 600 to ≤ 900</v>
      </c>
      <c r="E544" s="22" t="str">
        <f t="shared" si="7"/>
        <v>4Masonry cavity wall</v>
      </c>
      <c r="F544" s="32" t="s">
        <v>623</v>
      </c>
      <c r="G544" s="32" t="s">
        <v>531</v>
      </c>
      <c r="H544" s="32">
        <v>1.08</v>
      </c>
      <c r="I544" s="32">
        <v>0.75</v>
      </c>
      <c r="J544" s="32">
        <v>0.75</v>
      </c>
      <c r="K544" s="32">
        <v>1.08</v>
      </c>
      <c r="AA544"/>
    </row>
    <row r="545" spans="1:27" s="22" customFormat="1" x14ac:dyDescent="0.3">
      <c r="A545" s="22" t="str">
        <f>CONCATENATE(B545,C545,Masonry_cavity_wall_minimum_insulation_R_Value_climate_zone_4115[[#This Row],[Column1]])</f>
        <v>4Masonry cavity wall≤ 0.35</v>
      </c>
      <c r="B545" s="22">
        <v>4</v>
      </c>
      <c r="C545" s="22" t="s">
        <v>240</v>
      </c>
      <c r="D545" s="22" t="str">
        <f>CONCATENATE(B545,C545,Masonry_cavity_wall_minimum_insulation_R_Value_climate_zone_4115[[#This Row],[Column1]],Masonry_cavity_wall_minimum_insulation_R_Value_climate_zone_4115[[#This Row],[Column2]])</f>
        <v>4Masonry cavity wall≤ 0.35&gt; 900 to ≤ 1200</v>
      </c>
      <c r="E545" s="22" t="str">
        <f t="shared" si="7"/>
        <v>4Masonry cavity wall</v>
      </c>
      <c r="F545" s="32" t="s">
        <v>623</v>
      </c>
      <c r="G545" s="32" t="s">
        <v>534</v>
      </c>
      <c r="H545" s="32">
        <v>1.44</v>
      </c>
      <c r="I545" s="32">
        <v>1.08</v>
      </c>
      <c r="J545" s="32">
        <v>1.08</v>
      </c>
      <c r="K545" s="32">
        <v>1.08</v>
      </c>
      <c r="AA545"/>
    </row>
    <row r="546" spans="1:27" s="22" customFormat="1" x14ac:dyDescent="0.3">
      <c r="A546" s="22" t="str">
        <f>CONCATENATE(B546,C546,Masonry_cavity_wall_minimum_insulation_R_Value_climate_zone_4115[[#This Row],[Column1]])</f>
        <v>4Masonry cavity wall≤ 0.35</v>
      </c>
      <c r="B546" s="22">
        <v>4</v>
      </c>
      <c r="C546" s="22" t="s">
        <v>240</v>
      </c>
      <c r="D546" s="22" t="str">
        <f>CONCATENATE(B546,C546,Masonry_cavity_wall_minimum_insulation_R_Value_climate_zone_4115[[#This Row],[Column1]],Masonry_cavity_wall_minimum_insulation_R_Value_climate_zone_4115[[#This Row],[Column2]])</f>
        <v>4Masonry cavity wall≤ 0.35&gt; 1200 to ≤ 1500</v>
      </c>
      <c r="E546" s="22" t="str">
        <f t="shared" si="7"/>
        <v>4Masonry cavity wall</v>
      </c>
      <c r="F546" s="32" t="s">
        <v>623</v>
      </c>
      <c r="G546" s="32" t="s">
        <v>536</v>
      </c>
      <c r="H546" s="32" t="s">
        <v>321</v>
      </c>
      <c r="I546" s="32">
        <v>1.44</v>
      </c>
      <c r="J546" s="32">
        <v>1.44</v>
      </c>
      <c r="K546" s="32">
        <v>1.08</v>
      </c>
      <c r="AA546"/>
    </row>
    <row r="547" spans="1:27" s="22" customFormat="1" x14ac:dyDescent="0.3">
      <c r="A547" s="22" t="str">
        <f>CONCATENATE(B547,C547,Masonry_cavity_wall_minimum_insulation_R_Value_climate_zone_4115[[#This Row],[Column1]])</f>
        <v>4Masonry cavity wall≤ 0.35</v>
      </c>
      <c r="B547" s="22">
        <v>4</v>
      </c>
      <c r="C547" s="22" t="s">
        <v>240</v>
      </c>
      <c r="D547" s="22" t="str">
        <f>CONCATENATE(B547,C547,Masonry_cavity_wall_minimum_insulation_R_Value_climate_zone_4115[[#This Row],[Column1]],Masonry_cavity_wall_minimum_insulation_R_Value_climate_zone_4115[[#This Row],[Column2]])</f>
        <v>4Masonry cavity wall≤ 0.35&gt; 1500 to ≤ 1800</v>
      </c>
      <c r="E547" s="22" t="str">
        <f t="shared" si="7"/>
        <v>4Masonry cavity wall</v>
      </c>
      <c r="F547" s="32" t="s">
        <v>623</v>
      </c>
      <c r="G547" s="32" t="s">
        <v>539</v>
      </c>
      <c r="H547" s="32" t="s">
        <v>321</v>
      </c>
      <c r="I547" s="32" t="s">
        <v>321</v>
      </c>
      <c r="J547" s="32" t="s">
        <v>321</v>
      </c>
      <c r="K547" s="32">
        <v>1.44</v>
      </c>
      <c r="AA547"/>
    </row>
    <row r="548" spans="1:27" s="22" customFormat="1" x14ac:dyDescent="0.3">
      <c r="A548" s="22" t="str">
        <f>CONCATENATE(B548,C548,Masonry_cavity_wall_minimum_insulation_R_Value_climate_zone_4115[[#This Row],[Column1]])</f>
        <v>4Masonry cavity wall&gt; 0.35 to ≤ 0.5</v>
      </c>
      <c r="B548" s="22">
        <v>4</v>
      </c>
      <c r="C548" s="22" t="s">
        <v>240</v>
      </c>
      <c r="D548" s="22" t="str">
        <f>CONCATENATE(B548,C548,Masonry_cavity_wall_minimum_insulation_R_Value_climate_zone_4115[[#This Row],[Column1]],Masonry_cavity_wall_minimum_insulation_R_Value_climate_zone_4115[[#This Row],[Column2]])</f>
        <v>4Masonry cavity wall&gt; 0.35 to ≤ 0.50</v>
      </c>
      <c r="E548" s="22" t="str">
        <f t="shared" si="7"/>
        <v>4Masonry cavity wall</v>
      </c>
      <c r="F548" s="32" t="s">
        <v>624</v>
      </c>
      <c r="G548" s="32">
        <v>0</v>
      </c>
      <c r="H548" s="32">
        <v>0.25</v>
      </c>
      <c r="I548" s="32">
        <v>0.25</v>
      </c>
      <c r="J548" s="32">
        <v>0.51</v>
      </c>
      <c r="K548" s="32">
        <v>0.62</v>
      </c>
      <c r="AA548"/>
    </row>
    <row r="549" spans="1:27" s="22" customFormat="1" x14ac:dyDescent="0.3">
      <c r="A549" s="22" t="str">
        <f>CONCATENATE(B549,C549,Masonry_cavity_wall_minimum_insulation_R_Value_climate_zone_4115[[#This Row],[Column1]])</f>
        <v>4Masonry cavity wall&gt; 0.35 to ≤ 0.5</v>
      </c>
      <c r="B549" s="22">
        <v>4</v>
      </c>
      <c r="C549" s="22" t="s">
        <v>240</v>
      </c>
      <c r="D549" s="22" t="str">
        <f>CONCATENATE(B549,C549,Masonry_cavity_wall_minimum_insulation_R_Value_climate_zone_4115[[#This Row],[Column1]],Masonry_cavity_wall_minimum_insulation_R_Value_climate_zone_4115[[#This Row],[Column2]])</f>
        <v>4Masonry cavity wall&gt; 0.35 to ≤ 0.5&gt; 0 to ≤ 300</v>
      </c>
      <c r="E549" s="22" t="str">
        <f t="shared" si="7"/>
        <v>4Masonry cavity wall</v>
      </c>
      <c r="F549" s="32" t="s">
        <v>624</v>
      </c>
      <c r="G549" s="32" t="s">
        <v>521</v>
      </c>
      <c r="H549" s="32">
        <v>0.25</v>
      </c>
      <c r="I549" s="32">
        <v>0.25</v>
      </c>
      <c r="J549" s="32">
        <v>0.51</v>
      </c>
      <c r="K549" s="32">
        <v>0.62</v>
      </c>
      <c r="AA549"/>
    </row>
    <row r="550" spans="1:27" s="22" customFormat="1" x14ac:dyDescent="0.3">
      <c r="A550" s="22" t="str">
        <f>CONCATENATE(B550,C550,Masonry_cavity_wall_minimum_insulation_R_Value_climate_zone_4115[[#This Row],[Column1]])</f>
        <v>4Masonry cavity wall&gt; 0.35 to ≤ 0.5</v>
      </c>
      <c r="B550" s="22">
        <v>4</v>
      </c>
      <c r="C550" s="22" t="s">
        <v>240</v>
      </c>
      <c r="D550" s="22" t="str">
        <f>CONCATENATE(B550,C550,Masonry_cavity_wall_minimum_insulation_R_Value_climate_zone_4115[[#This Row],[Column1]],Masonry_cavity_wall_minimum_insulation_R_Value_climate_zone_4115[[#This Row],[Column2]])</f>
        <v>4Masonry cavity wall&gt; 0.35 to ≤ 0.5&gt; 300 to ≤ 450</v>
      </c>
      <c r="E550" s="22" t="str">
        <f t="shared" si="7"/>
        <v>4Masonry cavity wall</v>
      </c>
      <c r="F550" s="32" t="s">
        <v>624</v>
      </c>
      <c r="G550" s="32" t="s">
        <v>525</v>
      </c>
      <c r="H550" s="32">
        <v>0.51</v>
      </c>
      <c r="I550" s="32">
        <v>0.51</v>
      </c>
      <c r="J550" s="32">
        <v>0.51</v>
      </c>
      <c r="K550" s="32">
        <v>0.62</v>
      </c>
      <c r="AA550"/>
    </row>
    <row r="551" spans="1:27" s="22" customFormat="1" x14ac:dyDescent="0.3">
      <c r="A551" s="22" t="str">
        <f>CONCATENATE(B551,C551,Masonry_cavity_wall_minimum_insulation_R_Value_climate_zone_4115[[#This Row],[Column1]])</f>
        <v>4Masonry cavity wall&gt; 0.35 to ≤ 0.5</v>
      </c>
      <c r="B551" s="22">
        <v>4</v>
      </c>
      <c r="C551" s="22" t="s">
        <v>240</v>
      </c>
      <c r="D551" s="22" t="str">
        <f>CONCATENATE(B551,C551,Masonry_cavity_wall_minimum_insulation_R_Value_climate_zone_4115[[#This Row],[Column1]],Masonry_cavity_wall_minimum_insulation_R_Value_climate_zone_4115[[#This Row],[Column2]])</f>
        <v>4Masonry cavity wall&gt; 0.35 to ≤ 0.5&gt; 450 to ≤ 600</v>
      </c>
      <c r="E551" s="22" t="str">
        <f t="shared" si="7"/>
        <v>4Masonry cavity wall</v>
      </c>
      <c r="F551" s="32" t="s">
        <v>624</v>
      </c>
      <c r="G551" s="32" t="s">
        <v>528</v>
      </c>
      <c r="H551" s="32">
        <v>0.51</v>
      </c>
      <c r="I551" s="32">
        <v>0.51</v>
      </c>
      <c r="J551" s="32">
        <v>0.51</v>
      </c>
      <c r="K551" s="32">
        <v>0.75</v>
      </c>
      <c r="AA551"/>
    </row>
    <row r="552" spans="1:27" s="22" customFormat="1" x14ac:dyDescent="0.3">
      <c r="A552" s="22" t="str">
        <f>CONCATENATE(B552,C552,Masonry_cavity_wall_minimum_insulation_R_Value_climate_zone_4115[[#This Row],[Column1]])</f>
        <v>4Masonry cavity wall&gt; 0.35 to ≤ 0.5</v>
      </c>
      <c r="B552" s="22">
        <v>4</v>
      </c>
      <c r="C552" s="22" t="s">
        <v>240</v>
      </c>
      <c r="D552" s="22" t="str">
        <f>CONCATENATE(B552,C552,Masonry_cavity_wall_minimum_insulation_R_Value_climate_zone_4115[[#This Row],[Column1]],Masonry_cavity_wall_minimum_insulation_R_Value_climate_zone_4115[[#This Row],[Column2]])</f>
        <v>4Masonry cavity wall&gt; 0.35 to ≤ 0.5&gt; 600 to ≤ 900</v>
      </c>
      <c r="E552" s="22" t="str">
        <f t="shared" si="7"/>
        <v>4Masonry cavity wall</v>
      </c>
      <c r="F552" s="32" t="s">
        <v>624</v>
      </c>
      <c r="G552" s="32" t="s">
        <v>531</v>
      </c>
      <c r="H552" s="32">
        <v>0.75</v>
      </c>
      <c r="I552" s="32">
        <v>0.62</v>
      </c>
      <c r="J552" s="32">
        <v>0.62</v>
      </c>
      <c r="K552" s="32">
        <v>0.75</v>
      </c>
      <c r="AA552"/>
    </row>
    <row r="553" spans="1:27" s="22" customFormat="1" x14ac:dyDescent="0.3">
      <c r="A553" s="22" t="str">
        <f>CONCATENATE(B553,C553,Masonry_cavity_wall_minimum_insulation_R_Value_climate_zone_4115[[#This Row],[Column1]])</f>
        <v>4Masonry cavity wall&gt; 0.35 to ≤ 0.5</v>
      </c>
      <c r="B553" s="22">
        <v>4</v>
      </c>
      <c r="C553" s="22" t="s">
        <v>240</v>
      </c>
      <c r="D553" s="22" t="str">
        <f>CONCATENATE(B553,C553,Masonry_cavity_wall_minimum_insulation_R_Value_climate_zone_4115[[#This Row],[Column1]],Masonry_cavity_wall_minimum_insulation_R_Value_climate_zone_4115[[#This Row],[Column2]])</f>
        <v>4Masonry cavity wall&gt; 0.35 to ≤ 0.5&gt; 900 to ≤ 1200</v>
      </c>
      <c r="E553" s="22" t="str">
        <f t="shared" si="7"/>
        <v>4Masonry cavity wall</v>
      </c>
      <c r="F553" s="32" t="s">
        <v>624</v>
      </c>
      <c r="G553" s="32" t="s">
        <v>534</v>
      </c>
      <c r="H553" s="32">
        <v>1.08</v>
      </c>
      <c r="I553" s="32">
        <v>1.08</v>
      </c>
      <c r="J553" s="32">
        <v>0.75</v>
      </c>
      <c r="K553" s="32">
        <v>1.08</v>
      </c>
      <c r="AA553"/>
    </row>
    <row r="554" spans="1:27" s="22" customFormat="1" x14ac:dyDescent="0.3">
      <c r="A554" s="22" t="str">
        <f>CONCATENATE(B554,C554,Masonry_cavity_wall_minimum_insulation_R_Value_climate_zone_4115[[#This Row],[Column1]])</f>
        <v>4Masonry cavity wall&gt; 0.35 to ≤ 0.5</v>
      </c>
      <c r="B554" s="22">
        <v>4</v>
      </c>
      <c r="C554" s="22" t="s">
        <v>240</v>
      </c>
      <c r="D554" s="22" t="str">
        <f>CONCATENATE(B554,C554,Masonry_cavity_wall_minimum_insulation_R_Value_climate_zone_4115[[#This Row],[Column1]],Masonry_cavity_wall_minimum_insulation_R_Value_climate_zone_4115[[#This Row],[Column2]])</f>
        <v>4Masonry cavity wall&gt; 0.35 to ≤ 0.5&gt; 1200 to ≤ 1500</v>
      </c>
      <c r="E554" s="22" t="str">
        <f t="shared" si="7"/>
        <v>4Masonry cavity wall</v>
      </c>
      <c r="F554" s="32" t="s">
        <v>624</v>
      </c>
      <c r="G554" s="32" t="s">
        <v>536</v>
      </c>
      <c r="H554" s="32" t="s">
        <v>321</v>
      </c>
      <c r="I554" s="32">
        <v>1.44</v>
      </c>
      <c r="J554" s="32">
        <v>1.08</v>
      </c>
      <c r="K554" s="32">
        <v>1.08</v>
      </c>
      <c r="AA554"/>
    </row>
    <row r="555" spans="1:27" s="22" customFormat="1" x14ac:dyDescent="0.3">
      <c r="A555" s="22" t="str">
        <f>CONCATENATE(B555,C555,Masonry_cavity_wall_minimum_insulation_R_Value_climate_zone_4115[[#This Row],[Column1]])</f>
        <v>4Masonry cavity wall&gt; 0.35 to ≤ 0.5</v>
      </c>
      <c r="B555" s="22">
        <v>4</v>
      </c>
      <c r="C555" s="22" t="s">
        <v>240</v>
      </c>
      <c r="D555" s="22" t="str">
        <f>CONCATENATE(B555,C555,Masonry_cavity_wall_minimum_insulation_R_Value_climate_zone_4115[[#This Row],[Column1]],Masonry_cavity_wall_minimum_insulation_R_Value_climate_zone_4115[[#This Row],[Column2]])</f>
        <v>4Masonry cavity wall&gt; 0.35 to ≤ 0.5&gt; 1500 to ≤ 1800</v>
      </c>
      <c r="E555" s="22" t="str">
        <f t="shared" si="7"/>
        <v>4Masonry cavity wall</v>
      </c>
      <c r="F555" s="32" t="s">
        <v>624</v>
      </c>
      <c r="G555" s="32" t="s">
        <v>539</v>
      </c>
      <c r="H555" s="32" t="s">
        <v>321</v>
      </c>
      <c r="I555" s="32" t="s">
        <v>321</v>
      </c>
      <c r="J555" s="32">
        <v>1.44</v>
      </c>
      <c r="K555" s="32">
        <v>1.44</v>
      </c>
      <c r="AA555"/>
    </row>
    <row r="556" spans="1:27" s="22" customFormat="1" x14ac:dyDescent="0.3">
      <c r="A556" s="22" t="str">
        <f>CONCATENATE(B556,C556,Masonry_cavity_wall_minimum_insulation_R_Value_climate_zone_4115[[#This Row],[Column1]])</f>
        <v>4Masonry cavity wall&gt; 0.5 to ≤ 0.7</v>
      </c>
      <c r="B556" s="22">
        <v>4</v>
      </c>
      <c r="C556" s="22" t="s">
        <v>240</v>
      </c>
      <c r="D556" s="22" t="str">
        <f>CONCATENATE(B556,C556,Masonry_cavity_wall_minimum_insulation_R_Value_climate_zone_4115[[#This Row],[Column1]],Masonry_cavity_wall_minimum_insulation_R_Value_climate_zone_4115[[#This Row],[Column2]])</f>
        <v>4Masonry cavity wall&gt; 0.5 to ≤ 0.70</v>
      </c>
      <c r="E556" s="22" t="str">
        <f t="shared" si="7"/>
        <v>4Masonry cavity wall</v>
      </c>
      <c r="F556" s="32" t="s">
        <v>625</v>
      </c>
      <c r="G556" s="32">
        <v>0</v>
      </c>
      <c r="H556" s="32">
        <v>0</v>
      </c>
      <c r="I556" s="32">
        <v>0.25</v>
      </c>
      <c r="J556" s="32">
        <v>0.25</v>
      </c>
      <c r="K556" s="32">
        <v>0.51</v>
      </c>
      <c r="AA556"/>
    </row>
    <row r="557" spans="1:27" s="22" customFormat="1" x14ac:dyDescent="0.3">
      <c r="A557" s="22" t="str">
        <f>CONCATENATE(B557,C557,Masonry_cavity_wall_minimum_insulation_R_Value_climate_zone_4115[[#This Row],[Column1]])</f>
        <v>4Masonry cavity wall&gt; 0.5 to ≤ 0.7</v>
      </c>
      <c r="B557" s="22">
        <v>4</v>
      </c>
      <c r="C557" s="22" t="s">
        <v>240</v>
      </c>
      <c r="D557" s="22" t="str">
        <f>CONCATENATE(B557,C557,Masonry_cavity_wall_minimum_insulation_R_Value_climate_zone_4115[[#This Row],[Column1]],Masonry_cavity_wall_minimum_insulation_R_Value_climate_zone_4115[[#This Row],[Column2]])</f>
        <v>4Masonry cavity wall&gt; 0.5 to ≤ 0.7&gt; 0 to ≤ 300</v>
      </c>
      <c r="E557" s="22" t="str">
        <f t="shared" si="7"/>
        <v>4Masonry cavity wall</v>
      </c>
      <c r="F557" s="32" t="s">
        <v>625</v>
      </c>
      <c r="G557" s="32" t="s">
        <v>521</v>
      </c>
      <c r="H557" s="32">
        <v>0.25</v>
      </c>
      <c r="I557" s="32">
        <v>0.25</v>
      </c>
      <c r="J557" s="32">
        <v>0.25</v>
      </c>
      <c r="K557" s="32">
        <v>0.51</v>
      </c>
      <c r="AA557"/>
    </row>
    <row r="558" spans="1:27" s="22" customFormat="1" x14ac:dyDescent="0.3">
      <c r="A558" s="22" t="str">
        <f>CONCATENATE(B558,C558,Masonry_cavity_wall_minimum_insulation_R_Value_climate_zone_4115[[#This Row],[Column1]])</f>
        <v>4Masonry cavity wall&gt; 0.5 to ≤ 0.7</v>
      </c>
      <c r="B558" s="22">
        <v>4</v>
      </c>
      <c r="C558" s="22" t="s">
        <v>240</v>
      </c>
      <c r="D558" s="22" t="str">
        <f>CONCATENATE(B558,C558,Masonry_cavity_wall_minimum_insulation_R_Value_climate_zone_4115[[#This Row],[Column1]],Masonry_cavity_wall_minimum_insulation_R_Value_climate_zone_4115[[#This Row],[Column2]])</f>
        <v>4Masonry cavity wall&gt; 0.5 to ≤ 0.7&gt; 300 to ≤ 450</v>
      </c>
      <c r="E558" s="22" t="str">
        <f t="shared" ref="E558:E621" si="8">CONCATENATE(B558,C558)</f>
        <v>4Masonry cavity wall</v>
      </c>
      <c r="F558" s="32" t="s">
        <v>625</v>
      </c>
      <c r="G558" s="32" t="s">
        <v>525</v>
      </c>
      <c r="H558" s="32">
        <v>0.25</v>
      </c>
      <c r="I558" s="32">
        <v>0.25</v>
      </c>
      <c r="J558" s="32">
        <v>0.51</v>
      </c>
      <c r="K558" s="32">
        <v>0.51</v>
      </c>
      <c r="AA558"/>
    </row>
    <row r="559" spans="1:27" s="22" customFormat="1" x14ac:dyDescent="0.3">
      <c r="A559" s="22" t="str">
        <f>CONCATENATE(B559,C559,Masonry_cavity_wall_minimum_insulation_R_Value_climate_zone_4115[[#This Row],[Column1]])</f>
        <v>4Masonry cavity wall&gt; 0.5 to ≤ 0.7</v>
      </c>
      <c r="B559" s="22">
        <v>4</v>
      </c>
      <c r="C559" s="22" t="s">
        <v>240</v>
      </c>
      <c r="D559" s="22" t="str">
        <f>CONCATENATE(B559,C559,Masonry_cavity_wall_minimum_insulation_R_Value_climate_zone_4115[[#This Row],[Column1]],Masonry_cavity_wall_minimum_insulation_R_Value_climate_zone_4115[[#This Row],[Column2]])</f>
        <v>4Masonry cavity wall&gt; 0.5 to ≤ 0.7&gt; 450 to ≤ 600</v>
      </c>
      <c r="E559" s="22" t="str">
        <f t="shared" si="8"/>
        <v>4Masonry cavity wall</v>
      </c>
      <c r="F559" s="32" t="s">
        <v>625</v>
      </c>
      <c r="G559" s="32" t="s">
        <v>528</v>
      </c>
      <c r="H559" s="32">
        <v>0.25</v>
      </c>
      <c r="I559" s="32">
        <v>0.25</v>
      </c>
      <c r="J559" s="32">
        <v>0.51</v>
      </c>
      <c r="K559" s="32">
        <v>0.51</v>
      </c>
      <c r="AA559"/>
    </row>
    <row r="560" spans="1:27" s="22" customFormat="1" x14ac:dyDescent="0.3">
      <c r="A560" s="22" t="str">
        <f>CONCATENATE(B560,C560,Masonry_cavity_wall_minimum_insulation_R_Value_climate_zone_4115[[#This Row],[Column1]])</f>
        <v>4Masonry cavity wall&gt; 0.5 to ≤ 0.7</v>
      </c>
      <c r="B560" s="22">
        <v>4</v>
      </c>
      <c r="C560" s="22" t="s">
        <v>240</v>
      </c>
      <c r="D560" s="22" t="str">
        <f>CONCATENATE(B560,C560,Masonry_cavity_wall_minimum_insulation_R_Value_climate_zone_4115[[#This Row],[Column1]],Masonry_cavity_wall_minimum_insulation_R_Value_climate_zone_4115[[#This Row],[Column2]])</f>
        <v>4Masonry cavity wall&gt; 0.5 to ≤ 0.7&gt; 600 to ≤ 900</v>
      </c>
      <c r="E560" s="22" t="str">
        <f t="shared" si="8"/>
        <v>4Masonry cavity wall</v>
      </c>
      <c r="F560" s="32" t="s">
        <v>625</v>
      </c>
      <c r="G560" s="32" t="s">
        <v>531</v>
      </c>
      <c r="H560" s="32">
        <v>0.25</v>
      </c>
      <c r="I560" s="32">
        <v>0.51</v>
      </c>
      <c r="J560" s="32">
        <v>0.51</v>
      </c>
      <c r="K560" s="32">
        <v>0.62</v>
      </c>
      <c r="AA560"/>
    </row>
    <row r="561" spans="1:27" s="22" customFormat="1" x14ac:dyDescent="0.3">
      <c r="A561" s="22" t="str">
        <f>CONCATENATE(B561,C561,Masonry_cavity_wall_minimum_insulation_R_Value_climate_zone_4115[[#This Row],[Column1]])</f>
        <v>4Masonry cavity wall&gt; 0.5 to ≤ 0.7</v>
      </c>
      <c r="B561" s="22">
        <v>4</v>
      </c>
      <c r="C561" s="22" t="s">
        <v>240</v>
      </c>
      <c r="D561" s="22" t="str">
        <f>CONCATENATE(B561,C561,Masonry_cavity_wall_minimum_insulation_R_Value_climate_zone_4115[[#This Row],[Column1]],Masonry_cavity_wall_minimum_insulation_R_Value_climate_zone_4115[[#This Row],[Column2]])</f>
        <v>4Masonry cavity wall&gt; 0.5 to ≤ 0.7&gt; 900 to ≤ 1200</v>
      </c>
      <c r="E561" s="22" t="str">
        <f t="shared" si="8"/>
        <v>4Masonry cavity wall</v>
      </c>
      <c r="F561" s="32" t="s">
        <v>625</v>
      </c>
      <c r="G561" s="32" t="s">
        <v>534</v>
      </c>
      <c r="H561" s="32">
        <v>0.51</v>
      </c>
      <c r="I561" s="32">
        <v>0.62</v>
      </c>
      <c r="J561" s="32">
        <v>0.62</v>
      </c>
      <c r="K561" s="32">
        <v>0.75</v>
      </c>
      <c r="AA561"/>
    </row>
    <row r="562" spans="1:27" s="22" customFormat="1" x14ac:dyDescent="0.3">
      <c r="A562" s="22" t="str">
        <f>CONCATENATE(B562,C562,Masonry_cavity_wall_minimum_insulation_R_Value_climate_zone_4115[[#This Row],[Column1]])</f>
        <v>4Masonry cavity wall&gt; 0.5 to ≤ 0.7</v>
      </c>
      <c r="B562" s="22">
        <v>4</v>
      </c>
      <c r="C562" s="22" t="s">
        <v>240</v>
      </c>
      <c r="D562" s="22" t="str">
        <f>CONCATENATE(B562,C562,Masonry_cavity_wall_minimum_insulation_R_Value_climate_zone_4115[[#This Row],[Column1]],Masonry_cavity_wall_minimum_insulation_R_Value_climate_zone_4115[[#This Row],[Column2]])</f>
        <v>4Masonry cavity wall&gt; 0.5 to ≤ 0.7&gt; 1200 to ≤ 1500</v>
      </c>
      <c r="E562" s="22" t="str">
        <f t="shared" si="8"/>
        <v>4Masonry cavity wall</v>
      </c>
      <c r="F562" s="32" t="s">
        <v>625</v>
      </c>
      <c r="G562" s="32" t="s">
        <v>536</v>
      </c>
      <c r="H562" s="32">
        <v>1.08</v>
      </c>
      <c r="I562" s="32">
        <v>1.08</v>
      </c>
      <c r="J562" s="32">
        <v>1.08</v>
      </c>
      <c r="K562" s="32">
        <v>1.08</v>
      </c>
      <c r="AA562"/>
    </row>
    <row r="563" spans="1:27" s="22" customFormat="1" x14ac:dyDescent="0.3">
      <c r="A563" s="22" t="str">
        <f>CONCATENATE(B563,C563,Masonry_cavity_wall_minimum_insulation_R_Value_climate_zone_4115[[#This Row],[Column1]])</f>
        <v>4Masonry cavity wall&gt; 0.5 to ≤ 0.7</v>
      </c>
      <c r="B563" s="22">
        <v>4</v>
      </c>
      <c r="C563" s="22" t="s">
        <v>240</v>
      </c>
      <c r="D563" s="22" t="str">
        <f>CONCATENATE(B563,C563,Masonry_cavity_wall_minimum_insulation_R_Value_climate_zone_4115[[#This Row],[Column1]],Masonry_cavity_wall_minimum_insulation_R_Value_climate_zone_4115[[#This Row],[Column2]])</f>
        <v>4Masonry cavity wall&gt; 0.5 to ≤ 0.7&gt; 1500 to ≤ 1800</v>
      </c>
      <c r="E563" s="22" t="str">
        <f t="shared" si="8"/>
        <v>4Masonry cavity wall</v>
      </c>
      <c r="F563" s="32" t="s">
        <v>625</v>
      </c>
      <c r="G563" s="32" t="s">
        <v>539</v>
      </c>
      <c r="H563" s="32">
        <v>1.44</v>
      </c>
      <c r="I563" s="32">
        <v>1.44</v>
      </c>
      <c r="J563" s="32">
        <v>1.08</v>
      </c>
      <c r="K563" s="32">
        <v>1.08</v>
      </c>
      <c r="AA563"/>
    </row>
    <row r="564" spans="1:27" s="22" customFormat="1" x14ac:dyDescent="0.3">
      <c r="AA564"/>
    </row>
    <row r="565" spans="1:27" s="22" customFormat="1" x14ac:dyDescent="0.3">
      <c r="F565" s="22" t="s">
        <v>639</v>
      </c>
      <c r="AA565"/>
    </row>
    <row r="566" spans="1:27" s="22" customFormat="1" x14ac:dyDescent="0.3">
      <c r="F566" s="22" t="s">
        <v>640</v>
      </c>
      <c r="AA566"/>
    </row>
    <row r="567" spans="1:27" s="22" customFormat="1" x14ac:dyDescent="0.3">
      <c r="F567" s="742" t="s">
        <v>234</v>
      </c>
      <c r="G567" s="708" t="s">
        <v>140</v>
      </c>
      <c r="H567" s="708" t="s">
        <v>510</v>
      </c>
      <c r="I567" s="708"/>
      <c r="J567" s="708"/>
      <c r="K567" s="708"/>
      <c r="AA567"/>
    </row>
    <row r="568" spans="1:27" s="22" customFormat="1" x14ac:dyDescent="0.3">
      <c r="A568" s="22" t="str">
        <f>E569</f>
        <v>5Masonry veneer walls</v>
      </c>
      <c r="F568" s="742"/>
      <c r="G568" s="742"/>
      <c r="H568" s="708" t="s">
        <v>512</v>
      </c>
      <c r="I568" s="708" t="s">
        <v>513</v>
      </c>
      <c r="J568" s="708" t="s">
        <v>641</v>
      </c>
      <c r="K568" s="708" t="s">
        <v>515</v>
      </c>
      <c r="AA568"/>
    </row>
    <row r="569" spans="1:27" s="22" customFormat="1" x14ac:dyDescent="0.3">
      <c r="A569" s="22" t="str">
        <f>CONCATENATE(B569,C569,Masonry_veneer_wall_minimum_insulation_R_Value_climate_zone_5116[[#This Row],[Column1]])</f>
        <v>5Masonry veneer walls≤ 0.35</v>
      </c>
      <c r="B569" s="22">
        <v>5</v>
      </c>
      <c r="C569" s="22" t="s">
        <v>233</v>
      </c>
      <c r="D569" s="22" t="str">
        <f>CONCATENATE(B569,C569,Masonry_veneer_wall_minimum_insulation_R_Value_climate_zone_5116[[#This Row],[Column1]],Masonry_veneer_wall_minimum_insulation_R_Value_climate_zone_5116[[#This Row],[Column2]])</f>
        <v>5Masonry veneer walls≤ 0.350</v>
      </c>
      <c r="E569" s="22" t="str">
        <f t="shared" si="8"/>
        <v>5Masonry veneer walls</v>
      </c>
      <c r="F569" s="32" t="s">
        <v>623</v>
      </c>
      <c r="G569" s="32">
        <v>0</v>
      </c>
      <c r="H569" s="32">
        <v>1.5</v>
      </c>
      <c r="I569" s="32">
        <v>2</v>
      </c>
      <c r="J569" s="32">
        <v>2</v>
      </c>
      <c r="K569" s="32">
        <v>2.5</v>
      </c>
      <c r="AA569"/>
    </row>
    <row r="570" spans="1:27" s="22" customFormat="1" x14ac:dyDescent="0.3">
      <c r="A570" s="22" t="str">
        <f>CONCATENATE(B570,C570,Masonry_veneer_wall_minimum_insulation_R_Value_climate_zone_5116[[#This Row],[Column1]])</f>
        <v>5Masonry veneer walls≤ 0.35</v>
      </c>
      <c r="B570" s="22">
        <v>5</v>
      </c>
      <c r="C570" s="22" t="s">
        <v>233</v>
      </c>
      <c r="D570" s="22" t="str">
        <f>CONCATENATE(B570,C570,Masonry_veneer_wall_minimum_insulation_R_Value_climate_zone_5116[[#This Row],[Column1]],Masonry_veneer_wall_minimum_insulation_R_Value_climate_zone_5116[[#This Row],[Column2]])</f>
        <v>5Masonry veneer walls≤ 0.35&gt; 0 to ≤ 300</v>
      </c>
      <c r="E570" s="22" t="str">
        <f t="shared" si="8"/>
        <v>5Masonry veneer walls</v>
      </c>
      <c r="F570" s="32" t="s">
        <v>623</v>
      </c>
      <c r="G570" s="32" t="s">
        <v>521</v>
      </c>
      <c r="H570" s="32">
        <v>1.5</v>
      </c>
      <c r="I570" s="32">
        <v>2</v>
      </c>
      <c r="J570" s="32">
        <v>2</v>
      </c>
      <c r="K570" s="32">
        <v>2.5</v>
      </c>
      <c r="AA570"/>
    </row>
    <row r="571" spans="1:27" s="22" customFormat="1" x14ac:dyDescent="0.3">
      <c r="A571" s="22" t="str">
        <f>CONCATENATE(B571,C571,Masonry_veneer_wall_minimum_insulation_R_Value_climate_zone_5116[[#This Row],[Column1]])</f>
        <v>5Masonry veneer walls≤ 0.35</v>
      </c>
      <c r="B571" s="22">
        <v>5</v>
      </c>
      <c r="C571" s="22" t="s">
        <v>233</v>
      </c>
      <c r="D571" s="22" t="str">
        <f>CONCATENATE(B571,C571,Masonry_veneer_wall_minimum_insulation_R_Value_climate_zone_5116[[#This Row],[Column1]],Masonry_veneer_wall_minimum_insulation_R_Value_climate_zone_5116[[#This Row],[Column2]])</f>
        <v>5Masonry veneer walls≤ 0.35&gt; 300 to ≤ 450</v>
      </c>
      <c r="E571" s="22" t="str">
        <f t="shared" si="8"/>
        <v>5Masonry veneer walls</v>
      </c>
      <c r="F571" s="32" t="s">
        <v>623</v>
      </c>
      <c r="G571" s="32" t="s">
        <v>525</v>
      </c>
      <c r="H571" s="32">
        <v>1.5</v>
      </c>
      <c r="I571" s="32">
        <v>1.5</v>
      </c>
      <c r="J571" s="32">
        <v>2</v>
      </c>
      <c r="K571" s="32">
        <v>2.5</v>
      </c>
      <c r="AA571"/>
    </row>
    <row r="572" spans="1:27" s="22" customFormat="1" x14ac:dyDescent="0.3">
      <c r="A572" s="22" t="str">
        <f>CONCATENATE(B572,C572,Masonry_veneer_wall_minimum_insulation_R_Value_climate_zone_5116[[#This Row],[Column1]])</f>
        <v>5Masonry veneer walls≤ 0.35</v>
      </c>
      <c r="B572" s="22">
        <v>5</v>
      </c>
      <c r="C572" s="22" t="s">
        <v>233</v>
      </c>
      <c r="D572" s="22" t="str">
        <f>CONCATENATE(B572,C572,Masonry_veneer_wall_minimum_insulation_R_Value_climate_zone_5116[[#This Row],[Column1]],Masonry_veneer_wall_minimum_insulation_R_Value_climate_zone_5116[[#This Row],[Column2]])</f>
        <v>5Masonry veneer walls≤ 0.35&gt; 450 to ≤ 600</v>
      </c>
      <c r="E572" s="22" t="str">
        <f t="shared" si="8"/>
        <v>5Masonry veneer walls</v>
      </c>
      <c r="F572" s="32" t="s">
        <v>623</v>
      </c>
      <c r="G572" s="32" t="s">
        <v>528</v>
      </c>
      <c r="H572" s="32">
        <v>1.5</v>
      </c>
      <c r="I572" s="32">
        <v>2</v>
      </c>
      <c r="J572" s="32">
        <v>2</v>
      </c>
      <c r="K572" s="32">
        <v>2.5</v>
      </c>
      <c r="AA572"/>
    </row>
    <row r="573" spans="1:27" s="22" customFormat="1" x14ac:dyDescent="0.3">
      <c r="A573" s="22" t="str">
        <f>CONCATENATE(B573,C573,Masonry_veneer_wall_minimum_insulation_R_Value_climate_zone_5116[[#This Row],[Column1]])</f>
        <v>5Masonry veneer walls≤ 0.35</v>
      </c>
      <c r="B573" s="22">
        <v>5</v>
      </c>
      <c r="C573" s="22" t="s">
        <v>233</v>
      </c>
      <c r="D573" s="22" t="str">
        <f>CONCATENATE(B573,C573,Masonry_veneer_wall_minimum_insulation_R_Value_climate_zone_5116[[#This Row],[Column1]],Masonry_veneer_wall_minimum_insulation_R_Value_climate_zone_5116[[#This Row],[Column2]])</f>
        <v>5Masonry veneer walls≤ 0.35&gt; 600 to ≤ 900</v>
      </c>
      <c r="E573" s="22" t="str">
        <f t="shared" si="8"/>
        <v>5Masonry veneer walls</v>
      </c>
      <c r="F573" s="32" t="s">
        <v>623</v>
      </c>
      <c r="G573" s="32" t="s">
        <v>531</v>
      </c>
      <c r="H573" s="32">
        <v>2</v>
      </c>
      <c r="I573" s="32">
        <v>2</v>
      </c>
      <c r="J573" s="32">
        <v>2</v>
      </c>
      <c r="K573" s="32">
        <v>2.5</v>
      </c>
      <c r="AA573"/>
    </row>
    <row r="574" spans="1:27" s="22" customFormat="1" x14ac:dyDescent="0.3">
      <c r="A574" s="22" t="str">
        <f>CONCATENATE(B574,C574,Masonry_veneer_wall_minimum_insulation_R_Value_climate_zone_5116[[#This Row],[Column1]])</f>
        <v>5Masonry veneer walls≤ 0.35</v>
      </c>
      <c r="B574" s="22">
        <v>5</v>
      </c>
      <c r="C574" s="22" t="s">
        <v>233</v>
      </c>
      <c r="D574" s="22" t="str">
        <f>CONCATENATE(B574,C574,Masonry_veneer_wall_minimum_insulation_R_Value_climate_zone_5116[[#This Row],[Column1]],Masonry_veneer_wall_minimum_insulation_R_Value_climate_zone_5116[[#This Row],[Column2]])</f>
        <v>5Masonry veneer walls≤ 0.35&gt; 900 to ≤ 1200</v>
      </c>
      <c r="E574" s="22" t="str">
        <f t="shared" si="8"/>
        <v>5Masonry veneer walls</v>
      </c>
      <c r="F574" s="32" t="s">
        <v>623</v>
      </c>
      <c r="G574" s="32" t="s">
        <v>534</v>
      </c>
      <c r="H574" s="32">
        <v>3</v>
      </c>
      <c r="I574" s="32">
        <v>2</v>
      </c>
      <c r="J574" s="32">
        <v>2</v>
      </c>
      <c r="K574" s="32">
        <v>2.5</v>
      </c>
      <c r="AA574"/>
    </row>
    <row r="575" spans="1:27" s="22" customFormat="1" x14ac:dyDescent="0.3">
      <c r="A575" s="22" t="str">
        <f>CONCATENATE(B575,C575,Masonry_veneer_wall_minimum_insulation_R_Value_climate_zone_5116[[#This Row],[Column1]])</f>
        <v>5Masonry veneer walls≤ 0.35</v>
      </c>
      <c r="B575" s="22">
        <v>5</v>
      </c>
      <c r="C575" s="22" t="s">
        <v>233</v>
      </c>
      <c r="D575" s="22" t="str">
        <f>CONCATENATE(B575,C575,Masonry_veneer_wall_minimum_insulation_R_Value_climate_zone_5116[[#This Row],[Column1]],Masonry_veneer_wall_minimum_insulation_R_Value_climate_zone_5116[[#This Row],[Column2]])</f>
        <v>5Masonry veneer walls≤ 0.35&gt; 1200 to ≤ 1500</v>
      </c>
      <c r="E575" s="22" t="str">
        <f t="shared" si="8"/>
        <v>5Masonry veneer walls</v>
      </c>
      <c r="F575" s="32" t="s">
        <v>623</v>
      </c>
      <c r="G575" s="32" t="s">
        <v>536</v>
      </c>
      <c r="H575" s="32" t="s">
        <v>321</v>
      </c>
      <c r="I575" s="32">
        <v>3</v>
      </c>
      <c r="J575" s="32">
        <v>2.5</v>
      </c>
      <c r="K575" s="32">
        <v>2.5</v>
      </c>
      <c r="AA575"/>
    </row>
    <row r="576" spans="1:27" s="22" customFormat="1" x14ac:dyDescent="0.3">
      <c r="A576" s="22" t="str">
        <f>CONCATENATE(B576,C576,Masonry_veneer_wall_minimum_insulation_R_Value_climate_zone_5116[[#This Row],[Column1]])</f>
        <v>5Masonry veneer walls&gt; 0.35 to ≤ 0.5</v>
      </c>
      <c r="B576" s="22">
        <v>5</v>
      </c>
      <c r="C576" s="22" t="s">
        <v>233</v>
      </c>
      <c r="D576" s="22" t="str">
        <f>CONCATENATE(B576,C576,Masonry_veneer_wall_minimum_insulation_R_Value_climate_zone_5116[[#This Row],[Column1]],Masonry_veneer_wall_minimum_insulation_R_Value_climate_zone_5116[[#This Row],[Column2]])</f>
        <v>5Masonry veneer walls&gt; 0.35 to ≤ 0.50</v>
      </c>
      <c r="E576" s="22" t="str">
        <f t="shared" si="8"/>
        <v>5Masonry veneer walls</v>
      </c>
      <c r="F576" s="32" t="s">
        <v>624</v>
      </c>
      <c r="G576" s="32">
        <v>0</v>
      </c>
      <c r="H576" s="32">
        <v>1.5</v>
      </c>
      <c r="I576" s="32">
        <v>2</v>
      </c>
      <c r="J576" s="32">
        <v>2</v>
      </c>
      <c r="K576" s="32">
        <v>2.5</v>
      </c>
      <c r="AA576"/>
    </row>
    <row r="577" spans="1:27" s="22" customFormat="1" x14ac:dyDescent="0.3">
      <c r="A577" s="22" t="str">
        <f>CONCATENATE(B577,C577,Masonry_veneer_wall_minimum_insulation_R_Value_climate_zone_5116[[#This Row],[Column1]])</f>
        <v>5Masonry veneer walls&gt; 0.35 to ≤ 0.5</v>
      </c>
      <c r="B577" s="22">
        <v>5</v>
      </c>
      <c r="C577" s="22" t="s">
        <v>233</v>
      </c>
      <c r="D577" s="22" t="str">
        <f>CONCATENATE(B577,C577,Masonry_veneer_wall_minimum_insulation_R_Value_climate_zone_5116[[#This Row],[Column1]],Masonry_veneer_wall_minimum_insulation_R_Value_climate_zone_5116[[#This Row],[Column2]])</f>
        <v>5Masonry veneer walls&gt; 0.35 to ≤ 0.5&gt; 0 to ≤ 300</v>
      </c>
      <c r="E577" s="22" t="str">
        <f t="shared" si="8"/>
        <v>5Masonry veneer walls</v>
      </c>
      <c r="F577" s="32" t="s">
        <v>624</v>
      </c>
      <c r="G577" s="32" t="s">
        <v>521</v>
      </c>
      <c r="H577" s="32">
        <v>1.5</v>
      </c>
      <c r="I577" s="32">
        <v>1.5</v>
      </c>
      <c r="J577" s="32">
        <v>2</v>
      </c>
      <c r="K577" s="32">
        <v>2.5</v>
      </c>
      <c r="AA577"/>
    </row>
    <row r="578" spans="1:27" s="22" customFormat="1" x14ac:dyDescent="0.3">
      <c r="A578" s="22" t="str">
        <f>CONCATENATE(B578,C578,Masonry_veneer_wall_minimum_insulation_R_Value_climate_zone_5116[[#This Row],[Column1]])</f>
        <v>5Masonry veneer walls&gt; 0.35 to ≤ 0.5</v>
      </c>
      <c r="B578" s="22">
        <v>5</v>
      </c>
      <c r="C578" s="22" t="s">
        <v>233</v>
      </c>
      <c r="D578" s="22" t="str">
        <f>CONCATENATE(B578,C578,Masonry_veneer_wall_minimum_insulation_R_Value_climate_zone_5116[[#This Row],[Column1]],Masonry_veneer_wall_minimum_insulation_R_Value_climate_zone_5116[[#This Row],[Column2]])</f>
        <v>5Masonry veneer walls&gt; 0.35 to ≤ 0.5&gt; 300 to ≤ 450</v>
      </c>
      <c r="E578" s="22" t="str">
        <f t="shared" si="8"/>
        <v>5Masonry veneer walls</v>
      </c>
      <c r="F578" s="32" t="s">
        <v>624</v>
      </c>
      <c r="G578" s="32" t="s">
        <v>525</v>
      </c>
      <c r="H578" s="32">
        <v>1.5</v>
      </c>
      <c r="I578" s="32">
        <v>1.5</v>
      </c>
      <c r="J578" s="32">
        <v>2</v>
      </c>
      <c r="K578" s="32">
        <v>2.5</v>
      </c>
      <c r="AA578"/>
    </row>
    <row r="579" spans="1:27" s="22" customFormat="1" x14ac:dyDescent="0.3">
      <c r="A579" s="22" t="str">
        <f>CONCATENATE(B579,C579,Masonry_veneer_wall_minimum_insulation_R_Value_climate_zone_5116[[#This Row],[Column1]])</f>
        <v>5Masonry veneer walls&gt; 0.35 to ≤ 0.5</v>
      </c>
      <c r="B579" s="22">
        <v>5</v>
      </c>
      <c r="C579" s="22" t="s">
        <v>233</v>
      </c>
      <c r="D579" s="22" t="str">
        <f>CONCATENATE(B579,C579,Masonry_veneer_wall_minimum_insulation_R_Value_climate_zone_5116[[#This Row],[Column1]],Masonry_veneer_wall_minimum_insulation_R_Value_climate_zone_5116[[#This Row],[Column2]])</f>
        <v>5Masonry veneer walls&gt; 0.35 to ≤ 0.5&gt; 450 to ≤ 600</v>
      </c>
      <c r="E579" s="22" t="str">
        <f t="shared" si="8"/>
        <v>5Masonry veneer walls</v>
      </c>
      <c r="F579" s="32" t="s">
        <v>624</v>
      </c>
      <c r="G579" s="32" t="s">
        <v>528</v>
      </c>
      <c r="H579" s="32">
        <v>1.5</v>
      </c>
      <c r="I579" s="32">
        <v>1.5</v>
      </c>
      <c r="J579" s="32">
        <v>2</v>
      </c>
      <c r="K579" s="32">
        <v>2.5</v>
      </c>
      <c r="AA579"/>
    </row>
    <row r="580" spans="1:27" s="22" customFormat="1" x14ac:dyDescent="0.3">
      <c r="A580" s="22" t="str">
        <f>CONCATENATE(B580,C580,Masonry_veneer_wall_minimum_insulation_R_Value_climate_zone_5116[[#This Row],[Column1]])</f>
        <v>5Masonry veneer walls&gt; 0.35 to ≤ 0.5</v>
      </c>
      <c r="B580" s="22">
        <v>5</v>
      </c>
      <c r="C580" s="22" t="s">
        <v>233</v>
      </c>
      <c r="D580" s="22" t="str">
        <f>CONCATENATE(B580,C580,Masonry_veneer_wall_minimum_insulation_R_Value_climate_zone_5116[[#This Row],[Column1]],Masonry_veneer_wall_minimum_insulation_R_Value_climate_zone_5116[[#This Row],[Column2]])</f>
        <v>5Masonry veneer walls&gt; 0.35 to ≤ 0.5&gt; 600 to ≤ 900</v>
      </c>
      <c r="E580" s="22" t="str">
        <f t="shared" si="8"/>
        <v>5Masonry veneer walls</v>
      </c>
      <c r="F580" s="32" t="s">
        <v>624</v>
      </c>
      <c r="G580" s="32" t="s">
        <v>531</v>
      </c>
      <c r="H580" s="32">
        <v>2</v>
      </c>
      <c r="I580" s="32">
        <v>2</v>
      </c>
      <c r="J580" s="32">
        <v>2</v>
      </c>
      <c r="K580" s="32">
        <v>2.5</v>
      </c>
      <c r="AA580"/>
    </row>
    <row r="581" spans="1:27" s="22" customFormat="1" x14ac:dyDescent="0.3">
      <c r="A581" s="22" t="str">
        <f>CONCATENATE(B581,C581,Masonry_veneer_wall_minimum_insulation_R_Value_climate_zone_5116[[#This Row],[Column1]])</f>
        <v>5Masonry veneer walls&gt; 0.35 to ≤ 0.5</v>
      </c>
      <c r="B581" s="22">
        <v>5</v>
      </c>
      <c r="C581" s="22" t="s">
        <v>233</v>
      </c>
      <c r="D581" s="22" t="str">
        <f>CONCATENATE(B581,C581,Masonry_veneer_wall_minimum_insulation_R_Value_climate_zone_5116[[#This Row],[Column1]],Masonry_veneer_wall_minimum_insulation_R_Value_climate_zone_5116[[#This Row],[Column2]])</f>
        <v>5Masonry veneer walls&gt; 0.35 to ≤ 0.5&gt; 900 to ≤ 1200</v>
      </c>
      <c r="E581" s="22" t="str">
        <f t="shared" si="8"/>
        <v>5Masonry veneer walls</v>
      </c>
      <c r="F581" s="32" t="s">
        <v>624</v>
      </c>
      <c r="G581" s="32" t="s">
        <v>534</v>
      </c>
      <c r="H581" s="32">
        <v>2.5</v>
      </c>
      <c r="I581" s="32">
        <v>2</v>
      </c>
      <c r="J581" s="32">
        <v>2</v>
      </c>
      <c r="K581" s="32">
        <v>2.5</v>
      </c>
      <c r="AA581"/>
    </row>
    <row r="582" spans="1:27" s="22" customFormat="1" x14ac:dyDescent="0.3">
      <c r="A582" s="22" t="str">
        <f>CONCATENATE(B582,C582,Masonry_veneer_wall_minimum_insulation_R_Value_climate_zone_5116[[#This Row],[Column1]])</f>
        <v>5Masonry veneer walls&gt; 0.35 to ≤ 0.5</v>
      </c>
      <c r="B582" s="22">
        <v>5</v>
      </c>
      <c r="C582" s="22" t="s">
        <v>233</v>
      </c>
      <c r="D582" s="22" t="str">
        <f>CONCATENATE(B582,C582,Masonry_veneer_wall_minimum_insulation_R_Value_climate_zone_5116[[#This Row],[Column1]],Masonry_veneer_wall_minimum_insulation_R_Value_climate_zone_5116[[#This Row],[Column2]])</f>
        <v>5Masonry veneer walls&gt; 0.35 to ≤ 0.5&gt; 1200 to ≤ 1500</v>
      </c>
      <c r="E582" s="22" t="str">
        <f t="shared" si="8"/>
        <v>5Masonry veneer walls</v>
      </c>
      <c r="F582" s="32" t="s">
        <v>624</v>
      </c>
      <c r="G582" s="32" t="s">
        <v>536</v>
      </c>
      <c r="H582" s="32">
        <v>3</v>
      </c>
      <c r="I582" s="32">
        <v>2.5</v>
      </c>
      <c r="J582" s="32">
        <v>2.5</v>
      </c>
      <c r="K582" s="32">
        <v>2.5</v>
      </c>
      <c r="AA582"/>
    </row>
    <row r="583" spans="1:27" s="22" customFormat="1" x14ac:dyDescent="0.3">
      <c r="A583" s="22" t="str">
        <f>CONCATENATE(B583,C583,Masonry_veneer_wall_minimum_insulation_R_Value_climate_zone_5116[[#This Row],[Column1]])</f>
        <v>5Masonry veneer walls&gt; 0.5 to ≤ 0.7</v>
      </c>
      <c r="B583" s="22">
        <v>5</v>
      </c>
      <c r="C583" s="22" t="s">
        <v>233</v>
      </c>
      <c r="D583" s="22" t="str">
        <f>CONCATENATE(B583,C583,Masonry_veneer_wall_minimum_insulation_R_Value_climate_zone_5116[[#This Row],[Column1]],Masonry_veneer_wall_minimum_insulation_R_Value_climate_zone_5116[[#This Row],[Column2]])</f>
        <v>5Masonry veneer walls&gt; 0.5 to ≤ 0.70</v>
      </c>
      <c r="E583" s="22" t="str">
        <f t="shared" si="8"/>
        <v>5Masonry veneer walls</v>
      </c>
      <c r="F583" s="32" t="s">
        <v>625</v>
      </c>
      <c r="G583" s="32">
        <v>0</v>
      </c>
      <c r="H583" s="32">
        <v>1.5</v>
      </c>
      <c r="I583" s="32">
        <v>2</v>
      </c>
      <c r="J583" s="32">
        <v>2</v>
      </c>
      <c r="K583" s="32">
        <v>3</v>
      </c>
      <c r="AA583"/>
    </row>
    <row r="584" spans="1:27" s="22" customFormat="1" x14ac:dyDescent="0.3">
      <c r="A584" s="22" t="str">
        <f>CONCATENATE(B584,C584,Masonry_veneer_wall_minimum_insulation_R_Value_climate_zone_5116[[#This Row],[Column1]])</f>
        <v>5Masonry veneer walls&gt; 0.5 to ≤ 0.7</v>
      </c>
      <c r="B584" s="22">
        <v>5</v>
      </c>
      <c r="C584" s="22" t="s">
        <v>233</v>
      </c>
      <c r="D584" s="22" t="str">
        <f>CONCATENATE(B584,C584,Masonry_veneer_wall_minimum_insulation_R_Value_climate_zone_5116[[#This Row],[Column1]],Masonry_veneer_wall_minimum_insulation_R_Value_climate_zone_5116[[#This Row],[Column2]])</f>
        <v>5Masonry veneer walls&gt; 0.5 to ≤ 0.7&gt; 0 to ≤ 300</v>
      </c>
      <c r="E584" s="22" t="str">
        <f t="shared" si="8"/>
        <v>5Masonry veneer walls</v>
      </c>
      <c r="F584" s="32" t="s">
        <v>625</v>
      </c>
      <c r="G584" s="32" t="s">
        <v>521</v>
      </c>
      <c r="H584" s="32">
        <v>1.5</v>
      </c>
      <c r="I584" s="32">
        <v>2</v>
      </c>
      <c r="J584" s="32">
        <v>2</v>
      </c>
      <c r="K584" s="32">
        <v>3</v>
      </c>
      <c r="AA584"/>
    </row>
    <row r="585" spans="1:27" s="22" customFormat="1" x14ac:dyDescent="0.3">
      <c r="A585" s="22" t="str">
        <f>CONCATENATE(B585,C585,Masonry_veneer_wall_minimum_insulation_R_Value_climate_zone_5116[[#This Row],[Column1]])</f>
        <v>5Masonry veneer walls&gt; 0.5 to ≤ 0.7</v>
      </c>
      <c r="B585" s="22">
        <v>5</v>
      </c>
      <c r="C585" s="22" t="s">
        <v>233</v>
      </c>
      <c r="D585" s="22" t="str">
        <f>CONCATENATE(B585,C585,Masonry_veneer_wall_minimum_insulation_R_Value_climate_zone_5116[[#This Row],[Column1]],Masonry_veneer_wall_minimum_insulation_R_Value_climate_zone_5116[[#This Row],[Column2]])</f>
        <v>5Masonry veneer walls&gt; 0.5 to ≤ 0.7&gt; 300 to ≤ 450</v>
      </c>
      <c r="E585" s="22" t="str">
        <f t="shared" si="8"/>
        <v>5Masonry veneer walls</v>
      </c>
      <c r="F585" s="32" t="s">
        <v>625</v>
      </c>
      <c r="G585" s="32" t="s">
        <v>525</v>
      </c>
      <c r="H585" s="32">
        <v>1.5</v>
      </c>
      <c r="I585" s="32">
        <v>1.5</v>
      </c>
      <c r="J585" s="32">
        <v>2</v>
      </c>
      <c r="K585" s="32">
        <v>2.5</v>
      </c>
      <c r="AA585"/>
    </row>
    <row r="586" spans="1:27" s="22" customFormat="1" x14ac:dyDescent="0.3">
      <c r="A586" s="22" t="str">
        <f>CONCATENATE(B586,C586,Masonry_veneer_wall_minimum_insulation_R_Value_climate_zone_5116[[#This Row],[Column1]])</f>
        <v>5Masonry veneer walls&gt; 0.5 to ≤ 0.7</v>
      </c>
      <c r="B586" s="22">
        <v>5</v>
      </c>
      <c r="C586" s="22" t="s">
        <v>233</v>
      </c>
      <c r="D586" s="22" t="str">
        <f>CONCATENATE(B586,C586,Masonry_veneer_wall_minimum_insulation_R_Value_climate_zone_5116[[#This Row],[Column1]],Masonry_veneer_wall_minimum_insulation_R_Value_climate_zone_5116[[#This Row],[Column2]])</f>
        <v>5Masonry veneer walls&gt; 0.5 to ≤ 0.7&gt; 450 to ≤ 600</v>
      </c>
      <c r="E586" s="22" t="str">
        <f t="shared" si="8"/>
        <v>5Masonry veneer walls</v>
      </c>
      <c r="F586" s="32" t="s">
        <v>625</v>
      </c>
      <c r="G586" s="32" t="s">
        <v>528</v>
      </c>
      <c r="H586" s="32">
        <v>1.5</v>
      </c>
      <c r="I586" s="32">
        <v>2</v>
      </c>
      <c r="J586" s="32">
        <v>2</v>
      </c>
      <c r="K586" s="32">
        <v>2.5</v>
      </c>
      <c r="AA586"/>
    </row>
    <row r="587" spans="1:27" s="22" customFormat="1" x14ac:dyDescent="0.3">
      <c r="A587" s="22" t="str">
        <f>CONCATENATE(B587,C587,Masonry_veneer_wall_minimum_insulation_R_Value_climate_zone_5116[[#This Row],[Column1]])</f>
        <v>5Masonry veneer walls&gt; 0.5 to ≤ 0.7</v>
      </c>
      <c r="B587" s="22">
        <v>5</v>
      </c>
      <c r="C587" s="22" t="s">
        <v>233</v>
      </c>
      <c r="D587" s="22" t="str">
        <f>CONCATENATE(B587,C587,Masonry_veneer_wall_minimum_insulation_R_Value_climate_zone_5116[[#This Row],[Column1]],Masonry_veneer_wall_minimum_insulation_R_Value_climate_zone_5116[[#This Row],[Column2]])</f>
        <v>5Masonry veneer walls&gt; 0.5 to ≤ 0.7&gt; 600 to ≤ 900</v>
      </c>
      <c r="E587" s="22" t="str">
        <f t="shared" si="8"/>
        <v>5Masonry veneer walls</v>
      </c>
      <c r="F587" s="32" t="s">
        <v>625</v>
      </c>
      <c r="G587" s="32" t="s">
        <v>531</v>
      </c>
      <c r="H587" s="32">
        <v>2</v>
      </c>
      <c r="I587" s="32">
        <v>2</v>
      </c>
      <c r="J587" s="32">
        <v>2</v>
      </c>
      <c r="K587" s="32">
        <v>2.5</v>
      </c>
      <c r="AA587"/>
    </row>
    <row r="588" spans="1:27" s="22" customFormat="1" x14ac:dyDescent="0.3">
      <c r="A588" s="22" t="str">
        <f>CONCATENATE(B588,C588,Masonry_veneer_wall_minimum_insulation_R_Value_climate_zone_5116[[#This Row],[Column1]])</f>
        <v>5Masonry veneer walls&gt; 0.5 to ≤ 0.7</v>
      </c>
      <c r="B588" s="22">
        <v>5</v>
      </c>
      <c r="C588" s="22" t="s">
        <v>233</v>
      </c>
      <c r="D588" s="22" t="str">
        <f>CONCATENATE(B588,C588,Masonry_veneer_wall_minimum_insulation_R_Value_climate_zone_5116[[#This Row],[Column1]],Masonry_veneer_wall_minimum_insulation_R_Value_climate_zone_5116[[#This Row],[Column2]])</f>
        <v>5Masonry veneer walls&gt; 0.5 to ≤ 0.7&gt; 900 to ≤ 1200</v>
      </c>
      <c r="E588" s="22" t="str">
        <f t="shared" si="8"/>
        <v>5Masonry veneer walls</v>
      </c>
      <c r="F588" s="32" t="s">
        <v>625</v>
      </c>
      <c r="G588" s="32" t="s">
        <v>534</v>
      </c>
      <c r="H588" s="32">
        <v>2.5</v>
      </c>
      <c r="I588" s="32">
        <v>2</v>
      </c>
      <c r="J588" s="32">
        <v>2</v>
      </c>
      <c r="K588" s="32">
        <v>2.5</v>
      </c>
      <c r="AA588"/>
    </row>
    <row r="589" spans="1:27" s="22" customFormat="1" x14ac:dyDescent="0.3">
      <c r="A589" s="22" t="str">
        <f>CONCATENATE(B589,C589,Masonry_veneer_wall_minimum_insulation_R_Value_climate_zone_5116[[#This Row],[Column1]])</f>
        <v>5Masonry veneer walls&gt; 0.5 to ≤ 0.7</v>
      </c>
      <c r="B589" s="22">
        <v>5</v>
      </c>
      <c r="C589" s="22" t="s">
        <v>233</v>
      </c>
      <c r="D589" s="22" t="str">
        <f>CONCATENATE(B589,C589,Masonry_veneer_wall_minimum_insulation_R_Value_climate_zone_5116[[#This Row],[Column1]],Masonry_veneer_wall_minimum_insulation_R_Value_climate_zone_5116[[#This Row],[Column2]])</f>
        <v>5Masonry veneer walls&gt; 0.5 to ≤ 0.7&gt; 1200 to ≤ 1500</v>
      </c>
      <c r="E589" s="22" t="str">
        <f t="shared" si="8"/>
        <v>5Masonry veneer walls</v>
      </c>
      <c r="F589" s="32" t="s">
        <v>625</v>
      </c>
      <c r="G589" s="32" t="s">
        <v>536</v>
      </c>
      <c r="H589" s="32" t="s">
        <v>321</v>
      </c>
      <c r="I589" s="32">
        <v>3</v>
      </c>
      <c r="J589" s="32">
        <v>2.5</v>
      </c>
      <c r="K589" s="32">
        <v>2.5</v>
      </c>
      <c r="AA589"/>
    </row>
    <row r="590" spans="1:27" s="22" customFormat="1" x14ac:dyDescent="0.3">
      <c r="AA590"/>
    </row>
    <row r="591" spans="1:27" s="22" customFormat="1" x14ac:dyDescent="0.3">
      <c r="F591" s="22" t="s">
        <v>642</v>
      </c>
      <c r="AA591"/>
    </row>
    <row r="592" spans="1:27" s="22" customFormat="1" x14ac:dyDescent="0.3">
      <c r="F592" s="22" t="s">
        <v>643</v>
      </c>
      <c r="AA592"/>
    </row>
    <row r="593" spans="1:27" s="22" customFormat="1" x14ac:dyDescent="0.3">
      <c r="F593" s="708" t="s">
        <v>234</v>
      </c>
      <c r="G593" s="708" t="s">
        <v>140</v>
      </c>
      <c r="H593" s="708" t="s">
        <v>510</v>
      </c>
      <c r="I593" s="708"/>
      <c r="J593" s="708"/>
      <c r="K593" s="708"/>
      <c r="AA593"/>
    </row>
    <row r="594" spans="1:27" s="22" customFormat="1" x14ac:dyDescent="0.3">
      <c r="A594" s="22" t="str">
        <f>E595</f>
        <v>5Masonry cavity wall</v>
      </c>
      <c r="F594" s="708"/>
      <c r="G594" s="708"/>
      <c r="H594" s="708" t="s">
        <v>512</v>
      </c>
      <c r="I594" s="708" t="s">
        <v>513</v>
      </c>
      <c r="J594" s="708" t="s">
        <v>514</v>
      </c>
      <c r="K594" s="708" t="s">
        <v>515</v>
      </c>
      <c r="AA594"/>
    </row>
    <row r="595" spans="1:27" s="22" customFormat="1" x14ac:dyDescent="0.3">
      <c r="A595" s="22" t="str">
        <f>CONCATENATE(B595,C595,Masonry_cavity_wall_minimum_insulation_R_Value_climate_zone_5117[[#This Row],[Column1]])</f>
        <v>5Masonry cavity wall≤ 0.35</v>
      </c>
      <c r="B595" s="22">
        <v>5</v>
      </c>
      <c r="C595" s="22" t="s">
        <v>240</v>
      </c>
      <c r="D595" s="22" t="str">
        <f>CONCATENATE(B595,C595,Masonry_cavity_wall_minimum_insulation_R_Value_climate_zone_5117[[#This Row],[Column1]],Masonry_cavity_wall_minimum_insulation_R_Value_climate_zone_5117[[#This Row],[Column2]])</f>
        <v>5Masonry cavity wall≤ 0.350</v>
      </c>
      <c r="E595" s="22" t="str">
        <f t="shared" si="8"/>
        <v>5Masonry cavity wall</v>
      </c>
      <c r="F595" s="32" t="s">
        <v>623</v>
      </c>
      <c r="G595" s="32">
        <v>0</v>
      </c>
      <c r="H595" s="32">
        <v>0</v>
      </c>
      <c r="I595" s="32">
        <v>0</v>
      </c>
      <c r="J595" s="32">
        <v>0.25</v>
      </c>
      <c r="K595" s="32">
        <v>0.25</v>
      </c>
      <c r="AA595"/>
    </row>
    <row r="596" spans="1:27" s="22" customFormat="1" x14ac:dyDescent="0.3">
      <c r="A596" s="22" t="str">
        <f>CONCATENATE(B596,C596,Masonry_cavity_wall_minimum_insulation_R_Value_climate_zone_5117[[#This Row],[Column1]])</f>
        <v>5Masonry cavity wall≤ 0.35</v>
      </c>
      <c r="B596" s="22">
        <v>5</v>
      </c>
      <c r="C596" s="22" t="s">
        <v>240</v>
      </c>
      <c r="D596" s="22" t="str">
        <f>CONCATENATE(B596,C596,Masonry_cavity_wall_minimum_insulation_R_Value_climate_zone_5117[[#This Row],[Column1]],Masonry_cavity_wall_minimum_insulation_R_Value_climate_zone_5117[[#This Row],[Column2]])</f>
        <v>5Masonry cavity wall≤ 0.35&gt; 0 to ≤ 300</v>
      </c>
      <c r="E596" s="22" t="str">
        <f t="shared" si="8"/>
        <v>5Masonry cavity wall</v>
      </c>
      <c r="F596" s="32" t="s">
        <v>623</v>
      </c>
      <c r="G596" s="32" t="s">
        <v>521</v>
      </c>
      <c r="H596" s="32">
        <v>0</v>
      </c>
      <c r="I596" s="32">
        <v>0.25</v>
      </c>
      <c r="J596" s="32">
        <v>0.25</v>
      </c>
      <c r="K596" s="32">
        <v>0.25</v>
      </c>
      <c r="AA596"/>
    </row>
    <row r="597" spans="1:27" s="22" customFormat="1" x14ac:dyDescent="0.3">
      <c r="A597" s="22" t="str">
        <f>CONCATENATE(B597,C597,Masonry_cavity_wall_minimum_insulation_R_Value_climate_zone_5117[[#This Row],[Column1]])</f>
        <v>5Masonry cavity wall≤ 0.35</v>
      </c>
      <c r="B597" s="22">
        <v>5</v>
      </c>
      <c r="C597" s="22" t="s">
        <v>240</v>
      </c>
      <c r="D597" s="22" t="str">
        <f>CONCATENATE(B597,C597,Masonry_cavity_wall_minimum_insulation_R_Value_climate_zone_5117[[#This Row],[Column1]],Masonry_cavity_wall_minimum_insulation_R_Value_climate_zone_5117[[#This Row],[Column2]])</f>
        <v>5Masonry cavity wall≤ 0.35&gt; 300 to ≤ 450</v>
      </c>
      <c r="E597" s="22" t="str">
        <f t="shared" si="8"/>
        <v>5Masonry cavity wall</v>
      </c>
      <c r="F597" s="32" t="s">
        <v>623</v>
      </c>
      <c r="G597" s="32" t="s">
        <v>525</v>
      </c>
      <c r="H597" s="32">
        <v>0.25</v>
      </c>
      <c r="I597" s="32">
        <v>0.25</v>
      </c>
      <c r="J597" s="32">
        <v>0.25</v>
      </c>
      <c r="K597" s="32">
        <v>0.25</v>
      </c>
      <c r="AA597"/>
    </row>
    <row r="598" spans="1:27" s="22" customFormat="1" x14ac:dyDescent="0.3">
      <c r="A598" s="22" t="str">
        <f>CONCATENATE(B598,C598,Masonry_cavity_wall_minimum_insulation_R_Value_climate_zone_5117[[#This Row],[Column1]])</f>
        <v>5Masonry cavity wall≤ 0.35</v>
      </c>
      <c r="B598" s="22">
        <v>5</v>
      </c>
      <c r="C598" s="22" t="s">
        <v>240</v>
      </c>
      <c r="D598" s="22" t="str">
        <f>CONCATENATE(B598,C598,Masonry_cavity_wall_minimum_insulation_R_Value_climate_zone_5117[[#This Row],[Column1]],Masonry_cavity_wall_minimum_insulation_R_Value_climate_zone_5117[[#This Row],[Column2]])</f>
        <v>5Masonry cavity wall≤ 0.35&gt; 450 to ≤ 600</v>
      </c>
      <c r="E598" s="22" t="str">
        <f t="shared" si="8"/>
        <v>5Masonry cavity wall</v>
      </c>
      <c r="F598" s="32" t="s">
        <v>623</v>
      </c>
      <c r="G598" s="32" t="s">
        <v>528</v>
      </c>
      <c r="H598" s="32">
        <v>0.25</v>
      </c>
      <c r="I598" s="32">
        <v>0.25</v>
      </c>
      <c r="J598" s="32">
        <v>0.25</v>
      </c>
      <c r="K598" s="32">
        <v>0.25</v>
      </c>
      <c r="AA598"/>
    </row>
    <row r="599" spans="1:27" s="22" customFormat="1" x14ac:dyDescent="0.3">
      <c r="A599" s="22" t="str">
        <f>CONCATENATE(B599,C599,Masonry_cavity_wall_minimum_insulation_R_Value_climate_zone_5117[[#This Row],[Column1]])</f>
        <v>5Masonry cavity wall≤ 0.35</v>
      </c>
      <c r="B599" s="22">
        <v>5</v>
      </c>
      <c r="C599" s="22" t="s">
        <v>240</v>
      </c>
      <c r="D599" s="22" t="str">
        <f>CONCATENATE(B599,C599,Masonry_cavity_wall_minimum_insulation_R_Value_climate_zone_5117[[#This Row],[Column1]],Masonry_cavity_wall_minimum_insulation_R_Value_climate_zone_5117[[#This Row],[Column2]])</f>
        <v>5Masonry cavity wall≤ 0.35&gt; 600 to ≤ 900</v>
      </c>
      <c r="E599" s="22" t="str">
        <f t="shared" si="8"/>
        <v>5Masonry cavity wall</v>
      </c>
      <c r="F599" s="32" t="s">
        <v>623</v>
      </c>
      <c r="G599" s="32" t="s">
        <v>531</v>
      </c>
      <c r="H599" s="32">
        <v>0.25</v>
      </c>
      <c r="I599" s="32">
        <v>0.25</v>
      </c>
      <c r="J599" s="32">
        <v>0.25</v>
      </c>
      <c r="K599" s="32">
        <v>0.51</v>
      </c>
      <c r="AA599"/>
    </row>
    <row r="600" spans="1:27" s="22" customFormat="1" x14ac:dyDescent="0.3">
      <c r="A600" s="22" t="str">
        <f>CONCATENATE(B600,C600,Masonry_cavity_wall_minimum_insulation_R_Value_climate_zone_5117[[#This Row],[Column1]])</f>
        <v>5Masonry cavity wall≤ 0.35</v>
      </c>
      <c r="B600" s="22">
        <v>5</v>
      </c>
      <c r="C600" s="22" t="s">
        <v>240</v>
      </c>
      <c r="D600" s="22" t="str">
        <f>CONCATENATE(B600,C600,Masonry_cavity_wall_minimum_insulation_R_Value_climate_zone_5117[[#This Row],[Column1]],Masonry_cavity_wall_minimum_insulation_R_Value_climate_zone_5117[[#This Row],[Column2]])</f>
        <v>5Masonry cavity wall≤ 0.35&gt; 900 to ≤ 1200</v>
      </c>
      <c r="E600" s="22" t="str">
        <f t="shared" si="8"/>
        <v>5Masonry cavity wall</v>
      </c>
      <c r="F600" s="32" t="s">
        <v>623</v>
      </c>
      <c r="G600" s="32" t="s">
        <v>534</v>
      </c>
      <c r="H600" s="32">
        <v>0.51</v>
      </c>
      <c r="I600" s="32">
        <v>0.51</v>
      </c>
      <c r="J600" s="32">
        <v>0.51</v>
      </c>
      <c r="K600" s="32">
        <v>0.51</v>
      </c>
      <c r="AA600"/>
    </row>
    <row r="601" spans="1:27" s="22" customFormat="1" x14ac:dyDescent="0.3">
      <c r="A601" s="22" t="str">
        <f>CONCATENATE(B601,C601,Masonry_cavity_wall_minimum_insulation_R_Value_climate_zone_5117[[#This Row],[Column1]])</f>
        <v>5Masonry cavity wall≤ 0.35</v>
      </c>
      <c r="B601" s="22">
        <v>5</v>
      </c>
      <c r="C601" s="22" t="s">
        <v>240</v>
      </c>
      <c r="D601" s="22" t="str">
        <f>CONCATENATE(B601,C601,Masonry_cavity_wall_minimum_insulation_R_Value_climate_zone_5117[[#This Row],[Column1]],Masonry_cavity_wall_minimum_insulation_R_Value_climate_zone_5117[[#This Row],[Column2]])</f>
        <v>5Masonry cavity wall≤ 0.35&gt; 1200 to ≤ 1500</v>
      </c>
      <c r="E601" s="22" t="str">
        <f t="shared" si="8"/>
        <v>5Masonry cavity wall</v>
      </c>
      <c r="F601" s="32" t="s">
        <v>623</v>
      </c>
      <c r="G601" s="32" t="s">
        <v>536</v>
      </c>
      <c r="H601" s="32">
        <v>0.62</v>
      </c>
      <c r="I601" s="32">
        <v>0.51</v>
      </c>
      <c r="J601" s="32">
        <v>0.51</v>
      </c>
      <c r="K601" s="32">
        <v>0.51</v>
      </c>
      <c r="AA601"/>
    </row>
    <row r="602" spans="1:27" s="22" customFormat="1" x14ac:dyDescent="0.3">
      <c r="A602" s="22" t="str">
        <f>CONCATENATE(B602,C602,Masonry_cavity_wall_minimum_insulation_R_Value_climate_zone_5117[[#This Row],[Column1]])</f>
        <v>5Masonry cavity wall&gt; 0.35 to ≤ 0.5</v>
      </c>
      <c r="B602" s="22">
        <v>5</v>
      </c>
      <c r="C602" s="22" t="s">
        <v>240</v>
      </c>
      <c r="D602" s="22" t="str">
        <f>CONCATENATE(B602,C602,Masonry_cavity_wall_minimum_insulation_R_Value_climate_zone_5117[[#This Row],[Column1]],Masonry_cavity_wall_minimum_insulation_R_Value_climate_zone_5117[[#This Row],[Column2]])</f>
        <v>5Masonry cavity wall&gt; 0.35 to ≤ 0.50</v>
      </c>
      <c r="E602" s="22" t="str">
        <f t="shared" si="8"/>
        <v>5Masonry cavity wall</v>
      </c>
      <c r="F602" s="32" t="s">
        <v>624</v>
      </c>
      <c r="G602" s="32">
        <v>0</v>
      </c>
      <c r="H602" s="32">
        <v>0</v>
      </c>
      <c r="I602" s="32">
        <v>0</v>
      </c>
      <c r="J602" s="32">
        <v>0.25</v>
      </c>
      <c r="K602" s="32">
        <v>0.25</v>
      </c>
      <c r="AA602"/>
    </row>
    <row r="603" spans="1:27" s="22" customFormat="1" x14ac:dyDescent="0.3">
      <c r="A603" s="22" t="str">
        <f>CONCATENATE(B603,C603,Masonry_cavity_wall_minimum_insulation_R_Value_climate_zone_5117[[#This Row],[Column1]])</f>
        <v>5Masonry cavity wall&gt; 0.35 to ≤ 0.5</v>
      </c>
      <c r="B603" s="22">
        <v>5</v>
      </c>
      <c r="C603" s="22" t="s">
        <v>240</v>
      </c>
      <c r="D603" s="22" t="str">
        <f>CONCATENATE(B603,C603,Masonry_cavity_wall_minimum_insulation_R_Value_climate_zone_5117[[#This Row],[Column1]],Masonry_cavity_wall_minimum_insulation_R_Value_climate_zone_5117[[#This Row],[Column2]])</f>
        <v>5Masonry cavity wall&gt; 0.35 to ≤ 0.5&gt; 0 to ≤ 300</v>
      </c>
      <c r="E603" s="22" t="str">
        <f t="shared" si="8"/>
        <v>5Masonry cavity wall</v>
      </c>
      <c r="F603" s="32" t="s">
        <v>624</v>
      </c>
      <c r="G603" s="32" t="s">
        <v>521</v>
      </c>
      <c r="H603" s="32">
        <v>0</v>
      </c>
      <c r="I603" s="32">
        <v>0</v>
      </c>
      <c r="J603" s="32">
        <v>0.25</v>
      </c>
      <c r="K603" s="32">
        <v>0.25</v>
      </c>
      <c r="AA603"/>
    </row>
    <row r="604" spans="1:27" s="22" customFormat="1" x14ac:dyDescent="0.3">
      <c r="A604" s="22" t="str">
        <f>CONCATENATE(B604,C604,Masonry_cavity_wall_minimum_insulation_R_Value_climate_zone_5117[[#This Row],[Column1]])</f>
        <v>5Masonry cavity wall&gt; 0.35 to ≤ 0.5</v>
      </c>
      <c r="B604" s="22">
        <v>5</v>
      </c>
      <c r="C604" s="22" t="s">
        <v>240</v>
      </c>
      <c r="D604" s="22" t="str">
        <f>CONCATENATE(B604,C604,Masonry_cavity_wall_minimum_insulation_R_Value_climate_zone_5117[[#This Row],[Column1]],Masonry_cavity_wall_minimum_insulation_R_Value_climate_zone_5117[[#This Row],[Column2]])</f>
        <v>5Masonry cavity wall&gt; 0.35 to ≤ 0.5&gt; 300 to ≤ 450</v>
      </c>
      <c r="E604" s="22" t="str">
        <f t="shared" si="8"/>
        <v>5Masonry cavity wall</v>
      </c>
      <c r="F604" s="32" t="s">
        <v>624</v>
      </c>
      <c r="G604" s="32" t="s">
        <v>525</v>
      </c>
      <c r="H604" s="32">
        <v>0</v>
      </c>
      <c r="I604" s="32">
        <v>0.25</v>
      </c>
      <c r="J604" s="32">
        <v>0.25</v>
      </c>
      <c r="K604" s="32">
        <v>0.25</v>
      </c>
      <c r="AA604"/>
    </row>
    <row r="605" spans="1:27" s="22" customFormat="1" x14ac:dyDescent="0.3">
      <c r="A605" s="22" t="str">
        <f>CONCATENATE(B605,C605,Masonry_cavity_wall_minimum_insulation_R_Value_climate_zone_5117[[#This Row],[Column1]])</f>
        <v>5Masonry cavity wall&gt; 0.35 to ≤ 0.5</v>
      </c>
      <c r="B605" s="22">
        <v>5</v>
      </c>
      <c r="C605" s="22" t="s">
        <v>240</v>
      </c>
      <c r="D605" s="22" t="str">
        <f>CONCATENATE(B605,C605,Masonry_cavity_wall_minimum_insulation_R_Value_climate_zone_5117[[#This Row],[Column1]],Masonry_cavity_wall_minimum_insulation_R_Value_climate_zone_5117[[#This Row],[Column2]])</f>
        <v>5Masonry cavity wall&gt; 0.35 to ≤ 0.5&gt; 450 to ≤ 600</v>
      </c>
      <c r="E605" s="22" t="str">
        <f t="shared" si="8"/>
        <v>5Masonry cavity wall</v>
      </c>
      <c r="F605" s="32" t="s">
        <v>624</v>
      </c>
      <c r="G605" s="32" t="s">
        <v>528</v>
      </c>
      <c r="H605" s="32">
        <v>0.25</v>
      </c>
      <c r="I605" s="32">
        <v>0.25</v>
      </c>
      <c r="J605" s="32">
        <v>0.25</v>
      </c>
      <c r="K605" s="32">
        <v>0.25</v>
      </c>
      <c r="AA605"/>
    </row>
    <row r="606" spans="1:27" s="22" customFormat="1" x14ac:dyDescent="0.3">
      <c r="A606" s="22" t="str">
        <f>CONCATENATE(B606,C606,Masonry_cavity_wall_minimum_insulation_R_Value_climate_zone_5117[[#This Row],[Column1]])</f>
        <v>5Masonry cavity wall&gt; 0.35 to ≤ 0.5</v>
      </c>
      <c r="B606" s="22">
        <v>5</v>
      </c>
      <c r="C606" s="22" t="s">
        <v>240</v>
      </c>
      <c r="D606" s="22" t="str">
        <f>CONCATENATE(B606,C606,Masonry_cavity_wall_minimum_insulation_R_Value_climate_zone_5117[[#This Row],[Column1]],Masonry_cavity_wall_minimum_insulation_R_Value_climate_zone_5117[[#This Row],[Column2]])</f>
        <v>5Masonry cavity wall&gt; 0.35 to ≤ 0.5&gt; 600 to ≤ 900</v>
      </c>
      <c r="E606" s="22" t="str">
        <f t="shared" si="8"/>
        <v>5Masonry cavity wall</v>
      </c>
      <c r="F606" s="32" t="s">
        <v>624</v>
      </c>
      <c r="G606" s="32" t="s">
        <v>531</v>
      </c>
      <c r="H606" s="32">
        <v>0.25</v>
      </c>
      <c r="I606" s="32">
        <v>0.25</v>
      </c>
      <c r="J606" s="32">
        <v>0.25</v>
      </c>
      <c r="K606" s="32">
        <v>0.25</v>
      </c>
      <c r="AA606"/>
    </row>
    <row r="607" spans="1:27" s="22" customFormat="1" x14ac:dyDescent="0.3">
      <c r="A607" s="22" t="str">
        <f>CONCATENATE(B607,C607,Masonry_cavity_wall_minimum_insulation_R_Value_climate_zone_5117[[#This Row],[Column1]])</f>
        <v>5Masonry cavity wall&gt; 0.35 to ≤ 0.5</v>
      </c>
      <c r="B607" s="22">
        <v>5</v>
      </c>
      <c r="C607" s="22" t="s">
        <v>240</v>
      </c>
      <c r="D607" s="22" t="str">
        <f>CONCATENATE(B607,C607,Masonry_cavity_wall_minimum_insulation_R_Value_climate_zone_5117[[#This Row],[Column1]],Masonry_cavity_wall_minimum_insulation_R_Value_climate_zone_5117[[#This Row],[Column2]])</f>
        <v>5Masonry cavity wall&gt; 0.35 to ≤ 0.5&gt; 900 to ≤ 1200</v>
      </c>
      <c r="E607" s="22" t="str">
        <f t="shared" si="8"/>
        <v>5Masonry cavity wall</v>
      </c>
      <c r="F607" s="32" t="s">
        <v>624</v>
      </c>
      <c r="G607" s="32" t="s">
        <v>534</v>
      </c>
      <c r="H607" s="32">
        <v>0.51</v>
      </c>
      <c r="I607" s="32">
        <v>0.25</v>
      </c>
      <c r="J607" s="32">
        <v>0.25</v>
      </c>
      <c r="K607" s="32">
        <v>0.51</v>
      </c>
      <c r="AA607"/>
    </row>
    <row r="608" spans="1:27" s="22" customFormat="1" x14ac:dyDescent="0.3">
      <c r="A608" s="22" t="str">
        <f>CONCATENATE(B608,C608,Masonry_cavity_wall_minimum_insulation_R_Value_climate_zone_5117[[#This Row],[Column1]])</f>
        <v>5Masonry cavity wall&gt; 0.35 to ≤ 0.5</v>
      </c>
      <c r="B608" s="22">
        <v>5</v>
      </c>
      <c r="C608" s="22" t="s">
        <v>240</v>
      </c>
      <c r="D608" s="22" t="str">
        <f>CONCATENATE(B608,C608,Masonry_cavity_wall_minimum_insulation_R_Value_climate_zone_5117[[#This Row],[Column1]],Masonry_cavity_wall_minimum_insulation_R_Value_climate_zone_5117[[#This Row],[Column2]])</f>
        <v>5Masonry cavity wall&gt; 0.35 to ≤ 0.5&gt; 1200 to ≤ 1500</v>
      </c>
      <c r="E608" s="22" t="str">
        <f t="shared" si="8"/>
        <v>5Masonry cavity wall</v>
      </c>
      <c r="F608" s="32" t="s">
        <v>624</v>
      </c>
      <c r="G608" s="32" t="s">
        <v>536</v>
      </c>
      <c r="H608" s="32">
        <v>0.62</v>
      </c>
      <c r="I608" s="32">
        <v>0.51</v>
      </c>
      <c r="J608" s="32">
        <v>0.51</v>
      </c>
      <c r="K608" s="32">
        <v>0.51</v>
      </c>
      <c r="AA608"/>
    </row>
    <row r="609" spans="1:27" s="22" customFormat="1" x14ac:dyDescent="0.3">
      <c r="A609" s="22" t="str">
        <f>CONCATENATE(B609,C609,Masonry_cavity_wall_minimum_insulation_R_Value_climate_zone_5117[[#This Row],[Column1]])</f>
        <v>5Masonry cavity wall&gt; 0.5 to ≤ 0.7</v>
      </c>
      <c r="B609" s="22">
        <v>5</v>
      </c>
      <c r="C609" s="22" t="s">
        <v>240</v>
      </c>
      <c r="D609" s="22" t="str">
        <f>CONCATENATE(B609,C609,Masonry_cavity_wall_minimum_insulation_R_Value_climate_zone_5117[[#This Row],[Column1]],Masonry_cavity_wall_minimum_insulation_R_Value_climate_zone_5117[[#This Row],[Column2]])</f>
        <v>5Masonry cavity wall&gt; 0.5 to ≤ 0.70</v>
      </c>
      <c r="E609" s="22" t="str">
        <f t="shared" si="8"/>
        <v>5Masonry cavity wall</v>
      </c>
      <c r="F609" s="32" t="s">
        <v>625</v>
      </c>
      <c r="G609" s="32">
        <v>0</v>
      </c>
      <c r="H609" s="32">
        <v>0</v>
      </c>
      <c r="I609" s="32">
        <v>0</v>
      </c>
      <c r="J609" s="32">
        <v>0</v>
      </c>
      <c r="K609" s="32">
        <v>0.25</v>
      </c>
      <c r="AA609"/>
    </row>
    <row r="610" spans="1:27" s="22" customFormat="1" x14ac:dyDescent="0.3">
      <c r="A610" s="22" t="str">
        <f>CONCATENATE(B610,C610,Masonry_cavity_wall_minimum_insulation_R_Value_climate_zone_5117[[#This Row],[Column1]])</f>
        <v>5Masonry cavity wall&gt; 0.5 to ≤ 0.7</v>
      </c>
      <c r="B610" s="22">
        <v>5</v>
      </c>
      <c r="C610" s="22" t="s">
        <v>240</v>
      </c>
      <c r="D610" s="22" t="str">
        <f>CONCATENATE(B610,C610,Masonry_cavity_wall_minimum_insulation_R_Value_climate_zone_5117[[#This Row],[Column1]],Masonry_cavity_wall_minimum_insulation_R_Value_climate_zone_5117[[#This Row],[Column2]])</f>
        <v>5Masonry cavity wall&gt; 0.5 to ≤ 0.7&gt; 0 to ≤ 300</v>
      </c>
      <c r="E610" s="22" t="str">
        <f t="shared" si="8"/>
        <v>5Masonry cavity wall</v>
      </c>
      <c r="F610" s="32" t="s">
        <v>625</v>
      </c>
      <c r="G610" s="32" t="s">
        <v>521</v>
      </c>
      <c r="H610" s="32">
        <v>0</v>
      </c>
      <c r="I610" s="32">
        <v>0</v>
      </c>
      <c r="J610" s="32">
        <v>0.25</v>
      </c>
      <c r="K610" s="32">
        <v>0.25</v>
      </c>
      <c r="AA610"/>
    </row>
    <row r="611" spans="1:27" s="22" customFormat="1" x14ac:dyDescent="0.3">
      <c r="A611" s="22" t="str">
        <f>CONCATENATE(B611,C611,Masonry_cavity_wall_minimum_insulation_R_Value_climate_zone_5117[[#This Row],[Column1]])</f>
        <v>5Masonry cavity wall&gt; 0.5 to ≤ 0.7</v>
      </c>
      <c r="B611" s="22">
        <v>5</v>
      </c>
      <c r="C611" s="22" t="s">
        <v>240</v>
      </c>
      <c r="D611" s="22" t="str">
        <f>CONCATENATE(B611,C611,Masonry_cavity_wall_minimum_insulation_R_Value_climate_zone_5117[[#This Row],[Column1]],Masonry_cavity_wall_minimum_insulation_R_Value_climate_zone_5117[[#This Row],[Column2]])</f>
        <v>5Masonry cavity wall&gt; 0.5 to ≤ 0.7&gt; 300 to ≤ 450</v>
      </c>
      <c r="E611" s="22" t="str">
        <f t="shared" si="8"/>
        <v>5Masonry cavity wall</v>
      </c>
      <c r="F611" s="32" t="s">
        <v>625</v>
      </c>
      <c r="G611" s="32" t="s">
        <v>525</v>
      </c>
      <c r="H611" s="32">
        <v>0</v>
      </c>
      <c r="I611" s="32">
        <v>0</v>
      </c>
      <c r="J611" s="32">
        <v>0.25</v>
      </c>
      <c r="K611" s="32">
        <v>0.25</v>
      </c>
      <c r="AA611"/>
    </row>
    <row r="612" spans="1:27" s="22" customFormat="1" x14ac:dyDescent="0.3">
      <c r="A612" s="22" t="str">
        <f>CONCATENATE(B612,C612,Masonry_cavity_wall_minimum_insulation_R_Value_climate_zone_5117[[#This Row],[Column1]])</f>
        <v>5Masonry cavity wall&gt; 0.5 to ≤ 0.7</v>
      </c>
      <c r="B612" s="22">
        <v>5</v>
      </c>
      <c r="C612" s="22" t="s">
        <v>240</v>
      </c>
      <c r="D612" s="22" t="str">
        <f>CONCATENATE(B612,C612,Masonry_cavity_wall_minimum_insulation_R_Value_climate_zone_5117[[#This Row],[Column1]],Masonry_cavity_wall_minimum_insulation_R_Value_climate_zone_5117[[#This Row],[Column2]])</f>
        <v>5Masonry cavity wall&gt; 0.5 to ≤ 0.7&gt; 450 to ≤ 600</v>
      </c>
      <c r="E612" s="22" t="str">
        <f t="shared" si="8"/>
        <v>5Masonry cavity wall</v>
      </c>
      <c r="F612" s="32" t="s">
        <v>625</v>
      </c>
      <c r="G612" s="32" t="s">
        <v>528</v>
      </c>
      <c r="H612" s="32">
        <v>0.25</v>
      </c>
      <c r="I612" s="32">
        <v>0.25</v>
      </c>
      <c r="J612" s="32">
        <v>0.25</v>
      </c>
      <c r="K612" s="32">
        <v>0.25</v>
      </c>
      <c r="AA612"/>
    </row>
    <row r="613" spans="1:27" s="22" customFormat="1" x14ac:dyDescent="0.3">
      <c r="A613" s="22" t="str">
        <f>CONCATENATE(B613,C613,Masonry_cavity_wall_minimum_insulation_R_Value_climate_zone_5117[[#This Row],[Column1]])</f>
        <v>5Masonry cavity wall&gt; 0.5 to ≤ 0.7</v>
      </c>
      <c r="B613" s="22">
        <v>5</v>
      </c>
      <c r="C613" s="22" t="s">
        <v>240</v>
      </c>
      <c r="D613" s="22" t="str">
        <f>CONCATENATE(B613,C613,Masonry_cavity_wall_minimum_insulation_R_Value_climate_zone_5117[[#This Row],[Column1]],Masonry_cavity_wall_minimum_insulation_R_Value_climate_zone_5117[[#This Row],[Column2]])</f>
        <v>5Masonry cavity wall&gt; 0.5 to ≤ 0.7&gt; 600 to ≤ 900</v>
      </c>
      <c r="E613" s="22" t="str">
        <f t="shared" si="8"/>
        <v>5Masonry cavity wall</v>
      </c>
      <c r="F613" s="32" t="s">
        <v>625</v>
      </c>
      <c r="G613" s="32" t="s">
        <v>531</v>
      </c>
      <c r="H613" s="32">
        <v>0.25</v>
      </c>
      <c r="I613" s="32">
        <v>0.25</v>
      </c>
      <c r="J613" s="32">
        <v>0.25</v>
      </c>
      <c r="K613" s="32">
        <v>0.25</v>
      </c>
      <c r="AA613"/>
    </row>
    <row r="614" spans="1:27" s="22" customFormat="1" x14ac:dyDescent="0.3">
      <c r="A614" s="22" t="str">
        <f>CONCATENATE(B614,C614,Masonry_cavity_wall_minimum_insulation_R_Value_climate_zone_5117[[#This Row],[Column1]])</f>
        <v>5Masonry cavity wall&gt; 0.5 to ≤ 0.7</v>
      </c>
      <c r="B614" s="22">
        <v>5</v>
      </c>
      <c r="C614" s="22" t="s">
        <v>240</v>
      </c>
      <c r="D614" s="22" t="str">
        <f>CONCATENATE(B614,C614,Masonry_cavity_wall_minimum_insulation_R_Value_climate_zone_5117[[#This Row],[Column1]],Masonry_cavity_wall_minimum_insulation_R_Value_climate_zone_5117[[#This Row],[Column2]])</f>
        <v>5Masonry cavity wall&gt; 0.5 to ≤ 0.7&gt; 900 to ≤ 1200</v>
      </c>
      <c r="E614" s="22" t="str">
        <f t="shared" si="8"/>
        <v>5Masonry cavity wall</v>
      </c>
      <c r="F614" s="32" t="s">
        <v>625</v>
      </c>
      <c r="G614" s="32" t="s">
        <v>534</v>
      </c>
      <c r="H614" s="32">
        <v>0.51</v>
      </c>
      <c r="I614" s="32">
        <v>0.25</v>
      </c>
      <c r="J614" s="32">
        <v>0.25</v>
      </c>
      <c r="K614" s="32">
        <v>0.25</v>
      </c>
      <c r="AA614"/>
    </row>
    <row r="615" spans="1:27" s="22" customFormat="1" x14ac:dyDescent="0.3">
      <c r="A615" s="22" t="str">
        <f>CONCATENATE(B615,C615,Masonry_cavity_wall_minimum_insulation_R_Value_climate_zone_5117[[#This Row],[Column1]])</f>
        <v>5Masonry cavity wall&gt; 0.5 to ≤ 0.7</v>
      </c>
      <c r="B615" s="22">
        <v>5</v>
      </c>
      <c r="C615" s="22" t="s">
        <v>240</v>
      </c>
      <c r="D615" s="22" t="str">
        <f>CONCATENATE(B615,C615,Masonry_cavity_wall_minimum_insulation_R_Value_climate_zone_5117[[#This Row],[Column1]],Masonry_cavity_wall_minimum_insulation_R_Value_climate_zone_5117[[#This Row],[Column2]])</f>
        <v>5Masonry cavity wall&gt; 0.5 to ≤ 0.7&gt; 1200 to ≤ 1500</v>
      </c>
      <c r="E615" s="22" t="str">
        <f t="shared" si="8"/>
        <v>5Masonry cavity wall</v>
      </c>
      <c r="F615" s="32" t="s">
        <v>625</v>
      </c>
      <c r="G615" s="32" t="s">
        <v>536</v>
      </c>
      <c r="H615" s="32">
        <v>0.51</v>
      </c>
      <c r="I615" s="32">
        <v>0.51</v>
      </c>
      <c r="J615" s="32">
        <v>0.51</v>
      </c>
      <c r="K615" s="32">
        <v>0.51</v>
      </c>
      <c r="AA615"/>
    </row>
    <row r="616" spans="1:27" s="22" customFormat="1" x14ac:dyDescent="0.3">
      <c r="AA616"/>
    </row>
    <row r="617" spans="1:27" s="22" customFormat="1" x14ac:dyDescent="0.3">
      <c r="F617" s="22" t="s">
        <v>644</v>
      </c>
      <c r="AA617"/>
    </row>
    <row r="618" spans="1:27" s="22" customFormat="1" x14ac:dyDescent="0.3">
      <c r="F618" s="22" t="s">
        <v>645</v>
      </c>
      <c r="AA618"/>
    </row>
    <row r="619" spans="1:27" s="22" customFormat="1" x14ac:dyDescent="0.3">
      <c r="F619" s="708" t="s">
        <v>234</v>
      </c>
      <c r="G619" s="708" t="s">
        <v>140</v>
      </c>
      <c r="H619" s="708" t="s">
        <v>510</v>
      </c>
      <c r="I619" s="708"/>
      <c r="J619" s="708"/>
      <c r="K619" s="708"/>
      <c r="AA619"/>
    </row>
    <row r="620" spans="1:27" s="22" customFormat="1" x14ac:dyDescent="0.3">
      <c r="A620" s="22" t="str">
        <f>E621</f>
        <v>6Masonry veneer walls</v>
      </c>
      <c r="F620" s="708"/>
      <c r="G620" s="708"/>
      <c r="H620" s="708" t="s">
        <v>512</v>
      </c>
      <c r="I620" s="708" t="s">
        <v>513</v>
      </c>
      <c r="J620" s="708" t="s">
        <v>514</v>
      </c>
      <c r="K620" s="708" t="s">
        <v>515</v>
      </c>
      <c r="AA620"/>
    </row>
    <row r="621" spans="1:27" s="22" customFormat="1" x14ac:dyDescent="0.3">
      <c r="A621" s="22" t="str">
        <f>CONCATENATE(B621,C621,Masonry_veneer_wall_minimum_insulation_R_Value_climate_zone_6118[[#This Row],[Column1]])</f>
        <v>6Masonry veneer walls≤ 0.35</v>
      </c>
      <c r="B621" s="22">
        <v>6</v>
      </c>
      <c r="C621" s="22" t="s">
        <v>233</v>
      </c>
      <c r="D621" s="22" t="str">
        <f>CONCATENATE(B621,C621,Masonry_veneer_wall_minimum_insulation_R_Value_climate_zone_6118[[#This Row],[Column1]],Masonry_veneer_wall_minimum_insulation_R_Value_climate_zone_6118[[#This Row],[Column2]])</f>
        <v>6Masonry veneer walls≤ 0.350</v>
      </c>
      <c r="E621" s="22" t="str">
        <f t="shared" si="8"/>
        <v>6Masonry veneer walls</v>
      </c>
      <c r="F621" s="32" t="s">
        <v>623</v>
      </c>
      <c r="G621" s="32">
        <v>0</v>
      </c>
      <c r="H621" s="32">
        <v>2</v>
      </c>
      <c r="I621" s="32">
        <v>2.4</v>
      </c>
      <c r="J621" s="32" t="s">
        <v>321</v>
      </c>
      <c r="K621" s="32" t="s">
        <v>321</v>
      </c>
      <c r="AA621"/>
    </row>
    <row r="622" spans="1:27" s="22" customFormat="1" x14ac:dyDescent="0.3">
      <c r="A622" s="22" t="str">
        <f>CONCATENATE(B622,C622,Masonry_veneer_wall_minimum_insulation_R_Value_climate_zone_6118[[#This Row],[Column1]])</f>
        <v>6Masonry veneer walls≤ 0.35</v>
      </c>
      <c r="B622" s="22">
        <v>6</v>
      </c>
      <c r="C622" s="22" t="s">
        <v>233</v>
      </c>
      <c r="D622" s="22" t="str">
        <f>CONCATENATE(B622,C622,Masonry_veneer_wall_minimum_insulation_R_Value_climate_zone_6118[[#This Row],[Column1]],Masonry_veneer_wall_minimum_insulation_R_Value_climate_zone_6118[[#This Row],[Column2]])</f>
        <v>6Masonry veneer walls≤ 0.35&gt; 0 to ≤ 300</v>
      </c>
      <c r="E622" s="22" t="str">
        <f t="shared" ref="E622:E685" si="9">CONCATENATE(B622,C622)</f>
        <v>6Masonry veneer walls</v>
      </c>
      <c r="F622" s="32" t="s">
        <v>623</v>
      </c>
      <c r="G622" s="32" t="s">
        <v>521</v>
      </c>
      <c r="H622" s="32">
        <v>2.4</v>
      </c>
      <c r="I622" s="32">
        <v>2.4</v>
      </c>
      <c r="J622" s="32" t="s">
        <v>321</v>
      </c>
      <c r="K622" s="32" t="s">
        <v>321</v>
      </c>
      <c r="AA622"/>
    </row>
    <row r="623" spans="1:27" s="22" customFormat="1" x14ac:dyDescent="0.3">
      <c r="A623" s="22" t="str">
        <f>CONCATENATE(B623,C623,Masonry_veneer_wall_minimum_insulation_R_Value_climate_zone_6118[[#This Row],[Column1]])</f>
        <v>6Masonry veneer walls≤ 0.35</v>
      </c>
      <c r="B623" s="22">
        <v>6</v>
      </c>
      <c r="C623" s="22" t="s">
        <v>233</v>
      </c>
      <c r="D623" s="22" t="str">
        <f>CONCATENATE(B623,C623,Masonry_veneer_wall_minimum_insulation_R_Value_climate_zone_6118[[#This Row],[Column1]],Masonry_veneer_wall_minimum_insulation_R_Value_climate_zone_6118[[#This Row],[Column2]])</f>
        <v>6Masonry veneer walls≤ 0.35&gt; 300 to ≤ 450</v>
      </c>
      <c r="E623" s="22" t="str">
        <f t="shared" si="9"/>
        <v>6Masonry veneer walls</v>
      </c>
      <c r="F623" s="32" t="s">
        <v>623</v>
      </c>
      <c r="G623" s="32" t="s">
        <v>525</v>
      </c>
      <c r="H623" s="32">
        <v>2.5</v>
      </c>
      <c r="I623" s="32" t="s">
        <v>321</v>
      </c>
      <c r="J623" s="32" t="s">
        <v>321</v>
      </c>
      <c r="K623" s="32" t="s">
        <v>321</v>
      </c>
      <c r="AA623"/>
    </row>
    <row r="624" spans="1:27" s="22" customFormat="1" x14ac:dyDescent="0.3">
      <c r="A624" s="22" t="str">
        <f>CONCATENATE(B624,C624,Masonry_veneer_wall_minimum_insulation_R_Value_climate_zone_6118[[#This Row],[Column1]])</f>
        <v>6Masonry veneer walls≤ 0.35</v>
      </c>
      <c r="B624" s="22">
        <v>6</v>
      </c>
      <c r="C624" s="22" t="s">
        <v>233</v>
      </c>
      <c r="D624" s="22" t="str">
        <f>CONCATENATE(B624,C624,Masonry_veneer_wall_minimum_insulation_R_Value_climate_zone_6118[[#This Row],[Column1]],Masonry_veneer_wall_minimum_insulation_R_Value_climate_zone_6118[[#This Row],[Column2]])</f>
        <v>6Masonry veneer walls≤ 0.35&gt; 450 to ≤ 600</v>
      </c>
      <c r="E624" s="22" t="str">
        <f t="shared" si="9"/>
        <v>6Masonry veneer walls</v>
      </c>
      <c r="F624" s="32" t="s">
        <v>623</v>
      </c>
      <c r="G624" s="32" t="s">
        <v>528</v>
      </c>
      <c r="H624" s="32" t="s">
        <v>321</v>
      </c>
      <c r="I624" s="32" t="s">
        <v>321</v>
      </c>
      <c r="J624" s="32" t="s">
        <v>321</v>
      </c>
      <c r="K624" s="32" t="s">
        <v>321</v>
      </c>
      <c r="AA624"/>
    </row>
    <row r="625" spans="1:27" s="22" customFormat="1" x14ac:dyDescent="0.3">
      <c r="A625" s="22" t="str">
        <f>CONCATENATE(B625,C625,Masonry_veneer_wall_minimum_insulation_R_Value_climate_zone_6118[[#This Row],[Column1]])</f>
        <v>6Masonry veneer walls≤ 0.35</v>
      </c>
      <c r="B625" s="22">
        <v>6</v>
      </c>
      <c r="C625" s="22" t="s">
        <v>233</v>
      </c>
      <c r="D625" s="22" t="str">
        <f>CONCATENATE(B625,C625,Masonry_veneer_wall_minimum_insulation_R_Value_climate_zone_6118[[#This Row],[Column1]],Masonry_veneer_wall_minimum_insulation_R_Value_climate_zone_6118[[#This Row],[Column2]])</f>
        <v>6Masonry veneer walls≤ 0.35&gt; 600 to ≤ 900</v>
      </c>
      <c r="E625" s="22" t="str">
        <f t="shared" si="9"/>
        <v>6Masonry veneer walls</v>
      </c>
      <c r="F625" s="32" t="s">
        <v>623</v>
      </c>
      <c r="G625" s="32" t="s">
        <v>531</v>
      </c>
      <c r="H625" s="32" t="s">
        <v>321</v>
      </c>
      <c r="I625" s="32" t="s">
        <v>321</v>
      </c>
      <c r="J625" s="32" t="s">
        <v>321</v>
      </c>
      <c r="K625" s="32" t="s">
        <v>321</v>
      </c>
      <c r="AA625"/>
    </row>
    <row r="626" spans="1:27" s="22" customFormat="1" x14ac:dyDescent="0.3">
      <c r="A626" s="22" t="str">
        <f>CONCATENATE(B626,C626,Masonry_veneer_wall_minimum_insulation_R_Value_climate_zone_6118[[#This Row],[Column1]])</f>
        <v>6Masonry veneer walls&gt; 0.35 to ≤ 0.5</v>
      </c>
      <c r="B626" s="22">
        <v>6</v>
      </c>
      <c r="C626" s="22" t="s">
        <v>233</v>
      </c>
      <c r="D626" s="22" t="str">
        <f>CONCATENATE(B626,C626,Masonry_veneer_wall_minimum_insulation_R_Value_climate_zone_6118[[#This Row],[Column1]],Masonry_veneer_wall_minimum_insulation_R_Value_climate_zone_6118[[#This Row],[Column2]])</f>
        <v>6Masonry veneer walls&gt; 0.35 to ≤ 0.50</v>
      </c>
      <c r="E626" s="22" t="str">
        <f t="shared" si="9"/>
        <v>6Masonry veneer walls</v>
      </c>
      <c r="F626" s="32" t="s">
        <v>624</v>
      </c>
      <c r="G626" s="32">
        <v>0</v>
      </c>
      <c r="H626" s="32">
        <v>2</v>
      </c>
      <c r="I626" s="32">
        <v>2.4</v>
      </c>
      <c r="J626" s="32">
        <v>2.5</v>
      </c>
      <c r="K626" s="32" t="s">
        <v>321</v>
      </c>
      <c r="AA626"/>
    </row>
    <row r="627" spans="1:27" s="22" customFormat="1" x14ac:dyDescent="0.3">
      <c r="A627" s="22" t="str">
        <f>CONCATENATE(B627,C627,Masonry_veneer_wall_minimum_insulation_R_Value_climate_zone_6118[[#This Row],[Column1]])</f>
        <v>6Masonry veneer walls&gt; 0.35 to ≤ 0.5</v>
      </c>
      <c r="B627" s="22">
        <v>6</v>
      </c>
      <c r="C627" s="22" t="s">
        <v>233</v>
      </c>
      <c r="D627" s="22" t="str">
        <f>CONCATENATE(B627,C627,Masonry_veneer_wall_minimum_insulation_R_Value_climate_zone_6118[[#This Row],[Column1]],Masonry_veneer_wall_minimum_insulation_R_Value_climate_zone_6118[[#This Row],[Column2]])</f>
        <v>6Masonry veneer walls&gt; 0.35 to ≤ 0.5&gt; 0 to ≤ 300</v>
      </c>
      <c r="E627" s="22" t="str">
        <f t="shared" si="9"/>
        <v>6Masonry veneer walls</v>
      </c>
      <c r="F627" s="32" t="s">
        <v>624</v>
      </c>
      <c r="G627" s="32" t="s">
        <v>521</v>
      </c>
      <c r="H627" s="32">
        <v>2.4</v>
      </c>
      <c r="I627" s="32">
        <v>2.5</v>
      </c>
      <c r="J627" s="32" t="s">
        <v>321</v>
      </c>
      <c r="K627" s="32" t="s">
        <v>321</v>
      </c>
      <c r="AA627"/>
    </row>
    <row r="628" spans="1:27" s="22" customFormat="1" x14ac:dyDescent="0.3">
      <c r="A628" s="22" t="str">
        <f>CONCATENATE(B628,C628,Masonry_veneer_wall_minimum_insulation_R_Value_climate_zone_6118[[#This Row],[Column1]])</f>
        <v>6Masonry veneer walls&gt; 0.35 to ≤ 0.5</v>
      </c>
      <c r="B628" s="22">
        <v>6</v>
      </c>
      <c r="C628" s="22" t="s">
        <v>233</v>
      </c>
      <c r="D628" s="22" t="str">
        <f>CONCATENATE(B628,C628,Masonry_veneer_wall_minimum_insulation_R_Value_climate_zone_6118[[#This Row],[Column1]],Masonry_veneer_wall_minimum_insulation_R_Value_climate_zone_6118[[#This Row],[Column2]])</f>
        <v>6Masonry veneer walls&gt; 0.35 to ≤ 0.5&gt; 300 to ≤ 450</v>
      </c>
      <c r="E628" s="22" t="str">
        <f t="shared" si="9"/>
        <v>6Masonry veneer walls</v>
      </c>
      <c r="F628" s="32" t="s">
        <v>624</v>
      </c>
      <c r="G628" s="32" t="s">
        <v>525</v>
      </c>
      <c r="H628" s="32">
        <v>2.4</v>
      </c>
      <c r="I628" s="32" t="s">
        <v>321</v>
      </c>
      <c r="J628" s="32" t="s">
        <v>321</v>
      </c>
      <c r="K628" s="32" t="s">
        <v>321</v>
      </c>
      <c r="AA628"/>
    </row>
    <row r="629" spans="1:27" s="22" customFormat="1" x14ac:dyDescent="0.3">
      <c r="A629" s="22" t="str">
        <f>CONCATENATE(B629,C629,Masonry_veneer_wall_minimum_insulation_R_Value_climate_zone_6118[[#This Row],[Column1]])</f>
        <v>6Masonry veneer walls&gt; 0.35 to ≤ 0.5</v>
      </c>
      <c r="B629" s="22">
        <v>6</v>
      </c>
      <c r="C629" s="22" t="s">
        <v>233</v>
      </c>
      <c r="D629" s="22" t="str">
        <f>CONCATENATE(B629,C629,Masonry_veneer_wall_minimum_insulation_R_Value_climate_zone_6118[[#This Row],[Column1]],Masonry_veneer_wall_minimum_insulation_R_Value_climate_zone_6118[[#This Row],[Column2]])</f>
        <v>6Masonry veneer walls&gt; 0.35 to ≤ 0.5&gt; 450 to ≤ 600</v>
      </c>
      <c r="E629" s="22" t="str">
        <f t="shared" si="9"/>
        <v>6Masonry veneer walls</v>
      </c>
      <c r="F629" s="32" t="s">
        <v>624</v>
      </c>
      <c r="G629" s="32" t="s">
        <v>528</v>
      </c>
      <c r="H629" s="32" t="s">
        <v>321</v>
      </c>
      <c r="I629" s="32" t="s">
        <v>321</v>
      </c>
      <c r="J629" s="32" t="s">
        <v>321</v>
      </c>
      <c r="K629" s="32" t="s">
        <v>321</v>
      </c>
      <c r="AA629"/>
    </row>
    <row r="630" spans="1:27" s="22" customFormat="1" x14ac:dyDescent="0.3">
      <c r="A630" s="22" t="str">
        <f>CONCATENATE(B630,C630,Masonry_veneer_wall_minimum_insulation_R_Value_climate_zone_6118[[#This Row],[Column1]])</f>
        <v>6Masonry veneer walls&gt; 0.35 to ≤ 0.5</v>
      </c>
      <c r="B630" s="22">
        <v>6</v>
      </c>
      <c r="C630" s="22" t="s">
        <v>233</v>
      </c>
      <c r="D630" s="22" t="str">
        <f>CONCATENATE(B630,C630,Masonry_veneer_wall_minimum_insulation_R_Value_climate_zone_6118[[#This Row],[Column1]],Masonry_veneer_wall_minimum_insulation_R_Value_climate_zone_6118[[#This Row],[Column2]])</f>
        <v>6Masonry veneer walls&gt; 0.35 to ≤ 0.5&gt; 600 to ≤ 900</v>
      </c>
      <c r="E630" s="22" t="str">
        <f t="shared" si="9"/>
        <v>6Masonry veneer walls</v>
      </c>
      <c r="F630" s="32" t="s">
        <v>624</v>
      </c>
      <c r="G630" s="32" t="s">
        <v>531</v>
      </c>
      <c r="H630" s="32" t="s">
        <v>321</v>
      </c>
      <c r="I630" s="32" t="s">
        <v>321</v>
      </c>
      <c r="J630" s="32" t="s">
        <v>321</v>
      </c>
      <c r="K630" s="32" t="s">
        <v>321</v>
      </c>
      <c r="AA630"/>
    </row>
    <row r="631" spans="1:27" s="22" customFormat="1" x14ac:dyDescent="0.3">
      <c r="A631" s="22" t="str">
        <f>CONCATENATE(B631,C631,Masonry_veneer_wall_minimum_insulation_R_Value_climate_zone_6118[[#This Row],[Column1]])</f>
        <v>6Masonry veneer walls&gt; 0.5 to ≤ 0.7</v>
      </c>
      <c r="B631" s="22">
        <v>6</v>
      </c>
      <c r="C631" s="22" t="s">
        <v>233</v>
      </c>
      <c r="D631" s="22" t="str">
        <f>CONCATENATE(B631,C631,Masonry_veneer_wall_minimum_insulation_R_Value_climate_zone_6118[[#This Row],[Column1]],Masonry_veneer_wall_minimum_insulation_R_Value_climate_zone_6118[[#This Row],[Column2]])</f>
        <v>6Masonry veneer walls&gt; 0.5 to ≤ 0.70</v>
      </c>
      <c r="E631" s="22" t="str">
        <f t="shared" si="9"/>
        <v>6Masonry veneer walls</v>
      </c>
      <c r="F631" s="32" t="s">
        <v>625</v>
      </c>
      <c r="G631" s="32">
        <v>0</v>
      </c>
      <c r="H631" s="32">
        <v>2</v>
      </c>
      <c r="I631" s="32">
        <v>2</v>
      </c>
      <c r="J631" s="32">
        <v>2.4</v>
      </c>
      <c r="K631" s="32" t="s">
        <v>321</v>
      </c>
      <c r="AA631"/>
    </row>
    <row r="632" spans="1:27" s="22" customFormat="1" x14ac:dyDescent="0.3">
      <c r="A632" s="22" t="str">
        <f>CONCATENATE(B632,C632,Masonry_veneer_wall_minimum_insulation_R_Value_climate_zone_6118[[#This Row],[Column1]])</f>
        <v>6Masonry veneer walls&gt; 0.5 to ≤ 0.7</v>
      </c>
      <c r="B632" s="22">
        <v>6</v>
      </c>
      <c r="C632" s="22" t="s">
        <v>233</v>
      </c>
      <c r="D632" s="22" t="str">
        <f>CONCATENATE(B632,C632,Masonry_veneer_wall_minimum_insulation_R_Value_climate_zone_6118[[#This Row],[Column1]],Masonry_veneer_wall_minimum_insulation_R_Value_climate_zone_6118[[#This Row],[Column2]])</f>
        <v>6Masonry veneer walls&gt; 0.5 to ≤ 0.7&gt; 0 to ≤ 300</v>
      </c>
      <c r="E632" s="22" t="str">
        <f t="shared" si="9"/>
        <v>6Masonry veneer walls</v>
      </c>
      <c r="F632" s="32" t="s">
        <v>625</v>
      </c>
      <c r="G632" s="32" t="s">
        <v>521</v>
      </c>
      <c r="H632" s="32">
        <v>2</v>
      </c>
      <c r="I632" s="32">
        <v>2.4</v>
      </c>
      <c r="J632" s="32">
        <v>2.5</v>
      </c>
      <c r="K632" s="32" t="s">
        <v>321</v>
      </c>
      <c r="AA632"/>
    </row>
    <row r="633" spans="1:27" s="22" customFormat="1" x14ac:dyDescent="0.3">
      <c r="A633" s="22" t="str">
        <f>CONCATENATE(B633,C633,Masonry_veneer_wall_minimum_insulation_R_Value_climate_zone_6118[[#This Row],[Column1]])</f>
        <v>6Masonry veneer walls&gt; 0.5 to ≤ 0.7</v>
      </c>
      <c r="B633" s="22">
        <v>6</v>
      </c>
      <c r="C633" s="22" t="s">
        <v>233</v>
      </c>
      <c r="D633" s="22" t="str">
        <f>CONCATENATE(B633,C633,Masonry_veneer_wall_minimum_insulation_R_Value_climate_zone_6118[[#This Row],[Column1]],Masonry_veneer_wall_minimum_insulation_R_Value_climate_zone_6118[[#This Row],[Column2]])</f>
        <v>6Masonry veneer walls&gt; 0.5 to ≤ 0.7&gt; 300 to ≤ 450</v>
      </c>
      <c r="E633" s="22" t="str">
        <f t="shared" si="9"/>
        <v>6Masonry veneer walls</v>
      </c>
      <c r="F633" s="32" t="s">
        <v>625</v>
      </c>
      <c r="G633" s="32" t="s">
        <v>525</v>
      </c>
      <c r="H633" s="32">
        <v>2.4</v>
      </c>
      <c r="I633" s="32">
        <v>2.4</v>
      </c>
      <c r="J633" s="32">
        <v>2.5</v>
      </c>
      <c r="K633" s="32" t="s">
        <v>321</v>
      </c>
      <c r="AA633"/>
    </row>
    <row r="634" spans="1:27" s="22" customFormat="1" x14ac:dyDescent="0.3">
      <c r="A634" s="22" t="str">
        <f>CONCATENATE(B634,C634,Masonry_veneer_wall_minimum_insulation_R_Value_climate_zone_6118[[#This Row],[Column1]])</f>
        <v>6Masonry veneer walls&gt; 0.5 to ≤ 0.7</v>
      </c>
      <c r="B634" s="22">
        <v>6</v>
      </c>
      <c r="C634" s="22" t="s">
        <v>233</v>
      </c>
      <c r="D634" s="22" t="str">
        <f>CONCATENATE(B634,C634,Masonry_veneer_wall_minimum_insulation_R_Value_climate_zone_6118[[#This Row],[Column1]],Masonry_veneer_wall_minimum_insulation_R_Value_climate_zone_6118[[#This Row],[Column2]])</f>
        <v>6Masonry veneer walls&gt; 0.5 to ≤ 0.7&gt; 450 to ≤ 600</v>
      </c>
      <c r="E634" s="22" t="str">
        <f t="shared" si="9"/>
        <v>6Masonry veneer walls</v>
      </c>
      <c r="F634" s="32" t="s">
        <v>625</v>
      </c>
      <c r="G634" s="32" t="s">
        <v>528</v>
      </c>
      <c r="H634" s="32">
        <v>2.5</v>
      </c>
      <c r="I634" s="32">
        <v>2.5</v>
      </c>
      <c r="J634" s="32" t="s">
        <v>321</v>
      </c>
      <c r="K634" s="32" t="s">
        <v>321</v>
      </c>
      <c r="AA634"/>
    </row>
    <row r="635" spans="1:27" s="22" customFormat="1" x14ac:dyDescent="0.3">
      <c r="A635" s="22" t="str">
        <f>CONCATENATE(B635,C635,Masonry_veneer_wall_minimum_insulation_R_Value_climate_zone_6118[[#This Row],[Column1]])</f>
        <v>6Masonry veneer walls&gt; 0.5 to ≤ 0.7</v>
      </c>
      <c r="B635" s="22">
        <v>6</v>
      </c>
      <c r="C635" s="22" t="s">
        <v>233</v>
      </c>
      <c r="D635" s="22" t="str">
        <f>CONCATENATE(B635,C635,Masonry_veneer_wall_minimum_insulation_R_Value_climate_zone_6118[[#This Row],[Column1]],Masonry_veneer_wall_minimum_insulation_R_Value_climate_zone_6118[[#This Row],[Column2]])</f>
        <v>6Masonry veneer walls&gt; 0.5 to ≤ 0.7&gt; 600 to ≤ 900</v>
      </c>
      <c r="E635" s="22" t="str">
        <f t="shared" si="9"/>
        <v>6Masonry veneer walls</v>
      </c>
      <c r="F635" s="32" t="s">
        <v>625</v>
      </c>
      <c r="G635" s="32" t="s">
        <v>531</v>
      </c>
      <c r="H635" s="32" t="s">
        <v>321</v>
      </c>
      <c r="I635" s="32" t="s">
        <v>321</v>
      </c>
      <c r="J635" s="32" t="s">
        <v>321</v>
      </c>
      <c r="K635" s="32" t="s">
        <v>321</v>
      </c>
      <c r="AA635"/>
    </row>
    <row r="636" spans="1:27" s="22" customFormat="1" x14ac:dyDescent="0.3">
      <c r="A636" s="22" t="str">
        <f>CONCATENATE(B636,C636,Masonry_veneer_wall_minimum_insulation_R_Value_climate_zone_6118[[#This Row],[Column1]])</f>
        <v>6Masonry veneer walls&gt; 0.7 to ≤ 0.85</v>
      </c>
      <c r="B636" s="22">
        <v>6</v>
      </c>
      <c r="C636" s="22" t="s">
        <v>233</v>
      </c>
      <c r="D636" s="22" t="str">
        <f>CONCATENATE(B636,C636,Masonry_veneer_wall_minimum_insulation_R_Value_climate_zone_6118[[#This Row],[Column1]],Masonry_veneer_wall_minimum_insulation_R_Value_climate_zone_6118[[#This Row],[Column2]])</f>
        <v>6Masonry veneer walls&gt; 0.7 to ≤ 0.850</v>
      </c>
      <c r="E636" s="22" t="str">
        <f t="shared" si="9"/>
        <v>6Masonry veneer walls</v>
      </c>
      <c r="F636" s="32" t="s">
        <v>646</v>
      </c>
      <c r="G636" s="32">
        <v>0</v>
      </c>
      <c r="H636" s="32">
        <v>1.5</v>
      </c>
      <c r="I636" s="32">
        <v>2</v>
      </c>
      <c r="J636" s="32">
        <v>2.4</v>
      </c>
      <c r="K636" s="32" t="s">
        <v>321</v>
      </c>
      <c r="AA636"/>
    </row>
    <row r="637" spans="1:27" s="22" customFormat="1" x14ac:dyDescent="0.3">
      <c r="A637" s="22" t="str">
        <f>CONCATENATE(B637,C637,Masonry_veneer_wall_minimum_insulation_R_Value_climate_zone_6118[[#This Row],[Column1]])</f>
        <v>6Masonry veneer walls&gt; 0.7 to ≤ 0.85</v>
      </c>
      <c r="B637" s="22">
        <v>6</v>
      </c>
      <c r="C637" s="22" t="s">
        <v>233</v>
      </c>
      <c r="D637" s="22" t="str">
        <f>CONCATENATE(B637,C637,Masonry_veneer_wall_minimum_insulation_R_Value_climate_zone_6118[[#This Row],[Column1]],Masonry_veneer_wall_minimum_insulation_R_Value_climate_zone_6118[[#This Row],[Column2]])</f>
        <v>6Masonry veneer walls&gt; 0.7 to ≤ 0.85&gt; 0 to ≤ 300</v>
      </c>
      <c r="E637" s="22" t="str">
        <f t="shared" si="9"/>
        <v>6Masonry veneer walls</v>
      </c>
      <c r="F637" s="32" t="s">
        <v>646</v>
      </c>
      <c r="G637" s="32" t="s">
        <v>521</v>
      </c>
      <c r="H637" s="32">
        <v>2</v>
      </c>
      <c r="I637" s="32">
        <v>2</v>
      </c>
      <c r="J637" s="32">
        <v>2.4</v>
      </c>
      <c r="K637" s="32" t="s">
        <v>321</v>
      </c>
      <c r="AA637"/>
    </row>
    <row r="638" spans="1:27" s="22" customFormat="1" x14ac:dyDescent="0.3">
      <c r="A638" s="22" t="str">
        <f>CONCATENATE(B638,C638,Masonry_veneer_wall_minimum_insulation_R_Value_climate_zone_6118[[#This Row],[Column1]])</f>
        <v>6Masonry veneer walls&gt; 0.7 to ≤ 0.85</v>
      </c>
      <c r="B638" s="22">
        <v>6</v>
      </c>
      <c r="C638" s="22" t="s">
        <v>233</v>
      </c>
      <c r="D638" s="22" t="str">
        <f>CONCATENATE(B638,C638,Masonry_veneer_wall_minimum_insulation_R_Value_climate_zone_6118[[#This Row],[Column1]],Masonry_veneer_wall_minimum_insulation_R_Value_climate_zone_6118[[#This Row],[Column2]])</f>
        <v>6Masonry veneer walls&gt; 0.7 to ≤ 0.85&gt; 300 to ≤ 450</v>
      </c>
      <c r="E638" s="22" t="str">
        <f t="shared" si="9"/>
        <v>6Masonry veneer walls</v>
      </c>
      <c r="F638" s="32" t="s">
        <v>646</v>
      </c>
      <c r="G638" s="32" t="s">
        <v>525</v>
      </c>
      <c r="H638" s="32">
        <v>2.4</v>
      </c>
      <c r="I638" s="32">
        <v>2.4</v>
      </c>
      <c r="J638" s="32">
        <v>2.4</v>
      </c>
      <c r="K638" s="32" t="s">
        <v>321</v>
      </c>
      <c r="AA638"/>
    </row>
    <row r="639" spans="1:27" s="22" customFormat="1" x14ac:dyDescent="0.3">
      <c r="A639" s="22" t="str">
        <f>CONCATENATE(B639,C639,Masonry_veneer_wall_minimum_insulation_R_Value_climate_zone_6118[[#This Row],[Column1]])</f>
        <v>6Masonry veneer walls&gt; 0.7 to ≤ 0.85</v>
      </c>
      <c r="B639" s="22">
        <v>6</v>
      </c>
      <c r="C639" s="22" t="s">
        <v>233</v>
      </c>
      <c r="D639" s="22" t="str">
        <f>CONCATENATE(B639,C639,Masonry_veneer_wall_minimum_insulation_R_Value_climate_zone_6118[[#This Row],[Column1]],Masonry_veneer_wall_minimum_insulation_R_Value_climate_zone_6118[[#This Row],[Column2]])</f>
        <v>6Masonry veneer walls&gt; 0.7 to ≤ 0.85&gt; 450 to ≤ 600</v>
      </c>
      <c r="E639" s="22" t="str">
        <f t="shared" si="9"/>
        <v>6Masonry veneer walls</v>
      </c>
      <c r="F639" s="32" t="s">
        <v>646</v>
      </c>
      <c r="G639" s="32" t="s">
        <v>528</v>
      </c>
      <c r="H639" s="32">
        <v>2.4</v>
      </c>
      <c r="I639" s="32">
        <v>2.4</v>
      </c>
      <c r="J639" s="32">
        <v>2.4</v>
      </c>
      <c r="K639" s="32" t="s">
        <v>321</v>
      </c>
      <c r="AA639"/>
    </row>
    <row r="640" spans="1:27" s="22" customFormat="1" x14ac:dyDescent="0.3">
      <c r="A640" s="22" t="str">
        <f>CONCATENATE(B640,C640,Masonry_veneer_wall_minimum_insulation_R_Value_climate_zone_6118[[#This Row],[Column1]])</f>
        <v>6Masonry veneer walls&gt; 0.7 to ≤ 0.85</v>
      </c>
      <c r="B640" s="22">
        <v>6</v>
      </c>
      <c r="C640" s="22" t="s">
        <v>233</v>
      </c>
      <c r="D640" s="22" t="str">
        <f>CONCATENATE(B640,C640,Masonry_veneer_wall_minimum_insulation_R_Value_climate_zone_6118[[#This Row],[Column1]],Masonry_veneer_wall_minimum_insulation_R_Value_climate_zone_6118[[#This Row],[Column2]])</f>
        <v>6Masonry veneer walls&gt; 0.7 to ≤ 0.85&gt; 600 to ≤ 900</v>
      </c>
      <c r="E640" s="22" t="str">
        <f t="shared" si="9"/>
        <v>6Masonry veneer walls</v>
      </c>
      <c r="F640" s="32" t="s">
        <v>646</v>
      </c>
      <c r="G640" s="32" t="s">
        <v>531</v>
      </c>
      <c r="H640" s="32" t="s">
        <v>321</v>
      </c>
      <c r="I640" s="32" t="s">
        <v>321</v>
      </c>
      <c r="J640" s="32" t="s">
        <v>321</v>
      </c>
      <c r="K640" s="32" t="s">
        <v>321</v>
      </c>
      <c r="AA640"/>
    </row>
    <row r="641" spans="1:27" s="22" customFormat="1" x14ac:dyDescent="0.3">
      <c r="AA641"/>
    </row>
    <row r="642" spans="1:27" s="22" customFormat="1" x14ac:dyDescent="0.3">
      <c r="F642" s="22" t="s">
        <v>647</v>
      </c>
      <c r="AA642"/>
    </row>
    <row r="643" spans="1:27" s="22" customFormat="1" x14ac:dyDescent="0.3">
      <c r="F643" s="22" t="s">
        <v>648</v>
      </c>
      <c r="AA643"/>
    </row>
    <row r="644" spans="1:27" s="22" customFormat="1" x14ac:dyDescent="0.3">
      <c r="F644" s="708" t="s">
        <v>234</v>
      </c>
      <c r="G644" s="708" t="s">
        <v>140</v>
      </c>
      <c r="H644" s="708" t="s">
        <v>510</v>
      </c>
      <c r="I644" s="708"/>
      <c r="J644" s="708"/>
      <c r="K644" s="708"/>
      <c r="AA644"/>
    </row>
    <row r="645" spans="1:27" s="22" customFormat="1" x14ac:dyDescent="0.3">
      <c r="A645" s="22" t="str">
        <f>E646</f>
        <v>6Masonry cavity wall</v>
      </c>
      <c r="F645" s="708"/>
      <c r="G645" s="708"/>
      <c r="H645" s="708" t="s">
        <v>512</v>
      </c>
      <c r="I645" s="708" t="s">
        <v>513</v>
      </c>
      <c r="J645" s="708" t="s">
        <v>514</v>
      </c>
      <c r="K645" s="708" t="s">
        <v>515</v>
      </c>
      <c r="AA645"/>
    </row>
    <row r="646" spans="1:27" s="22" customFormat="1" x14ac:dyDescent="0.3">
      <c r="A646" s="22" t="str">
        <f>CONCATENATE(B646,C646,Masonry_cavity_wall_minimum_insulation_R_Value_climate_zone_6119[[#This Row],[Column1]])</f>
        <v>6Masonry cavity wall≤ 0.35</v>
      </c>
      <c r="B646" s="22">
        <v>6</v>
      </c>
      <c r="C646" s="22" t="s">
        <v>240</v>
      </c>
      <c r="D646" s="22" t="str">
        <f>CONCATENATE(B646,C646,Masonry_cavity_wall_minimum_insulation_R_Value_climate_zone_6119[[#This Row],[Column1]],Masonry_cavity_wall_minimum_insulation_R_Value_climate_zone_6119[[#This Row],[Column2]])</f>
        <v>6Masonry cavity wall≤ 0.350</v>
      </c>
      <c r="E646" s="22" t="str">
        <f t="shared" si="9"/>
        <v>6Masonry cavity wall</v>
      </c>
      <c r="F646" s="32" t="s">
        <v>623</v>
      </c>
      <c r="G646" s="32">
        <v>0</v>
      </c>
      <c r="H646" s="32">
        <v>0.51</v>
      </c>
      <c r="I646" s="32">
        <v>0.62</v>
      </c>
      <c r="J646" s="32">
        <v>1.08</v>
      </c>
      <c r="K646" s="32">
        <v>1.44</v>
      </c>
      <c r="AA646"/>
    </row>
    <row r="647" spans="1:27" s="22" customFormat="1" x14ac:dyDescent="0.3">
      <c r="A647" s="22" t="str">
        <f>CONCATENATE(B647,C647,Masonry_cavity_wall_minimum_insulation_R_Value_climate_zone_6119[[#This Row],[Column1]])</f>
        <v>6Masonry cavity wall≤ 0.35</v>
      </c>
      <c r="B647" s="22">
        <v>6</v>
      </c>
      <c r="C647" s="22" t="s">
        <v>240</v>
      </c>
      <c r="D647" s="22" t="str">
        <f>CONCATENATE(B647,C647,Masonry_cavity_wall_minimum_insulation_R_Value_climate_zone_6119[[#This Row],[Column1]],Masonry_cavity_wall_minimum_insulation_R_Value_climate_zone_6119[[#This Row],[Column2]])</f>
        <v>6Masonry cavity wall≤ 0.35&gt; 0 to ≤ 300</v>
      </c>
      <c r="E647" s="22" t="str">
        <f t="shared" si="9"/>
        <v>6Masonry cavity wall</v>
      </c>
      <c r="F647" s="32" t="s">
        <v>623</v>
      </c>
      <c r="G647" s="32" t="s">
        <v>521</v>
      </c>
      <c r="H647" s="32">
        <v>1.08</v>
      </c>
      <c r="I647" s="32">
        <v>1.08</v>
      </c>
      <c r="J647" s="32">
        <v>1.08</v>
      </c>
      <c r="K647" s="32">
        <v>1.44</v>
      </c>
      <c r="AA647"/>
    </row>
    <row r="648" spans="1:27" s="22" customFormat="1" x14ac:dyDescent="0.3">
      <c r="A648" s="22" t="str">
        <f>CONCATENATE(B648,C648,Masonry_cavity_wall_minimum_insulation_R_Value_climate_zone_6119[[#This Row],[Column1]])</f>
        <v>6Masonry cavity wall≤ 0.35</v>
      </c>
      <c r="B648" s="22">
        <v>6</v>
      </c>
      <c r="C648" s="22" t="s">
        <v>240</v>
      </c>
      <c r="D648" s="22" t="str">
        <f>CONCATENATE(B648,C648,Masonry_cavity_wall_minimum_insulation_R_Value_climate_zone_6119[[#This Row],[Column1]],Masonry_cavity_wall_minimum_insulation_R_Value_climate_zone_6119[[#This Row],[Column2]])</f>
        <v>6Masonry cavity wall≤ 0.35&gt; 300 to ≤ 450</v>
      </c>
      <c r="E648" s="22" t="str">
        <f t="shared" si="9"/>
        <v>6Masonry cavity wall</v>
      </c>
      <c r="F648" s="32" t="s">
        <v>623</v>
      </c>
      <c r="G648" s="32" t="s">
        <v>525</v>
      </c>
      <c r="H648" s="32">
        <v>1.44</v>
      </c>
      <c r="I648" s="32">
        <v>1.08</v>
      </c>
      <c r="J648" s="32">
        <v>1.08</v>
      </c>
      <c r="K648" s="32">
        <v>1.44</v>
      </c>
      <c r="AA648"/>
    </row>
    <row r="649" spans="1:27" s="22" customFormat="1" x14ac:dyDescent="0.3">
      <c r="A649" s="22" t="str">
        <f>CONCATENATE(B649,C649,Masonry_cavity_wall_minimum_insulation_R_Value_climate_zone_6119[[#This Row],[Column1]])</f>
        <v>6Masonry cavity wall≤ 0.35</v>
      </c>
      <c r="B649" s="22">
        <v>6</v>
      </c>
      <c r="C649" s="22" t="s">
        <v>240</v>
      </c>
      <c r="D649" s="22" t="str">
        <f>CONCATENATE(B649,C649,Masonry_cavity_wall_minimum_insulation_R_Value_climate_zone_6119[[#This Row],[Column1]],Masonry_cavity_wall_minimum_insulation_R_Value_climate_zone_6119[[#This Row],[Column2]])</f>
        <v>6Masonry cavity wall≤ 0.35&gt; 450 to ≤ 600</v>
      </c>
      <c r="E649" s="22" t="str">
        <f t="shared" si="9"/>
        <v>6Masonry cavity wall</v>
      </c>
      <c r="F649" s="32" t="s">
        <v>623</v>
      </c>
      <c r="G649" s="32" t="s">
        <v>528</v>
      </c>
      <c r="H649" s="32">
        <v>1.44</v>
      </c>
      <c r="I649" s="32">
        <v>1.44</v>
      </c>
      <c r="J649" s="32">
        <v>1.08</v>
      </c>
      <c r="K649" s="32">
        <v>1.44</v>
      </c>
      <c r="AA649"/>
    </row>
    <row r="650" spans="1:27" s="22" customFormat="1" x14ac:dyDescent="0.3">
      <c r="A650" s="22" t="str">
        <f>CONCATENATE(B650,C650,Masonry_cavity_wall_minimum_insulation_R_Value_climate_zone_6119[[#This Row],[Column1]])</f>
        <v>6Masonry cavity wall≤ 0.35</v>
      </c>
      <c r="B650" s="22">
        <v>6</v>
      </c>
      <c r="C650" s="22" t="s">
        <v>240</v>
      </c>
      <c r="D650" s="22" t="str">
        <f>CONCATENATE(B650,C650,Masonry_cavity_wall_minimum_insulation_R_Value_climate_zone_6119[[#This Row],[Column1]],Masonry_cavity_wall_minimum_insulation_R_Value_climate_zone_6119[[#This Row],[Column2]])</f>
        <v>6Masonry cavity wall≤ 0.35&gt; 600 to ≤ 900</v>
      </c>
      <c r="E650" s="22" t="str">
        <f t="shared" si="9"/>
        <v>6Masonry cavity wall</v>
      </c>
      <c r="F650" s="32" t="s">
        <v>623</v>
      </c>
      <c r="G650" s="32" t="s">
        <v>531</v>
      </c>
      <c r="H650" s="32" t="s">
        <v>321</v>
      </c>
      <c r="I650" s="32" t="s">
        <v>321</v>
      </c>
      <c r="J650" s="32">
        <v>1.44</v>
      </c>
      <c r="K650" s="32" t="s">
        <v>321</v>
      </c>
      <c r="AA650"/>
    </row>
    <row r="651" spans="1:27" s="22" customFormat="1" x14ac:dyDescent="0.3">
      <c r="A651" s="22" t="str">
        <f>CONCATENATE(B651,C651,Masonry_cavity_wall_minimum_insulation_R_Value_climate_zone_6119[[#This Row],[Column1]])</f>
        <v>6Masonry cavity wall≤ 0.35</v>
      </c>
      <c r="B651" s="22">
        <v>6</v>
      </c>
      <c r="C651" s="22" t="s">
        <v>240</v>
      </c>
      <c r="D651" s="22" t="str">
        <f>CONCATENATE(B651,C651,Masonry_cavity_wall_minimum_insulation_R_Value_climate_zone_6119[[#This Row],[Column1]],Masonry_cavity_wall_minimum_insulation_R_Value_climate_zone_6119[[#This Row],[Column2]])</f>
        <v>6Masonry cavity wall≤ 0.35&gt; 900 to ≤ 1200</v>
      </c>
      <c r="E651" s="22" t="str">
        <f t="shared" si="9"/>
        <v>6Masonry cavity wall</v>
      </c>
      <c r="F651" s="32" t="s">
        <v>623</v>
      </c>
      <c r="G651" s="32" t="s">
        <v>534</v>
      </c>
      <c r="H651" s="32" t="s">
        <v>321</v>
      </c>
      <c r="I651" s="32" t="s">
        <v>321</v>
      </c>
      <c r="J651" s="32" t="s">
        <v>321</v>
      </c>
      <c r="K651" s="32" t="s">
        <v>321</v>
      </c>
      <c r="AA651"/>
    </row>
    <row r="652" spans="1:27" s="22" customFormat="1" x14ac:dyDescent="0.3">
      <c r="A652" s="22" t="str">
        <f>CONCATENATE(B652,C652,Masonry_cavity_wall_minimum_insulation_R_Value_climate_zone_6119[[#This Row],[Column1]])</f>
        <v>6Masonry cavity wall&gt; 0.35 to ≤ 0.5</v>
      </c>
      <c r="B652" s="22">
        <v>6</v>
      </c>
      <c r="C652" s="22" t="s">
        <v>240</v>
      </c>
      <c r="D652" s="22" t="str">
        <f>CONCATENATE(B652,C652,Masonry_cavity_wall_minimum_insulation_R_Value_climate_zone_6119[[#This Row],[Column1]],Masonry_cavity_wall_minimum_insulation_R_Value_climate_zone_6119[[#This Row],[Column2]])</f>
        <v>6Masonry cavity wall&gt; 0.35 to ≤ 0.50</v>
      </c>
      <c r="E652" s="22" t="str">
        <f t="shared" si="9"/>
        <v>6Masonry cavity wall</v>
      </c>
      <c r="F652" s="32" t="s">
        <v>624</v>
      </c>
      <c r="G652" s="32">
        <v>0</v>
      </c>
      <c r="H652" s="32">
        <v>0.51</v>
      </c>
      <c r="I652" s="32">
        <v>0.62</v>
      </c>
      <c r="J652" s="32">
        <v>0.75</v>
      </c>
      <c r="K652" s="32">
        <v>1.08</v>
      </c>
      <c r="AA652"/>
    </row>
    <row r="653" spans="1:27" s="22" customFormat="1" x14ac:dyDescent="0.3">
      <c r="A653" s="22" t="str">
        <f>CONCATENATE(B653,C653,Masonry_cavity_wall_minimum_insulation_R_Value_climate_zone_6119[[#This Row],[Column1]])</f>
        <v>6Masonry cavity wall&gt; 0.35 to ≤ 0.5</v>
      </c>
      <c r="B653" s="22">
        <v>6</v>
      </c>
      <c r="C653" s="22" t="s">
        <v>240</v>
      </c>
      <c r="D653" s="22" t="str">
        <f>CONCATENATE(B653,C653,Masonry_cavity_wall_minimum_insulation_R_Value_climate_zone_6119[[#This Row],[Column1]],Masonry_cavity_wall_minimum_insulation_R_Value_climate_zone_6119[[#This Row],[Column2]])</f>
        <v>6Masonry cavity wall&gt; 0.35 to ≤ 0.5&gt; 0 to ≤ 300</v>
      </c>
      <c r="E653" s="22" t="str">
        <f t="shared" si="9"/>
        <v>6Masonry cavity wall</v>
      </c>
      <c r="F653" s="32" t="s">
        <v>624</v>
      </c>
      <c r="G653" s="32" t="s">
        <v>521</v>
      </c>
      <c r="H653" s="32">
        <v>0.75</v>
      </c>
      <c r="I653" s="32">
        <v>0.75</v>
      </c>
      <c r="J653" s="32">
        <v>1.08</v>
      </c>
      <c r="K653" s="32">
        <v>1.44</v>
      </c>
      <c r="AA653"/>
    </row>
    <row r="654" spans="1:27" s="22" customFormat="1" x14ac:dyDescent="0.3">
      <c r="A654" s="22" t="str">
        <f>CONCATENATE(B654,C654,Masonry_cavity_wall_minimum_insulation_R_Value_climate_zone_6119[[#This Row],[Column1]])</f>
        <v>6Masonry cavity wall&gt; 0.35 to ≤ 0.5</v>
      </c>
      <c r="B654" s="22">
        <v>6</v>
      </c>
      <c r="C654" s="22" t="s">
        <v>240</v>
      </c>
      <c r="D654" s="22" t="str">
        <f>CONCATENATE(B654,C654,Masonry_cavity_wall_minimum_insulation_R_Value_climate_zone_6119[[#This Row],[Column1]],Masonry_cavity_wall_minimum_insulation_R_Value_climate_zone_6119[[#This Row],[Column2]])</f>
        <v>6Masonry cavity wall&gt; 0.35 to ≤ 0.5&gt; 300 to ≤ 450</v>
      </c>
      <c r="E654" s="22" t="str">
        <f t="shared" si="9"/>
        <v>6Masonry cavity wall</v>
      </c>
      <c r="F654" s="32" t="s">
        <v>624</v>
      </c>
      <c r="G654" s="32" t="s">
        <v>525</v>
      </c>
      <c r="H654" s="32">
        <v>1.08</v>
      </c>
      <c r="I654" s="32">
        <v>1.08</v>
      </c>
      <c r="J654" s="32">
        <v>1.08</v>
      </c>
      <c r="K654" s="32">
        <v>1.44</v>
      </c>
      <c r="AA654"/>
    </row>
    <row r="655" spans="1:27" s="22" customFormat="1" x14ac:dyDescent="0.3">
      <c r="A655" s="22" t="str">
        <f>CONCATENATE(B655,C655,Masonry_cavity_wall_minimum_insulation_R_Value_climate_zone_6119[[#This Row],[Column1]])</f>
        <v>6Masonry cavity wall&gt; 0.35 to ≤ 0.5</v>
      </c>
      <c r="B655" s="22">
        <v>6</v>
      </c>
      <c r="C655" s="22" t="s">
        <v>240</v>
      </c>
      <c r="D655" s="22" t="str">
        <f>CONCATENATE(B655,C655,Masonry_cavity_wall_minimum_insulation_R_Value_climate_zone_6119[[#This Row],[Column1]],Masonry_cavity_wall_minimum_insulation_R_Value_climate_zone_6119[[#This Row],[Column2]])</f>
        <v>6Masonry cavity wall&gt; 0.35 to ≤ 0.5&gt; 450 to ≤ 600</v>
      </c>
      <c r="E655" s="22" t="str">
        <f t="shared" si="9"/>
        <v>6Masonry cavity wall</v>
      </c>
      <c r="F655" s="32" t="s">
        <v>624</v>
      </c>
      <c r="G655" s="32" t="s">
        <v>528</v>
      </c>
      <c r="H655" s="32">
        <v>1.44</v>
      </c>
      <c r="I655" s="32">
        <v>1.08</v>
      </c>
      <c r="J655" s="32">
        <v>1.08</v>
      </c>
      <c r="K655" s="32">
        <v>1.44</v>
      </c>
      <c r="AA655"/>
    </row>
    <row r="656" spans="1:27" s="22" customFormat="1" x14ac:dyDescent="0.3">
      <c r="A656" s="22" t="str">
        <f>CONCATENATE(B656,C656,Masonry_cavity_wall_minimum_insulation_R_Value_climate_zone_6119[[#This Row],[Column1]])</f>
        <v>6Masonry cavity wall&gt; 0.35 to ≤ 0.5</v>
      </c>
      <c r="B656" s="22">
        <v>6</v>
      </c>
      <c r="C656" s="22" t="s">
        <v>240</v>
      </c>
      <c r="D656" s="22" t="str">
        <f>CONCATENATE(B656,C656,Masonry_cavity_wall_minimum_insulation_R_Value_climate_zone_6119[[#This Row],[Column1]],Masonry_cavity_wall_minimum_insulation_R_Value_climate_zone_6119[[#This Row],[Column2]])</f>
        <v>6Masonry cavity wall&gt; 0.35 to ≤ 0.5&gt; 600 to ≤ 900</v>
      </c>
      <c r="E656" s="22" t="str">
        <f t="shared" si="9"/>
        <v>6Masonry cavity wall</v>
      </c>
      <c r="F656" s="32" t="s">
        <v>624</v>
      </c>
      <c r="G656" s="32" t="s">
        <v>531</v>
      </c>
      <c r="H656" s="32" t="s">
        <v>321</v>
      </c>
      <c r="I656" s="32" t="s">
        <v>321</v>
      </c>
      <c r="J656" s="32">
        <v>1.44</v>
      </c>
      <c r="K656" s="32">
        <v>1.44</v>
      </c>
      <c r="AA656"/>
    </row>
    <row r="657" spans="1:27" s="22" customFormat="1" x14ac:dyDescent="0.3">
      <c r="A657" s="22" t="str">
        <f>CONCATENATE(B657,C657,Masonry_cavity_wall_minimum_insulation_R_Value_climate_zone_6119[[#This Row],[Column1]])</f>
        <v>6Masonry cavity wall&gt; 0.35 to ≤ 0.5</v>
      </c>
      <c r="B657" s="22">
        <v>6</v>
      </c>
      <c r="C657" s="22" t="s">
        <v>240</v>
      </c>
      <c r="D657" s="22" t="str">
        <f>CONCATENATE(B657,C657,Masonry_cavity_wall_minimum_insulation_R_Value_climate_zone_6119[[#This Row],[Column1]],Masonry_cavity_wall_minimum_insulation_R_Value_climate_zone_6119[[#This Row],[Column2]])</f>
        <v>6Masonry cavity wall&gt; 0.35 to ≤ 0.5&gt; 900 to ≤ 1200</v>
      </c>
      <c r="E657" s="22" t="str">
        <f t="shared" si="9"/>
        <v>6Masonry cavity wall</v>
      </c>
      <c r="F657" s="32" t="s">
        <v>624</v>
      </c>
      <c r="G657" s="32" t="s">
        <v>534</v>
      </c>
      <c r="H657" s="32" t="s">
        <v>321</v>
      </c>
      <c r="I657" s="32" t="s">
        <v>321</v>
      </c>
      <c r="J657" s="32" t="s">
        <v>321</v>
      </c>
      <c r="K657" s="32" t="s">
        <v>321</v>
      </c>
      <c r="AA657"/>
    </row>
    <row r="658" spans="1:27" s="22" customFormat="1" x14ac:dyDescent="0.3">
      <c r="A658" s="22" t="str">
        <f>CONCATENATE(B658,C658,Masonry_cavity_wall_minimum_insulation_R_Value_climate_zone_6119[[#This Row],[Column1]])</f>
        <v>6Masonry cavity wall&gt; 0.5 to ≤ 0.7</v>
      </c>
      <c r="B658" s="22">
        <v>6</v>
      </c>
      <c r="C658" s="22" t="s">
        <v>240</v>
      </c>
      <c r="D658" s="22" t="str">
        <f>CONCATENATE(B658,C658,Masonry_cavity_wall_minimum_insulation_R_Value_climate_zone_6119[[#This Row],[Column1]],Masonry_cavity_wall_minimum_insulation_R_Value_climate_zone_6119[[#This Row],[Column2]])</f>
        <v>6Masonry cavity wall&gt; 0.5 to ≤ 0.70</v>
      </c>
      <c r="E658" s="22" t="str">
        <f t="shared" si="9"/>
        <v>6Masonry cavity wall</v>
      </c>
      <c r="F658" s="32" t="s">
        <v>625</v>
      </c>
      <c r="G658" s="32">
        <v>0</v>
      </c>
      <c r="H658" s="32">
        <v>0.25</v>
      </c>
      <c r="I658" s="32">
        <v>0.51</v>
      </c>
      <c r="J658" s="32">
        <v>0.62</v>
      </c>
      <c r="K658" s="32">
        <v>1.08</v>
      </c>
      <c r="AA658"/>
    </row>
    <row r="659" spans="1:27" s="22" customFormat="1" x14ac:dyDescent="0.3">
      <c r="A659" s="22" t="str">
        <f>CONCATENATE(B659,C659,Masonry_cavity_wall_minimum_insulation_R_Value_climate_zone_6119[[#This Row],[Column1]])</f>
        <v>6Masonry cavity wall&gt; 0.5 to ≤ 0.7</v>
      </c>
      <c r="B659" s="22">
        <v>6</v>
      </c>
      <c r="C659" s="22" t="s">
        <v>240</v>
      </c>
      <c r="D659" s="22" t="str">
        <f>CONCATENATE(B659,C659,Masonry_cavity_wall_minimum_insulation_R_Value_climate_zone_6119[[#This Row],[Column1]],Masonry_cavity_wall_minimum_insulation_R_Value_climate_zone_6119[[#This Row],[Column2]])</f>
        <v>6Masonry cavity wall&gt; 0.5 to ≤ 0.7&gt; 0 to ≤ 300</v>
      </c>
      <c r="E659" s="22" t="str">
        <f t="shared" si="9"/>
        <v>6Masonry cavity wall</v>
      </c>
      <c r="F659" s="32" t="s">
        <v>625</v>
      </c>
      <c r="G659" s="32" t="s">
        <v>521</v>
      </c>
      <c r="H659" s="32">
        <v>0.62</v>
      </c>
      <c r="I659" s="32">
        <v>0.62</v>
      </c>
      <c r="J659" s="32">
        <v>0.75</v>
      </c>
      <c r="K659" s="32">
        <v>1.08</v>
      </c>
      <c r="AA659"/>
    </row>
    <row r="660" spans="1:27" s="22" customFormat="1" x14ac:dyDescent="0.3">
      <c r="A660" s="22" t="str">
        <f>CONCATENATE(B660,C660,Masonry_cavity_wall_minimum_insulation_R_Value_climate_zone_6119[[#This Row],[Column1]])</f>
        <v>6Masonry cavity wall&gt; 0.5 to ≤ 0.7</v>
      </c>
      <c r="B660" s="22">
        <v>6</v>
      </c>
      <c r="C660" s="22" t="s">
        <v>240</v>
      </c>
      <c r="D660" s="22" t="str">
        <f>CONCATENATE(B660,C660,Masonry_cavity_wall_minimum_insulation_R_Value_climate_zone_6119[[#This Row],[Column1]],Masonry_cavity_wall_minimum_insulation_R_Value_climate_zone_6119[[#This Row],[Column2]])</f>
        <v>6Masonry cavity wall&gt; 0.5 to ≤ 0.7&gt; 300 to ≤ 450</v>
      </c>
      <c r="E660" s="22" t="str">
        <f t="shared" si="9"/>
        <v>6Masonry cavity wall</v>
      </c>
      <c r="F660" s="32" t="s">
        <v>625</v>
      </c>
      <c r="G660" s="32" t="s">
        <v>525</v>
      </c>
      <c r="H660" s="32">
        <v>1.08</v>
      </c>
      <c r="I660" s="32">
        <v>0.75</v>
      </c>
      <c r="J660" s="32">
        <v>1.08</v>
      </c>
      <c r="K660" s="32">
        <v>1.08</v>
      </c>
      <c r="AA660"/>
    </row>
    <row r="661" spans="1:27" s="22" customFormat="1" x14ac:dyDescent="0.3">
      <c r="A661" s="22" t="str">
        <f>CONCATENATE(B661,C661,Masonry_cavity_wall_minimum_insulation_R_Value_climate_zone_6119[[#This Row],[Column1]])</f>
        <v>6Masonry cavity wall&gt; 0.5 to ≤ 0.7</v>
      </c>
      <c r="B661" s="22">
        <v>6</v>
      </c>
      <c r="C661" s="22" t="s">
        <v>240</v>
      </c>
      <c r="D661" s="22" t="str">
        <f>CONCATENATE(B661,C661,Masonry_cavity_wall_minimum_insulation_R_Value_climate_zone_6119[[#This Row],[Column1]],Masonry_cavity_wall_minimum_insulation_R_Value_climate_zone_6119[[#This Row],[Column2]])</f>
        <v>6Masonry cavity wall&gt; 0.5 to ≤ 0.7&gt; 450 to ≤ 600</v>
      </c>
      <c r="E661" s="22" t="str">
        <f t="shared" si="9"/>
        <v>6Masonry cavity wall</v>
      </c>
      <c r="F661" s="32" t="s">
        <v>625</v>
      </c>
      <c r="G661" s="32" t="s">
        <v>528</v>
      </c>
      <c r="H661" s="32">
        <v>1.44</v>
      </c>
      <c r="I661" s="32">
        <v>1.08</v>
      </c>
      <c r="J661" s="32">
        <v>1.08</v>
      </c>
      <c r="K661" s="32">
        <v>1.08</v>
      </c>
      <c r="AA661"/>
    </row>
    <row r="662" spans="1:27" s="22" customFormat="1" x14ac:dyDescent="0.3">
      <c r="A662" s="22" t="str">
        <f>CONCATENATE(B662,C662,Masonry_cavity_wall_minimum_insulation_R_Value_climate_zone_6119[[#This Row],[Column1]])</f>
        <v>6Masonry cavity wall&gt; 0.5 to ≤ 0.7</v>
      </c>
      <c r="B662" s="22">
        <v>6</v>
      </c>
      <c r="C662" s="22" t="s">
        <v>240</v>
      </c>
      <c r="D662" s="22" t="str">
        <f>CONCATENATE(B662,C662,Masonry_cavity_wall_minimum_insulation_R_Value_climate_zone_6119[[#This Row],[Column1]],Masonry_cavity_wall_minimum_insulation_R_Value_climate_zone_6119[[#This Row],[Column2]])</f>
        <v>6Masonry cavity wall&gt; 0.5 to ≤ 0.7&gt; 600 to ≤ 900</v>
      </c>
      <c r="E662" s="22" t="str">
        <f t="shared" si="9"/>
        <v>6Masonry cavity wall</v>
      </c>
      <c r="F662" s="32" t="s">
        <v>625</v>
      </c>
      <c r="G662" s="32" t="s">
        <v>531</v>
      </c>
      <c r="H662" s="32" t="s">
        <v>321</v>
      </c>
      <c r="I662" s="32">
        <v>1.44</v>
      </c>
      <c r="J662" s="32">
        <v>1.44</v>
      </c>
      <c r="K662" s="32">
        <v>1.44</v>
      </c>
      <c r="AA662"/>
    </row>
    <row r="663" spans="1:27" s="22" customFormat="1" x14ac:dyDescent="0.3">
      <c r="A663" s="22" t="str">
        <f>CONCATENATE(B663,C663,Masonry_cavity_wall_minimum_insulation_R_Value_climate_zone_6119[[#This Row],[Column1]])</f>
        <v>6Masonry cavity wall&gt; 0.5 to ≤ 0.7</v>
      </c>
      <c r="B663" s="22">
        <v>6</v>
      </c>
      <c r="C663" s="22" t="s">
        <v>240</v>
      </c>
      <c r="D663" s="22" t="str">
        <f>CONCATENATE(B663,C663,Masonry_cavity_wall_minimum_insulation_R_Value_climate_zone_6119[[#This Row],[Column1]],Masonry_cavity_wall_minimum_insulation_R_Value_climate_zone_6119[[#This Row],[Column2]])</f>
        <v>6Masonry cavity wall&gt; 0.5 to ≤ 0.7&gt; 900 to ≤ 1200</v>
      </c>
      <c r="E663" s="22" t="str">
        <f t="shared" si="9"/>
        <v>6Masonry cavity wall</v>
      </c>
      <c r="F663" s="32" t="s">
        <v>625</v>
      </c>
      <c r="G663" s="32" t="s">
        <v>534</v>
      </c>
      <c r="H663" s="32" t="s">
        <v>321</v>
      </c>
      <c r="I663" s="32" t="s">
        <v>321</v>
      </c>
      <c r="J663" s="32" t="s">
        <v>321</v>
      </c>
      <c r="K663" s="32">
        <v>1.44</v>
      </c>
      <c r="AA663"/>
    </row>
    <row r="664" spans="1:27" s="22" customFormat="1" x14ac:dyDescent="0.3">
      <c r="A664" s="22" t="str">
        <f>CONCATENATE(B664,C664,Masonry_cavity_wall_minimum_insulation_R_Value_climate_zone_6119[[#This Row],[Column1]])</f>
        <v>6Masonry cavity wall&gt; 0.7 to ≤ 0.85</v>
      </c>
      <c r="B664" s="22">
        <v>6</v>
      </c>
      <c r="C664" s="22" t="s">
        <v>240</v>
      </c>
      <c r="D664" s="22" t="str">
        <f>CONCATENATE(B664,C664,Masonry_cavity_wall_minimum_insulation_R_Value_climate_zone_6119[[#This Row],[Column1]],Masonry_cavity_wall_minimum_insulation_R_Value_climate_zone_6119[[#This Row],[Column2]])</f>
        <v>6Masonry cavity wall&gt; 0.7 to ≤ 0.850</v>
      </c>
      <c r="E664" s="22" t="str">
        <f t="shared" si="9"/>
        <v>6Masonry cavity wall</v>
      </c>
      <c r="F664" s="32" t="s">
        <v>646</v>
      </c>
      <c r="G664" s="32">
        <v>0</v>
      </c>
      <c r="H664" s="32">
        <v>0.25</v>
      </c>
      <c r="I664" s="32">
        <v>0.51</v>
      </c>
      <c r="J664" s="32">
        <v>0.51</v>
      </c>
      <c r="K664" s="32">
        <v>1.08</v>
      </c>
      <c r="AA664"/>
    </row>
    <row r="665" spans="1:27" s="22" customFormat="1" x14ac:dyDescent="0.3">
      <c r="A665" s="22" t="str">
        <f>CONCATENATE(B665,C665,Masonry_cavity_wall_minimum_insulation_R_Value_climate_zone_6119[[#This Row],[Column1]])</f>
        <v>6Masonry cavity wall&gt; 0.7 to ≤ 0.85</v>
      </c>
      <c r="B665" s="22">
        <v>6</v>
      </c>
      <c r="C665" s="22" t="s">
        <v>240</v>
      </c>
      <c r="D665" s="22" t="str">
        <f>CONCATENATE(B665,C665,Masonry_cavity_wall_minimum_insulation_R_Value_climate_zone_6119[[#This Row],[Column1]],Masonry_cavity_wall_minimum_insulation_R_Value_climate_zone_6119[[#This Row],[Column2]])</f>
        <v>6Masonry cavity wall&gt; 0.7 to ≤ 0.85&gt; 0 to ≤ 300</v>
      </c>
      <c r="E665" s="22" t="str">
        <f t="shared" si="9"/>
        <v>6Masonry cavity wall</v>
      </c>
      <c r="F665" s="32" t="s">
        <v>646</v>
      </c>
      <c r="G665" s="32" t="s">
        <v>521</v>
      </c>
      <c r="H665" s="32">
        <v>0.62</v>
      </c>
      <c r="I665" s="32">
        <v>0.51</v>
      </c>
      <c r="J665" s="32">
        <v>0.75</v>
      </c>
      <c r="K665" s="32">
        <v>1.08</v>
      </c>
      <c r="AA665"/>
    </row>
    <row r="666" spans="1:27" s="22" customFormat="1" x14ac:dyDescent="0.3">
      <c r="A666" s="22" t="str">
        <f>CONCATENATE(B666,C666,Masonry_cavity_wall_minimum_insulation_R_Value_climate_zone_6119[[#This Row],[Column1]])</f>
        <v>6Masonry cavity wall&gt; 0.7 to ≤ 0.85</v>
      </c>
      <c r="B666" s="22">
        <v>6</v>
      </c>
      <c r="C666" s="22" t="s">
        <v>240</v>
      </c>
      <c r="D666" s="22" t="str">
        <f>CONCATENATE(B666,C666,Masonry_cavity_wall_minimum_insulation_R_Value_climate_zone_6119[[#This Row],[Column1]],Masonry_cavity_wall_minimum_insulation_R_Value_climate_zone_6119[[#This Row],[Column2]])</f>
        <v>6Masonry cavity wall&gt; 0.7 to ≤ 0.85&gt; 300 to ≤ 450</v>
      </c>
      <c r="E666" s="22" t="str">
        <f t="shared" si="9"/>
        <v>6Masonry cavity wall</v>
      </c>
      <c r="F666" s="32" t="s">
        <v>646</v>
      </c>
      <c r="G666" s="32" t="s">
        <v>525</v>
      </c>
      <c r="H666" s="32">
        <v>1.08</v>
      </c>
      <c r="I666" s="32">
        <v>0.62</v>
      </c>
      <c r="J666" s="32">
        <v>0.75</v>
      </c>
      <c r="K666" s="32">
        <v>1.08</v>
      </c>
      <c r="AA666"/>
    </row>
    <row r="667" spans="1:27" s="22" customFormat="1" x14ac:dyDescent="0.3">
      <c r="A667" s="22" t="str">
        <f>CONCATENATE(B667,C667,Masonry_cavity_wall_minimum_insulation_R_Value_climate_zone_6119[[#This Row],[Column1]])</f>
        <v>6Masonry cavity wall&gt; 0.7 to ≤ 0.85</v>
      </c>
      <c r="B667" s="22">
        <v>6</v>
      </c>
      <c r="C667" s="22" t="s">
        <v>240</v>
      </c>
      <c r="D667" s="22" t="str">
        <f>CONCATENATE(B667,C667,Masonry_cavity_wall_minimum_insulation_R_Value_climate_zone_6119[[#This Row],[Column1]],Masonry_cavity_wall_minimum_insulation_R_Value_climate_zone_6119[[#This Row],[Column2]])</f>
        <v>6Masonry cavity wall&gt; 0.7 to ≤ 0.85&gt; 450 to ≤ 600</v>
      </c>
      <c r="E667" s="22" t="str">
        <f t="shared" si="9"/>
        <v>6Masonry cavity wall</v>
      </c>
      <c r="F667" s="32" t="s">
        <v>646</v>
      </c>
      <c r="G667" s="32" t="s">
        <v>528</v>
      </c>
      <c r="H667" s="32">
        <v>1.08</v>
      </c>
      <c r="I667" s="32">
        <v>1.08</v>
      </c>
      <c r="J667" s="32">
        <v>1.08</v>
      </c>
      <c r="K667" s="32">
        <v>1.08</v>
      </c>
      <c r="AA667"/>
    </row>
    <row r="668" spans="1:27" s="22" customFormat="1" x14ac:dyDescent="0.3">
      <c r="A668" s="22" t="str">
        <f>CONCATENATE(B668,C668,Masonry_cavity_wall_minimum_insulation_R_Value_climate_zone_6119[[#This Row],[Column1]])</f>
        <v>6Masonry cavity wall&gt; 0.7 to ≤ 0.85</v>
      </c>
      <c r="B668" s="22">
        <v>6</v>
      </c>
      <c r="C668" s="22" t="s">
        <v>240</v>
      </c>
      <c r="D668" s="22" t="str">
        <f>CONCATENATE(B668,C668,Masonry_cavity_wall_minimum_insulation_R_Value_climate_zone_6119[[#This Row],[Column1]],Masonry_cavity_wall_minimum_insulation_R_Value_climate_zone_6119[[#This Row],[Column2]])</f>
        <v>6Masonry cavity wall&gt; 0.7 to ≤ 0.85&gt; 600 to ≤ 900</v>
      </c>
      <c r="E668" s="22" t="str">
        <f t="shared" si="9"/>
        <v>6Masonry cavity wall</v>
      </c>
      <c r="F668" s="32" t="s">
        <v>646</v>
      </c>
      <c r="G668" s="32" t="s">
        <v>531</v>
      </c>
      <c r="H668" s="32" t="s">
        <v>321</v>
      </c>
      <c r="I668" s="32">
        <v>1.44</v>
      </c>
      <c r="J668" s="32">
        <v>1.08</v>
      </c>
      <c r="K668" s="32">
        <v>1.44</v>
      </c>
      <c r="AA668"/>
    </row>
    <row r="669" spans="1:27" s="22" customFormat="1" x14ac:dyDescent="0.3">
      <c r="A669" s="22" t="str">
        <f>CONCATENATE(B669,C669,Masonry_cavity_wall_minimum_insulation_R_Value_climate_zone_6119[[#This Row],[Column1]])</f>
        <v>6Masonry cavity wall&gt; 0.7 to ≤ 0.85</v>
      </c>
      <c r="B669" s="22">
        <v>6</v>
      </c>
      <c r="C669" s="22" t="s">
        <v>240</v>
      </c>
      <c r="D669" s="22" t="str">
        <f>CONCATENATE(B669,C669,Masonry_cavity_wall_minimum_insulation_R_Value_climate_zone_6119[[#This Row],[Column1]],Masonry_cavity_wall_minimum_insulation_R_Value_climate_zone_6119[[#This Row],[Column2]])</f>
        <v>6Masonry cavity wall&gt; 0.7 to ≤ 0.85&gt; 900 to ≤ 1200</v>
      </c>
      <c r="E669" s="22" t="str">
        <f t="shared" si="9"/>
        <v>6Masonry cavity wall</v>
      </c>
      <c r="F669" s="32" t="s">
        <v>646</v>
      </c>
      <c r="G669" s="32" t="s">
        <v>534</v>
      </c>
      <c r="H669" s="32" t="s">
        <v>321</v>
      </c>
      <c r="I669" s="32" t="s">
        <v>321</v>
      </c>
      <c r="J669" s="32">
        <v>1.44</v>
      </c>
      <c r="K669" s="32">
        <v>1.44</v>
      </c>
      <c r="AA669"/>
    </row>
    <row r="670" spans="1:27" s="22" customFormat="1" x14ac:dyDescent="0.3">
      <c r="AA670"/>
    </row>
    <row r="671" spans="1:27" s="22" customFormat="1" x14ac:dyDescent="0.3">
      <c r="F671" s="22" t="s">
        <v>649</v>
      </c>
      <c r="AA671"/>
    </row>
    <row r="672" spans="1:27" s="22" customFormat="1" x14ac:dyDescent="0.3">
      <c r="F672" s="22" t="s">
        <v>650</v>
      </c>
      <c r="AA672"/>
    </row>
    <row r="673" spans="1:27" s="22" customFormat="1" x14ac:dyDescent="0.3">
      <c r="F673" s="708" t="s">
        <v>234</v>
      </c>
      <c r="G673" s="708" t="s">
        <v>140</v>
      </c>
      <c r="H673" s="708" t="s">
        <v>510</v>
      </c>
      <c r="I673" s="708"/>
      <c r="J673" s="708"/>
      <c r="K673" s="708"/>
      <c r="AA673"/>
    </row>
    <row r="674" spans="1:27" s="22" customFormat="1" x14ac:dyDescent="0.3">
      <c r="A674" s="22" t="str">
        <f>E675</f>
        <v>7Masonry veneer walls</v>
      </c>
      <c r="F674" s="708"/>
      <c r="G674" s="708"/>
      <c r="H674" s="708" t="s">
        <v>512</v>
      </c>
      <c r="I674" s="708" t="s">
        <v>513</v>
      </c>
      <c r="J674" s="708" t="s">
        <v>514</v>
      </c>
      <c r="K674" s="708" t="s">
        <v>515</v>
      </c>
      <c r="AA674"/>
    </row>
    <row r="675" spans="1:27" s="22" customFormat="1" x14ac:dyDescent="0.3">
      <c r="A675" s="22" t="str">
        <f>CONCATENATE(B675,C675,Masonry_veneer_wall_minimum_insulation_R_Value_climate_zone_7120[[#This Row],[Column1]])</f>
        <v>7Masonry veneer walls≤ 0.35</v>
      </c>
      <c r="B675" s="22">
        <v>7</v>
      </c>
      <c r="C675" s="22" t="s">
        <v>233</v>
      </c>
      <c r="D675" s="22" t="str">
        <f>CONCATENATE(B675,C675,Masonry_veneer_wall_minimum_insulation_R_Value_climate_zone_7120[[#This Row],[Column1]],Masonry_veneer_wall_minimum_insulation_R_Value_climate_zone_7120[[#This Row],[Column2]])</f>
        <v>7Masonry veneer walls≤ 0.350</v>
      </c>
      <c r="E675" s="22" t="str">
        <f t="shared" si="9"/>
        <v>7Masonry veneer walls</v>
      </c>
      <c r="F675" s="32" t="s">
        <v>623</v>
      </c>
      <c r="G675" s="32">
        <v>0</v>
      </c>
      <c r="H675" s="32">
        <v>1.5</v>
      </c>
      <c r="I675" s="32">
        <v>1.5</v>
      </c>
      <c r="J675" s="32">
        <v>1.5</v>
      </c>
      <c r="K675" s="32">
        <v>2.4</v>
      </c>
      <c r="AA675"/>
    </row>
    <row r="676" spans="1:27" s="22" customFormat="1" x14ac:dyDescent="0.3">
      <c r="A676" s="22" t="str">
        <f>CONCATENATE(B676,C676,Masonry_veneer_wall_minimum_insulation_R_Value_climate_zone_7120[[#This Row],[Column1]])</f>
        <v>7Masonry veneer walls≤ 0.35</v>
      </c>
      <c r="B676" s="22">
        <v>7</v>
      </c>
      <c r="C676" s="22" t="s">
        <v>233</v>
      </c>
      <c r="D676" s="22" t="str">
        <f>CONCATENATE(B676,C676,Masonry_veneer_wall_minimum_insulation_R_Value_climate_zone_7120[[#This Row],[Column1]],Masonry_veneer_wall_minimum_insulation_R_Value_climate_zone_7120[[#This Row],[Column2]])</f>
        <v>7Masonry veneer walls≤ 0.35&gt; 0 to ≤ 300</v>
      </c>
      <c r="E676" s="22" t="str">
        <f t="shared" si="9"/>
        <v>7Masonry veneer walls</v>
      </c>
      <c r="F676" s="32" t="s">
        <v>623</v>
      </c>
      <c r="G676" s="32" t="s">
        <v>521</v>
      </c>
      <c r="H676" s="32">
        <v>2</v>
      </c>
      <c r="I676" s="32">
        <v>1.5</v>
      </c>
      <c r="J676" s="32">
        <v>2</v>
      </c>
      <c r="K676" s="32">
        <v>2.4</v>
      </c>
      <c r="AA676"/>
    </row>
    <row r="677" spans="1:27" s="22" customFormat="1" x14ac:dyDescent="0.3">
      <c r="A677" s="22" t="str">
        <f>CONCATENATE(B677,C677,Masonry_veneer_wall_minimum_insulation_R_Value_climate_zone_7120[[#This Row],[Column1]])</f>
        <v>7Masonry veneer walls≤ 0.35</v>
      </c>
      <c r="B677" s="22">
        <v>7</v>
      </c>
      <c r="C677" s="22" t="s">
        <v>233</v>
      </c>
      <c r="D677" s="22" t="str">
        <f>CONCATENATE(B677,C677,Masonry_veneer_wall_minimum_insulation_R_Value_climate_zone_7120[[#This Row],[Column1]],Masonry_veneer_wall_minimum_insulation_R_Value_climate_zone_7120[[#This Row],[Column2]])</f>
        <v>7Masonry veneer walls≤ 0.35&gt; 300 to ≤ 450</v>
      </c>
      <c r="E677" s="22" t="str">
        <f t="shared" si="9"/>
        <v>7Masonry veneer walls</v>
      </c>
      <c r="F677" s="32" t="s">
        <v>623</v>
      </c>
      <c r="G677" s="32" t="s">
        <v>525</v>
      </c>
      <c r="H677" s="32">
        <v>2.4</v>
      </c>
      <c r="I677" s="32">
        <v>2</v>
      </c>
      <c r="J677" s="32">
        <v>2</v>
      </c>
      <c r="K677" s="32">
        <v>2.4</v>
      </c>
      <c r="AA677"/>
    </row>
    <row r="678" spans="1:27" s="22" customFormat="1" x14ac:dyDescent="0.3">
      <c r="A678" s="22" t="str">
        <f>CONCATENATE(B678,C678,Masonry_veneer_wall_minimum_insulation_R_Value_climate_zone_7120[[#This Row],[Column1]])</f>
        <v>7Masonry veneer walls≤ 0.35</v>
      </c>
      <c r="B678" s="22">
        <v>7</v>
      </c>
      <c r="C678" s="22" t="s">
        <v>233</v>
      </c>
      <c r="D678" s="22" t="str">
        <f>CONCATENATE(B678,C678,Masonry_veneer_wall_minimum_insulation_R_Value_climate_zone_7120[[#This Row],[Column1]],Masonry_veneer_wall_minimum_insulation_R_Value_climate_zone_7120[[#This Row],[Column2]])</f>
        <v>7Masonry veneer walls≤ 0.35&gt; 450 to ≤ 600</v>
      </c>
      <c r="E678" s="22" t="str">
        <f t="shared" si="9"/>
        <v>7Masonry veneer walls</v>
      </c>
      <c r="F678" s="32" t="s">
        <v>623</v>
      </c>
      <c r="G678" s="32" t="s">
        <v>528</v>
      </c>
      <c r="H678" s="32" t="s">
        <v>321</v>
      </c>
      <c r="I678" s="32">
        <v>2.4</v>
      </c>
      <c r="J678" s="32">
        <v>2</v>
      </c>
      <c r="K678" s="32">
        <v>2.4</v>
      </c>
      <c r="AA678"/>
    </row>
    <row r="679" spans="1:27" s="22" customFormat="1" x14ac:dyDescent="0.3">
      <c r="A679" s="22" t="str">
        <f>CONCATENATE(B679,C679,Masonry_veneer_wall_minimum_insulation_R_Value_climate_zone_7120[[#This Row],[Column1]])</f>
        <v>7Masonry veneer walls≤ 0.35</v>
      </c>
      <c r="B679" s="22">
        <v>7</v>
      </c>
      <c r="C679" s="22" t="s">
        <v>233</v>
      </c>
      <c r="D679" s="22" t="str">
        <f>CONCATENATE(B679,C679,Masonry_veneer_wall_minimum_insulation_R_Value_climate_zone_7120[[#This Row],[Column1]],Masonry_veneer_wall_minimum_insulation_R_Value_climate_zone_7120[[#This Row],[Column2]])</f>
        <v>7Masonry veneer walls≤ 0.35&gt; 600 to ≤ 900</v>
      </c>
      <c r="E679" s="22" t="str">
        <f t="shared" si="9"/>
        <v>7Masonry veneer walls</v>
      </c>
      <c r="F679" s="32" t="s">
        <v>623</v>
      </c>
      <c r="G679" s="32" t="s">
        <v>531</v>
      </c>
      <c r="H679" s="32" t="s">
        <v>321</v>
      </c>
      <c r="I679" s="32" t="s">
        <v>321</v>
      </c>
      <c r="J679" s="32" t="s">
        <v>321</v>
      </c>
      <c r="K679" s="32" t="s">
        <v>321</v>
      </c>
      <c r="AA679"/>
    </row>
    <row r="680" spans="1:27" s="22" customFormat="1" x14ac:dyDescent="0.3">
      <c r="A680" s="22" t="str">
        <f>CONCATENATE(B680,C680,Masonry_veneer_wall_minimum_insulation_R_Value_climate_zone_7120[[#This Row],[Column1]])</f>
        <v>7Masonry veneer walls≤ 0.35</v>
      </c>
      <c r="B680" s="22">
        <v>7</v>
      </c>
      <c r="C680" s="22" t="s">
        <v>233</v>
      </c>
      <c r="D680" s="22" t="str">
        <f>CONCATENATE(B680,C680,Masonry_veneer_wall_minimum_insulation_R_Value_climate_zone_7120[[#This Row],[Column1]],Masonry_veneer_wall_minimum_insulation_R_Value_climate_zone_7120[[#This Row],[Column2]])</f>
        <v>7Masonry veneer walls≤ 0.35&gt; 900 to ≤ 1200</v>
      </c>
      <c r="E680" s="22" t="str">
        <f t="shared" si="9"/>
        <v>7Masonry veneer walls</v>
      </c>
      <c r="F680" s="32" t="s">
        <v>623</v>
      </c>
      <c r="G680" s="32" t="s">
        <v>534</v>
      </c>
      <c r="H680" s="32" t="s">
        <v>321</v>
      </c>
      <c r="I680" s="32" t="s">
        <v>321</v>
      </c>
      <c r="J680" s="32" t="s">
        <v>321</v>
      </c>
      <c r="K680" s="32" t="s">
        <v>321</v>
      </c>
      <c r="AA680"/>
    </row>
    <row r="681" spans="1:27" s="22" customFormat="1" x14ac:dyDescent="0.3">
      <c r="A681" s="22" t="str">
        <f>CONCATENATE(B681,C681,Masonry_veneer_wall_minimum_insulation_R_Value_climate_zone_7120[[#This Row],[Column1]])</f>
        <v>7Masonry veneer walls&gt; 0.35 to ≤ 0.5</v>
      </c>
      <c r="B681" s="22">
        <v>7</v>
      </c>
      <c r="C681" s="22" t="s">
        <v>233</v>
      </c>
      <c r="D681" s="22" t="str">
        <f>CONCATENATE(B681,C681,Masonry_veneer_wall_minimum_insulation_R_Value_climate_zone_7120[[#This Row],[Column1]],Masonry_veneer_wall_minimum_insulation_R_Value_climate_zone_7120[[#This Row],[Column2]])</f>
        <v>7Masonry veneer walls&gt; 0.35 to ≤ 0.50</v>
      </c>
      <c r="E681" s="22" t="str">
        <f t="shared" si="9"/>
        <v>7Masonry veneer walls</v>
      </c>
      <c r="F681" s="32" t="s">
        <v>624</v>
      </c>
      <c r="G681" s="32">
        <v>0</v>
      </c>
      <c r="H681" s="32">
        <v>1.5</v>
      </c>
      <c r="I681" s="32">
        <v>1.5</v>
      </c>
      <c r="J681" s="32">
        <v>1.5</v>
      </c>
      <c r="K681" s="32">
        <v>2</v>
      </c>
      <c r="AA681"/>
    </row>
    <row r="682" spans="1:27" s="22" customFormat="1" x14ac:dyDescent="0.3">
      <c r="A682" s="22" t="str">
        <f>CONCATENATE(B682,C682,Masonry_veneer_wall_minimum_insulation_R_Value_climate_zone_7120[[#This Row],[Column1]])</f>
        <v>7Masonry veneer walls&gt; 0.35 to ≤ 0.5</v>
      </c>
      <c r="B682" s="22">
        <v>7</v>
      </c>
      <c r="C682" s="22" t="s">
        <v>233</v>
      </c>
      <c r="D682" s="22" t="str">
        <f>CONCATENATE(B682,C682,Masonry_veneer_wall_minimum_insulation_R_Value_climate_zone_7120[[#This Row],[Column1]],Masonry_veneer_wall_minimum_insulation_R_Value_climate_zone_7120[[#This Row],[Column2]])</f>
        <v>7Masonry veneer walls&gt; 0.35 to ≤ 0.5&gt; 0 to ≤ 300</v>
      </c>
      <c r="E682" s="22" t="str">
        <f t="shared" si="9"/>
        <v>7Masonry veneer walls</v>
      </c>
      <c r="F682" s="32" t="s">
        <v>624</v>
      </c>
      <c r="G682" s="32" t="s">
        <v>521</v>
      </c>
      <c r="H682" s="32">
        <v>1.5</v>
      </c>
      <c r="I682" s="32">
        <v>1.5</v>
      </c>
      <c r="J682" s="32">
        <v>2</v>
      </c>
      <c r="K682" s="32">
        <v>2.4</v>
      </c>
      <c r="AA682"/>
    </row>
    <row r="683" spans="1:27" s="22" customFormat="1" x14ac:dyDescent="0.3">
      <c r="A683" s="22" t="str">
        <f>CONCATENATE(B683,C683,Masonry_veneer_wall_minimum_insulation_R_Value_climate_zone_7120[[#This Row],[Column1]])</f>
        <v>7Masonry veneer walls&gt; 0.35 to ≤ 0.5</v>
      </c>
      <c r="B683" s="22">
        <v>7</v>
      </c>
      <c r="C683" s="22" t="s">
        <v>233</v>
      </c>
      <c r="D683" s="22" t="str">
        <f>CONCATENATE(B683,C683,Masonry_veneer_wall_minimum_insulation_R_Value_climate_zone_7120[[#This Row],[Column1]],Masonry_veneer_wall_minimum_insulation_R_Value_climate_zone_7120[[#This Row],[Column2]])</f>
        <v>7Masonry veneer walls&gt; 0.35 to ≤ 0.5&gt; 300 to ≤ 450</v>
      </c>
      <c r="E683" s="22" t="str">
        <f t="shared" si="9"/>
        <v>7Masonry veneer walls</v>
      </c>
      <c r="F683" s="32" t="s">
        <v>624</v>
      </c>
      <c r="G683" s="32" t="s">
        <v>525</v>
      </c>
      <c r="H683" s="32">
        <v>2.4</v>
      </c>
      <c r="I683" s="32">
        <v>2</v>
      </c>
      <c r="J683" s="32">
        <v>2</v>
      </c>
      <c r="K683" s="32">
        <v>2.4</v>
      </c>
      <c r="AA683"/>
    </row>
    <row r="684" spans="1:27" s="22" customFormat="1" x14ac:dyDescent="0.3">
      <c r="A684" s="22" t="str">
        <f>CONCATENATE(B684,C684,Masonry_veneer_wall_minimum_insulation_R_Value_climate_zone_7120[[#This Row],[Column1]])</f>
        <v>7Masonry veneer walls&gt; 0.35 to ≤ 0.5</v>
      </c>
      <c r="B684" s="22">
        <v>7</v>
      </c>
      <c r="C684" s="22" t="s">
        <v>233</v>
      </c>
      <c r="D684" s="22" t="str">
        <f>CONCATENATE(B684,C684,Masonry_veneer_wall_minimum_insulation_R_Value_climate_zone_7120[[#This Row],[Column1]],Masonry_veneer_wall_minimum_insulation_R_Value_climate_zone_7120[[#This Row],[Column2]])</f>
        <v>7Masonry veneer walls&gt; 0.35 to ≤ 0.5&gt; 450 to ≤ 600</v>
      </c>
      <c r="E684" s="22" t="str">
        <f t="shared" si="9"/>
        <v>7Masonry veneer walls</v>
      </c>
      <c r="F684" s="32" t="s">
        <v>624</v>
      </c>
      <c r="G684" s="32" t="s">
        <v>528</v>
      </c>
      <c r="H684" s="32" t="s">
        <v>321</v>
      </c>
      <c r="I684" s="32">
        <v>2</v>
      </c>
      <c r="J684" s="32">
        <v>2</v>
      </c>
      <c r="K684" s="32">
        <v>2.4</v>
      </c>
      <c r="AA684"/>
    </row>
    <row r="685" spans="1:27" s="22" customFormat="1" x14ac:dyDescent="0.3">
      <c r="A685" s="22" t="str">
        <f>CONCATENATE(B685,C685,Masonry_veneer_wall_minimum_insulation_R_Value_climate_zone_7120[[#This Row],[Column1]])</f>
        <v>7Masonry veneer walls&gt; 0.35 to ≤ 0.5</v>
      </c>
      <c r="B685" s="22">
        <v>7</v>
      </c>
      <c r="C685" s="22" t="s">
        <v>233</v>
      </c>
      <c r="D685" s="22" t="str">
        <f>CONCATENATE(B685,C685,Masonry_veneer_wall_minimum_insulation_R_Value_climate_zone_7120[[#This Row],[Column1]],Masonry_veneer_wall_minimum_insulation_R_Value_climate_zone_7120[[#This Row],[Column2]])</f>
        <v>7Masonry veneer walls&gt; 0.35 to ≤ 0.5&gt; 600 to ≤ 900</v>
      </c>
      <c r="E685" s="22" t="str">
        <f t="shared" si="9"/>
        <v>7Masonry veneer walls</v>
      </c>
      <c r="F685" s="32" t="s">
        <v>624</v>
      </c>
      <c r="G685" s="32" t="s">
        <v>531</v>
      </c>
      <c r="H685" s="32" t="s">
        <v>321</v>
      </c>
      <c r="I685" s="32" t="s">
        <v>321</v>
      </c>
      <c r="J685" s="32">
        <v>2.5</v>
      </c>
      <c r="K685" s="32">
        <v>2.4</v>
      </c>
      <c r="AA685"/>
    </row>
    <row r="686" spans="1:27" s="22" customFormat="1" x14ac:dyDescent="0.3">
      <c r="A686" s="22" t="str">
        <f>CONCATENATE(B686,C686,Masonry_veneer_wall_minimum_insulation_R_Value_climate_zone_7120[[#This Row],[Column1]])</f>
        <v>7Masonry veneer walls&gt; 0.35 to ≤ 0.5</v>
      </c>
      <c r="B686" s="22">
        <v>7</v>
      </c>
      <c r="C686" s="22" t="s">
        <v>233</v>
      </c>
      <c r="D686" s="22" t="str">
        <f>CONCATENATE(B686,C686,Masonry_veneer_wall_minimum_insulation_R_Value_climate_zone_7120[[#This Row],[Column1]],Masonry_veneer_wall_minimum_insulation_R_Value_climate_zone_7120[[#This Row],[Column2]])</f>
        <v>7Masonry veneer walls&gt; 0.35 to ≤ 0.5&gt; 900 to ≤ 1200</v>
      </c>
      <c r="E686" s="22" t="str">
        <f t="shared" ref="E686:E738" si="10">CONCATENATE(B686,C686)</f>
        <v>7Masonry veneer walls</v>
      </c>
      <c r="F686" s="32" t="s">
        <v>624</v>
      </c>
      <c r="G686" s="32" t="s">
        <v>534</v>
      </c>
      <c r="H686" s="32" t="s">
        <v>321</v>
      </c>
      <c r="I686" s="32" t="s">
        <v>321</v>
      </c>
      <c r="J686" s="32" t="s">
        <v>321</v>
      </c>
      <c r="K686" s="32" t="s">
        <v>321</v>
      </c>
      <c r="AA686"/>
    </row>
    <row r="687" spans="1:27" s="22" customFormat="1" x14ac:dyDescent="0.3">
      <c r="A687" s="22" t="str">
        <f>CONCATENATE(B687,C687,Masonry_veneer_wall_minimum_insulation_R_Value_climate_zone_7120[[#This Row],[Column1]])</f>
        <v>7Masonry veneer walls&gt; 0.5 to ≤ 0.7</v>
      </c>
      <c r="B687" s="22">
        <v>7</v>
      </c>
      <c r="C687" s="22" t="s">
        <v>233</v>
      </c>
      <c r="D687" s="22" t="str">
        <f>CONCATENATE(B687,C687,Masonry_veneer_wall_minimum_insulation_R_Value_climate_zone_7120[[#This Row],[Column1]],Masonry_veneer_wall_minimum_insulation_R_Value_climate_zone_7120[[#This Row],[Column2]])</f>
        <v>7Masonry veneer walls&gt; 0.5 to ≤ 0.70</v>
      </c>
      <c r="E687" s="22" t="str">
        <f t="shared" si="10"/>
        <v>7Masonry veneer walls</v>
      </c>
      <c r="F687" s="32" t="s">
        <v>625</v>
      </c>
      <c r="G687" s="32">
        <v>0</v>
      </c>
      <c r="H687" s="32">
        <v>1.5</v>
      </c>
      <c r="I687" s="32">
        <v>1.5</v>
      </c>
      <c r="J687" s="32">
        <v>1.5</v>
      </c>
      <c r="K687" s="32">
        <v>2</v>
      </c>
      <c r="AA687"/>
    </row>
    <row r="688" spans="1:27" s="22" customFormat="1" x14ac:dyDescent="0.3">
      <c r="A688" s="22" t="str">
        <f>CONCATENATE(B688,C688,Masonry_veneer_wall_minimum_insulation_R_Value_climate_zone_7120[[#This Row],[Column1]])</f>
        <v>7Masonry veneer walls&gt; 0.5 to ≤ 0.7</v>
      </c>
      <c r="B688" s="22">
        <v>7</v>
      </c>
      <c r="C688" s="22" t="s">
        <v>233</v>
      </c>
      <c r="D688" s="22" t="str">
        <f>CONCATENATE(B688,C688,Masonry_veneer_wall_minimum_insulation_R_Value_climate_zone_7120[[#This Row],[Column1]],Masonry_veneer_wall_minimum_insulation_R_Value_climate_zone_7120[[#This Row],[Column2]])</f>
        <v>7Masonry veneer walls&gt; 0.5 to ≤ 0.7&gt; 0 to ≤ 300</v>
      </c>
      <c r="E688" s="22" t="str">
        <f t="shared" si="10"/>
        <v>7Masonry veneer walls</v>
      </c>
      <c r="F688" s="32" t="s">
        <v>625</v>
      </c>
      <c r="G688" s="32" t="s">
        <v>521</v>
      </c>
      <c r="H688" s="32">
        <v>1.5</v>
      </c>
      <c r="I688" s="32">
        <v>1.5</v>
      </c>
      <c r="J688" s="32">
        <v>1.5</v>
      </c>
      <c r="K688" s="32">
        <v>2</v>
      </c>
      <c r="AA688"/>
    </row>
    <row r="689" spans="1:27" s="22" customFormat="1" x14ac:dyDescent="0.3">
      <c r="A689" s="22" t="str">
        <f>CONCATENATE(B689,C689,Masonry_veneer_wall_minimum_insulation_R_Value_climate_zone_7120[[#This Row],[Column1]])</f>
        <v>7Masonry veneer walls&gt; 0.5 to ≤ 0.7</v>
      </c>
      <c r="B689" s="22">
        <v>7</v>
      </c>
      <c r="C689" s="22" t="s">
        <v>233</v>
      </c>
      <c r="D689" s="22" t="str">
        <f>CONCATENATE(B689,C689,Masonry_veneer_wall_minimum_insulation_R_Value_climate_zone_7120[[#This Row],[Column1]],Masonry_veneer_wall_minimum_insulation_R_Value_climate_zone_7120[[#This Row],[Column2]])</f>
        <v>7Masonry veneer walls&gt; 0.5 to ≤ 0.7&gt; 300 to ≤ 450</v>
      </c>
      <c r="E689" s="22" t="str">
        <f t="shared" si="10"/>
        <v>7Masonry veneer walls</v>
      </c>
      <c r="F689" s="32" t="s">
        <v>625</v>
      </c>
      <c r="G689" s="32" t="s">
        <v>525</v>
      </c>
      <c r="H689" s="32">
        <v>2</v>
      </c>
      <c r="I689" s="32">
        <v>1.5</v>
      </c>
      <c r="J689" s="32">
        <v>1.5</v>
      </c>
      <c r="K689" s="32">
        <v>2</v>
      </c>
      <c r="AA689"/>
    </row>
    <row r="690" spans="1:27" s="22" customFormat="1" x14ac:dyDescent="0.3">
      <c r="A690" s="22" t="str">
        <f>CONCATENATE(B690,C690,Masonry_veneer_wall_minimum_insulation_R_Value_climate_zone_7120[[#This Row],[Column1]])</f>
        <v>7Masonry veneer walls&gt; 0.5 to ≤ 0.7</v>
      </c>
      <c r="B690" s="22">
        <v>7</v>
      </c>
      <c r="C690" s="22" t="s">
        <v>233</v>
      </c>
      <c r="D690" s="22" t="str">
        <f>CONCATENATE(B690,C690,Masonry_veneer_wall_minimum_insulation_R_Value_climate_zone_7120[[#This Row],[Column1]],Masonry_veneer_wall_minimum_insulation_R_Value_climate_zone_7120[[#This Row],[Column2]])</f>
        <v>7Masonry veneer walls&gt; 0.5 to ≤ 0.7&gt; 450 to ≤ 600</v>
      </c>
      <c r="E690" s="22" t="str">
        <f t="shared" si="10"/>
        <v>7Masonry veneer walls</v>
      </c>
      <c r="F690" s="32" t="s">
        <v>625</v>
      </c>
      <c r="G690" s="32" t="s">
        <v>528</v>
      </c>
      <c r="H690" s="32">
        <v>2.5</v>
      </c>
      <c r="I690" s="32">
        <v>2</v>
      </c>
      <c r="J690" s="32">
        <v>2</v>
      </c>
      <c r="K690" s="32">
        <v>2</v>
      </c>
      <c r="AA690"/>
    </row>
    <row r="691" spans="1:27" s="22" customFormat="1" x14ac:dyDescent="0.3">
      <c r="A691" s="22" t="str">
        <f>CONCATENATE(B691,C691,Masonry_veneer_wall_minimum_insulation_R_Value_climate_zone_7120[[#This Row],[Column1]])</f>
        <v>7Masonry veneer walls&gt; 0.5 to ≤ 0.7</v>
      </c>
      <c r="B691" s="22">
        <v>7</v>
      </c>
      <c r="C691" s="22" t="s">
        <v>233</v>
      </c>
      <c r="D691" s="22" t="str">
        <f>CONCATENATE(B691,C691,Masonry_veneer_wall_minimum_insulation_R_Value_climate_zone_7120[[#This Row],[Column1]],Masonry_veneer_wall_minimum_insulation_R_Value_climate_zone_7120[[#This Row],[Column2]])</f>
        <v>7Masonry veneer walls&gt; 0.5 to ≤ 0.7&gt; 600 to ≤ 900</v>
      </c>
      <c r="E691" s="22" t="str">
        <f t="shared" si="10"/>
        <v>7Masonry veneer walls</v>
      </c>
      <c r="F691" s="32" t="s">
        <v>625</v>
      </c>
      <c r="G691" s="32" t="s">
        <v>531</v>
      </c>
      <c r="H691" s="32" t="s">
        <v>321</v>
      </c>
      <c r="I691" s="32" t="s">
        <v>321</v>
      </c>
      <c r="J691" s="32">
        <v>2.4</v>
      </c>
      <c r="K691" s="32">
        <v>2.4</v>
      </c>
      <c r="AA691"/>
    </row>
    <row r="692" spans="1:27" s="22" customFormat="1" x14ac:dyDescent="0.3">
      <c r="A692" s="22" t="str">
        <f>CONCATENATE(B692,C692,Masonry_veneer_wall_minimum_insulation_R_Value_climate_zone_7120[[#This Row],[Column1]])</f>
        <v>7Masonry veneer walls&gt; 0.5 to ≤ 0.7</v>
      </c>
      <c r="B692" s="22">
        <v>7</v>
      </c>
      <c r="C692" s="22" t="s">
        <v>233</v>
      </c>
      <c r="D692" s="22" t="str">
        <f>CONCATENATE(B692,C692,Masonry_veneer_wall_minimum_insulation_R_Value_climate_zone_7120[[#This Row],[Column1]],Masonry_veneer_wall_minimum_insulation_R_Value_climate_zone_7120[[#This Row],[Column2]])</f>
        <v>7Masonry veneer walls&gt; 0.5 to ≤ 0.7&gt; 900 to ≤ 1200</v>
      </c>
      <c r="E692" s="22" t="str">
        <f t="shared" si="10"/>
        <v>7Masonry veneer walls</v>
      </c>
      <c r="F692" s="32" t="s">
        <v>625</v>
      </c>
      <c r="G692" s="32" t="s">
        <v>534</v>
      </c>
      <c r="H692" s="32" t="s">
        <v>321</v>
      </c>
      <c r="I692" s="32" t="s">
        <v>321</v>
      </c>
      <c r="J692" s="32" t="s">
        <v>321</v>
      </c>
      <c r="K692" s="32" t="s">
        <v>321</v>
      </c>
      <c r="AA692"/>
    </row>
    <row r="693" spans="1:27" s="22" customFormat="1" x14ac:dyDescent="0.3">
      <c r="A693" s="22" t="str">
        <f>CONCATENATE(B693,C693,Masonry_veneer_wall_minimum_insulation_R_Value_climate_zone_7120[[#This Row],[Column1]])</f>
        <v>7Masonry veneer walls&gt; 0.7 to ≤ 0.85</v>
      </c>
      <c r="B693" s="22">
        <v>7</v>
      </c>
      <c r="C693" s="22" t="s">
        <v>233</v>
      </c>
      <c r="D693" s="22" t="str">
        <f>CONCATENATE(B693,C693,Masonry_veneer_wall_minimum_insulation_R_Value_climate_zone_7120[[#This Row],[Column1]],Masonry_veneer_wall_minimum_insulation_R_Value_climate_zone_7120[[#This Row],[Column2]])</f>
        <v>7Masonry veneer walls&gt; 0.7 to ≤ 0.850</v>
      </c>
      <c r="E693" s="22" t="str">
        <f t="shared" si="10"/>
        <v>7Masonry veneer walls</v>
      </c>
      <c r="F693" s="32" t="s">
        <v>646</v>
      </c>
      <c r="G693" s="32">
        <v>0</v>
      </c>
      <c r="H693" s="32">
        <v>1.5</v>
      </c>
      <c r="I693" s="32">
        <v>1.5</v>
      </c>
      <c r="J693" s="32">
        <v>1.5</v>
      </c>
      <c r="K693" s="32">
        <v>1.5</v>
      </c>
      <c r="AA693"/>
    </row>
    <row r="694" spans="1:27" s="22" customFormat="1" ht="14.25" customHeight="1" x14ac:dyDescent="0.3">
      <c r="A694" s="22" t="str">
        <f>CONCATENATE(B694,C694,Masonry_veneer_wall_minimum_insulation_R_Value_climate_zone_7120[[#This Row],[Column1]])</f>
        <v>7Masonry veneer walls&gt; 0.7 to ≤ 0.85</v>
      </c>
      <c r="B694" s="22">
        <v>7</v>
      </c>
      <c r="C694" s="22" t="s">
        <v>233</v>
      </c>
      <c r="D694" s="22" t="str">
        <f>CONCATENATE(B694,C694,Masonry_veneer_wall_minimum_insulation_R_Value_climate_zone_7120[[#This Row],[Column1]],Masonry_veneer_wall_minimum_insulation_R_Value_climate_zone_7120[[#This Row],[Column2]])</f>
        <v>7Masonry veneer walls&gt; 0.7 to ≤ 0.85&gt; 0 to ≤ 300</v>
      </c>
      <c r="E694" s="22" t="str">
        <f t="shared" si="10"/>
        <v>7Masonry veneer walls</v>
      </c>
      <c r="F694" s="32" t="s">
        <v>646</v>
      </c>
      <c r="G694" s="32" t="s">
        <v>521</v>
      </c>
      <c r="H694" s="32">
        <v>1.5</v>
      </c>
      <c r="I694" s="32">
        <v>1.5</v>
      </c>
      <c r="J694" s="32">
        <v>1.5</v>
      </c>
      <c r="K694" s="32">
        <v>2</v>
      </c>
      <c r="AA694"/>
    </row>
    <row r="695" spans="1:27" s="22" customFormat="1" ht="14.25" customHeight="1" x14ac:dyDescent="0.3">
      <c r="A695" s="22" t="str">
        <f>CONCATENATE(B695,C695,Masonry_veneer_wall_minimum_insulation_R_Value_climate_zone_7120[[#This Row],[Column1]])</f>
        <v>7Masonry veneer walls&gt; 0.7 to ≤ 0.85</v>
      </c>
      <c r="B695" s="22">
        <v>7</v>
      </c>
      <c r="C695" s="22" t="s">
        <v>233</v>
      </c>
      <c r="D695" s="22" t="str">
        <f>CONCATENATE(B695,C695,Masonry_veneer_wall_minimum_insulation_R_Value_climate_zone_7120[[#This Row],[Column1]],Masonry_veneer_wall_minimum_insulation_R_Value_climate_zone_7120[[#This Row],[Column2]])</f>
        <v>7Masonry veneer walls&gt; 0.7 to ≤ 0.85&gt; 300 to ≤ 450</v>
      </c>
      <c r="E695" s="22" t="str">
        <f t="shared" si="10"/>
        <v>7Masonry veneer walls</v>
      </c>
      <c r="F695" s="32" t="s">
        <v>646</v>
      </c>
      <c r="G695" s="32" t="s">
        <v>525</v>
      </c>
      <c r="H695" s="32">
        <v>2</v>
      </c>
      <c r="I695" s="32">
        <v>1.5</v>
      </c>
      <c r="J695" s="32">
        <v>1.5</v>
      </c>
      <c r="K695" s="32">
        <v>2</v>
      </c>
      <c r="AA695"/>
    </row>
    <row r="696" spans="1:27" s="22" customFormat="1" x14ac:dyDescent="0.3">
      <c r="A696" s="22" t="str">
        <f>CONCATENATE(B696,C696,Masonry_veneer_wall_minimum_insulation_R_Value_climate_zone_7120[[#This Row],[Column1]])</f>
        <v>7Masonry veneer walls&gt; 0.7 to ≤ 0.85</v>
      </c>
      <c r="B696" s="22">
        <v>7</v>
      </c>
      <c r="C696" s="22" t="s">
        <v>233</v>
      </c>
      <c r="D696" s="22" t="str">
        <f>CONCATENATE(B696,C696,Masonry_veneer_wall_minimum_insulation_R_Value_climate_zone_7120[[#This Row],[Column1]],Masonry_veneer_wall_minimum_insulation_R_Value_climate_zone_7120[[#This Row],[Column2]])</f>
        <v>7Masonry veneer walls&gt; 0.7 to ≤ 0.85&gt; 450 to ≤ 600</v>
      </c>
      <c r="E696" s="22" t="str">
        <f t="shared" si="10"/>
        <v>7Masonry veneer walls</v>
      </c>
      <c r="F696" s="32" t="s">
        <v>646</v>
      </c>
      <c r="G696" s="32" t="s">
        <v>528</v>
      </c>
      <c r="H696" s="32">
        <v>2.4</v>
      </c>
      <c r="I696" s="32">
        <v>2</v>
      </c>
      <c r="J696" s="32">
        <v>2</v>
      </c>
      <c r="K696" s="32">
        <v>2</v>
      </c>
      <c r="AA696"/>
    </row>
    <row r="697" spans="1:27" s="22" customFormat="1" x14ac:dyDescent="0.3">
      <c r="A697" s="22" t="str">
        <f>CONCATENATE(B697,C697,Masonry_veneer_wall_minimum_insulation_R_Value_climate_zone_7120[[#This Row],[Column1]])</f>
        <v>7Masonry veneer walls&gt; 0.7 to ≤ 0.85</v>
      </c>
      <c r="B697" s="22">
        <v>7</v>
      </c>
      <c r="C697" s="22" t="s">
        <v>233</v>
      </c>
      <c r="D697" s="22" t="str">
        <f>CONCATENATE(B697,C697,Masonry_veneer_wall_minimum_insulation_R_Value_climate_zone_7120[[#This Row],[Column1]],Masonry_veneer_wall_minimum_insulation_R_Value_climate_zone_7120[[#This Row],[Column2]])</f>
        <v>7Masonry veneer walls&gt; 0.7 to ≤ 0.85&gt; 600 to ≤ 900</v>
      </c>
      <c r="E697" s="22" t="str">
        <f t="shared" si="10"/>
        <v>7Masonry veneer walls</v>
      </c>
      <c r="F697" s="32" t="s">
        <v>646</v>
      </c>
      <c r="G697" s="32" t="s">
        <v>531</v>
      </c>
      <c r="H697" s="32" t="s">
        <v>321</v>
      </c>
      <c r="I697" s="32" t="s">
        <v>321</v>
      </c>
      <c r="J697" s="32">
        <v>2.4</v>
      </c>
      <c r="K697" s="32">
        <v>2</v>
      </c>
      <c r="AA697"/>
    </row>
    <row r="698" spans="1:27" s="22" customFormat="1" x14ac:dyDescent="0.3">
      <c r="A698" s="22" t="str">
        <f>CONCATENATE(B698,C698,Masonry_veneer_wall_minimum_insulation_R_Value_climate_zone_7120[[#This Row],[Column1]])</f>
        <v>7Masonry veneer walls&gt; 0.7 to ≤ 0.85</v>
      </c>
      <c r="B698" s="22">
        <v>7</v>
      </c>
      <c r="C698" s="22" t="s">
        <v>233</v>
      </c>
      <c r="D698" s="22" t="str">
        <f>CONCATENATE(B698,C698,Masonry_veneer_wall_minimum_insulation_R_Value_climate_zone_7120[[#This Row],[Column1]],Masonry_veneer_wall_minimum_insulation_R_Value_climate_zone_7120[[#This Row],[Column2]])</f>
        <v>7Masonry veneer walls&gt; 0.7 to ≤ 0.85&gt; 900 to ≤ 1200</v>
      </c>
      <c r="E698" s="22" t="str">
        <f t="shared" si="10"/>
        <v>7Masonry veneer walls</v>
      </c>
      <c r="F698" s="32" t="s">
        <v>646</v>
      </c>
      <c r="G698" s="32" t="s">
        <v>534</v>
      </c>
      <c r="H698" s="32" t="s">
        <v>321</v>
      </c>
      <c r="I698" s="32" t="s">
        <v>321</v>
      </c>
      <c r="J698" s="32" t="s">
        <v>321</v>
      </c>
      <c r="K698" s="32">
        <v>2.4</v>
      </c>
      <c r="AA698"/>
    </row>
    <row r="699" spans="1:27" s="22" customFormat="1" x14ac:dyDescent="0.3">
      <c r="AA699"/>
    </row>
    <row r="700" spans="1:27" s="22" customFormat="1" x14ac:dyDescent="0.3">
      <c r="F700" s="22" t="s">
        <v>651</v>
      </c>
      <c r="AA700"/>
    </row>
    <row r="701" spans="1:27" s="22" customFormat="1" x14ac:dyDescent="0.3">
      <c r="F701" s="22" t="s">
        <v>652</v>
      </c>
      <c r="AA701"/>
    </row>
    <row r="702" spans="1:27" s="22" customFormat="1" x14ac:dyDescent="0.3">
      <c r="F702" s="708" t="s">
        <v>234</v>
      </c>
      <c r="G702" s="708" t="s">
        <v>140</v>
      </c>
      <c r="H702" s="708" t="s">
        <v>510</v>
      </c>
      <c r="I702" s="708"/>
      <c r="J702" s="708"/>
      <c r="K702" s="708"/>
      <c r="AA702"/>
    </row>
    <row r="703" spans="1:27" s="22" customFormat="1" x14ac:dyDescent="0.3">
      <c r="A703" s="22" t="str">
        <f>E704</f>
        <v>7Masonry cavity wall</v>
      </c>
      <c r="F703" s="708"/>
      <c r="G703" s="708"/>
      <c r="H703" s="708" t="s">
        <v>512</v>
      </c>
      <c r="I703" s="708" t="s">
        <v>513</v>
      </c>
      <c r="J703" s="708" t="s">
        <v>514</v>
      </c>
      <c r="K703" s="708" t="s">
        <v>515</v>
      </c>
      <c r="AA703"/>
    </row>
    <row r="704" spans="1:27" s="22" customFormat="1" x14ac:dyDescent="0.3">
      <c r="A704" s="22" t="str">
        <f>CONCATENATE(B704,C704,Masonry_cavity_wall_minimum_insulation_R_Value_climate_zone_7188[[#This Row],[Column1]])</f>
        <v>7Masonry cavity wall≤ 0.35</v>
      </c>
      <c r="B704" s="22">
        <v>7</v>
      </c>
      <c r="C704" s="22" t="s">
        <v>240</v>
      </c>
      <c r="D704" s="22" t="str">
        <f>CONCATENATE(B704,C704,Masonry_cavity_wall_minimum_insulation_R_Value_climate_zone_7188[[#This Row],[Column1]],Masonry_cavity_wall_minimum_insulation_R_Value_climate_zone_7188[[#This Row],[Column2]])</f>
        <v>7Masonry cavity wall≤ 0.350</v>
      </c>
      <c r="E704" s="22" t="str">
        <f t="shared" si="10"/>
        <v>7Masonry cavity wall</v>
      </c>
      <c r="F704" s="32" t="s">
        <v>623</v>
      </c>
      <c r="G704" s="32">
        <v>0</v>
      </c>
      <c r="H704" s="32">
        <v>1.08</v>
      </c>
      <c r="I704" s="32">
        <v>1.44</v>
      </c>
      <c r="J704" s="32" t="s">
        <v>321</v>
      </c>
      <c r="K704" s="32" t="s">
        <v>321</v>
      </c>
      <c r="AA704"/>
    </row>
    <row r="705" spans="1:27" s="22" customFormat="1" x14ac:dyDescent="0.3">
      <c r="A705" s="22" t="str">
        <f>CONCATENATE(B705,C705,Masonry_cavity_wall_minimum_insulation_R_Value_climate_zone_7188[[#This Row],[Column1]])</f>
        <v>7Masonry cavity wall&gt; 0.35 to ≤ 0.5</v>
      </c>
      <c r="B705" s="22">
        <v>7</v>
      </c>
      <c r="C705" s="22" t="s">
        <v>240</v>
      </c>
      <c r="D705" s="22" t="str">
        <f>CONCATENATE(B705,C705,Masonry_cavity_wall_minimum_insulation_R_Value_climate_zone_7188[[#This Row],[Column1]],Masonry_cavity_wall_minimum_insulation_R_Value_climate_zone_7188[[#This Row],[Column2]])</f>
        <v>7Masonry cavity wall&gt; 0.35 to ≤ 0.50</v>
      </c>
      <c r="E705" s="22" t="str">
        <f t="shared" si="10"/>
        <v>7Masonry cavity wall</v>
      </c>
      <c r="F705" s="32" t="s">
        <v>624</v>
      </c>
      <c r="G705" s="32">
        <v>0</v>
      </c>
      <c r="H705" s="32">
        <v>1.08</v>
      </c>
      <c r="I705" s="32">
        <v>1.44</v>
      </c>
      <c r="J705" s="32" t="s">
        <v>321</v>
      </c>
      <c r="K705" s="32" t="s">
        <v>321</v>
      </c>
      <c r="AA705"/>
    </row>
    <row r="706" spans="1:27" s="22" customFormat="1" x14ac:dyDescent="0.3">
      <c r="A706" s="22" t="str">
        <f>CONCATENATE(B706,C706,Masonry_cavity_wall_minimum_insulation_R_Value_climate_zone_7188[[#This Row],[Column1]])</f>
        <v>7Masonry cavity wall&gt; 0.5 to ≤ 0.7</v>
      </c>
      <c r="B706" s="22">
        <v>7</v>
      </c>
      <c r="C706" s="22" t="s">
        <v>240</v>
      </c>
      <c r="D706" s="22" t="str">
        <f>CONCATENATE(B706,C706,Masonry_cavity_wall_minimum_insulation_R_Value_climate_zone_7188[[#This Row],[Column1]],Masonry_cavity_wall_minimum_insulation_R_Value_climate_zone_7188[[#This Row],[Column2]])</f>
        <v>7Masonry cavity wall&gt; 0.5 to ≤ 0.70</v>
      </c>
      <c r="E706" s="22" t="str">
        <f t="shared" si="10"/>
        <v>7Masonry cavity wall</v>
      </c>
      <c r="F706" s="32" t="s">
        <v>625</v>
      </c>
      <c r="G706" s="32">
        <v>0</v>
      </c>
      <c r="H706" s="32">
        <v>0.75</v>
      </c>
      <c r="I706" s="32">
        <v>1.44</v>
      </c>
      <c r="J706" s="32">
        <v>1.44</v>
      </c>
      <c r="K706" s="32" t="s">
        <v>321</v>
      </c>
      <c r="AA706"/>
    </row>
    <row r="707" spans="1:27" s="22" customFormat="1" x14ac:dyDescent="0.3">
      <c r="A707" s="22" t="str">
        <f>CONCATENATE(B707,C707,Masonry_cavity_wall_minimum_insulation_R_Value_climate_zone_7188[[#This Row],[Column1]])</f>
        <v>7Masonry cavity wall&gt; 0.5 to ≤ 0.7</v>
      </c>
      <c r="B707" s="22">
        <v>7</v>
      </c>
      <c r="C707" s="22" t="s">
        <v>240</v>
      </c>
      <c r="D707" s="22" t="str">
        <f>CONCATENATE(B707,C707,Masonry_cavity_wall_minimum_insulation_R_Value_climate_zone_7188[[#This Row],[Column1]],Masonry_cavity_wall_minimum_insulation_R_Value_climate_zone_7188[[#This Row],[Column2]])</f>
        <v>7Masonry cavity wall&gt; 0.5 to ≤ 0.7&gt; 0 to ≤ 300</v>
      </c>
      <c r="E707" s="22" t="str">
        <f t="shared" si="10"/>
        <v>7Masonry cavity wall</v>
      </c>
      <c r="F707" s="32" t="s">
        <v>625</v>
      </c>
      <c r="G707" s="32" t="s">
        <v>521</v>
      </c>
      <c r="H707" s="32">
        <v>1.44</v>
      </c>
      <c r="I707" s="32" t="s">
        <v>321</v>
      </c>
      <c r="J707" s="32" t="s">
        <v>321</v>
      </c>
      <c r="K707" s="32" t="s">
        <v>321</v>
      </c>
      <c r="AA707"/>
    </row>
    <row r="708" spans="1:27" s="22" customFormat="1" x14ac:dyDescent="0.3">
      <c r="A708" s="22" t="str">
        <f>CONCATENATE(B708,C708,Masonry_cavity_wall_minimum_insulation_R_Value_climate_zone_7188[[#This Row],[Column1]])</f>
        <v>7Masonry cavity wall&gt; 0.7 to ≤ 0.85</v>
      </c>
      <c r="B708" s="22">
        <v>7</v>
      </c>
      <c r="C708" s="22" t="s">
        <v>240</v>
      </c>
      <c r="D708" s="22" t="str">
        <f>CONCATENATE(B708,C708,Masonry_cavity_wall_minimum_insulation_R_Value_climate_zone_7188[[#This Row],[Column1]],Masonry_cavity_wall_minimum_insulation_R_Value_climate_zone_7188[[#This Row],[Column2]])</f>
        <v>7Masonry cavity wall&gt; 0.7 to ≤ 0.850</v>
      </c>
      <c r="E708" s="22" t="str">
        <f t="shared" si="10"/>
        <v>7Masonry cavity wall</v>
      </c>
      <c r="F708" s="32" t="s">
        <v>646</v>
      </c>
      <c r="G708" s="32">
        <v>0</v>
      </c>
      <c r="H708" s="32">
        <v>0.75</v>
      </c>
      <c r="I708" s="32">
        <v>1.08</v>
      </c>
      <c r="J708" s="32">
        <v>1.44</v>
      </c>
      <c r="K708" s="32" t="s">
        <v>321</v>
      </c>
      <c r="AA708"/>
    </row>
    <row r="709" spans="1:27" s="22" customFormat="1" x14ac:dyDescent="0.3">
      <c r="A709" s="22" t="str">
        <f>CONCATENATE(B709,C709,Masonry_cavity_wall_minimum_insulation_R_Value_climate_zone_7188[[#This Row],[Column1]])</f>
        <v>7Masonry cavity wall&gt; 0.7 to ≤ 0.85</v>
      </c>
      <c r="B709" s="22">
        <v>7</v>
      </c>
      <c r="C709" s="22" t="s">
        <v>240</v>
      </c>
      <c r="D709" s="22" t="str">
        <f>CONCATENATE(B709,C709,Masonry_cavity_wall_minimum_insulation_R_Value_climate_zone_7188[[#This Row],[Column1]],Masonry_cavity_wall_minimum_insulation_R_Value_climate_zone_7188[[#This Row],[Column2]])</f>
        <v>7Masonry cavity wall&gt; 0.7 to ≤ 0.85&gt; 0 to ≤ 300</v>
      </c>
      <c r="E709" s="22" t="str">
        <f t="shared" si="10"/>
        <v>7Masonry cavity wall</v>
      </c>
      <c r="F709" s="32" t="s">
        <v>646</v>
      </c>
      <c r="G709" s="32" t="s">
        <v>521</v>
      </c>
      <c r="H709" s="32">
        <v>1.44</v>
      </c>
      <c r="I709" s="32">
        <v>1.44</v>
      </c>
      <c r="J709" s="32" t="s">
        <v>321</v>
      </c>
      <c r="K709" s="32" t="s">
        <v>321</v>
      </c>
      <c r="AA709"/>
    </row>
    <row r="710" spans="1:27" s="22" customFormat="1" x14ac:dyDescent="0.3">
      <c r="AA710"/>
    </row>
    <row r="711" spans="1:27" s="22" customFormat="1" x14ac:dyDescent="0.3">
      <c r="F711" s="22" t="s">
        <v>653</v>
      </c>
      <c r="AA711"/>
    </row>
    <row r="712" spans="1:27" s="22" customFormat="1" x14ac:dyDescent="0.3">
      <c r="F712" s="22" t="s">
        <v>654</v>
      </c>
      <c r="AA712"/>
    </row>
    <row r="713" spans="1:27" s="22" customFormat="1" x14ac:dyDescent="0.3">
      <c r="F713" s="708" t="s">
        <v>234</v>
      </c>
      <c r="G713" s="708" t="s">
        <v>140</v>
      </c>
      <c r="H713" s="708" t="s">
        <v>510</v>
      </c>
      <c r="I713" s="708"/>
      <c r="J713" s="708"/>
      <c r="K713" s="708"/>
      <c r="AA713"/>
    </row>
    <row r="714" spans="1:27" s="22" customFormat="1" x14ac:dyDescent="0.3">
      <c r="A714" s="22" t="str">
        <f>E715</f>
        <v>8Lightweight walls</v>
      </c>
      <c r="F714" s="708"/>
      <c r="G714" s="708"/>
      <c r="H714" s="708" t="s">
        <v>512</v>
      </c>
      <c r="I714" s="708" t="s">
        <v>513</v>
      </c>
      <c r="J714" s="708" t="s">
        <v>514</v>
      </c>
      <c r="K714" s="708" t="s">
        <v>515</v>
      </c>
      <c r="AA714"/>
    </row>
    <row r="715" spans="1:27" s="22" customFormat="1" x14ac:dyDescent="0.3">
      <c r="A715" s="22" t="str">
        <f>CONCATENATE(B715,C715,Lightweight_wall_minimum_insulation_R_Value_Climate_Zone_8189[[#This Row],[Column1]])</f>
        <v>8Lightweight walls≤ 0.35</v>
      </c>
      <c r="B715" s="22">
        <v>8</v>
      </c>
      <c r="C715" s="22" t="s">
        <v>218</v>
      </c>
      <c r="D715" s="22" t="str">
        <f>CONCATENATE(B715,C715,Lightweight_wall_minimum_insulation_R_Value_Climate_Zone_8189[[#This Row],[Column1]],Lightweight_wall_minimum_insulation_R_Value_Climate_Zone_8189[[#This Row],[Column2]])</f>
        <v>8Lightweight walls≤ 0.350</v>
      </c>
      <c r="E715" s="22" t="str">
        <f t="shared" si="10"/>
        <v>8Lightweight walls</v>
      </c>
      <c r="F715" s="32" t="s">
        <v>623</v>
      </c>
      <c r="G715" s="32">
        <v>0</v>
      </c>
      <c r="H715" s="32">
        <v>1.5</v>
      </c>
      <c r="I715" s="32">
        <v>2</v>
      </c>
      <c r="J715" s="32">
        <v>2</v>
      </c>
      <c r="K715" s="32" t="s">
        <v>321</v>
      </c>
      <c r="AA715"/>
    </row>
    <row r="716" spans="1:27" s="22" customFormat="1" x14ac:dyDescent="0.3">
      <c r="A716" s="22" t="str">
        <f>CONCATENATE(B716,C716,Lightweight_wall_minimum_insulation_R_Value_Climate_Zone_8189[[#This Row],[Column1]])</f>
        <v>8Lightweight walls≤ 0.35</v>
      </c>
      <c r="B716" s="22">
        <v>8</v>
      </c>
      <c r="C716" s="22" t="s">
        <v>218</v>
      </c>
      <c r="D716" s="22" t="str">
        <f>CONCATENATE(B716,C716,Lightweight_wall_minimum_insulation_R_Value_Climate_Zone_8189[[#This Row],[Column1]],Lightweight_wall_minimum_insulation_R_Value_Climate_Zone_8189[[#This Row],[Column2]])</f>
        <v>8Lightweight walls≤ 0.35&gt; 0 to ≤ 300</v>
      </c>
      <c r="E716" s="22" t="str">
        <f t="shared" si="10"/>
        <v>8Lightweight walls</v>
      </c>
      <c r="F716" s="32" t="s">
        <v>623</v>
      </c>
      <c r="G716" s="32" t="s">
        <v>521</v>
      </c>
      <c r="H716" s="32">
        <v>2</v>
      </c>
      <c r="I716" s="32">
        <v>2</v>
      </c>
      <c r="J716" s="32">
        <v>2.4</v>
      </c>
      <c r="K716" s="32" t="s">
        <v>321</v>
      </c>
      <c r="AA716"/>
    </row>
    <row r="717" spans="1:27" s="22" customFormat="1" x14ac:dyDescent="0.3">
      <c r="A717" s="22" t="str">
        <f>CONCATENATE(B717,C717,Lightweight_wall_minimum_insulation_R_Value_Climate_Zone_8189[[#This Row],[Column1]])</f>
        <v>8Lightweight walls≤ 0.35</v>
      </c>
      <c r="B717" s="22">
        <v>8</v>
      </c>
      <c r="C717" s="22" t="s">
        <v>218</v>
      </c>
      <c r="D717" s="22" t="str">
        <f>CONCATENATE(B717,C717,Lightweight_wall_minimum_insulation_R_Value_Climate_Zone_8189[[#This Row],[Column1]],Lightweight_wall_minimum_insulation_R_Value_Climate_Zone_8189[[#This Row],[Column2]])</f>
        <v>8Lightweight walls≤ 0.35&gt; 300 to ≤ 450</v>
      </c>
      <c r="E717" s="22" t="str">
        <f t="shared" si="10"/>
        <v>8Lightweight walls</v>
      </c>
      <c r="F717" s="32" t="s">
        <v>623</v>
      </c>
      <c r="G717" s="32" t="s">
        <v>525</v>
      </c>
      <c r="H717" s="32" t="s">
        <v>321</v>
      </c>
      <c r="I717" s="32">
        <v>2.4</v>
      </c>
      <c r="J717" s="32">
        <v>2.4</v>
      </c>
      <c r="K717" s="32" t="s">
        <v>321</v>
      </c>
      <c r="AA717"/>
    </row>
    <row r="718" spans="1:27" s="22" customFormat="1" x14ac:dyDescent="0.3">
      <c r="A718" s="22" t="str">
        <f>CONCATENATE(B718,C718,Lightweight_wall_minimum_insulation_R_Value_Climate_Zone_8189[[#This Row],[Column1]])</f>
        <v>8Lightweight walls≤ 0.35</v>
      </c>
      <c r="B718" s="22">
        <v>8</v>
      </c>
      <c r="C718" s="22" t="s">
        <v>218</v>
      </c>
      <c r="D718" s="22" t="str">
        <f>CONCATENATE(B718,C718,Lightweight_wall_minimum_insulation_R_Value_Climate_Zone_8189[[#This Row],[Column1]],Lightweight_wall_minimum_insulation_R_Value_Climate_Zone_8189[[#This Row],[Column2]])</f>
        <v>8Lightweight walls≤ 0.35&gt; 450 to ≤ 600</v>
      </c>
      <c r="E718" s="22" t="str">
        <f t="shared" si="10"/>
        <v>8Lightweight walls</v>
      </c>
      <c r="F718" s="32" t="s">
        <v>623</v>
      </c>
      <c r="G718" s="32" t="s">
        <v>528</v>
      </c>
      <c r="H718" s="32" t="s">
        <v>321</v>
      </c>
      <c r="I718" s="32" t="s">
        <v>321</v>
      </c>
      <c r="J718" s="32">
        <v>2.5</v>
      </c>
      <c r="K718" s="32" t="s">
        <v>321</v>
      </c>
      <c r="AA718"/>
    </row>
    <row r="719" spans="1:27" s="22" customFormat="1" x14ac:dyDescent="0.3">
      <c r="A719" s="22" t="str">
        <f>CONCATENATE(B719,C719,Lightweight_wall_minimum_insulation_R_Value_Climate_Zone_8189[[#This Row],[Column1]])</f>
        <v>8Lightweight walls≤ 0.35</v>
      </c>
      <c r="B719" s="22">
        <v>8</v>
      </c>
      <c r="C719" s="22" t="s">
        <v>218</v>
      </c>
      <c r="D719" s="22" t="str">
        <f>CONCATENATE(B719,C719,Lightweight_wall_minimum_insulation_R_Value_Climate_Zone_8189[[#This Row],[Column1]],Lightweight_wall_minimum_insulation_R_Value_Climate_Zone_8189[[#This Row],[Column2]])</f>
        <v>8Lightweight walls≤ 0.35&gt; 600 to ≤ 900</v>
      </c>
      <c r="E719" s="22" t="str">
        <f t="shared" si="10"/>
        <v>8Lightweight walls</v>
      </c>
      <c r="F719" s="32" t="s">
        <v>623</v>
      </c>
      <c r="G719" s="32" t="s">
        <v>531</v>
      </c>
      <c r="H719" s="32" t="s">
        <v>321</v>
      </c>
      <c r="I719" s="32" t="s">
        <v>321</v>
      </c>
      <c r="J719" s="32" t="s">
        <v>321</v>
      </c>
      <c r="K719" s="32" t="s">
        <v>321</v>
      </c>
      <c r="AA719"/>
    </row>
    <row r="720" spans="1:27" s="22" customFormat="1" x14ac:dyDescent="0.3">
      <c r="A720" s="22" t="str">
        <f>CONCATENATE(B720,C720,Lightweight_wall_minimum_insulation_R_Value_Climate_Zone_8189[[#This Row],[Column1]])</f>
        <v>8Lightweight walls≤ 0.35</v>
      </c>
      <c r="B720" s="22">
        <v>8</v>
      </c>
      <c r="C720" s="22" t="s">
        <v>218</v>
      </c>
      <c r="D720" s="22" t="str">
        <f>CONCATENATE(B720,C720,Lightweight_wall_minimum_insulation_R_Value_Climate_Zone_8189[[#This Row],[Column1]],Lightweight_wall_minimum_insulation_R_Value_Climate_Zone_8189[[#This Row],[Column2]])</f>
        <v>8Lightweight walls≤ 0.35&gt; 900 to ≤ 1200</v>
      </c>
      <c r="E720" s="22" t="str">
        <f t="shared" si="10"/>
        <v>8Lightweight walls</v>
      </c>
      <c r="F720" s="32" t="s">
        <v>623</v>
      </c>
      <c r="G720" s="32" t="s">
        <v>534</v>
      </c>
      <c r="H720" s="32" t="s">
        <v>321</v>
      </c>
      <c r="I720" s="32" t="s">
        <v>321</v>
      </c>
      <c r="J720" s="32" t="s">
        <v>321</v>
      </c>
      <c r="K720" s="32" t="s">
        <v>321</v>
      </c>
      <c r="AA720"/>
    </row>
    <row r="721" spans="1:27" s="22" customFormat="1" x14ac:dyDescent="0.3">
      <c r="A721" s="22" t="str">
        <f>CONCATENATE(B721,C721,Lightweight_wall_minimum_insulation_R_Value_Climate_Zone_8189[[#This Row],[Column1]])</f>
        <v>8Lightweight walls&gt; 0.35 to ≤ 0.5</v>
      </c>
      <c r="B721" s="22">
        <v>8</v>
      </c>
      <c r="C721" s="22" t="s">
        <v>218</v>
      </c>
      <c r="D721" s="22" t="str">
        <f>CONCATENATE(B721,C721,Lightweight_wall_minimum_insulation_R_Value_Climate_Zone_8189[[#This Row],[Column1]],Lightweight_wall_minimum_insulation_R_Value_Climate_Zone_8189[[#This Row],[Column2]])</f>
        <v>8Lightweight walls&gt; 0.35 to ≤ 0.50</v>
      </c>
      <c r="E721" s="22" t="str">
        <f t="shared" si="10"/>
        <v>8Lightweight walls</v>
      </c>
      <c r="F721" s="32" t="s">
        <v>624</v>
      </c>
      <c r="G721" s="32">
        <v>0</v>
      </c>
      <c r="H721" s="32">
        <v>1.5</v>
      </c>
      <c r="I721" s="32">
        <v>1.5</v>
      </c>
      <c r="J721" s="32">
        <v>2</v>
      </c>
      <c r="K721" s="32">
        <v>2.4</v>
      </c>
      <c r="AA721"/>
    </row>
    <row r="722" spans="1:27" s="22" customFormat="1" x14ac:dyDescent="0.3">
      <c r="A722" s="22" t="str">
        <f>CONCATENATE(B722,C722,Lightweight_wall_minimum_insulation_R_Value_Climate_Zone_8189[[#This Row],[Column1]])</f>
        <v>8Lightweight walls&gt; 0.35 to ≤ 0.5</v>
      </c>
      <c r="B722" s="22">
        <v>8</v>
      </c>
      <c r="C722" s="22" t="s">
        <v>218</v>
      </c>
      <c r="D722" s="22" t="str">
        <f>CONCATENATE(B722,C722,Lightweight_wall_minimum_insulation_R_Value_Climate_Zone_8189[[#This Row],[Column1]],Lightweight_wall_minimum_insulation_R_Value_Climate_Zone_8189[[#This Row],[Column2]])</f>
        <v>8Lightweight walls&gt; 0.35 to ≤ 0.5&gt; 0 to ≤ 300</v>
      </c>
      <c r="E722" s="22" t="str">
        <f t="shared" si="10"/>
        <v>8Lightweight walls</v>
      </c>
      <c r="F722" s="32" t="s">
        <v>624</v>
      </c>
      <c r="G722" s="32" t="s">
        <v>521</v>
      </c>
      <c r="H722" s="32">
        <v>2</v>
      </c>
      <c r="I722" s="32">
        <v>2</v>
      </c>
      <c r="J722" s="32">
        <v>2</v>
      </c>
      <c r="K722" s="32">
        <v>2.5</v>
      </c>
      <c r="AA722"/>
    </row>
    <row r="723" spans="1:27" s="22" customFormat="1" x14ac:dyDescent="0.3">
      <c r="A723" s="22" t="str">
        <f>CONCATENATE(B723,C723,Lightweight_wall_minimum_insulation_R_Value_Climate_Zone_8189[[#This Row],[Column1]])</f>
        <v>8Lightweight walls&gt; 0.35 to ≤ 0.5</v>
      </c>
      <c r="B723" s="22">
        <v>8</v>
      </c>
      <c r="C723" s="22" t="s">
        <v>218</v>
      </c>
      <c r="D723" s="22" t="str">
        <f>CONCATENATE(B723,C723,Lightweight_wall_minimum_insulation_R_Value_Climate_Zone_8189[[#This Row],[Column1]],Lightweight_wall_minimum_insulation_R_Value_Climate_Zone_8189[[#This Row],[Column2]])</f>
        <v>8Lightweight walls&gt; 0.35 to ≤ 0.5&gt; 300 to ≤ 450</v>
      </c>
      <c r="E723" s="22" t="str">
        <f t="shared" si="10"/>
        <v>8Lightweight walls</v>
      </c>
      <c r="F723" s="32" t="s">
        <v>624</v>
      </c>
      <c r="G723" s="32" t="s">
        <v>525</v>
      </c>
      <c r="H723" s="32">
        <v>2.5</v>
      </c>
      <c r="I723" s="32">
        <v>2</v>
      </c>
      <c r="J723" s="32">
        <v>2.4</v>
      </c>
      <c r="K723" s="32">
        <v>2.5</v>
      </c>
      <c r="AA723"/>
    </row>
    <row r="724" spans="1:27" s="22" customFormat="1" x14ac:dyDescent="0.3">
      <c r="A724" s="22" t="str">
        <f>CONCATENATE(B724,C724,Lightweight_wall_minimum_insulation_R_Value_Climate_Zone_8189[[#This Row],[Column1]])</f>
        <v>8Lightweight walls&gt; 0.35 to ≤ 0.5</v>
      </c>
      <c r="B724" s="22">
        <v>8</v>
      </c>
      <c r="C724" s="22" t="s">
        <v>218</v>
      </c>
      <c r="D724" s="22" t="str">
        <f>CONCATENATE(B724,C724,Lightweight_wall_minimum_insulation_R_Value_Climate_Zone_8189[[#This Row],[Column1]],Lightweight_wall_minimum_insulation_R_Value_Climate_Zone_8189[[#This Row],[Column2]])</f>
        <v>8Lightweight walls&gt; 0.35 to ≤ 0.5&gt; 450 to ≤ 600</v>
      </c>
      <c r="E724" s="22" t="str">
        <f t="shared" si="10"/>
        <v>8Lightweight walls</v>
      </c>
      <c r="F724" s="32" t="s">
        <v>624</v>
      </c>
      <c r="G724" s="32" t="s">
        <v>528</v>
      </c>
      <c r="H724" s="32" t="s">
        <v>321</v>
      </c>
      <c r="I724" s="32">
        <v>2.5</v>
      </c>
      <c r="J724" s="32">
        <v>2.4</v>
      </c>
      <c r="K724" s="32" t="s">
        <v>321</v>
      </c>
      <c r="AA724"/>
    </row>
    <row r="725" spans="1:27" s="22" customFormat="1" x14ac:dyDescent="0.3">
      <c r="A725" s="22" t="str">
        <f>CONCATENATE(B725,C725,Lightweight_wall_minimum_insulation_R_Value_Climate_Zone_8189[[#This Row],[Column1]])</f>
        <v>8Lightweight walls&gt; 0.35 to ≤ 0.5</v>
      </c>
      <c r="B725" s="22">
        <v>8</v>
      </c>
      <c r="C725" s="22" t="s">
        <v>218</v>
      </c>
      <c r="D725" s="22" t="str">
        <f>CONCATENATE(B725,C725,Lightweight_wall_minimum_insulation_R_Value_Climate_Zone_8189[[#This Row],[Column1]],Lightweight_wall_minimum_insulation_R_Value_Climate_Zone_8189[[#This Row],[Column2]])</f>
        <v>8Lightweight walls&gt; 0.35 to ≤ 0.5&gt; 600 to ≤ 900</v>
      </c>
      <c r="E725" s="22" t="str">
        <f t="shared" si="10"/>
        <v>8Lightweight walls</v>
      </c>
      <c r="F725" s="32" t="s">
        <v>624</v>
      </c>
      <c r="G725" s="32" t="s">
        <v>531</v>
      </c>
      <c r="H725" s="32" t="s">
        <v>321</v>
      </c>
      <c r="I725" s="32" t="s">
        <v>321</v>
      </c>
      <c r="J725" s="32" t="s">
        <v>321</v>
      </c>
      <c r="K725" s="32" t="s">
        <v>321</v>
      </c>
      <c r="AA725"/>
    </row>
    <row r="726" spans="1:27" s="22" customFormat="1" x14ac:dyDescent="0.3">
      <c r="A726" s="22" t="str">
        <f>CONCATENATE(B726,C726,Lightweight_wall_minimum_insulation_R_Value_Climate_Zone_8189[[#This Row],[Column1]])</f>
        <v>8Lightweight walls&gt; 0.35 to ≤ 0.5</v>
      </c>
      <c r="B726" s="22">
        <v>8</v>
      </c>
      <c r="C726" s="22" t="s">
        <v>218</v>
      </c>
      <c r="D726" s="22" t="str">
        <f>CONCATENATE(B726,C726,Lightweight_wall_minimum_insulation_R_Value_Climate_Zone_8189[[#This Row],[Column1]],Lightweight_wall_minimum_insulation_R_Value_Climate_Zone_8189[[#This Row],[Column2]])</f>
        <v>8Lightweight walls&gt; 0.35 to ≤ 0.5&gt; 900 to ≤ 1200</v>
      </c>
      <c r="E726" s="22" t="str">
        <f t="shared" si="10"/>
        <v>8Lightweight walls</v>
      </c>
      <c r="F726" s="32" t="s">
        <v>624</v>
      </c>
      <c r="G726" s="32" t="s">
        <v>534</v>
      </c>
      <c r="H726" s="32" t="s">
        <v>321</v>
      </c>
      <c r="I726" s="32" t="s">
        <v>321</v>
      </c>
      <c r="J726" s="32" t="s">
        <v>321</v>
      </c>
      <c r="K726" s="32" t="s">
        <v>321</v>
      </c>
      <c r="AA726"/>
    </row>
    <row r="727" spans="1:27" s="22" customFormat="1" x14ac:dyDescent="0.3">
      <c r="A727" s="22" t="str">
        <f>CONCATENATE(B727,C727,Lightweight_wall_minimum_insulation_R_Value_Climate_Zone_8189[[#This Row],[Column1]])</f>
        <v>8Lightweight walls&gt; 0.5 to ≤ 0.7</v>
      </c>
      <c r="B727" s="22">
        <v>8</v>
      </c>
      <c r="C727" s="22" t="s">
        <v>218</v>
      </c>
      <c r="D727" s="22" t="str">
        <f>CONCATENATE(B727,C727,Lightweight_wall_minimum_insulation_R_Value_Climate_Zone_8189[[#This Row],[Column1]],Lightweight_wall_minimum_insulation_R_Value_Climate_Zone_8189[[#This Row],[Column2]])</f>
        <v>8Lightweight walls&gt; 0.5 to ≤ 0.70</v>
      </c>
      <c r="E727" s="22" t="str">
        <f t="shared" si="10"/>
        <v>8Lightweight walls</v>
      </c>
      <c r="F727" s="32" t="s">
        <v>625</v>
      </c>
      <c r="G727" s="32">
        <v>0</v>
      </c>
      <c r="H727" s="32">
        <v>1.5</v>
      </c>
      <c r="I727" s="32">
        <v>1.5</v>
      </c>
      <c r="J727" s="32">
        <v>2</v>
      </c>
      <c r="K727" s="32">
        <v>2.7</v>
      </c>
      <c r="AA727"/>
    </row>
    <row r="728" spans="1:27" s="22" customFormat="1" x14ac:dyDescent="0.3">
      <c r="A728" s="22" t="str">
        <f>CONCATENATE(B728,C728,Lightweight_wall_minimum_insulation_R_Value_Climate_Zone_8189[[#This Row],[Column1]])</f>
        <v>8Lightweight walls&gt; 0.5 to ≤ 0.7</v>
      </c>
      <c r="B728" s="22">
        <v>8</v>
      </c>
      <c r="C728" s="22" t="s">
        <v>218</v>
      </c>
      <c r="D728" s="22" t="str">
        <f>CONCATENATE(B728,C728,Lightweight_wall_minimum_insulation_R_Value_Climate_Zone_8189[[#This Row],[Column1]],Lightweight_wall_minimum_insulation_R_Value_Climate_Zone_8189[[#This Row],[Column2]])</f>
        <v>8Lightweight walls&gt; 0.5 to ≤ 0.7&gt; 0 to ≤ 300</v>
      </c>
      <c r="E728" s="22" t="str">
        <f t="shared" si="10"/>
        <v>8Lightweight walls</v>
      </c>
      <c r="F728" s="32" t="s">
        <v>625</v>
      </c>
      <c r="G728" s="32" t="s">
        <v>521</v>
      </c>
      <c r="H728" s="32">
        <v>2</v>
      </c>
      <c r="I728" s="32">
        <v>2</v>
      </c>
      <c r="J728" s="32">
        <v>2</v>
      </c>
      <c r="K728" s="32">
        <v>2.7</v>
      </c>
      <c r="AA728"/>
    </row>
    <row r="729" spans="1:27" s="22" customFormat="1" x14ac:dyDescent="0.3">
      <c r="A729" s="22" t="str">
        <f>CONCATENATE(B729,C729,Lightweight_wall_minimum_insulation_R_Value_Climate_Zone_8189[[#This Row],[Column1]])</f>
        <v>8Lightweight walls&gt; 0.5 to ≤ 0.7</v>
      </c>
      <c r="B729" s="22">
        <v>8</v>
      </c>
      <c r="C729" s="22" t="s">
        <v>218</v>
      </c>
      <c r="D729" s="22" t="str">
        <f>CONCATENATE(B729,C729,Lightweight_wall_minimum_insulation_R_Value_Climate_Zone_8189[[#This Row],[Column1]],Lightweight_wall_minimum_insulation_R_Value_Climate_Zone_8189[[#This Row],[Column2]])</f>
        <v>8Lightweight walls&gt; 0.5 to ≤ 0.7&gt; 300 to ≤ 450</v>
      </c>
      <c r="E729" s="22" t="str">
        <f t="shared" si="10"/>
        <v>8Lightweight walls</v>
      </c>
      <c r="F729" s="32" t="s">
        <v>625</v>
      </c>
      <c r="G729" s="32" t="s">
        <v>525</v>
      </c>
      <c r="H729" s="32">
        <v>2.7</v>
      </c>
      <c r="I729" s="32">
        <v>2</v>
      </c>
      <c r="J729" s="32">
        <v>2</v>
      </c>
      <c r="K729" s="32">
        <v>2.7</v>
      </c>
      <c r="AA729"/>
    </row>
    <row r="730" spans="1:27" s="22" customFormat="1" x14ac:dyDescent="0.3">
      <c r="A730" s="22" t="str">
        <f>CONCATENATE(B730,C730,Lightweight_wall_minimum_insulation_R_Value_Climate_Zone_8189[[#This Row],[Column1]])</f>
        <v>8Lightweight walls&gt; 0.5 to ≤ 0.7</v>
      </c>
      <c r="B730" s="22">
        <v>8</v>
      </c>
      <c r="C730" s="22" t="s">
        <v>218</v>
      </c>
      <c r="D730" s="22" t="str">
        <f>CONCATENATE(B730,C730,Lightweight_wall_minimum_insulation_R_Value_Climate_Zone_8189[[#This Row],[Column1]],Lightweight_wall_minimum_insulation_R_Value_Climate_Zone_8189[[#This Row],[Column2]])</f>
        <v>8Lightweight walls&gt; 0.5 to ≤ 0.7&gt; 450 to ≤ 600</v>
      </c>
      <c r="E730" s="22" t="str">
        <f t="shared" si="10"/>
        <v>8Lightweight walls</v>
      </c>
      <c r="F730" s="32" t="s">
        <v>625</v>
      </c>
      <c r="G730" s="32" t="s">
        <v>528</v>
      </c>
      <c r="H730" s="32" t="s">
        <v>321</v>
      </c>
      <c r="I730" s="32">
        <v>2.7</v>
      </c>
      <c r="J730" s="32">
        <v>2.5</v>
      </c>
      <c r="K730" s="32">
        <v>2.5</v>
      </c>
      <c r="AA730"/>
    </row>
    <row r="731" spans="1:27" s="22" customFormat="1" x14ac:dyDescent="0.3">
      <c r="A731" s="22" t="str">
        <f>CONCATENATE(B731,C731,Lightweight_wall_minimum_insulation_R_Value_Climate_Zone_8189[[#This Row],[Column1]])</f>
        <v>8Lightweight walls&gt; 0.5 to ≤ 0.7</v>
      </c>
      <c r="B731" s="22">
        <v>8</v>
      </c>
      <c r="C731" s="22" t="s">
        <v>218</v>
      </c>
      <c r="D731" s="22" t="str">
        <f>CONCATENATE(B731,C731,Lightweight_wall_minimum_insulation_R_Value_Climate_Zone_8189[[#This Row],[Column1]],Lightweight_wall_minimum_insulation_R_Value_Climate_Zone_8189[[#This Row],[Column2]])</f>
        <v>8Lightweight walls&gt; 0.5 to ≤ 0.7&gt; 600 to ≤ 900</v>
      </c>
      <c r="E731" s="22" t="str">
        <f t="shared" si="10"/>
        <v>8Lightweight walls</v>
      </c>
      <c r="F731" s="32" t="s">
        <v>625</v>
      </c>
      <c r="G731" s="32" t="s">
        <v>531</v>
      </c>
      <c r="H731" s="32" t="s">
        <v>321</v>
      </c>
      <c r="I731" s="32" t="s">
        <v>321</v>
      </c>
      <c r="J731" s="32" t="s">
        <v>321</v>
      </c>
      <c r="K731" s="32" t="s">
        <v>321</v>
      </c>
      <c r="AA731"/>
    </row>
    <row r="732" spans="1:27" s="22" customFormat="1" x14ac:dyDescent="0.3">
      <c r="A732" s="22" t="str">
        <f>CONCATENATE(B732,C732,Lightweight_wall_minimum_insulation_R_Value_Climate_Zone_8189[[#This Row],[Column1]])</f>
        <v>8Lightweight walls&gt; 0.5 to ≤ 0.7</v>
      </c>
      <c r="B732" s="22">
        <v>8</v>
      </c>
      <c r="C732" s="22" t="s">
        <v>218</v>
      </c>
      <c r="D732" s="22" t="str">
        <f>CONCATENATE(B732,C732,Lightweight_wall_minimum_insulation_R_Value_Climate_Zone_8189[[#This Row],[Column1]],Lightweight_wall_minimum_insulation_R_Value_Climate_Zone_8189[[#This Row],[Column2]])</f>
        <v>8Lightweight walls&gt; 0.5 to ≤ 0.7&gt; 900 to ≤ 1200</v>
      </c>
      <c r="E732" s="22" t="str">
        <f t="shared" si="10"/>
        <v>8Lightweight walls</v>
      </c>
      <c r="F732" s="32" t="s">
        <v>625</v>
      </c>
      <c r="G732" s="32" t="s">
        <v>534</v>
      </c>
      <c r="H732" s="32" t="s">
        <v>321</v>
      </c>
      <c r="I732" s="32" t="s">
        <v>321</v>
      </c>
      <c r="J732" s="32" t="s">
        <v>321</v>
      </c>
      <c r="K732" s="32" t="s">
        <v>321</v>
      </c>
      <c r="AA732"/>
    </row>
    <row r="733" spans="1:27" s="22" customFormat="1" x14ac:dyDescent="0.3">
      <c r="A733" s="22" t="str">
        <f>CONCATENATE(B733,C733,Lightweight_wall_minimum_insulation_R_Value_Climate_Zone_8189[[#This Row],[Column1]])</f>
        <v>8Lightweight walls&gt; 0.7 to ≤ 0.85</v>
      </c>
      <c r="B733" s="22">
        <v>8</v>
      </c>
      <c r="C733" s="22" t="s">
        <v>218</v>
      </c>
      <c r="D733" s="22" t="str">
        <f>CONCATENATE(B733,C733,Lightweight_wall_minimum_insulation_R_Value_Climate_Zone_8189[[#This Row],[Column1]],Lightweight_wall_minimum_insulation_R_Value_Climate_Zone_8189[[#This Row],[Column2]])</f>
        <v>8Lightweight walls&gt; 0.7 to ≤ 0.850</v>
      </c>
      <c r="E733" s="22" t="str">
        <f t="shared" si="10"/>
        <v>8Lightweight walls</v>
      </c>
      <c r="F733" s="32" t="s">
        <v>646</v>
      </c>
      <c r="G733" s="32">
        <v>0</v>
      </c>
      <c r="H733" s="32">
        <v>1.5</v>
      </c>
      <c r="I733" s="32">
        <v>1.5</v>
      </c>
      <c r="J733" s="32">
        <v>1.5</v>
      </c>
      <c r="K733" s="32">
        <v>2</v>
      </c>
      <c r="AA733"/>
    </row>
    <row r="734" spans="1:27" s="22" customFormat="1" x14ac:dyDescent="0.3">
      <c r="A734" s="22" t="str">
        <f>CONCATENATE(B734,C734,Lightweight_wall_minimum_insulation_R_Value_Climate_Zone_8189[[#This Row],[Column1]])</f>
        <v>8Lightweight walls&gt; 0.7 to ≤ 0.85</v>
      </c>
      <c r="B734" s="22">
        <v>8</v>
      </c>
      <c r="C734" s="22" t="s">
        <v>218</v>
      </c>
      <c r="D734" s="22" t="str">
        <f>CONCATENATE(B734,C734,Lightweight_wall_minimum_insulation_R_Value_Climate_Zone_8189[[#This Row],[Column1]],Lightweight_wall_minimum_insulation_R_Value_Climate_Zone_8189[[#This Row],[Column2]])</f>
        <v>8Lightweight walls&gt; 0.7 to ≤ 0.85&gt; 0 to ≤ 300</v>
      </c>
      <c r="E734" s="22" t="str">
        <f t="shared" si="10"/>
        <v>8Lightweight walls</v>
      </c>
      <c r="F734" s="32" t="s">
        <v>646</v>
      </c>
      <c r="G734" s="32" t="s">
        <v>521</v>
      </c>
      <c r="H734" s="32">
        <v>2</v>
      </c>
      <c r="I734" s="32">
        <v>1.5</v>
      </c>
      <c r="J734" s="32">
        <v>2</v>
      </c>
      <c r="K734" s="32">
        <v>2.4</v>
      </c>
      <c r="AA734"/>
    </row>
    <row r="735" spans="1:27" s="22" customFormat="1" x14ac:dyDescent="0.3">
      <c r="A735" s="22" t="str">
        <f>CONCATENATE(B735,C735,Lightweight_wall_minimum_insulation_R_Value_Climate_Zone_8189[[#This Row],[Column1]])</f>
        <v>8Lightweight walls&gt; 0.7 to ≤ 0.85</v>
      </c>
      <c r="B735" s="22">
        <v>8</v>
      </c>
      <c r="C735" s="22" t="s">
        <v>218</v>
      </c>
      <c r="D735" s="22" t="str">
        <f>CONCATENATE(B735,C735,Lightweight_wall_minimum_insulation_R_Value_Climate_Zone_8189[[#This Row],[Column1]],Lightweight_wall_minimum_insulation_R_Value_Climate_Zone_8189[[#This Row],[Column2]])</f>
        <v>8Lightweight walls&gt; 0.7 to ≤ 0.85&gt; 300 to ≤ 450</v>
      </c>
      <c r="E735" s="22" t="str">
        <f t="shared" si="10"/>
        <v>8Lightweight walls</v>
      </c>
      <c r="F735" s="32" t="s">
        <v>646</v>
      </c>
      <c r="G735" s="32" t="s">
        <v>525</v>
      </c>
      <c r="H735" s="32">
        <v>2.4</v>
      </c>
      <c r="I735" s="32">
        <v>2</v>
      </c>
      <c r="J735" s="32">
        <v>2</v>
      </c>
      <c r="K735" s="32">
        <v>2.4</v>
      </c>
      <c r="AA735"/>
    </row>
    <row r="736" spans="1:27" s="22" customFormat="1" x14ac:dyDescent="0.3">
      <c r="A736" s="22" t="str">
        <f>CONCATENATE(B736,C736,Lightweight_wall_minimum_insulation_R_Value_Climate_Zone_8189[[#This Row],[Column1]])</f>
        <v>8Lightweight walls&gt; 0.7 to ≤ 0.85</v>
      </c>
      <c r="B736" s="22">
        <v>8</v>
      </c>
      <c r="C736" s="22" t="s">
        <v>218</v>
      </c>
      <c r="D736" s="22" t="str">
        <f>CONCATENATE(B736,C736,Lightweight_wall_minimum_insulation_R_Value_Climate_Zone_8189[[#This Row],[Column1]],Lightweight_wall_minimum_insulation_R_Value_Climate_Zone_8189[[#This Row],[Column2]])</f>
        <v>8Lightweight walls&gt; 0.7 to ≤ 0.85&gt; 450 to ≤ 600</v>
      </c>
      <c r="E736" s="22" t="str">
        <f t="shared" si="10"/>
        <v>8Lightweight walls</v>
      </c>
      <c r="F736" s="32" t="s">
        <v>646</v>
      </c>
      <c r="G736" s="32" t="s">
        <v>528</v>
      </c>
      <c r="H736" s="32" t="s">
        <v>321</v>
      </c>
      <c r="I736" s="32">
        <v>2.4</v>
      </c>
      <c r="J736" s="32">
        <v>2</v>
      </c>
      <c r="K736" s="32">
        <v>2.4</v>
      </c>
      <c r="AA736"/>
    </row>
    <row r="737" spans="1:27" s="22" customFormat="1" x14ac:dyDescent="0.3">
      <c r="A737" s="22" t="str">
        <f>CONCATENATE(B737,C737,Lightweight_wall_minimum_insulation_R_Value_Climate_Zone_8189[[#This Row],[Column1]])</f>
        <v>8Lightweight walls&gt; 0.7 to ≤ 0.85</v>
      </c>
      <c r="B737" s="22">
        <v>8</v>
      </c>
      <c r="C737" s="22" t="s">
        <v>218</v>
      </c>
      <c r="D737" s="22" t="str">
        <f>CONCATENATE(B737,C737,Lightweight_wall_minimum_insulation_R_Value_Climate_Zone_8189[[#This Row],[Column1]],Lightweight_wall_minimum_insulation_R_Value_Climate_Zone_8189[[#This Row],[Column2]])</f>
        <v>8Lightweight walls&gt; 0.7 to ≤ 0.85&gt; 600 to ≤ 900</v>
      </c>
      <c r="E737" s="22" t="str">
        <f t="shared" si="10"/>
        <v>8Lightweight walls</v>
      </c>
      <c r="F737" s="32" t="s">
        <v>646</v>
      </c>
      <c r="G737" s="32" t="s">
        <v>531</v>
      </c>
      <c r="H737" s="32" t="s">
        <v>321</v>
      </c>
      <c r="I737" s="32" t="s">
        <v>321</v>
      </c>
      <c r="J737" s="32" t="s">
        <v>321</v>
      </c>
      <c r="K737" s="32" t="s">
        <v>321</v>
      </c>
      <c r="AA737"/>
    </row>
    <row r="738" spans="1:27" s="22" customFormat="1" x14ac:dyDescent="0.3">
      <c r="A738" s="22" t="str">
        <f>CONCATENATE(B738,C738,Lightweight_wall_minimum_insulation_R_Value_Climate_Zone_8189[[#This Row],[Column1]])</f>
        <v>8Lightweight walls&gt; 0.7 to ≤ 0.85</v>
      </c>
      <c r="B738" s="22">
        <v>8</v>
      </c>
      <c r="C738" s="22" t="s">
        <v>218</v>
      </c>
      <c r="D738" s="22" t="str">
        <f>CONCATENATE(B738,C738,Lightweight_wall_minimum_insulation_R_Value_Climate_Zone_8189[[#This Row],[Column1]],Lightweight_wall_minimum_insulation_R_Value_Climate_Zone_8189[[#This Row],[Column2]])</f>
        <v>8Lightweight walls&gt; 0.7 to ≤ 0.85&gt; 900 to ≤ 1200</v>
      </c>
      <c r="E738" s="22" t="str">
        <f t="shared" si="10"/>
        <v>8Lightweight walls</v>
      </c>
      <c r="F738" s="32" t="s">
        <v>646</v>
      </c>
      <c r="G738" s="32" t="s">
        <v>534</v>
      </c>
      <c r="H738" s="32" t="s">
        <v>321</v>
      </c>
      <c r="I738" s="32" t="s">
        <v>321</v>
      </c>
      <c r="J738" s="32" t="s">
        <v>321</v>
      </c>
      <c r="K738" s="32" t="s">
        <v>321</v>
      </c>
      <c r="AA738"/>
    </row>
    <row r="739" spans="1:27" s="22" customFormat="1" x14ac:dyDescent="0.3">
      <c r="AA739"/>
    </row>
    <row r="740" spans="1:27" s="22" customFormat="1" x14ac:dyDescent="0.3">
      <c r="F740" s="22" t="s">
        <v>655</v>
      </c>
      <c r="AA740"/>
    </row>
    <row r="741" spans="1:27" s="22" customFormat="1" x14ac:dyDescent="0.3">
      <c r="F741" s="22" t="s">
        <v>656</v>
      </c>
      <c r="AA741"/>
    </row>
    <row r="742" spans="1:27" s="22" customFormat="1" ht="28" x14ac:dyDescent="0.3">
      <c r="F742" s="742" t="s">
        <v>657</v>
      </c>
      <c r="G742" s="742" t="s">
        <v>658</v>
      </c>
      <c r="AA742"/>
    </row>
    <row r="743" spans="1:27" s="22" customFormat="1" x14ac:dyDescent="0.3">
      <c r="C743" s="22" t="s">
        <v>206</v>
      </c>
      <c r="F743" s="32">
        <v>0.5</v>
      </c>
      <c r="G743" s="32">
        <v>0.94</v>
      </c>
      <c r="AA743"/>
    </row>
    <row r="744" spans="1:27" s="22" customFormat="1" x14ac:dyDescent="0.3">
      <c r="C744" s="22" t="s">
        <v>206</v>
      </c>
      <c r="F744" s="32">
        <v>1</v>
      </c>
      <c r="G744" s="32">
        <v>1.1499999999999999</v>
      </c>
      <c r="AA744"/>
    </row>
    <row r="745" spans="1:27" s="22" customFormat="1" x14ac:dyDescent="0.3">
      <c r="C745" s="22" t="s">
        <v>206</v>
      </c>
      <c r="F745" s="32">
        <v>1.5</v>
      </c>
      <c r="G745" s="32">
        <v>1.66</v>
      </c>
      <c r="AA745"/>
    </row>
    <row r="746" spans="1:27" s="22" customFormat="1" x14ac:dyDescent="0.3">
      <c r="C746" s="22" t="s">
        <v>206</v>
      </c>
      <c r="F746" s="32">
        <v>2</v>
      </c>
      <c r="G746" s="32">
        <v>2.04</v>
      </c>
      <c r="AA746"/>
    </row>
    <row r="747" spans="1:27" s="22" customFormat="1" x14ac:dyDescent="0.3">
      <c r="C747" s="22" t="s">
        <v>206</v>
      </c>
      <c r="F747" s="32">
        <v>2.5</v>
      </c>
      <c r="G747" s="32">
        <v>2.2400000000000002</v>
      </c>
      <c r="AA747"/>
    </row>
    <row r="748" spans="1:27" s="22" customFormat="1" x14ac:dyDescent="0.3">
      <c r="C748" s="22" t="s">
        <v>206</v>
      </c>
      <c r="F748" s="32">
        <v>2.8</v>
      </c>
      <c r="G748" s="32">
        <v>2.38</v>
      </c>
      <c r="AA748"/>
    </row>
    <row r="749" spans="1:27" s="22" customFormat="1" x14ac:dyDescent="0.3">
      <c r="C749" s="22" t="s">
        <v>206</v>
      </c>
      <c r="F749" s="32">
        <v>3</v>
      </c>
      <c r="G749" s="32">
        <v>2.48</v>
      </c>
    </row>
    <row r="750" spans="1:27" s="22" customFormat="1" x14ac:dyDescent="0.3"/>
    <row r="751" spans="1:27" s="22" customFormat="1" x14ac:dyDescent="0.3">
      <c r="F751" s="22" t="s">
        <v>659</v>
      </c>
    </row>
    <row r="752" spans="1:27" s="22" customFormat="1" x14ac:dyDescent="0.3">
      <c r="F752" s="22" t="s">
        <v>660</v>
      </c>
    </row>
    <row r="753" spans="3:7" s="22" customFormat="1" ht="28" x14ac:dyDescent="0.3">
      <c r="F753" s="742" t="s">
        <v>661</v>
      </c>
      <c r="G753" s="742" t="s">
        <v>658</v>
      </c>
    </row>
    <row r="754" spans="3:7" s="22" customFormat="1" x14ac:dyDescent="0.3">
      <c r="C754" s="22" t="s">
        <v>227</v>
      </c>
      <c r="F754" s="32">
        <v>1</v>
      </c>
      <c r="G754" s="32">
        <v>1.32</v>
      </c>
    </row>
    <row r="755" spans="3:7" s="22" customFormat="1" x14ac:dyDescent="0.3">
      <c r="C755" s="22" t="s">
        <v>227</v>
      </c>
      <c r="F755" s="32">
        <v>1.5</v>
      </c>
      <c r="G755" s="32">
        <v>1.64</v>
      </c>
    </row>
    <row r="756" spans="3:7" s="22" customFormat="1" x14ac:dyDescent="0.3">
      <c r="C756" s="22" t="s">
        <v>227</v>
      </c>
      <c r="F756" s="32">
        <v>2</v>
      </c>
      <c r="G756" s="32">
        <v>1.89</v>
      </c>
    </row>
    <row r="757" spans="3:7" s="22" customFormat="1" x14ac:dyDescent="0.3">
      <c r="C757" s="22" t="s">
        <v>227</v>
      </c>
      <c r="F757" s="32">
        <v>2.5</v>
      </c>
      <c r="G757" s="32">
        <v>2.06</v>
      </c>
    </row>
    <row r="758" spans="3:7" s="22" customFormat="1" x14ac:dyDescent="0.3">
      <c r="C758" s="22" t="s">
        <v>227</v>
      </c>
      <c r="F758" s="32">
        <v>2.7</v>
      </c>
      <c r="G758" s="32">
        <v>2.15</v>
      </c>
    </row>
    <row r="759" spans="3:7" s="22" customFormat="1" x14ac:dyDescent="0.3">
      <c r="C759" s="22" t="s">
        <v>227</v>
      </c>
      <c r="F759" s="32">
        <v>3</v>
      </c>
      <c r="G759" s="32">
        <v>2.27</v>
      </c>
    </row>
    <row r="760" spans="3:7" s="22" customFormat="1" x14ac:dyDescent="0.3"/>
    <row r="761" spans="3:7" s="22" customFormat="1" x14ac:dyDescent="0.3">
      <c r="F761" s="22" t="s">
        <v>662</v>
      </c>
    </row>
    <row r="762" spans="3:7" s="22" customFormat="1" x14ac:dyDescent="0.3">
      <c r="F762" s="22" t="s">
        <v>663</v>
      </c>
    </row>
    <row r="763" spans="3:7" s="22" customFormat="1" ht="28" x14ac:dyDescent="0.3">
      <c r="F763" s="742" t="s">
        <v>664</v>
      </c>
      <c r="G763" s="742" t="s">
        <v>665</v>
      </c>
    </row>
    <row r="764" spans="3:7" s="22" customFormat="1" x14ac:dyDescent="0.3">
      <c r="C764" s="22" t="s">
        <v>236</v>
      </c>
      <c r="F764" s="32">
        <v>1.5</v>
      </c>
      <c r="G764" s="32">
        <v>1.79</v>
      </c>
    </row>
    <row r="765" spans="3:7" s="22" customFormat="1" x14ac:dyDescent="0.3">
      <c r="C765" s="22" t="s">
        <v>236</v>
      </c>
      <c r="F765" s="32">
        <v>2</v>
      </c>
      <c r="G765" s="32">
        <v>2.08</v>
      </c>
    </row>
    <row r="766" spans="3:7" s="22" customFormat="1" x14ac:dyDescent="0.3">
      <c r="C766" s="22" t="s">
        <v>236</v>
      </c>
      <c r="F766" s="32">
        <v>2.5</v>
      </c>
      <c r="G766" s="32">
        <v>2.34</v>
      </c>
    </row>
    <row r="767" spans="3:7" s="22" customFormat="1" x14ac:dyDescent="0.3">
      <c r="C767" s="22" t="s">
        <v>236</v>
      </c>
      <c r="F767" s="32">
        <v>2.7</v>
      </c>
      <c r="G767" s="32">
        <v>2.44</v>
      </c>
    </row>
    <row r="768" spans="3:7" s="22" customFormat="1" x14ac:dyDescent="0.3">
      <c r="C768" s="22" t="s">
        <v>236</v>
      </c>
      <c r="F768" s="32">
        <v>3</v>
      </c>
      <c r="G768" s="32">
        <v>2.57</v>
      </c>
    </row>
    <row r="769" spans="3:13" s="22" customFormat="1" x14ac:dyDescent="0.3"/>
    <row r="770" spans="3:13" s="22" customFormat="1" x14ac:dyDescent="0.3">
      <c r="F770" s="22" t="s">
        <v>666</v>
      </c>
    </row>
    <row r="771" spans="3:13" s="22" customFormat="1" ht="37.5" customHeight="1" x14ac:dyDescent="0.3">
      <c r="F771" s="22" t="s">
        <v>667</v>
      </c>
      <c r="J771" s="748" t="s">
        <v>668</v>
      </c>
      <c r="K771" s="749" t="s">
        <v>669</v>
      </c>
      <c r="L771" s="749" t="s">
        <v>670</v>
      </c>
    </row>
    <row r="772" spans="3:13" s="22" customFormat="1" ht="42" x14ac:dyDescent="0.3">
      <c r="F772" s="742" t="s">
        <v>668</v>
      </c>
      <c r="G772" s="742" t="s">
        <v>669</v>
      </c>
      <c r="H772" s="742" t="s">
        <v>670</v>
      </c>
      <c r="J772" s="1288">
        <v>0</v>
      </c>
      <c r="K772" s="1288" t="s">
        <v>671</v>
      </c>
      <c r="L772" s="1288" t="s">
        <v>671</v>
      </c>
    </row>
    <row r="773" spans="3:13" s="22" customFormat="1" x14ac:dyDescent="0.3">
      <c r="C773" s="22" t="s">
        <v>206</v>
      </c>
      <c r="F773" s="32" t="s">
        <v>672</v>
      </c>
      <c r="G773" s="32" t="s">
        <v>671</v>
      </c>
      <c r="H773" s="32" t="s">
        <v>671</v>
      </c>
      <c r="J773" s="1288" t="s">
        <v>522</v>
      </c>
      <c r="K773" s="1288" t="s">
        <v>671</v>
      </c>
      <c r="L773" s="1288" t="s">
        <v>671</v>
      </c>
    </row>
    <row r="774" spans="3:13" s="22" customFormat="1" x14ac:dyDescent="0.3">
      <c r="C774" s="22" t="s">
        <v>206</v>
      </c>
      <c r="F774" s="32" t="s">
        <v>673</v>
      </c>
      <c r="G774" s="32">
        <v>1.5</v>
      </c>
      <c r="H774" s="32">
        <v>0.13</v>
      </c>
      <c r="J774" s="1288">
        <v>0.5</v>
      </c>
      <c r="K774" s="1288">
        <v>1.5</v>
      </c>
      <c r="L774" s="1288">
        <v>0.13</v>
      </c>
    </row>
    <row r="775" spans="3:13" s="22" customFormat="1" x14ac:dyDescent="0.3">
      <c r="C775" s="22" t="s">
        <v>206</v>
      </c>
      <c r="F775" s="32" t="s">
        <v>674</v>
      </c>
      <c r="G775" s="32" t="s">
        <v>321</v>
      </c>
      <c r="H775" s="32">
        <v>0.3</v>
      </c>
      <c r="J775" s="1288">
        <v>1</v>
      </c>
      <c r="K775" s="1288">
        <v>1.5</v>
      </c>
      <c r="L775" s="1288">
        <v>0.13</v>
      </c>
    </row>
    <row r="776" spans="3:13" s="22" customFormat="1" x14ac:dyDescent="0.3">
      <c r="J776" s="1288">
        <v>1.5</v>
      </c>
      <c r="K776" s="1288" t="s">
        <v>321</v>
      </c>
      <c r="L776" s="1288">
        <v>0.3</v>
      </c>
    </row>
    <row r="777" spans="3:13" s="22" customFormat="1" x14ac:dyDescent="0.3">
      <c r="F777" s="22" t="s">
        <v>675</v>
      </c>
      <c r="J777" s="1288">
        <v>2</v>
      </c>
      <c r="K777" s="1288" t="s">
        <v>321</v>
      </c>
      <c r="L777" s="1288">
        <v>0.3</v>
      </c>
    </row>
    <row r="778" spans="3:13" s="22" customFormat="1" x14ac:dyDescent="0.3">
      <c r="F778" s="22" t="s">
        <v>676</v>
      </c>
      <c r="J778" s="1288">
        <v>2.5</v>
      </c>
      <c r="K778" s="1288" t="s">
        <v>321</v>
      </c>
      <c r="L778" s="1288">
        <v>0.3</v>
      </c>
    </row>
    <row r="779" spans="3:13" s="22" customFormat="1" ht="28" x14ac:dyDescent="0.3">
      <c r="F779" s="742" t="s">
        <v>677</v>
      </c>
      <c r="G779" s="742" t="s">
        <v>678</v>
      </c>
    </row>
    <row r="780" spans="3:13" s="22" customFormat="1" ht="28" x14ac:dyDescent="0.3">
      <c r="C780" s="22" t="s">
        <v>227</v>
      </c>
      <c r="F780" s="32" t="s">
        <v>672</v>
      </c>
      <c r="G780" s="32" t="s">
        <v>671</v>
      </c>
      <c r="J780" s="748" t="s">
        <v>454</v>
      </c>
      <c r="K780" s="748" t="s">
        <v>455</v>
      </c>
      <c r="L780" s="750" t="s">
        <v>678</v>
      </c>
    </row>
    <row r="781" spans="3:13" s="22" customFormat="1" ht="56" x14ac:dyDescent="0.3">
      <c r="C781" s="22" t="s">
        <v>227</v>
      </c>
      <c r="F781" s="32" t="s">
        <v>679</v>
      </c>
      <c r="G781" s="44" t="s">
        <v>680</v>
      </c>
      <c r="I781" s="32"/>
      <c r="J781" s="1288">
        <v>0</v>
      </c>
      <c r="K781" s="1288">
        <v>0</v>
      </c>
      <c r="L781" s="1288" t="s">
        <v>671</v>
      </c>
      <c r="M781" s="22" cm="1">
        <f t="array" ref="M781:M784">IF((AE291&gt;=J781:J784)*(AE291&lt;=K781:K784),ROW(L781:L784),"")</f>
        <v>781</v>
      </c>
    </row>
    <row r="782" spans="3:13" s="22" customFormat="1" ht="84" x14ac:dyDescent="0.3">
      <c r="C782" s="22" t="s">
        <v>227</v>
      </c>
      <c r="F782" s="32" t="s">
        <v>681</v>
      </c>
      <c r="G782" s="745" t="s">
        <v>682</v>
      </c>
      <c r="J782" s="1288" t="s">
        <v>522</v>
      </c>
      <c r="K782" s="1288" t="s">
        <v>522</v>
      </c>
      <c r="L782" s="1288" t="s">
        <v>671</v>
      </c>
      <c r="M782" s="22" t="str">
        <v/>
      </c>
    </row>
    <row r="783" spans="3:13" s="22" customFormat="1" ht="126" x14ac:dyDescent="0.3">
      <c r="J783" s="1288">
        <v>0.1</v>
      </c>
      <c r="K783" s="1288">
        <v>1.5</v>
      </c>
      <c r="L783" s="751" t="s">
        <v>680</v>
      </c>
      <c r="M783" s="22" t="str">
        <v/>
      </c>
    </row>
    <row r="784" spans="3:13" s="22" customFormat="1" ht="168" x14ac:dyDescent="0.3">
      <c r="F784" s="22" t="s">
        <v>683</v>
      </c>
      <c r="J784" s="1288">
        <v>1.6</v>
      </c>
      <c r="K784" s="1288">
        <v>1000</v>
      </c>
      <c r="L784" s="752" t="s">
        <v>682</v>
      </c>
      <c r="M784" s="22" t="str">
        <v/>
      </c>
    </row>
    <row r="785" spans="1:8" s="22" customFormat="1" ht="87.75" customHeight="1" x14ac:dyDescent="0.3">
      <c r="F785" s="22" t="s">
        <v>684</v>
      </c>
    </row>
    <row r="786" spans="1:8" s="22" customFormat="1" ht="37.5" customHeight="1" x14ac:dyDescent="0.3">
      <c r="F786" s="742" t="s">
        <v>685</v>
      </c>
      <c r="G786" s="742" t="s">
        <v>686</v>
      </c>
    </row>
    <row r="787" spans="1:8" s="22" customFormat="1" ht="84" x14ac:dyDescent="0.3">
      <c r="C787" s="22" t="s">
        <v>236</v>
      </c>
      <c r="F787" s="32" t="s">
        <v>687</v>
      </c>
      <c r="G787" s="745" t="s">
        <v>688</v>
      </c>
    </row>
    <row r="788" spans="1:8" s="22" customFormat="1" x14ac:dyDescent="0.3"/>
    <row r="789" spans="1:8" s="22" customFormat="1" x14ac:dyDescent="0.3"/>
    <row r="790" spans="1:8" s="22" customFormat="1" ht="23" x14ac:dyDescent="0.5">
      <c r="F790" s="741" t="s">
        <v>689</v>
      </c>
      <c r="G790" s="741" t="s">
        <v>690</v>
      </c>
    </row>
    <row r="791" spans="1:8" s="22" customFormat="1" x14ac:dyDescent="0.3"/>
    <row r="792" spans="1:8" s="22" customFormat="1" x14ac:dyDescent="0.3">
      <c r="F792" s="22" t="s">
        <v>691</v>
      </c>
    </row>
    <row r="793" spans="1:8" s="22" customFormat="1" x14ac:dyDescent="0.3">
      <c r="F793" s="22" t="s">
        <v>692</v>
      </c>
    </row>
    <row r="794" spans="1:8" s="22" customFormat="1" x14ac:dyDescent="0.3">
      <c r="G794" s="22" t="s">
        <v>29</v>
      </c>
      <c r="H794" s="22" t="s">
        <v>190</v>
      </c>
    </row>
    <row r="795" spans="1:8" s="22" customFormat="1" x14ac:dyDescent="0.3">
      <c r="A795" s="719" t="s">
        <v>298</v>
      </c>
      <c r="B795" s="719" t="s">
        <v>19</v>
      </c>
      <c r="C795" s="719" t="s">
        <v>693</v>
      </c>
      <c r="D795" s="719" t="s">
        <v>509</v>
      </c>
      <c r="F795" s="742" t="s">
        <v>445</v>
      </c>
      <c r="G795" s="742" t="s">
        <v>497</v>
      </c>
      <c r="H795" s="742" t="s">
        <v>694</v>
      </c>
    </row>
    <row r="796" spans="1:8" s="41" customFormat="1" ht="32.25" customHeight="1" x14ac:dyDescent="0.3">
      <c r="F796" s="735">
        <v>1</v>
      </c>
      <c r="G796" s="753">
        <v>2</v>
      </c>
      <c r="H796" s="41">
        <f>Minimum_R_Value_of_floor_insulation_where_the_floor_is_over_an_unenclosed_space196[[#This Row],[R-Value]]</f>
        <v>2</v>
      </c>
    </row>
    <row r="797" spans="1:8" s="41" customFormat="1" ht="32.25" customHeight="1" x14ac:dyDescent="0.3">
      <c r="F797" s="735">
        <v>2</v>
      </c>
      <c r="G797" s="753">
        <v>2</v>
      </c>
      <c r="H797" s="41">
        <f>Minimum_R_Value_of_floor_insulation_where_the_floor_is_over_an_unenclosed_space196[[#This Row],[R-Value]]</f>
        <v>2</v>
      </c>
    </row>
    <row r="798" spans="1:8" s="41" customFormat="1" ht="32.25" customHeight="1" x14ac:dyDescent="0.3">
      <c r="F798" s="735">
        <v>3</v>
      </c>
      <c r="G798" s="753">
        <v>1.5</v>
      </c>
      <c r="H798" s="41">
        <f>Minimum_R_Value_of_floor_insulation_where_the_floor_is_over_an_unenclosed_space196[[#This Row],[R-Value]]</f>
        <v>1.5</v>
      </c>
    </row>
    <row r="799" spans="1:8" s="41" customFormat="1" ht="32.25" customHeight="1" x14ac:dyDescent="0.3">
      <c r="F799" s="735">
        <v>4</v>
      </c>
      <c r="G799" s="745" t="s">
        <v>321</v>
      </c>
      <c r="H799" s="745" t="s">
        <v>321</v>
      </c>
    </row>
    <row r="800" spans="1:8" s="41" customFormat="1" ht="32.25" customHeight="1" x14ac:dyDescent="0.3">
      <c r="F800" s="735">
        <v>5</v>
      </c>
      <c r="G800" s="745" t="s">
        <v>321</v>
      </c>
      <c r="H800" s="745" t="s">
        <v>321</v>
      </c>
    </row>
    <row r="801" spans="2:10" s="41" customFormat="1" ht="32.25" customHeight="1" x14ac:dyDescent="0.3">
      <c r="F801" s="735">
        <v>6</v>
      </c>
      <c r="G801" s="753">
        <v>4</v>
      </c>
      <c r="H801" s="41">
        <v>3.5</v>
      </c>
      <c r="J801" s="41" t="s">
        <v>695</v>
      </c>
    </row>
    <row r="802" spans="2:10" s="41" customFormat="1" ht="32.25" customHeight="1" x14ac:dyDescent="0.3">
      <c r="F802" s="735">
        <v>7</v>
      </c>
      <c r="G802" s="753">
        <v>4</v>
      </c>
      <c r="H802" s="41">
        <v>3.5</v>
      </c>
      <c r="J802" s="41" t="s">
        <v>695</v>
      </c>
    </row>
    <row r="803" spans="2:10" s="41" customFormat="1" ht="32.25" customHeight="1" x14ac:dyDescent="0.3">
      <c r="F803" s="735">
        <v>8</v>
      </c>
      <c r="G803" s="753">
        <v>4</v>
      </c>
      <c r="H803" s="41">
        <v>3.5</v>
      </c>
      <c r="J803" s="41" t="s">
        <v>695</v>
      </c>
    </row>
    <row r="804" spans="2:10" s="22" customFormat="1" x14ac:dyDescent="0.3"/>
    <row r="805" spans="2:10" s="22" customFormat="1" x14ac:dyDescent="0.3">
      <c r="F805" s="22" t="s">
        <v>696</v>
      </c>
    </row>
    <row r="806" spans="2:10" s="22" customFormat="1" x14ac:dyDescent="0.3">
      <c r="F806" s="22" t="s">
        <v>697</v>
      </c>
    </row>
    <row r="807" spans="2:10" s="22" customFormat="1" ht="22.5" customHeight="1" x14ac:dyDescent="0.3">
      <c r="F807" s="754" t="s">
        <v>185</v>
      </c>
      <c r="G807" s="755" t="s">
        <v>698</v>
      </c>
      <c r="H807" s="22" t="s">
        <v>699</v>
      </c>
    </row>
    <row r="808" spans="2:10" s="22" customFormat="1" x14ac:dyDescent="0.3">
      <c r="B808" s="22">
        <v>2</v>
      </c>
      <c r="C808" s="22" t="str">
        <f>CONCATENATE(B808,Minimum_R_Value_of_subfloor_wall_insulation_where_the_floor_is_over_an_enclosed_subfloor_space_climate_zone_2197[[#This Row],[Subfloor wall height (mm)]])</f>
        <v>2≤600</v>
      </c>
      <c r="F808" s="723" t="s">
        <v>203</v>
      </c>
      <c r="G808" s="32"/>
      <c r="H808" s="745">
        <v>0.5</v>
      </c>
    </row>
    <row r="809" spans="2:10" s="22" customFormat="1" x14ac:dyDescent="0.3">
      <c r="B809" s="22">
        <v>2</v>
      </c>
      <c r="C809" s="22" t="str">
        <f>CONCATENATE(B809,Minimum_R_Value_of_subfloor_wall_insulation_where_the_floor_is_over_an_enclosed_subfloor_space_climate_zone_2197[[#This Row],[Subfloor wall height (mm)]])</f>
        <v>2&gt;600 to ≤900</v>
      </c>
      <c r="F809" s="723" t="s">
        <v>215</v>
      </c>
      <c r="G809" s="32"/>
      <c r="H809" s="32">
        <v>1</v>
      </c>
    </row>
    <row r="810" spans="2:10" s="22" customFormat="1" x14ac:dyDescent="0.3">
      <c r="B810" s="22">
        <v>2</v>
      </c>
      <c r="C810" s="22" t="str">
        <f>CONCATENATE(B810,Minimum_R_Value_of_subfloor_wall_insulation_where_the_floor_is_over_an_enclosed_subfloor_space_climate_zone_2197[[#This Row],[Subfloor wall height (mm)]])</f>
        <v>2&gt;900 to ≤1200</v>
      </c>
      <c r="F810" s="723" t="s">
        <v>224</v>
      </c>
      <c r="G810" s="32"/>
      <c r="H810" s="32">
        <v>1.5</v>
      </c>
    </row>
    <row r="811" spans="2:10" s="22" customFormat="1" x14ac:dyDescent="0.3">
      <c r="B811" s="22">
        <v>2</v>
      </c>
      <c r="C811" s="22" t="str">
        <f>CONCATENATE(B811,Minimum_R_Value_of_subfloor_wall_insulation_where_the_floor_is_over_an_enclosed_subfloor_space_climate_zone_2197[[#This Row],[Subfloor wall height (mm)]])</f>
        <v>2&gt;1200 to ≤1500</v>
      </c>
      <c r="F811" s="723" t="s">
        <v>231</v>
      </c>
      <c r="G811" s="32"/>
      <c r="H811" s="32">
        <v>1.5</v>
      </c>
    </row>
    <row r="812" spans="2:10" s="22" customFormat="1" x14ac:dyDescent="0.3">
      <c r="B812" s="22">
        <v>2</v>
      </c>
      <c r="C812" s="22" t="str">
        <f>CONCATENATE(B812,Minimum_R_Value_of_subfloor_wall_insulation_where_the_floor_is_over_an_enclosed_subfloor_space_climate_zone_2197[[#This Row],[Subfloor wall height (mm)]])</f>
        <v>2&gt;1500 to ≤1800</v>
      </c>
      <c r="F812" s="723" t="s">
        <v>235</v>
      </c>
      <c r="G812" s="32"/>
      <c r="H812" s="32">
        <v>1.5</v>
      </c>
    </row>
    <row r="813" spans="2:10" s="22" customFormat="1" x14ac:dyDescent="0.3">
      <c r="F813" s="723"/>
    </row>
    <row r="814" spans="2:10" s="22" customFormat="1" x14ac:dyDescent="0.3">
      <c r="F814" s="723" t="s">
        <v>700</v>
      </c>
    </row>
    <row r="815" spans="2:10" s="22" customFormat="1" x14ac:dyDescent="0.3">
      <c r="F815" s="723" t="s">
        <v>701</v>
      </c>
    </row>
    <row r="816" spans="2:10" s="22" customFormat="1" x14ac:dyDescent="0.3">
      <c r="F816" s="754" t="s">
        <v>185</v>
      </c>
      <c r="G816" s="755" t="s">
        <v>698</v>
      </c>
      <c r="H816" s="22" t="s">
        <v>699</v>
      </c>
    </row>
    <row r="817" spans="2:12" s="22" customFormat="1" x14ac:dyDescent="0.3">
      <c r="B817" s="22">
        <v>3</v>
      </c>
      <c r="C817" s="22" t="str">
        <f>CONCATENATE(B817,Minimum_R_Value_of_subfloor_wall_insulation_where_the_floor_is_over_an_enclosed_subfloor_space_climate_zone_3198[[#This Row],[Subfloor wall height (mm)]])</f>
        <v>3≤600</v>
      </c>
      <c r="F817" s="723" t="s">
        <v>203</v>
      </c>
      <c r="G817" s="32"/>
      <c r="H817" s="745">
        <v>0.5</v>
      </c>
    </row>
    <row r="818" spans="2:12" s="22" customFormat="1" x14ac:dyDescent="0.3">
      <c r="B818" s="22">
        <v>3</v>
      </c>
      <c r="C818" s="22" t="str">
        <f>CONCATENATE(B818,Minimum_R_Value_of_subfloor_wall_insulation_where_the_floor_is_over_an_enclosed_subfloor_space_climate_zone_3198[[#This Row],[Subfloor wall height (mm)]])</f>
        <v>3&gt;600 to ≤900</v>
      </c>
      <c r="F818" s="723" t="s">
        <v>215</v>
      </c>
      <c r="G818" s="32"/>
      <c r="H818" s="32">
        <v>0.5</v>
      </c>
    </row>
    <row r="819" spans="2:12" s="22" customFormat="1" x14ac:dyDescent="0.3">
      <c r="B819" s="22">
        <v>3</v>
      </c>
      <c r="C819" s="22" t="str">
        <f>CONCATENATE(B819,Minimum_R_Value_of_subfloor_wall_insulation_where_the_floor_is_over_an_enclosed_subfloor_space_climate_zone_3198[[#This Row],[Subfloor wall height (mm)]])</f>
        <v>3&gt;900 to ≤1200</v>
      </c>
      <c r="F819" s="723" t="s">
        <v>224</v>
      </c>
      <c r="G819" s="32"/>
      <c r="H819" s="32">
        <v>0.5</v>
      </c>
    </row>
    <row r="820" spans="2:12" s="22" customFormat="1" x14ac:dyDescent="0.3">
      <c r="B820" s="22">
        <v>3</v>
      </c>
      <c r="C820" s="22" t="str">
        <f>CONCATENATE(B820,Minimum_R_Value_of_subfloor_wall_insulation_where_the_floor_is_over_an_enclosed_subfloor_space_climate_zone_3198[[#This Row],[Subfloor wall height (mm)]])</f>
        <v>3&gt;1200 to ≤1500</v>
      </c>
      <c r="F820" s="723" t="s">
        <v>231</v>
      </c>
      <c r="G820" s="32"/>
      <c r="H820" s="32">
        <v>0.5</v>
      </c>
    </row>
    <row r="821" spans="2:12" s="22" customFormat="1" x14ac:dyDescent="0.3">
      <c r="B821" s="22">
        <v>3</v>
      </c>
      <c r="C821" s="22" t="str">
        <f>CONCATENATE(B821,Minimum_R_Value_of_subfloor_wall_insulation_where_the_floor_is_over_an_enclosed_subfloor_space_climate_zone_3198[[#This Row],[Subfloor wall height (mm)]])</f>
        <v>3&gt;1500 to ≤1800</v>
      </c>
      <c r="F821" s="723" t="s">
        <v>235</v>
      </c>
      <c r="G821" s="32"/>
      <c r="H821" s="32">
        <v>0.5</v>
      </c>
    </row>
    <row r="822" spans="2:12" s="22" customFormat="1" x14ac:dyDescent="0.3">
      <c r="F822" s="723"/>
    </row>
    <row r="823" spans="2:12" s="22" customFormat="1" x14ac:dyDescent="0.3">
      <c r="F823" s="723" t="s">
        <v>702</v>
      </c>
    </row>
    <row r="824" spans="2:12" s="22" customFormat="1" x14ac:dyDescent="0.3">
      <c r="F824" s="723" t="s">
        <v>703</v>
      </c>
    </row>
    <row r="825" spans="2:12" s="22" customFormat="1" ht="28" x14ac:dyDescent="0.3">
      <c r="F825" s="754" t="s">
        <v>185</v>
      </c>
      <c r="G825" s="742" t="s">
        <v>704</v>
      </c>
      <c r="H825" s="742" t="s">
        <v>699</v>
      </c>
      <c r="I825" s="742" t="s">
        <v>705</v>
      </c>
      <c r="K825" s="22" t="s">
        <v>454</v>
      </c>
      <c r="L825" s="22" t="s">
        <v>455</v>
      </c>
    </row>
    <row r="826" spans="2:12" s="22" customFormat="1" x14ac:dyDescent="0.3">
      <c r="B826" s="22">
        <v>4</v>
      </c>
      <c r="C826" s="22" t="str">
        <f>CONCATENATE(B826,F826, G826,H826)</f>
        <v>4≤600No0.5</v>
      </c>
      <c r="F826" s="723" t="s">
        <v>203</v>
      </c>
      <c r="G826" s="745" t="s">
        <v>29</v>
      </c>
      <c r="H826" s="32">
        <v>0.5</v>
      </c>
      <c r="I826" s="745">
        <v>1</v>
      </c>
      <c r="K826" s="756">
        <v>0.5</v>
      </c>
      <c r="L826" s="22">
        <f>IF(K827=0,1000,K827)</f>
        <v>1</v>
      </c>
    </row>
    <row r="827" spans="2:12" s="22" customFormat="1" x14ac:dyDescent="0.3">
      <c r="B827" s="22">
        <v>4</v>
      </c>
      <c r="C827" s="22" t="str">
        <f t="shared" ref="C827:C844" si="11">CONCATENATE(B827,F827, G827,H827)</f>
        <v>4≤600No1</v>
      </c>
      <c r="F827" s="723" t="s">
        <v>203</v>
      </c>
      <c r="G827" s="32" t="s">
        <v>29</v>
      </c>
      <c r="H827" s="32">
        <v>1</v>
      </c>
      <c r="I827" s="32">
        <v>0.5</v>
      </c>
      <c r="K827" s="756">
        <v>1</v>
      </c>
      <c r="L827" s="22">
        <f t="shared" ref="L827:L843" si="12">IF(K828=0,1000,K828)</f>
        <v>1000</v>
      </c>
    </row>
    <row r="828" spans="2:12" s="22" customFormat="1" x14ac:dyDescent="0.3">
      <c r="B828" s="22">
        <v>4</v>
      </c>
      <c r="C828" s="22" t="str">
        <f t="shared" si="11"/>
        <v>4≤600Yes0</v>
      </c>
      <c r="F828" s="723" t="s">
        <v>203</v>
      </c>
      <c r="G828" s="32" t="s">
        <v>190</v>
      </c>
      <c r="H828" s="32">
        <v>0</v>
      </c>
      <c r="I828" s="32">
        <v>1.5</v>
      </c>
      <c r="K828" s="756">
        <v>0</v>
      </c>
      <c r="L828" s="22">
        <f t="shared" si="12"/>
        <v>0.5</v>
      </c>
    </row>
    <row r="829" spans="2:12" s="22" customFormat="1" x14ac:dyDescent="0.3">
      <c r="B829" s="22">
        <v>4</v>
      </c>
      <c r="C829" s="22" t="str">
        <f t="shared" si="11"/>
        <v>4≤600Yes0.5</v>
      </c>
      <c r="F829" s="723" t="s">
        <v>203</v>
      </c>
      <c r="G829" s="745" t="s">
        <v>190</v>
      </c>
      <c r="H829" s="32">
        <v>0.5</v>
      </c>
      <c r="I829" s="745">
        <v>1</v>
      </c>
      <c r="K829" s="756">
        <v>0.5</v>
      </c>
      <c r="L829" s="22">
        <f t="shared" si="12"/>
        <v>2</v>
      </c>
    </row>
    <row r="830" spans="2:12" s="22" customFormat="1" x14ac:dyDescent="0.3">
      <c r="B830" s="22">
        <v>4</v>
      </c>
      <c r="C830" s="22" t="str">
        <f t="shared" si="11"/>
        <v>4≤600Yes2</v>
      </c>
      <c r="F830" s="723" t="s">
        <v>203</v>
      </c>
      <c r="G830" s="745" t="s">
        <v>190</v>
      </c>
      <c r="H830" s="32">
        <v>2</v>
      </c>
      <c r="I830" s="745">
        <v>0.5</v>
      </c>
      <c r="K830" s="756">
        <v>2</v>
      </c>
      <c r="L830" s="22">
        <f t="shared" si="12"/>
        <v>1000</v>
      </c>
    </row>
    <row r="831" spans="2:12" s="22" customFormat="1" x14ac:dyDescent="0.3">
      <c r="B831" s="22">
        <v>4</v>
      </c>
      <c r="C831" s="22" t="str">
        <f t="shared" si="11"/>
        <v>4&gt;600 to ≤900No0</v>
      </c>
      <c r="F831" s="723" t="s">
        <v>215</v>
      </c>
      <c r="G831" s="745" t="s">
        <v>29</v>
      </c>
      <c r="H831" s="32">
        <v>0</v>
      </c>
      <c r="I831" s="745">
        <v>1.5</v>
      </c>
      <c r="K831" s="756">
        <v>0</v>
      </c>
      <c r="L831" s="22">
        <f t="shared" si="12"/>
        <v>1.5</v>
      </c>
    </row>
    <row r="832" spans="2:12" s="22" customFormat="1" x14ac:dyDescent="0.3">
      <c r="B832" s="22">
        <v>4</v>
      </c>
      <c r="C832" s="22" t="str">
        <f t="shared" si="11"/>
        <v>4&gt;600 to ≤900No1.5</v>
      </c>
      <c r="F832" s="723" t="s">
        <v>215</v>
      </c>
      <c r="G832" s="745" t="s">
        <v>29</v>
      </c>
      <c r="H832" s="32">
        <v>1.5</v>
      </c>
      <c r="I832" s="745">
        <v>0.5</v>
      </c>
      <c r="K832" s="756">
        <v>1.5</v>
      </c>
      <c r="L832" s="22">
        <f t="shared" si="12"/>
        <v>1000</v>
      </c>
    </row>
    <row r="833" spans="2:12" s="22" customFormat="1" x14ac:dyDescent="0.3">
      <c r="B833" s="22">
        <v>4</v>
      </c>
      <c r="C833" s="22" t="str">
        <f t="shared" si="11"/>
        <v>4&gt;600 to ≤900Yes0</v>
      </c>
      <c r="F833" s="723" t="s">
        <v>215</v>
      </c>
      <c r="G833" s="745" t="s">
        <v>190</v>
      </c>
      <c r="H833" s="32">
        <v>0</v>
      </c>
      <c r="I833" s="745">
        <v>1.5</v>
      </c>
      <c r="K833" s="756">
        <v>0</v>
      </c>
      <c r="L833" s="22">
        <f t="shared" si="12"/>
        <v>0.5</v>
      </c>
    </row>
    <row r="834" spans="2:12" s="22" customFormat="1" x14ac:dyDescent="0.3">
      <c r="B834" s="22">
        <v>4</v>
      </c>
      <c r="C834" s="22" t="str">
        <f t="shared" si="11"/>
        <v>4&gt;600 to ≤900Yes0.5</v>
      </c>
      <c r="F834" s="723" t="s">
        <v>215</v>
      </c>
      <c r="G834" s="745" t="s">
        <v>190</v>
      </c>
      <c r="H834" s="32">
        <v>0.5</v>
      </c>
      <c r="I834" s="745">
        <v>1</v>
      </c>
      <c r="K834" s="756">
        <v>0.5</v>
      </c>
      <c r="L834" s="22">
        <f t="shared" si="12"/>
        <v>1000</v>
      </c>
    </row>
    <row r="835" spans="2:12" s="22" customFormat="1" x14ac:dyDescent="0.3">
      <c r="B835" s="22">
        <v>4</v>
      </c>
      <c r="C835" s="22" t="str">
        <f t="shared" si="11"/>
        <v>4&gt;900 to ≤1200No0</v>
      </c>
      <c r="F835" s="723" t="s">
        <v>224</v>
      </c>
      <c r="G835" s="745" t="s">
        <v>29</v>
      </c>
      <c r="H835" s="32">
        <v>0</v>
      </c>
      <c r="I835" s="745">
        <v>1.5</v>
      </c>
      <c r="K835" s="756">
        <v>0</v>
      </c>
      <c r="L835" s="22">
        <f t="shared" si="12"/>
        <v>0.5</v>
      </c>
    </row>
    <row r="836" spans="2:12" s="22" customFormat="1" x14ac:dyDescent="0.3">
      <c r="B836" s="22">
        <v>4</v>
      </c>
      <c r="C836" s="22" t="str">
        <f t="shared" si="11"/>
        <v>4&gt;900 to ≤1200No0.5</v>
      </c>
      <c r="F836" s="723" t="s">
        <v>224</v>
      </c>
      <c r="G836" s="745" t="s">
        <v>29</v>
      </c>
      <c r="H836" s="32">
        <v>0.5</v>
      </c>
      <c r="I836" s="745">
        <v>1</v>
      </c>
      <c r="K836" s="756">
        <v>0.5</v>
      </c>
      <c r="L836" s="22">
        <f t="shared" si="12"/>
        <v>0.5</v>
      </c>
    </row>
    <row r="837" spans="2:12" s="22" customFormat="1" x14ac:dyDescent="0.3">
      <c r="B837" s="22">
        <v>4</v>
      </c>
      <c r="C837" s="22" t="str">
        <f t="shared" si="11"/>
        <v>4&gt;900 to ≤1200Yes0.5</v>
      </c>
      <c r="F837" s="723" t="s">
        <v>224</v>
      </c>
      <c r="G837" s="745" t="s">
        <v>190</v>
      </c>
      <c r="H837" s="32">
        <v>0.5</v>
      </c>
      <c r="I837" s="745">
        <v>1</v>
      </c>
      <c r="K837" s="756">
        <v>0.5</v>
      </c>
      <c r="L837" s="22">
        <f t="shared" si="12"/>
        <v>2</v>
      </c>
    </row>
    <row r="838" spans="2:12" s="22" customFormat="1" x14ac:dyDescent="0.3">
      <c r="B838" s="22">
        <v>4</v>
      </c>
      <c r="C838" s="22" t="str">
        <f t="shared" si="11"/>
        <v>4&gt;900 to ≤1200Yes2</v>
      </c>
      <c r="F838" s="723" t="s">
        <v>224</v>
      </c>
      <c r="G838" s="745" t="s">
        <v>190</v>
      </c>
      <c r="H838" s="32">
        <v>2</v>
      </c>
      <c r="I838" s="745">
        <v>0.5</v>
      </c>
      <c r="K838" s="756">
        <v>2</v>
      </c>
      <c r="L838" s="22">
        <f t="shared" si="12"/>
        <v>1000</v>
      </c>
    </row>
    <row r="839" spans="2:12" s="22" customFormat="1" x14ac:dyDescent="0.3">
      <c r="B839" s="22">
        <v>4</v>
      </c>
      <c r="C839" s="22" t="str">
        <f t="shared" si="11"/>
        <v>4&gt;1200 to ≤1500No0</v>
      </c>
      <c r="F839" s="723" t="s">
        <v>231</v>
      </c>
      <c r="G839" s="745" t="s">
        <v>29</v>
      </c>
      <c r="H839" s="32">
        <v>0</v>
      </c>
      <c r="I839" s="745">
        <v>1.5</v>
      </c>
      <c r="K839" s="756">
        <v>0</v>
      </c>
      <c r="L839" s="22">
        <f t="shared" si="12"/>
        <v>1000</v>
      </c>
    </row>
    <row r="840" spans="2:12" s="22" customFormat="1" x14ac:dyDescent="0.3">
      <c r="B840" s="22">
        <v>4</v>
      </c>
      <c r="C840" s="22" t="str">
        <f t="shared" si="11"/>
        <v>4&gt;1200 to ≤1500Yes0</v>
      </c>
      <c r="F840" s="723" t="s">
        <v>231</v>
      </c>
      <c r="G840" s="745" t="s">
        <v>190</v>
      </c>
      <c r="H840" s="32">
        <v>0</v>
      </c>
      <c r="I840" s="745">
        <v>1.5</v>
      </c>
      <c r="K840" s="756">
        <v>0</v>
      </c>
      <c r="L840" s="22">
        <f t="shared" si="12"/>
        <v>0.5</v>
      </c>
    </row>
    <row r="841" spans="2:12" s="22" customFormat="1" x14ac:dyDescent="0.3">
      <c r="B841" s="22">
        <v>4</v>
      </c>
      <c r="C841" s="22" t="str">
        <f t="shared" si="11"/>
        <v>4&gt;1200 to ≤1500Yes0.5</v>
      </c>
      <c r="F841" s="723" t="s">
        <v>231</v>
      </c>
      <c r="G841" s="745" t="s">
        <v>190</v>
      </c>
      <c r="H841" s="32">
        <v>0.5</v>
      </c>
      <c r="I841" s="745">
        <v>1</v>
      </c>
      <c r="K841" s="756">
        <v>0.5</v>
      </c>
      <c r="L841" s="22">
        <f t="shared" si="12"/>
        <v>0.5</v>
      </c>
    </row>
    <row r="842" spans="2:12" s="22" customFormat="1" x14ac:dyDescent="0.3">
      <c r="B842" s="22">
        <v>4</v>
      </c>
      <c r="C842" s="22" t="str">
        <f t="shared" si="11"/>
        <v>4&gt;1500 to ≤1800No0.5</v>
      </c>
      <c r="F842" s="723" t="s">
        <v>235</v>
      </c>
      <c r="G842" s="745" t="s">
        <v>29</v>
      </c>
      <c r="H842" s="32">
        <v>0.5</v>
      </c>
      <c r="I842" s="745">
        <v>1.5</v>
      </c>
      <c r="K842" s="756">
        <v>0.5</v>
      </c>
      <c r="L842" s="22">
        <f t="shared" si="12"/>
        <v>1</v>
      </c>
    </row>
    <row r="843" spans="2:12" s="22" customFormat="1" x14ac:dyDescent="0.3">
      <c r="B843" s="22">
        <v>4</v>
      </c>
      <c r="C843" s="22" t="str">
        <f t="shared" si="11"/>
        <v>4&gt;1500 to ≤1800No1</v>
      </c>
      <c r="F843" s="723" t="s">
        <v>235</v>
      </c>
      <c r="G843" s="745" t="s">
        <v>29</v>
      </c>
      <c r="H843" s="32">
        <v>1</v>
      </c>
      <c r="I843" s="745">
        <v>1</v>
      </c>
      <c r="K843" s="756">
        <v>1</v>
      </c>
      <c r="L843" s="22">
        <f t="shared" si="12"/>
        <v>1000</v>
      </c>
    </row>
    <row r="844" spans="2:12" s="22" customFormat="1" x14ac:dyDescent="0.3">
      <c r="B844" s="22">
        <v>4</v>
      </c>
      <c r="C844" s="22" t="str">
        <f t="shared" si="11"/>
        <v>4&gt;1500 to ≤1800Yes0</v>
      </c>
      <c r="F844" s="723" t="s">
        <v>235</v>
      </c>
      <c r="G844" s="745" t="s">
        <v>190</v>
      </c>
      <c r="H844" s="32">
        <v>0</v>
      </c>
      <c r="I844" s="745">
        <v>2</v>
      </c>
      <c r="K844" s="757">
        <v>0</v>
      </c>
      <c r="L844" s="22">
        <f>IF(M845=0,1000,M845)</f>
        <v>1000</v>
      </c>
    </row>
    <row r="845" spans="2:12" s="22" customFormat="1" x14ac:dyDescent="0.3">
      <c r="F845" s="723"/>
    </row>
    <row r="846" spans="2:12" s="22" customFormat="1" x14ac:dyDescent="0.3">
      <c r="F846" s="723" t="s">
        <v>706</v>
      </c>
    </row>
    <row r="847" spans="2:12" s="22" customFormat="1" x14ac:dyDescent="0.3">
      <c r="F847" s="723" t="s">
        <v>707</v>
      </c>
    </row>
    <row r="848" spans="2:12" s="22" customFormat="1" ht="28" x14ac:dyDescent="0.3">
      <c r="F848" s="754" t="s">
        <v>185</v>
      </c>
      <c r="G848" s="742" t="s">
        <v>708</v>
      </c>
      <c r="H848" s="742" t="s">
        <v>699</v>
      </c>
      <c r="I848" s="742" t="s">
        <v>705</v>
      </c>
    </row>
    <row r="849" spans="2:12" s="22" customFormat="1" x14ac:dyDescent="0.3">
      <c r="B849" s="22">
        <v>5</v>
      </c>
      <c r="C849" s="22" t="str">
        <f t="shared" ref="C849:C860" si="13">CONCATENATE(B849,F849, G849,H849)</f>
        <v>5≤600No0</v>
      </c>
      <c r="F849" s="723" t="s">
        <v>203</v>
      </c>
      <c r="G849" s="745" t="s">
        <v>29</v>
      </c>
      <c r="H849" s="32">
        <v>0</v>
      </c>
      <c r="I849" s="745">
        <v>1.5</v>
      </c>
      <c r="K849" s="756">
        <v>0</v>
      </c>
      <c r="L849" s="22">
        <f>IF(K850=0,1000,K850)</f>
        <v>1000</v>
      </c>
    </row>
    <row r="850" spans="2:12" s="22" customFormat="1" x14ac:dyDescent="0.3">
      <c r="B850" s="22">
        <v>5</v>
      </c>
      <c r="C850" s="22" t="str">
        <f t="shared" si="13"/>
        <v>5≤600Yes0</v>
      </c>
      <c r="F850" s="723" t="s">
        <v>203</v>
      </c>
      <c r="G850" s="32" t="s">
        <v>190</v>
      </c>
      <c r="H850" s="32">
        <v>0</v>
      </c>
      <c r="I850" s="32">
        <v>2</v>
      </c>
      <c r="K850" s="756">
        <v>0</v>
      </c>
      <c r="L850" s="22">
        <f t="shared" ref="L850:L859" si="14">IF(K851=0,1000,K851)</f>
        <v>1000</v>
      </c>
    </row>
    <row r="851" spans="2:12" s="22" customFormat="1" x14ac:dyDescent="0.3">
      <c r="B851" s="22">
        <v>5</v>
      </c>
      <c r="C851" s="22" t="str">
        <f t="shared" si="13"/>
        <v>5&gt;600 to ≤900No0</v>
      </c>
      <c r="F851" s="723" t="s">
        <v>215</v>
      </c>
      <c r="G851" s="32" t="s">
        <v>29</v>
      </c>
      <c r="H851" s="32">
        <v>0</v>
      </c>
      <c r="I851" s="32">
        <v>1.5</v>
      </c>
      <c r="K851" s="756">
        <v>0</v>
      </c>
      <c r="L851" s="22">
        <f t="shared" si="14"/>
        <v>1000</v>
      </c>
    </row>
    <row r="852" spans="2:12" s="22" customFormat="1" x14ac:dyDescent="0.3">
      <c r="B852" s="22">
        <v>5</v>
      </c>
      <c r="C852" s="22" t="str">
        <f t="shared" si="13"/>
        <v>5&gt;600 to ≤900Yes0</v>
      </c>
      <c r="F852" s="723" t="s">
        <v>215</v>
      </c>
      <c r="G852" s="745" t="s">
        <v>190</v>
      </c>
      <c r="H852" s="32">
        <v>0</v>
      </c>
      <c r="I852" s="745">
        <v>2</v>
      </c>
      <c r="K852" s="756">
        <v>0</v>
      </c>
      <c r="L852" s="22">
        <f t="shared" si="14"/>
        <v>1000</v>
      </c>
    </row>
    <row r="853" spans="2:12" s="22" customFormat="1" x14ac:dyDescent="0.3">
      <c r="B853" s="22">
        <v>5</v>
      </c>
      <c r="C853" s="22" t="str">
        <f t="shared" si="13"/>
        <v>5&gt;900 to ≤1200No0</v>
      </c>
      <c r="F853" s="723" t="s">
        <v>224</v>
      </c>
      <c r="G853" s="745" t="s">
        <v>29</v>
      </c>
      <c r="H853" s="32">
        <v>0</v>
      </c>
      <c r="I853" s="745">
        <v>2</v>
      </c>
      <c r="K853" s="756">
        <v>0</v>
      </c>
      <c r="L853" s="22">
        <f t="shared" si="14"/>
        <v>1000</v>
      </c>
    </row>
    <row r="854" spans="2:12" s="22" customFormat="1" x14ac:dyDescent="0.3">
      <c r="B854" s="22">
        <v>5</v>
      </c>
      <c r="C854" s="22" t="str">
        <f t="shared" si="13"/>
        <v>5&gt;900 to ≤1200Yes0</v>
      </c>
      <c r="F854" s="723" t="s">
        <v>224</v>
      </c>
      <c r="G854" s="745" t="s">
        <v>190</v>
      </c>
      <c r="H854" s="32">
        <v>0</v>
      </c>
      <c r="I854" s="745">
        <v>2</v>
      </c>
      <c r="K854" s="756">
        <v>0</v>
      </c>
      <c r="L854" s="22">
        <f t="shared" si="14"/>
        <v>1000</v>
      </c>
    </row>
    <row r="855" spans="2:12" s="22" customFormat="1" x14ac:dyDescent="0.3">
      <c r="B855" s="22">
        <v>5</v>
      </c>
      <c r="C855" s="22" t="str">
        <f t="shared" si="13"/>
        <v>5&gt;1200 to ≤1500No0</v>
      </c>
      <c r="F855" s="723" t="s">
        <v>231</v>
      </c>
      <c r="G855" s="745" t="s">
        <v>29</v>
      </c>
      <c r="H855" s="32">
        <v>0</v>
      </c>
      <c r="I855" s="745">
        <v>2</v>
      </c>
      <c r="K855" s="756">
        <v>0</v>
      </c>
      <c r="L855" s="22">
        <f t="shared" si="14"/>
        <v>1000</v>
      </c>
    </row>
    <row r="856" spans="2:12" s="22" customFormat="1" x14ac:dyDescent="0.3">
      <c r="B856" s="22">
        <v>5</v>
      </c>
      <c r="C856" s="22" t="str">
        <f t="shared" si="13"/>
        <v>5&gt;1200 to ≤1500Yes0</v>
      </c>
      <c r="F856" s="723" t="s">
        <v>231</v>
      </c>
      <c r="G856" s="745" t="s">
        <v>190</v>
      </c>
      <c r="H856" s="32">
        <v>0</v>
      </c>
      <c r="I856" s="745">
        <v>2</v>
      </c>
      <c r="K856" s="756">
        <v>0</v>
      </c>
      <c r="L856" s="22">
        <f t="shared" si="14"/>
        <v>1000</v>
      </c>
    </row>
    <row r="857" spans="2:12" s="22" customFormat="1" x14ac:dyDescent="0.3">
      <c r="B857" s="22">
        <v>5</v>
      </c>
      <c r="C857" s="22" t="str">
        <f t="shared" si="13"/>
        <v>5&gt;1500 to ≤1800No0</v>
      </c>
      <c r="F857" s="723" t="s">
        <v>235</v>
      </c>
      <c r="G857" s="745" t="s">
        <v>29</v>
      </c>
      <c r="H857" s="32">
        <v>0</v>
      </c>
      <c r="I857" s="745">
        <v>2.5</v>
      </c>
      <c r="K857" s="756">
        <v>0</v>
      </c>
      <c r="L857" s="22">
        <f t="shared" si="14"/>
        <v>0.5</v>
      </c>
    </row>
    <row r="858" spans="2:12" s="22" customFormat="1" x14ac:dyDescent="0.3">
      <c r="B858" s="22">
        <v>5</v>
      </c>
      <c r="C858" s="22" t="str">
        <f t="shared" si="13"/>
        <v>5&gt;1500 to ≤1800No0.5</v>
      </c>
      <c r="F858" s="723" t="s">
        <v>235</v>
      </c>
      <c r="G858" s="745" t="s">
        <v>29</v>
      </c>
      <c r="H858" s="32">
        <v>0.5</v>
      </c>
      <c r="I858" s="745">
        <v>2</v>
      </c>
      <c r="K858" s="756">
        <v>0.5</v>
      </c>
      <c r="L858" s="22">
        <f t="shared" si="14"/>
        <v>1000</v>
      </c>
    </row>
    <row r="859" spans="2:12" s="22" customFormat="1" x14ac:dyDescent="0.3">
      <c r="B859" s="22">
        <v>5</v>
      </c>
      <c r="C859" s="22" t="str">
        <f t="shared" si="13"/>
        <v>5&gt;1500 to ≤1800Yes0</v>
      </c>
      <c r="F859" s="723" t="s">
        <v>235</v>
      </c>
      <c r="G859" s="745" t="s">
        <v>190</v>
      </c>
      <c r="H859" s="32">
        <v>0</v>
      </c>
      <c r="I859" s="745">
        <v>2.5</v>
      </c>
      <c r="K859" s="756">
        <v>0</v>
      </c>
      <c r="L859" s="22">
        <f t="shared" si="14"/>
        <v>0.5</v>
      </c>
    </row>
    <row r="860" spans="2:12" s="22" customFormat="1" x14ac:dyDescent="0.3">
      <c r="B860" s="22">
        <v>5</v>
      </c>
      <c r="C860" s="22" t="str">
        <f t="shared" si="13"/>
        <v>5&gt;1500 to ≤1800Yes0.5</v>
      </c>
      <c r="F860" s="723" t="s">
        <v>235</v>
      </c>
      <c r="G860" s="745" t="s">
        <v>190</v>
      </c>
      <c r="H860" s="32">
        <v>0.5</v>
      </c>
      <c r="I860" s="745">
        <v>2</v>
      </c>
      <c r="K860" s="757">
        <v>0.5</v>
      </c>
      <c r="L860" s="22">
        <f>IF(M861=0,1000,M861)</f>
        <v>1000</v>
      </c>
    </row>
    <row r="861" spans="2:12" s="22" customFormat="1" x14ac:dyDescent="0.3">
      <c r="F861" s="723"/>
    </row>
    <row r="862" spans="2:12" s="22" customFormat="1" x14ac:dyDescent="0.3">
      <c r="F862" s="723" t="s">
        <v>709</v>
      </c>
    </row>
    <row r="863" spans="2:12" s="22" customFormat="1" x14ac:dyDescent="0.3">
      <c r="F863" s="723" t="s">
        <v>710</v>
      </c>
    </row>
    <row r="864" spans="2:12" s="22" customFormat="1" ht="28" x14ac:dyDescent="0.3">
      <c r="F864" s="754" t="s">
        <v>185</v>
      </c>
      <c r="G864" s="742" t="s">
        <v>711</v>
      </c>
      <c r="H864" s="742" t="s">
        <v>699</v>
      </c>
      <c r="I864" s="742" t="s">
        <v>705</v>
      </c>
    </row>
    <row r="865" spans="2:12" s="22" customFormat="1" x14ac:dyDescent="0.3">
      <c r="B865" s="22">
        <v>6</v>
      </c>
      <c r="C865" s="22" t="str">
        <f t="shared" ref="C865:C876" si="15">CONCATENATE(B865,F865, G865,H865)</f>
        <v>6≤600No0</v>
      </c>
      <c r="F865" s="723" t="s">
        <v>203</v>
      </c>
      <c r="G865" s="745" t="s">
        <v>29</v>
      </c>
      <c r="H865" s="32">
        <v>0</v>
      </c>
      <c r="I865" s="745">
        <v>2</v>
      </c>
      <c r="K865" s="756">
        <v>0</v>
      </c>
      <c r="L865" s="22">
        <f t="shared" ref="L865:L875" si="16">IF(K866=0,1000,K866)</f>
        <v>1000</v>
      </c>
    </row>
    <row r="866" spans="2:12" s="22" customFormat="1" x14ac:dyDescent="0.3">
      <c r="B866" s="22">
        <v>6</v>
      </c>
      <c r="C866" s="22" t="str">
        <f t="shared" si="15"/>
        <v>6≤600Yes0</v>
      </c>
      <c r="F866" s="723" t="s">
        <v>203</v>
      </c>
      <c r="G866" s="32" t="s">
        <v>190</v>
      </c>
      <c r="H866" s="32">
        <v>0</v>
      </c>
      <c r="I866" s="32">
        <v>1.5</v>
      </c>
      <c r="K866" s="756">
        <v>0</v>
      </c>
      <c r="L866" s="22">
        <f t="shared" si="16"/>
        <v>1000</v>
      </c>
    </row>
    <row r="867" spans="2:12" s="22" customFormat="1" x14ac:dyDescent="0.3">
      <c r="B867" s="22">
        <v>6</v>
      </c>
      <c r="C867" s="22" t="str">
        <f t="shared" si="15"/>
        <v>6&gt;600 to ≤900No0</v>
      </c>
      <c r="F867" s="723" t="s">
        <v>215</v>
      </c>
      <c r="G867" s="32" t="s">
        <v>29</v>
      </c>
      <c r="H867" s="32">
        <v>0</v>
      </c>
      <c r="I867" s="32">
        <v>2</v>
      </c>
      <c r="K867" s="756">
        <v>0</v>
      </c>
      <c r="L867" s="22">
        <f t="shared" si="16"/>
        <v>1000</v>
      </c>
    </row>
    <row r="868" spans="2:12" s="22" customFormat="1" x14ac:dyDescent="0.3">
      <c r="B868" s="22">
        <v>6</v>
      </c>
      <c r="C868" s="22" t="str">
        <f t="shared" si="15"/>
        <v>6&gt;600 to ≤900Yes0</v>
      </c>
      <c r="F868" s="723" t="s">
        <v>215</v>
      </c>
      <c r="G868" s="745" t="s">
        <v>190</v>
      </c>
      <c r="H868" s="32">
        <v>0</v>
      </c>
      <c r="I868" s="745">
        <v>1.5</v>
      </c>
      <c r="K868" s="756">
        <v>0</v>
      </c>
      <c r="L868" s="22">
        <f t="shared" si="16"/>
        <v>1000</v>
      </c>
    </row>
    <row r="869" spans="2:12" s="22" customFormat="1" x14ac:dyDescent="0.3">
      <c r="B869" s="22">
        <v>6</v>
      </c>
      <c r="C869" s="22" t="str">
        <f t="shared" si="15"/>
        <v>6&gt;900 to ≤1200No0</v>
      </c>
      <c r="F869" s="723" t="s">
        <v>224</v>
      </c>
      <c r="G869" s="745" t="s">
        <v>29</v>
      </c>
      <c r="H869" s="32">
        <v>0</v>
      </c>
      <c r="I869" s="745">
        <v>2</v>
      </c>
      <c r="K869" s="756">
        <v>0</v>
      </c>
      <c r="L869" s="22">
        <f t="shared" si="16"/>
        <v>1000</v>
      </c>
    </row>
    <row r="870" spans="2:12" s="22" customFormat="1" x14ac:dyDescent="0.3">
      <c r="B870" s="22">
        <v>6</v>
      </c>
      <c r="C870" s="22" t="str">
        <f t="shared" si="15"/>
        <v>6&gt;900 to ≤1200Yes0</v>
      </c>
      <c r="F870" s="723" t="s">
        <v>224</v>
      </c>
      <c r="G870" s="745" t="s">
        <v>190</v>
      </c>
      <c r="H870" s="32">
        <v>0</v>
      </c>
      <c r="I870" s="745">
        <v>1.5</v>
      </c>
      <c r="K870" s="756">
        <v>0</v>
      </c>
      <c r="L870" s="22">
        <f t="shared" si="16"/>
        <v>1000</v>
      </c>
    </row>
    <row r="871" spans="2:12" s="22" customFormat="1" x14ac:dyDescent="0.3">
      <c r="B871" s="22">
        <v>6</v>
      </c>
      <c r="C871" s="22" t="str">
        <f t="shared" si="15"/>
        <v>6&gt;1200 to ≤1500No0</v>
      </c>
      <c r="F871" s="723" t="s">
        <v>231</v>
      </c>
      <c r="G871" s="745" t="s">
        <v>29</v>
      </c>
      <c r="H871" s="32">
        <v>0</v>
      </c>
      <c r="I871" s="745">
        <v>2.5</v>
      </c>
      <c r="K871" s="756">
        <v>0</v>
      </c>
      <c r="L871" s="22">
        <f t="shared" si="16"/>
        <v>0.5</v>
      </c>
    </row>
    <row r="872" spans="2:12" s="22" customFormat="1" x14ac:dyDescent="0.3">
      <c r="B872" s="22">
        <v>6</v>
      </c>
      <c r="C872" s="22" t="str">
        <f t="shared" si="15"/>
        <v>6&gt;1200 to ≤1500No0.5</v>
      </c>
      <c r="F872" s="723" t="s">
        <v>231</v>
      </c>
      <c r="G872" s="745" t="s">
        <v>29</v>
      </c>
      <c r="H872" s="32">
        <v>0.5</v>
      </c>
      <c r="I872" s="745">
        <v>2</v>
      </c>
      <c r="K872" s="756">
        <v>0.5</v>
      </c>
      <c r="L872" s="22">
        <f t="shared" si="16"/>
        <v>1000</v>
      </c>
    </row>
    <row r="873" spans="2:12" s="22" customFormat="1" x14ac:dyDescent="0.3">
      <c r="B873" s="22">
        <v>6</v>
      </c>
      <c r="C873" s="22" t="str">
        <f t="shared" si="15"/>
        <v>6&gt;1200 to ≤1500Yes0</v>
      </c>
      <c r="F873" s="723" t="s">
        <v>231</v>
      </c>
      <c r="G873" s="745" t="s">
        <v>190</v>
      </c>
      <c r="H873" s="32">
        <v>0</v>
      </c>
      <c r="I873" s="745">
        <v>1.5</v>
      </c>
      <c r="K873" s="756">
        <v>0</v>
      </c>
      <c r="L873" s="22">
        <f t="shared" si="16"/>
        <v>1000</v>
      </c>
    </row>
    <row r="874" spans="2:12" s="22" customFormat="1" x14ac:dyDescent="0.3">
      <c r="B874" s="22">
        <v>6</v>
      </c>
      <c r="C874" s="22" t="str">
        <f t="shared" si="15"/>
        <v>6&gt;1500 to ≤1800No0</v>
      </c>
      <c r="F874" s="723" t="s">
        <v>235</v>
      </c>
      <c r="G874" s="745" t="s">
        <v>29</v>
      </c>
      <c r="H874" s="32">
        <v>0</v>
      </c>
      <c r="I874" s="745">
        <v>2.5</v>
      </c>
      <c r="K874" s="756">
        <v>0</v>
      </c>
      <c r="L874" s="22">
        <f t="shared" si="16"/>
        <v>1000</v>
      </c>
    </row>
    <row r="875" spans="2:12" s="22" customFormat="1" x14ac:dyDescent="0.3">
      <c r="B875" s="22">
        <v>6</v>
      </c>
      <c r="C875" s="22" t="str">
        <f t="shared" si="15"/>
        <v>6&gt;1500 to ≤1800Yes0</v>
      </c>
      <c r="F875" s="723" t="s">
        <v>235</v>
      </c>
      <c r="G875" s="745" t="s">
        <v>190</v>
      </c>
      <c r="H875" s="32">
        <v>0</v>
      </c>
      <c r="I875" s="745">
        <v>2</v>
      </c>
      <c r="K875" s="756">
        <v>0</v>
      </c>
      <c r="L875" s="22">
        <f t="shared" si="16"/>
        <v>0.5</v>
      </c>
    </row>
    <row r="876" spans="2:12" s="22" customFormat="1" x14ac:dyDescent="0.3">
      <c r="B876" s="22">
        <v>6</v>
      </c>
      <c r="C876" s="22" t="str">
        <f t="shared" si="15"/>
        <v>6&gt;1500 to ≤1800Yes0.5</v>
      </c>
      <c r="F876" s="723" t="s">
        <v>235</v>
      </c>
      <c r="G876" s="745" t="s">
        <v>190</v>
      </c>
      <c r="H876" s="32">
        <v>0.5</v>
      </c>
      <c r="I876" s="745">
        <v>1.5</v>
      </c>
      <c r="K876" s="757">
        <v>0.5</v>
      </c>
      <c r="L876" s="22">
        <f>IF(M877=0,1000,M877)</f>
        <v>1000</v>
      </c>
    </row>
    <row r="877" spans="2:12" s="22" customFormat="1" x14ac:dyDescent="0.3">
      <c r="F877" s="723"/>
    </row>
    <row r="878" spans="2:12" s="22" customFormat="1" x14ac:dyDescent="0.3">
      <c r="F878" s="723" t="s">
        <v>712</v>
      </c>
    </row>
    <row r="879" spans="2:12" s="22" customFormat="1" x14ac:dyDescent="0.3">
      <c r="F879" s="723" t="s">
        <v>713</v>
      </c>
    </row>
    <row r="880" spans="2:12" s="22" customFormat="1" ht="28" x14ac:dyDescent="0.3">
      <c r="F880" s="754" t="s">
        <v>185</v>
      </c>
      <c r="G880" s="742" t="s">
        <v>704</v>
      </c>
      <c r="H880" s="742" t="s">
        <v>699</v>
      </c>
      <c r="I880" s="742" t="s">
        <v>705</v>
      </c>
    </row>
    <row r="881" spans="2:12" s="22" customFormat="1" x14ac:dyDescent="0.3">
      <c r="B881" s="22">
        <v>7</v>
      </c>
      <c r="C881" s="22" t="str">
        <f t="shared" ref="C881:C891" si="17">CONCATENATE(B881,F881, G881,H881)</f>
        <v>7≤600No0</v>
      </c>
      <c r="F881" s="723" t="s">
        <v>203</v>
      </c>
      <c r="G881" s="745" t="s">
        <v>29</v>
      </c>
      <c r="H881" s="32">
        <v>0</v>
      </c>
      <c r="I881" s="745">
        <v>2.5</v>
      </c>
      <c r="K881" s="756">
        <v>0</v>
      </c>
      <c r="L881" s="22">
        <f>IF(K882=0,1000,K882)</f>
        <v>1000</v>
      </c>
    </row>
    <row r="882" spans="2:12" s="22" customFormat="1" x14ac:dyDescent="0.3">
      <c r="B882" s="22">
        <v>7</v>
      </c>
      <c r="C882" s="22" t="str">
        <f t="shared" si="17"/>
        <v>7≤600Yes0</v>
      </c>
      <c r="F882" s="723" t="s">
        <v>203</v>
      </c>
      <c r="G882" s="32" t="s">
        <v>190</v>
      </c>
      <c r="H882" s="32">
        <v>0</v>
      </c>
      <c r="I882" s="32">
        <v>1.5</v>
      </c>
      <c r="K882" s="756">
        <v>0</v>
      </c>
      <c r="L882" s="22">
        <f t="shared" ref="L882:L890" si="18">IF(K883=0,1000,K883)</f>
        <v>1000</v>
      </c>
    </row>
    <row r="883" spans="2:12" s="22" customFormat="1" x14ac:dyDescent="0.3">
      <c r="B883" s="22">
        <v>7</v>
      </c>
      <c r="C883" s="22" t="str">
        <f t="shared" si="17"/>
        <v>7&gt;600 to ≤900No0</v>
      </c>
      <c r="F883" s="723" t="s">
        <v>215</v>
      </c>
      <c r="G883" s="32" t="s">
        <v>29</v>
      </c>
      <c r="H883" s="32">
        <v>0</v>
      </c>
      <c r="I883" s="32">
        <v>2.5</v>
      </c>
      <c r="K883" s="756">
        <v>0</v>
      </c>
      <c r="L883" s="22">
        <f t="shared" si="18"/>
        <v>1000</v>
      </c>
    </row>
    <row r="884" spans="2:12" s="22" customFormat="1" x14ac:dyDescent="0.3">
      <c r="B884" s="22">
        <v>7</v>
      </c>
      <c r="C884" s="22" t="str">
        <f t="shared" si="17"/>
        <v>7&gt;600 to ≤900Yes0</v>
      </c>
      <c r="F884" s="723" t="s">
        <v>215</v>
      </c>
      <c r="G884" s="745" t="s">
        <v>190</v>
      </c>
      <c r="H884" s="32">
        <v>0</v>
      </c>
      <c r="I884" s="745">
        <v>1.5</v>
      </c>
      <c r="K884" s="756">
        <v>0</v>
      </c>
      <c r="L884" s="22">
        <f t="shared" si="18"/>
        <v>1000</v>
      </c>
    </row>
    <row r="885" spans="2:12" s="22" customFormat="1" x14ac:dyDescent="0.3">
      <c r="B885" s="22">
        <v>7</v>
      </c>
      <c r="C885" s="22" t="str">
        <f t="shared" si="17"/>
        <v>7&gt;900 to ≤1200No0</v>
      </c>
      <c r="F885" s="723" t="s">
        <v>224</v>
      </c>
      <c r="G885" s="745" t="s">
        <v>29</v>
      </c>
      <c r="H885" s="32">
        <v>0</v>
      </c>
      <c r="I885" s="745">
        <v>3</v>
      </c>
      <c r="K885" s="756">
        <v>0</v>
      </c>
      <c r="L885" s="22">
        <f t="shared" si="18"/>
        <v>1000</v>
      </c>
    </row>
    <row r="886" spans="2:12" s="22" customFormat="1" x14ac:dyDescent="0.3">
      <c r="B886" s="22">
        <v>7</v>
      </c>
      <c r="C886" s="22" t="str">
        <f t="shared" si="17"/>
        <v>7&gt;900 to ≤1200Yes0</v>
      </c>
      <c r="F886" s="723" t="s">
        <v>224</v>
      </c>
      <c r="G886" s="745" t="s">
        <v>190</v>
      </c>
      <c r="H886" s="32">
        <v>0</v>
      </c>
      <c r="I886" s="745">
        <v>1.5</v>
      </c>
      <c r="K886" s="756">
        <v>0</v>
      </c>
      <c r="L886" s="22">
        <f t="shared" si="18"/>
        <v>1000</v>
      </c>
    </row>
    <row r="887" spans="2:12" s="22" customFormat="1" x14ac:dyDescent="0.3">
      <c r="B887" s="22">
        <v>7</v>
      </c>
      <c r="C887" s="22" t="str">
        <f t="shared" si="17"/>
        <v>7&gt;1200 to ≤1500No0</v>
      </c>
      <c r="F887" s="723" t="s">
        <v>231</v>
      </c>
      <c r="G887" s="745" t="s">
        <v>29</v>
      </c>
      <c r="H887" s="32">
        <v>0</v>
      </c>
      <c r="I887" s="745">
        <v>3</v>
      </c>
      <c r="K887" s="756">
        <v>0</v>
      </c>
      <c r="L887" s="22">
        <f t="shared" si="18"/>
        <v>1000</v>
      </c>
    </row>
    <row r="888" spans="2:12" s="22" customFormat="1" x14ac:dyDescent="0.3">
      <c r="B888" s="22">
        <v>7</v>
      </c>
      <c r="C888" s="22" t="str">
        <f t="shared" si="17"/>
        <v>7&gt;1200 to ≤1500Yes0</v>
      </c>
      <c r="F888" s="723" t="s">
        <v>231</v>
      </c>
      <c r="G888" s="745" t="s">
        <v>190</v>
      </c>
      <c r="H888" s="32">
        <v>0</v>
      </c>
      <c r="I888" s="745">
        <v>1.5</v>
      </c>
      <c r="K888" s="756">
        <v>0</v>
      </c>
      <c r="L888" s="22">
        <f t="shared" si="18"/>
        <v>1000</v>
      </c>
    </row>
    <row r="889" spans="2:12" s="22" customFormat="1" x14ac:dyDescent="0.3">
      <c r="B889" s="22">
        <v>7</v>
      </c>
      <c r="C889" s="22" t="str">
        <f t="shared" si="17"/>
        <v>7&gt;1500 to ≤1800No0</v>
      </c>
      <c r="F889" s="723" t="s">
        <v>235</v>
      </c>
      <c r="G889" s="745" t="s">
        <v>29</v>
      </c>
      <c r="H889" s="32">
        <v>0</v>
      </c>
      <c r="I889" s="745">
        <v>3</v>
      </c>
      <c r="K889" s="756">
        <v>0</v>
      </c>
      <c r="L889" s="22">
        <f t="shared" si="18"/>
        <v>1</v>
      </c>
    </row>
    <row r="890" spans="2:12" s="22" customFormat="1" x14ac:dyDescent="0.3">
      <c r="B890" s="22">
        <v>7</v>
      </c>
      <c r="C890" s="22" t="str">
        <f t="shared" si="17"/>
        <v>7&gt;1500 to ≤1800Yes1</v>
      </c>
      <c r="F890" s="723" t="s">
        <v>235</v>
      </c>
      <c r="G890" s="745" t="s">
        <v>190</v>
      </c>
      <c r="H890" s="32">
        <v>1</v>
      </c>
      <c r="I890" s="745">
        <v>1.5</v>
      </c>
      <c r="K890" s="756">
        <v>1</v>
      </c>
      <c r="L890" s="22">
        <f t="shared" si="18"/>
        <v>1000</v>
      </c>
    </row>
    <row r="891" spans="2:12" s="22" customFormat="1" x14ac:dyDescent="0.3">
      <c r="B891" s="22">
        <v>7</v>
      </c>
      <c r="C891" s="22" t="str">
        <f t="shared" si="17"/>
        <v>7&gt;1500 to ≤1800Yes0</v>
      </c>
      <c r="F891" s="723" t="s">
        <v>235</v>
      </c>
      <c r="G891" s="745" t="s">
        <v>190</v>
      </c>
      <c r="H891" s="32">
        <v>0</v>
      </c>
      <c r="I891" s="745">
        <v>2</v>
      </c>
      <c r="K891" s="757">
        <v>0</v>
      </c>
      <c r="L891" s="22">
        <f>IF(M892=0,1000,M892)</f>
        <v>1000</v>
      </c>
    </row>
    <row r="892" spans="2:12" s="22" customFormat="1" x14ac:dyDescent="0.3">
      <c r="F892" s="723"/>
    </row>
    <row r="893" spans="2:12" s="22" customFormat="1" x14ac:dyDescent="0.3">
      <c r="F893" s="723" t="s">
        <v>714</v>
      </c>
    </row>
    <row r="894" spans="2:12" s="22" customFormat="1" x14ac:dyDescent="0.3">
      <c r="F894" s="723" t="s">
        <v>715</v>
      </c>
    </row>
    <row r="895" spans="2:12" s="22" customFormat="1" ht="28" x14ac:dyDescent="0.3">
      <c r="F895" s="754" t="s">
        <v>185</v>
      </c>
      <c r="G895" s="742" t="s">
        <v>704</v>
      </c>
      <c r="H895" s="742" t="s">
        <v>699</v>
      </c>
      <c r="I895" s="742" t="s">
        <v>705</v>
      </c>
    </row>
    <row r="896" spans="2:12" s="22" customFormat="1" x14ac:dyDescent="0.3">
      <c r="B896" s="22">
        <v>8</v>
      </c>
      <c r="C896" s="22" t="str">
        <f t="shared" ref="C896:C906" si="19">CONCATENATE(B896,F896, G896,H896)</f>
        <v>8≤600No0</v>
      </c>
      <c r="F896" s="723" t="s">
        <v>203</v>
      </c>
      <c r="G896" s="745" t="s">
        <v>29</v>
      </c>
      <c r="H896" s="32">
        <v>0</v>
      </c>
      <c r="I896" s="745">
        <v>2.5</v>
      </c>
      <c r="K896" s="756">
        <v>0</v>
      </c>
      <c r="L896" s="22">
        <f t="shared" ref="L896:L905" si="20">IF(K897=0,1000,K897)</f>
        <v>1000</v>
      </c>
    </row>
    <row r="897" spans="2:12" s="22" customFormat="1" x14ac:dyDescent="0.3">
      <c r="B897" s="22">
        <v>8</v>
      </c>
      <c r="C897" s="22" t="str">
        <f t="shared" si="19"/>
        <v>8≤600Yes0</v>
      </c>
      <c r="F897" s="723" t="s">
        <v>203</v>
      </c>
      <c r="G897" s="32" t="s">
        <v>190</v>
      </c>
      <c r="H897" s="32">
        <v>0</v>
      </c>
      <c r="I897" s="32">
        <v>1.5</v>
      </c>
      <c r="K897" s="756">
        <v>0</v>
      </c>
      <c r="L897" s="22">
        <f t="shared" si="20"/>
        <v>1000</v>
      </c>
    </row>
    <row r="898" spans="2:12" s="22" customFormat="1" x14ac:dyDescent="0.3">
      <c r="B898" s="22">
        <v>8</v>
      </c>
      <c r="C898" s="22" t="str">
        <f t="shared" si="19"/>
        <v>8&gt;600 to ≤900No0</v>
      </c>
      <c r="F898" s="723" t="s">
        <v>215</v>
      </c>
      <c r="G898" s="32" t="s">
        <v>29</v>
      </c>
      <c r="H898" s="32">
        <v>0</v>
      </c>
      <c r="I898" s="32">
        <v>2.5</v>
      </c>
      <c r="K898" s="756">
        <v>0</v>
      </c>
      <c r="L898" s="22">
        <f t="shared" si="20"/>
        <v>1000</v>
      </c>
    </row>
    <row r="899" spans="2:12" s="22" customFormat="1" x14ac:dyDescent="0.3">
      <c r="B899" s="22">
        <v>8</v>
      </c>
      <c r="C899" s="22" t="str">
        <f t="shared" si="19"/>
        <v>8&gt;600 to ≤900Yes0</v>
      </c>
      <c r="F899" s="723" t="s">
        <v>215</v>
      </c>
      <c r="G899" s="745" t="s">
        <v>190</v>
      </c>
      <c r="H899" s="32">
        <v>0</v>
      </c>
      <c r="I899" s="745">
        <v>1.5</v>
      </c>
      <c r="K899" s="756">
        <v>0</v>
      </c>
      <c r="L899" s="22">
        <f t="shared" si="20"/>
        <v>1000</v>
      </c>
    </row>
    <row r="900" spans="2:12" s="22" customFormat="1" x14ac:dyDescent="0.3">
      <c r="B900" s="22">
        <v>8</v>
      </c>
      <c r="C900" s="22" t="str">
        <f t="shared" si="19"/>
        <v>8&gt;900 to ≤1200No0</v>
      </c>
      <c r="F900" s="723" t="s">
        <v>224</v>
      </c>
      <c r="G900" s="745" t="s">
        <v>29</v>
      </c>
      <c r="H900" s="32">
        <v>0</v>
      </c>
      <c r="I900" s="745">
        <v>3</v>
      </c>
      <c r="K900" s="756">
        <v>0</v>
      </c>
      <c r="L900" s="22">
        <f t="shared" si="20"/>
        <v>1000</v>
      </c>
    </row>
    <row r="901" spans="2:12" s="22" customFormat="1" x14ac:dyDescent="0.3">
      <c r="B901" s="22">
        <v>8</v>
      </c>
      <c r="C901" s="22" t="str">
        <f t="shared" si="19"/>
        <v>8&gt;900 to ≤1200Yes0</v>
      </c>
      <c r="F901" s="723" t="s">
        <v>224</v>
      </c>
      <c r="G901" s="745" t="s">
        <v>190</v>
      </c>
      <c r="H901" s="32">
        <v>0</v>
      </c>
      <c r="I901" s="745">
        <v>1.5</v>
      </c>
      <c r="K901" s="756">
        <v>0</v>
      </c>
      <c r="L901" s="22">
        <f t="shared" si="20"/>
        <v>1000</v>
      </c>
    </row>
    <row r="902" spans="2:12" s="22" customFormat="1" x14ac:dyDescent="0.3">
      <c r="B902" s="22">
        <v>8</v>
      </c>
      <c r="C902" s="22" t="str">
        <f t="shared" si="19"/>
        <v>8&gt;1200 to ≤1500No0</v>
      </c>
      <c r="F902" s="723" t="s">
        <v>231</v>
      </c>
      <c r="G902" s="745" t="s">
        <v>29</v>
      </c>
      <c r="H902" s="32">
        <v>0</v>
      </c>
      <c r="I902" s="745">
        <v>3</v>
      </c>
      <c r="K902" s="756">
        <v>0</v>
      </c>
      <c r="L902" s="22">
        <f t="shared" si="20"/>
        <v>1000</v>
      </c>
    </row>
    <row r="903" spans="2:12" s="22" customFormat="1" x14ac:dyDescent="0.3">
      <c r="B903" s="22">
        <v>8</v>
      </c>
      <c r="C903" s="22" t="str">
        <f t="shared" si="19"/>
        <v>8&gt;1200 to ≤1500Yes0</v>
      </c>
      <c r="F903" s="723" t="s">
        <v>231</v>
      </c>
      <c r="G903" s="745" t="s">
        <v>190</v>
      </c>
      <c r="H903" s="32">
        <v>0</v>
      </c>
      <c r="I903" s="745">
        <v>1.5</v>
      </c>
      <c r="K903" s="756">
        <v>0</v>
      </c>
      <c r="L903" s="22">
        <f t="shared" si="20"/>
        <v>1000</v>
      </c>
    </row>
    <row r="904" spans="2:12" s="22" customFormat="1" x14ac:dyDescent="0.3">
      <c r="B904" s="22">
        <v>8</v>
      </c>
      <c r="C904" s="22" t="str">
        <f t="shared" si="19"/>
        <v>8&gt;1500 to ≤1800No0</v>
      </c>
      <c r="F904" s="723" t="s">
        <v>235</v>
      </c>
      <c r="G904" s="745" t="s">
        <v>29</v>
      </c>
      <c r="H904" s="32">
        <v>0</v>
      </c>
      <c r="I904" s="745">
        <v>3</v>
      </c>
      <c r="K904" s="756">
        <v>0</v>
      </c>
      <c r="L904" s="22">
        <f t="shared" si="20"/>
        <v>1</v>
      </c>
    </row>
    <row r="905" spans="2:12" s="22" customFormat="1" x14ac:dyDescent="0.3">
      <c r="B905" s="22">
        <v>8</v>
      </c>
      <c r="C905" s="22" t="str">
        <f t="shared" si="19"/>
        <v>8&gt;1500 to ≤1800Yes1</v>
      </c>
      <c r="F905" s="723" t="s">
        <v>235</v>
      </c>
      <c r="G905" s="745" t="s">
        <v>190</v>
      </c>
      <c r="H905" s="32">
        <v>1</v>
      </c>
      <c r="I905" s="745">
        <v>1.5</v>
      </c>
      <c r="K905" s="756">
        <v>1</v>
      </c>
      <c r="L905" s="22">
        <f t="shared" si="20"/>
        <v>1000</v>
      </c>
    </row>
    <row r="906" spans="2:12" s="22" customFormat="1" x14ac:dyDescent="0.3">
      <c r="B906" s="22">
        <v>8</v>
      </c>
      <c r="C906" s="22" t="str">
        <f t="shared" si="19"/>
        <v>8&gt;1500 to ≤1800Yes0</v>
      </c>
      <c r="F906" s="723" t="s">
        <v>235</v>
      </c>
      <c r="G906" s="745" t="s">
        <v>190</v>
      </c>
      <c r="H906" s="32">
        <v>0</v>
      </c>
      <c r="I906" s="745">
        <v>2</v>
      </c>
      <c r="K906" s="757">
        <v>0</v>
      </c>
      <c r="L906" s="22">
        <f>IF(M907=0,1000,M907)</f>
        <v>1000</v>
      </c>
    </row>
    <row r="907" spans="2:12" s="22" customFormat="1" x14ac:dyDescent="0.3">
      <c r="F907" s="723"/>
    </row>
    <row r="908" spans="2:12" s="22" customFormat="1" x14ac:dyDescent="0.3">
      <c r="F908" s="723" t="s">
        <v>716</v>
      </c>
    </row>
    <row r="909" spans="2:12" s="22" customFormat="1" x14ac:dyDescent="0.3">
      <c r="F909" s="723" t="s">
        <v>717</v>
      </c>
    </row>
    <row r="910" spans="2:12" s="22" customFormat="1" ht="28" x14ac:dyDescent="0.3">
      <c r="F910" s="754" t="s">
        <v>718</v>
      </c>
      <c r="G910" s="739" t="s">
        <v>719</v>
      </c>
      <c r="H910" s="739" t="s">
        <v>720</v>
      </c>
    </row>
    <row r="911" spans="2:12" s="22" customFormat="1" x14ac:dyDescent="0.3">
      <c r="C911" s="22" t="str">
        <f>CONCATENATE(Metal_framed_suspended_floor_minimum_Total_R_Value_for_floor_to_account_for_thermal_bridging204[[#This Row],[Floor insulation from Tables 13.2.6a and 13.2.6d to 13.2.6h as applicable]],Metal_framed_suspended_floor_minimum_Total_R_Value_for_floor_to_account_for_thermal_bridging204[[#This Row],[Floor covering]])</f>
        <v>0Carpet</v>
      </c>
      <c r="F911" s="723">
        <v>0</v>
      </c>
      <c r="G911" s="758" t="s">
        <v>721</v>
      </c>
      <c r="H911" s="736">
        <v>0.36</v>
      </c>
    </row>
    <row r="912" spans="2:12" s="22" customFormat="1" x14ac:dyDescent="0.3">
      <c r="C912" s="22" t="str">
        <f>CONCATENATE(Metal_framed_suspended_floor_minimum_Total_R_Value_for_floor_to_account_for_thermal_bridging204[[#This Row],[Floor insulation from Tables 13.2.6a and 13.2.6d to 13.2.6h as applicable]],Metal_framed_suspended_floor_minimum_Total_R_Value_for_floor_to_account_for_thermal_bridging204[[#This Row],[Floor covering]])</f>
        <v>0Other</v>
      </c>
      <c r="F912" s="723">
        <v>0</v>
      </c>
      <c r="G912" s="736" t="s">
        <v>722</v>
      </c>
      <c r="H912" s="736">
        <v>0.22</v>
      </c>
    </row>
    <row r="913" spans="3:8" s="22" customFormat="1" x14ac:dyDescent="0.3">
      <c r="C913" s="22" t="str">
        <f>CONCATENATE(Metal_framed_suspended_floor_minimum_Total_R_Value_for_floor_to_account_for_thermal_bridging204[[#This Row],[Floor insulation from Tables 13.2.6a and 13.2.6d to 13.2.6h as applicable]],Metal_framed_suspended_floor_minimum_Total_R_Value_for_floor_to_account_for_thermal_bridging204[[#This Row],[Floor covering]])</f>
        <v>0.5Carpet</v>
      </c>
      <c r="F913" s="723">
        <v>0.5</v>
      </c>
      <c r="G913" s="736" t="s">
        <v>721</v>
      </c>
      <c r="H913" s="736">
        <v>0.86</v>
      </c>
    </row>
    <row r="914" spans="3:8" s="22" customFormat="1" x14ac:dyDescent="0.3">
      <c r="C914" s="22" t="str">
        <f>CONCATENATE(Metal_framed_suspended_floor_minimum_Total_R_Value_for_floor_to_account_for_thermal_bridging204[[#This Row],[Floor insulation from Tables 13.2.6a and 13.2.6d to 13.2.6h as applicable]],Metal_framed_suspended_floor_minimum_Total_R_Value_for_floor_to_account_for_thermal_bridging204[[#This Row],[Floor covering]])</f>
        <v>0.5Other</v>
      </c>
      <c r="F914" s="723">
        <v>0.5</v>
      </c>
      <c r="G914" s="758" t="s">
        <v>722</v>
      </c>
      <c r="H914" s="736">
        <v>0.71</v>
      </c>
    </row>
    <row r="915" spans="3:8" s="22" customFormat="1" x14ac:dyDescent="0.3">
      <c r="C915" s="22" t="str">
        <f>CONCATENATE(Metal_framed_suspended_floor_minimum_Total_R_Value_for_floor_to_account_for_thermal_bridging204[[#This Row],[Floor insulation from Tables 13.2.6a and 13.2.6d to 13.2.6h as applicable]],Metal_framed_suspended_floor_minimum_Total_R_Value_for_floor_to_account_for_thermal_bridging204[[#This Row],[Floor covering]])</f>
        <v>1Carpet</v>
      </c>
      <c r="F915" s="723">
        <v>1</v>
      </c>
      <c r="G915" s="758" t="s">
        <v>721</v>
      </c>
      <c r="H915" s="736">
        <v>1.3</v>
      </c>
    </row>
    <row r="916" spans="3:8" s="22" customFormat="1" x14ac:dyDescent="0.3">
      <c r="C916" s="22" t="str">
        <f>CONCATENATE(Metal_framed_suspended_floor_minimum_Total_R_Value_for_floor_to_account_for_thermal_bridging204[[#This Row],[Floor insulation from Tables 13.2.6a and 13.2.6d to 13.2.6h as applicable]],Metal_framed_suspended_floor_minimum_Total_R_Value_for_floor_to_account_for_thermal_bridging204[[#This Row],[Floor covering]])</f>
        <v>1Other</v>
      </c>
      <c r="F916" s="723">
        <v>1</v>
      </c>
      <c r="G916" s="758" t="s">
        <v>722</v>
      </c>
      <c r="H916" s="736">
        <v>1.1499999999999999</v>
      </c>
    </row>
    <row r="917" spans="3:8" s="22" customFormat="1" x14ac:dyDescent="0.3">
      <c r="C917" s="22" t="str">
        <f>CONCATENATE(Metal_framed_suspended_floor_minimum_Total_R_Value_for_floor_to_account_for_thermal_bridging204[[#This Row],[Floor insulation from Tables 13.2.6a and 13.2.6d to 13.2.6h as applicable]],Metal_framed_suspended_floor_minimum_Total_R_Value_for_floor_to_account_for_thermal_bridging204[[#This Row],[Floor covering]])</f>
        <v>1.5Carpet</v>
      </c>
      <c r="F917" s="723">
        <v>1.5</v>
      </c>
      <c r="G917" s="758" t="s">
        <v>721</v>
      </c>
      <c r="H917" s="736">
        <v>1.65</v>
      </c>
    </row>
    <row r="918" spans="3:8" s="22" customFormat="1" x14ac:dyDescent="0.3">
      <c r="C918" s="22" t="str">
        <f>CONCATENATE(Metal_framed_suspended_floor_minimum_Total_R_Value_for_floor_to_account_for_thermal_bridging204[[#This Row],[Floor insulation from Tables 13.2.6a and 13.2.6d to 13.2.6h as applicable]],Metal_framed_suspended_floor_minimum_Total_R_Value_for_floor_to_account_for_thermal_bridging204[[#This Row],[Floor covering]])</f>
        <v>1.5Other</v>
      </c>
      <c r="F918" s="723">
        <v>1.5</v>
      </c>
      <c r="G918" s="758" t="s">
        <v>722</v>
      </c>
      <c r="H918" s="736">
        <v>1.5</v>
      </c>
    </row>
    <row r="919" spans="3:8" s="22" customFormat="1" x14ac:dyDescent="0.3">
      <c r="C919" s="22" t="str">
        <f>CONCATENATE(Metal_framed_suspended_floor_minimum_Total_R_Value_for_floor_to_account_for_thermal_bridging204[[#This Row],[Floor insulation from Tables 13.2.6a and 13.2.6d to 13.2.6h as applicable]],Metal_framed_suspended_floor_minimum_Total_R_Value_for_floor_to_account_for_thermal_bridging204[[#This Row],[Floor covering]])</f>
        <v>2Carpet</v>
      </c>
      <c r="F919" s="723">
        <v>2</v>
      </c>
      <c r="G919" s="758" t="s">
        <v>721</v>
      </c>
      <c r="H919" s="736">
        <v>1.97</v>
      </c>
    </row>
    <row r="920" spans="3:8" s="22" customFormat="1" x14ac:dyDescent="0.3">
      <c r="C920" s="22" t="str">
        <f>CONCATENATE(Metal_framed_suspended_floor_minimum_Total_R_Value_for_floor_to_account_for_thermal_bridging204[[#This Row],[Floor insulation from Tables 13.2.6a and 13.2.6d to 13.2.6h as applicable]],Metal_framed_suspended_floor_minimum_Total_R_Value_for_floor_to_account_for_thermal_bridging204[[#This Row],[Floor covering]])</f>
        <v>2Other</v>
      </c>
      <c r="F920" s="723">
        <v>2</v>
      </c>
      <c r="G920" s="758" t="s">
        <v>722</v>
      </c>
      <c r="H920" s="736">
        <v>1.83</v>
      </c>
    </row>
    <row r="921" spans="3:8" s="22" customFormat="1" x14ac:dyDescent="0.3">
      <c r="C921" s="22" t="str">
        <f>CONCATENATE(Metal_framed_suspended_floor_minimum_Total_R_Value_for_floor_to_account_for_thermal_bridging204[[#This Row],[Floor insulation from Tables 13.2.6a and 13.2.6d to 13.2.6h as applicable]],Metal_framed_suspended_floor_minimum_Total_R_Value_for_floor_to_account_for_thermal_bridging204[[#This Row],[Floor covering]])</f>
        <v>2.5Carpet</v>
      </c>
      <c r="F921" s="723">
        <v>2.5</v>
      </c>
      <c r="G921" s="758" t="s">
        <v>721</v>
      </c>
      <c r="H921" s="736">
        <v>2.27</v>
      </c>
    </row>
    <row r="922" spans="3:8" s="22" customFormat="1" x14ac:dyDescent="0.3">
      <c r="C922" s="22" t="str">
        <f>CONCATENATE(Metal_framed_suspended_floor_minimum_Total_R_Value_for_floor_to_account_for_thermal_bridging204[[#This Row],[Floor insulation from Tables 13.2.6a and 13.2.6d to 13.2.6h as applicable]],Metal_framed_suspended_floor_minimum_Total_R_Value_for_floor_to_account_for_thermal_bridging204[[#This Row],[Floor covering]])</f>
        <v>2.5Other</v>
      </c>
      <c r="F922" s="723">
        <v>2.5</v>
      </c>
      <c r="G922" s="758" t="s">
        <v>722</v>
      </c>
      <c r="H922" s="736">
        <v>2.11</v>
      </c>
    </row>
    <row r="923" spans="3:8" s="22" customFormat="1" x14ac:dyDescent="0.3">
      <c r="C923" s="22" t="str">
        <f>CONCATENATE(Metal_framed_suspended_floor_minimum_Total_R_Value_for_floor_to_account_for_thermal_bridging204[[#This Row],[Floor insulation from Tables 13.2.6a and 13.2.6d to 13.2.6h as applicable]],Metal_framed_suspended_floor_minimum_Total_R_Value_for_floor_to_account_for_thermal_bridging204[[#This Row],[Floor covering]])</f>
        <v>3Carpet</v>
      </c>
      <c r="F923" s="723">
        <v>3</v>
      </c>
      <c r="G923" s="736" t="s">
        <v>721</v>
      </c>
      <c r="H923" s="736">
        <v>2.52</v>
      </c>
    </row>
    <row r="924" spans="3:8" s="22" customFormat="1" x14ac:dyDescent="0.3">
      <c r="C924" s="22" t="str">
        <f>CONCATENATE(Metal_framed_suspended_floor_minimum_Total_R_Value_for_floor_to_account_for_thermal_bridging204[[#This Row],[Floor insulation from Tables 13.2.6a and 13.2.6d to 13.2.6h as applicable]],Metal_framed_suspended_floor_minimum_Total_R_Value_for_floor_to_account_for_thermal_bridging204[[#This Row],[Floor covering]])</f>
        <v>3Other</v>
      </c>
      <c r="F924" s="723">
        <v>3</v>
      </c>
      <c r="G924" s="736" t="s">
        <v>722</v>
      </c>
      <c r="H924" s="736">
        <v>2.37</v>
      </c>
    </row>
    <row r="925" spans="3:8" s="22" customFormat="1" x14ac:dyDescent="0.3">
      <c r="C925" s="22" t="str">
        <f>CONCATENATE(Metal_framed_suspended_floor_minimum_Total_R_Value_for_floor_to_account_for_thermal_bridging204[[#This Row],[Floor insulation from Tables 13.2.6a and 13.2.6d to 13.2.6h as applicable]],Metal_framed_suspended_floor_minimum_Total_R_Value_for_floor_to_account_for_thermal_bridging204[[#This Row],[Floor covering]])</f>
        <v>3.5Carpet</v>
      </c>
      <c r="F925" s="723">
        <v>3.5</v>
      </c>
      <c r="G925" s="758" t="s">
        <v>721</v>
      </c>
      <c r="H925" s="736">
        <v>2.59</v>
      </c>
    </row>
    <row r="926" spans="3:8" s="22" customFormat="1" x14ac:dyDescent="0.3">
      <c r="C926" s="22" t="str">
        <f>CONCATENATE(Metal_framed_suspended_floor_minimum_Total_R_Value_for_floor_to_account_for_thermal_bridging204[[#This Row],[Floor insulation from Tables 13.2.6a and 13.2.6d to 13.2.6h as applicable]],Metal_framed_suspended_floor_minimum_Total_R_Value_for_floor_to_account_for_thermal_bridging204[[#This Row],[Floor covering]])</f>
        <v>3.5Other</v>
      </c>
      <c r="F926" s="723">
        <v>3.5</v>
      </c>
      <c r="G926" s="758" t="s">
        <v>722</v>
      </c>
      <c r="H926" s="736">
        <v>2.4700000000000002</v>
      </c>
    </row>
    <row r="927" spans="3:8" s="22" customFormat="1" x14ac:dyDescent="0.3">
      <c r="C927" s="22" t="str">
        <f>CONCATENATE(Metal_framed_suspended_floor_minimum_Total_R_Value_for_floor_to_account_for_thermal_bridging204[[#This Row],[Floor insulation from Tables 13.2.6a and 13.2.6d to 13.2.6h as applicable]],Metal_framed_suspended_floor_minimum_Total_R_Value_for_floor_to_account_for_thermal_bridging204[[#This Row],[Floor covering]])</f>
        <v>4Carpet</v>
      </c>
      <c r="F927" s="723">
        <v>4</v>
      </c>
      <c r="G927" s="758" t="s">
        <v>721</v>
      </c>
      <c r="H927" s="736">
        <v>2.79</v>
      </c>
    </row>
    <row r="928" spans="3:8" s="22" customFormat="1" x14ac:dyDescent="0.3">
      <c r="C928" s="22" t="str">
        <f>CONCATENATE(Metal_framed_suspended_floor_minimum_Total_R_Value_for_floor_to_account_for_thermal_bridging204[[#This Row],[Floor insulation from Tables 13.2.6a and 13.2.6d to 13.2.6h as applicable]],Metal_framed_suspended_floor_minimum_Total_R_Value_for_floor_to_account_for_thermal_bridging204[[#This Row],[Floor covering]])</f>
        <v>4Other</v>
      </c>
      <c r="F928" s="723">
        <v>4</v>
      </c>
      <c r="G928" s="758" t="s">
        <v>722</v>
      </c>
      <c r="H928" s="736">
        <v>2.65</v>
      </c>
    </row>
    <row r="929" spans="3:8" s="22" customFormat="1" x14ac:dyDescent="0.3">
      <c r="F929" s="723"/>
    </row>
    <row r="930" spans="3:8" s="22" customFormat="1" x14ac:dyDescent="0.3">
      <c r="F930" s="723" t="s">
        <v>723</v>
      </c>
    </row>
    <row r="931" spans="3:8" s="22" customFormat="1" x14ac:dyDescent="0.3">
      <c r="F931" s="723" t="s">
        <v>724</v>
      </c>
    </row>
    <row r="932" spans="3:8" s="22" customFormat="1" ht="42" x14ac:dyDescent="0.3">
      <c r="F932" s="754" t="s">
        <v>718</v>
      </c>
      <c r="G932" s="742" t="s">
        <v>725</v>
      </c>
      <c r="H932" s="742" t="s">
        <v>726</v>
      </c>
    </row>
    <row r="933" spans="3:8" s="22" customFormat="1" x14ac:dyDescent="0.3">
      <c r="C933" s="22" t="s">
        <v>727</v>
      </c>
      <c r="F933" s="723">
        <v>0.5</v>
      </c>
      <c r="G933" s="745">
        <v>1</v>
      </c>
      <c r="H933" s="32">
        <v>0.13</v>
      </c>
    </row>
    <row r="934" spans="3:8" s="22" customFormat="1" x14ac:dyDescent="0.3">
      <c r="C934" s="22" t="s">
        <v>727</v>
      </c>
      <c r="F934" s="723">
        <v>1</v>
      </c>
      <c r="G934" s="32">
        <v>1.5</v>
      </c>
      <c r="H934" s="32">
        <v>0.3</v>
      </c>
    </row>
    <row r="935" spans="3:8" s="22" customFormat="1" x14ac:dyDescent="0.3">
      <c r="C935" s="22" t="s">
        <v>727</v>
      </c>
      <c r="F935" s="723">
        <v>1.5</v>
      </c>
      <c r="G935" s="32">
        <v>2.5</v>
      </c>
      <c r="H935" s="32">
        <v>0.4</v>
      </c>
    </row>
    <row r="936" spans="3:8" s="22" customFormat="1" x14ac:dyDescent="0.3">
      <c r="C936" s="22" t="s">
        <v>727</v>
      </c>
      <c r="F936" s="723">
        <v>2</v>
      </c>
      <c r="G936" s="745">
        <v>3</v>
      </c>
      <c r="H936" s="32">
        <v>0.4</v>
      </c>
    </row>
    <row r="937" spans="3:8" s="22" customFormat="1" x14ac:dyDescent="0.3">
      <c r="C937" s="22" t="s">
        <v>727</v>
      </c>
      <c r="F937" s="723">
        <v>2.5</v>
      </c>
      <c r="G937" s="745">
        <v>4</v>
      </c>
      <c r="H937" s="32">
        <v>0.4</v>
      </c>
    </row>
    <row r="938" spans="3:8" s="22" customFormat="1" x14ac:dyDescent="0.3">
      <c r="C938" s="22" t="s">
        <v>727</v>
      </c>
      <c r="F938" s="723" t="s">
        <v>728</v>
      </c>
      <c r="G938" s="745" t="s">
        <v>321</v>
      </c>
      <c r="H938" s="32">
        <v>0.6</v>
      </c>
    </row>
    <row r="939" spans="3:8" s="22" customFormat="1" x14ac:dyDescent="0.3">
      <c r="F939" s="723"/>
    </row>
    <row r="940" spans="3:8" s="22" customFormat="1" x14ac:dyDescent="0.3">
      <c r="F940" s="723" t="s">
        <v>729</v>
      </c>
    </row>
    <row r="941" spans="3:8" s="22" customFormat="1" x14ac:dyDescent="0.3">
      <c r="F941" s="723" t="s">
        <v>730</v>
      </c>
    </row>
    <row r="942" spans="3:8" s="22" customFormat="1" x14ac:dyDescent="0.3">
      <c r="F942" t="s">
        <v>445</v>
      </c>
      <c r="G942" s="742" t="s">
        <v>159</v>
      </c>
    </row>
    <row r="943" spans="3:8" s="22" customFormat="1" x14ac:dyDescent="0.3">
      <c r="F943" s="723">
        <v>1</v>
      </c>
      <c r="G943" s="745" t="s">
        <v>202</v>
      </c>
    </row>
    <row r="944" spans="3:8" s="22" customFormat="1" x14ac:dyDescent="0.3">
      <c r="F944" s="723">
        <v>2</v>
      </c>
      <c r="G944" s="32" t="s">
        <v>202</v>
      </c>
    </row>
    <row r="945" spans="6:11" s="22" customFormat="1" x14ac:dyDescent="0.3">
      <c r="F945" s="723">
        <v>3</v>
      </c>
      <c r="G945" s="32" t="s">
        <v>202</v>
      </c>
    </row>
    <row r="946" spans="6:11" s="22" customFormat="1" x14ac:dyDescent="0.3">
      <c r="F946" s="723">
        <v>4</v>
      </c>
      <c r="G946" s="745" t="s">
        <v>201</v>
      </c>
    </row>
    <row r="947" spans="6:11" s="22" customFormat="1" x14ac:dyDescent="0.3">
      <c r="F947" s="723">
        <v>5</v>
      </c>
      <c r="G947" s="745" t="s">
        <v>201</v>
      </c>
      <c r="K947" s="22" t="s">
        <v>731</v>
      </c>
    </row>
    <row r="948" spans="6:11" s="22" customFormat="1" x14ac:dyDescent="0.3">
      <c r="F948" s="723">
        <v>6</v>
      </c>
      <c r="G948" s="745" t="s">
        <v>201</v>
      </c>
    </row>
    <row r="949" spans="6:11" s="22" customFormat="1" x14ac:dyDescent="0.3">
      <c r="F949" s="723">
        <v>7</v>
      </c>
      <c r="G949" s="32" t="s">
        <v>201</v>
      </c>
    </row>
    <row r="950" spans="6:11" s="22" customFormat="1" x14ac:dyDescent="0.3">
      <c r="F950" s="723">
        <v>8</v>
      </c>
      <c r="G950" s="32" t="s">
        <v>201</v>
      </c>
    </row>
    <row r="951" spans="6:11" s="22" customFormat="1" x14ac:dyDescent="0.3"/>
    <row r="952" spans="6:11" s="22" customFormat="1" x14ac:dyDescent="0.3">
      <c r="F952" s="22" t="s">
        <v>732</v>
      </c>
    </row>
    <row r="953" spans="6:11" s="22" customFormat="1" x14ac:dyDescent="0.3"/>
    <row r="954" spans="6:11" s="22" customFormat="1" x14ac:dyDescent="0.3">
      <c r="F954" s="765" t="s">
        <v>445</v>
      </c>
      <c r="G954" s="766" t="s">
        <v>58</v>
      </c>
    </row>
    <row r="955" spans="6:11" s="22" customFormat="1" x14ac:dyDescent="0.3">
      <c r="F955" s="866">
        <v>1</v>
      </c>
      <c r="G955" s="22" t="s">
        <v>733</v>
      </c>
    </row>
    <row r="956" spans="6:11" s="22" customFormat="1" x14ac:dyDescent="0.3">
      <c r="F956" s="866">
        <v>2</v>
      </c>
      <c r="G956" s="22" t="s">
        <v>733</v>
      </c>
    </row>
    <row r="957" spans="6:11" s="22" customFormat="1" x14ac:dyDescent="0.3">
      <c r="F957" s="866">
        <v>3</v>
      </c>
      <c r="G957" s="22" t="s">
        <v>733</v>
      </c>
    </row>
    <row r="958" spans="6:11" s="22" customFormat="1" x14ac:dyDescent="0.3">
      <c r="F958" s="866">
        <v>4</v>
      </c>
      <c r="G958" s="22" t="s">
        <v>733</v>
      </c>
    </row>
    <row r="959" spans="6:11" s="22" customFormat="1" x14ac:dyDescent="0.3">
      <c r="F959" s="866">
        <v>5</v>
      </c>
      <c r="G959" s="22" t="s">
        <v>733</v>
      </c>
    </row>
    <row r="960" spans="6:11" s="22" customFormat="1" ht="14.5" x14ac:dyDescent="0.35">
      <c r="F960" s="866">
        <v>6</v>
      </c>
      <c r="G960" s="22" t="s">
        <v>734</v>
      </c>
    </row>
    <row r="961" spans="6:7" ht="14.5" x14ac:dyDescent="0.35">
      <c r="F961" s="866">
        <v>7</v>
      </c>
      <c r="G961" s="22" t="s">
        <v>734</v>
      </c>
    </row>
    <row r="962" spans="6:7" ht="14.5" x14ac:dyDescent="0.35">
      <c r="F962" s="867">
        <v>8</v>
      </c>
      <c r="G962" s="22" t="s">
        <v>735</v>
      </c>
    </row>
  </sheetData>
  <sheetProtection autoFilter="0"/>
  <phoneticPr fontId="27" type="noConversion"/>
  <hyperlinks>
    <hyperlink ref="F795" location="_bookmark936" display="_bookmark936" xr:uid="{00000000-0004-0000-0300-000000000000}"/>
    <hyperlink ref="G795" location="_bookmark1082" display="_bookmark1082" xr:uid="{00000000-0004-0000-0300-000001000000}"/>
    <hyperlink ref="G825" location="_bookmark1075" display="_bookmark1075" xr:uid="{00000000-0004-0000-0300-000002000000}"/>
    <hyperlink ref="H825" location="_bookmark1082" display="_bookmark1082" xr:uid="{00000000-0004-0000-0300-000003000000}"/>
    <hyperlink ref="I825" location="_bookmark1082" display="_bookmark1082" xr:uid="{00000000-0004-0000-0300-000004000000}"/>
    <hyperlink ref="G848" location="_bookmark1075" display="_bookmark1075" xr:uid="{00000000-0004-0000-0300-000005000000}"/>
    <hyperlink ref="H848" location="_bookmark1082" display="_bookmark1082" xr:uid="{00000000-0004-0000-0300-000006000000}"/>
    <hyperlink ref="I848" location="_bookmark1082" display="_bookmark1082" xr:uid="{00000000-0004-0000-0300-000007000000}"/>
    <hyperlink ref="G864" location="_bookmark1075" display="_bookmark1075" xr:uid="{00000000-0004-0000-0300-000008000000}"/>
    <hyperlink ref="H864" location="_bookmark1082" display="_bookmark1082" xr:uid="{00000000-0004-0000-0300-000009000000}"/>
    <hyperlink ref="I864" location="_bookmark1082" display="_bookmark1082" xr:uid="{00000000-0004-0000-0300-00000A000000}"/>
    <hyperlink ref="G880" location="_bookmark1075" display="_bookmark1075" xr:uid="{00000000-0004-0000-0300-00000B000000}"/>
    <hyperlink ref="H880" location="_bookmark1082" display="_bookmark1082" xr:uid="{00000000-0004-0000-0300-00000C000000}"/>
    <hyperlink ref="I880" location="_bookmark1082" display="_bookmark1082" xr:uid="{00000000-0004-0000-0300-00000D000000}"/>
    <hyperlink ref="G895" location="_bookmark1075" display="_bookmark1075" xr:uid="{00000000-0004-0000-0300-00000E000000}"/>
    <hyperlink ref="H895" location="_bookmark1082" display="_bookmark1082" xr:uid="{00000000-0004-0000-0300-00000F000000}"/>
    <hyperlink ref="I895" location="_bookmark1082" display="_bookmark1082" xr:uid="{00000000-0004-0000-0300-000010000000}"/>
    <hyperlink ref="H910" location="_bookmark1119" display="_bookmark1119" xr:uid="{00000000-0004-0000-0300-000011000000}"/>
    <hyperlink ref="G932" location="_bookmark1082" display="_bookmark1082" xr:uid="{00000000-0004-0000-0300-000012000000}"/>
    <hyperlink ref="H932" location="_bookmark1082" display="_bookmark1082" xr:uid="{00000000-0004-0000-0300-000013000000}"/>
  </hyperlinks>
  <pageMargins left="0.7" right="0.7" top="0.75" bottom="0.75" header="0.3" footer="0.3"/>
  <drawing r:id="rId1"/>
  <tableParts count="58">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1"/>
  <dimension ref="B1:K241"/>
  <sheetViews>
    <sheetView topLeftCell="A195" workbookViewId="0">
      <selection activeCell="G9" sqref="G9"/>
    </sheetView>
  </sheetViews>
  <sheetFormatPr defaultColWidth="7.58203125" defaultRowHeight="14" x14ac:dyDescent="0.3"/>
  <cols>
    <col min="2" max="2" width="20.5" customWidth="1"/>
    <col min="3" max="3" width="25.58203125" customWidth="1"/>
  </cols>
  <sheetData>
    <row r="1" spans="2:11" ht="14.5" thickBot="1" x14ac:dyDescent="0.35"/>
    <row r="2" spans="2:11" ht="25.5" thickBot="1" x14ac:dyDescent="0.55000000000000004">
      <c r="B2" s="88" t="s">
        <v>1960</v>
      </c>
      <c r="C2" s="89"/>
      <c r="D2" s="90">
        <v>8</v>
      </c>
      <c r="E2" s="91" t="s">
        <v>1961</v>
      </c>
      <c r="F2" s="92"/>
      <c r="G2" s="92"/>
      <c r="H2" s="92"/>
      <c r="I2" s="93"/>
      <c r="J2" s="89" t="s">
        <v>176</v>
      </c>
      <c r="K2" s="94" t="s">
        <v>241</v>
      </c>
    </row>
    <row r="3" spans="2:11" ht="14.5" thickBot="1" x14ac:dyDescent="0.35">
      <c r="B3" s="95" t="s">
        <v>1962</v>
      </c>
      <c r="C3" s="96" t="s">
        <v>1963</v>
      </c>
      <c r="D3" s="95" t="s">
        <v>1964</v>
      </c>
      <c r="E3" s="97" t="s">
        <v>1965</v>
      </c>
      <c r="F3" s="97" t="s">
        <v>1966</v>
      </c>
      <c r="G3" s="97" t="s">
        <v>1967</v>
      </c>
      <c r="H3" s="97" t="s">
        <v>1968</v>
      </c>
      <c r="I3" s="97" t="s">
        <v>1969</v>
      </c>
      <c r="J3" s="97" t="s">
        <v>1970</v>
      </c>
      <c r="K3" s="98" t="s">
        <v>1971</v>
      </c>
    </row>
    <row r="4" spans="2:11" ht="18.5" thickBot="1" x14ac:dyDescent="0.45">
      <c r="B4" s="99" t="s">
        <v>34</v>
      </c>
      <c r="C4" s="100" t="s">
        <v>34</v>
      </c>
      <c r="D4" s="101" t="s">
        <v>34</v>
      </c>
      <c r="E4" s="944"/>
      <c r="F4" s="944"/>
      <c r="G4" s="944"/>
      <c r="H4" s="944"/>
      <c r="I4" s="944" t="s">
        <v>34</v>
      </c>
      <c r="J4" s="944" t="s">
        <v>34</v>
      </c>
      <c r="K4" s="102"/>
    </row>
    <row r="5" spans="2:11" ht="86.5" thickBot="1" x14ac:dyDescent="0.45">
      <c r="B5" s="103" t="s">
        <v>1972</v>
      </c>
      <c r="C5" s="104" t="s">
        <v>1973</v>
      </c>
      <c r="D5" s="105" t="s">
        <v>1974</v>
      </c>
      <c r="E5" s="105" t="s">
        <v>1525</v>
      </c>
      <c r="F5" s="105" t="s">
        <v>1527</v>
      </c>
      <c r="G5" s="105" t="s">
        <v>1975</v>
      </c>
      <c r="H5" s="105" t="s">
        <v>1976</v>
      </c>
      <c r="I5" s="105" t="s">
        <v>1445</v>
      </c>
      <c r="J5" s="105" t="s">
        <v>1538</v>
      </c>
      <c r="K5" s="106" t="s">
        <v>1541</v>
      </c>
    </row>
    <row r="6" spans="2:11" x14ac:dyDescent="0.3">
      <c r="B6" s="107" t="s">
        <v>1977</v>
      </c>
      <c r="C6" s="108" t="s">
        <v>1416</v>
      </c>
      <c r="D6" s="109">
        <v>9.1936572623704951</v>
      </c>
      <c r="E6" s="109">
        <v>8.9615699446168602</v>
      </c>
      <c r="F6" s="109">
        <v>7.393442130489829</v>
      </c>
      <c r="G6" s="109">
        <v>7.3596661137156287</v>
      </c>
      <c r="H6" s="109">
        <v>7.7659794838280005</v>
      </c>
      <c r="I6" s="109">
        <v>8.4032110037831149</v>
      </c>
      <c r="J6" s="109">
        <v>8.0382850222637963</v>
      </c>
      <c r="K6" s="110">
        <v>7.0247096738897241</v>
      </c>
    </row>
    <row r="7" spans="2:11" x14ac:dyDescent="0.3">
      <c r="B7" s="111" t="s">
        <v>1978</v>
      </c>
      <c r="C7" s="112" t="s">
        <v>1483</v>
      </c>
      <c r="D7" s="1499">
        <v>9.2020484158224019</v>
      </c>
      <c r="E7" s="1499">
        <v>8.9700012413138719</v>
      </c>
      <c r="F7" s="1499">
        <v>7.4025023583054725</v>
      </c>
      <c r="G7" s="1499">
        <v>7.3686313452574748</v>
      </c>
      <c r="H7" s="1499">
        <v>7.7747188394977025</v>
      </c>
      <c r="I7" s="1499">
        <v>8.411857052665674</v>
      </c>
      <c r="J7" s="1499">
        <v>8.0470467580906497</v>
      </c>
      <c r="K7" s="113">
        <v>7.0337854897951368</v>
      </c>
    </row>
    <row r="8" spans="2:11" x14ac:dyDescent="0.3">
      <c r="B8" s="111" t="s">
        <v>1979</v>
      </c>
      <c r="C8" s="112" t="s">
        <v>1489</v>
      </c>
      <c r="D8" s="1499">
        <v>9.2007435763230117</v>
      </c>
      <c r="E8" s="1499">
        <v>8.9686964018144817</v>
      </c>
      <c r="F8" s="1499">
        <v>7.4011975188060823</v>
      </c>
      <c r="G8" s="1499">
        <v>7.3673265057580846</v>
      </c>
      <c r="H8" s="1499">
        <v>7.7734139999983114</v>
      </c>
      <c r="I8" s="1499">
        <v>8.4105522131662838</v>
      </c>
      <c r="J8" s="1499">
        <v>8.0457419185912595</v>
      </c>
      <c r="K8" s="113">
        <v>7.0324806502957458</v>
      </c>
    </row>
    <row r="9" spans="2:11" x14ac:dyDescent="0.3">
      <c r="B9" s="114">
        <v>0</v>
      </c>
      <c r="C9" s="112" t="s">
        <v>1496</v>
      </c>
      <c r="D9" s="1499">
        <v>9.1987863170739246</v>
      </c>
      <c r="E9" s="1499">
        <v>8.9667391425653946</v>
      </c>
      <c r="F9" s="1499">
        <v>7.3992402595569953</v>
      </c>
      <c r="G9" s="1499">
        <v>7.3653692465089984</v>
      </c>
      <c r="H9" s="1499">
        <v>7.7714567407492252</v>
      </c>
      <c r="I9" s="1499">
        <v>8.4085949539171967</v>
      </c>
      <c r="J9" s="1499">
        <v>8.0437846593421742</v>
      </c>
      <c r="K9" s="113">
        <v>7.0305233910466596</v>
      </c>
    </row>
    <row r="10" spans="2:11" x14ac:dyDescent="0.3">
      <c r="B10" s="115"/>
      <c r="C10" s="112" t="s">
        <v>1500</v>
      </c>
      <c r="D10" s="1499">
        <v>9.1968290578248393</v>
      </c>
      <c r="E10" s="1499">
        <v>8.9647818833163075</v>
      </c>
      <c r="F10" s="1499">
        <v>7.3972830003079091</v>
      </c>
      <c r="G10" s="1499">
        <v>7.3634119872599104</v>
      </c>
      <c r="H10" s="1499">
        <v>7.7694994815001381</v>
      </c>
      <c r="I10" s="1499">
        <v>8.4066376946681114</v>
      </c>
      <c r="J10" s="1499">
        <v>8.0418274000930872</v>
      </c>
      <c r="K10" s="113">
        <v>7.0285661317975734</v>
      </c>
    </row>
    <row r="11" spans="2:11" x14ac:dyDescent="0.3">
      <c r="B11" s="115"/>
      <c r="C11" s="112" t="s">
        <v>1504</v>
      </c>
      <c r="D11" s="1499">
        <v>9.2001126401709712</v>
      </c>
      <c r="E11" s="1499">
        <v>8.9684570212865609</v>
      </c>
      <c r="F11" s="1499">
        <v>7.400632906531853</v>
      </c>
      <c r="G11" s="1499">
        <v>7.3668132535217099</v>
      </c>
      <c r="H11" s="1499">
        <v>7.7729955189348647</v>
      </c>
      <c r="I11" s="1499">
        <v>8.4102119326109115</v>
      </c>
      <c r="J11" s="1499">
        <v>8.0453454077336524</v>
      </c>
      <c r="K11" s="113">
        <v>7.031912619431119</v>
      </c>
    </row>
    <row r="12" spans="2:11" x14ac:dyDescent="0.3">
      <c r="B12" s="115"/>
      <c r="C12" s="112" t="s">
        <v>1508</v>
      </c>
      <c r="D12" s="1499">
        <v>9.1990242370693593</v>
      </c>
      <c r="E12" s="1499">
        <v>8.967368618184949</v>
      </c>
      <c r="F12" s="1499">
        <v>7.3995445034302412</v>
      </c>
      <c r="G12" s="1499">
        <v>7.3657248504200981</v>
      </c>
      <c r="H12" s="1499">
        <v>7.7719071158332529</v>
      </c>
      <c r="I12" s="1499">
        <v>8.4091235295092996</v>
      </c>
      <c r="J12" s="1499">
        <v>8.0442570046320405</v>
      </c>
      <c r="K12" s="113">
        <v>7.0308242163295072</v>
      </c>
    </row>
    <row r="13" spans="2:11" x14ac:dyDescent="0.3">
      <c r="B13" s="115"/>
      <c r="C13" s="112" t="s">
        <v>1513</v>
      </c>
      <c r="D13" s="1499">
        <v>9.1973916324169416</v>
      </c>
      <c r="E13" s="1499">
        <v>8.9657360135325312</v>
      </c>
      <c r="F13" s="1499">
        <v>7.3979118987778243</v>
      </c>
      <c r="G13" s="1499">
        <v>7.3640922457676803</v>
      </c>
      <c r="H13" s="1499">
        <v>7.7702745111808351</v>
      </c>
      <c r="I13" s="1499">
        <v>8.4074909248568819</v>
      </c>
      <c r="J13" s="1499">
        <v>8.0426243999796228</v>
      </c>
      <c r="K13" s="113">
        <v>7.0291916116770894</v>
      </c>
    </row>
    <row r="14" spans="2:11" x14ac:dyDescent="0.3">
      <c r="B14" s="115"/>
      <c r="C14" s="112" t="s">
        <v>1517</v>
      </c>
      <c r="D14" s="1499">
        <v>9.1957590277645238</v>
      </c>
      <c r="E14" s="1499">
        <v>8.9641034088801135</v>
      </c>
      <c r="F14" s="1499">
        <v>7.3962792941254065</v>
      </c>
      <c r="G14" s="1499">
        <v>7.3624596411152625</v>
      </c>
      <c r="H14" s="1499">
        <v>7.7686419065284182</v>
      </c>
      <c r="I14" s="1499">
        <v>8.4058583202044659</v>
      </c>
      <c r="J14" s="1499">
        <v>8.040991795327205</v>
      </c>
      <c r="K14" s="113">
        <v>7.0275590070246716</v>
      </c>
    </row>
    <row r="15" spans="2:11" ht="14.5" thickBot="1" x14ac:dyDescent="0.35">
      <c r="B15" s="1233"/>
      <c r="C15" s="116" t="s">
        <v>1519</v>
      </c>
      <c r="D15" s="117">
        <v>9.2020484158224019</v>
      </c>
      <c r="E15" s="117">
        <v>8.9700012413138719</v>
      </c>
      <c r="F15" s="117">
        <v>7.4025023583054725</v>
      </c>
      <c r="G15" s="117">
        <v>7.3686313452574748</v>
      </c>
      <c r="H15" s="117">
        <v>7.7747188394977025</v>
      </c>
      <c r="I15" s="117">
        <v>8.411857052665674</v>
      </c>
      <c r="J15" s="117">
        <v>8.0470467580906497</v>
      </c>
      <c r="K15" s="118">
        <v>7.0337854897951368</v>
      </c>
    </row>
    <row r="16" spans="2:11" x14ac:dyDescent="0.3">
      <c r="B16" s="107" t="s">
        <v>1977</v>
      </c>
      <c r="C16" s="108" t="s">
        <v>1416</v>
      </c>
      <c r="D16" s="109">
        <v>8.749258321607055</v>
      </c>
      <c r="E16" s="109">
        <v>8.5171710038534201</v>
      </c>
      <c r="F16" s="109">
        <v>6.9490431897263889</v>
      </c>
      <c r="G16" s="109">
        <v>6.9152671729521886</v>
      </c>
      <c r="H16" s="109">
        <v>7.3215805430645604</v>
      </c>
      <c r="I16" s="109">
        <v>7.9588120630196748</v>
      </c>
      <c r="J16" s="109">
        <v>7.5938860815003553</v>
      </c>
      <c r="K16" s="110">
        <v>6.580310733126284</v>
      </c>
    </row>
    <row r="17" spans="2:11" x14ac:dyDescent="0.3">
      <c r="B17" s="111" t="s">
        <v>1978</v>
      </c>
      <c r="C17" s="112" t="s">
        <v>1483</v>
      </c>
      <c r="D17" s="1499">
        <v>8.7576494750589617</v>
      </c>
      <c r="E17" s="1499">
        <v>8.5256023005504318</v>
      </c>
      <c r="F17" s="1499">
        <v>6.9581034175420324</v>
      </c>
      <c r="G17" s="1499">
        <v>6.9242324044940347</v>
      </c>
      <c r="H17" s="1499">
        <v>7.3303198987342624</v>
      </c>
      <c r="I17" s="1499">
        <v>7.9674581119022339</v>
      </c>
      <c r="J17" s="1499">
        <v>7.6026478173272105</v>
      </c>
      <c r="K17" s="113">
        <v>6.5893865490316967</v>
      </c>
    </row>
    <row r="18" spans="2:11" x14ac:dyDescent="0.3">
      <c r="B18" s="111" t="s">
        <v>1980</v>
      </c>
      <c r="C18" s="112" t="s">
        <v>1489</v>
      </c>
      <c r="D18" s="1499">
        <v>8.7563446355595715</v>
      </c>
      <c r="E18" s="1499">
        <v>8.5242974610510416</v>
      </c>
      <c r="F18" s="1499">
        <v>6.9567985780426422</v>
      </c>
      <c r="G18" s="1499">
        <v>6.9229275649946445</v>
      </c>
      <c r="H18" s="1499">
        <v>7.3290150592348713</v>
      </c>
      <c r="I18" s="1499">
        <v>7.9661532724028428</v>
      </c>
      <c r="J18" s="1499">
        <v>7.6013429778278194</v>
      </c>
      <c r="K18" s="113">
        <v>6.5880817095323057</v>
      </c>
    </row>
    <row r="19" spans="2:11" x14ac:dyDescent="0.3">
      <c r="B19" s="114">
        <v>0</v>
      </c>
      <c r="C19" s="112" t="s">
        <v>1496</v>
      </c>
      <c r="D19" s="1499">
        <v>8.7543873763104845</v>
      </c>
      <c r="E19" s="1499">
        <v>8.5223402018019545</v>
      </c>
      <c r="F19" s="1499">
        <v>6.9548413187935552</v>
      </c>
      <c r="G19" s="1499">
        <v>6.9209703057455583</v>
      </c>
      <c r="H19" s="1499">
        <v>7.3270577999857851</v>
      </c>
      <c r="I19" s="1499">
        <v>7.9641960131537566</v>
      </c>
      <c r="J19" s="1499">
        <v>7.5993857185787332</v>
      </c>
      <c r="K19" s="113">
        <v>6.5861244502832195</v>
      </c>
    </row>
    <row r="20" spans="2:11" x14ac:dyDescent="0.3">
      <c r="B20" s="115"/>
      <c r="C20" s="112" t="s">
        <v>1500</v>
      </c>
      <c r="D20" s="1499">
        <v>8.7524301170613974</v>
      </c>
      <c r="E20" s="1499">
        <v>8.5203829425528674</v>
      </c>
      <c r="F20" s="1499">
        <v>6.9528840595444681</v>
      </c>
      <c r="G20" s="1499">
        <v>6.9190130464964703</v>
      </c>
      <c r="H20" s="1499">
        <v>7.325100540736698</v>
      </c>
      <c r="I20" s="1499">
        <v>7.9622387539046695</v>
      </c>
      <c r="J20" s="1499">
        <v>7.5974284593296453</v>
      </c>
      <c r="K20" s="113">
        <v>6.5841671910341315</v>
      </c>
    </row>
    <row r="21" spans="2:11" x14ac:dyDescent="0.3">
      <c r="B21" s="115"/>
      <c r="C21" s="112" t="s">
        <v>1504</v>
      </c>
      <c r="D21" s="1499">
        <v>8.7557136994075311</v>
      </c>
      <c r="E21" s="1499">
        <v>8.5240580805231208</v>
      </c>
      <c r="F21" s="1499">
        <v>6.9562339657684129</v>
      </c>
      <c r="G21" s="1499">
        <v>6.9224143127582698</v>
      </c>
      <c r="H21" s="1499">
        <v>7.3285965781714246</v>
      </c>
      <c r="I21" s="1499">
        <v>7.9658129918474723</v>
      </c>
      <c r="J21" s="1499">
        <v>7.6009464669702123</v>
      </c>
      <c r="K21" s="113">
        <v>6.5875136786676789</v>
      </c>
    </row>
    <row r="22" spans="2:11" x14ac:dyDescent="0.3">
      <c r="B22" s="115"/>
      <c r="C22" s="112" t="s">
        <v>1508</v>
      </c>
      <c r="D22" s="1499">
        <v>8.7546252963059192</v>
      </c>
      <c r="E22" s="1499">
        <v>8.5229696774215089</v>
      </c>
      <c r="F22" s="1499">
        <v>6.9551455626668011</v>
      </c>
      <c r="G22" s="1499">
        <v>6.9213259096566579</v>
      </c>
      <c r="H22" s="1499">
        <v>7.3275081750698128</v>
      </c>
      <c r="I22" s="1499">
        <v>7.9647245887458604</v>
      </c>
      <c r="J22" s="1499">
        <v>7.5998580638686013</v>
      </c>
      <c r="K22" s="113">
        <v>6.5864252755660671</v>
      </c>
    </row>
    <row r="23" spans="2:11" x14ac:dyDescent="0.3">
      <c r="B23" s="115"/>
      <c r="C23" s="112" t="s">
        <v>1513</v>
      </c>
      <c r="D23" s="1499">
        <v>8.7529926916535015</v>
      </c>
      <c r="E23" s="1499">
        <v>8.5213370727690911</v>
      </c>
      <c r="F23" s="1499">
        <v>6.9535129580143842</v>
      </c>
      <c r="G23" s="1499">
        <v>6.9196933050042402</v>
      </c>
      <c r="H23" s="1499">
        <v>7.325875570417395</v>
      </c>
      <c r="I23" s="1499">
        <v>7.9630919840934427</v>
      </c>
      <c r="J23" s="1499">
        <v>7.5982254592161835</v>
      </c>
      <c r="K23" s="113">
        <v>6.5847926709136493</v>
      </c>
    </row>
    <row r="24" spans="2:11" x14ac:dyDescent="0.3">
      <c r="B24" s="115"/>
      <c r="C24" s="112" t="s">
        <v>1517</v>
      </c>
      <c r="D24" s="1499">
        <v>8.7513600870010837</v>
      </c>
      <c r="E24" s="1499">
        <v>8.5197044681166734</v>
      </c>
      <c r="F24" s="1499">
        <v>6.9518803533619664</v>
      </c>
      <c r="G24" s="1499">
        <v>6.9180607003518224</v>
      </c>
      <c r="H24" s="1499">
        <v>7.3242429657649781</v>
      </c>
      <c r="I24" s="1499">
        <v>7.9614593794410249</v>
      </c>
      <c r="J24" s="1499">
        <v>7.5965928545637658</v>
      </c>
      <c r="K24" s="113">
        <v>6.5831600662612315</v>
      </c>
    </row>
    <row r="25" spans="2:11" ht="14.5" thickBot="1" x14ac:dyDescent="0.35">
      <c r="B25" s="1233"/>
      <c r="C25" s="116" t="s">
        <v>1519</v>
      </c>
      <c r="D25" s="117">
        <v>8.7576494750589617</v>
      </c>
      <c r="E25" s="117">
        <v>8.5256023005504318</v>
      </c>
      <c r="F25" s="117">
        <v>6.9581034175420324</v>
      </c>
      <c r="G25" s="117">
        <v>6.9242324044940347</v>
      </c>
      <c r="H25" s="117">
        <v>7.3303198987342624</v>
      </c>
      <c r="I25" s="117">
        <v>7.9674581119022339</v>
      </c>
      <c r="J25" s="117">
        <v>7.6026478173272105</v>
      </c>
      <c r="K25" s="118">
        <v>6.5893865490316967</v>
      </c>
    </row>
    <row r="26" spans="2:11" x14ac:dyDescent="0.3">
      <c r="B26" s="107" t="s">
        <v>1977</v>
      </c>
      <c r="C26" s="108" t="s">
        <v>1416</v>
      </c>
      <c r="D26" s="109">
        <v>8.0826599104618939</v>
      </c>
      <c r="E26" s="109">
        <v>7.850572592708259</v>
      </c>
      <c r="F26" s="109">
        <v>6.2824447785812279</v>
      </c>
      <c r="G26" s="109">
        <v>6.2486687618070276</v>
      </c>
      <c r="H26" s="109">
        <v>6.6549821319193994</v>
      </c>
      <c r="I26" s="109">
        <v>7.2922136518745146</v>
      </c>
      <c r="J26" s="109">
        <v>6.9272876703551942</v>
      </c>
      <c r="K26" s="110">
        <v>5.9137123219811238</v>
      </c>
    </row>
    <row r="27" spans="2:11" x14ac:dyDescent="0.3">
      <c r="B27" s="111" t="s">
        <v>1978</v>
      </c>
      <c r="C27" s="112" t="s">
        <v>1483</v>
      </c>
      <c r="D27" s="1499">
        <v>8.0910510639138025</v>
      </c>
      <c r="E27" s="1499">
        <v>7.8590038894052725</v>
      </c>
      <c r="F27" s="1499">
        <v>6.2915050063968723</v>
      </c>
      <c r="G27" s="1499">
        <v>6.2576339933488754</v>
      </c>
      <c r="H27" s="1499">
        <v>6.6637214875891031</v>
      </c>
      <c r="I27" s="1499">
        <v>7.3008597007570728</v>
      </c>
      <c r="J27" s="1499">
        <v>6.9360494061820495</v>
      </c>
      <c r="K27" s="113">
        <v>5.9227881378865357</v>
      </c>
    </row>
    <row r="28" spans="2:11" x14ac:dyDescent="0.3">
      <c r="B28" s="111" t="s">
        <v>1981</v>
      </c>
      <c r="C28" s="112" t="s">
        <v>1489</v>
      </c>
      <c r="D28" s="1499">
        <v>8.0897462244144105</v>
      </c>
      <c r="E28" s="1499">
        <v>7.8576990499058805</v>
      </c>
      <c r="F28" s="1499">
        <v>6.2902001668974812</v>
      </c>
      <c r="G28" s="1499">
        <v>6.2563291538494834</v>
      </c>
      <c r="H28" s="1499">
        <v>6.6624166480897111</v>
      </c>
      <c r="I28" s="1499">
        <v>7.2995548612576826</v>
      </c>
      <c r="J28" s="1499">
        <v>6.9347445666826584</v>
      </c>
      <c r="K28" s="113">
        <v>5.9214832983871446</v>
      </c>
    </row>
    <row r="29" spans="2:11" x14ac:dyDescent="0.3">
      <c r="B29" s="114">
        <v>0</v>
      </c>
      <c r="C29" s="112" t="s">
        <v>1496</v>
      </c>
      <c r="D29" s="1499">
        <v>8.0877889651653252</v>
      </c>
      <c r="E29" s="1499">
        <v>7.8557417906567943</v>
      </c>
      <c r="F29" s="1499">
        <v>6.288242907648395</v>
      </c>
      <c r="G29" s="1499">
        <v>6.2543718946003972</v>
      </c>
      <c r="H29" s="1499">
        <v>6.6604593888406241</v>
      </c>
      <c r="I29" s="1499">
        <v>7.2975976020085964</v>
      </c>
      <c r="J29" s="1499">
        <v>6.9327873074335722</v>
      </c>
      <c r="K29" s="113">
        <v>5.9195260391380584</v>
      </c>
    </row>
    <row r="30" spans="2:11" x14ac:dyDescent="0.3">
      <c r="B30" s="115"/>
      <c r="C30" s="112" t="s">
        <v>1500</v>
      </c>
      <c r="D30" s="1499">
        <v>8.0858317059162381</v>
      </c>
      <c r="E30" s="1499">
        <v>7.8537845314077073</v>
      </c>
      <c r="F30" s="1499">
        <v>6.2862856483993088</v>
      </c>
      <c r="G30" s="1499">
        <v>6.252414635351311</v>
      </c>
      <c r="H30" s="1499">
        <v>6.6585021295915379</v>
      </c>
      <c r="I30" s="1499">
        <v>7.2956403427595093</v>
      </c>
      <c r="J30" s="1499">
        <v>6.930830048184486</v>
      </c>
      <c r="K30" s="113">
        <v>5.9175687798889722</v>
      </c>
    </row>
    <row r="31" spans="2:11" x14ac:dyDescent="0.3">
      <c r="B31" s="115"/>
      <c r="C31" s="112" t="s">
        <v>1504</v>
      </c>
      <c r="D31" s="1499">
        <v>8.08911528826237</v>
      </c>
      <c r="E31" s="1499">
        <v>7.8574596693779597</v>
      </c>
      <c r="F31" s="1499">
        <v>6.2896355546232519</v>
      </c>
      <c r="G31" s="1499">
        <v>6.2558159016131087</v>
      </c>
      <c r="H31" s="1499">
        <v>6.6619981670262636</v>
      </c>
      <c r="I31" s="1499">
        <v>7.2992145807023112</v>
      </c>
      <c r="J31" s="1499">
        <v>6.9343480558250521</v>
      </c>
      <c r="K31" s="113">
        <v>5.9209152675225178</v>
      </c>
    </row>
    <row r="32" spans="2:11" x14ac:dyDescent="0.3">
      <c r="B32" s="115"/>
      <c r="C32" s="112" t="s">
        <v>1508</v>
      </c>
      <c r="D32" s="1499">
        <v>8.0880268851607582</v>
      </c>
      <c r="E32" s="1499">
        <v>7.8563712662763479</v>
      </c>
      <c r="F32" s="1499">
        <v>6.2885471515216409</v>
      </c>
      <c r="G32" s="1499">
        <v>6.2547274985114969</v>
      </c>
      <c r="H32" s="1499">
        <v>6.6609097639246517</v>
      </c>
      <c r="I32" s="1499">
        <v>7.2981261776006994</v>
      </c>
      <c r="J32" s="1499">
        <v>6.9332596527234402</v>
      </c>
      <c r="K32" s="113">
        <v>5.919826864420906</v>
      </c>
    </row>
    <row r="33" spans="2:11" x14ac:dyDescent="0.3">
      <c r="B33" s="115"/>
      <c r="C33" s="112" t="s">
        <v>1513</v>
      </c>
      <c r="D33" s="1499">
        <v>8.0863942805083404</v>
      </c>
      <c r="E33" s="1499">
        <v>7.8547386616239301</v>
      </c>
      <c r="F33" s="1499">
        <v>6.2869145468692231</v>
      </c>
      <c r="G33" s="1499">
        <v>6.2530948938590791</v>
      </c>
      <c r="H33" s="1499">
        <v>6.6592771592722348</v>
      </c>
      <c r="I33" s="1499">
        <v>7.2964935729482816</v>
      </c>
      <c r="J33" s="1499">
        <v>6.9316270480710225</v>
      </c>
      <c r="K33" s="113">
        <v>5.9181942597684882</v>
      </c>
    </row>
    <row r="34" spans="2:11" x14ac:dyDescent="0.3">
      <c r="B34" s="115"/>
      <c r="C34" s="112" t="s">
        <v>1517</v>
      </c>
      <c r="D34" s="1499">
        <v>8.0847616758559244</v>
      </c>
      <c r="E34" s="1499">
        <v>7.8531060569715141</v>
      </c>
      <c r="F34" s="1499">
        <v>6.2852819422168054</v>
      </c>
      <c r="G34" s="1499">
        <v>6.2514622892066631</v>
      </c>
      <c r="H34" s="1499">
        <v>6.657644554619818</v>
      </c>
      <c r="I34" s="1499">
        <v>7.2948609682958656</v>
      </c>
      <c r="J34" s="1499">
        <v>6.9299944434186047</v>
      </c>
      <c r="K34" s="113">
        <v>5.9165616551160722</v>
      </c>
    </row>
    <row r="35" spans="2:11" ht="14.5" thickBot="1" x14ac:dyDescent="0.35">
      <c r="B35" s="1233"/>
      <c r="C35" s="116" t="s">
        <v>1519</v>
      </c>
      <c r="D35" s="117">
        <v>8.0910510639138025</v>
      </c>
      <c r="E35" s="117">
        <v>7.8590038894052725</v>
      </c>
      <c r="F35" s="117">
        <v>6.2915050063968723</v>
      </c>
      <c r="G35" s="117">
        <v>6.2576339933488754</v>
      </c>
      <c r="H35" s="117">
        <v>6.6637214875891031</v>
      </c>
      <c r="I35" s="117">
        <v>7.3008597007570728</v>
      </c>
      <c r="J35" s="117">
        <v>6.9360494061820495</v>
      </c>
      <c r="K35" s="118">
        <v>5.9227881378865357</v>
      </c>
    </row>
    <row r="36" spans="2:11" x14ac:dyDescent="0.3">
      <c r="B36" s="107" t="s">
        <v>1977</v>
      </c>
      <c r="C36" s="108" t="s">
        <v>1416</v>
      </c>
      <c r="D36" s="109">
        <v>7.4160614993167346</v>
      </c>
      <c r="E36" s="109">
        <v>7.1839741815630997</v>
      </c>
      <c r="F36" s="109">
        <v>5.6158463674360686</v>
      </c>
      <c r="G36" s="109">
        <v>5.5820703506618683</v>
      </c>
      <c r="H36" s="109">
        <v>5.9883837207742401</v>
      </c>
      <c r="I36" s="109">
        <v>6.6256152407293545</v>
      </c>
      <c r="J36" s="109">
        <v>6.2606892592100349</v>
      </c>
      <c r="K36" s="110">
        <v>5.2471139108359637</v>
      </c>
    </row>
    <row r="37" spans="2:11" x14ac:dyDescent="0.3">
      <c r="B37" s="111" t="s">
        <v>1978</v>
      </c>
      <c r="C37" s="112" t="s">
        <v>1483</v>
      </c>
      <c r="D37" s="1499">
        <v>7.4244526527686423</v>
      </c>
      <c r="E37" s="1499">
        <v>7.1924054782601115</v>
      </c>
      <c r="F37" s="1499">
        <v>5.6249065952517121</v>
      </c>
      <c r="G37" s="1499">
        <v>5.5910355822037143</v>
      </c>
      <c r="H37" s="1499">
        <v>5.997123076443942</v>
      </c>
      <c r="I37" s="1499">
        <v>6.6342612896119135</v>
      </c>
      <c r="J37" s="1499">
        <v>6.2694509950368902</v>
      </c>
      <c r="K37" s="113">
        <v>5.2561897267413764</v>
      </c>
    </row>
    <row r="38" spans="2:11" x14ac:dyDescent="0.3">
      <c r="B38" s="111" t="s">
        <v>1982</v>
      </c>
      <c r="C38" s="112" t="s">
        <v>1489</v>
      </c>
      <c r="D38" s="1499">
        <v>7.4231478132692512</v>
      </c>
      <c r="E38" s="1499">
        <v>7.1911006387607204</v>
      </c>
      <c r="F38" s="1499">
        <v>5.6236017557523219</v>
      </c>
      <c r="G38" s="1499">
        <v>5.5897307427043241</v>
      </c>
      <c r="H38" s="1499">
        <v>5.995818236944551</v>
      </c>
      <c r="I38" s="1499">
        <v>6.6329564501125224</v>
      </c>
      <c r="J38" s="1499">
        <v>6.2681461555374991</v>
      </c>
      <c r="K38" s="113">
        <v>5.2548848872419844</v>
      </c>
    </row>
    <row r="39" spans="2:11" x14ac:dyDescent="0.3">
      <c r="B39" s="114">
        <v>0</v>
      </c>
      <c r="C39" s="112" t="s">
        <v>1496</v>
      </c>
      <c r="D39" s="1499">
        <v>7.4211905540201633</v>
      </c>
      <c r="E39" s="1499">
        <v>7.1891433795116333</v>
      </c>
      <c r="F39" s="1499">
        <v>5.6216444965032339</v>
      </c>
      <c r="G39" s="1499">
        <v>5.5877734834552362</v>
      </c>
      <c r="H39" s="1499">
        <v>5.9938609776954639</v>
      </c>
      <c r="I39" s="1499">
        <v>6.6309991908634354</v>
      </c>
      <c r="J39" s="1499">
        <v>6.266188896288412</v>
      </c>
      <c r="K39" s="113">
        <v>5.2529276279928983</v>
      </c>
    </row>
    <row r="40" spans="2:11" x14ac:dyDescent="0.3">
      <c r="B40" s="115"/>
      <c r="C40" s="112" t="s">
        <v>1500</v>
      </c>
      <c r="D40" s="1499">
        <v>7.4192332947710771</v>
      </c>
      <c r="E40" s="1499">
        <v>7.1871861202625471</v>
      </c>
      <c r="F40" s="1499">
        <v>5.6196872372541478</v>
      </c>
      <c r="G40" s="1499">
        <v>5.58581622420615</v>
      </c>
      <c r="H40" s="1499">
        <v>5.9919037184463777</v>
      </c>
      <c r="I40" s="1499">
        <v>6.6290419316143492</v>
      </c>
      <c r="J40" s="1499">
        <v>6.264231637039325</v>
      </c>
      <c r="K40" s="113">
        <v>5.2509703687438112</v>
      </c>
    </row>
    <row r="41" spans="2:11" x14ac:dyDescent="0.3">
      <c r="B41" s="115"/>
      <c r="C41" s="112" t="s">
        <v>1504</v>
      </c>
      <c r="D41" s="1499">
        <v>7.4225168771172099</v>
      </c>
      <c r="E41" s="1499">
        <v>7.1908612582328004</v>
      </c>
      <c r="F41" s="1499">
        <v>5.6230371434780926</v>
      </c>
      <c r="G41" s="1499">
        <v>5.5892174904679495</v>
      </c>
      <c r="H41" s="1499">
        <v>5.9953997558811043</v>
      </c>
      <c r="I41" s="1499">
        <v>6.6326161695571511</v>
      </c>
      <c r="J41" s="1499">
        <v>6.2677496446798919</v>
      </c>
      <c r="K41" s="113">
        <v>5.2543168563773577</v>
      </c>
    </row>
    <row r="42" spans="2:11" x14ac:dyDescent="0.3">
      <c r="B42" s="115"/>
      <c r="C42" s="112" t="s">
        <v>1508</v>
      </c>
      <c r="D42" s="1499">
        <v>7.421428474015598</v>
      </c>
      <c r="E42" s="1499">
        <v>7.1897728551311886</v>
      </c>
      <c r="F42" s="1499">
        <v>5.6219487403764807</v>
      </c>
      <c r="G42" s="1499">
        <v>5.5881290873663376</v>
      </c>
      <c r="H42" s="1499">
        <v>5.9943113527794925</v>
      </c>
      <c r="I42" s="1499">
        <v>6.6315277664555401</v>
      </c>
      <c r="J42" s="1499">
        <v>6.266661241578281</v>
      </c>
      <c r="K42" s="113">
        <v>5.2532284532757458</v>
      </c>
    </row>
    <row r="43" spans="2:11" x14ac:dyDescent="0.3">
      <c r="B43" s="115"/>
      <c r="C43" s="112" t="s">
        <v>1513</v>
      </c>
      <c r="D43" s="1499">
        <v>7.4197958693631803</v>
      </c>
      <c r="E43" s="1499">
        <v>7.1881402504787708</v>
      </c>
      <c r="F43" s="1499">
        <v>5.620316135724063</v>
      </c>
      <c r="G43" s="1499">
        <v>5.5864964827139199</v>
      </c>
      <c r="H43" s="1499">
        <v>5.9926787481270747</v>
      </c>
      <c r="I43" s="1499">
        <v>6.6298951618031223</v>
      </c>
      <c r="J43" s="1499">
        <v>6.2650286369258632</v>
      </c>
      <c r="K43" s="113">
        <v>5.251595848623329</v>
      </c>
    </row>
    <row r="44" spans="2:11" x14ac:dyDescent="0.3">
      <c r="B44" s="115"/>
      <c r="C44" s="112" t="s">
        <v>1517</v>
      </c>
      <c r="D44" s="1499">
        <v>7.4181632647107634</v>
      </c>
      <c r="E44" s="1499">
        <v>7.186507645826353</v>
      </c>
      <c r="F44" s="1499">
        <v>5.6186835310716461</v>
      </c>
      <c r="G44" s="1499">
        <v>5.5848638780615021</v>
      </c>
      <c r="H44" s="1499">
        <v>5.9910461434746569</v>
      </c>
      <c r="I44" s="1499">
        <v>6.6282625571507046</v>
      </c>
      <c r="J44" s="1499">
        <v>6.2633960322734454</v>
      </c>
      <c r="K44" s="113">
        <v>5.2499632439709112</v>
      </c>
    </row>
    <row r="45" spans="2:11" ht="14.5" thickBot="1" x14ac:dyDescent="0.35">
      <c r="B45" s="1233"/>
      <c r="C45" s="116" t="s">
        <v>1519</v>
      </c>
      <c r="D45" s="117">
        <v>7.4244526527686423</v>
      </c>
      <c r="E45" s="117">
        <v>7.1924054782601115</v>
      </c>
      <c r="F45" s="117">
        <v>5.6249065952517121</v>
      </c>
      <c r="G45" s="117">
        <v>5.5910355822037143</v>
      </c>
      <c r="H45" s="117">
        <v>5.997123076443942</v>
      </c>
      <c r="I45" s="117">
        <v>6.6342612896119135</v>
      </c>
      <c r="J45" s="117">
        <v>6.2694509950368902</v>
      </c>
      <c r="K45" s="118">
        <v>5.2561897267413764</v>
      </c>
    </row>
    <row r="46" spans="2:11" x14ac:dyDescent="0.3">
      <c r="B46" s="119" t="s">
        <v>1983</v>
      </c>
      <c r="C46" s="108" t="s">
        <v>1416</v>
      </c>
      <c r="D46" s="109">
        <v>7.7310965370600409</v>
      </c>
      <c r="E46" s="109">
        <v>7.4706025722529636</v>
      </c>
      <c r="F46" s="109">
        <v>5.9012835922852664</v>
      </c>
      <c r="G46" s="109">
        <v>5.8631237772112392</v>
      </c>
      <c r="H46" s="109">
        <v>6.2778656635061418</v>
      </c>
      <c r="I46" s="109">
        <v>6.9072152014285528</v>
      </c>
      <c r="J46" s="109">
        <v>6.5417037887218896</v>
      </c>
      <c r="K46" s="110">
        <v>5.5277462050395334</v>
      </c>
    </row>
    <row r="47" spans="2:11" x14ac:dyDescent="0.3">
      <c r="B47" s="111"/>
      <c r="C47" s="112" t="s">
        <v>1483</v>
      </c>
      <c r="D47" s="1499">
        <v>7.7403047331285553</v>
      </c>
      <c r="E47" s="1499">
        <v>7.479471564342326</v>
      </c>
      <c r="F47" s="1499">
        <v>5.9109688425048832</v>
      </c>
      <c r="G47" s="1499">
        <v>5.8725860144431792</v>
      </c>
      <c r="H47" s="1499">
        <v>6.2870599650633796</v>
      </c>
      <c r="I47" s="1499">
        <v>6.9163006417036925</v>
      </c>
      <c r="J47" s="1499">
        <v>6.5509187246457534</v>
      </c>
      <c r="K47" s="113">
        <v>5.537366890778376</v>
      </c>
    </row>
    <row r="48" spans="2:11" x14ac:dyDescent="0.3">
      <c r="B48" s="111" t="s">
        <v>1979</v>
      </c>
      <c r="C48" s="112" t="s">
        <v>1489</v>
      </c>
      <c r="D48" s="1499">
        <v>7.7389998936291642</v>
      </c>
      <c r="E48" s="1499">
        <v>7.4781667248429349</v>
      </c>
      <c r="F48" s="1499">
        <v>5.909664003005493</v>
      </c>
      <c r="G48" s="1499">
        <v>5.8712811749437881</v>
      </c>
      <c r="H48" s="1499">
        <v>6.2857551255639894</v>
      </c>
      <c r="I48" s="1499">
        <v>6.9149958022043014</v>
      </c>
      <c r="J48" s="1499">
        <v>6.5496138851463632</v>
      </c>
      <c r="K48" s="113">
        <v>5.5360620512789831</v>
      </c>
    </row>
    <row r="49" spans="2:11" x14ac:dyDescent="0.3">
      <c r="B49" s="114">
        <v>0</v>
      </c>
      <c r="C49" s="112" t="s">
        <v>1496</v>
      </c>
      <c r="D49" s="1499">
        <v>7.737042634380078</v>
      </c>
      <c r="E49" s="1499">
        <v>7.4762094655938487</v>
      </c>
      <c r="F49" s="1499">
        <v>5.9077067437564059</v>
      </c>
      <c r="G49" s="1499">
        <v>5.8693239156947019</v>
      </c>
      <c r="H49" s="1499">
        <v>6.2837978663149023</v>
      </c>
      <c r="I49" s="1499">
        <v>6.9130385429552152</v>
      </c>
      <c r="J49" s="1499">
        <v>6.5476566258972762</v>
      </c>
      <c r="K49" s="113">
        <v>5.5341047920298969</v>
      </c>
    </row>
    <row r="50" spans="2:11" x14ac:dyDescent="0.3">
      <c r="B50" s="115"/>
      <c r="C50" s="112" t="s">
        <v>1500</v>
      </c>
      <c r="D50" s="1499">
        <v>7.7350853751309909</v>
      </c>
      <c r="E50" s="1499">
        <v>7.4742522063447607</v>
      </c>
      <c r="F50" s="1499">
        <v>5.9057494845073188</v>
      </c>
      <c r="G50" s="1499">
        <v>5.8673666564456139</v>
      </c>
      <c r="H50" s="1499">
        <v>6.2818406070658153</v>
      </c>
      <c r="I50" s="1499">
        <v>6.9110812837061282</v>
      </c>
      <c r="J50" s="1499">
        <v>6.5456993666481891</v>
      </c>
      <c r="K50" s="113">
        <v>5.5321475327808107</v>
      </c>
    </row>
    <row r="51" spans="2:11" x14ac:dyDescent="0.3">
      <c r="B51" s="115"/>
      <c r="C51" s="112" t="s">
        <v>1504</v>
      </c>
      <c r="D51" s="1499">
        <v>7.7383334049428383</v>
      </c>
      <c r="E51" s="1499">
        <v>7.4776968598701545</v>
      </c>
      <c r="F51" s="1499">
        <v>5.9089538734613889</v>
      </c>
      <c r="G51" s="1499">
        <v>5.8705922395046111</v>
      </c>
      <c r="H51" s="1499">
        <v>6.2851342836132389</v>
      </c>
      <c r="I51" s="1499">
        <v>6.9144233032850826</v>
      </c>
      <c r="J51" s="1499">
        <v>6.5489975181929667</v>
      </c>
      <c r="K51" s="113">
        <v>5.5353342511402337</v>
      </c>
    </row>
    <row r="52" spans="2:11" x14ac:dyDescent="0.3">
      <c r="B52" s="115"/>
      <c r="C52" s="112" t="s">
        <v>1508</v>
      </c>
      <c r="D52" s="1499">
        <v>7.7372450018412264</v>
      </c>
      <c r="E52" s="1499">
        <v>7.4766084567685427</v>
      </c>
      <c r="F52" s="1499">
        <v>5.907865470359777</v>
      </c>
      <c r="G52" s="1499">
        <v>5.8695038364029992</v>
      </c>
      <c r="H52" s="1499">
        <v>6.284045880511627</v>
      </c>
      <c r="I52" s="1499">
        <v>6.9133349001834707</v>
      </c>
      <c r="J52" s="1499">
        <v>6.5479091150913549</v>
      </c>
      <c r="K52" s="113">
        <v>5.5342458480386227</v>
      </c>
    </row>
    <row r="53" spans="2:11" x14ac:dyDescent="0.3">
      <c r="B53" s="115"/>
      <c r="C53" s="112" t="s">
        <v>1513</v>
      </c>
      <c r="D53" s="1499">
        <v>7.7356123971888087</v>
      </c>
      <c r="E53" s="1499">
        <v>7.4749758521161249</v>
      </c>
      <c r="F53" s="1499">
        <v>5.9062328657073593</v>
      </c>
      <c r="G53" s="1499">
        <v>5.8678712317505823</v>
      </c>
      <c r="H53" s="1499">
        <v>6.2824132758592093</v>
      </c>
      <c r="I53" s="1499">
        <v>6.911702295531053</v>
      </c>
      <c r="J53" s="1499">
        <v>6.5462765104389371</v>
      </c>
      <c r="K53" s="113">
        <v>5.5326132433862059</v>
      </c>
    </row>
    <row r="54" spans="2:11" x14ac:dyDescent="0.3">
      <c r="B54" s="115"/>
      <c r="C54" s="112" t="s">
        <v>1517</v>
      </c>
      <c r="D54" s="1499">
        <v>7.7339797925363909</v>
      </c>
      <c r="E54" s="1499">
        <v>7.473343247463708</v>
      </c>
      <c r="F54" s="1499">
        <v>5.9046002610549424</v>
      </c>
      <c r="G54" s="1499">
        <v>5.8662386270981646</v>
      </c>
      <c r="H54" s="1499">
        <v>6.2807806712067924</v>
      </c>
      <c r="I54" s="1499">
        <v>6.9100696908786361</v>
      </c>
      <c r="J54" s="1499">
        <v>6.5446439057865193</v>
      </c>
      <c r="K54" s="113">
        <v>5.5309806387337881</v>
      </c>
    </row>
    <row r="55" spans="2:11" ht="14.5" thickBot="1" x14ac:dyDescent="0.35">
      <c r="B55" s="1233"/>
      <c r="C55" s="116" t="s">
        <v>1519</v>
      </c>
      <c r="D55" s="117">
        <v>7.7403047331285553</v>
      </c>
      <c r="E55" s="117">
        <v>7.479471564342326</v>
      </c>
      <c r="F55" s="117">
        <v>5.9109688425048832</v>
      </c>
      <c r="G55" s="117">
        <v>5.8725860144431792</v>
      </c>
      <c r="H55" s="117">
        <v>6.2870599650633796</v>
      </c>
      <c r="I55" s="117">
        <v>6.9163006417036925</v>
      </c>
      <c r="J55" s="117">
        <v>6.5509187246457534</v>
      </c>
      <c r="K55" s="118">
        <v>5.537366890778376</v>
      </c>
    </row>
    <row r="56" spans="2:11" x14ac:dyDescent="0.3">
      <c r="B56" s="119" t="s">
        <v>1983</v>
      </c>
      <c r="C56" s="108" t="s">
        <v>1416</v>
      </c>
      <c r="D56" s="109">
        <v>7.4010798701232208</v>
      </c>
      <c r="E56" s="109">
        <v>7.1405859053161436</v>
      </c>
      <c r="F56" s="109">
        <v>5.5712669253484464</v>
      </c>
      <c r="G56" s="109">
        <v>5.5331071102744191</v>
      </c>
      <c r="H56" s="109">
        <v>5.9478489965693218</v>
      </c>
      <c r="I56" s="109">
        <v>6.5771985344917336</v>
      </c>
      <c r="J56" s="109">
        <v>6.2116871217850695</v>
      </c>
      <c r="K56" s="110">
        <v>5.1977295381027142</v>
      </c>
    </row>
    <row r="57" spans="2:11" x14ac:dyDescent="0.3">
      <c r="B57" s="111"/>
      <c r="C57" s="112" t="s">
        <v>1483</v>
      </c>
      <c r="D57" s="1499">
        <v>7.4102880661917352</v>
      </c>
      <c r="E57" s="1499">
        <v>7.1494548974055059</v>
      </c>
      <c r="F57" s="1499">
        <v>5.580952175568064</v>
      </c>
      <c r="G57" s="1499">
        <v>5.5425693475063591</v>
      </c>
      <c r="H57" s="1499">
        <v>5.9570432981265595</v>
      </c>
      <c r="I57" s="1499">
        <v>6.5862839747668724</v>
      </c>
      <c r="J57" s="1499">
        <v>6.2209020577089333</v>
      </c>
      <c r="K57" s="113">
        <v>5.207350223841555</v>
      </c>
    </row>
    <row r="58" spans="2:11" x14ac:dyDescent="0.3">
      <c r="B58" s="111" t="s">
        <v>1980</v>
      </c>
      <c r="C58" s="112" t="s">
        <v>1489</v>
      </c>
      <c r="D58" s="1499">
        <v>7.4089832266923441</v>
      </c>
      <c r="E58" s="1499">
        <v>7.1481500579061148</v>
      </c>
      <c r="F58" s="1499">
        <v>5.5796473360686729</v>
      </c>
      <c r="G58" s="1499">
        <v>5.541264508006968</v>
      </c>
      <c r="H58" s="1499">
        <v>5.9557384586271693</v>
      </c>
      <c r="I58" s="1499">
        <v>6.5849791352674822</v>
      </c>
      <c r="J58" s="1499">
        <v>6.2195972182095431</v>
      </c>
      <c r="K58" s="113">
        <v>5.2060453843421639</v>
      </c>
    </row>
    <row r="59" spans="2:11" x14ac:dyDescent="0.3">
      <c r="B59" s="114">
        <v>0</v>
      </c>
      <c r="C59" s="112" t="s">
        <v>1496</v>
      </c>
      <c r="D59" s="1499">
        <v>7.4070259674432579</v>
      </c>
      <c r="E59" s="1499">
        <v>7.1461927986570286</v>
      </c>
      <c r="F59" s="1499">
        <v>5.5776900768195867</v>
      </c>
      <c r="G59" s="1499">
        <v>5.5393072487578818</v>
      </c>
      <c r="H59" s="1499">
        <v>5.9537811993780823</v>
      </c>
      <c r="I59" s="1499">
        <v>6.5830218760183952</v>
      </c>
      <c r="J59" s="1499">
        <v>6.2176399589604561</v>
      </c>
      <c r="K59" s="113">
        <v>5.2040881250930768</v>
      </c>
    </row>
    <row r="60" spans="2:11" x14ac:dyDescent="0.3">
      <c r="B60" s="115"/>
      <c r="C60" s="112" t="s">
        <v>1500</v>
      </c>
      <c r="D60" s="1499">
        <v>7.4050687081941708</v>
      </c>
      <c r="E60" s="1499">
        <v>7.1442355394079406</v>
      </c>
      <c r="F60" s="1499">
        <v>5.5757328175704988</v>
      </c>
      <c r="G60" s="1499">
        <v>5.5373499895087939</v>
      </c>
      <c r="H60" s="1499">
        <v>5.9518239401289952</v>
      </c>
      <c r="I60" s="1499">
        <v>6.5810646167693081</v>
      </c>
      <c r="J60" s="1499">
        <v>6.215682699711369</v>
      </c>
      <c r="K60" s="113">
        <v>5.2021308658439906</v>
      </c>
    </row>
    <row r="61" spans="2:11" x14ac:dyDescent="0.3">
      <c r="B61" s="115"/>
      <c r="C61" s="112" t="s">
        <v>1504</v>
      </c>
      <c r="D61" s="1499">
        <v>7.4083167380060182</v>
      </c>
      <c r="E61" s="1499">
        <v>7.1476801929333345</v>
      </c>
      <c r="F61" s="1499">
        <v>5.5789372065245688</v>
      </c>
      <c r="G61" s="1499">
        <v>5.540575572567791</v>
      </c>
      <c r="H61" s="1499">
        <v>5.9551176166764188</v>
      </c>
      <c r="I61" s="1499">
        <v>6.5844066363482625</v>
      </c>
      <c r="J61" s="1499">
        <v>6.2189808512561466</v>
      </c>
      <c r="K61" s="113">
        <v>5.2053175842034145</v>
      </c>
    </row>
    <row r="62" spans="2:11" x14ac:dyDescent="0.3">
      <c r="B62" s="115"/>
      <c r="C62" s="112" t="s">
        <v>1508</v>
      </c>
      <c r="D62" s="1499">
        <v>7.4072283349044064</v>
      </c>
      <c r="E62" s="1499">
        <v>7.1465917898317226</v>
      </c>
      <c r="F62" s="1499">
        <v>5.577848803422957</v>
      </c>
      <c r="G62" s="1499">
        <v>5.53948716946618</v>
      </c>
      <c r="H62" s="1499">
        <v>5.954029213574807</v>
      </c>
      <c r="I62" s="1499">
        <v>6.5833182332466507</v>
      </c>
      <c r="J62" s="1499">
        <v>6.2178924481545348</v>
      </c>
      <c r="K62" s="113">
        <v>5.2042291811018027</v>
      </c>
    </row>
    <row r="63" spans="2:11" x14ac:dyDescent="0.3">
      <c r="B63" s="115"/>
      <c r="C63" s="112" t="s">
        <v>1513</v>
      </c>
      <c r="D63" s="1499">
        <v>7.4055957302519886</v>
      </c>
      <c r="E63" s="1499">
        <v>7.1449591851793057</v>
      </c>
      <c r="F63" s="1499">
        <v>5.5762161987705401</v>
      </c>
      <c r="G63" s="1499">
        <v>5.5378545648137623</v>
      </c>
      <c r="H63" s="1499">
        <v>5.9523966089223901</v>
      </c>
      <c r="I63" s="1499">
        <v>6.5816856285942338</v>
      </c>
      <c r="J63" s="1499">
        <v>6.216259843502117</v>
      </c>
      <c r="K63" s="113">
        <v>5.2025965764493858</v>
      </c>
    </row>
    <row r="64" spans="2:11" x14ac:dyDescent="0.3">
      <c r="B64" s="115"/>
      <c r="C64" s="112" t="s">
        <v>1517</v>
      </c>
      <c r="D64" s="1499">
        <v>7.4039631255995717</v>
      </c>
      <c r="E64" s="1499">
        <v>7.143326580526888</v>
      </c>
      <c r="F64" s="1499">
        <v>5.5745835941181223</v>
      </c>
      <c r="G64" s="1499">
        <v>5.5362219601613445</v>
      </c>
      <c r="H64" s="1499">
        <v>5.9507640042699723</v>
      </c>
      <c r="I64" s="1499">
        <v>6.580053023941816</v>
      </c>
      <c r="J64" s="1499">
        <v>6.2146272388496993</v>
      </c>
      <c r="K64" s="113">
        <v>5.200963971796968</v>
      </c>
    </row>
    <row r="65" spans="2:11" ht="14.5" thickBot="1" x14ac:dyDescent="0.35">
      <c r="B65" s="1233"/>
      <c r="C65" s="116" t="s">
        <v>1519</v>
      </c>
      <c r="D65" s="117">
        <v>7.4102880661917352</v>
      </c>
      <c r="E65" s="117">
        <v>7.1494548974055059</v>
      </c>
      <c r="F65" s="117">
        <v>5.580952175568064</v>
      </c>
      <c r="G65" s="117">
        <v>5.5425693475063591</v>
      </c>
      <c r="H65" s="117">
        <v>5.9570432981265595</v>
      </c>
      <c r="I65" s="117">
        <v>6.5862839747668724</v>
      </c>
      <c r="J65" s="117">
        <v>6.2209020577089333</v>
      </c>
      <c r="K65" s="118">
        <v>5.207350223841555</v>
      </c>
    </row>
    <row r="66" spans="2:11" x14ac:dyDescent="0.3">
      <c r="B66" s="119" t="s">
        <v>1983</v>
      </c>
      <c r="C66" s="108" t="s">
        <v>1416</v>
      </c>
      <c r="D66" s="109">
        <v>6.9060548697179911</v>
      </c>
      <c r="E66" s="109">
        <v>6.6455609049109139</v>
      </c>
      <c r="F66" s="109">
        <v>5.0762419249432167</v>
      </c>
      <c r="G66" s="109">
        <v>5.0380821098691886</v>
      </c>
      <c r="H66" s="109">
        <v>5.4528239961640921</v>
      </c>
      <c r="I66" s="109">
        <v>6.0821735340865031</v>
      </c>
      <c r="J66" s="109">
        <v>5.7166621213798399</v>
      </c>
      <c r="K66" s="110">
        <v>4.7027045376974845</v>
      </c>
    </row>
    <row r="67" spans="2:11" x14ac:dyDescent="0.3">
      <c r="B67" s="111"/>
      <c r="C67" s="112" t="s">
        <v>1483</v>
      </c>
      <c r="D67" s="1499">
        <v>6.9152630657865055</v>
      </c>
      <c r="E67" s="1499">
        <v>6.6544298970002753</v>
      </c>
      <c r="F67" s="1499">
        <v>5.0859271751628343</v>
      </c>
      <c r="G67" s="1499">
        <v>5.0475443471011294</v>
      </c>
      <c r="H67" s="1499">
        <v>5.4620182977213299</v>
      </c>
      <c r="I67" s="1499">
        <v>6.0912589743616428</v>
      </c>
      <c r="J67" s="1499">
        <v>5.7258770573037037</v>
      </c>
      <c r="K67" s="113">
        <v>4.7123252234363253</v>
      </c>
    </row>
    <row r="68" spans="2:11" x14ac:dyDescent="0.3">
      <c r="B68" s="111" t="s">
        <v>1981</v>
      </c>
      <c r="C68" s="112" t="s">
        <v>1489</v>
      </c>
      <c r="D68" s="1499">
        <v>6.9139582262871144</v>
      </c>
      <c r="E68" s="1499">
        <v>6.6531250575008851</v>
      </c>
      <c r="F68" s="1499">
        <v>5.0846223356634423</v>
      </c>
      <c r="G68" s="1499">
        <v>5.0462395076017383</v>
      </c>
      <c r="H68" s="1499">
        <v>5.4607134582219388</v>
      </c>
      <c r="I68" s="1499">
        <v>6.0899541348622517</v>
      </c>
      <c r="J68" s="1499">
        <v>5.7245722178043126</v>
      </c>
      <c r="K68" s="113">
        <v>4.7110203839369342</v>
      </c>
    </row>
    <row r="69" spans="2:11" x14ac:dyDescent="0.3">
      <c r="B69" s="114">
        <v>0</v>
      </c>
      <c r="C69" s="112" t="s">
        <v>1496</v>
      </c>
      <c r="D69" s="1499">
        <v>6.9120009670380282</v>
      </c>
      <c r="E69" s="1499">
        <v>6.651167798251798</v>
      </c>
      <c r="F69" s="1499">
        <v>5.0826650764143562</v>
      </c>
      <c r="G69" s="1499">
        <v>5.0442822483526522</v>
      </c>
      <c r="H69" s="1499">
        <v>5.4587561989728526</v>
      </c>
      <c r="I69" s="1499">
        <v>6.0879968756131655</v>
      </c>
      <c r="J69" s="1499">
        <v>5.7226149585552264</v>
      </c>
      <c r="K69" s="113">
        <v>4.709063124687848</v>
      </c>
    </row>
    <row r="70" spans="2:11" x14ac:dyDescent="0.3">
      <c r="B70" s="115"/>
      <c r="C70" s="112" t="s">
        <v>1500</v>
      </c>
      <c r="D70" s="1499">
        <v>6.9100437077889403</v>
      </c>
      <c r="E70" s="1499">
        <v>6.6492105390027119</v>
      </c>
      <c r="F70" s="1499">
        <v>5.0807078171652691</v>
      </c>
      <c r="G70" s="1499">
        <v>5.0423249891035651</v>
      </c>
      <c r="H70" s="1499">
        <v>5.4567989397237655</v>
      </c>
      <c r="I70" s="1499">
        <v>6.0860396163640784</v>
      </c>
      <c r="J70" s="1499">
        <v>5.7206576993061393</v>
      </c>
      <c r="K70" s="113">
        <v>4.707105865438761</v>
      </c>
    </row>
    <row r="71" spans="2:11" x14ac:dyDescent="0.3">
      <c r="B71" s="115"/>
      <c r="C71" s="112" t="s">
        <v>1504</v>
      </c>
      <c r="D71" s="1499">
        <v>6.9132917376007885</v>
      </c>
      <c r="E71" s="1499">
        <v>6.6526551925281048</v>
      </c>
      <c r="F71" s="1499">
        <v>5.0839122061193391</v>
      </c>
      <c r="G71" s="1499">
        <v>5.0455505721625613</v>
      </c>
      <c r="H71" s="1499">
        <v>5.4600926162711891</v>
      </c>
      <c r="I71" s="1499">
        <v>6.0893816359430328</v>
      </c>
      <c r="J71" s="1499">
        <v>5.7239558508509161</v>
      </c>
      <c r="K71" s="113">
        <v>4.7102925837981848</v>
      </c>
    </row>
    <row r="72" spans="2:11" x14ac:dyDescent="0.3">
      <c r="B72" s="115"/>
      <c r="C72" s="112" t="s">
        <v>1508</v>
      </c>
      <c r="D72" s="1499">
        <v>6.9122033344991767</v>
      </c>
      <c r="E72" s="1499">
        <v>6.6515667894264929</v>
      </c>
      <c r="F72" s="1499">
        <v>5.0828238030177273</v>
      </c>
      <c r="G72" s="1499">
        <v>5.0444621690609495</v>
      </c>
      <c r="H72" s="1499">
        <v>5.4590042131695773</v>
      </c>
      <c r="I72" s="1499">
        <v>6.088293232841421</v>
      </c>
      <c r="J72" s="1499">
        <v>5.7228674477493051</v>
      </c>
      <c r="K72" s="113">
        <v>4.709204180696573</v>
      </c>
    </row>
    <row r="73" spans="2:11" x14ac:dyDescent="0.3">
      <c r="B73" s="115"/>
      <c r="C73" s="112" t="s">
        <v>1513</v>
      </c>
      <c r="D73" s="1499">
        <v>6.9105707298467589</v>
      </c>
      <c r="E73" s="1499">
        <v>6.6499341847740752</v>
      </c>
      <c r="F73" s="1499">
        <v>5.0811911983653095</v>
      </c>
      <c r="G73" s="1499">
        <v>5.0428295644085317</v>
      </c>
      <c r="H73" s="1499">
        <v>5.4573716085171595</v>
      </c>
      <c r="I73" s="1499">
        <v>6.0866606281890032</v>
      </c>
      <c r="J73" s="1499">
        <v>5.7212348430968873</v>
      </c>
      <c r="K73" s="113">
        <v>4.7075715760441552</v>
      </c>
    </row>
    <row r="74" spans="2:11" x14ac:dyDescent="0.3">
      <c r="B74" s="115"/>
      <c r="C74" s="112" t="s">
        <v>1517</v>
      </c>
      <c r="D74" s="1499">
        <v>6.9089381251943411</v>
      </c>
      <c r="E74" s="1499">
        <v>6.6483015801216574</v>
      </c>
      <c r="F74" s="1499">
        <v>5.0795585937128926</v>
      </c>
      <c r="G74" s="1499">
        <v>5.0411969597561148</v>
      </c>
      <c r="H74" s="1499">
        <v>5.4557390038647418</v>
      </c>
      <c r="I74" s="1499">
        <v>6.0850280235365855</v>
      </c>
      <c r="J74" s="1499">
        <v>5.7196022384444696</v>
      </c>
      <c r="K74" s="113">
        <v>4.7059389713917383</v>
      </c>
    </row>
    <row r="75" spans="2:11" ht="14.5" thickBot="1" x14ac:dyDescent="0.35">
      <c r="B75" s="1233"/>
      <c r="C75" s="116" t="s">
        <v>1519</v>
      </c>
      <c r="D75" s="117">
        <v>6.9152630657865055</v>
      </c>
      <c r="E75" s="117">
        <v>6.6544298970002753</v>
      </c>
      <c r="F75" s="117">
        <v>5.0859271751628343</v>
      </c>
      <c r="G75" s="117">
        <v>5.0475443471011294</v>
      </c>
      <c r="H75" s="117">
        <v>5.4620182977213299</v>
      </c>
      <c r="I75" s="117">
        <v>6.0912589743616428</v>
      </c>
      <c r="J75" s="117">
        <v>5.7258770573037037</v>
      </c>
      <c r="K75" s="118">
        <v>4.7123252234363253</v>
      </c>
    </row>
    <row r="76" spans="2:11" x14ac:dyDescent="0.3">
      <c r="B76" s="119" t="s">
        <v>1983</v>
      </c>
      <c r="C76" s="108" t="s">
        <v>1416</v>
      </c>
      <c r="D76" s="109">
        <v>6.4110298693127614</v>
      </c>
      <c r="E76" s="109">
        <v>6.1505359045056833</v>
      </c>
      <c r="F76" s="109">
        <v>4.581216924537987</v>
      </c>
      <c r="G76" s="109">
        <v>4.5430571094639589</v>
      </c>
      <c r="H76" s="109">
        <v>4.9577989957588624</v>
      </c>
      <c r="I76" s="109">
        <v>5.5871485336812734</v>
      </c>
      <c r="J76" s="109">
        <v>5.2216371209746093</v>
      </c>
      <c r="K76" s="110">
        <v>4.2076795372922549</v>
      </c>
    </row>
    <row r="77" spans="2:11" x14ac:dyDescent="0.3">
      <c r="B77" s="111"/>
      <c r="C77" s="112" t="s">
        <v>1483</v>
      </c>
      <c r="D77" s="1499">
        <v>6.4202380653812767</v>
      </c>
      <c r="E77" s="1499">
        <v>6.1594048965950456</v>
      </c>
      <c r="F77" s="1499">
        <v>4.5909021747576046</v>
      </c>
      <c r="G77" s="1499">
        <v>4.5525193466958997</v>
      </c>
      <c r="H77" s="1499">
        <v>4.9669932973161002</v>
      </c>
      <c r="I77" s="1499">
        <v>5.596233973956414</v>
      </c>
      <c r="J77" s="1499">
        <v>5.230852056898474</v>
      </c>
      <c r="K77" s="113">
        <v>4.2173002230310956</v>
      </c>
    </row>
    <row r="78" spans="2:11" x14ac:dyDescent="0.3">
      <c r="B78" s="111" t="s">
        <v>1982</v>
      </c>
      <c r="C78" s="112" t="s">
        <v>1489</v>
      </c>
      <c r="D78" s="1499">
        <v>6.4189332258818848</v>
      </c>
      <c r="E78" s="1499">
        <v>6.1581000570956546</v>
      </c>
      <c r="F78" s="1499">
        <v>4.5895973352582127</v>
      </c>
      <c r="G78" s="1499">
        <v>4.5512145071965078</v>
      </c>
      <c r="H78" s="1499">
        <v>4.9656884578167091</v>
      </c>
      <c r="I78" s="1499">
        <v>5.594929134457022</v>
      </c>
      <c r="J78" s="1499">
        <v>5.2295472173990829</v>
      </c>
      <c r="K78" s="113">
        <v>4.2159953835317046</v>
      </c>
    </row>
    <row r="79" spans="2:11" x14ac:dyDescent="0.3">
      <c r="B79" s="114">
        <v>0</v>
      </c>
      <c r="C79" s="112" t="s">
        <v>1496</v>
      </c>
      <c r="D79" s="1499">
        <v>6.4169759666327986</v>
      </c>
      <c r="E79" s="1499">
        <v>6.1561427978465684</v>
      </c>
      <c r="F79" s="1499">
        <v>4.5876400760091265</v>
      </c>
      <c r="G79" s="1499">
        <v>4.5492572479474216</v>
      </c>
      <c r="H79" s="1499">
        <v>4.9637311985676229</v>
      </c>
      <c r="I79" s="1499">
        <v>5.5929718752079358</v>
      </c>
      <c r="J79" s="1499">
        <v>5.2275899581499967</v>
      </c>
      <c r="K79" s="113">
        <v>4.2140381242826175</v>
      </c>
    </row>
    <row r="80" spans="2:11" x14ac:dyDescent="0.3">
      <c r="B80" s="115"/>
      <c r="C80" s="112" t="s">
        <v>1500</v>
      </c>
      <c r="D80" s="1499">
        <v>6.4150187073837115</v>
      </c>
      <c r="E80" s="1499">
        <v>6.1541855385974822</v>
      </c>
      <c r="F80" s="1499">
        <v>4.5856828167600394</v>
      </c>
      <c r="G80" s="1499">
        <v>4.5472999886983345</v>
      </c>
      <c r="H80" s="1499">
        <v>4.9617739393185358</v>
      </c>
      <c r="I80" s="1499">
        <v>5.5910146159588496</v>
      </c>
      <c r="J80" s="1499">
        <v>5.2256326989009096</v>
      </c>
      <c r="K80" s="113">
        <v>4.2120808650335313</v>
      </c>
    </row>
    <row r="81" spans="2:11" x14ac:dyDescent="0.3">
      <c r="B81" s="115"/>
      <c r="C81" s="112" t="s">
        <v>1504</v>
      </c>
      <c r="D81" s="1499">
        <v>6.418266737195558</v>
      </c>
      <c r="E81" s="1499">
        <v>6.1576301921228751</v>
      </c>
      <c r="F81" s="1499">
        <v>4.5888872057141095</v>
      </c>
      <c r="G81" s="1499">
        <v>4.5505255717573316</v>
      </c>
      <c r="H81" s="1499">
        <v>4.9650676158659595</v>
      </c>
      <c r="I81" s="1499">
        <v>5.5943566355378032</v>
      </c>
      <c r="J81" s="1499">
        <v>5.2289308504456864</v>
      </c>
      <c r="K81" s="113">
        <v>4.2152675833929552</v>
      </c>
    </row>
    <row r="82" spans="2:11" x14ac:dyDescent="0.3">
      <c r="B82" s="115"/>
      <c r="C82" s="112" t="s">
        <v>1508</v>
      </c>
      <c r="D82" s="1499">
        <v>6.4171783340939461</v>
      </c>
      <c r="E82" s="1499">
        <v>6.1565417890212633</v>
      </c>
      <c r="F82" s="1499">
        <v>4.5877988026124976</v>
      </c>
      <c r="G82" s="1499">
        <v>4.5494371686557198</v>
      </c>
      <c r="H82" s="1499">
        <v>4.9639792127643476</v>
      </c>
      <c r="I82" s="1499">
        <v>5.5932682324361913</v>
      </c>
      <c r="J82" s="1499">
        <v>5.2278424473440746</v>
      </c>
      <c r="K82" s="113">
        <v>4.2141791802913433</v>
      </c>
    </row>
    <row r="83" spans="2:11" x14ac:dyDescent="0.3">
      <c r="B83" s="115"/>
      <c r="C83" s="112" t="s">
        <v>1513</v>
      </c>
      <c r="D83" s="1499">
        <v>6.4155457294415292</v>
      </c>
      <c r="E83" s="1499">
        <v>6.1549091843688455</v>
      </c>
      <c r="F83" s="1499">
        <v>4.5861661979600807</v>
      </c>
      <c r="G83" s="1499">
        <v>4.5478045640033029</v>
      </c>
      <c r="H83" s="1499">
        <v>4.9623466081119307</v>
      </c>
      <c r="I83" s="1499">
        <v>5.5916356277837735</v>
      </c>
      <c r="J83" s="1499">
        <v>5.2262098426916577</v>
      </c>
      <c r="K83" s="113">
        <v>4.2125465756389264</v>
      </c>
    </row>
    <row r="84" spans="2:11" x14ac:dyDescent="0.3">
      <c r="B84" s="115"/>
      <c r="C84" s="112" t="s">
        <v>1517</v>
      </c>
      <c r="D84" s="1499">
        <v>6.4139131247891115</v>
      </c>
      <c r="E84" s="1499">
        <v>6.1532765797164277</v>
      </c>
      <c r="F84" s="1499">
        <v>4.584533593307663</v>
      </c>
      <c r="G84" s="1499">
        <v>4.5461719593508851</v>
      </c>
      <c r="H84" s="1499">
        <v>4.960714003459513</v>
      </c>
      <c r="I84" s="1499">
        <v>5.5900030231313558</v>
      </c>
      <c r="J84" s="1499">
        <v>5.2245772380392399</v>
      </c>
      <c r="K84" s="113">
        <v>4.2109139709865087</v>
      </c>
    </row>
    <row r="85" spans="2:11" ht="14.5" thickBot="1" x14ac:dyDescent="0.35">
      <c r="B85" s="1233"/>
      <c r="C85" s="116" t="s">
        <v>1519</v>
      </c>
      <c r="D85" s="117">
        <v>6.4202380653812767</v>
      </c>
      <c r="E85" s="117">
        <v>6.1594048965950456</v>
      </c>
      <c r="F85" s="117">
        <v>4.5909021747576046</v>
      </c>
      <c r="G85" s="117">
        <v>4.5525193466958997</v>
      </c>
      <c r="H85" s="117">
        <v>4.9669932973161002</v>
      </c>
      <c r="I85" s="117">
        <v>5.596233973956414</v>
      </c>
      <c r="J85" s="117">
        <v>5.230852056898474</v>
      </c>
      <c r="K85" s="118">
        <v>4.2173002230310956</v>
      </c>
    </row>
    <row r="87" spans="2:11" ht="14.5" thickBot="1" x14ac:dyDescent="0.35"/>
    <row r="88" spans="2:11" ht="25.5" thickBot="1" x14ac:dyDescent="0.55000000000000004">
      <c r="B88" s="88" t="s">
        <v>1960</v>
      </c>
      <c r="C88" s="89"/>
      <c r="D88" s="90">
        <v>8</v>
      </c>
      <c r="E88" s="91" t="s">
        <v>1984</v>
      </c>
      <c r="F88" s="92"/>
      <c r="G88" s="92"/>
      <c r="H88" s="92"/>
      <c r="I88" s="93"/>
      <c r="J88" s="89" t="s">
        <v>176</v>
      </c>
      <c r="K88" s="94" t="s">
        <v>241</v>
      </c>
    </row>
    <row r="89" spans="2:11" ht="14.5" thickBot="1" x14ac:dyDescent="0.35">
      <c r="B89" s="95" t="s">
        <v>1962</v>
      </c>
      <c r="C89" s="96" t="s">
        <v>1963</v>
      </c>
      <c r="D89" s="95" t="s">
        <v>1964</v>
      </c>
      <c r="E89" s="97" t="s">
        <v>1965</v>
      </c>
      <c r="F89" s="97" t="s">
        <v>1966</v>
      </c>
      <c r="G89" s="97" t="s">
        <v>1967</v>
      </c>
      <c r="H89" s="97" t="s">
        <v>1968</v>
      </c>
      <c r="I89" s="97" t="s">
        <v>1969</v>
      </c>
      <c r="J89" s="97" t="s">
        <v>1970</v>
      </c>
      <c r="K89" s="98" t="s">
        <v>1971</v>
      </c>
    </row>
    <row r="90" spans="2:11" ht="14.5" thickBot="1" x14ac:dyDescent="0.35">
      <c r="B90" s="99"/>
      <c r="C90" s="99"/>
      <c r="D90" s="100"/>
      <c r="E90" s="944"/>
      <c r="F90" s="944"/>
      <c r="G90" s="944"/>
      <c r="H90" s="944"/>
      <c r="I90" s="944"/>
      <c r="J90" s="944"/>
      <c r="K90" s="102"/>
    </row>
    <row r="91" spans="2:11" ht="86.5" thickBot="1" x14ac:dyDescent="0.45">
      <c r="B91" s="103" t="s">
        <v>1972</v>
      </c>
      <c r="C91" s="103" t="s">
        <v>1973</v>
      </c>
      <c r="D91" s="105" t="s">
        <v>1974</v>
      </c>
      <c r="E91" s="105" t="s">
        <v>1525</v>
      </c>
      <c r="F91" s="105" t="s">
        <v>1527</v>
      </c>
      <c r="G91" s="105" t="s">
        <v>1975</v>
      </c>
      <c r="H91" s="105" t="s">
        <v>1976</v>
      </c>
      <c r="I91" s="105" t="s">
        <v>1445</v>
      </c>
      <c r="J91" s="105" t="s">
        <v>1538</v>
      </c>
      <c r="K91" s="106" t="s">
        <v>1541</v>
      </c>
    </row>
    <row r="92" spans="2:11" x14ac:dyDescent="0.3">
      <c r="B92" s="107" t="s">
        <v>1985</v>
      </c>
      <c r="C92" s="108" t="s">
        <v>1416</v>
      </c>
      <c r="D92" s="109">
        <v>6.1059150931326673</v>
      </c>
      <c r="E92" s="109">
        <v>5.6810281235760796</v>
      </c>
      <c r="F92" s="109">
        <v>4.2507520689174454</v>
      </c>
      <c r="G92" s="109">
        <v>4.1469191551035705</v>
      </c>
      <c r="H92" s="109">
        <v>4.6382039133200488</v>
      </c>
      <c r="I92" s="109">
        <v>5.1157282177757954</v>
      </c>
      <c r="J92" s="109">
        <v>4.7763582757919361</v>
      </c>
      <c r="K92" s="110">
        <v>3.8292453438650336</v>
      </c>
    </row>
    <row r="93" spans="2:11" x14ac:dyDescent="0.3">
      <c r="B93" s="111"/>
      <c r="C93" s="112" t="s">
        <v>1483</v>
      </c>
      <c r="D93" s="1499">
        <v>6.1155177391477986</v>
      </c>
      <c r="E93" s="1499">
        <v>5.6900801268189527</v>
      </c>
      <c r="F93" s="1499">
        <v>4.2604399317647008</v>
      </c>
      <c r="G93" s="1499">
        <v>4.1565449031354111</v>
      </c>
      <c r="H93" s="1499">
        <v>4.6476266545672296</v>
      </c>
      <c r="I93" s="1499">
        <v>5.1251087879624482</v>
      </c>
      <c r="J93" s="1499">
        <v>4.7858422880991842</v>
      </c>
      <c r="K93" s="113">
        <v>3.8390380904094563</v>
      </c>
    </row>
    <row r="94" spans="2:11" x14ac:dyDescent="0.3">
      <c r="B94" s="111" t="s">
        <v>1986</v>
      </c>
      <c r="C94" s="112" t="s">
        <v>1489</v>
      </c>
      <c r="D94" s="1499">
        <v>6.1142128996484066</v>
      </c>
      <c r="E94" s="1499">
        <v>5.6887752873195616</v>
      </c>
      <c r="F94" s="1499">
        <v>4.2591350922653097</v>
      </c>
      <c r="G94" s="1499">
        <v>4.1552400636360201</v>
      </c>
      <c r="H94" s="1499">
        <v>4.6463218150678385</v>
      </c>
      <c r="I94" s="1499">
        <v>5.1238039484630571</v>
      </c>
      <c r="J94" s="1499">
        <v>4.7845374485997931</v>
      </c>
      <c r="K94" s="113">
        <v>3.8377332509100652</v>
      </c>
    </row>
    <row r="95" spans="2:11" x14ac:dyDescent="0.3">
      <c r="B95" s="114">
        <v>0</v>
      </c>
      <c r="C95" s="112" t="s">
        <v>1496</v>
      </c>
      <c r="D95" s="1499">
        <v>6.1122556403993205</v>
      </c>
      <c r="E95" s="1499">
        <v>5.6868180280704754</v>
      </c>
      <c r="F95" s="1499">
        <v>4.2571778330162227</v>
      </c>
      <c r="G95" s="1499">
        <v>4.153282804386933</v>
      </c>
      <c r="H95" s="1499">
        <v>4.6443645558187514</v>
      </c>
      <c r="I95" s="1499">
        <v>5.12184668921397</v>
      </c>
      <c r="J95" s="1499">
        <v>4.7825801893507061</v>
      </c>
      <c r="K95" s="113">
        <v>3.8357759916609782</v>
      </c>
    </row>
    <row r="96" spans="2:11" x14ac:dyDescent="0.3">
      <c r="B96" s="115"/>
      <c r="C96" s="112" t="s">
        <v>1500</v>
      </c>
      <c r="D96" s="1499">
        <v>6.1102983811502343</v>
      </c>
      <c r="E96" s="1499">
        <v>5.6848607688213875</v>
      </c>
      <c r="F96" s="1499">
        <v>4.2552205737671365</v>
      </c>
      <c r="G96" s="1499">
        <v>4.1513255451378468</v>
      </c>
      <c r="H96" s="1499">
        <v>4.6424072965696652</v>
      </c>
      <c r="I96" s="1499">
        <v>5.1198894299648838</v>
      </c>
      <c r="J96" s="1499">
        <v>4.7806229301016199</v>
      </c>
      <c r="K96" s="113">
        <v>3.833818732411892</v>
      </c>
    </row>
    <row r="97" spans="2:11" x14ac:dyDescent="0.3">
      <c r="B97" s="115"/>
      <c r="C97" s="112" t="s">
        <v>1504</v>
      </c>
      <c r="D97" s="1499">
        <v>6.113609164952349</v>
      </c>
      <c r="E97" s="1499">
        <v>5.6881445761671356</v>
      </c>
      <c r="F97" s="1499">
        <v>4.258525956911333</v>
      </c>
      <c r="G97" s="1499">
        <v>4.1546187456888779</v>
      </c>
      <c r="H97" s="1499">
        <v>4.6457257454002958</v>
      </c>
      <c r="I97" s="1499">
        <v>5.123155815833929</v>
      </c>
      <c r="J97" s="1499">
        <v>4.7839077008737254</v>
      </c>
      <c r="K97" s="113">
        <v>3.8370809066398213</v>
      </c>
    </row>
    <row r="98" spans="2:11" x14ac:dyDescent="0.3">
      <c r="B98" s="115"/>
      <c r="C98" s="112" t="s">
        <v>1508</v>
      </c>
      <c r="D98" s="1499">
        <v>6.1125207618507371</v>
      </c>
      <c r="E98" s="1499">
        <v>5.6870561730655238</v>
      </c>
      <c r="F98" s="1499">
        <v>4.2574375538097211</v>
      </c>
      <c r="G98" s="1499">
        <v>4.1535303425872669</v>
      </c>
      <c r="H98" s="1499">
        <v>4.6446373422986849</v>
      </c>
      <c r="I98" s="1499">
        <v>5.1220674127323171</v>
      </c>
      <c r="J98" s="1499">
        <v>4.7828192977721136</v>
      </c>
      <c r="K98" s="113">
        <v>3.8359925035382099</v>
      </c>
    </row>
    <row r="99" spans="2:11" x14ac:dyDescent="0.3">
      <c r="B99" s="115"/>
      <c r="C99" s="112" t="s">
        <v>1513</v>
      </c>
      <c r="D99" s="1499">
        <v>6.1108881571983202</v>
      </c>
      <c r="E99" s="1499">
        <v>5.685423568413106</v>
      </c>
      <c r="F99" s="1499">
        <v>4.2558049491573033</v>
      </c>
      <c r="G99" s="1499">
        <v>4.1518977379348492</v>
      </c>
      <c r="H99" s="1499">
        <v>4.6430047376462671</v>
      </c>
      <c r="I99" s="1499">
        <v>5.1204348080798994</v>
      </c>
      <c r="J99" s="1499">
        <v>4.7811866931196958</v>
      </c>
      <c r="K99" s="113">
        <v>3.8343598988857921</v>
      </c>
    </row>
    <row r="100" spans="2:11" x14ac:dyDescent="0.3">
      <c r="B100" s="115"/>
      <c r="C100" s="112" t="s">
        <v>1517</v>
      </c>
      <c r="D100" s="1499">
        <v>6.1092555525459034</v>
      </c>
      <c r="E100" s="1499">
        <v>5.68379096376069</v>
      </c>
      <c r="F100" s="1499">
        <v>4.2541723445048856</v>
      </c>
      <c r="G100" s="1499">
        <v>4.1502651332824314</v>
      </c>
      <c r="H100" s="1499">
        <v>4.6413721329938493</v>
      </c>
      <c r="I100" s="1499">
        <v>5.1188022034274825</v>
      </c>
      <c r="J100" s="1499">
        <v>4.7795540884672789</v>
      </c>
      <c r="K100" s="113">
        <v>3.8327272942333748</v>
      </c>
    </row>
    <row r="101" spans="2:11" ht="14.5" thickBot="1" x14ac:dyDescent="0.35">
      <c r="B101" s="115"/>
      <c r="C101" s="116" t="s">
        <v>1519</v>
      </c>
      <c r="D101" s="117">
        <v>6.1155177391477986</v>
      </c>
      <c r="E101" s="117">
        <v>5.6900801268189527</v>
      </c>
      <c r="F101" s="117">
        <v>4.2604399317647008</v>
      </c>
      <c r="G101" s="117">
        <v>4.1565449031354111</v>
      </c>
      <c r="H101" s="117">
        <v>4.6476266545672296</v>
      </c>
      <c r="I101" s="117">
        <v>5.1251087879624482</v>
      </c>
      <c r="J101" s="117">
        <v>4.7858422880991842</v>
      </c>
      <c r="K101" s="118">
        <v>3.8390380904094563</v>
      </c>
    </row>
    <row r="102" spans="2:11" x14ac:dyDescent="0.3">
      <c r="B102" s="120" t="s">
        <v>1985</v>
      </c>
      <c r="C102" s="1234" t="s">
        <v>1416</v>
      </c>
      <c r="D102" s="109">
        <v>5.8014808452903246</v>
      </c>
      <c r="E102" s="109">
        <v>5.3765938757337368</v>
      </c>
      <c r="F102" s="109">
        <v>3.9463178210751013</v>
      </c>
      <c r="G102" s="109">
        <v>3.8424849072612264</v>
      </c>
      <c r="H102" s="109">
        <v>4.3337696654777051</v>
      </c>
      <c r="I102" s="109">
        <v>4.8112939699334518</v>
      </c>
      <c r="J102" s="109">
        <v>4.4719240279495924</v>
      </c>
      <c r="K102" s="110">
        <v>3.5248110960226899</v>
      </c>
    </row>
    <row r="103" spans="2:11" x14ac:dyDescent="0.3">
      <c r="B103" s="121"/>
      <c r="C103" s="1500" t="s">
        <v>1483</v>
      </c>
      <c r="D103" s="1499">
        <v>5.811083491305455</v>
      </c>
      <c r="E103" s="1499">
        <v>5.3856458789766091</v>
      </c>
      <c r="F103" s="1499">
        <v>3.9560056839223572</v>
      </c>
      <c r="G103" s="1499">
        <v>3.8521106552930671</v>
      </c>
      <c r="H103" s="1499">
        <v>4.3431924067248859</v>
      </c>
      <c r="I103" s="1499">
        <v>4.8206745401201045</v>
      </c>
      <c r="J103" s="1499">
        <v>4.4814080402568397</v>
      </c>
      <c r="K103" s="113">
        <v>3.5346038425671122</v>
      </c>
    </row>
    <row r="104" spans="2:11" x14ac:dyDescent="0.3">
      <c r="B104" s="111" t="s">
        <v>1987</v>
      </c>
      <c r="C104" s="1500" t="s">
        <v>1489</v>
      </c>
      <c r="D104" s="1499">
        <v>5.8097786518060639</v>
      </c>
      <c r="E104" s="1499">
        <v>5.384341039477218</v>
      </c>
      <c r="F104" s="1499">
        <v>3.9547008444229661</v>
      </c>
      <c r="G104" s="1499">
        <v>3.8508058157936764</v>
      </c>
      <c r="H104" s="1499">
        <v>4.3418875672254948</v>
      </c>
      <c r="I104" s="1499">
        <v>4.8193697006207135</v>
      </c>
      <c r="J104" s="1499">
        <v>4.4801032007574495</v>
      </c>
      <c r="K104" s="113">
        <v>3.5332990030677216</v>
      </c>
    </row>
    <row r="105" spans="2:11" x14ac:dyDescent="0.3">
      <c r="B105" s="122">
        <v>0</v>
      </c>
      <c r="C105" s="1500" t="s">
        <v>1496</v>
      </c>
      <c r="D105" s="1499">
        <v>5.8078213925569777</v>
      </c>
      <c r="E105" s="1499">
        <v>5.3823837802281309</v>
      </c>
      <c r="F105" s="1499">
        <v>3.952743585173879</v>
      </c>
      <c r="G105" s="1499">
        <v>3.8488485565445893</v>
      </c>
      <c r="H105" s="1499">
        <v>4.3399303079764078</v>
      </c>
      <c r="I105" s="1499">
        <v>4.8174124413716264</v>
      </c>
      <c r="J105" s="1499">
        <v>4.4781459415083624</v>
      </c>
      <c r="K105" s="113">
        <v>3.5313417438186345</v>
      </c>
    </row>
    <row r="106" spans="2:11" x14ac:dyDescent="0.3">
      <c r="B106" s="123"/>
      <c r="C106" s="1500" t="s">
        <v>1500</v>
      </c>
      <c r="D106" s="1499">
        <v>5.8058641333078898</v>
      </c>
      <c r="E106" s="1499">
        <v>5.3804265209790447</v>
      </c>
      <c r="F106" s="1499">
        <v>3.9507863259247928</v>
      </c>
      <c r="G106" s="1499">
        <v>3.8468912972955027</v>
      </c>
      <c r="H106" s="1499">
        <v>4.3379730487273216</v>
      </c>
      <c r="I106" s="1499">
        <v>4.8154551821225402</v>
      </c>
      <c r="J106" s="1499">
        <v>4.4761886822592762</v>
      </c>
      <c r="K106" s="113">
        <v>3.5293844845695483</v>
      </c>
    </row>
    <row r="107" spans="2:11" x14ac:dyDescent="0.3">
      <c r="B107" s="123"/>
      <c r="C107" s="1500" t="s">
        <v>1504</v>
      </c>
      <c r="D107" s="1499">
        <v>5.8091749171100062</v>
      </c>
      <c r="E107" s="1499">
        <v>5.3837103283247929</v>
      </c>
      <c r="F107" s="1499">
        <v>3.9540917090689889</v>
      </c>
      <c r="G107" s="1499">
        <v>3.8501844978465343</v>
      </c>
      <c r="H107" s="1499">
        <v>4.3412914975579522</v>
      </c>
      <c r="I107" s="1499">
        <v>4.8187215679915854</v>
      </c>
      <c r="J107" s="1499">
        <v>4.4794734530313818</v>
      </c>
      <c r="K107" s="113">
        <v>3.5326466587974776</v>
      </c>
    </row>
    <row r="108" spans="2:11" x14ac:dyDescent="0.3">
      <c r="B108" s="123"/>
      <c r="C108" s="1500" t="s">
        <v>1508</v>
      </c>
      <c r="D108" s="1499">
        <v>5.8080865140083944</v>
      </c>
      <c r="E108" s="1499">
        <v>5.3826219252231811</v>
      </c>
      <c r="F108" s="1499">
        <v>3.953003305967377</v>
      </c>
      <c r="G108" s="1499">
        <v>3.8490960947449229</v>
      </c>
      <c r="H108" s="1499">
        <v>4.3402030944563403</v>
      </c>
      <c r="I108" s="1499">
        <v>4.8176331648899735</v>
      </c>
      <c r="J108" s="1499">
        <v>4.4783850499297699</v>
      </c>
      <c r="K108" s="113">
        <v>3.5315582556958658</v>
      </c>
    </row>
    <row r="109" spans="2:11" x14ac:dyDescent="0.3">
      <c r="B109" s="123"/>
      <c r="C109" s="1500" t="s">
        <v>1513</v>
      </c>
      <c r="D109" s="1499">
        <v>5.8064539093559766</v>
      </c>
      <c r="E109" s="1499">
        <v>5.3809893205707633</v>
      </c>
      <c r="F109" s="1499">
        <v>3.9513707013149597</v>
      </c>
      <c r="G109" s="1499">
        <v>3.8474634900925051</v>
      </c>
      <c r="H109" s="1499">
        <v>4.3385704898039235</v>
      </c>
      <c r="I109" s="1499">
        <v>4.8160005602375557</v>
      </c>
      <c r="J109" s="1499">
        <v>4.4767524452773522</v>
      </c>
      <c r="K109" s="113">
        <v>3.5299256510434485</v>
      </c>
    </row>
    <row r="110" spans="2:11" x14ac:dyDescent="0.3">
      <c r="B110" s="123"/>
      <c r="C110" s="1500" t="s">
        <v>1517</v>
      </c>
      <c r="D110" s="1499">
        <v>5.8048213047035588</v>
      </c>
      <c r="E110" s="1499">
        <v>5.3793567159183455</v>
      </c>
      <c r="F110" s="1499">
        <v>3.9497380966625419</v>
      </c>
      <c r="G110" s="1499">
        <v>3.8458308854400878</v>
      </c>
      <c r="H110" s="1499">
        <v>4.3369378851515057</v>
      </c>
      <c r="I110" s="1499">
        <v>4.814367955585138</v>
      </c>
      <c r="J110" s="1499">
        <v>4.4751198406249344</v>
      </c>
      <c r="K110" s="113">
        <v>3.5282930463910307</v>
      </c>
    </row>
    <row r="111" spans="2:11" ht="14.5" thickBot="1" x14ac:dyDescent="0.35">
      <c r="B111" s="124"/>
      <c r="C111" s="125" t="s">
        <v>1519</v>
      </c>
      <c r="D111" s="117">
        <v>5.811083491305455</v>
      </c>
      <c r="E111" s="117">
        <v>5.3856458789766091</v>
      </c>
      <c r="F111" s="117">
        <v>3.9560056839223572</v>
      </c>
      <c r="G111" s="117">
        <v>3.8521106552930671</v>
      </c>
      <c r="H111" s="117">
        <v>4.3431924067248859</v>
      </c>
      <c r="I111" s="117">
        <v>4.8206745401201045</v>
      </c>
      <c r="J111" s="117">
        <v>4.4814080402568397</v>
      </c>
      <c r="K111" s="118">
        <v>3.5346038425671122</v>
      </c>
    </row>
    <row r="112" spans="2:11" x14ac:dyDescent="0.3">
      <c r="B112" s="119" t="s">
        <v>1985</v>
      </c>
      <c r="C112" s="108" t="s">
        <v>1416</v>
      </c>
      <c r="D112" s="109">
        <v>5.3448294735268087</v>
      </c>
      <c r="E112" s="109">
        <v>4.9199425039702209</v>
      </c>
      <c r="F112" s="109">
        <v>3.4896664493115859</v>
      </c>
      <c r="G112" s="109">
        <v>3.3858335354977109</v>
      </c>
      <c r="H112" s="109">
        <v>3.8771182937141901</v>
      </c>
      <c r="I112" s="109">
        <v>4.3546425981699368</v>
      </c>
      <c r="J112" s="109">
        <v>4.0152726561860765</v>
      </c>
      <c r="K112" s="110">
        <v>3.0681597242591745</v>
      </c>
    </row>
    <row r="113" spans="2:11" x14ac:dyDescent="0.3">
      <c r="B113" s="111"/>
      <c r="C113" s="112" t="s">
        <v>1483</v>
      </c>
      <c r="D113" s="1499">
        <v>5.3544321195419391</v>
      </c>
      <c r="E113" s="1499">
        <v>4.9289945072130932</v>
      </c>
      <c r="F113" s="1499">
        <v>3.4993543121588417</v>
      </c>
      <c r="G113" s="1499">
        <v>3.3954592835295516</v>
      </c>
      <c r="H113" s="1499">
        <v>3.88654103496137</v>
      </c>
      <c r="I113" s="1499">
        <v>4.3640231683565887</v>
      </c>
      <c r="J113" s="1499">
        <v>4.0247566684933247</v>
      </c>
      <c r="K113" s="113">
        <v>3.0779524708035972</v>
      </c>
    </row>
    <row r="114" spans="2:11" ht="14.5" thickBot="1" x14ac:dyDescent="0.35">
      <c r="B114" s="111" t="s">
        <v>1988</v>
      </c>
      <c r="C114" s="112" t="s">
        <v>1489</v>
      </c>
      <c r="D114" s="1499">
        <v>5.3531272800425489</v>
      </c>
      <c r="E114" s="1499">
        <v>4.927689667713703</v>
      </c>
      <c r="F114" s="1501">
        <v>3.4980494726594507</v>
      </c>
      <c r="G114" s="1499">
        <v>3.394154444030161</v>
      </c>
      <c r="H114" s="1499">
        <v>3.8852361954619794</v>
      </c>
      <c r="I114" s="1499">
        <v>4.3627183288571976</v>
      </c>
      <c r="J114" s="1499">
        <v>4.0234518289939336</v>
      </c>
      <c r="K114" s="113">
        <v>3.0766476313042062</v>
      </c>
    </row>
    <row r="115" spans="2:11" ht="14.5" thickBot="1" x14ac:dyDescent="0.35">
      <c r="B115" s="114">
        <v>0</v>
      </c>
      <c r="C115" s="112" t="s">
        <v>1496</v>
      </c>
      <c r="D115" s="1499">
        <v>5.3511700207934618</v>
      </c>
      <c r="E115" s="1502">
        <v>4.9257324084646159</v>
      </c>
      <c r="F115" s="126">
        <v>3.496092213410364</v>
      </c>
      <c r="G115" s="1503">
        <v>3.3921971847810739</v>
      </c>
      <c r="H115" s="1499">
        <v>3.8832789362128923</v>
      </c>
      <c r="I115" s="1499">
        <v>4.3607610696081114</v>
      </c>
      <c r="J115" s="1499">
        <v>4.0214945697448465</v>
      </c>
      <c r="K115" s="113">
        <v>3.0746903720551191</v>
      </c>
    </row>
    <row r="116" spans="2:11" x14ac:dyDescent="0.3">
      <c r="B116" s="115"/>
      <c r="C116" s="112" t="s">
        <v>1500</v>
      </c>
      <c r="D116" s="1499">
        <v>5.3492127615443748</v>
      </c>
      <c r="E116" s="1499">
        <v>4.9237751492155297</v>
      </c>
      <c r="F116" s="127">
        <v>3.4941349541612774</v>
      </c>
      <c r="G116" s="1499">
        <v>3.3902399255319877</v>
      </c>
      <c r="H116" s="1499">
        <v>3.8813216769638061</v>
      </c>
      <c r="I116" s="1499">
        <v>4.3588038103590243</v>
      </c>
      <c r="J116" s="1499">
        <v>4.0195373104957604</v>
      </c>
      <c r="K116" s="113">
        <v>3.0727331128060329</v>
      </c>
    </row>
    <row r="117" spans="2:11" x14ac:dyDescent="0.3">
      <c r="B117" s="115"/>
      <c r="C117" s="112" t="s">
        <v>1504</v>
      </c>
      <c r="D117" s="1499">
        <v>5.3525235453464912</v>
      </c>
      <c r="E117" s="1499">
        <v>4.927058956561277</v>
      </c>
      <c r="F117" s="1499">
        <v>3.4974403373054734</v>
      </c>
      <c r="G117" s="1499">
        <v>3.3935331260830193</v>
      </c>
      <c r="H117" s="1499">
        <v>3.8846401257944372</v>
      </c>
      <c r="I117" s="1499">
        <v>4.3620701962280704</v>
      </c>
      <c r="J117" s="1499">
        <v>4.0228220812678668</v>
      </c>
      <c r="K117" s="113">
        <v>3.0759952870339622</v>
      </c>
    </row>
    <row r="118" spans="2:11" x14ac:dyDescent="0.3">
      <c r="B118" s="115"/>
      <c r="C118" s="112" t="s">
        <v>1508</v>
      </c>
      <c r="D118" s="1499">
        <v>5.3514351422448794</v>
      </c>
      <c r="E118" s="1499">
        <v>4.9259705534596652</v>
      </c>
      <c r="F118" s="1499">
        <v>3.496351934203862</v>
      </c>
      <c r="G118" s="1499">
        <v>3.3924447229814074</v>
      </c>
      <c r="H118" s="1499">
        <v>3.8835517226928253</v>
      </c>
      <c r="I118" s="1499">
        <v>4.3609817931264585</v>
      </c>
      <c r="J118" s="1499">
        <v>4.0217336781662549</v>
      </c>
      <c r="K118" s="113">
        <v>3.0749068839323508</v>
      </c>
    </row>
    <row r="119" spans="2:11" x14ac:dyDescent="0.3">
      <c r="B119" s="115"/>
      <c r="C119" s="112" t="s">
        <v>1513</v>
      </c>
      <c r="D119" s="1499">
        <v>5.3498025375924616</v>
      </c>
      <c r="E119" s="1499">
        <v>4.9243379488072483</v>
      </c>
      <c r="F119" s="1499">
        <v>3.4947193295514443</v>
      </c>
      <c r="G119" s="1499">
        <v>3.3908121183289897</v>
      </c>
      <c r="H119" s="1499">
        <v>3.881919118040408</v>
      </c>
      <c r="I119" s="1499">
        <v>4.3593491884740407</v>
      </c>
      <c r="J119" s="1499">
        <v>4.0201010735138372</v>
      </c>
      <c r="K119" s="113">
        <v>3.073274279279933</v>
      </c>
    </row>
    <row r="120" spans="2:11" x14ac:dyDescent="0.3">
      <c r="B120" s="115"/>
      <c r="C120" s="112" t="s">
        <v>1517</v>
      </c>
      <c r="D120" s="1499">
        <v>5.3481699329400438</v>
      </c>
      <c r="E120" s="1499">
        <v>4.9227053441548305</v>
      </c>
      <c r="F120" s="1499">
        <v>3.4930867248990265</v>
      </c>
      <c r="G120" s="1499">
        <v>3.3891795136765723</v>
      </c>
      <c r="H120" s="1499">
        <v>3.8802865133879902</v>
      </c>
      <c r="I120" s="1499">
        <v>4.357716583821623</v>
      </c>
      <c r="J120" s="1499">
        <v>4.0184684688614194</v>
      </c>
      <c r="K120" s="113">
        <v>3.0716416746275157</v>
      </c>
    </row>
    <row r="121" spans="2:11" ht="14.5" thickBot="1" x14ac:dyDescent="0.35">
      <c r="B121" s="1233"/>
      <c r="C121" s="116" t="s">
        <v>1519</v>
      </c>
      <c r="D121" s="117">
        <v>5.3544321195419391</v>
      </c>
      <c r="E121" s="117">
        <v>4.9289945072130932</v>
      </c>
      <c r="F121" s="117">
        <v>3.4993543121588417</v>
      </c>
      <c r="G121" s="117">
        <v>3.3954592835295516</v>
      </c>
      <c r="H121" s="117">
        <v>3.88654103496137</v>
      </c>
      <c r="I121" s="117">
        <v>4.3640231683565887</v>
      </c>
      <c r="J121" s="117">
        <v>4.0247566684933247</v>
      </c>
      <c r="K121" s="118">
        <v>3.0779524708035972</v>
      </c>
    </row>
    <row r="122" spans="2:11" x14ac:dyDescent="0.3">
      <c r="B122" s="107" t="s">
        <v>1985</v>
      </c>
      <c r="C122" s="108" t="s">
        <v>1416</v>
      </c>
      <c r="D122" s="109">
        <v>4.8881781017632937</v>
      </c>
      <c r="E122" s="109">
        <v>4.4632911322067059</v>
      </c>
      <c r="F122" s="109">
        <v>3.0330150775480704</v>
      </c>
      <c r="G122" s="109">
        <v>2.9291821637341959</v>
      </c>
      <c r="H122" s="109">
        <v>3.4204669219506747</v>
      </c>
      <c r="I122" s="109">
        <v>3.8979912264064209</v>
      </c>
      <c r="J122" s="109">
        <v>3.5586212844225615</v>
      </c>
      <c r="K122" s="110">
        <v>2.611508352495659</v>
      </c>
    </row>
    <row r="123" spans="2:11" x14ac:dyDescent="0.3">
      <c r="B123" s="111"/>
      <c r="C123" s="112" t="s">
        <v>1483</v>
      </c>
      <c r="D123" s="1499">
        <v>4.8977807477784241</v>
      </c>
      <c r="E123" s="1499">
        <v>4.4723431354495782</v>
      </c>
      <c r="F123" s="1499">
        <v>3.0427029403953263</v>
      </c>
      <c r="G123" s="1499">
        <v>2.9388079117660366</v>
      </c>
      <c r="H123" s="1499">
        <v>3.429889663197855</v>
      </c>
      <c r="I123" s="1499">
        <v>3.9073717965930737</v>
      </c>
      <c r="J123" s="1499">
        <v>3.5681052967298093</v>
      </c>
      <c r="K123" s="113">
        <v>2.6213010990400818</v>
      </c>
    </row>
    <row r="124" spans="2:11" x14ac:dyDescent="0.3">
      <c r="B124" s="111" t="s">
        <v>1989</v>
      </c>
      <c r="C124" s="112" t="s">
        <v>1489</v>
      </c>
      <c r="D124" s="1499">
        <v>4.896475908279033</v>
      </c>
      <c r="E124" s="1499">
        <v>4.4710382959501871</v>
      </c>
      <c r="F124" s="1499">
        <v>3.0413981008959357</v>
      </c>
      <c r="G124" s="1499">
        <v>2.9375030722666455</v>
      </c>
      <c r="H124" s="1499">
        <v>3.428584823698464</v>
      </c>
      <c r="I124" s="1499">
        <v>3.9060669570936826</v>
      </c>
      <c r="J124" s="1499">
        <v>3.5668004572304186</v>
      </c>
      <c r="K124" s="113">
        <v>2.6199962595406907</v>
      </c>
    </row>
    <row r="125" spans="2:11" x14ac:dyDescent="0.3">
      <c r="B125" s="114">
        <v>0</v>
      </c>
      <c r="C125" s="112" t="s">
        <v>1496</v>
      </c>
      <c r="D125" s="1499">
        <v>4.8945186490299459</v>
      </c>
      <c r="E125" s="1499">
        <v>4.4690810367011</v>
      </c>
      <c r="F125" s="1499">
        <v>3.0394408416468486</v>
      </c>
      <c r="G125" s="1499">
        <v>2.9355458130175585</v>
      </c>
      <c r="H125" s="1499">
        <v>3.4266275644493769</v>
      </c>
      <c r="I125" s="1499">
        <v>3.9041096978445955</v>
      </c>
      <c r="J125" s="1499">
        <v>3.5648431979813315</v>
      </c>
      <c r="K125" s="113">
        <v>2.6180390002916041</v>
      </c>
    </row>
    <row r="126" spans="2:11" x14ac:dyDescent="0.3">
      <c r="B126" s="115"/>
      <c r="C126" s="112" t="s">
        <v>1500</v>
      </c>
      <c r="D126" s="1499">
        <v>4.8925613897808589</v>
      </c>
      <c r="E126" s="1499">
        <v>4.4671237774520138</v>
      </c>
      <c r="F126" s="1499">
        <v>3.0374835823977615</v>
      </c>
      <c r="G126" s="1499">
        <v>2.9335885537684718</v>
      </c>
      <c r="H126" s="1499">
        <v>3.4246703052002903</v>
      </c>
      <c r="I126" s="1499">
        <v>3.9021524385955089</v>
      </c>
      <c r="J126" s="1499">
        <v>3.5628859387322454</v>
      </c>
      <c r="K126" s="113">
        <v>2.6160817410425175</v>
      </c>
    </row>
    <row r="127" spans="2:11" x14ac:dyDescent="0.3">
      <c r="B127" s="115"/>
      <c r="C127" s="112" t="s">
        <v>1504</v>
      </c>
      <c r="D127" s="1499">
        <v>4.8958721735829753</v>
      </c>
      <c r="E127" s="1499">
        <v>4.470407584797762</v>
      </c>
      <c r="F127" s="1499">
        <v>3.0407889655419584</v>
      </c>
      <c r="G127" s="1499">
        <v>2.9368817543195038</v>
      </c>
      <c r="H127" s="1499">
        <v>3.4279887540309217</v>
      </c>
      <c r="I127" s="1499">
        <v>3.9054188244645545</v>
      </c>
      <c r="J127" s="1499">
        <v>3.5661707095043509</v>
      </c>
      <c r="K127" s="113">
        <v>2.6193439152704472</v>
      </c>
    </row>
    <row r="128" spans="2:11" x14ac:dyDescent="0.3">
      <c r="B128" s="115"/>
      <c r="C128" s="112" t="s">
        <v>1508</v>
      </c>
      <c r="D128" s="1499">
        <v>4.8947837704813635</v>
      </c>
      <c r="E128" s="1499">
        <v>4.4693191816961502</v>
      </c>
      <c r="F128" s="1499">
        <v>3.0397005624403466</v>
      </c>
      <c r="G128" s="1499">
        <v>2.935793351217892</v>
      </c>
      <c r="H128" s="1499">
        <v>3.4269003509293099</v>
      </c>
      <c r="I128" s="1499">
        <v>3.9043304213629431</v>
      </c>
      <c r="J128" s="1499">
        <v>3.5650823064027395</v>
      </c>
      <c r="K128" s="113">
        <v>2.6182555121688353</v>
      </c>
    </row>
    <row r="129" spans="2:11" x14ac:dyDescent="0.3">
      <c r="B129" s="115"/>
      <c r="C129" s="112" t="s">
        <v>1513</v>
      </c>
      <c r="D129" s="1499">
        <v>4.8931511658289466</v>
      </c>
      <c r="E129" s="1499">
        <v>4.4676865770437324</v>
      </c>
      <c r="F129" s="1499">
        <v>3.0380679577879288</v>
      </c>
      <c r="G129" s="1499">
        <v>2.9341607465654747</v>
      </c>
      <c r="H129" s="1499">
        <v>3.4252677462768926</v>
      </c>
      <c r="I129" s="1499">
        <v>3.9026978167105253</v>
      </c>
      <c r="J129" s="1499">
        <v>3.5634497017503217</v>
      </c>
      <c r="K129" s="113">
        <v>2.6166229075164176</v>
      </c>
    </row>
    <row r="130" spans="2:11" x14ac:dyDescent="0.3">
      <c r="B130" s="115"/>
      <c r="C130" s="112" t="s">
        <v>1517</v>
      </c>
      <c r="D130" s="1499">
        <v>4.8915185611765288</v>
      </c>
      <c r="E130" s="1499">
        <v>4.4660539723913146</v>
      </c>
      <c r="F130" s="1499">
        <v>3.0364353531355115</v>
      </c>
      <c r="G130" s="1499">
        <v>2.9325281419130569</v>
      </c>
      <c r="H130" s="1499">
        <v>3.4236351416244748</v>
      </c>
      <c r="I130" s="1499">
        <v>3.901065212058108</v>
      </c>
      <c r="J130" s="1499">
        <v>3.561817097097904</v>
      </c>
      <c r="K130" s="113">
        <v>2.6149903028640002</v>
      </c>
    </row>
    <row r="131" spans="2:11" ht="14.5" thickBot="1" x14ac:dyDescent="0.35">
      <c r="B131" s="1233"/>
      <c r="C131" s="116" t="s">
        <v>1519</v>
      </c>
      <c r="D131" s="117">
        <v>4.8977807477784241</v>
      </c>
      <c r="E131" s="117">
        <v>4.4723431354495782</v>
      </c>
      <c r="F131" s="117">
        <v>3.0427029403953263</v>
      </c>
      <c r="G131" s="117">
        <v>2.9388079117660366</v>
      </c>
      <c r="H131" s="117">
        <v>3.429889663197855</v>
      </c>
      <c r="I131" s="117">
        <v>3.9073717965930737</v>
      </c>
      <c r="J131" s="117">
        <v>3.5681052967298093</v>
      </c>
      <c r="K131" s="118">
        <v>2.6213010990400818</v>
      </c>
    </row>
    <row r="132" spans="2:11" x14ac:dyDescent="0.3">
      <c r="B132" s="120" t="s">
        <v>1990</v>
      </c>
      <c r="C132" s="108" t="s">
        <v>1416</v>
      </c>
      <c r="D132" s="109">
        <v>5.5831237973287289</v>
      </c>
      <c r="E132" s="109">
        <v>5.1518273926946527</v>
      </c>
      <c r="F132" s="109">
        <v>3.7267203433898231</v>
      </c>
      <c r="G132" s="109">
        <v>3.6181720568575462</v>
      </c>
      <c r="H132" s="109">
        <v>4.1136548073752248</v>
      </c>
      <c r="I132" s="109">
        <v>4.5855325851582105</v>
      </c>
      <c r="J132" s="109">
        <v>4.2456111678686463</v>
      </c>
      <c r="K132" s="110">
        <v>3.3031243281600271</v>
      </c>
    </row>
    <row r="133" spans="2:11" x14ac:dyDescent="0.3">
      <c r="B133" s="111"/>
      <c r="C133" s="112" t="s">
        <v>1483</v>
      </c>
      <c r="D133" s="1499">
        <v>5.5927848816988917</v>
      </c>
      <c r="E133" s="1499">
        <v>5.1611708560643645</v>
      </c>
      <c r="F133" s="1499">
        <v>3.7365814890813236</v>
      </c>
      <c r="G133" s="1499">
        <v>3.6279359124936779</v>
      </c>
      <c r="H133" s="1499">
        <v>4.1231896053061066</v>
      </c>
      <c r="I133" s="1499">
        <v>4.5951477836713606</v>
      </c>
      <c r="J133" s="1499">
        <v>4.2552685980901268</v>
      </c>
      <c r="K133" s="113">
        <v>3.3131113973700312</v>
      </c>
    </row>
    <row r="134" spans="2:11" x14ac:dyDescent="0.3">
      <c r="B134" s="111" t="s">
        <v>1986</v>
      </c>
      <c r="C134" s="112" t="s">
        <v>1489</v>
      </c>
      <c r="D134" s="1499">
        <v>5.5914800421995006</v>
      </c>
      <c r="E134" s="1499">
        <v>5.1598660165649735</v>
      </c>
      <c r="F134" s="1499">
        <v>3.7352766495819321</v>
      </c>
      <c r="G134" s="1499">
        <v>3.6266310729942863</v>
      </c>
      <c r="H134" s="1499">
        <v>4.1218847658067146</v>
      </c>
      <c r="I134" s="1499">
        <v>4.5938429441719695</v>
      </c>
      <c r="J134" s="1499">
        <v>4.2539637585907348</v>
      </c>
      <c r="K134" s="113">
        <v>3.3118065578706397</v>
      </c>
    </row>
    <row r="135" spans="2:11" x14ac:dyDescent="0.3">
      <c r="B135" s="114">
        <v>0</v>
      </c>
      <c r="C135" s="112" t="s">
        <v>1496</v>
      </c>
      <c r="D135" s="1499">
        <v>5.5895227829504135</v>
      </c>
      <c r="E135" s="1499">
        <v>5.1579087573158873</v>
      </c>
      <c r="F135" s="1499">
        <v>3.7333193903328459</v>
      </c>
      <c r="G135" s="1499">
        <v>3.6246738137452001</v>
      </c>
      <c r="H135" s="1499">
        <v>4.1199275065576284</v>
      </c>
      <c r="I135" s="1499">
        <v>4.5918856849228833</v>
      </c>
      <c r="J135" s="1499">
        <v>4.2520064993416486</v>
      </c>
      <c r="K135" s="113">
        <v>3.3098492986215535</v>
      </c>
    </row>
    <row r="136" spans="2:11" x14ac:dyDescent="0.3">
      <c r="B136" s="115"/>
      <c r="C136" s="112" t="s">
        <v>1500</v>
      </c>
      <c r="D136" s="1499">
        <v>5.5875655237013264</v>
      </c>
      <c r="E136" s="1499">
        <v>5.1559514980668002</v>
      </c>
      <c r="F136" s="1499">
        <v>3.7313621310837588</v>
      </c>
      <c r="G136" s="1499">
        <v>3.6227165544961131</v>
      </c>
      <c r="H136" s="1499">
        <v>4.1179702473085413</v>
      </c>
      <c r="I136" s="1499">
        <v>4.5899284256737962</v>
      </c>
      <c r="J136" s="1499">
        <v>4.2500492400925616</v>
      </c>
      <c r="K136" s="113">
        <v>3.3078920393724665</v>
      </c>
    </row>
    <row r="137" spans="2:11" x14ac:dyDescent="0.3">
      <c r="B137" s="115"/>
      <c r="C137" s="112" t="s">
        <v>1504</v>
      </c>
      <c r="D137" s="1499">
        <v>5.5908855728016809</v>
      </c>
      <c r="E137" s="1499">
        <v>5.1592172915747989</v>
      </c>
      <c r="F137" s="1499">
        <v>3.7345555364957761</v>
      </c>
      <c r="G137" s="1499">
        <v>3.6259797247654797</v>
      </c>
      <c r="H137" s="1499">
        <v>4.1212843582336687</v>
      </c>
      <c r="I137" s="1499">
        <v>4.5931963570341123</v>
      </c>
      <c r="J137" s="1499">
        <v>4.2533362901378524</v>
      </c>
      <c r="K137" s="113">
        <v>3.3110479769832657</v>
      </c>
    </row>
    <row r="138" spans="2:11" x14ac:dyDescent="0.3">
      <c r="B138" s="115"/>
      <c r="C138" s="112" t="s">
        <v>1508</v>
      </c>
      <c r="D138" s="1499">
        <v>5.589797169700069</v>
      </c>
      <c r="E138" s="1499">
        <v>5.1581288884731871</v>
      </c>
      <c r="F138" s="1499">
        <v>3.7334671333941643</v>
      </c>
      <c r="G138" s="1499">
        <v>3.6248913216638683</v>
      </c>
      <c r="H138" s="1499">
        <v>4.1201959551320568</v>
      </c>
      <c r="I138" s="1499">
        <v>4.5921079539325005</v>
      </c>
      <c r="J138" s="1499">
        <v>4.2522478870362406</v>
      </c>
      <c r="K138" s="113">
        <v>3.3099595738816538</v>
      </c>
    </row>
    <row r="139" spans="2:11" x14ac:dyDescent="0.3">
      <c r="B139" s="115"/>
      <c r="C139" s="112" t="s">
        <v>1513</v>
      </c>
      <c r="D139" s="1499">
        <v>5.5881645650476512</v>
      </c>
      <c r="E139" s="1499">
        <v>5.1564962838207693</v>
      </c>
      <c r="F139" s="1499">
        <v>3.7318345287417474</v>
      </c>
      <c r="G139" s="1499">
        <v>3.6232587170114505</v>
      </c>
      <c r="H139" s="1499">
        <v>4.11856335047964</v>
      </c>
      <c r="I139" s="1499">
        <v>4.5904753492800836</v>
      </c>
      <c r="J139" s="1499">
        <v>4.2506152823838237</v>
      </c>
      <c r="K139" s="113">
        <v>3.308326969229237</v>
      </c>
    </row>
    <row r="140" spans="2:11" x14ac:dyDescent="0.3">
      <c r="B140" s="115"/>
      <c r="C140" s="112" t="s">
        <v>1517</v>
      </c>
      <c r="D140" s="1499">
        <v>5.5865319603952335</v>
      </c>
      <c r="E140" s="1499">
        <v>5.1548636791683524</v>
      </c>
      <c r="F140" s="1499">
        <v>3.7302019240893296</v>
      </c>
      <c r="G140" s="1499">
        <v>3.6216261123590336</v>
      </c>
      <c r="H140" s="1499">
        <v>4.1169307458272231</v>
      </c>
      <c r="I140" s="1499">
        <v>4.5888427446276658</v>
      </c>
      <c r="J140" s="1499">
        <v>4.2489826777314059</v>
      </c>
      <c r="K140" s="113">
        <v>3.3066943645768196</v>
      </c>
    </row>
    <row r="141" spans="2:11" ht="14.5" thickBot="1" x14ac:dyDescent="0.35">
      <c r="B141" s="1233"/>
      <c r="C141" s="116" t="s">
        <v>1519</v>
      </c>
      <c r="D141" s="117">
        <v>5.5927848816988917</v>
      </c>
      <c r="E141" s="117">
        <v>5.1611708560643645</v>
      </c>
      <c r="F141" s="117">
        <v>3.7365814890813236</v>
      </c>
      <c r="G141" s="117">
        <v>3.6279359124936779</v>
      </c>
      <c r="H141" s="117">
        <v>4.1231896053061066</v>
      </c>
      <c r="I141" s="117">
        <v>4.5951477836713606</v>
      </c>
      <c r="J141" s="117">
        <v>4.2552685980901268</v>
      </c>
      <c r="K141" s="118">
        <v>3.3131113973700312</v>
      </c>
    </row>
    <row r="142" spans="2:11" x14ac:dyDescent="0.3">
      <c r="B142" s="120" t="s">
        <v>1990</v>
      </c>
      <c r="C142" s="108" t="s">
        <v>1416</v>
      </c>
      <c r="D142" s="109">
        <v>5.3254190994608939</v>
      </c>
      <c r="E142" s="109">
        <v>4.8941226948268186</v>
      </c>
      <c r="F142" s="109">
        <v>3.4690156455219894</v>
      </c>
      <c r="G142" s="109">
        <v>3.3604673589897121</v>
      </c>
      <c r="H142" s="109">
        <v>3.8559501095073911</v>
      </c>
      <c r="I142" s="109">
        <v>4.3278278872903764</v>
      </c>
      <c r="J142" s="109">
        <v>3.9879064700008122</v>
      </c>
      <c r="K142" s="110">
        <v>3.0454196302921934</v>
      </c>
    </row>
    <row r="143" spans="2:11" x14ac:dyDescent="0.3">
      <c r="B143" s="111"/>
      <c r="C143" s="112" t="s">
        <v>1483</v>
      </c>
      <c r="D143" s="1499">
        <v>5.3350801838310575</v>
      </c>
      <c r="E143" s="1499">
        <v>4.9034661581965304</v>
      </c>
      <c r="F143" s="1499">
        <v>3.478876791213489</v>
      </c>
      <c r="G143" s="1499">
        <v>3.3702312146258433</v>
      </c>
      <c r="H143" s="1499">
        <v>3.865484907438272</v>
      </c>
      <c r="I143" s="1499">
        <v>4.3374430858035264</v>
      </c>
      <c r="J143" s="1499">
        <v>3.9975639002222922</v>
      </c>
      <c r="K143" s="113">
        <v>3.0554066995021967</v>
      </c>
    </row>
    <row r="144" spans="2:11" x14ac:dyDescent="0.3">
      <c r="B144" s="111" t="s">
        <v>1987</v>
      </c>
      <c r="C144" s="112" t="s">
        <v>1489</v>
      </c>
      <c r="D144" s="1499">
        <v>5.3337753443316664</v>
      </c>
      <c r="E144" s="1499">
        <v>4.9021613186971393</v>
      </c>
      <c r="F144" s="1499">
        <v>3.4775719517140984</v>
      </c>
      <c r="G144" s="1499">
        <v>3.3689263751264527</v>
      </c>
      <c r="H144" s="1499">
        <v>3.8641800679388809</v>
      </c>
      <c r="I144" s="1499">
        <v>4.3361382463041354</v>
      </c>
      <c r="J144" s="1499">
        <v>3.9962590607229012</v>
      </c>
      <c r="K144" s="113">
        <v>3.054101860002806</v>
      </c>
    </row>
    <row r="145" spans="2:11" x14ac:dyDescent="0.3">
      <c r="B145" s="114">
        <v>0</v>
      </c>
      <c r="C145" s="112" t="s">
        <v>1496</v>
      </c>
      <c r="D145" s="1499">
        <v>5.3318180850825794</v>
      </c>
      <c r="E145" s="1499">
        <v>4.9002040594480523</v>
      </c>
      <c r="F145" s="1499">
        <v>3.4756146924650113</v>
      </c>
      <c r="G145" s="1499">
        <v>3.3669691158773656</v>
      </c>
      <c r="H145" s="1499">
        <v>3.8622228086897938</v>
      </c>
      <c r="I145" s="1499">
        <v>4.3341809870550483</v>
      </c>
      <c r="J145" s="1499">
        <v>3.9943018014738145</v>
      </c>
      <c r="K145" s="113">
        <v>3.052144600753719</v>
      </c>
    </row>
    <row r="146" spans="2:11" x14ac:dyDescent="0.3">
      <c r="B146" s="115"/>
      <c r="C146" s="112" t="s">
        <v>1500</v>
      </c>
      <c r="D146" s="1499">
        <v>5.3298608258334932</v>
      </c>
      <c r="E146" s="1499">
        <v>4.8982468001989661</v>
      </c>
      <c r="F146" s="1499">
        <v>3.4736574332159251</v>
      </c>
      <c r="G146" s="1499">
        <v>3.3650118566282794</v>
      </c>
      <c r="H146" s="1499">
        <v>3.8602655494407077</v>
      </c>
      <c r="I146" s="1499">
        <v>4.3322237278059621</v>
      </c>
      <c r="J146" s="1499">
        <v>3.9923445422247279</v>
      </c>
      <c r="K146" s="113">
        <v>3.0501873415046323</v>
      </c>
    </row>
    <row r="147" spans="2:11" x14ac:dyDescent="0.3">
      <c r="B147" s="115"/>
      <c r="C147" s="112" t="s">
        <v>1504</v>
      </c>
      <c r="D147" s="1499">
        <v>5.3331808749338458</v>
      </c>
      <c r="E147" s="1499">
        <v>4.9015125937069648</v>
      </c>
      <c r="F147" s="1499">
        <v>3.4768508386279424</v>
      </c>
      <c r="G147" s="1499">
        <v>3.368275026897646</v>
      </c>
      <c r="H147" s="1499">
        <v>3.863579660365835</v>
      </c>
      <c r="I147" s="1499">
        <v>4.3354916591662791</v>
      </c>
      <c r="J147" s="1499">
        <v>3.9956315922700187</v>
      </c>
      <c r="K147" s="113">
        <v>3.053343279115432</v>
      </c>
    </row>
    <row r="148" spans="2:11" x14ac:dyDescent="0.3">
      <c r="B148" s="115"/>
      <c r="C148" s="112" t="s">
        <v>1508</v>
      </c>
      <c r="D148" s="1499">
        <v>5.332092471832234</v>
      </c>
      <c r="E148" s="1499">
        <v>4.9004241906053529</v>
      </c>
      <c r="F148" s="1499">
        <v>3.4757624355263306</v>
      </c>
      <c r="G148" s="1499">
        <v>3.3671866237960342</v>
      </c>
      <c r="H148" s="1499">
        <v>3.8624912572642236</v>
      </c>
      <c r="I148" s="1499">
        <v>4.3344032560646673</v>
      </c>
      <c r="J148" s="1499">
        <v>3.9945431891684069</v>
      </c>
      <c r="K148" s="113">
        <v>3.0522548760138202</v>
      </c>
    </row>
    <row r="149" spans="2:11" x14ac:dyDescent="0.3">
      <c r="B149" s="115"/>
      <c r="C149" s="112" t="s">
        <v>1513</v>
      </c>
      <c r="D149" s="1499">
        <v>5.3304598671798171</v>
      </c>
      <c r="E149" s="1499">
        <v>4.8987915859529352</v>
      </c>
      <c r="F149" s="1499">
        <v>3.4741298308739128</v>
      </c>
      <c r="G149" s="1499">
        <v>3.3655540191436168</v>
      </c>
      <c r="H149" s="1499">
        <v>3.8608586526118058</v>
      </c>
      <c r="I149" s="1499">
        <v>4.3327706514122495</v>
      </c>
      <c r="J149" s="1499">
        <v>3.9929105845159891</v>
      </c>
      <c r="K149" s="113">
        <v>3.0506222713614024</v>
      </c>
    </row>
    <row r="150" spans="2:11" x14ac:dyDescent="0.3">
      <c r="B150" s="115"/>
      <c r="C150" s="112" t="s">
        <v>1517</v>
      </c>
      <c r="D150" s="1499">
        <v>5.3288272625273994</v>
      </c>
      <c r="E150" s="1499">
        <v>4.8971589813005183</v>
      </c>
      <c r="F150" s="1499">
        <v>3.4724972262214955</v>
      </c>
      <c r="G150" s="1499">
        <v>3.3639214144911991</v>
      </c>
      <c r="H150" s="1499">
        <v>3.8592260479593881</v>
      </c>
      <c r="I150" s="1499">
        <v>4.3311380467598317</v>
      </c>
      <c r="J150" s="1499">
        <v>3.9912779798635718</v>
      </c>
      <c r="K150" s="113">
        <v>3.0489896667089851</v>
      </c>
    </row>
    <row r="151" spans="2:11" ht="14.5" thickBot="1" x14ac:dyDescent="0.35">
      <c r="B151" s="1233"/>
      <c r="C151" s="116" t="s">
        <v>1519</v>
      </c>
      <c r="D151" s="117">
        <v>5.3350801838310575</v>
      </c>
      <c r="E151" s="117">
        <v>4.9034661581965304</v>
      </c>
      <c r="F151" s="117">
        <v>3.478876791213489</v>
      </c>
      <c r="G151" s="117">
        <v>3.3702312146258433</v>
      </c>
      <c r="H151" s="117">
        <v>3.865484907438272</v>
      </c>
      <c r="I151" s="117">
        <v>4.3374430858035264</v>
      </c>
      <c r="J151" s="117">
        <v>3.9975639002222922</v>
      </c>
      <c r="K151" s="118">
        <v>3.0554066995021967</v>
      </c>
    </row>
    <row r="152" spans="2:11" x14ac:dyDescent="0.3">
      <c r="B152" s="120" t="s">
        <v>1990</v>
      </c>
      <c r="C152" s="108" t="s">
        <v>1416</v>
      </c>
      <c r="D152" s="109">
        <v>4.9388620526591431</v>
      </c>
      <c r="E152" s="109">
        <v>4.5075656480250679</v>
      </c>
      <c r="F152" s="109">
        <v>3.0824585987202378</v>
      </c>
      <c r="G152" s="109">
        <v>2.9739103121879609</v>
      </c>
      <c r="H152" s="109">
        <v>3.4693930627056404</v>
      </c>
      <c r="I152" s="109">
        <v>3.9412708404886247</v>
      </c>
      <c r="J152" s="109">
        <v>3.6013494231990615</v>
      </c>
      <c r="K152" s="110">
        <v>2.6588625834904422</v>
      </c>
    </row>
    <row r="153" spans="2:11" x14ac:dyDescent="0.3">
      <c r="B153" s="111"/>
      <c r="C153" s="112" t="s">
        <v>1483</v>
      </c>
      <c r="D153" s="1499">
        <v>4.9485231370293068</v>
      </c>
      <c r="E153" s="1499">
        <v>4.5169091113947797</v>
      </c>
      <c r="F153" s="1499">
        <v>3.0923197444117383</v>
      </c>
      <c r="G153" s="1499">
        <v>2.9836741678240926</v>
      </c>
      <c r="H153" s="1499">
        <v>3.4789278606365213</v>
      </c>
      <c r="I153" s="1499">
        <v>3.9508860390017757</v>
      </c>
      <c r="J153" s="1499">
        <v>3.6110068534205415</v>
      </c>
      <c r="K153" s="113">
        <v>2.6688496527004459</v>
      </c>
    </row>
    <row r="154" spans="2:11" x14ac:dyDescent="0.3">
      <c r="B154" s="111" t="s">
        <v>1988</v>
      </c>
      <c r="C154" s="112" t="s">
        <v>1489</v>
      </c>
      <c r="D154" s="1499">
        <v>4.9472182975299148</v>
      </c>
      <c r="E154" s="1499">
        <v>4.5156042718953886</v>
      </c>
      <c r="F154" s="1499">
        <v>3.0910149049123476</v>
      </c>
      <c r="G154" s="1499">
        <v>2.9823693283247019</v>
      </c>
      <c r="H154" s="1499">
        <v>3.4776230211371297</v>
      </c>
      <c r="I154" s="1499">
        <v>3.9495811995023846</v>
      </c>
      <c r="J154" s="1499">
        <v>3.6097020139211504</v>
      </c>
      <c r="K154" s="113">
        <v>2.6675448132010549</v>
      </c>
    </row>
    <row r="155" spans="2:11" x14ac:dyDescent="0.3">
      <c r="B155" s="114">
        <v>0</v>
      </c>
      <c r="C155" s="112" t="s">
        <v>1496</v>
      </c>
      <c r="D155" s="1499">
        <v>4.9452610382808286</v>
      </c>
      <c r="E155" s="1499">
        <v>4.5136470126463015</v>
      </c>
      <c r="F155" s="1499">
        <v>3.0890576456632606</v>
      </c>
      <c r="G155" s="1499">
        <v>2.9804120690756148</v>
      </c>
      <c r="H155" s="1499">
        <v>3.4756657618880431</v>
      </c>
      <c r="I155" s="1499">
        <v>3.9476239402532975</v>
      </c>
      <c r="J155" s="1499">
        <v>3.6077447546720633</v>
      </c>
      <c r="K155" s="113">
        <v>2.6655875539519682</v>
      </c>
    </row>
    <row r="156" spans="2:11" x14ac:dyDescent="0.3">
      <c r="B156" s="115"/>
      <c r="C156" s="112" t="s">
        <v>1500</v>
      </c>
      <c r="D156" s="1499">
        <v>4.9433037790317416</v>
      </c>
      <c r="E156" s="1499">
        <v>4.5116897533972145</v>
      </c>
      <c r="F156" s="1499">
        <v>3.0871003864141735</v>
      </c>
      <c r="G156" s="1499">
        <v>2.9784548098265278</v>
      </c>
      <c r="H156" s="1499">
        <v>3.4737085026389565</v>
      </c>
      <c r="I156" s="1499">
        <v>3.9456666810042109</v>
      </c>
      <c r="J156" s="1499">
        <v>3.6057874954229767</v>
      </c>
      <c r="K156" s="113">
        <v>2.6636302947028812</v>
      </c>
    </row>
    <row r="157" spans="2:11" x14ac:dyDescent="0.3">
      <c r="B157" s="115"/>
      <c r="C157" s="112" t="s">
        <v>1504</v>
      </c>
      <c r="D157" s="1499">
        <v>4.9466238281320951</v>
      </c>
      <c r="E157" s="1499">
        <v>4.5149555469052132</v>
      </c>
      <c r="F157" s="1499">
        <v>3.0902937918261908</v>
      </c>
      <c r="G157" s="1499">
        <v>2.9817179800958948</v>
      </c>
      <c r="H157" s="1499">
        <v>3.4770226135640838</v>
      </c>
      <c r="I157" s="1499">
        <v>3.9489346123645275</v>
      </c>
      <c r="J157" s="1499">
        <v>3.6090745454682671</v>
      </c>
      <c r="K157" s="113">
        <v>2.6667862323136808</v>
      </c>
    </row>
    <row r="158" spans="2:11" x14ac:dyDescent="0.3">
      <c r="B158" s="115"/>
      <c r="C158" s="112" t="s">
        <v>1508</v>
      </c>
      <c r="D158" s="1499">
        <v>4.9455354250304833</v>
      </c>
      <c r="E158" s="1499">
        <v>4.5138671438036022</v>
      </c>
      <c r="F158" s="1499">
        <v>3.0892053887245789</v>
      </c>
      <c r="G158" s="1499">
        <v>2.9806295769942834</v>
      </c>
      <c r="H158" s="1499">
        <v>3.475934210462472</v>
      </c>
      <c r="I158" s="1499">
        <v>3.9478462092629161</v>
      </c>
      <c r="J158" s="1499">
        <v>3.6079861423666557</v>
      </c>
      <c r="K158" s="113">
        <v>2.665697829212069</v>
      </c>
    </row>
    <row r="159" spans="2:11" x14ac:dyDescent="0.3">
      <c r="B159" s="115"/>
      <c r="C159" s="112" t="s">
        <v>1513</v>
      </c>
      <c r="D159" s="1499">
        <v>4.9439028203780664</v>
      </c>
      <c r="E159" s="1499">
        <v>4.5122345391511844</v>
      </c>
      <c r="F159" s="1499">
        <v>3.0875727840721621</v>
      </c>
      <c r="G159" s="1499">
        <v>2.9789969723418661</v>
      </c>
      <c r="H159" s="1499">
        <v>3.4743016058100551</v>
      </c>
      <c r="I159" s="1499">
        <v>3.9462136046104987</v>
      </c>
      <c r="J159" s="1499">
        <v>3.6063535377142384</v>
      </c>
      <c r="K159" s="113">
        <v>2.6640652245596517</v>
      </c>
    </row>
    <row r="160" spans="2:11" x14ac:dyDescent="0.3">
      <c r="B160" s="115"/>
      <c r="C160" s="112" t="s">
        <v>1517</v>
      </c>
      <c r="D160" s="1499">
        <v>4.9422702157256486</v>
      </c>
      <c r="E160" s="1499">
        <v>4.5106019344987676</v>
      </c>
      <c r="F160" s="1499">
        <v>3.0859401794197447</v>
      </c>
      <c r="G160" s="1499">
        <v>2.9773643676894483</v>
      </c>
      <c r="H160" s="1499">
        <v>3.4726690011576373</v>
      </c>
      <c r="I160" s="1499">
        <v>3.944580999958081</v>
      </c>
      <c r="J160" s="1499">
        <v>3.6047209330618211</v>
      </c>
      <c r="K160" s="113">
        <v>2.6624326199072343</v>
      </c>
    </row>
    <row r="161" spans="2:11" ht="14.5" thickBot="1" x14ac:dyDescent="0.35">
      <c r="B161" s="1233"/>
      <c r="C161" s="116" t="s">
        <v>1519</v>
      </c>
      <c r="D161" s="117">
        <v>4.9485231370293068</v>
      </c>
      <c r="E161" s="117">
        <v>4.5169091113947797</v>
      </c>
      <c r="F161" s="117">
        <v>3.0923197444117383</v>
      </c>
      <c r="G161" s="117">
        <v>2.9836741678240926</v>
      </c>
      <c r="H161" s="117">
        <v>3.4789278606365213</v>
      </c>
      <c r="I161" s="117">
        <v>3.9508860390017757</v>
      </c>
      <c r="J161" s="117">
        <v>3.6110068534205415</v>
      </c>
      <c r="K161" s="118">
        <v>2.6688496527004459</v>
      </c>
    </row>
    <row r="162" spans="2:11" x14ac:dyDescent="0.3">
      <c r="B162" s="120" t="s">
        <v>1990</v>
      </c>
      <c r="C162" s="108" t="s">
        <v>1416</v>
      </c>
      <c r="D162" s="109">
        <v>4.5523050058573924</v>
      </c>
      <c r="E162" s="109">
        <v>4.1210086012233171</v>
      </c>
      <c r="F162" s="109">
        <v>2.695901551918487</v>
      </c>
      <c r="G162" s="109">
        <v>2.5873532653862101</v>
      </c>
      <c r="H162" s="109">
        <v>3.0828360159038892</v>
      </c>
      <c r="I162" s="109">
        <v>3.554713793686874</v>
      </c>
      <c r="J162" s="109">
        <v>3.2147923763973103</v>
      </c>
      <c r="K162" s="110">
        <v>2.2723055366886915</v>
      </c>
    </row>
    <row r="163" spans="2:11" x14ac:dyDescent="0.3">
      <c r="B163" s="111"/>
      <c r="C163" s="112" t="s">
        <v>1483</v>
      </c>
      <c r="D163" s="1499">
        <v>4.5619660902275552</v>
      </c>
      <c r="E163" s="1499">
        <v>4.1303520645930289</v>
      </c>
      <c r="F163" s="1499">
        <v>2.7057626976099876</v>
      </c>
      <c r="G163" s="1499">
        <v>2.5971171210223418</v>
      </c>
      <c r="H163" s="1499">
        <v>3.0923708138347696</v>
      </c>
      <c r="I163" s="1499">
        <v>3.564328992200025</v>
      </c>
      <c r="J163" s="1499">
        <v>3.2244498066187908</v>
      </c>
      <c r="K163" s="113">
        <v>2.2822926058986948</v>
      </c>
    </row>
    <row r="164" spans="2:11" x14ac:dyDescent="0.3">
      <c r="B164" s="111" t="s">
        <v>1989</v>
      </c>
      <c r="C164" s="112" t="s">
        <v>1489</v>
      </c>
      <c r="D164" s="1499">
        <v>4.5606612507281641</v>
      </c>
      <c r="E164" s="1499">
        <v>4.129047225093637</v>
      </c>
      <c r="F164" s="1499">
        <v>2.704457858110596</v>
      </c>
      <c r="G164" s="1499">
        <v>2.5958122815229503</v>
      </c>
      <c r="H164" s="1499">
        <v>3.091065974335379</v>
      </c>
      <c r="I164" s="1499">
        <v>3.5630241527006334</v>
      </c>
      <c r="J164" s="1499">
        <v>3.2231449671193992</v>
      </c>
      <c r="K164" s="113">
        <v>2.2809877663993037</v>
      </c>
    </row>
    <row r="165" spans="2:11" x14ac:dyDescent="0.3">
      <c r="B165" s="114">
        <v>0</v>
      </c>
      <c r="C165" s="112" t="s">
        <v>1496</v>
      </c>
      <c r="D165" s="1499">
        <v>4.5587039914790779</v>
      </c>
      <c r="E165" s="1499">
        <v>4.1270899658445508</v>
      </c>
      <c r="F165" s="1499">
        <v>2.7025005988615094</v>
      </c>
      <c r="G165" s="1499">
        <v>2.5938550222738637</v>
      </c>
      <c r="H165" s="1499">
        <v>3.0891087150862924</v>
      </c>
      <c r="I165" s="1499">
        <v>3.5610668934515464</v>
      </c>
      <c r="J165" s="1499">
        <v>3.2211877078703122</v>
      </c>
      <c r="K165" s="113">
        <v>2.279030507150217</v>
      </c>
    </row>
    <row r="166" spans="2:11" x14ac:dyDescent="0.3">
      <c r="B166" s="115"/>
      <c r="C166" s="112" t="s">
        <v>1500</v>
      </c>
      <c r="D166" s="1499">
        <v>4.5567467322299908</v>
      </c>
      <c r="E166" s="1499">
        <v>4.1251327065954637</v>
      </c>
      <c r="F166" s="1499">
        <v>2.7005433396124228</v>
      </c>
      <c r="G166" s="1499">
        <v>2.591897763024777</v>
      </c>
      <c r="H166" s="1499">
        <v>3.0871514558372053</v>
      </c>
      <c r="I166" s="1499">
        <v>3.5591096342024602</v>
      </c>
      <c r="J166" s="1499">
        <v>3.219230448621226</v>
      </c>
      <c r="K166" s="113">
        <v>2.2770732479011304</v>
      </c>
    </row>
    <row r="167" spans="2:11" x14ac:dyDescent="0.3">
      <c r="B167" s="115"/>
      <c r="C167" s="112" t="s">
        <v>1504</v>
      </c>
      <c r="D167" s="1499">
        <v>4.5600667813303435</v>
      </c>
      <c r="E167" s="1499">
        <v>4.1283985001034624</v>
      </c>
      <c r="F167" s="1499">
        <v>2.7037367450244401</v>
      </c>
      <c r="G167" s="1499">
        <v>2.5951609332941441</v>
      </c>
      <c r="H167" s="1499">
        <v>3.0904655667623331</v>
      </c>
      <c r="I167" s="1499">
        <v>3.5623775655627767</v>
      </c>
      <c r="J167" s="1499">
        <v>3.2225174986665164</v>
      </c>
      <c r="K167" s="113">
        <v>2.2802291855119297</v>
      </c>
    </row>
    <row r="168" spans="2:11" x14ac:dyDescent="0.3">
      <c r="B168" s="115"/>
      <c r="C168" s="112" t="s">
        <v>1508</v>
      </c>
      <c r="D168" s="1499">
        <v>4.5589783782287325</v>
      </c>
      <c r="E168" s="1499">
        <v>4.1273100970018506</v>
      </c>
      <c r="F168" s="1499">
        <v>2.7026483419228282</v>
      </c>
      <c r="G168" s="1499">
        <v>2.5940725301925323</v>
      </c>
      <c r="H168" s="1499">
        <v>3.0893771636607212</v>
      </c>
      <c r="I168" s="1499">
        <v>3.5612891624611649</v>
      </c>
      <c r="J168" s="1499">
        <v>3.221429095564905</v>
      </c>
      <c r="K168" s="113">
        <v>2.2791407824103183</v>
      </c>
    </row>
    <row r="169" spans="2:11" x14ac:dyDescent="0.3">
      <c r="B169" s="115"/>
      <c r="C169" s="112" t="s">
        <v>1513</v>
      </c>
      <c r="D169" s="1499">
        <v>4.5573457735763148</v>
      </c>
      <c r="E169" s="1499">
        <v>4.1256774923494337</v>
      </c>
      <c r="F169" s="1499">
        <v>2.7010157372704109</v>
      </c>
      <c r="G169" s="1499">
        <v>2.5924399255401145</v>
      </c>
      <c r="H169" s="1499">
        <v>3.0877445590083035</v>
      </c>
      <c r="I169" s="1499">
        <v>3.5596565578087471</v>
      </c>
      <c r="J169" s="1499">
        <v>3.2197964909124872</v>
      </c>
      <c r="K169" s="113">
        <v>2.2775081777579005</v>
      </c>
    </row>
    <row r="170" spans="2:11" x14ac:dyDescent="0.3">
      <c r="B170" s="115"/>
      <c r="C170" s="112" t="s">
        <v>1517</v>
      </c>
      <c r="D170" s="1499">
        <v>4.555713168923897</v>
      </c>
      <c r="E170" s="1499">
        <v>4.1240448876970159</v>
      </c>
      <c r="F170" s="1499">
        <v>2.6993831326179931</v>
      </c>
      <c r="G170" s="1499">
        <v>2.5908073208876972</v>
      </c>
      <c r="H170" s="1499">
        <v>3.0861119543558861</v>
      </c>
      <c r="I170" s="1499">
        <v>3.5580239531563298</v>
      </c>
      <c r="J170" s="1499">
        <v>3.2181638862600694</v>
      </c>
      <c r="K170" s="113">
        <v>2.2758755731054827</v>
      </c>
    </row>
    <row r="171" spans="2:11" ht="14.5" thickBot="1" x14ac:dyDescent="0.35">
      <c r="B171" s="1233"/>
      <c r="C171" s="116" t="s">
        <v>1519</v>
      </c>
      <c r="D171" s="117">
        <v>4.5619660902275552</v>
      </c>
      <c r="E171" s="117">
        <v>4.1303520645930289</v>
      </c>
      <c r="F171" s="117">
        <v>2.7057626976099876</v>
      </c>
      <c r="G171" s="117">
        <v>2.5971171210223418</v>
      </c>
      <c r="H171" s="117">
        <v>3.0923708138347696</v>
      </c>
      <c r="I171" s="117">
        <v>3.564328992200025</v>
      </c>
      <c r="J171" s="117">
        <v>3.2244498066187908</v>
      </c>
      <c r="K171" s="118">
        <v>2.2822926058986948</v>
      </c>
    </row>
    <row r="173" spans="2:11" ht="14.5" thickBot="1" x14ac:dyDescent="0.35"/>
    <row r="174" spans="2:11" ht="25.5" thickBot="1" x14ac:dyDescent="0.55000000000000004">
      <c r="B174" s="88" t="s">
        <v>1960</v>
      </c>
      <c r="C174" s="89"/>
      <c r="D174" s="90">
        <v>8</v>
      </c>
      <c r="E174" s="91" t="s">
        <v>1991</v>
      </c>
      <c r="F174" s="92"/>
      <c r="G174" s="92"/>
      <c r="H174" s="92"/>
      <c r="I174" s="93"/>
      <c r="J174" s="89" t="s">
        <v>176</v>
      </c>
      <c r="K174" s="94" t="s">
        <v>241</v>
      </c>
    </row>
    <row r="175" spans="2:11" ht="14.5" thickBot="1" x14ac:dyDescent="0.35">
      <c r="B175" s="95" t="s">
        <v>1962</v>
      </c>
      <c r="C175" s="96" t="s">
        <v>1963</v>
      </c>
      <c r="D175" s="95" t="s">
        <v>1964</v>
      </c>
      <c r="E175" s="97" t="s">
        <v>1965</v>
      </c>
      <c r="F175" s="97" t="s">
        <v>1966</v>
      </c>
      <c r="G175" s="97" t="s">
        <v>1967</v>
      </c>
      <c r="H175" s="97" t="s">
        <v>1968</v>
      </c>
      <c r="I175" s="97" t="s">
        <v>1969</v>
      </c>
      <c r="J175" s="97" t="s">
        <v>1970</v>
      </c>
      <c r="K175" s="98" t="s">
        <v>1971</v>
      </c>
    </row>
    <row r="176" spans="2:11" ht="14.5" thickBot="1" x14ac:dyDescent="0.35">
      <c r="B176" s="99"/>
      <c r="C176" s="99"/>
      <c r="D176" s="100"/>
      <c r="E176" s="944"/>
      <c r="F176" s="944"/>
      <c r="G176" s="944"/>
      <c r="H176" s="944"/>
      <c r="I176" s="944"/>
      <c r="J176" s="944"/>
      <c r="K176" s="102"/>
    </row>
    <row r="177" spans="2:11" ht="86.5" thickBot="1" x14ac:dyDescent="0.45">
      <c r="B177" s="103" t="s">
        <v>1972</v>
      </c>
      <c r="C177" s="103" t="s">
        <v>1973</v>
      </c>
      <c r="D177" s="105" t="s">
        <v>1974</v>
      </c>
      <c r="E177" s="105" t="s">
        <v>1525</v>
      </c>
      <c r="F177" s="105" t="s">
        <v>1527</v>
      </c>
      <c r="G177" s="105" t="s">
        <v>1975</v>
      </c>
      <c r="H177" s="105" t="s">
        <v>1976</v>
      </c>
      <c r="I177" s="105" t="s">
        <v>1445</v>
      </c>
      <c r="J177" s="105" t="s">
        <v>1538</v>
      </c>
      <c r="K177" s="106" t="s">
        <v>1541</v>
      </c>
    </row>
    <row r="178" spans="2:11" x14ac:dyDescent="0.3">
      <c r="B178" s="120" t="s">
        <v>1992</v>
      </c>
      <c r="C178" s="108" t="s">
        <v>1416</v>
      </c>
      <c r="D178" s="109">
        <v>12.616660909938854</v>
      </c>
      <c r="E178" s="109">
        <v>12.309934795203022</v>
      </c>
      <c r="F178" s="109">
        <v>10.90787787063833</v>
      </c>
      <c r="G178" s="109">
        <v>10.83546952017835</v>
      </c>
      <c r="H178" s="109">
        <v>11.27563200476609</v>
      </c>
      <c r="I178" s="109">
        <v>11.784253018258813</v>
      </c>
      <c r="J178" s="109">
        <v>11.45338312400815</v>
      </c>
      <c r="K178" s="110">
        <v>10.527784814136668</v>
      </c>
    </row>
    <row r="179" spans="2:11" x14ac:dyDescent="0.3">
      <c r="B179" s="128"/>
      <c r="C179" s="112" t="s">
        <v>1483</v>
      </c>
      <c r="D179" s="1499">
        <v>12.624871438203163</v>
      </c>
      <c r="E179" s="1499">
        <v>12.318028910478111</v>
      </c>
      <c r="F179" s="1499">
        <v>10.916944579022314</v>
      </c>
      <c r="G179" s="1499">
        <v>10.844318184827321</v>
      </c>
      <c r="H179" s="1499">
        <v>11.284209685282711</v>
      </c>
      <c r="I179" s="1499">
        <v>11.792636943333143</v>
      </c>
      <c r="J179" s="1499">
        <v>11.461934788268339</v>
      </c>
      <c r="K179" s="113">
        <v>10.536795737858276</v>
      </c>
    </row>
    <row r="180" spans="2:11" x14ac:dyDescent="0.3">
      <c r="B180" s="128"/>
      <c r="C180" s="112" t="s">
        <v>1489</v>
      </c>
      <c r="D180" s="1499">
        <v>12.623566598703771</v>
      </c>
      <c r="E180" s="1499">
        <v>12.31672407097872</v>
      </c>
      <c r="F180" s="1499">
        <v>10.915639739522923</v>
      </c>
      <c r="G180" s="1499">
        <v>10.843013345327931</v>
      </c>
      <c r="H180" s="1499">
        <v>11.282904845783321</v>
      </c>
      <c r="I180" s="1499">
        <v>11.791332103833753</v>
      </c>
      <c r="J180" s="1499">
        <v>11.460629948768947</v>
      </c>
      <c r="K180" s="113">
        <v>10.535490898358884</v>
      </c>
    </row>
    <row r="181" spans="2:11" x14ac:dyDescent="0.3">
      <c r="B181" s="122">
        <v>0</v>
      </c>
      <c r="C181" s="112" t="s">
        <v>1496</v>
      </c>
      <c r="D181" s="1499">
        <v>12.621609339454684</v>
      </c>
      <c r="E181" s="1499">
        <v>12.314766811729633</v>
      </c>
      <c r="F181" s="1499">
        <v>10.913682480273835</v>
      </c>
      <c r="G181" s="1499">
        <v>10.841056086078844</v>
      </c>
      <c r="H181" s="1499">
        <v>11.280947586534234</v>
      </c>
      <c r="I181" s="1499">
        <v>11.789374844584666</v>
      </c>
      <c r="J181" s="1499">
        <v>11.45867268951986</v>
      </c>
      <c r="K181" s="113">
        <v>10.533533639109798</v>
      </c>
    </row>
    <row r="182" spans="2:11" x14ac:dyDescent="0.3">
      <c r="B182" s="123"/>
      <c r="C182" s="112" t="s">
        <v>1500</v>
      </c>
      <c r="D182" s="1499">
        <v>12.619652080205599</v>
      </c>
      <c r="E182" s="1499">
        <v>12.312809552480548</v>
      </c>
      <c r="F182" s="1499">
        <v>10.911725221024749</v>
      </c>
      <c r="G182" s="1499">
        <v>10.839098826829757</v>
      </c>
      <c r="H182" s="1499">
        <v>11.278990327285149</v>
      </c>
      <c r="I182" s="1499">
        <v>11.78741758533558</v>
      </c>
      <c r="J182" s="1499">
        <v>11.456715430270775</v>
      </c>
      <c r="K182" s="113">
        <v>10.531576379860709</v>
      </c>
    </row>
    <row r="183" spans="2:11" x14ac:dyDescent="0.3">
      <c r="B183" s="123"/>
      <c r="C183" s="112" t="s">
        <v>1504</v>
      </c>
      <c r="D183" s="1499">
        <v>12.622757412198906</v>
      </c>
      <c r="E183" s="1499">
        <v>12.316497607287868</v>
      </c>
      <c r="F183" s="1499">
        <v>10.914806678647299</v>
      </c>
      <c r="G183" s="1499">
        <v>10.842608775178356</v>
      </c>
      <c r="H183" s="1499">
        <v>11.282527396037324</v>
      </c>
      <c r="I183" s="1499">
        <v>11.791038013208951</v>
      </c>
      <c r="J183" s="1499">
        <v>11.460280023219243</v>
      </c>
      <c r="K183" s="113">
        <v>10.535046920616859</v>
      </c>
    </row>
    <row r="184" spans="2:11" x14ac:dyDescent="0.3">
      <c r="B184" s="123"/>
      <c r="C184" s="112" t="s">
        <v>1508</v>
      </c>
      <c r="D184" s="1499">
        <v>12.621669009097294</v>
      </c>
      <c r="E184" s="1499">
        <v>12.315409204186258</v>
      </c>
      <c r="F184" s="1499">
        <v>10.913718275545687</v>
      </c>
      <c r="G184" s="1499">
        <v>10.841520372076744</v>
      </c>
      <c r="H184" s="1499">
        <v>11.281438992935712</v>
      </c>
      <c r="I184" s="1499">
        <v>11.789949610107339</v>
      </c>
      <c r="J184" s="1499">
        <v>11.459191620117631</v>
      </c>
      <c r="K184" s="113">
        <v>10.533958517515247</v>
      </c>
    </row>
    <row r="185" spans="2:11" x14ac:dyDescent="0.3">
      <c r="B185" s="123"/>
      <c r="C185" s="112" t="s">
        <v>1513</v>
      </c>
      <c r="D185" s="1499">
        <v>12.620036404444877</v>
      </c>
      <c r="E185" s="1499">
        <v>12.31377659953384</v>
      </c>
      <c r="F185" s="1499">
        <v>10.912085670893271</v>
      </c>
      <c r="G185" s="1499">
        <v>10.839887767424326</v>
      </c>
      <c r="H185" s="1499">
        <v>11.279806388283294</v>
      </c>
      <c r="I185" s="1499">
        <v>11.788317005454921</v>
      </c>
      <c r="J185" s="1499">
        <v>11.457559015465215</v>
      </c>
      <c r="K185" s="113">
        <v>10.532325912862829</v>
      </c>
    </row>
    <row r="186" spans="2:11" x14ac:dyDescent="0.3">
      <c r="B186" s="123"/>
      <c r="C186" s="112" t="s">
        <v>1517</v>
      </c>
      <c r="D186" s="1499">
        <v>12.618403799792459</v>
      </c>
      <c r="E186" s="1499">
        <v>12.312143994881422</v>
      </c>
      <c r="F186" s="1499">
        <v>10.910453066240853</v>
      </c>
      <c r="G186" s="1499">
        <v>10.838255162771908</v>
      </c>
      <c r="H186" s="1499">
        <v>11.278173783630876</v>
      </c>
      <c r="I186" s="1499">
        <v>11.786684400802503</v>
      </c>
      <c r="J186" s="1499">
        <v>11.455926410812797</v>
      </c>
      <c r="K186" s="113">
        <v>10.530693308210411</v>
      </c>
    </row>
    <row r="187" spans="2:11" ht="14.5" thickBot="1" x14ac:dyDescent="0.35">
      <c r="B187" s="124"/>
      <c r="C187" s="116" t="s">
        <v>1519</v>
      </c>
      <c r="D187" s="117">
        <v>12.624871438203163</v>
      </c>
      <c r="E187" s="117">
        <v>12.318028910478111</v>
      </c>
      <c r="F187" s="117">
        <v>10.916944579022314</v>
      </c>
      <c r="G187" s="117">
        <v>10.844318184827321</v>
      </c>
      <c r="H187" s="117">
        <v>11.284209685282711</v>
      </c>
      <c r="I187" s="117">
        <v>11.792636943333143</v>
      </c>
      <c r="J187" s="117">
        <v>11.461934788268339</v>
      </c>
      <c r="K187" s="118">
        <v>10.536795737858276</v>
      </c>
    </row>
    <row r="188" spans="2:11" x14ac:dyDescent="0.3">
      <c r="B188" s="120" t="s">
        <v>1993</v>
      </c>
      <c r="C188" s="1234" t="s">
        <v>1416</v>
      </c>
      <c r="D188" s="109">
        <v>7.0668690930091964</v>
      </c>
      <c r="E188" s="109">
        <v>6.7940741447836963</v>
      </c>
      <c r="F188" s="109">
        <v>5.228881076774198</v>
      </c>
      <c r="G188" s="109">
        <v>5.1866740462376484</v>
      </c>
      <c r="H188" s="109">
        <v>5.6084030469169353</v>
      </c>
      <c r="I188" s="109">
        <v>6.2288647937717894</v>
      </c>
      <c r="J188" s="109">
        <v>5.8637306253338455</v>
      </c>
      <c r="K188" s="110">
        <v>4.8517480751957649</v>
      </c>
    </row>
    <row r="189" spans="2:11" x14ac:dyDescent="0.3">
      <c r="B189" s="121"/>
      <c r="C189" s="1500" t="s">
        <v>1483</v>
      </c>
      <c r="D189" s="1499">
        <v>7.0792058769509731</v>
      </c>
      <c r="E189" s="1499">
        <v>6.8058932358453408</v>
      </c>
      <c r="F189" s="1499">
        <v>5.2417158847301213</v>
      </c>
      <c r="G189" s="1499">
        <v>5.1993214944046446</v>
      </c>
      <c r="H189" s="1499">
        <v>5.6206981251591595</v>
      </c>
      <c r="I189" s="1499">
        <v>6.2410267294441351</v>
      </c>
      <c r="J189" s="1499">
        <v>5.8760827723430493</v>
      </c>
      <c r="K189" s="113">
        <v>4.8645777944907307</v>
      </c>
    </row>
    <row r="190" spans="2:11" x14ac:dyDescent="0.3">
      <c r="B190" s="128"/>
      <c r="C190" s="1500" t="s">
        <v>1489</v>
      </c>
      <c r="D190" s="1499">
        <v>7.0779010374515821</v>
      </c>
      <c r="E190" s="1499">
        <v>6.8045883963459497</v>
      </c>
      <c r="F190" s="1499">
        <v>5.2404110452307302</v>
      </c>
      <c r="G190" s="1499">
        <v>5.1980166549052544</v>
      </c>
      <c r="H190" s="1499">
        <v>5.6193932856597693</v>
      </c>
      <c r="I190" s="1499">
        <v>6.239721889944744</v>
      </c>
      <c r="J190" s="1499">
        <v>5.8747779328436582</v>
      </c>
      <c r="K190" s="113">
        <v>4.8632729549913396</v>
      </c>
    </row>
    <row r="191" spans="2:11" x14ac:dyDescent="0.3">
      <c r="B191" s="122">
        <v>0</v>
      </c>
      <c r="C191" s="1500" t="s">
        <v>1496</v>
      </c>
      <c r="D191" s="1499">
        <v>7.0759437782024959</v>
      </c>
      <c r="E191" s="1499">
        <v>6.8026311370968635</v>
      </c>
      <c r="F191" s="1499">
        <v>5.2384537859816431</v>
      </c>
      <c r="G191" s="1499">
        <v>5.1960593956561674</v>
      </c>
      <c r="H191" s="1499">
        <v>5.6174360264106831</v>
      </c>
      <c r="I191" s="1499">
        <v>6.2377646306956578</v>
      </c>
      <c r="J191" s="1499">
        <v>5.872820673594572</v>
      </c>
      <c r="K191" s="113">
        <v>4.8613156957422525</v>
      </c>
    </row>
    <row r="192" spans="2:11" x14ac:dyDescent="0.3">
      <c r="B192" s="123"/>
      <c r="C192" s="1500" t="s">
        <v>1500</v>
      </c>
      <c r="D192" s="1499">
        <v>7.0739865189534079</v>
      </c>
      <c r="E192" s="1499">
        <v>6.8006738778477764</v>
      </c>
      <c r="F192" s="1499">
        <v>5.2364965267325569</v>
      </c>
      <c r="G192" s="1499">
        <v>5.1941021364070803</v>
      </c>
      <c r="H192" s="1499">
        <v>5.6154787671615951</v>
      </c>
      <c r="I192" s="1499">
        <v>6.2358073714465698</v>
      </c>
      <c r="J192" s="1499">
        <v>5.8708634143454841</v>
      </c>
      <c r="K192" s="113">
        <v>4.8593584364931663</v>
      </c>
    </row>
    <row r="193" spans="2:11" x14ac:dyDescent="0.3">
      <c r="B193" s="123"/>
      <c r="C193" s="1500" t="s">
        <v>1504</v>
      </c>
      <c r="D193" s="1499">
        <v>7.0767857414573312</v>
      </c>
      <c r="E193" s="1499">
        <v>6.803507595617055</v>
      </c>
      <c r="F193" s="1499">
        <v>5.2392445538915959</v>
      </c>
      <c r="G193" s="1499">
        <v>5.1968254873718935</v>
      </c>
      <c r="H193" s="1499">
        <v>5.6182379936898501</v>
      </c>
      <c r="I193" s="1499">
        <v>6.2385595837770511</v>
      </c>
      <c r="J193" s="1499">
        <v>5.8735796579899091</v>
      </c>
      <c r="K193" s="113">
        <v>4.8620813570493455</v>
      </c>
    </row>
    <row r="194" spans="2:11" x14ac:dyDescent="0.3">
      <c r="B194" s="123"/>
      <c r="C194" s="1500" t="s">
        <v>1508</v>
      </c>
      <c r="D194" s="1499">
        <v>7.0756973383557193</v>
      </c>
      <c r="E194" s="1499">
        <v>6.8024191925154431</v>
      </c>
      <c r="F194" s="1499">
        <v>5.2381561507899841</v>
      </c>
      <c r="G194" s="1499">
        <v>5.1957370842702817</v>
      </c>
      <c r="H194" s="1499">
        <v>5.6171495905882383</v>
      </c>
      <c r="I194" s="1499">
        <v>6.2374711806754393</v>
      </c>
      <c r="J194" s="1499">
        <v>5.8724912548882973</v>
      </c>
      <c r="K194" s="113">
        <v>4.8609929539477337</v>
      </c>
    </row>
    <row r="195" spans="2:11" x14ac:dyDescent="0.3">
      <c r="B195" s="123"/>
      <c r="C195" s="1500" t="s">
        <v>1513</v>
      </c>
      <c r="D195" s="1499">
        <v>7.0740647337033016</v>
      </c>
      <c r="E195" s="1499">
        <v>6.8007865878630254</v>
      </c>
      <c r="F195" s="1499">
        <v>5.2365235461375663</v>
      </c>
      <c r="G195" s="1499">
        <v>5.1941044796178639</v>
      </c>
      <c r="H195" s="1499">
        <v>5.6155169859358205</v>
      </c>
      <c r="I195" s="1499">
        <v>6.2358385760230224</v>
      </c>
      <c r="J195" s="1499">
        <v>5.8708586502358795</v>
      </c>
      <c r="K195" s="113">
        <v>4.8593603492953159</v>
      </c>
    </row>
    <row r="196" spans="2:11" x14ac:dyDescent="0.3">
      <c r="B196" s="123"/>
      <c r="C196" s="1500" t="s">
        <v>1517</v>
      </c>
      <c r="D196" s="1499">
        <v>7.0724321290508847</v>
      </c>
      <c r="E196" s="1499">
        <v>6.7991539832106085</v>
      </c>
      <c r="F196" s="1499">
        <v>5.2348909414851486</v>
      </c>
      <c r="G196" s="1499">
        <v>5.1924718749654462</v>
      </c>
      <c r="H196" s="1499">
        <v>5.6138843812834027</v>
      </c>
      <c r="I196" s="1499">
        <v>6.2342059713706046</v>
      </c>
      <c r="J196" s="1499">
        <v>5.8692260455834617</v>
      </c>
      <c r="K196" s="113">
        <v>4.8577277446428981</v>
      </c>
    </row>
    <row r="197" spans="2:11" ht="14.5" thickBot="1" x14ac:dyDescent="0.35">
      <c r="B197" s="124"/>
      <c r="C197" s="125" t="s">
        <v>1519</v>
      </c>
      <c r="D197" s="117">
        <v>7.0792058769509731</v>
      </c>
      <c r="E197" s="117">
        <v>6.8058932358453408</v>
      </c>
      <c r="F197" s="117">
        <v>5.2417158847301213</v>
      </c>
      <c r="G197" s="117">
        <v>5.1993214944046446</v>
      </c>
      <c r="H197" s="117">
        <v>5.6206981251591595</v>
      </c>
      <c r="I197" s="117">
        <v>6.2410267294441351</v>
      </c>
      <c r="J197" s="117">
        <v>5.8760827723430493</v>
      </c>
      <c r="K197" s="118">
        <v>4.8645777944907307</v>
      </c>
    </row>
    <row r="198" spans="2:11" x14ac:dyDescent="0.3">
      <c r="B198" s="119" t="s">
        <v>1994</v>
      </c>
      <c r="C198" s="108" t="s">
        <v>1416</v>
      </c>
      <c r="D198" s="109">
        <v>13.66793258035311</v>
      </c>
      <c r="E198" s="109">
        <v>13.609221145852425</v>
      </c>
      <c r="F198" s="109">
        <v>12.011616459486515</v>
      </c>
      <c r="G198" s="109">
        <v>12.019575063319866</v>
      </c>
      <c r="H198" s="109">
        <v>12.335053648928962</v>
      </c>
      <c r="I198" s="109">
        <v>13.069599982085808</v>
      </c>
      <c r="J198" s="109">
        <v>12.701925259049865</v>
      </c>
      <c r="K198" s="110">
        <v>11.686686386405201</v>
      </c>
    </row>
    <row r="199" spans="2:11" x14ac:dyDescent="0.3">
      <c r="B199" s="111"/>
      <c r="C199" s="112" t="s">
        <v>1483</v>
      </c>
      <c r="D199" s="1499">
        <v>13.676209804564667</v>
      </c>
      <c r="E199" s="1499">
        <v>13.617485724008944</v>
      </c>
      <c r="F199" s="1499">
        <v>12.021002696681188</v>
      </c>
      <c r="G199" s="1499">
        <v>12.02871344438147</v>
      </c>
      <c r="H199" s="1499">
        <v>12.343890821525413</v>
      </c>
      <c r="I199" s="1499">
        <v>13.078189207739461</v>
      </c>
      <c r="J199" s="1499">
        <v>12.710699022853797</v>
      </c>
      <c r="K199" s="113">
        <v>11.696010559706965</v>
      </c>
    </row>
    <row r="200" spans="2:11" x14ac:dyDescent="0.3">
      <c r="B200" s="111"/>
      <c r="C200" s="112" t="s">
        <v>1489</v>
      </c>
      <c r="D200" s="1499">
        <v>13.674904965065277</v>
      </c>
      <c r="E200" s="1499">
        <v>13.616180884509554</v>
      </c>
      <c r="F200" s="1499">
        <v>12.019697857181797</v>
      </c>
      <c r="G200" s="1499">
        <v>12.02740860488208</v>
      </c>
      <c r="H200" s="1499">
        <v>12.342585982026023</v>
      </c>
      <c r="I200" s="1499">
        <v>13.076884368240071</v>
      </c>
      <c r="J200" s="1499">
        <v>12.709394183354407</v>
      </c>
      <c r="K200" s="113">
        <v>11.694705720207573</v>
      </c>
    </row>
    <row r="201" spans="2:11" x14ac:dyDescent="0.3">
      <c r="B201" s="114">
        <v>0</v>
      </c>
      <c r="C201" s="112" t="s">
        <v>1496</v>
      </c>
      <c r="D201" s="1499">
        <v>13.67294770581619</v>
      </c>
      <c r="E201" s="1499">
        <v>13.614223625260466</v>
      </c>
      <c r="F201" s="1499">
        <v>12.017740597932709</v>
      </c>
      <c r="G201" s="1499">
        <v>12.025451345632991</v>
      </c>
      <c r="H201" s="1499">
        <v>12.340628722776934</v>
      </c>
      <c r="I201" s="1499">
        <v>13.074927108990982</v>
      </c>
      <c r="J201" s="1499">
        <v>12.70743692410532</v>
      </c>
      <c r="K201" s="113">
        <v>11.692748460958486</v>
      </c>
    </row>
    <row r="202" spans="2:11" x14ac:dyDescent="0.3">
      <c r="B202" s="115"/>
      <c r="C202" s="112" t="s">
        <v>1500</v>
      </c>
      <c r="D202" s="1499">
        <v>13.670990446567105</v>
      </c>
      <c r="E202" s="1499">
        <v>13.612266366011381</v>
      </c>
      <c r="F202" s="1499">
        <v>12.015783338683624</v>
      </c>
      <c r="G202" s="1499">
        <v>12.023494086383906</v>
      </c>
      <c r="H202" s="1499">
        <v>12.338671463527849</v>
      </c>
      <c r="I202" s="1499">
        <v>13.072969849741897</v>
      </c>
      <c r="J202" s="1499">
        <v>12.705479664856234</v>
      </c>
      <c r="K202" s="113">
        <v>11.6907912017094</v>
      </c>
    </row>
    <row r="203" spans="2:11" x14ac:dyDescent="0.3">
      <c r="B203" s="115"/>
      <c r="C203" s="112" t="s">
        <v>1504</v>
      </c>
      <c r="D203" s="1499">
        <v>13.673949247529642</v>
      </c>
      <c r="E203" s="1499">
        <v>13.616059578560236</v>
      </c>
      <c r="F203" s="1499">
        <v>12.018722124195206</v>
      </c>
      <c r="G203" s="1499">
        <v>12.027067038419226</v>
      </c>
      <c r="H203" s="1499">
        <v>12.342266486709713</v>
      </c>
      <c r="I203" s="1499">
        <v>13.076683708441388</v>
      </c>
      <c r="J203" s="1499">
        <v>12.709130167754013</v>
      </c>
      <c r="K203" s="113">
        <v>11.694315987766995</v>
      </c>
    </row>
    <row r="204" spans="2:11" x14ac:dyDescent="0.3">
      <c r="B204" s="115"/>
      <c r="C204" s="112" t="s">
        <v>1508</v>
      </c>
      <c r="D204" s="1499">
        <v>13.67286084442803</v>
      </c>
      <c r="E204" s="1499">
        <v>13.614971175458626</v>
      </c>
      <c r="F204" s="1499">
        <v>12.017633721093594</v>
      </c>
      <c r="G204" s="1499">
        <v>12.025978635317614</v>
      </c>
      <c r="H204" s="1499">
        <v>12.341178083608101</v>
      </c>
      <c r="I204" s="1499">
        <v>13.075595305339776</v>
      </c>
      <c r="J204" s="1499">
        <v>12.708041764652402</v>
      </c>
      <c r="K204" s="113">
        <v>11.693227584665383</v>
      </c>
    </row>
    <row r="205" spans="2:11" x14ac:dyDescent="0.3">
      <c r="B205" s="115"/>
      <c r="C205" s="112" t="s">
        <v>1513</v>
      </c>
      <c r="D205" s="1499">
        <v>13.671228239775612</v>
      </c>
      <c r="E205" s="1499">
        <v>13.613338570806208</v>
      </c>
      <c r="F205" s="1499">
        <v>12.016001116441176</v>
      </c>
      <c r="G205" s="1499">
        <v>12.024346030665196</v>
      </c>
      <c r="H205" s="1499">
        <v>12.339545478955683</v>
      </c>
      <c r="I205" s="1499">
        <v>13.07396270068736</v>
      </c>
      <c r="J205" s="1499">
        <v>12.706409159999986</v>
      </c>
      <c r="K205" s="113">
        <v>11.691594980012965</v>
      </c>
    </row>
    <row r="206" spans="2:11" x14ac:dyDescent="0.3">
      <c r="B206" s="115"/>
      <c r="C206" s="112" t="s">
        <v>1517</v>
      </c>
      <c r="D206" s="1499">
        <v>13.669595635123194</v>
      </c>
      <c r="E206" s="1499">
        <v>13.61170596615379</v>
      </c>
      <c r="F206" s="1499">
        <v>12.014368511788758</v>
      </c>
      <c r="G206" s="1499">
        <v>12.022713426012778</v>
      </c>
      <c r="H206" s="1499">
        <v>12.337912874303266</v>
      </c>
      <c r="I206" s="1499">
        <v>13.072330096034943</v>
      </c>
      <c r="J206" s="1499">
        <v>12.704776555347568</v>
      </c>
      <c r="K206" s="113">
        <v>11.689962375360547</v>
      </c>
    </row>
    <row r="207" spans="2:11" ht="14.5" thickBot="1" x14ac:dyDescent="0.35">
      <c r="B207" s="1233"/>
      <c r="C207" s="116" t="s">
        <v>1519</v>
      </c>
      <c r="D207" s="117">
        <v>13.676209804564667</v>
      </c>
      <c r="E207" s="117">
        <v>13.617485724008944</v>
      </c>
      <c r="F207" s="117">
        <v>12.021002696681188</v>
      </c>
      <c r="G207" s="117">
        <v>12.02871344438147</v>
      </c>
      <c r="H207" s="117">
        <v>12.343890821525413</v>
      </c>
      <c r="I207" s="117">
        <v>13.078189207739461</v>
      </c>
      <c r="J207" s="117">
        <v>12.710699022853797</v>
      </c>
      <c r="K207" s="118">
        <v>11.696010559706965</v>
      </c>
    </row>
    <row r="208" spans="2:11" x14ac:dyDescent="0.3">
      <c r="B208" s="120" t="s">
        <v>1519</v>
      </c>
      <c r="C208" s="108" t="s">
        <v>1416</v>
      </c>
      <c r="D208" s="129">
        <v>6.1059150931326673</v>
      </c>
      <c r="E208" s="109">
        <v>5.6810281235760796</v>
      </c>
      <c r="F208" s="109">
        <v>4.2507520689174454</v>
      </c>
      <c r="G208" s="109">
        <v>4.1469191551035705</v>
      </c>
      <c r="H208" s="109">
        <v>4.6382039133200488</v>
      </c>
      <c r="I208" s="109">
        <v>5.1157282177757954</v>
      </c>
      <c r="J208" s="109">
        <v>4.7763582757919361</v>
      </c>
      <c r="K208" s="110">
        <v>3.8292453438650336</v>
      </c>
    </row>
    <row r="209" spans="2:11" x14ac:dyDescent="0.3">
      <c r="B209" s="111"/>
      <c r="C209" s="112" t="s">
        <v>1483</v>
      </c>
      <c r="D209" s="130">
        <v>6.1155177391477986</v>
      </c>
      <c r="E209" s="1499">
        <v>5.6900801268189527</v>
      </c>
      <c r="F209" s="1499">
        <v>4.2604399317647008</v>
      </c>
      <c r="G209" s="1499">
        <v>4.1565449031354111</v>
      </c>
      <c r="H209" s="1499">
        <v>4.6476266545672296</v>
      </c>
      <c r="I209" s="1499">
        <v>5.1251087879624482</v>
      </c>
      <c r="J209" s="1499">
        <v>4.7858422880991842</v>
      </c>
      <c r="K209" s="113">
        <v>3.8390380904094563</v>
      </c>
    </row>
    <row r="210" spans="2:11" x14ac:dyDescent="0.3">
      <c r="B210" s="111"/>
      <c r="C210" s="112" t="s">
        <v>1489</v>
      </c>
      <c r="D210" s="130">
        <v>6.1142128996484066</v>
      </c>
      <c r="E210" s="1499">
        <v>5.6887752873195616</v>
      </c>
      <c r="F210" s="1499">
        <v>4.2591350922653097</v>
      </c>
      <c r="G210" s="1499">
        <v>4.1552400636360201</v>
      </c>
      <c r="H210" s="1499">
        <v>4.6463218150678385</v>
      </c>
      <c r="I210" s="1499">
        <v>5.1238039484630571</v>
      </c>
      <c r="J210" s="1499">
        <v>4.7845374485997931</v>
      </c>
      <c r="K210" s="113">
        <v>3.8377332509100652</v>
      </c>
    </row>
    <row r="211" spans="2:11" x14ac:dyDescent="0.3">
      <c r="B211" s="114">
        <v>0</v>
      </c>
      <c r="C211" s="112" t="s">
        <v>1496</v>
      </c>
      <c r="D211" s="130">
        <v>6.1122556403993205</v>
      </c>
      <c r="E211" s="1499">
        <v>5.6868180280704754</v>
      </c>
      <c r="F211" s="1499">
        <v>4.2571778330162227</v>
      </c>
      <c r="G211" s="1499">
        <v>4.153282804386933</v>
      </c>
      <c r="H211" s="1499">
        <v>4.6443645558187514</v>
      </c>
      <c r="I211" s="1499">
        <v>5.12184668921397</v>
      </c>
      <c r="J211" s="1499">
        <v>4.7825801893507061</v>
      </c>
      <c r="K211" s="113">
        <v>3.8357759916609782</v>
      </c>
    </row>
    <row r="212" spans="2:11" x14ac:dyDescent="0.3">
      <c r="B212" s="115"/>
      <c r="C212" s="112" t="s">
        <v>1500</v>
      </c>
      <c r="D212" s="130">
        <v>6.1102983811502343</v>
      </c>
      <c r="E212" s="1499">
        <v>5.6848607688213875</v>
      </c>
      <c r="F212" s="1499">
        <v>4.2552205737671365</v>
      </c>
      <c r="G212" s="1499">
        <v>4.1513255451378468</v>
      </c>
      <c r="H212" s="1499">
        <v>4.6424072965696652</v>
      </c>
      <c r="I212" s="1499">
        <v>5.1198894299648838</v>
      </c>
      <c r="J212" s="1499">
        <v>4.7806229301016199</v>
      </c>
      <c r="K212" s="113">
        <v>3.833818732411892</v>
      </c>
    </row>
    <row r="213" spans="2:11" x14ac:dyDescent="0.3">
      <c r="B213" s="115"/>
      <c r="C213" s="112" t="s">
        <v>1504</v>
      </c>
      <c r="D213" s="130">
        <v>6.113609164952349</v>
      </c>
      <c r="E213" s="1499">
        <v>5.6881445761671356</v>
      </c>
      <c r="F213" s="1499">
        <v>4.258525956911333</v>
      </c>
      <c r="G213" s="1499">
        <v>4.1546187456888779</v>
      </c>
      <c r="H213" s="1499">
        <v>4.6457257454002958</v>
      </c>
      <c r="I213" s="1499">
        <v>5.123155815833929</v>
      </c>
      <c r="J213" s="1499">
        <v>4.7839077008737254</v>
      </c>
      <c r="K213" s="113">
        <v>3.8370809066398213</v>
      </c>
    </row>
    <row r="214" spans="2:11" x14ac:dyDescent="0.3">
      <c r="B214" s="115"/>
      <c r="C214" s="112" t="s">
        <v>1508</v>
      </c>
      <c r="D214" s="130">
        <v>6.1125207618507371</v>
      </c>
      <c r="E214" s="1499">
        <v>5.6870561730655238</v>
      </c>
      <c r="F214" s="1499">
        <v>4.2574375538097211</v>
      </c>
      <c r="G214" s="1499">
        <v>4.1535303425872669</v>
      </c>
      <c r="H214" s="1499">
        <v>4.6446373422986849</v>
      </c>
      <c r="I214" s="1499">
        <v>5.1220674127323171</v>
      </c>
      <c r="J214" s="1499">
        <v>4.7828192977721136</v>
      </c>
      <c r="K214" s="113">
        <v>3.8359925035382099</v>
      </c>
    </row>
    <row r="215" spans="2:11" x14ac:dyDescent="0.3">
      <c r="B215" s="115"/>
      <c r="C215" s="112" t="s">
        <v>1513</v>
      </c>
      <c r="D215" s="130">
        <v>6.1108881571983202</v>
      </c>
      <c r="E215" s="1499">
        <v>5.685423568413106</v>
      </c>
      <c r="F215" s="1499">
        <v>4.2558049491573033</v>
      </c>
      <c r="G215" s="1499">
        <v>4.1518977379348492</v>
      </c>
      <c r="H215" s="1499">
        <v>4.6430047376462671</v>
      </c>
      <c r="I215" s="1499">
        <v>5.1204348080798994</v>
      </c>
      <c r="J215" s="1499">
        <v>4.7811866931196958</v>
      </c>
      <c r="K215" s="113">
        <v>3.8343598988857921</v>
      </c>
    </row>
    <row r="216" spans="2:11" x14ac:dyDescent="0.3">
      <c r="B216" s="115"/>
      <c r="C216" s="112" t="s">
        <v>1517</v>
      </c>
      <c r="D216" s="130">
        <v>6.1092555525459034</v>
      </c>
      <c r="E216" s="1499">
        <v>5.68379096376069</v>
      </c>
      <c r="F216" s="1499">
        <v>4.2541723445048856</v>
      </c>
      <c r="G216" s="1499">
        <v>4.1502651332824314</v>
      </c>
      <c r="H216" s="1499">
        <v>4.6413721329938493</v>
      </c>
      <c r="I216" s="1499">
        <v>5.1188022034274825</v>
      </c>
      <c r="J216" s="1499">
        <v>4.7795540884672789</v>
      </c>
      <c r="K216" s="113">
        <v>3.8327272942333748</v>
      </c>
    </row>
    <row r="217" spans="2:11" ht="14.5" thickBot="1" x14ac:dyDescent="0.35">
      <c r="B217" s="1233"/>
      <c r="C217" s="116" t="s">
        <v>1519</v>
      </c>
      <c r="D217" s="131">
        <v>6.1155177391477986</v>
      </c>
      <c r="E217" s="117">
        <v>5.6900801268189527</v>
      </c>
      <c r="F217" s="117">
        <v>4.2604399317647008</v>
      </c>
      <c r="G217" s="117">
        <v>4.1565449031354111</v>
      </c>
      <c r="H217" s="117">
        <v>4.6476266545672296</v>
      </c>
      <c r="I217" s="117">
        <v>5.1251087879624482</v>
      </c>
      <c r="J217" s="117">
        <v>4.7858422880991842</v>
      </c>
      <c r="K217" s="118">
        <v>3.8390380904094563</v>
      </c>
    </row>
    <row r="228" spans="2:2" x14ac:dyDescent="0.3">
      <c r="B228" s="2"/>
    </row>
    <row r="229" spans="2:2" x14ac:dyDescent="0.3">
      <c r="B229" s="136"/>
    </row>
    <row r="230" spans="2:2" x14ac:dyDescent="0.3">
      <c r="B230" s="136"/>
    </row>
    <row r="231" spans="2:2" x14ac:dyDescent="0.3">
      <c r="B231" s="137"/>
    </row>
    <row r="238" spans="2:2" x14ac:dyDescent="0.3">
      <c r="B238" s="2"/>
    </row>
    <row r="239" spans="2:2" x14ac:dyDescent="0.3">
      <c r="B239" s="136"/>
    </row>
    <row r="240" spans="2:2" x14ac:dyDescent="0.3">
      <c r="B240" s="136"/>
    </row>
    <row r="241" spans="2:2" x14ac:dyDescent="0.3">
      <c r="B241" s="137"/>
    </row>
  </sheetData>
  <sheetProtection algorithmName="SHA-512" hashValue="WA0f8yzMZZRYmFrN7ZQQSSmmP1mUxWUOf3pmHQTU5Tzqq1a2lc7w5Rfjge8PaGyJlDzN3usKNaZq6XWq3+Z8vA==" saltValue="vkpMGRDhpncS7+EyesC4BA==" spinCount="100000" sheet="1" objects="1" scenarios="1" autoFilter="0"/>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2"/>
  <dimension ref="B1:K241"/>
  <sheetViews>
    <sheetView topLeftCell="A2" workbookViewId="0">
      <selection activeCell="G9" sqref="G9"/>
    </sheetView>
  </sheetViews>
  <sheetFormatPr defaultColWidth="7.58203125" defaultRowHeight="14" x14ac:dyDescent="0.3"/>
  <cols>
    <col min="2" max="2" width="22.58203125" customWidth="1"/>
    <col min="3" max="3" width="26.08203125" customWidth="1"/>
  </cols>
  <sheetData>
    <row r="1" spans="2:11" ht="14.5" thickBot="1" x14ac:dyDescent="0.35"/>
    <row r="2" spans="2:11" ht="25.5" thickBot="1" x14ac:dyDescent="0.55000000000000004">
      <c r="B2" s="88" t="s">
        <v>1960</v>
      </c>
      <c r="C2" s="89"/>
      <c r="D2" s="90">
        <v>8</v>
      </c>
      <c r="E2" s="91" t="s">
        <v>1961</v>
      </c>
      <c r="F2" s="92"/>
      <c r="G2" s="92"/>
      <c r="H2" s="92"/>
      <c r="I2" s="93"/>
      <c r="J2" s="89" t="s">
        <v>176</v>
      </c>
      <c r="K2" s="94" t="s">
        <v>239</v>
      </c>
    </row>
    <row r="3" spans="2:11" ht="14.5" thickBot="1" x14ac:dyDescent="0.35">
      <c r="B3" s="95" t="s">
        <v>1962</v>
      </c>
      <c r="C3" s="96" t="s">
        <v>1963</v>
      </c>
      <c r="D3" s="95" t="s">
        <v>1964</v>
      </c>
      <c r="E3" s="97" t="s">
        <v>1965</v>
      </c>
      <c r="F3" s="97" t="s">
        <v>1966</v>
      </c>
      <c r="G3" s="97" t="s">
        <v>1967</v>
      </c>
      <c r="H3" s="97" t="s">
        <v>1968</v>
      </c>
      <c r="I3" s="97" t="s">
        <v>1969</v>
      </c>
      <c r="J3" s="97" t="s">
        <v>1970</v>
      </c>
      <c r="K3" s="98" t="s">
        <v>1971</v>
      </c>
    </row>
    <row r="4" spans="2:11" ht="18.5" thickBot="1" x14ac:dyDescent="0.45">
      <c r="B4" s="99" t="s">
        <v>34</v>
      </c>
      <c r="C4" s="100" t="s">
        <v>34</v>
      </c>
      <c r="D4" s="101" t="s">
        <v>34</v>
      </c>
      <c r="E4" s="944"/>
      <c r="F4" s="944"/>
      <c r="G4" s="944"/>
      <c r="H4" s="944"/>
      <c r="I4" s="944" t="s">
        <v>34</v>
      </c>
      <c r="J4" s="944" t="s">
        <v>34</v>
      </c>
      <c r="K4" s="102"/>
    </row>
    <row r="5" spans="2:11" ht="86.5" thickBot="1" x14ac:dyDescent="0.45">
      <c r="B5" s="138" t="s">
        <v>1972</v>
      </c>
      <c r="C5" s="104" t="s">
        <v>1973</v>
      </c>
      <c r="D5" s="105" t="s">
        <v>1974</v>
      </c>
      <c r="E5" s="105" t="s">
        <v>1525</v>
      </c>
      <c r="F5" s="105" t="s">
        <v>1527</v>
      </c>
      <c r="G5" s="105" t="s">
        <v>1975</v>
      </c>
      <c r="H5" s="105" t="s">
        <v>1976</v>
      </c>
      <c r="I5" s="105" t="s">
        <v>1445</v>
      </c>
      <c r="J5" s="105" t="s">
        <v>1538</v>
      </c>
      <c r="K5" s="106" t="s">
        <v>1541</v>
      </c>
    </row>
    <row r="6" spans="2:11" x14ac:dyDescent="0.3">
      <c r="B6" s="107" t="s">
        <v>1977</v>
      </c>
      <c r="C6" s="108" t="s">
        <v>1416</v>
      </c>
      <c r="D6" s="109">
        <v>16.456209202365308</v>
      </c>
      <c r="E6" s="109">
        <v>16.146687917843966</v>
      </c>
      <c r="F6" s="109">
        <v>14.795365384730731</v>
      </c>
      <c r="G6" s="109">
        <v>14.714605432922408</v>
      </c>
      <c r="H6" s="109">
        <v>15.139201875601008</v>
      </c>
      <c r="I6" s="109">
        <v>17.854919501587048</v>
      </c>
      <c r="J6" s="109">
        <v>17.03010605299874</v>
      </c>
      <c r="K6" s="110">
        <v>14.907219096292856</v>
      </c>
    </row>
    <row r="7" spans="2:11" x14ac:dyDescent="0.3">
      <c r="B7" s="111" t="s">
        <v>1978</v>
      </c>
      <c r="C7" s="112" t="s">
        <v>1483</v>
      </c>
      <c r="D7" s="1499">
        <v>16.460561120733576</v>
      </c>
      <c r="E7" s="1499">
        <v>16.153111375773118</v>
      </c>
      <c r="F7" s="1499">
        <v>14.801336068559076</v>
      </c>
      <c r="G7" s="1499">
        <v>14.721546407921988</v>
      </c>
      <c r="H7" s="1499">
        <v>15.145803469637102</v>
      </c>
      <c r="I7" s="1499">
        <v>17.860764799120577</v>
      </c>
      <c r="J7" s="1499">
        <v>17.036176328127947</v>
      </c>
      <c r="K7" s="113">
        <v>14.914093099313197</v>
      </c>
    </row>
    <row r="8" spans="2:11" x14ac:dyDescent="0.3">
      <c r="B8" s="111" t="s">
        <v>1979</v>
      </c>
      <c r="C8" s="112" t="s">
        <v>1489</v>
      </c>
      <c r="D8" s="1499">
        <v>16.459244605658188</v>
      </c>
      <c r="E8" s="1499">
        <v>16.151794860697731</v>
      </c>
      <c r="F8" s="1499">
        <v>14.800019553483686</v>
      </c>
      <c r="G8" s="1499">
        <v>14.7202298928466</v>
      </c>
      <c r="H8" s="1499">
        <v>15.144486954561712</v>
      </c>
      <c r="I8" s="1499">
        <v>17.859448284045186</v>
      </c>
      <c r="J8" s="1499">
        <v>17.034859813052559</v>
      </c>
      <c r="K8" s="113">
        <v>14.912776584237807</v>
      </c>
    </row>
    <row r="9" spans="2:11" x14ac:dyDescent="0.3">
      <c r="B9" s="114">
        <v>0</v>
      </c>
      <c r="C9" s="112" t="s">
        <v>1496</v>
      </c>
      <c r="D9" s="1499">
        <v>16.457269833045103</v>
      </c>
      <c r="E9" s="1499">
        <v>16.149820088084645</v>
      </c>
      <c r="F9" s="1499">
        <v>14.798044780870603</v>
      </c>
      <c r="G9" s="1499">
        <v>14.718255120233515</v>
      </c>
      <c r="H9" s="1499">
        <v>15.142512181948629</v>
      </c>
      <c r="I9" s="1499">
        <v>17.857473511432104</v>
      </c>
      <c r="J9" s="1499">
        <v>17.032885040439474</v>
      </c>
      <c r="K9" s="113">
        <v>14.910801811624724</v>
      </c>
    </row>
    <row r="10" spans="2:11" x14ac:dyDescent="0.3">
      <c r="B10" s="115"/>
      <c r="C10" s="112" t="s">
        <v>1500</v>
      </c>
      <c r="D10" s="1499">
        <v>16.455295060432022</v>
      </c>
      <c r="E10" s="1499">
        <v>16.147845315471564</v>
      </c>
      <c r="F10" s="1499">
        <v>14.796070008257521</v>
      </c>
      <c r="G10" s="1499">
        <v>14.716280347620433</v>
      </c>
      <c r="H10" s="1499">
        <v>15.140537409335547</v>
      </c>
      <c r="I10" s="1499">
        <v>17.855498738819023</v>
      </c>
      <c r="J10" s="1499">
        <v>17.030910267826393</v>
      </c>
      <c r="K10" s="113">
        <v>14.908827039011642</v>
      </c>
    </row>
    <row r="11" spans="2:11" x14ac:dyDescent="0.3">
      <c r="B11" s="115"/>
      <c r="C11" s="112" t="s">
        <v>1504</v>
      </c>
      <c r="D11" s="1499">
        <v>16.458725015283594</v>
      </c>
      <c r="E11" s="1499">
        <v>16.152706133847641</v>
      </c>
      <c r="F11" s="1499">
        <v>14.800548819622191</v>
      </c>
      <c r="G11" s="1499">
        <v>14.720874062438593</v>
      </c>
      <c r="H11" s="1499">
        <v>15.145362998871063</v>
      </c>
      <c r="I11" s="1499">
        <v>17.860676868695041</v>
      </c>
      <c r="J11" s="1499">
        <v>17.036015890414944</v>
      </c>
      <c r="K11" s="113">
        <v>14.913461708852465</v>
      </c>
    </row>
    <row r="12" spans="2:11" x14ac:dyDescent="0.3">
      <c r="B12" s="115"/>
      <c r="C12" s="112" t="s">
        <v>1508</v>
      </c>
      <c r="D12" s="1499">
        <v>16.457630254514935</v>
      </c>
      <c r="E12" s="1499">
        <v>16.151611373078985</v>
      </c>
      <c r="F12" s="1499">
        <v>14.799454058853534</v>
      </c>
      <c r="G12" s="1499">
        <v>14.719779301669936</v>
      </c>
      <c r="H12" s="1499">
        <v>15.144268238102404</v>
      </c>
      <c r="I12" s="1499">
        <v>17.859582107926386</v>
      </c>
      <c r="J12" s="1499">
        <v>17.034921129646289</v>
      </c>
      <c r="K12" s="113">
        <v>14.912366948083807</v>
      </c>
    </row>
    <row r="13" spans="2:11" x14ac:dyDescent="0.3">
      <c r="B13" s="115"/>
      <c r="C13" s="112" t="s">
        <v>1513</v>
      </c>
      <c r="D13" s="1499">
        <v>16.455988113361947</v>
      </c>
      <c r="E13" s="1499">
        <v>16.149969231925997</v>
      </c>
      <c r="F13" s="1499">
        <v>14.797811917700546</v>
      </c>
      <c r="G13" s="1499">
        <v>14.718137160516948</v>
      </c>
      <c r="H13" s="1499">
        <v>15.142626096949416</v>
      </c>
      <c r="I13" s="1499">
        <v>17.857939966773397</v>
      </c>
      <c r="J13" s="1499">
        <v>17.033278988493297</v>
      </c>
      <c r="K13" s="113">
        <v>14.910724806930819</v>
      </c>
    </row>
    <row r="14" spans="2:11" x14ac:dyDescent="0.3">
      <c r="B14" s="115"/>
      <c r="C14" s="112" t="s">
        <v>1517</v>
      </c>
      <c r="D14" s="1499">
        <v>16.454345972208959</v>
      </c>
      <c r="E14" s="1499">
        <v>16.148327090773005</v>
      </c>
      <c r="F14" s="1499">
        <v>14.796169776547558</v>
      </c>
      <c r="G14" s="1499">
        <v>14.716495019363959</v>
      </c>
      <c r="H14" s="1499">
        <v>15.140983955796427</v>
      </c>
      <c r="I14" s="1499">
        <v>17.856297825620409</v>
      </c>
      <c r="J14" s="1499">
        <v>17.031636847340309</v>
      </c>
      <c r="K14" s="113">
        <v>14.909082665777831</v>
      </c>
    </row>
    <row r="15" spans="2:11" ht="14.5" thickBot="1" x14ac:dyDescent="0.35">
      <c r="B15" s="1233"/>
      <c r="C15" s="116" t="s">
        <v>1519</v>
      </c>
      <c r="D15" s="117">
        <v>16.460561120733576</v>
      </c>
      <c r="E15" s="117">
        <v>16.153111375773118</v>
      </c>
      <c r="F15" s="117">
        <v>14.801336068559076</v>
      </c>
      <c r="G15" s="117">
        <v>14.721546407921988</v>
      </c>
      <c r="H15" s="117">
        <v>15.145803469637102</v>
      </c>
      <c r="I15" s="117">
        <v>17.860764799120577</v>
      </c>
      <c r="J15" s="117">
        <v>17.036176328127947</v>
      </c>
      <c r="K15" s="118">
        <v>14.914093099313197</v>
      </c>
    </row>
    <row r="16" spans="2:11" x14ac:dyDescent="0.3">
      <c r="B16" s="107" t="s">
        <v>1977</v>
      </c>
      <c r="C16" s="108" t="s">
        <v>1416</v>
      </c>
      <c r="D16" s="109">
        <v>15.164049581570884</v>
      </c>
      <c r="E16" s="109">
        <v>14.854528297049546</v>
      </c>
      <c r="F16" s="109">
        <v>13.503205763936309</v>
      </c>
      <c r="G16" s="109">
        <v>13.422445812127986</v>
      </c>
      <c r="H16" s="109">
        <v>13.847042254806587</v>
      </c>
      <c r="I16" s="109">
        <v>16.562759880792626</v>
      </c>
      <c r="J16" s="109">
        <v>15.737946432204319</v>
      </c>
      <c r="K16" s="110">
        <v>13.615059475498434</v>
      </c>
    </row>
    <row r="17" spans="2:11" x14ac:dyDescent="0.3">
      <c r="B17" s="111" t="s">
        <v>1978</v>
      </c>
      <c r="C17" s="112" t="s">
        <v>1483</v>
      </c>
      <c r="D17" s="1499">
        <v>15.168401499939154</v>
      </c>
      <c r="E17" s="1499">
        <v>14.860951754978696</v>
      </c>
      <c r="F17" s="1499">
        <v>13.509176447764654</v>
      </c>
      <c r="G17" s="1499">
        <v>13.429386787127566</v>
      </c>
      <c r="H17" s="1499">
        <v>13.85364384884268</v>
      </c>
      <c r="I17" s="1499">
        <v>16.568605178326155</v>
      </c>
      <c r="J17" s="1499">
        <v>15.744016707333525</v>
      </c>
      <c r="K17" s="113">
        <v>13.621933478518775</v>
      </c>
    </row>
    <row r="18" spans="2:11" x14ac:dyDescent="0.3">
      <c r="B18" s="111" t="s">
        <v>1980</v>
      </c>
      <c r="C18" s="112" t="s">
        <v>1489</v>
      </c>
      <c r="D18" s="1499">
        <v>15.167084984863765</v>
      </c>
      <c r="E18" s="1499">
        <v>14.859635239903307</v>
      </c>
      <c r="F18" s="1499">
        <v>13.507859932689264</v>
      </c>
      <c r="G18" s="1499">
        <v>13.428070272052178</v>
      </c>
      <c r="H18" s="1499">
        <v>13.852327333767292</v>
      </c>
      <c r="I18" s="1499">
        <v>16.567288663250764</v>
      </c>
      <c r="J18" s="1499">
        <v>15.742700192258138</v>
      </c>
      <c r="K18" s="113">
        <v>13.620616963443386</v>
      </c>
    </row>
    <row r="19" spans="2:11" x14ac:dyDescent="0.3">
      <c r="B19" s="114">
        <v>0</v>
      </c>
      <c r="C19" s="112" t="s">
        <v>1496</v>
      </c>
      <c r="D19" s="1499">
        <v>15.165110212250683</v>
      </c>
      <c r="E19" s="1499">
        <v>14.857660467290225</v>
      </c>
      <c r="F19" s="1499">
        <v>13.505885160076183</v>
      </c>
      <c r="G19" s="1499">
        <v>13.426095499439096</v>
      </c>
      <c r="H19" s="1499">
        <v>13.850352561154208</v>
      </c>
      <c r="I19" s="1499">
        <v>16.565313890637682</v>
      </c>
      <c r="J19" s="1499">
        <v>15.740725419645056</v>
      </c>
      <c r="K19" s="113">
        <v>13.618642190830304</v>
      </c>
    </row>
    <row r="20" spans="2:11" x14ac:dyDescent="0.3">
      <c r="B20" s="115"/>
      <c r="C20" s="112" t="s">
        <v>1500</v>
      </c>
      <c r="D20" s="1499">
        <v>15.1631354396376</v>
      </c>
      <c r="E20" s="1499">
        <v>14.855685694677142</v>
      </c>
      <c r="F20" s="1499">
        <v>13.503910387463099</v>
      </c>
      <c r="G20" s="1499">
        <v>13.424120726826011</v>
      </c>
      <c r="H20" s="1499">
        <v>13.848377788541125</v>
      </c>
      <c r="I20" s="1499">
        <v>16.563339118024601</v>
      </c>
      <c r="J20" s="1499">
        <v>15.738750647031971</v>
      </c>
      <c r="K20" s="113">
        <v>13.61666741821722</v>
      </c>
    </row>
    <row r="21" spans="2:11" x14ac:dyDescent="0.3">
      <c r="B21" s="115"/>
      <c r="C21" s="112" t="s">
        <v>1504</v>
      </c>
      <c r="D21" s="1499">
        <v>15.166565394489176</v>
      </c>
      <c r="E21" s="1499">
        <v>14.860546513053222</v>
      </c>
      <c r="F21" s="1499">
        <v>13.508389198827773</v>
      </c>
      <c r="G21" s="1499">
        <v>13.428714441644175</v>
      </c>
      <c r="H21" s="1499">
        <v>13.853203378076643</v>
      </c>
      <c r="I21" s="1499">
        <v>16.568517247900623</v>
      </c>
      <c r="J21" s="1499">
        <v>15.743856269620526</v>
      </c>
      <c r="K21" s="113">
        <v>13.621302088058046</v>
      </c>
    </row>
    <row r="22" spans="2:11" x14ac:dyDescent="0.3">
      <c r="B22" s="115"/>
      <c r="C22" s="112" t="s">
        <v>1508</v>
      </c>
      <c r="D22" s="1499">
        <v>15.165470633720515</v>
      </c>
      <c r="E22" s="1499">
        <v>14.859451752284562</v>
      </c>
      <c r="F22" s="1499">
        <v>13.507294438059112</v>
      </c>
      <c r="G22" s="1499">
        <v>13.427619680875514</v>
      </c>
      <c r="H22" s="1499">
        <v>13.852108617307984</v>
      </c>
      <c r="I22" s="1499">
        <v>16.567422487131964</v>
      </c>
      <c r="J22" s="1499">
        <v>15.742761508851865</v>
      </c>
      <c r="K22" s="113">
        <v>13.620207327289386</v>
      </c>
    </row>
    <row r="23" spans="2:11" x14ac:dyDescent="0.3">
      <c r="B23" s="115"/>
      <c r="C23" s="112" t="s">
        <v>1513</v>
      </c>
      <c r="D23" s="1499">
        <v>15.163828492567527</v>
      </c>
      <c r="E23" s="1499">
        <v>14.857809611131573</v>
      </c>
      <c r="F23" s="1499">
        <v>13.505652296906124</v>
      </c>
      <c r="G23" s="1499">
        <v>13.425977539722526</v>
      </c>
      <c r="H23" s="1499">
        <v>13.850466476154994</v>
      </c>
      <c r="I23" s="1499">
        <v>16.565780345978975</v>
      </c>
      <c r="J23" s="1499">
        <v>15.741119367698877</v>
      </c>
      <c r="K23" s="113">
        <v>13.618565186136397</v>
      </c>
    </row>
    <row r="24" spans="2:11" x14ac:dyDescent="0.3">
      <c r="B24" s="115"/>
      <c r="C24" s="112" t="s">
        <v>1517</v>
      </c>
      <c r="D24" s="1499">
        <v>15.162186351414539</v>
      </c>
      <c r="E24" s="1499">
        <v>14.856167469978585</v>
      </c>
      <c r="F24" s="1499">
        <v>13.504010155753136</v>
      </c>
      <c r="G24" s="1499">
        <v>13.424335398569538</v>
      </c>
      <c r="H24" s="1499">
        <v>13.848824335002005</v>
      </c>
      <c r="I24" s="1499">
        <v>16.564138204825987</v>
      </c>
      <c r="J24" s="1499">
        <v>15.739477226545889</v>
      </c>
      <c r="K24" s="113">
        <v>13.616923044983409</v>
      </c>
    </row>
    <row r="25" spans="2:11" ht="14.5" thickBot="1" x14ac:dyDescent="0.35">
      <c r="B25" s="1233"/>
      <c r="C25" s="116" t="s">
        <v>1519</v>
      </c>
      <c r="D25" s="117">
        <v>15.168401499939154</v>
      </c>
      <c r="E25" s="117">
        <v>14.860951754978696</v>
      </c>
      <c r="F25" s="117">
        <v>13.509176447764654</v>
      </c>
      <c r="G25" s="117">
        <v>13.429386787127566</v>
      </c>
      <c r="H25" s="117">
        <v>13.85364384884268</v>
      </c>
      <c r="I25" s="117">
        <v>16.568605178326155</v>
      </c>
      <c r="J25" s="117">
        <v>15.744016707333525</v>
      </c>
      <c r="K25" s="118">
        <v>13.621933478518775</v>
      </c>
    </row>
    <row r="26" spans="2:11" x14ac:dyDescent="0.3">
      <c r="B26" s="107" t="s">
        <v>1977</v>
      </c>
      <c r="C26" s="108" t="s">
        <v>1416</v>
      </c>
      <c r="D26" s="109">
        <v>13.225810150379253</v>
      </c>
      <c r="E26" s="109">
        <v>12.916288865857915</v>
      </c>
      <c r="F26" s="109">
        <v>11.564966332744678</v>
      </c>
      <c r="G26" s="109">
        <v>11.484206380936355</v>
      </c>
      <c r="H26" s="109">
        <v>11.908802823614955</v>
      </c>
      <c r="I26" s="109">
        <v>14.624520449600993</v>
      </c>
      <c r="J26" s="109">
        <v>13.799707001012688</v>
      </c>
      <c r="K26" s="110">
        <v>11.676820044306803</v>
      </c>
    </row>
    <row r="27" spans="2:11" x14ac:dyDescent="0.3">
      <c r="B27" s="111" t="s">
        <v>1978</v>
      </c>
      <c r="C27" s="112" t="s">
        <v>1483</v>
      </c>
      <c r="D27" s="1499">
        <v>13.230162068747523</v>
      </c>
      <c r="E27" s="1499">
        <v>12.922712323787064</v>
      </c>
      <c r="F27" s="1499">
        <v>11.570937016573023</v>
      </c>
      <c r="G27" s="1499">
        <v>11.491147355935935</v>
      </c>
      <c r="H27" s="1499">
        <v>11.915404417651049</v>
      </c>
      <c r="I27" s="1499">
        <v>14.630365747134523</v>
      </c>
      <c r="J27" s="1499">
        <v>13.805777276141894</v>
      </c>
      <c r="K27" s="113">
        <v>11.683694047327144</v>
      </c>
    </row>
    <row r="28" spans="2:11" x14ac:dyDescent="0.3">
      <c r="B28" s="111" t="s">
        <v>1981</v>
      </c>
      <c r="C28" s="112" t="s">
        <v>1489</v>
      </c>
      <c r="D28" s="1499">
        <v>13.228845553672134</v>
      </c>
      <c r="E28" s="1499">
        <v>12.921395808711676</v>
      </c>
      <c r="F28" s="1499">
        <v>11.569620501497633</v>
      </c>
      <c r="G28" s="1499">
        <v>11.489830840860547</v>
      </c>
      <c r="H28" s="1499">
        <v>11.914087902575659</v>
      </c>
      <c r="I28" s="1499">
        <v>14.629049232059135</v>
      </c>
      <c r="J28" s="1499">
        <v>13.804460761066506</v>
      </c>
      <c r="K28" s="113">
        <v>11.682377532251754</v>
      </c>
    </row>
    <row r="29" spans="2:11" x14ac:dyDescent="0.3">
      <c r="B29" s="114">
        <v>0</v>
      </c>
      <c r="C29" s="112" t="s">
        <v>1496</v>
      </c>
      <c r="D29" s="1499">
        <v>13.226870781059052</v>
      </c>
      <c r="E29" s="1499">
        <v>12.919421036098594</v>
      </c>
      <c r="F29" s="1499">
        <v>11.567645728884552</v>
      </c>
      <c r="G29" s="1499">
        <v>11.487856068247464</v>
      </c>
      <c r="H29" s="1499">
        <v>11.912113129962577</v>
      </c>
      <c r="I29" s="1499">
        <v>14.627074459446053</v>
      </c>
      <c r="J29" s="1499">
        <v>13.802485988453425</v>
      </c>
      <c r="K29" s="113">
        <v>11.680402759638673</v>
      </c>
    </row>
    <row r="30" spans="2:11" x14ac:dyDescent="0.3">
      <c r="B30" s="115"/>
      <c r="C30" s="112" t="s">
        <v>1500</v>
      </c>
      <c r="D30" s="1499">
        <v>13.224896008445969</v>
      </c>
      <c r="E30" s="1499">
        <v>12.917446263485509</v>
      </c>
      <c r="F30" s="1499">
        <v>11.565670956271468</v>
      </c>
      <c r="G30" s="1499">
        <v>11.48588129563438</v>
      </c>
      <c r="H30" s="1499">
        <v>11.910138357349494</v>
      </c>
      <c r="I30" s="1499">
        <v>14.625099686832968</v>
      </c>
      <c r="J30" s="1499">
        <v>13.80051121584034</v>
      </c>
      <c r="K30" s="113">
        <v>11.678427987025589</v>
      </c>
    </row>
    <row r="31" spans="2:11" x14ac:dyDescent="0.3">
      <c r="B31" s="115"/>
      <c r="C31" s="112" t="s">
        <v>1504</v>
      </c>
      <c r="D31" s="1499">
        <v>13.228325963297543</v>
      </c>
      <c r="E31" s="1499">
        <v>12.922307081861591</v>
      </c>
      <c r="F31" s="1499">
        <v>11.57014976763614</v>
      </c>
      <c r="G31" s="1499">
        <v>11.490475010452544</v>
      </c>
      <c r="H31" s="1499">
        <v>11.914963946885011</v>
      </c>
      <c r="I31" s="1499">
        <v>14.630277816708992</v>
      </c>
      <c r="J31" s="1499">
        <v>13.805616838428893</v>
      </c>
      <c r="K31" s="113">
        <v>11.683062656866415</v>
      </c>
    </row>
    <row r="32" spans="2:11" x14ac:dyDescent="0.3">
      <c r="B32" s="115"/>
      <c r="C32" s="112" t="s">
        <v>1508</v>
      </c>
      <c r="D32" s="1499">
        <v>13.227231202528884</v>
      </c>
      <c r="E32" s="1499">
        <v>12.921212321092931</v>
      </c>
      <c r="F32" s="1499">
        <v>11.569055006867481</v>
      </c>
      <c r="G32" s="1499">
        <v>11.489380249683883</v>
      </c>
      <c r="H32" s="1499">
        <v>11.913869186116351</v>
      </c>
      <c r="I32" s="1499">
        <v>14.629183055940331</v>
      </c>
      <c r="J32" s="1499">
        <v>13.804522077660234</v>
      </c>
      <c r="K32" s="113">
        <v>11.681967896097754</v>
      </c>
    </row>
    <row r="33" spans="2:11" x14ac:dyDescent="0.3">
      <c r="B33" s="115"/>
      <c r="C33" s="112" t="s">
        <v>1513</v>
      </c>
      <c r="D33" s="1499">
        <v>13.225589061375896</v>
      </c>
      <c r="E33" s="1499">
        <v>12.919570179939942</v>
      </c>
      <c r="F33" s="1499">
        <v>11.567412865714493</v>
      </c>
      <c r="G33" s="1499">
        <v>11.487738108530895</v>
      </c>
      <c r="H33" s="1499">
        <v>11.912227044963362</v>
      </c>
      <c r="I33" s="1499">
        <v>14.627540914787343</v>
      </c>
      <c r="J33" s="1499">
        <v>13.802879936507246</v>
      </c>
      <c r="K33" s="113">
        <v>11.680325754944766</v>
      </c>
    </row>
    <row r="34" spans="2:11" x14ac:dyDescent="0.3">
      <c r="B34" s="115"/>
      <c r="C34" s="112" t="s">
        <v>1517</v>
      </c>
      <c r="D34" s="1499">
        <v>13.223946920222907</v>
      </c>
      <c r="E34" s="1499">
        <v>12.917928038786954</v>
      </c>
      <c r="F34" s="1499">
        <v>11.565770724561505</v>
      </c>
      <c r="G34" s="1499">
        <v>11.486095967377906</v>
      </c>
      <c r="H34" s="1499">
        <v>11.910584903810374</v>
      </c>
      <c r="I34" s="1499">
        <v>14.625898773634354</v>
      </c>
      <c r="J34" s="1499">
        <v>13.801237795354258</v>
      </c>
      <c r="K34" s="113">
        <v>11.678683613791778</v>
      </c>
    </row>
    <row r="35" spans="2:11" ht="14.5" thickBot="1" x14ac:dyDescent="0.35">
      <c r="B35" s="1233"/>
      <c r="C35" s="116" t="s">
        <v>1519</v>
      </c>
      <c r="D35" s="117">
        <v>13.230162068747523</v>
      </c>
      <c r="E35" s="117">
        <v>12.922712323787064</v>
      </c>
      <c r="F35" s="117">
        <v>11.570937016573023</v>
      </c>
      <c r="G35" s="117">
        <v>11.491147355935935</v>
      </c>
      <c r="H35" s="117">
        <v>11.915404417651049</v>
      </c>
      <c r="I35" s="117">
        <v>14.630365747134523</v>
      </c>
      <c r="J35" s="117">
        <v>13.805777276141894</v>
      </c>
      <c r="K35" s="118">
        <v>11.683694047327144</v>
      </c>
    </row>
    <row r="36" spans="2:11" x14ac:dyDescent="0.3">
      <c r="B36" s="107" t="s">
        <v>1977</v>
      </c>
      <c r="C36" s="108" t="s">
        <v>1416</v>
      </c>
      <c r="D36" s="109">
        <v>11.287570719187622</v>
      </c>
      <c r="E36" s="109">
        <v>10.978049434666282</v>
      </c>
      <c r="F36" s="109">
        <v>9.626726901553047</v>
      </c>
      <c r="G36" s="109">
        <v>9.5459669497447237</v>
      </c>
      <c r="H36" s="109">
        <v>9.9705633924233226</v>
      </c>
      <c r="I36" s="109">
        <v>12.686281018409362</v>
      </c>
      <c r="J36" s="109">
        <v>11.861467569821055</v>
      </c>
      <c r="K36" s="110">
        <v>9.7385806131151718</v>
      </c>
    </row>
    <row r="37" spans="2:11" x14ac:dyDescent="0.3">
      <c r="B37" s="111" t="s">
        <v>1978</v>
      </c>
      <c r="C37" s="112" t="s">
        <v>1483</v>
      </c>
      <c r="D37" s="1499">
        <v>11.29192263755589</v>
      </c>
      <c r="E37" s="1499">
        <v>10.984472892595432</v>
      </c>
      <c r="F37" s="1499">
        <v>9.6326975853813899</v>
      </c>
      <c r="G37" s="1499">
        <v>9.5529079247443036</v>
      </c>
      <c r="H37" s="1499">
        <v>9.9771649864594174</v>
      </c>
      <c r="I37" s="1499">
        <v>12.692126315942891</v>
      </c>
      <c r="J37" s="1499">
        <v>11.867537844950263</v>
      </c>
      <c r="K37" s="113">
        <v>9.7454546161355111</v>
      </c>
    </row>
    <row r="38" spans="2:11" x14ac:dyDescent="0.3">
      <c r="B38" s="111" t="s">
        <v>1982</v>
      </c>
      <c r="C38" s="112" t="s">
        <v>1489</v>
      </c>
      <c r="D38" s="1499">
        <v>11.290606122480503</v>
      </c>
      <c r="E38" s="1499">
        <v>10.983156377520045</v>
      </c>
      <c r="F38" s="1499">
        <v>9.6313810703060021</v>
      </c>
      <c r="G38" s="1499">
        <v>9.5515914096689141</v>
      </c>
      <c r="H38" s="1499">
        <v>9.9758484713840279</v>
      </c>
      <c r="I38" s="1499">
        <v>12.690809800867504</v>
      </c>
      <c r="J38" s="1499">
        <v>11.866221329874874</v>
      </c>
      <c r="K38" s="113">
        <v>9.7441381010601233</v>
      </c>
    </row>
    <row r="39" spans="2:11" x14ac:dyDescent="0.3">
      <c r="B39" s="114">
        <v>0</v>
      </c>
      <c r="C39" s="112" t="s">
        <v>1496</v>
      </c>
      <c r="D39" s="1499">
        <v>11.288631349867421</v>
      </c>
      <c r="E39" s="1499">
        <v>10.981181604906963</v>
      </c>
      <c r="F39" s="1499">
        <v>9.6294062976929204</v>
      </c>
      <c r="G39" s="1499">
        <v>9.5496166370558324</v>
      </c>
      <c r="H39" s="1499">
        <v>9.9738736987709462</v>
      </c>
      <c r="I39" s="1499">
        <v>12.688835028254422</v>
      </c>
      <c r="J39" s="1499">
        <v>11.864246557261792</v>
      </c>
      <c r="K39" s="113">
        <v>9.7421633284470417</v>
      </c>
    </row>
    <row r="40" spans="2:11" x14ac:dyDescent="0.3">
      <c r="B40" s="115"/>
      <c r="C40" s="112" t="s">
        <v>1500</v>
      </c>
      <c r="D40" s="1499">
        <v>11.286656577254337</v>
      </c>
      <c r="E40" s="1499">
        <v>10.979206832293878</v>
      </c>
      <c r="F40" s="1499">
        <v>9.627431525079837</v>
      </c>
      <c r="G40" s="1499">
        <v>9.547641864442749</v>
      </c>
      <c r="H40" s="1499">
        <v>9.9718989261578628</v>
      </c>
      <c r="I40" s="1499">
        <v>12.686860255641337</v>
      </c>
      <c r="J40" s="1499">
        <v>11.862271784648708</v>
      </c>
      <c r="K40" s="113">
        <v>9.7401885558339565</v>
      </c>
    </row>
    <row r="41" spans="2:11" x14ac:dyDescent="0.3">
      <c r="B41" s="115"/>
      <c r="C41" s="112" t="s">
        <v>1504</v>
      </c>
      <c r="D41" s="1499">
        <v>11.290086532105912</v>
      </c>
      <c r="E41" s="1499">
        <v>10.984067650669957</v>
      </c>
      <c r="F41" s="1499">
        <v>9.6319103364445073</v>
      </c>
      <c r="G41" s="1499">
        <v>9.5522355792609108</v>
      </c>
      <c r="H41" s="1499">
        <v>9.9767245156933786</v>
      </c>
      <c r="I41" s="1499">
        <v>12.692038385517357</v>
      </c>
      <c r="J41" s="1499">
        <v>11.867377407237262</v>
      </c>
      <c r="K41" s="113">
        <v>9.7448232256747822</v>
      </c>
    </row>
    <row r="42" spans="2:11" x14ac:dyDescent="0.3">
      <c r="B42" s="115"/>
      <c r="C42" s="112" t="s">
        <v>1508</v>
      </c>
      <c r="D42" s="1499">
        <v>11.288991771337253</v>
      </c>
      <c r="E42" s="1499">
        <v>10.982972889901299</v>
      </c>
      <c r="F42" s="1499">
        <v>9.6308155756758502</v>
      </c>
      <c r="G42" s="1499">
        <v>9.5511408184922519</v>
      </c>
      <c r="H42" s="1499">
        <v>9.9756297549247197</v>
      </c>
      <c r="I42" s="1499">
        <v>12.6909436247487</v>
      </c>
      <c r="J42" s="1499">
        <v>11.866282646468603</v>
      </c>
      <c r="K42" s="113">
        <v>9.7437284649061233</v>
      </c>
    </row>
    <row r="43" spans="2:11" x14ac:dyDescent="0.3">
      <c r="B43" s="115"/>
      <c r="C43" s="112" t="s">
        <v>1513</v>
      </c>
      <c r="D43" s="1499">
        <v>11.287349630184265</v>
      </c>
      <c r="E43" s="1499">
        <v>10.981330748748311</v>
      </c>
      <c r="F43" s="1499">
        <v>9.6291734345228619</v>
      </c>
      <c r="G43" s="1499">
        <v>9.5494986773392636</v>
      </c>
      <c r="H43" s="1499">
        <v>9.9739876137717314</v>
      </c>
      <c r="I43" s="1499">
        <v>12.689301483595711</v>
      </c>
      <c r="J43" s="1499">
        <v>11.864640505315615</v>
      </c>
      <c r="K43" s="113">
        <v>9.742086323753135</v>
      </c>
    </row>
    <row r="44" spans="2:11" x14ac:dyDescent="0.3">
      <c r="B44" s="115"/>
      <c r="C44" s="112" t="s">
        <v>1517</v>
      </c>
      <c r="D44" s="1499">
        <v>11.285707489031275</v>
      </c>
      <c r="E44" s="1499">
        <v>10.979688607595323</v>
      </c>
      <c r="F44" s="1499">
        <v>9.6275312933698718</v>
      </c>
      <c r="G44" s="1499">
        <v>9.5478565361862753</v>
      </c>
      <c r="H44" s="1499">
        <v>9.972345472618743</v>
      </c>
      <c r="I44" s="1499">
        <v>12.687659342442723</v>
      </c>
      <c r="J44" s="1499">
        <v>11.862998364162626</v>
      </c>
      <c r="K44" s="113">
        <v>9.7404441826001467</v>
      </c>
    </row>
    <row r="45" spans="2:11" ht="14.5" thickBot="1" x14ac:dyDescent="0.35">
      <c r="B45" s="1233"/>
      <c r="C45" s="116" t="s">
        <v>1519</v>
      </c>
      <c r="D45" s="117">
        <v>11.29192263755589</v>
      </c>
      <c r="E45" s="117">
        <v>10.984472892595432</v>
      </c>
      <c r="F45" s="117">
        <v>9.6326975853813899</v>
      </c>
      <c r="G45" s="117">
        <v>9.5529079247443036</v>
      </c>
      <c r="H45" s="117">
        <v>9.9771649864594174</v>
      </c>
      <c r="I45" s="117">
        <v>12.692126315942891</v>
      </c>
      <c r="J45" s="117">
        <v>11.867537844950263</v>
      </c>
      <c r="K45" s="118">
        <v>9.7454546161355111</v>
      </c>
    </row>
    <row r="46" spans="2:11" x14ac:dyDescent="0.3">
      <c r="B46" s="119" t="s">
        <v>1983</v>
      </c>
      <c r="C46" s="108" t="s">
        <v>1416</v>
      </c>
      <c r="D46" s="109">
        <v>13.339933013092931</v>
      </c>
      <c r="E46" s="109">
        <v>12.942538250553826</v>
      </c>
      <c r="F46" s="109">
        <v>11.599631765253786</v>
      </c>
      <c r="G46" s="109">
        <v>11.499722286342084</v>
      </c>
      <c r="H46" s="109">
        <v>11.956158630041207</v>
      </c>
      <c r="I46" s="109">
        <v>14.646284381817454</v>
      </c>
      <c r="J46" s="109">
        <v>13.820227938337016</v>
      </c>
      <c r="K46" s="110">
        <v>11.691752482857201</v>
      </c>
    </row>
    <row r="47" spans="2:11" x14ac:dyDescent="0.3">
      <c r="B47" s="111"/>
      <c r="C47" s="112" t="s">
        <v>1483</v>
      </c>
      <c r="D47" s="1499">
        <v>13.345915974938997</v>
      </c>
      <c r="E47" s="1499">
        <v>12.949849562548687</v>
      </c>
      <c r="F47" s="1499">
        <v>11.606906852690935</v>
      </c>
      <c r="G47" s="1499">
        <v>11.507556708279017</v>
      </c>
      <c r="H47" s="1499">
        <v>11.963672545104599</v>
      </c>
      <c r="I47" s="1499">
        <v>14.653020180554419</v>
      </c>
      <c r="J47" s="1499">
        <v>13.827210762521496</v>
      </c>
      <c r="K47" s="113">
        <v>11.699523042670645</v>
      </c>
    </row>
    <row r="48" spans="2:11" x14ac:dyDescent="0.3">
      <c r="B48" s="111" t="s">
        <v>1979</v>
      </c>
      <c r="C48" s="112" t="s">
        <v>1489</v>
      </c>
      <c r="D48" s="1499">
        <v>13.344599459863609</v>
      </c>
      <c r="E48" s="1499">
        <v>12.948533047473298</v>
      </c>
      <c r="F48" s="1499">
        <v>11.605590337615547</v>
      </c>
      <c r="G48" s="1499">
        <v>11.506240193203629</v>
      </c>
      <c r="H48" s="1499">
        <v>11.962356030029209</v>
      </c>
      <c r="I48" s="1499">
        <v>14.65170366547903</v>
      </c>
      <c r="J48" s="1499">
        <v>13.825894247446108</v>
      </c>
      <c r="K48" s="113">
        <v>11.698206527595257</v>
      </c>
    </row>
    <row r="49" spans="2:11" x14ac:dyDescent="0.3">
      <c r="B49" s="114">
        <v>0</v>
      </c>
      <c r="C49" s="112" t="s">
        <v>1496</v>
      </c>
      <c r="D49" s="1499">
        <v>13.342624687250527</v>
      </c>
      <c r="E49" s="1499">
        <v>12.946558274860216</v>
      </c>
      <c r="F49" s="1499">
        <v>11.603615565002466</v>
      </c>
      <c r="G49" s="1499">
        <v>11.504265420590544</v>
      </c>
      <c r="H49" s="1499">
        <v>11.960381257416127</v>
      </c>
      <c r="I49" s="1499">
        <v>14.649728892865948</v>
      </c>
      <c r="J49" s="1499">
        <v>13.823919474833026</v>
      </c>
      <c r="K49" s="113">
        <v>11.696231754982175</v>
      </c>
    </row>
    <row r="50" spans="2:11" x14ac:dyDescent="0.3">
      <c r="B50" s="115"/>
      <c r="C50" s="112" t="s">
        <v>1500</v>
      </c>
      <c r="D50" s="1499">
        <v>13.340649914637446</v>
      </c>
      <c r="E50" s="1499">
        <v>12.944583502247134</v>
      </c>
      <c r="F50" s="1499">
        <v>11.601640792389384</v>
      </c>
      <c r="G50" s="1499">
        <v>11.502290647977462</v>
      </c>
      <c r="H50" s="1499">
        <v>11.958406484803046</v>
      </c>
      <c r="I50" s="1499">
        <v>14.647754120252866</v>
      </c>
      <c r="J50" s="1499">
        <v>13.821944702219945</v>
      </c>
      <c r="K50" s="113">
        <v>11.694256982369094</v>
      </c>
    </row>
    <row r="51" spans="2:11" x14ac:dyDescent="0.3">
      <c r="B51" s="115"/>
      <c r="C51" s="112" t="s">
        <v>1504</v>
      </c>
      <c r="D51" s="1499">
        <v>13.344014481692501</v>
      </c>
      <c r="E51" s="1499">
        <v>12.948969421410554</v>
      </c>
      <c r="F51" s="1499">
        <v>11.605673188751492</v>
      </c>
      <c r="G51" s="1499">
        <v>11.506405698483977</v>
      </c>
      <c r="H51" s="1499">
        <v>11.962711769369839</v>
      </c>
      <c r="I51" s="1499">
        <v>14.652455429295882</v>
      </c>
      <c r="J51" s="1499">
        <v>13.826548902678539</v>
      </c>
      <c r="K51" s="113">
        <v>11.698410333771227</v>
      </c>
    </row>
    <row r="52" spans="2:11" x14ac:dyDescent="0.3">
      <c r="B52" s="115"/>
      <c r="C52" s="112" t="s">
        <v>1508</v>
      </c>
      <c r="D52" s="1499">
        <v>13.342919720923842</v>
      </c>
      <c r="E52" s="1499">
        <v>12.947874660641896</v>
      </c>
      <c r="F52" s="1499">
        <v>11.604578427982831</v>
      </c>
      <c r="G52" s="1499">
        <v>11.50531093771532</v>
      </c>
      <c r="H52" s="1499">
        <v>11.961617008601179</v>
      </c>
      <c r="I52" s="1499">
        <v>14.651360668527223</v>
      </c>
      <c r="J52" s="1499">
        <v>13.82545414190988</v>
      </c>
      <c r="K52" s="113">
        <v>11.697315573002568</v>
      </c>
    </row>
    <row r="53" spans="2:11" x14ac:dyDescent="0.3">
      <c r="B53" s="115"/>
      <c r="C53" s="112" t="s">
        <v>1513</v>
      </c>
      <c r="D53" s="1499">
        <v>13.341277579770853</v>
      </c>
      <c r="E53" s="1499">
        <v>12.946232519488907</v>
      </c>
      <c r="F53" s="1499">
        <v>11.602936286829843</v>
      </c>
      <c r="G53" s="1499">
        <v>11.503668796562332</v>
      </c>
      <c r="H53" s="1499">
        <v>11.95997486744819</v>
      </c>
      <c r="I53" s="1499">
        <v>14.649718527374235</v>
      </c>
      <c r="J53" s="1499">
        <v>13.82381200075689</v>
      </c>
      <c r="K53" s="113">
        <v>11.695673431849579</v>
      </c>
    </row>
    <row r="54" spans="2:11" x14ac:dyDescent="0.3">
      <c r="B54" s="115"/>
      <c r="C54" s="112" t="s">
        <v>1517</v>
      </c>
      <c r="D54" s="1499">
        <v>13.339635438617863</v>
      </c>
      <c r="E54" s="1499">
        <v>12.944590378335917</v>
      </c>
      <c r="F54" s="1499">
        <v>11.601294145676855</v>
      </c>
      <c r="G54" s="1499">
        <v>11.502026655409342</v>
      </c>
      <c r="H54" s="1499">
        <v>11.958332726295202</v>
      </c>
      <c r="I54" s="1499">
        <v>14.648076386221247</v>
      </c>
      <c r="J54" s="1499">
        <v>13.822169859603902</v>
      </c>
      <c r="K54" s="113">
        <v>11.694031290696589</v>
      </c>
    </row>
    <row r="55" spans="2:11" ht="14.5" thickBot="1" x14ac:dyDescent="0.35">
      <c r="B55" s="1233"/>
      <c r="C55" s="116" t="s">
        <v>1519</v>
      </c>
      <c r="D55" s="117">
        <v>13.345915974938997</v>
      </c>
      <c r="E55" s="117">
        <v>12.949849562548687</v>
      </c>
      <c r="F55" s="117">
        <v>11.606906852690935</v>
      </c>
      <c r="G55" s="117">
        <v>11.507556708279017</v>
      </c>
      <c r="H55" s="117">
        <v>11.963672545104599</v>
      </c>
      <c r="I55" s="117">
        <v>14.653020180554419</v>
      </c>
      <c r="J55" s="117">
        <v>13.827210762521496</v>
      </c>
      <c r="K55" s="118">
        <v>11.699523042670645</v>
      </c>
    </row>
    <row r="56" spans="2:11" x14ac:dyDescent="0.3">
      <c r="B56" s="119" t="s">
        <v>1983</v>
      </c>
      <c r="C56" s="108" t="s">
        <v>1416</v>
      </c>
      <c r="D56" s="109">
        <v>12.656664699748154</v>
      </c>
      <c r="E56" s="109">
        <v>12.259269937209048</v>
      </c>
      <c r="F56" s="109">
        <v>10.916363451909008</v>
      </c>
      <c r="G56" s="109">
        <v>10.816453972997305</v>
      </c>
      <c r="H56" s="109">
        <v>11.272890316696428</v>
      </c>
      <c r="I56" s="109">
        <v>13.963016068472676</v>
      </c>
      <c r="J56" s="109">
        <v>13.136959624992238</v>
      </c>
      <c r="K56" s="110">
        <v>11.008484169512423</v>
      </c>
    </row>
    <row r="57" spans="2:11" x14ac:dyDescent="0.3">
      <c r="B57" s="111"/>
      <c r="C57" s="112" t="s">
        <v>1483</v>
      </c>
      <c r="D57" s="1499">
        <v>12.662647661594219</v>
      </c>
      <c r="E57" s="1499">
        <v>12.266581249203909</v>
      </c>
      <c r="F57" s="1499">
        <v>10.923638539346157</v>
      </c>
      <c r="G57" s="1499">
        <v>10.824288394934237</v>
      </c>
      <c r="H57" s="1499">
        <v>11.280404231759819</v>
      </c>
      <c r="I57" s="1499">
        <v>13.969751867209641</v>
      </c>
      <c r="J57" s="1499">
        <v>13.143942449176718</v>
      </c>
      <c r="K57" s="113">
        <v>11.016254729325867</v>
      </c>
    </row>
    <row r="58" spans="2:11" x14ac:dyDescent="0.3">
      <c r="B58" s="111" t="s">
        <v>1980</v>
      </c>
      <c r="C58" s="112" t="s">
        <v>1489</v>
      </c>
      <c r="D58" s="1499">
        <v>12.661331146518831</v>
      </c>
      <c r="E58" s="1499">
        <v>12.26526473412852</v>
      </c>
      <c r="F58" s="1499">
        <v>10.92232202427077</v>
      </c>
      <c r="G58" s="1499">
        <v>10.82297187985885</v>
      </c>
      <c r="H58" s="1499">
        <v>11.279087716684431</v>
      </c>
      <c r="I58" s="1499">
        <v>13.968435352134252</v>
      </c>
      <c r="J58" s="1499">
        <v>13.14262593410133</v>
      </c>
      <c r="K58" s="113">
        <v>11.014938214250478</v>
      </c>
    </row>
    <row r="59" spans="2:11" x14ac:dyDescent="0.3">
      <c r="B59" s="114">
        <v>0</v>
      </c>
      <c r="C59" s="112" t="s">
        <v>1496</v>
      </c>
      <c r="D59" s="1499">
        <v>12.65935637390575</v>
      </c>
      <c r="E59" s="1499">
        <v>12.263289961515438</v>
      </c>
      <c r="F59" s="1499">
        <v>10.920347251657688</v>
      </c>
      <c r="G59" s="1499">
        <v>10.820997107245766</v>
      </c>
      <c r="H59" s="1499">
        <v>11.27711294407135</v>
      </c>
      <c r="I59" s="1499">
        <v>13.96646057952117</v>
      </c>
      <c r="J59" s="1499">
        <v>13.140651161488249</v>
      </c>
      <c r="K59" s="113">
        <v>11.012963441637396</v>
      </c>
    </row>
    <row r="60" spans="2:11" x14ac:dyDescent="0.3">
      <c r="B60" s="115"/>
      <c r="C60" s="112" t="s">
        <v>1500</v>
      </c>
      <c r="D60" s="1499">
        <v>12.657381601292666</v>
      </c>
      <c r="E60" s="1499">
        <v>12.261315188902355</v>
      </c>
      <c r="F60" s="1499">
        <v>10.918372479044603</v>
      </c>
      <c r="G60" s="1499">
        <v>10.819022334632685</v>
      </c>
      <c r="H60" s="1499">
        <v>11.275138171458266</v>
      </c>
      <c r="I60" s="1499">
        <v>13.964485806908087</v>
      </c>
      <c r="J60" s="1499">
        <v>13.138676388875163</v>
      </c>
      <c r="K60" s="113">
        <v>11.010988669024313</v>
      </c>
    </row>
    <row r="61" spans="2:11" x14ac:dyDescent="0.3">
      <c r="B61" s="115"/>
      <c r="C61" s="112" t="s">
        <v>1504</v>
      </c>
      <c r="D61" s="1499">
        <v>12.660746168347723</v>
      </c>
      <c r="E61" s="1499">
        <v>12.265701108065777</v>
      </c>
      <c r="F61" s="1499">
        <v>10.922404875406714</v>
      </c>
      <c r="G61" s="1499">
        <v>10.8231373851392</v>
      </c>
      <c r="H61" s="1499">
        <v>11.279443456025062</v>
      </c>
      <c r="I61" s="1499">
        <v>13.969187115951105</v>
      </c>
      <c r="J61" s="1499">
        <v>13.143280589333761</v>
      </c>
      <c r="K61" s="113">
        <v>11.015142020426449</v>
      </c>
    </row>
    <row r="62" spans="2:11" x14ac:dyDescent="0.3">
      <c r="B62" s="115"/>
      <c r="C62" s="112" t="s">
        <v>1508</v>
      </c>
      <c r="D62" s="1499">
        <v>12.659651407579064</v>
      </c>
      <c r="E62" s="1499">
        <v>12.264606347297118</v>
      </c>
      <c r="F62" s="1499">
        <v>10.921310114638054</v>
      </c>
      <c r="G62" s="1499">
        <v>10.822042624370541</v>
      </c>
      <c r="H62" s="1499">
        <v>11.278348695256401</v>
      </c>
      <c r="I62" s="1499">
        <v>13.968092355182446</v>
      </c>
      <c r="J62" s="1499">
        <v>13.142185828565101</v>
      </c>
      <c r="K62" s="113">
        <v>11.01404725965779</v>
      </c>
    </row>
    <row r="63" spans="2:11" x14ac:dyDescent="0.3">
      <c r="B63" s="115"/>
      <c r="C63" s="112" t="s">
        <v>1513</v>
      </c>
      <c r="D63" s="1499">
        <v>12.658009266426074</v>
      </c>
      <c r="E63" s="1499">
        <v>12.262964206144128</v>
      </c>
      <c r="F63" s="1499">
        <v>10.919667973485065</v>
      </c>
      <c r="G63" s="1499">
        <v>10.820400483217552</v>
      </c>
      <c r="H63" s="1499">
        <v>11.276706554103413</v>
      </c>
      <c r="I63" s="1499">
        <v>13.966450214029457</v>
      </c>
      <c r="J63" s="1499">
        <v>13.140543687412112</v>
      </c>
      <c r="K63" s="113">
        <v>11.0124051185048</v>
      </c>
    </row>
    <row r="64" spans="2:11" x14ac:dyDescent="0.3">
      <c r="B64" s="115"/>
      <c r="C64" s="112" t="s">
        <v>1517</v>
      </c>
      <c r="D64" s="1499">
        <v>12.656367125273086</v>
      </c>
      <c r="E64" s="1499">
        <v>12.261322064991139</v>
      </c>
      <c r="F64" s="1499">
        <v>10.918025832332077</v>
      </c>
      <c r="G64" s="1499">
        <v>10.818758342064564</v>
      </c>
      <c r="H64" s="1499">
        <v>11.275064412950424</v>
      </c>
      <c r="I64" s="1499">
        <v>13.964808072876469</v>
      </c>
      <c r="J64" s="1499">
        <v>13.138901546259124</v>
      </c>
      <c r="K64" s="113">
        <v>11.010762977351812</v>
      </c>
    </row>
    <row r="65" spans="2:11" ht="14.5" thickBot="1" x14ac:dyDescent="0.35">
      <c r="B65" s="1233"/>
      <c r="C65" s="116" t="s">
        <v>1519</v>
      </c>
      <c r="D65" s="117">
        <v>12.662647661594219</v>
      </c>
      <c r="E65" s="117">
        <v>12.266581249203909</v>
      </c>
      <c r="F65" s="117">
        <v>10.923638539346157</v>
      </c>
      <c r="G65" s="117">
        <v>10.824288394934237</v>
      </c>
      <c r="H65" s="117">
        <v>11.280404231759819</v>
      </c>
      <c r="I65" s="117">
        <v>13.969751867209641</v>
      </c>
      <c r="J65" s="117">
        <v>13.143942449176718</v>
      </c>
      <c r="K65" s="118">
        <v>11.016254729325867</v>
      </c>
    </row>
    <row r="66" spans="2:11" x14ac:dyDescent="0.3">
      <c r="B66" s="119" t="s">
        <v>1983</v>
      </c>
      <c r="C66" s="108" t="s">
        <v>1416</v>
      </c>
      <c r="D66" s="109">
        <v>11.631762229730986</v>
      </c>
      <c r="E66" s="109">
        <v>11.234367467191881</v>
      </c>
      <c r="F66" s="109">
        <v>9.8914609818918411</v>
      </c>
      <c r="G66" s="109">
        <v>9.7915515029801377</v>
      </c>
      <c r="H66" s="109">
        <v>10.24798784667926</v>
      </c>
      <c r="I66" s="109">
        <v>12.938113598455509</v>
      </c>
      <c r="J66" s="109">
        <v>12.112057154975071</v>
      </c>
      <c r="K66" s="110">
        <v>9.9835816994952538</v>
      </c>
    </row>
    <row r="67" spans="2:11" x14ac:dyDescent="0.3">
      <c r="B67" s="111"/>
      <c r="C67" s="112" t="s">
        <v>1483</v>
      </c>
      <c r="D67" s="1499">
        <v>11.637745191577054</v>
      </c>
      <c r="E67" s="1499">
        <v>11.241678779186742</v>
      </c>
      <c r="F67" s="1499">
        <v>9.8987360693289901</v>
      </c>
      <c r="G67" s="1499">
        <v>9.7993859249170701</v>
      </c>
      <c r="H67" s="1499">
        <v>10.255501761742652</v>
      </c>
      <c r="I67" s="1499">
        <v>12.944849397192472</v>
      </c>
      <c r="J67" s="1499">
        <v>12.119039979159552</v>
      </c>
      <c r="K67" s="113">
        <v>9.9913522593086999</v>
      </c>
    </row>
    <row r="68" spans="2:11" x14ac:dyDescent="0.3">
      <c r="B68" s="111" t="s">
        <v>1981</v>
      </c>
      <c r="C68" s="112" t="s">
        <v>1489</v>
      </c>
      <c r="D68" s="1499">
        <v>11.636428676501664</v>
      </c>
      <c r="E68" s="1499">
        <v>11.240362264111354</v>
      </c>
      <c r="F68" s="1499">
        <v>9.8974195542536005</v>
      </c>
      <c r="G68" s="1499">
        <v>9.7980694098416823</v>
      </c>
      <c r="H68" s="1499">
        <v>10.254185246667264</v>
      </c>
      <c r="I68" s="1499">
        <v>12.943532882117086</v>
      </c>
      <c r="J68" s="1499">
        <v>12.117723464084163</v>
      </c>
      <c r="K68" s="113">
        <v>9.9900357442333103</v>
      </c>
    </row>
    <row r="69" spans="2:11" x14ac:dyDescent="0.3">
      <c r="B69" s="114">
        <v>0</v>
      </c>
      <c r="C69" s="112" t="s">
        <v>1496</v>
      </c>
      <c r="D69" s="1499">
        <v>11.634453903888581</v>
      </c>
      <c r="E69" s="1499">
        <v>11.238387491498269</v>
      </c>
      <c r="F69" s="1499">
        <v>9.8954447816405189</v>
      </c>
      <c r="G69" s="1499">
        <v>9.7960946372286006</v>
      </c>
      <c r="H69" s="1499">
        <v>10.252210474054182</v>
      </c>
      <c r="I69" s="1499">
        <v>12.941558109504001</v>
      </c>
      <c r="J69" s="1499">
        <v>12.115748691471079</v>
      </c>
      <c r="K69" s="113">
        <v>9.9880609716202287</v>
      </c>
    </row>
    <row r="70" spans="2:11" x14ac:dyDescent="0.3">
      <c r="B70" s="115"/>
      <c r="C70" s="112" t="s">
        <v>1500</v>
      </c>
      <c r="D70" s="1499">
        <v>11.632479131275499</v>
      </c>
      <c r="E70" s="1499">
        <v>11.236412718885187</v>
      </c>
      <c r="F70" s="1499">
        <v>9.8934700090274372</v>
      </c>
      <c r="G70" s="1499">
        <v>9.7941198646155172</v>
      </c>
      <c r="H70" s="1499">
        <v>10.250235701441099</v>
      </c>
      <c r="I70" s="1499">
        <v>12.939583336890919</v>
      </c>
      <c r="J70" s="1499">
        <v>12.113773918857998</v>
      </c>
      <c r="K70" s="113">
        <v>9.9860861990071452</v>
      </c>
    </row>
    <row r="71" spans="2:11" x14ac:dyDescent="0.3">
      <c r="B71" s="115"/>
      <c r="C71" s="112" t="s">
        <v>1504</v>
      </c>
      <c r="D71" s="1499">
        <v>11.635843698330554</v>
      </c>
      <c r="E71" s="1499">
        <v>11.240798638048608</v>
      </c>
      <c r="F71" s="1499">
        <v>9.8975024053895453</v>
      </c>
      <c r="G71" s="1499">
        <v>9.7982349151220323</v>
      </c>
      <c r="H71" s="1499">
        <v>10.254540986007893</v>
      </c>
      <c r="I71" s="1499">
        <v>12.944284645933935</v>
      </c>
      <c r="J71" s="1499">
        <v>12.118378119316592</v>
      </c>
      <c r="K71" s="113">
        <v>9.9902395504092798</v>
      </c>
    </row>
    <row r="72" spans="2:11" x14ac:dyDescent="0.3">
      <c r="B72" s="115"/>
      <c r="C72" s="112" t="s">
        <v>1508</v>
      </c>
      <c r="D72" s="1499">
        <v>11.634748937561897</v>
      </c>
      <c r="E72" s="1499">
        <v>11.23970387727995</v>
      </c>
      <c r="F72" s="1499">
        <v>9.8964076446208864</v>
      </c>
      <c r="G72" s="1499">
        <v>9.7971401543533734</v>
      </c>
      <c r="H72" s="1499">
        <v>10.253446225239234</v>
      </c>
      <c r="I72" s="1499">
        <v>12.943189885165278</v>
      </c>
      <c r="J72" s="1499">
        <v>12.117283358547935</v>
      </c>
      <c r="K72" s="113">
        <v>9.9891447896406209</v>
      </c>
    </row>
    <row r="73" spans="2:11" x14ac:dyDescent="0.3">
      <c r="B73" s="115"/>
      <c r="C73" s="112" t="s">
        <v>1513</v>
      </c>
      <c r="D73" s="1499">
        <v>11.633106796408908</v>
      </c>
      <c r="E73" s="1499">
        <v>11.238061736126962</v>
      </c>
      <c r="F73" s="1499">
        <v>9.8947655034678981</v>
      </c>
      <c r="G73" s="1499">
        <v>9.7954980132003833</v>
      </c>
      <c r="H73" s="1499">
        <v>10.251804084086245</v>
      </c>
      <c r="I73" s="1499">
        <v>12.94154774401229</v>
      </c>
      <c r="J73" s="1499">
        <v>12.115641217394947</v>
      </c>
      <c r="K73" s="113">
        <v>9.9875026484876326</v>
      </c>
    </row>
    <row r="74" spans="2:11" x14ac:dyDescent="0.3">
      <c r="B74" s="115"/>
      <c r="C74" s="112" t="s">
        <v>1517</v>
      </c>
      <c r="D74" s="1499">
        <v>11.63146465525592</v>
      </c>
      <c r="E74" s="1499">
        <v>11.236419594973974</v>
      </c>
      <c r="F74" s="1499">
        <v>9.8931233623149097</v>
      </c>
      <c r="G74" s="1499">
        <v>9.7938558720473967</v>
      </c>
      <c r="H74" s="1499">
        <v>10.250161942933259</v>
      </c>
      <c r="I74" s="1499">
        <v>12.939905602859302</v>
      </c>
      <c r="J74" s="1499">
        <v>12.113999076241958</v>
      </c>
      <c r="K74" s="113">
        <v>9.985860507334646</v>
      </c>
    </row>
    <row r="75" spans="2:11" ht="14.5" thickBot="1" x14ac:dyDescent="0.35">
      <c r="B75" s="1233"/>
      <c r="C75" s="116" t="s">
        <v>1519</v>
      </c>
      <c r="D75" s="117">
        <v>11.637745191577054</v>
      </c>
      <c r="E75" s="117">
        <v>11.241678779186742</v>
      </c>
      <c r="F75" s="117">
        <v>9.8987360693289901</v>
      </c>
      <c r="G75" s="117">
        <v>9.7993859249170701</v>
      </c>
      <c r="H75" s="117">
        <v>10.255501761742652</v>
      </c>
      <c r="I75" s="117">
        <v>12.944849397192472</v>
      </c>
      <c r="J75" s="117">
        <v>12.119039979159552</v>
      </c>
      <c r="K75" s="118">
        <v>9.9913522593086999</v>
      </c>
    </row>
    <row r="76" spans="2:11" x14ac:dyDescent="0.3">
      <c r="B76" s="119" t="s">
        <v>1983</v>
      </c>
      <c r="C76" s="108" t="s">
        <v>1416</v>
      </c>
      <c r="D76" s="109">
        <v>10.606859759713817</v>
      </c>
      <c r="E76" s="109">
        <v>10.209464997174711</v>
      </c>
      <c r="F76" s="109">
        <v>8.8665585118746737</v>
      </c>
      <c r="G76" s="109">
        <v>8.7666490329629703</v>
      </c>
      <c r="H76" s="109">
        <v>9.2230853766620928</v>
      </c>
      <c r="I76" s="109">
        <v>11.91321112843834</v>
      </c>
      <c r="J76" s="109">
        <v>11.087154684957902</v>
      </c>
      <c r="K76" s="110">
        <v>8.9586792294780864</v>
      </c>
    </row>
    <row r="77" spans="2:11" x14ac:dyDescent="0.3">
      <c r="B77" s="111"/>
      <c r="C77" s="112" t="s">
        <v>1483</v>
      </c>
      <c r="D77" s="1499">
        <v>10.612842721559884</v>
      </c>
      <c r="E77" s="1499">
        <v>10.216776309169573</v>
      </c>
      <c r="F77" s="1499">
        <v>8.8738335993118209</v>
      </c>
      <c r="G77" s="1499">
        <v>8.7744834548999027</v>
      </c>
      <c r="H77" s="1499">
        <v>9.2305992917254844</v>
      </c>
      <c r="I77" s="1499">
        <v>11.919946927175305</v>
      </c>
      <c r="J77" s="1499">
        <v>11.094137509142383</v>
      </c>
      <c r="K77" s="113">
        <v>8.9664497892915307</v>
      </c>
    </row>
    <row r="78" spans="2:11" x14ac:dyDescent="0.3">
      <c r="B78" s="111" t="s">
        <v>1982</v>
      </c>
      <c r="C78" s="112" t="s">
        <v>1489</v>
      </c>
      <c r="D78" s="1499">
        <v>10.611526206484495</v>
      </c>
      <c r="E78" s="1499">
        <v>10.215459794094185</v>
      </c>
      <c r="F78" s="1499">
        <v>8.8725170842364331</v>
      </c>
      <c r="G78" s="1499">
        <v>8.7731669398245149</v>
      </c>
      <c r="H78" s="1499">
        <v>9.2292827766500949</v>
      </c>
      <c r="I78" s="1499">
        <v>11.918630412099917</v>
      </c>
      <c r="J78" s="1499">
        <v>11.092820994066994</v>
      </c>
      <c r="K78" s="113">
        <v>8.9651332742161429</v>
      </c>
    </row>
    <row r="79" spans="2:11" x14ac:dyDescent="0.3">
      <c r="B79" s="114">
        <v>0</v>
      </c>
      <c r="C79" s="112" t="s">
        <v>1496</v>
      </c>
      <c r="D79" s="1499">
        <v>10.609551433871413</v>
      </c>
      <c r="E79" s="1499">
        <v>10.213485021481103</v>
      </c>
      <c r="F79" s="1499">
        <v>8.8705423116233515</v>
      </c>
      <c r="G79" s="1499">
        <v>8.7711921672114315</v>
      </c>
      <c r="H79" s="1499">
        <v>9.2273080040370132</v>
      </c>
      <c r="I79" s="1499">
        <v>11.916655639486835</v>
      </c>
      <c r="J79" s="1499">
        <v>11.090846221453912</v>
      </c>
      <c r="K79" s="113">
        <v>8.9631585016030613</v>
      </c>
    </row>
    <row r="80" spans="2:11" x14ac:dyDescent="0.3">
      <c r="B80" s="115"/>
      <c r="C80" s="112" t="s">
        <v>1500</v>
      </c>
      <c r="D80" s="1499">
        <v>10.607576661258332</v>
      </c>
      <c r="E80" s="1499">
        <v>10.21151024886802</v>
      </c>
      <c r="F80" s="1499">
        <v>8.8685675390102681</v>
      </c>
      <c r="G80" s="1499">
        <v>8.7692173945983498</v>
      </c>
      <c r="H80" s="1499">
        <v>9.2253332314239316</v>
      </c>
      <c r="I80" s="1499">
        <v>11.914680866873754</v>
      </c>
      <c r="J80" s="1499">
        <v>11.08887144884083</v>
      </c>
      <c r="K80" s="113">
        <v>8.9611837289899778</v>
      </c>
    </row>
    <row r="81" spans="2:11" x14ac:dyDescent="0.3">
      <c r="B81" s="115"/>
      <c r="C81" s="112" t="s">
        <v>1504</v>
      </c>
      <c r="D81" s="1499">
        <v>10.610941228313386</v>
      </c>
      <c r="E81" s="1499">
        <v>10.21589616803144</v>
      </c>
      <c r="F81" s="1499">
        <v>8.8725999353723779</v>
      </c>
      <c r="G81" s="1499">
        <v>8.7733324451048649</v>
      </c>
      <c r="H81" s="1499">
        <v>9.2296385159907253</v>
      </c>
      <c r="I81" s="1499">
        <v>11.91938217591677</v>
      </c>
      <c r="J81" s="1499">
        <v>11.093475649299425</v>
      </c>
      <c r="K81" s="113">
        <v>8.9653370803921124</v>
      </c>
    </row>
    <row r="82" spans="2:11" x14ac:dyDescent="0.3">
      <c r="B82" s="115"/>
      <c r="C82" s="112" t="s">
        <v>1508</v>
      </c>
      <c r="D82" s="1499">
        <v>10.609846467544727</v>
      </c>
      <c r="E82" s="1499">
        <v>10.214801407262781</v>
      </c>
      <c r="F82" s="1499">
        <v>8.871505174603719</v>
      </c>
      <c r="G82" s="1499">
        <v>8.772237684336206</v>
      </c>
      <c r="H82" s="1499">
        <v>9.2285437552220664</v>
      </c>
      <c r="I82" s="1499">
        <v>11.918287415148109</v>
      </c>
      <c r="J82" s="1499">
        <v>11.092380888530766</v>
      </c>
      <c r="K82" s="113">
        <v>8.9642423196234535</v>
      </c>
    </row>
    <row r="83" spans="2:11" x14ac:dyDescent="0.3">
      <c r="B83" s="115"/>
      <c r="C83" s="112" t="s">
        <v>1513</v>
      </c>
      <c r="D83" s="1499">
        <v>10.608204326391741</v>
      </c>
      <c r="E83" s="1499">
        <v>10.213159266109795</v>
      </c>
      <c r="F83" s="1499">
        <v>8.8698630334507307</v>
      </c>
      <c r="G83" s="1499">
        <v>8.7705955431832177</v>
      </c>
      <c r="H83" s="1499">
        <v>9.2269016140690781</v>
      </c>
      <c r="I83" s="1499">
        <v>11.916645273995121</v>
      </c>
      <c r="J83" s="1499">
        <v>11.090738747377777</v>
      </c>
      <c r="K83" s="113">
        <v>8.962600178470467</v>
      </c>
    </row>
    <row r="84" spans="2:11" x14ac:dyDescent="0.3">
      <c r="B84" s="115"/>
      <c r="C84" s="112" t="s">
        <v>1517</v>
      </c>
      <c r="D84" s="1499">
        <v>10.606562185238751</v>
      </c>
      <c r="E84" s="1499">
        <v>10.211517124956805</v>
      </c>
      <c r="F84" s="1499">
        <v>8.8682208922977424</v>
      </c>
      <c r="G84" s="1499">
        <v>8.7689534020302293</v>
      </c>
      <c r="H84" s="1499">
        <v>9.2252594729160897</v>
      </c>
      <c r="I84" s="1499">
        <v>11.915003132842132</v>
      </c>
      <c r="J84" s="1499">
        <v>11.089096606224789</v>
      </c>
      <c r="K84" s="113">
        <v>8.9609580373174769</v>
      </c>
    </row>
    <row r="85" spans="2:11" ht="14.5" thickBot="1" x14ac:dyDescent="0.35">
      <c r="B85" s="1233"/>
      <c r="C85" s="116" t="s">
        <v>1519</v>
      </c>
      <c r="D85" s="117">
        <v>10.612842721559884</v>
      </c>
      <c r="E85" s="117">
        <v>10.216776309169573</v>
      </c>
      <c r="F85" s="117">
        <v>8.8738335993118209</v>
      </c>
      <c r="G85" s="117">
        <v>8.7744834548999027</v>
      </c>
      <c r="H85" s="117">
        <v>9.2305992917254844</v>
      </c>
      <c r="I85" s="117">
        <v>11.919946927175305</v>
      </c>
      <c r="J85" s="117">
        <v>11.094137509142383</v>
      </c>
      <c r="K85" s="118">
        <v>8.9664497892915307</v>
      </c>
    </row>
    <row r="87" spans="2:11" ht="14.5" thickBot="1" x14ac:dyDescent="0.35"/>
    <row r="88" spans="2:11" ht="25.5" thickBot="1" x14ac:dyDescent="0.55000000000000004">
      <c r="B88" s="88" t="s">
        <v>1960</v>
      </c>
      <c r="C88" s="89"/>
      <c r="D88" s="90">
        <v>8</v>
      </c>
      <c r="E88" s="91" t="s">
        <v>1984</v>
      </c>
      <c r="F88" s="92"/>
      <c r="G88" s="92"/>
      <c r="H88" s="92"/>
      <c r="I88" s="93"/>
      <c r="J88" s="89" t="s">
        <v>176</v>
      </c>
      <c r="K88" s="94" t="s">
        <v>239</v>
      </c>
    </row>
    <row r="89" spans="2:11" ht="14.5" thickBot="1" x14ac:dyDescent="0.35">
      <c r="B89" s="95" t="s">
        <v>1962</v>
      </c>
      <c r="C89" s="96" t="s">
        <v>1963</v>
      </c>
      <c r="D89" s="95" t="s">
        <v>1964</v>
      </c>
      <c r="E89" s="97" t="s">
        <v>1965</v>
      </c>
      <c r="F89" s="97" t="s">
        <v>1966</v>
      </c>
      <c r="G89" s="97" t="s">
        <v>1967</v>
      </c>
      <c r="H89" s="97" t="s">
        <v>1968</v>
      </c>
      <c r="I89" s="97" t="s">
        <v>1969</v>
      </c>
      <c r="J89" s="97" t="s">
        <v>1970</v>
      </c>
      <c r="K89" s="98" t="s">
        <v>1971</v>
      </c>
    </row>
    <row r="90" spans="2:11" ht="14.5" thickBot="1" x14ac:dyDescent="0.35">
      <c r="B90" s="99"/>
      <c r="C90" s="99"/>
      <c r="D90" s="100"/>
      <c r="E90" s="944"/>
      <c r="F90" s="944"/>
      <c r="G90" s="944"/>
      <c r="H90" s="944"/>
      <c r="I90" s="944"/>
      <c r="J90" s="944"/>
      <c r="K90" s="102"/>
    </row>
    <row r="91" spans="2:11" ht="88" thickBot="1" x14ac:dyDescent="0.45">
      <c r="B91" s="103" t="s">
        <v>1972</v>
      </c>
      <c r="C91" s="103" t="s">
        <v>1973</v>
      </c>
      <c r="D91" s="105" t="s">
        <v>1974</v>
      </c>
      <c r="E91" s="105" t="s">
        <v>1525</v>
      </c>
      <c r="F91" s="105" t="s">
        <v>1527</v>
      </c>
      <c r="G91" s="105" t="s">
        <v>1975</v>
      </c>
      <c r="H91" s="105" t="s">
        <v>1976</v>
      </c>
      <c r="I91" s="105" t="s">
        <v>1445</v>
      </c>
      <c r="J91" s="105" t="s">
        <v>1538</v>
      </c>
      <c r="K91" s="106" t="s">
        <v>1541</v>
      </c>
    </row>
    <row r="92" spans="2:11" x14ac:dyDescent="0.3">
      <c r="B92" s="107" t="s">
        <v>1985</v>
      </c>
      <c r="C92" s="108" t="s">
        <v>1416</v>
      </c>
      <c r="D92" s="109">
        <v>6.346238003253327</v>
      </c>
      <c r="E92" s="109">
        <v>5.5921159974627557</v>
      </c>
      <c r="F92" s="109">
        <v>4.421730550629726</v>
      </c>
      <c r="G92" s="109">
        <v>4.2133770601086198</v>
      </c>
      <c r="H92" s="109">
        <v>4.8328279997781731</v>
      </c>
      <c r="I92" s="109">
        <v>7.1755060588846957</v>
      </c>
      <c r="J92" s="109">
        <v>6.3903719420852445</v>
      </c>
      <c r="K92" s="110">
        <v>4.382852121197188</v>
      </c>
    </row>
    <row r="93" spans="2:11" x14ac:dyDescent="0.3">
      <c r="B93" s="111"/>
      <c r="C93" s="112" t="s">
        <v>1483</v>
      </c>
      <c r="D93" s="1499">
        <v>6.3559432287411664</v>
      </c>
      <c r="E93" s="1499">
        <v>5.6013881725541639</v>
      </c>
      <c r="F93" s="1499">
        <v>4.4316802452266915</v>
      </c>
      <c r="G93" s="1499">
        <v>4.2231837956065528</v>
      </c>
      <c r="H93" s="1499">
        <v>4.8423281798532676</v>
      </c>
      <c r="I93" s="1499">
        <v>7.1842255094077849</v>
      </c>
      <c r="J93" s="1499">
        <v>6.3993403928023209</v>
      </c>
      <c r="K93" s="113">
        <v>4.3925809903110293</v>
      </c>
    </row>
    <row r="94" spans="2:11" x14ac:dyDescent="0.3">
      <c r="B94" s="111" t="s">
        <v>1986</v>
      </c>
      <c r="C94" s="112" t="s">
        <v>1489</v>
      </c>
      <c r="D94" s="1499">
        <v>6.3546267136657777</v>
      </c>
      <c r="E94" s="1499">
        <v>5.600071657478777</v>
      </c>
      <c r="F94" s="1499">
        <v>4.4303637301513028</v>
      </c>
      <c r="G94" s="1499">
        <v>4.2218672805311641</v>
      </c>
      <c r="H94" s="1499">
        <v>4.8410116647778789</v>
      </c>
      <c r="I94" s="1499">
        <v>7.182908994332398</v>
      </c>
      <c r="J94" s="1499">
        <v>6.3980238777269323</v>
      </c>
      <c r="K94" s="113">
        <v>4.3912644752356407</v>
      </c>
    </row>
    <row r="95" spans="2:11" x14ac:dyDescent="0.3">
      <c r="B95" s="114">
        <v>0</v>
      </c>
      <c r="C95" s="112" t="s">
        <v>1496</v>
      </c>
      <c r="D95" s="1499">
        <v>6.352651941052696</v>
      </c>
      <c r="E95" s="1499">
        <v>5.5980968848656936</v>
      </c>
      <c r="F95" s="1499">
        <v>4.4283889575382211</v>
      </c>
      <c r="G95" s="1499">
        <v>4.2198925079180825</v>
      </c>
      <c r="H95" s="1499">
        <v>4.8390368921647964</v>
      </c>
      <c r="I95" s="1499">
        <v>7.1809342217193146</v>
      </c>
      <c r="J95" s="1499">
        <v>6.3960491051138506</v>
      </c>
      <c r="K95" s="113">
        <v>4.3892897026225581</v>
      </c>
    </row>
    <row r="96" spans="2:11" x14ac:dyDescent="0.3">
      <c r="B96" s="115"/>
      <c r="C96" s="112" t="s">
        <v>1500</v>
      </c>
      <c r="D96" s="1499">
        <v>6.3506771684396135</v>
      </c>
      <c r="E96" s="1499">
        <v>5.596122112252611</v>
      </c>
      <c r="F96" s="1499">
        <v>4.4264141849251377</v>
      </c>
      <c r="G96" s="1499">
        <v>4.217917735304999</v>
      </c>
      <c r="H96" s="1499">
        <v>4.8370621195517138</v>
      </c>
      <c r="I96" s="1499">
        <v>7.1789594491062321</v>
      </c>
      <c r="J96" s="1499">
        <v>6.3940743325007681</v>
      </c>
      <c r="K96" s="113">
        <v>4.3873149300094756</v>
      </c>
    </row>
    <row r="97" spans="2:11" x14ac:dyDescent="0.3">
      <c r="B97" s="115"/>
      <c r="C97" s="112" t="s">
        <v>1504</v>
      </c>
      <c r="D97" s="1499">
        <v>6.3539900463163654</v>
      </c>
      <c r="E97" s="1499">
        <v>5.5993972831065557</v>
      </c>
      <c r="F97" s="1499">
        <v>4.4297218971387373</v>
      </c>
      <c r="G97" s="1499">
        <v>4.221213217337823</v>
      </c>
      <c r="H97" s="1499">
        <v>4.8403830384352711</v>
      </c>
      <c r="I97" s="1499">
        <v>7.1824429594244847</v>
      </c>
      <c r="J97" s="1499">
        <v>6.3974200708391278</v>
      </c>
      <c r="K97" s="113">
        <v>4.390624765665625</v>
      </c>
    </row>
    <row r="98" spans="2:11" x14ac:dyDescent="0.3">
      <c r="B98" s="115"/>
      <c r="C98" s="112" t="s">
        <v>1508</v>
      </c>
      <c r="D98" s="1499">
        <v>6.3528952855477057</v>
      </c>
      <c r="E98" s="1499">
        <v>5.5983025223378968</v>
      </c>
      <c r="F98" s="1499">
        <v>4.4286271363700784</v>
      </c>
      <c r="G98" s="1499">
        <v>4.220118456569165</v>
      </c>
      <c r="H98" s="1499">
        <v>4.8392882776666122</v>
      </c>
      <c r="I98" s="1499">
        <v>7.181348198655825</v>
      </c>
      <c r="J98" s="1499">
        <v>6.3963253100704689</v>
      </c>
      <c r="K98" s="113">
        <v>4.3895300048969661</v>
      </c>
    </row>
    <row r="99" spans="2:11" x14ac:dyDescent="0.3">
      <c r="B99" s="115"/>
      <c r="C99" s="112" t="s">
        <v>1513</v>
      </c>
      <c r="D99" s="1499">
        <v>6.3512531443947182</v>
      </c>
      <c r="E99" s="1499">
        <v>5.5966603811849085</v>
      </c>
      <c r="F99" s="1499">
        <v>4.4269849952170901</v>
      </c>
      <c r="G99" s="1499">
        <v>4.2184763154161757</v>
      </c>
      <c r="H99" s="1499">
        <v>4.8376461365136239</v>
      </c>
      <c r="I99" s="1499">
        <v>7.1797060575028375</v>
      </c>
      <c r="J99" s="1499">
        <v>6.3946831689174806</v>
      </c>
      <c r="K99" s="113">
        <v>4.3878878637439778</v>
      </c>
    </row>
    <row r="100" spans="2:11" x14ac:dyDescent="0.3">
      <c r="B100" s="115"/>
      <c r="C100" s="112" t="s">
        <v>1517</v>
      </c>
      <c r="D100" s="1499">
        <v>6.3496110032417299</v>
      </c>
      <c r="E100" s="1499">
        <v>5.5950182400319202</v>
      </c>
      <c r="F100" s="1499">
        <v>4.4253428540641027</v>
      </c>
      <c r="G100" s="1499">
        <v>4.2168341742631883</v>
      </c>
      <c r="H100" s="1499">
        <v>4.8360039953606355</v>
      </c>
      <c r="I100" s="1499">
        <v>7.1780639163498492</v>
      </c>
      <c r="J100" s="1499">
        <v>6.3930410277644922</v>
      </c>
      <c r="K100" s="113">
        <v>4.3862457225909903</v>
      </c>
    </row>
    <row r="101" spans="2:11" ht="14.5" thickBot="1" x14ac:dyDescent="0.35">
      <c r="B101" s="115"/>
      <c r="C101" s="116" t="s">
        <v>1519</v>
      </c>
      <c r="D101" s="117">
        <v>6.3559432287411664</v>
      </c>
      <c r="E101" s="117">
        <v>5.6013881725541639</v>
      </c>
      <c r="F101" s="117">
        <v>4.4316802452266915</v>
      </c>
      <c r="G101" s="117">
        <v>4.2231837956065528</v>
      </c>
      <c r="H101" s="117">
        <v>4.8423281798532676</v>
      </c>
      <c r="I101" s="117">
        <v>7.1842255094077849</v>
      </c>
      <c r="J101" s="117">
        <v>6.3993403928023209</v>
      </c>
      <c r="K101" s="118">
        <v>4.3925809903110293</v>
      </c>
    </row>
    <row r="102" spans="2:11" x14ac:dyDescent="0.3">
      <c r="B102" s="120" t="s">
        <v>1985</v>
      </c>
      <c r="C102" s="1234" t="s">
        <v>1416</v>
      </c>
      <c r="D102" s="109">
        <v>6.0263989912236484</v>
      </c>
      <c r="E102" s="109">
        <v>5.2722769854330762</v>
      </c>
      <c r="F102" s="109">
        <v>4.1018915386000465</v>
      </c>
      <c r="G102" s="109">
        <v>3.8935380480789403</v>
      </c>
      <c r="H102" s="109">
        <v>4.5129889877484937</v>
      </c>
      <c r="I102" s="109">
        <v>6.8556670468550154</v>
      </c>
      <c r="J102" s="109">
        <v>6.0705329300555659</v>
      </c>
      <c r="K102" s="110">
        <v>4.0630131091675086</v>
      </c>
    </row>
    <row r="103" spans="2:11" x14ac:dyDescent="0.3">
      <c r="B103" s="121"/>
      <c r="C103" s="1500" t="s">
        <v>1483</v>
      </c>
      <c r="D103" s="1499">
        <v>6.0361042167114878</v>
      </c>
      <c r="E103" s="1499">
        <v>5.2815491605244853</v>
      </c>
      <c r="F103" s="1499">
        <v>4.111841233197012</v>
      </c>
      <c r="G103" s="1499">
        <v>3.9033447835768738</v>
      </c>
      <c r="H103" s="1499">
        <v>4.5224891678235881</v>
      </c>
      <c r="I103" s="1499">
        <v>6.8643864973781064</v>
      </c>
      <c r="J103" s="1499">
        <v>6.0795013807726423</v>
      </c>
      <c r="K103" s="113">
        <v>4.0727419782813499</v>
      </c>
    </row>
    <row r="104" spans="2:11" x14ac:dyDescent="0.3">
      <c r="B104" s="111" t="s">
        <v>1987</v>
      </c>
      <c r="C104" s="1500" t="s">
        <v>1489</v>
      </c>
      <c r="D104" s="1499">
        <v>6.0347877016360991</v>
      </c>
      <c r="E104" s="1499">
        <v>5.2802326454490967</v>
      </c>
      <c r="F104" s="1499">
        <v>4.1105247181216233</v>
      </c>
      <c r="G104" s="1499">
        <v>3.9020282685014851</v>
      </c>
      <c r="H104" s="1499">
        <v>4.5211726527481995</v>
      </c>
      <c r="I104" s="1499">
        <v>6.8630699823027177</v>
      </c>
      <c r="J104" s="1499">
        <v>6.0781848656972537</v>
      </c>
      <c r="K104" s="113">
        <v>4.0714254632059612</v>
      </c>
    </row>
    <row r="105" spans="2:11" x14ac:dyDescent="0.3">
      <c r="B105" s="122">
        <v>0</v>
      </c>
      <c r="C105" s="1500" t="s">
        <v>1496</v>
      </c>
      <c r="D105" s="1499">
        <v>6.0328129290230157</v>
      </c>
      <c r="E105" s="1499">
        <v>5.2782578728360141</v>
      </c>
      <c r="F105" s="1499">
        <v>4.1085499455085417</v>
      </c>
      <c r="G105" s="1499">
        <v>3.9000534958884026</v>
      </c>
      <c r="H105" s="1499">
        <v>4.5191978801351169</v>
      </c>
      <c r="I105" s="1499">
        <v>6.8610952096896352</v>
      </c>
      <c r="J105" s="1499">
        <v>6.0762100930841703</v>
      </c>
      <c r="K105" s="113">
        <v>4.0694506905928787</v>
      </c>
    </row>
    <row r="106" spans="2:11" x14ac:dyDescent="0.3">
      <c r="B106" s="123"/>
      <c r="C106" s="1500" t="s">
        <v>1500</v>
      </c>
      <c r="D106" s="1499">
        <v>6.030838156409934</v>
      </c>
      <c r="E106" s="1499">
        <v>5.2762831002229316</v>
      </c>
      <c r="F106" s="1499">
        <v>4.1065751728954583</v>
      </c>
      <c r="G106" s="1499">
        <v>3.89807872327532</v>
      </c>
      <c r="H106" s="1499">
        <v>4.5172231075220344</v>
      </c>
      <c r="I106" s="1499">
        <v>6.8591204370765526</v>
      </c>
      <c r="J106" s="1499">
        <v>6.0742353204710886</v>
      </c>
      <c r="K106" s="113">
        <v>4.0674759179797961</v>
      </c>
    </row>
    <row r="107" spans="2:11" x14ac:dyDescent="0.3">
      <c r="B107" s="123"/>
      <c r="C107" s="1500" t="s">
        <v>1504</v>
      </c>
      <c r="D107" s="1499">
        <v>6.0341510342866851</v>
      </c>
      <c r="E107" s="1499">
        <v>5.2795582710768763</v>
      </c>
      <c r="F107" s="1499">
        <v>4.1098828851090579</v>
      </c>
      <c r="G107" s="1499">
        <v>3.9013742053081435</v>
      </c>
      <c r="H107" s="1499">
        <v>4.5205440264055916</v>
      </c>
      <c r="I107" s="1499">
        <v>6.8626039473948044</v>
      </c>
      <c r="J107" s="1499">
        <v>6.0775810588094474</v>
      </c>
      <c r="K107" s="113">
        <v>4.0707857536359455</v>
      </c>
    </row>
    <row r="108" spans="2:11" x14ac:dyDescent="0.3">
      <c r="B108" s="123"/>
      <c r="C108" s="1500" t="s">
        <v>1508</v>
      </c>
      <c r="D108" s="1499">
        <v>6.0330562735180262</v>
      </c>
      <c r="E108" s="1499">
        <v>5.2784635103082174</v>
      </c>
      <c r="F108" s="1499">
        <v>4.108788124340399</v>
      </c>
      <c r="G108" s="1499">
        <v>3.9002794445394851</v>
      </c>
      <c r="H108" s="1499">
        <v>4.5194492656369327</v>
      </c>
      <c r="I108" s="1499">
        <v>6.8615091866261464</v>
      </c>
      <c r="J108" s="1499">
        <v>6.0764862980407885</v>
      </c>
      <c r="K108" s="113">
        <v>4.0696909928672866</v>
      </c>
    </row>
    <row r="109" spans="2:11" x14ac:dyDescent="0.3">
      <c r="B109" s="123"/>
      <c r="C109" s="1500" t="s">
        <v>1513</v>
      </c>
      <c r="D109" s="1499">
        <v>6.0314141323650379</v>
      </c>
      <c r="E109" s="1499">
        <v>5.276821369155229</v>
      </c>
      <c r="F109" s="1499">
        <v>4.1071459831874106</v>
      </c>
      <c r="G109" s="1499">
        <v>3.8986373033864967</v>
      </c>
      <c r="H109" s="1499">
        <v>4.5178071244839444</v>
      </c>
      <c r="I109" s="1499">
        <v>6.8598670454731572</v>
      </c>
      <c r="J109" s="1499">
        <v>6.0748441568878002</v>
      </c>
      <c r="K109" s="113">
        <v>4.0680488517142983</v>
      </c>
    </row>
    <row r="110" spans="2:11" x14ac:dyDescent="0.3">
      <c r="B110" s="123"/>
      <c r="C110" s="1500" t="s">
        <v>1517</v>
      </c>
      <c r="D110" s="1499">
        <v>6.0297719912120495</v>
      </c>
      <c r="E110" s="1499">
        <v>5.2751792280022407</v>
      </c>
      <c r="F110" s="1499">
        <v>4.1055038420344232</v>
      </c>
      <c r="G110" s="1499">
        <v>3.8969951622335088</v>
      </c>
      <c r="H110" s="1499">
        <v>4.5161649833309561</v>
      </c>
      <c r="I110" s="1499">
        <v>6.8582249043201688</v>
      </c>
      <c r="J110" s="1499">
        <v>6.0732020157348119</v>
      </c>
      <c r="K110" s="113">
        <v>4.0664067105613109</v>
      </c>
    </row>
    <row r="111" spans="2:11" ht="14.5" thickBot="1" x14ac:dyDescent="0.35">
      <c r="B111" s="124"/>
      <c r="C111" s="125" t="s">
        <v>1519</v>
      </c>
      <c r="D111" s="117">
        <v>6.0361042167114878</v>
      </c>
      <c r="E111" s="117">
        <v>5.2815491605244853</v>
      </c>
      <c r="F111" s="117">
        <v>4.111841233197012</v>
      </c>
      <c r="G111" s="117">
        <v>3.9033447835768738</v>
      </c>
      <c r="H111" s="117">
        <v>4.5224891678235881</v>
      </c>
      <c r="I111" s="117">
        <v>6.8643864973781064</v>
      </c>
      <c r="J111" s="117">
        <v>6.0795013807726423</v>
      </c>
      <c r="K111" s="118">
        <v>4.0727419782813499</v>
      </c>
    </row>
    <row r="112" spans="2:11" x14ac:dyDescent="0.3">
      <c r="B112" s="119" t="s">
        <v>1985</v>
      </c>
      <c r="C112" s="108" t="s">
        <v>1416</v>
      </c>
      <c r="D112" s="109">
        <v>5.5466404731791297</v>
      </c>
      <c r="E112" s="109">
        <v>4.7925184673885566</v>
      </c>
      <c r="F112" s="109">
        <v>3.6221330205555278</v>
      </c>
      <c r="G112" s="109">
        <v>3.4137795300344207</v>
      </c>
      <c r="H112" s="109">
        <v>4.0332304697039749</v>
      </c>
      <c r="I112" s="109">
        <v>6.3759085288104966</v>
      </c>
      <c r="J112" s="109">
        <v>5.5907744120110472</v>
      </c>
      <c r="K112" s="110">
        <v>3.5832545911229903</v>
      </c>
    </row>
    <row r="113" spans="2:11" x14ac:dyDescent="0.3">
      <c r="B113" s="111"/>
      <c r="C113" s="112" t="s">
        <v>1483</v>
      </c>
      <c r="D113" s="1499">
        <v>5.556345698666969</v>
      </c>
      <c r="E113" s="1499">
        <v>4.8017906424799657</v>
      </c>
      <c r="F113" s="1499">
        <v>3.6320827151524928</v>
      </c>
      <c r="G113" s="1499">
        <v>3.4235862655323541</v>
      </c>
      <c r="H113" s="1499">
        <v>4.0427306497790685</v>
      </c>
      <c r="I113" s="1499">
        <v>6.3846279793335876</v>
      </c>
      <c r="J113" s="1499">
        <v>5.5997428627281236</v>
      </c>
      <c r="K113" s="113">
        <v>3.5929834602368302</v>
      </c>
    </row>
    <row r="114" spans="2:11" ht="14.5" thickBot="1" x14ac:dyDescent="0.35">
      <c r="B114" s="111" t="s">
        <v>1988</v>
      </c>
      <c r="C114" s="112" t="s">
        <v>1489</v>
      </c>
      <c r="D114" s="1499">
        <v>5.5550291835915804</v>
      </c>
      <c r="E114" s="1499">
        <v>4.8004741274045779</v>
      </c>
      <c r="F114" s="1501">
        <v>3.6307662000771042</v>
      </c>
      <c r="G114" s="1499">
        <v>3.4222697504569655</v>
      </c>
      <c r="H114" s="1499">
        <v>4.0414141347036798</v>
      </c>
      <c r="I114" s="1499">
        <v>6.383311464258199</v>
      </c>
      <c r="J114" s="1499">
        <v>5.5984263476527349</v>
      </c>
      <c r="K114" s="113">
        <v>3.5916669451614416</v>
      </c>
    </row>
    <row r="115" spans="2:11" ht="14.5" thickBot="1" x14ac:dyDescent="0.35">
      <c r="B115" s="114">
        <v>0</v>
      </c>
      <c r="C115" s="112" t="s">
        <v>1496</v>
      </c>
      <c r="D115" s="1499">
        <v>5.5530544109784969</v>
      </c>
      <c r="E115" s="1502">
        <v>4.7984993547914954</v>
      </c>
      <c r="F115" s="126">
        <v>3.6287914274640221</v>
      </c>
      <c r="G115" s="1503">
        <v>3.4202949778438834</v>
      </c>
      <c r="H115" s="1499">
        <v>4.0394393620905982</v>
      </c>
      <c r="I115" s="1499">
        <v>6.3813366916451155</v>
      </c>
      <c r="J115" s="1499">
        <v>5.5964515750396515</v>
      </c>
      <c r="K115" s="113">
        <v>3.5896921725483595</v>
      </c>
    </row>
    <row r="116" spans="2:11" x14ac:dyDescent="0.3">
      <c r="B116" s="115"/>
      <c r="C116" s="112" t="s">
        <v>1500</v>
      </c>
      <c r="D116" s="1499">
        <v>5.5510796383654144</v>
      </c>
      <c r="E116" s="1499">
        <v>4.7965245821784128</v>
      </c>
      <c r="F116" s="127">
        <v>3.6268166548509395</v>
      </c>
      <c r="G116" s="1499">
        <v>3.4183202052308008</v>
      </c>
      <c r="H116" s="1499">
        <v>4.0374645894775156</v>
      </c>
      <c r="I116" s="1499">
        <v>6.379361919032033</v>
      </c>
      <c r="J116" s="1499">
        <v>5.594476802426569</v>
      </c>
      <c r="K116" s="113">
        <v>3.5877173999352769</v>
      </c>
    </row>
    <row r="117" spans="2:11" x14ac:dyDescent="0.3">
      <c r="B117" s="115"/>
      <c r="C117" s="112" t="s">
        <v>1504</v>
      </c>
      <c r="D117" s="1499">
        <v>5.5543925162421663</v>
      </c>
      <c r="E117" s="1499">
        <v>4.7997997530323575</v>
      </c>
      <c r="F117" s="1499">
        <v>3.6301243670645391</v>
      </c>
      <c r="G117" s="1499">
        <v>3.4216156872636247</v>
      </c>
      <c r="H117" s="1499">
        <v>4.0407855083610729</v>
      </c>
      <c r="I117" s="1499">
        <v>6.3828454293502856</v>
      </c>
      <c r="J117" s="1499">
        <v>5.5978225407649287</v>
      </c>
      <c r="K117" s="113">
        <v>3.5910272355914268</v>
      </c>
    </row>
    <row r="118" spans="2:11" x14ac:dyDescent="0.3">
      <c r="B118" s="115"/>
      <c r="C118" s="112" t="s">
        <v>1508</v>
      </c>
      <c r="D118" s="1499">
        <v>5.5532977554735075</v>
      </c>
      <c r="E118" s="1499">
        <v>4.7987049922636977</v>
      </c>
      <c r="F118" s="1499">
        <v>3.6290296062958798</v>
      </c>
      <c r="G118" s="1499">
        <v>3.4205209264949659</v>
      </c>
      <c r="H118" s="1499">
        <v>4.039690747592414</v>
      </c>
      <c r="I118" s="1499">
        <v>6.3817506685816277</v>
      </c>
      <c r="J118" s="1499">
        <v>5.5967277799962698</v>
      </c>
      <c r="K118" s="113">
        <v>3.5899324748227674</v>
      </c>
    </row>
    <row r="119" spans="2:11" x14ac:dyDescent="0.3">
      <c r="B119" s="115"/>
      <c r="C119" s="112" t="s">
        <v>1513</v>
      </c>
      <c r="D119" s="1499">
        <v>5.5516556143205191</v>
      </c>
      <c r="E119" s="1499">
        <v>4.7970628511107103</v>
      </c>
      <c r="F119" s="1499">
        <v>3.6273874651428919</v>
      </c>
      <c r="G119" s="1499">
        <v>3.418878785341978</v>
      </c>
      <c r="H119" s="1499">
        <v>4.0380486064394256</v>
      </c>
      <c r="I119" s="1499">
        <v>6.3801085274286384</v>
      </c>
      <c r="J119" s="1499">
        <v>5.5950856388432815</v>
      </c>
      <c r="K119" s="113">
        <v>3.5882903336697796</v>
      </c>
    </row>
    <row r="120" spans="2:11" x14ac:dyDescent="0.3">
      <c r="B120" s="115"/>
      <c r="C120" s="112" t="s">
        <v>1517</v>
      </c>
      <c r="D120" s="1499">
        <v>5.5500134731675308</v>
      </c>
      <c r="E120" s="1499">
        <v>4.795420709957722</v>
      </c>
      <c r="F120" s="1499">
        <v>3.6257453239899036</v>
      </c>
      <c r="G120" s="1499">
        <v>3.4172366441889892</v>
      </c>
      <c r="H120" s="1499">
        <v>4.0364064652864373</v>
      </c>
      <c r="I120" s="1499">
        <v>6.3784663862756501</v>
      </c>
      <c r="J120" s="1499">
        <v>5.5934434976902931</v>
      </c>
      <c r="K120" s="113">
        <v>3.5866481925167912</v>
      </c>
    </row>
    <row r="121" spans="2:11" ht="14.5" thickBot="1" x14ac:dyDescent="0.35">
      <c r="B121" s="1233"/>
      <c r="C121" s="116" t="s">
        <v>1519</v>
      </c>
      <c r="D121" s="117">
        <v>5.556345698666969</v>
      </c>
      <c r="E121" s="117">
        <v>4.8017906424799657</v>
      </c>
      <c r="F121" s="117">
        <v>3.6320827151524928</v>
      </c>
      <c r="G121" s="117">
        <v>3.4235862655323541</v>
      </c>
      <c r="H121" s="117">
        <v>4.0427306497790685</v>
      </c>
      <c r="I121" s="117">
        <v>6.3846279793335876</v>
      </c>
      <c r="J121" s="117">
        <v>5.5997428627281236</v>
      </c>
      <c r="K121" s="118">
        <v>3.5929834602368302</v>
      </c>
    </row>
    <row r="122" spans="2:11" x14ac:dyDescent="0.3">
      <c r="B122" s="107" t="s">
        <v>1985</v>
      </c>
      <c r="C122" s="108" t="s">
        <v>1416</v>
      </c>
      <c r="D122" s="109">
        <v>5.06688195513461</v>
      </c>
      <c r="E122" s="109">
        <v>4.3127599493440378</v>
      </c>
      <c r="F122" s="109">
        <v>3.1423745025110086</v>
      </c>
      <c r="G122" s="109">
        <v>2.934021011989902</v>
      </c>
      <c r="H122" s="109">
        <v>3.5534719516594553</v>
      </c>
      <c r="I122" s="109">
        <v>5.8961500107659779</v>
      </c>
      <c r="J122" s="109">
        <v>5.1110158939665276</v>
      </c>
      <c r="K122" s="110">
        <v>3.1034960730784706</v>
      </c>
    </row>
    <row r="123" spans="2:11" x14ac:dyDescent="0.3">
      <c r="B123" s="111"/>
      <c r="C123" s="112" t="s">
        <v>1483</v>
      </c>
      <c r="D123" s="1499">
        <v>5.0765871806224485</v>
      </c>
      <c r="E123" s="1499">
        <v>4.3220321244354469</v>
      </c>
      <c r="F123" s="1499">
        <v>3.1523241971079741</v>
      </c>
      <c r="G123" s="1499">
        <v>2.9438277474878354</v>
      </c>
      <c r="H123" s="1499">
        <v>3.5629721317345497</v>
      </c>
      <c r="I123" s="1499">
        <v>5.9048694612890671</v>
      </c>
      <c r="J123" s="1499">
        <v>5.1199843446836031</v>
      </c>
      <c r="K123" s="113">
        <v>3.1132249421923115</v>
      </c>
    </row>
    <row r="124" spans="2:11" x14ac:dyDescent="0.3">
      <c r="B124" s="111" t="s">
        <v>1989</v>
      </c>
      <c r="C124" s="112" t="s">
        <v>1489</v>
      </c>
      <c r="D124" s="1499">
        <v>5.0752706655470607</v>
      </c>
      <c r="E124" s="1499">
        <v>4.3207156093600583</v>
      </c>
      <c r="F124" s="1499">
        <v>3.1510076820325854</v>
      </c>
      <c r="G124" s="1499">
        <v>2.9425112324124467</v>
      </c>
      <c r="H124" s="1499">
        <v>3.5616556166591611</v>
      </c>
      <c r="I124" s="1499">
        <v>5.9035529462136802</v>
      </c>
      <c r="J124" s="1499">
        <v>5.1186678296082153</v>
      </c>
      <c r="K124" s="113">
        <v>3.1119084271169228</v>
      </c>
    </row>
    <row r="125" spans="2:11" x14ac:dyDescent="0.3">
      <c r="B125" s="114">
        <v>0</v>
      </c>
      <c r="C125" s="112" t="s">
        <v>1496</v>
      </c>
      <c r="D125" s="1499">
        <v>5.0732958929339782</v>
      </c>
      <c r="E125" s="1499">
        <v>4.3187408367469766</v>
      </c>
      <c r="F125" s="1499">
        <v>3.1490329094195033</v>
      </c>
      <c r="G125" s="1499">
        <v>2.9405364597993646</v>
      </c>
      <c r="H125" s="1499">
        <v>3.559680844046079</v>
      </c>
      <c r="I125" s="1499">
        <v>5.9015781736005968</v>
      </c>
      <c r="J125" s="1499">
        <v>5.1166930569951328</v>
      </c>
      <c r="K125" s="113">
        <v>3.1099336545038407</v>
      </c>
    </row>
    <row r="126" spans="2:11" x14ac:dyDescent="0.3">
      <c r="B126" s="115"/>
      <c r="C126" s="112" t="s">
        <v>1500</v>
      </c>
      <c r="D126" s="1499">
        <v>5.0713211203208957</v>
      </c>
      <c r="E126" s="1499">
        <v>4.3167660641338932</v>
      </c>
      <c r="F126" s="1499">
        <v>3.1470581368064203</v>
      </c>
      <c r="G126" s="1499">
        <v>2.9385616871862816</v>
      </c>
      <c r="H126" s="1499">
        <v>3.557706071432996</v>
      </c>
      <c r="I126" s="1499">
        <v>5.8996034009875142</v>
      </c>
      <c r="J126" s="1499">
        <v>5.1147182843820502</v>
      </c>
      <c r="K126" s="113">
        <v>3.1079588818907578</v>
      </c>
    </row>
    <row r="127" spans="2:11" x14ac:dyDescent="0.3">
      <c r="B127" s="115"/>
      <c r="C127" s="112" t="s">
        <v>1504</v>
      </c>
      <c r="D127" s="1499">
        <v>5.0746339981976476</v>
      </c>
      <c r="E127" s="1499">
        <v>4.3200412349878379</v>
      </c>
      <c r="F127" s="1499">
        <v>3.1503658490200195</v>
      </c>
      <c r="G127" s="1499">
        <v>2.9418571692191056</v>
      </c>
      <c r="H127" s="1499">
        <v>3.5610269903165537</v>
      </c>
      <c r="I127" s="1499">
        <v>5.9030869113057669</v>
      </c>
      <c r="J127" s="1499">
        <v>5.1180640227204099</v>
      </c>
      <c r="K127" s="113">
        <v>3.1112687175469071</v>
      </c>
    </row>
    <row r="128" spans="2:11" x14ac:dyDescent="0.3">
      <c r="B128" s="115"/>
      <c r="C128" s="112" t="s">
        <v>1508</v>
      </c>
      <c r="D128" s="1499">
        <v>5.0735392374289887</v>
      </c>
      <c r="E128" s="1499">
        <v>4.318946474219179</v>
      </c>
      <c r="F128" s="1499">
        <v>3.149271088251361</v>
      </c>
      <c r="G128" s="1499">
        <v>2.9407624084504471</v>
      </c>
      <c r="H128" s="1499">
        <v>3.5599322295478943</v>
      </c>
      <c r="I128" s="1499">
        <v>5.9019921505371071</v>
      </c>
      <c r="J128" s="1499">
        <v>5.1169692619517511</v>
      </c>
      <c r="K128" s="113">
        <v>3.1101739567782487</v>
      </c>
    </row>
    <row r="129" spans="2:11" x14ac:dyDescent="0.3">
      <c r="B129" s="115"/>
      <c r="C129" s="112" t="s">
        <v>1513</v>
      </c>
      <c r="D129" s="1499">
        <v>5.0718970962759995</v>
      </c>
      <c r="E129" s="1499">
        <v>4.3173043330661907</v>
      </c>
      <c r="F129" s="1499">
        <v>3.1476289470983723</v>
      </c>
      <c r="G129" s="1499">
        <v>2.9391202672974583</v>
      </c>
      <c r="H129" s="1499">
        <v>3.558290088394906</v>
      </c>
      <c r="I129" s="1499">
        <v>5.9003500093841197</v>
      </c>
      <c r="J129" s="1499">
        <v>5.1153271207987618</v>
      </c>
      <c r="K129" s="113">
        <v>3.1085318156252604</v>
      </c>
    </row>
    <row r="130" spans="2:11" x14ac:dyDescent="0.3">
      <c r="B130" s="115"/>
      <c r="C130" s="112" t="s">
        <v>1517</v>
      </c>
      <c r="D130" s="1499">
        <v>5.0702549551230121</v>
      </c>
      <c r="E130" s="1499">
        <v>4.3156621919132032</v>
      </c>
      <c r="F130" s="1499">
        <v>3.1459868059453848</v>
      </c>
      <c r="G130" s="1499">
        <v>2.9374781261444705</v>
      </c>
      <c r="H130" s="1499">
        <v>3.5566479472419181</v>
      </c>
      <c r="I130" s="1499">
        <v>5.8987078682311314</v>
      </c>
      <c r="J130" s="1499">
        <v>5.1136849796457744</v>
      </c>
      <c r="K130" s="113">
        <v>3.1068896744722725</v>
      </c>
    </row>
    <row r="131" spans="2:11" ht="14.5" thickBot="1" x14ac:dyDescent="0.35">
      <c r="B131" s="1233"/>
      <c r="C131" s="116" t="s">
        <v>1519</v>
      </c>
      <c r="D131" s="117">
        <v>5.0765871806224485</v>
      </c>
      <c r="E131" s="117">
        <v>4.3220321244354469</v>
      </c>
      <c r="F131" s="117">
        <v>3.1523241971079741</v>
      </c>
      <c r="G131" s="117">
        <v>2.9438277474878354</v>
      </c>
      <c r="H131" s="117">
        <v>3.5629721317345497</v>
      </c>
      <c r="I131" s="117">
        <v>5.9048694612890671</v>
      </c>
      <c r="J131" s="117">
        <v>5.1199843446836031</v>
      </c>
      <c r="K131" s="118">
        <v>3.1132249421923115</v>
      </c>
    </row>
    <row r="132" spans="2:11" x14ac:dyDescent="0.3">
      <c r="B132" s="120" t="s">
        <v>1990</v>
      </c>
      <c r="C132" s="108" t="s">
        <v>1416</v>
      </c>
      <c r="D132" s="109">
        <v>5.7973292087686916</v>
      </c>
      <c r="E132" s="109">
        <v>5.0353219326435914</v>
      </c>
      <c r="F132" s="109">
        <v>3.8728404513268084</v>
      </c>
      <c r="G132" s="109">
        <v>3.6583506593589421</v>
      </c>
      <c r="H132" s="109">
        <v>4.2812241932551833</v>
      </c>
      <c r="I132" s="109">
        <v>6.6187628721384186</v>
      </c>
      <c r="J132" s="109">
        <v>5.8324466099252961</v>
      </c>
      <c r="K132" s="110">
        <v>3.8283270455631966</v>
      </c>
    </row>
    <row r="133" spans="2:11" x14ac:dyDescent="0.3">
      <c r="B133" s="111"/>
      <c r="C133" s="112" t="s">
        <v>1483</v>
      </c>
      <c r="D133" s="1499">
        <v>5.8072385942826452</v>
      </c>
      <c r="E133" s="1499">
        <v>5.0448378838333348</v>
      </c>
      <c r="F133" s="1499">
        <v>3.8829294360441344</v>
      </c>
      <c r="G133" s="1499">
        <v>3.6683227320963172</v>
      </c>
      <c r="H133" s="1499">
        <v>4.2908647473804722</v>
      </c>
      <c r="I133" s="1499">
        <v>6.6277030232631935</v>
      </c>
      <c r="J133" s="1499">
        <v>5.8417261528537603</v>
      </c>
      <c r="K133" s="113">
        <v>3.8383997526369567</v>
      </c>
    </row>
    <row r="134" spans="2:11" x14ac:dyDescent="0.3">
      <c r="B134" s="111" t="s">
        <v>1986</v>
      </c>
      <c r="C134" s="112" t="s">
        <v>1489</v>
      </c>
      <c r="D134" s="1499">
        <v>5.8059220792072574</v>
      </c>
      <c r="E134" s="1499">
        <v>5.0435213687579461</v>
      </c>
      <c r="F134" s="1499">
        <v>3.8816129209687458</v>
      </c>
      <c r="G134" s="1499">
        <v>3.6670062170209285</v>
      </c>
      <c r="H134" s="1499">
        <v>4.2895482323050835</v>
      </c>
      <c r="I134" s="1499">
        <v>6.6263865081878066</v>
      </c>
      <c r="J134" s="1499">
        <v>5.8404096377783716</v>
      </c>
      <c r="K134" s="113">
        <v>3.8370832375615684</v>
      </c>
    </row>
    <row r="135" spans="2:11" x14ac:dyDescent="0.3">
      <c r="B135" s="114">
        <v>0</v>
      </c>
      <c r="C135" s="112" t="s">
        <v>1496</v>
      </c>
      <c r="D135" s="1499">
        <v>5.8039473065941749</v>
      </c>
      <c r="E135" s="1499">
        <v>5.0415465961448636</v>
      </c>
      <c r="F135" s="1499">
        <v>3.8796381483556637</v>
      </c>
      <c r="G135" s="1499">
        <v>3.6650314444078465</v>
      </c>
      <c r="H135" s="1499">
        <v>4.2875734596920019</v>
      </c>
      <c r="I135" s="1499">
        <v>6.6244117355747232</v>
      </c>
      <c r="J135" s="1499">
        <v>5.83843486516529</v>
      </c>
      <c r="K135" s="113">
        <v>3.8351084649484859</v>
      </c>
    </row>
    <row r="136" spans="2:11" x14ac:dyDescent="0.3">
      <c r="B136" s="115"/>
      <c r="C136" s="112" t="s">
        <v>1500</v>
      </c>
      <c r="D136" s="1499">
        <v>5.8019725339810924</v>
      </c>
      <c r="E136" s="1499">
        <v>5.039571823531781</v>
      </c>
      <c r="F136" s="1499">
        <v>3.8776633757425807</v>
      </c>
      <c r="G136" s="1499">
        <v>3.6630566717947635</v>
      </c>
      <c r="H136" s="1499">
        <v>4.2855986870789184</v>
      </c>
      <c r="I136" s="1499">
        <v>6.6224369629616406</v>
      </c>
      <c r="J136" s="1499">
        <v>5.8364600925522074</v>
      </c>
      <c r="K136" s="113">
        <v>3.8331336923354029</v>
      </c>
    </row>
    <row r="137" spans="2:11" x14ac:dyDescent="0.3">
      <c r="B137" s="115"/>
      <c r="C137" s="112" t="s">
        <v>1504</v>
      </c>
      <c r="D137" s="1499">
        <v>5.8052841432647631</v>
      </c>
      <c r="E137" s="1499">
        <v>5.042847062758212</v>
      </c>
      <c r="F137" s="1499">
        <v>3.8808674741456319</v>
      </c>
      <c r="G137" s="1499">
        <v>3.6663187993419162</v>
      </c>
      <c r="H137" s="1499">
        <v>4.2889353403495276</v>
      </c>
      <c r="I137" s="1499">
        <v>6.6258191518216512</v>
      </c>
      <c r="J137" s="1499">
        <v>5.8397123799708508</v>
      </c>
      <c r="K137" s="113">
        <v>3.8363774660455983</v>
      </c>
    </row>
    <row r="138" spans="2:11" x14ac:dyDescent="0.3">
      <c r="B138" s="115"/>
      <c r="C138" s="112" t="s">
        <v>1508</v>
      </c>
      <c r="D138" s="1499">
        <v>5.8041893824961033</v>
      </c>
      <c r="E138" s="1499">
        <v>5.0417523019895532</v>
      </c>
      <c r="F138" s="1499">
        <v>3.879772713376973</v>
      </c>
      <c r="G138" s="1499">
        <v>3.6652240385732577</v>
      </c>
      <c r="H138" s="1499">
        <v>4.2878405795808687</v>
      </c>
      <c r="I138" s="1499">
        <v>6.6247243910529932</v>
      </c>
      <c r="J138" s="1499">
        <v>5.838617619202191</v>
      </c>
      <c r="K138" s="113">
        <v>3.8352827052769394</v>
      </c>
    </row>
    <row r="139" spans="2:11" x14ac:dyDescent="0.3">
      <c r="B139" s="115"/>
      <c r="C139" s="112" t="s">
        <v>1513</v>
      </c>
      <c r="D139" s="1499">
        <v>5.8025472413431158</v>
      </c>
      <c r="E139" s="1499">
        <v>5.0401101608365648</v>
      </c>
      <c r="F139" s="1499">
        <v>3.8781305722239847</v>
      </c>
      <c r="G139" s="1499">
        <v>3.6635818974202694</v>
      </c>
      <c r="H139" s="1499">
        <v>4.2861984384278804</v>
      </c>
      <c r="I139" s="1499">
        <v>6.6230822499000039</v>
      </c>
      <c r="J139" s="1499">
        <v>5.8369754780492036</v>
      </c>
      <c r="K139" s="113">
        <v>3.833640564123951</v>
      </c>
    </row>
    <row r="140" spans="2:11" x14ac:dyDescent="0.3">
      <c r="B140" s="115"/>
      <c r="C140" s="112" t="s">
        <v>1517</v>
      </c>
      <c r="D140" s="1499">
        <v>5.8009051001901275</v>
      </c>
      <c r="E140" s="1499">
        <v>5.0384680196835765</v>
      </c>
      <c r="F140" s="1499">
        <v>3.8764884310709968</v>
      </c>
      <c r="G140" s="1499">
        <v>3.6619397562672815</v>
      </c>
      <c r="H140" s="1499">
        <v>4.2845562972748921</v>
      </c>
      <c r="I140" s="1499">
        <v>6.6214401087470156</v>
      </c>
      <c r="J140" s="1499">
        <v>5.8353333368962153</v>
      </c>
      <c r="K140" s="113">
        <v>3.8319984229709632</v>
      </c>
    </row>
    <row r="141" spans="2:11" ht="14.5" thickBot="1" x14ac:dyDescent="0.35">
      <c r="B141" s="1233"/>
      <c r="C141" s="116" t="s">
        <v>1519</v>
      </c>
      <c r="D141" s="117">
        <v>5.8072385942826452</v>
      </c>
      <c r="E141" s="117">
        <v>5.0448378838333348</v>
      </c>
      <c r="F141" s="117">
        <v>3.8829294360441344</v>
      </c>
      <c r="G141" s="117">
        <v>3.6683227320963172</v>
      </c>
      <c r="H141" s="117">
        <v>4.2908647473804722</v>
      </c>
      <c r="I141" s="117">
        <v>6.6277030232631935</v>
      </c>
      <c r="J141" s="117">
        <v>5.8417261528537603</v>
      </c>
      <c r="K141" s="118">
        <v>3.8383997526369567</v>
      </c>
    </row>
    <row r="142" spans="2:11" x14ac:dyDescent="0.3">
      <c r="B142" s="120" t="s">
        <v>1990</v>
      </c>
      <c r="C142" s="108" t="s">
        <v>1416</v>
      </c>
      <c r="D142" s="109">
        <v>5.5263786447905057</v>
      </c>
      <c r="E142" s="109">
        <v>4.7643713686654046</v>
      </c>
      <c r="F142" s="109">
        <v>3.601889887348622</v>
      </c>
      <c r="G142" s="109">
        <v>3.3874000953807553</v>
      </c>
      <c r="H142" s="109">
        <v>4.0102736292769965</v>
      </c>
      <c r="I142" s="109">
        <v>6.3478123081602309</v>
      </c>
      <c r="J142" s="109">
        <v>5.5614960459471101</v>
      </c>
      <c r="K142" s="110">
        <v>3.5573764815850097</v>
      </c>
    </row>
    <row r="143" spans="2:11" x14ac:dyDescent="0.3">
      <c r="B143" s="111"/>
      <c r="C143" s="112" t="s">
        <v>1483</v>
      </c>
      <c r="D143" s="1499">
        <v>5.5362880303044593</v>
      </c>
      <c r="E143" s="1499">
        <v>4.7738873198551479</v>
      </c>
      <c r="F143" s="1499">
        <v>3.6119788720659476</v>
      </c>
      <c r="G143" s="1499">
        <v>3.3973721681181304</v>
      </c>
      <c r="H143" s="1499">
        <v>4.0199141834022853</v>
      </c>
      <c r="I143" s="1499">
        <v>6.3567524592850075</v>
      </c>
      <c r="J143" s="1499">
        <v>5.5707755888755743</v>
      </c>
      <c r="K143" s="113">
        <v>3.5674491886587703</v>
      </c>
    </row>
    <row r="144" spans="2:11" x14ac:dyDescent="0.3">
      <c r="B144" s="111" t="s">
        <v>1987</v>
      </c>
      <c r="C144" s="112" t="s">
        <v>1489</v>
      </c>
      <c r="D144" s="1499">
        <v>5.5349715152290706</v>
      </c>
      <c r="E144" s="1499">
        <v>4.7725708047797593</v>
      </c>
      <c r="F144" s="1499">
        <v>3.6106623569905594</v>
      </c>
      <c r="G144" s="1499">
        <v>3.3960556530427417</v>
      </c>
      <c r="H144" s="1499">
        <v>4.0185976683268967</v>
      </c>
      <c r="I144" s="1499">
        <v>6.3554359442096189</v>
      </c>
      <c r="J144" s="1499">
        <v>5.5694590738001857</v>
      </c>
      <c r="K144" s="113">
        <v>3.5661326735833816</v>
      </c>
    </row>
    <row r="145" spans="2:11" x14ac:dyDescent="0.3">
      <c r="B145" s="114">
        <v>0</v>
      </c>
      <c r="C145" s="112" t="s">
        <v>1496</v>
      </c>
      <c r="D145" s="1499">
        <v>5.5329967426159872</v>
      </c>
      <c r="E145" s="1499">
        <v>4.7705960321666767</v>
      </c>
      <c r="F145" s="1499">
        <v>3.6086875843774768</v>
      </c>
      <c r="G145" s="1499">
        <v>3.3940808804296596</v>
      </c>
      <c r="H145" s="1499">
        <v>4.016622895713815</v>
      </c>
      <c r="I145" s="1499">
        <v>6.3534611715965363</v>
      </c>
      <c r="J145" s="1499">
        <v>5.5674843011871031</v>
      </c>
      <c r="K145" s="113">
        <v>3.5641579009702991</v>
      </c>
    </row>
    <row r="146" spans="2:11" x14ac:dyDescent="0.3">
      <c r="B146" s="115"/>
      <c r="C146" s="112" t="s">
        <v>1500</v>
      </c>
      <c r="D146" s="1499">
        <v>5.5310219700029055</v>
      </c>
      <c r="E146" s="1499">
        <v>4.7686212595535942</v>
      </c>
      <c r="F146" s="1499">
        <v>3.6067128117643938</v>
      </c>
      <c r="G146" s="1499">
        <v>3.3921061078165766</v>
      </c>
      <c r="H146" s="1499">
        <v>4.0146481231007316</v>
      </c>
      <c r="I146" s="1499">
        <v>6.3514863989834547</v>
      </c>
      <c r="J146" s="1499">
        <v>5.5655095285740215</v>
      </c>
      <c r="K146" s="113">
        <v>3.5621831283572165</v>
      </c>
    </row>
    <row r="147" spans="2:11" x14ac:dyDescent="0.3">
      <c r="B147" s="115"/>
      <c r="C147" s="112" t="s">
        <v>1504</v>
      </c>
      <c r="D147" s="1499">
        <v>5.5343335792865753</v>
      </c>
      <c r="E147" s="1499">
        <v>4.7718964987800252</v>
      </c>
      <c r="F147" s="1499">
        <v>3.6099169101674451</v>
      </c>
      <c r="G147" s="1499">
        <v>3.3953682353637293</v>
      </c>
      <c r="H147" s="1499">
        <v>4.0179847763713408</v>
      </c>
      <c r="I147" s="1499">
        <v>6.3548685878434643</v>
      </c>
      <c r="J147" s="1499">
        <v>5.568761815992664</v>
      </c>
      <c r="K147" s="113">
        <v>3.5654269020674114</v>
      </c>
    </row>
    <row r="148" spans="2:11" x14ac:dyDescent="0.3">
      <c r="B148" s="115"/>
      <c r="C148" s="112" t="s">
        <v>1508</v>
      </c>
      <c r="D148" s="1499">
        <v>5.5332388185179173</v>
      </c>
      <c r="E148" s="1499">
        <v>4.7708017380113663</v>
      </c>
      <c r="F148" s="1499">
        <v>3.6088221493987866</v>
      </c>
      <c r="G148" s="1499">
        <v>3.3942734745950709</v>
      </c>
      <c r="H148" s="1499">
        <v>4.0168900156026819</v>
      </c>
      <c r="I148" s="1499">
        <v>6.3537738270748054</v>
      </c>
      <c r="J148" s="1499">
        <v>5.5676670552240051</v>
      </c>
      <c r="K148" s="113">
        <v>3.564332141298753</v>
      </c>
    </row>
    <row r="149" spans="2:11" x14ac:dyDescent="0.3">
      <c r="B149" s="115"/>
      <c r="C149" s="112" t="s">
        <v>1513</v>
      </c>
      <c r="D149" s="1499">
        <v>5.5315966773649281</v>
      </c>
      <c r="E149" s="1499">
        <v>4.769159596858378</v>
      </c>
      <c r="F149" s="1499">
        <v>3.6071800082457979</v>
      </c>
      <c r="G149" s="1499">
        <v>3.3926313334420826</v>
      </c>
      <c r="H149" s="1499">
        <v>4.0152478744496936</v>
      </c>
      <c r="I149" s="1499">
        <v>6.3521316859218171</v>
      </c>
      <c r="J149" s="1499">
        <v>5.5660249140710167</v>
      </c>
      <c r="K149" s="113">
        <v>3.5626900001457642</v>
      </c>
    </row>
    <row r="150" spans="2:11" x14ac:dyDescent="0.3">
      <c r="B150" s="115"/>
      <c r="C150" s="112" t="s">
        <v>1517</v>
      </c>
      <c r="D150" s="1499">
        <v>5.5299545362119398</v>
      </c>
      <c r="E150" s="1499">
        <v>4.7675174557053897</v>
      </c>
      <c r="F150" s="1499">
        <v>3.60553786709281</v>
      </c>
      <c r="G150" s="1499">
        <v>3.3909891922890947</v>
      </c>
      <c r="H150" s="1499">
        <v>4.0136057332967052</v>
      </c>
      <c r="I150" s="1499">
        <v>6.3504895447688288</v>
      </c>
      <c r="J150" s="1499">
        <v>5.5643827729180284</v>
      </c>
      <c r="K150" s="113">
        <v>3.5610478589927763</v>
      </c>
    </row>
    <row r="151" spans="2:11" ht="14.5" thickBot="1" x14ac:dyDescent="0.35">
      <c r="B151" s="1233"/>
      <c r="C151" s="116" t="s">
        <v>1519</v>
      </c>
      <c r="D151" s="117">
        <v>5.5362880303044593</v>
      </c>
      <c r="E151" s="117">
        <v>4.7738873198551479</v>
      </c>
      <c r="F151" s="117">
        <v>3.6119788720659476</v>
      </c>
      <c r="G151" s="117">
        <v>3.3973721681181304</v>
      </c>
      <c r="H151" s="117">
        <v>4.0199141834022853</v>
      </c>
      <c r="I151" s="117">
        <v>6.3567524592850075</v>
      </c>
      <c r="J151" s="117">
        <v>5.5707755888755743</v>
      </c>
      <c r="K151" s="118">
        <v>3.5674491886587703</v>
      </c>
    </row>
    <row r="152" spans="2:11" x14ac:dyDescent="0.3">
      <c r="B152" s="120" t="s">
        <v>1990</v>
      </c>
      <c r="C152" s="108" t="s">
        <v>1416</v>
      </c>
      <c r="D152" s="109">
        <v>5.1199527988232258</v>
      </c>
      <c r="E152" s="109">
        <v>4.3579455226981256</v>
      </c>
      <c r="F152" s="109">
        <v>3.1954640413813413</v>
      </c>
      <c r="G152" s="109">
        <v>2.9809742494134759</v>
      </c>
      <c r="H152" s="109">
        <v>3.6038477833097167</v>
      </c>
      <c r="I152" s="109">
        <v>5.9413864621929511</v>
      </c>
      <c r="J152" s="109">
        <v>5.1550701999798294</v>
      </c>
      <c r="K152" s="110">
        <v>3.1509506356177295</v>
      </c>
    </row>
    <row r="153" spans="2:11" x14ac:dyDescent="0.3">
      <c r="B153" s="111"/>
      <c r="C153" s="112" t="s">
        <v>1483</v>
      </c>
      <c r="D153" s="1499">
        <v>5.1298621843371786</v>
      </c>
      <c r="E153" s="1499">
        <v>4.3674614738878681</v>
      </c>
      <c r="F153" s="1499">
        <v>3.2055530260986673</v>
      </c>
      <c r="G153" s="1499">
        <v>2.9909463221508501</v>
      </c>
      <c r="H153" s="1499">
        <v>3.6134883374350055</v>
      </c>
      <c r="I153" s="1499">
        <v>5.9503266133177277</v>
      </c>
      <c r="J153" s="1499">
        <v>5.1643497429082945</v>
      </c>
      <c r="K153" s="113">
        <v>3.16102334269149</v>
      </c>
    </row>
    <row r="154" spans="2:11" x14ac:dyDescent="0.3">
      <c r="B154" s="111" t="s">
        <v>1988</v>
      </c>
      <c r="C154" s="112" t="s">
        <v>1489</v>
      </c>
      <c r="D154" s="1499">
        <v>5.1285456692617899</v>
      </c>
      <c r="E154" s="1499">
        <v>4.3661449588124794</v>
      </c>
      <c r="F154" s="1499">
        <v>3.2042365110232796</v>
      </c>
      <c r="G154" s="1499">
        <v>2.9896298070754614</v>
      </c>
      <c r="H154" s="1499">
        <v>3.6121718223596173</v>
      </c>
      <c r="I154" s="1499">
        <v>5.9490100982423391</v>
      </c>
      <c r="J154" s="1499">
        <v>5.1630332278329059</v>
      </c>
      <c r="K154" s="113">
        <v>3.1597068276161013</v>
      </c>
    </row>
    <row r="155" spans="2:11" x14ac:dyDescent="0.3">
      <c r="B155" s="114">
        <v>0</v>
      </c>
      <c r="C155" s="112" t="s">
        <v>1496</v>
      </c>
      <c r="D155" s="1499">
        <v>5.1265708966487082</v>
      </c>
      <c r="E155" s="1499">
        <v>4.3641701861993969</v>
      </c>
      <c r="F155" s="1499">
        <v>3.2022617384101966</v>
      </c>
      <c r="G155" s="1499">
        <v>2.9876550344623793</v>
      </c>
      <c r="H155" s="1499">
        <v>3.6101970497465343</v>
      </c>
      <c r="I155" s="1499">
        <v>5.9470353256292574</v>
      </c>
      <c r="J155" s="1499">
        <v>5.1610584552198233</v>
      </c>
      <c r="K155" s="113">
        <v>3.1577320550030188</v>
      </c>
    </row>
    <row r="156" spans="2:11" x14ac:dyDescent="0.3">
      <c r="B156" s="115"/>
      <c r="C156" s="112" t="s">
        <v>1500</v>
      </c>
      <c r="D156" s="1499">
        <v>5.1245961240356257</v>
      </c>
      <c r="E156" s="1499">
        <v>4.3621954135863144</v>
      </c>
      <c r="F156" s="1499">
        <v>3.200286965797114</v>
      </c>
      <c r="G156" s="1499">
        <v>2.9856802618492968</v>
      </c>
      <c r="H156" s="1499">
        <v>3.6082222771334522</v>
      </c>
      <c r="I156" s="1499">
        <v>5.945060553016174</v>
      </c>
      <c r="J156" s="1499">
        <v>5.1590836826067408</v>
      </c>
      <c r="K156" s="113">
        <v>3.1557572823899367</v>
      </c>
    </row>
    <row r="157" spans="2:11" x14ac:dyDescent="0.3">
      <c r="B157" s="115"/>
      <c r="C157" s="112" t="s">
        <v>1504</v>
      </c>
      <c r="D157" s="1499">
        <v>5.1279077333192955</v>
      </c>
      <c r="E157" s="1499">
        <v>4.3654706528127454</v>
      </c>
      <c r="F157" s="1499">
        <v>3.2034910642001653</v>
      </c>
      <c r="G157" s="1499">
        <v>2.98894238939645</v>
      </c>
      <c r="H157" s="1499">
        <v>3.611558930404061</v>
      </c>
      <c r="I157" s="1499">
        <v>5.9484427418761836</v>
      </c>
      <c r="J157" s="1499">
        <v>5.1623359700253841</v>
      </c>
      <c r="K157" s="113">
        <v>3.1590010561001316</v>
      </c>
    </row>
    <row r="158" spans="2:11" x14ac:dyDescent="0.3">
      <c r="B158" s="115"/>
      <c r="C158" s="112" t="s">
        <v>1508</v>
      </c>
      <c r="D158" s="1499">
        <v>5.1268129725506366</v>
      </c>
      <c r="E158" s="1499">
        <v>4.3643758920440865</v>
      </c>
      <c r="F158" s="1499">
        <v>3.2023963034315068</v>
      </c>
      <c r="G158" s="1499">
        <v>2.9878476286277911</v>
      </c>
      <c r="H158" s="1499">
        <v>3.6104641696354016</v>
      </c>
      <c r="I158" s="1499">
        <v>5.9473479811075247</v>
      </c>
      <c r="J158" s="1499">
        <v>5.1612412092567252</v>
      </c>
      <c r="K158" s="113">
        <v>3.1579062953314727</v>
      </c>
    </row>
    <row r="159" spans="2:11" x14ac:dyDescent="0.3">
      <c r="B159" s="115"/>
      <c r="C159" s="112" t="s">
        <v>1513</v>
      </c>
      <c r="D159" s="1499">
        <v>5.1251708313976483</v>
      </c>
      <c r="E159" s="1499">
        <v>4.3627337508910982</v>
      </c>
      <c r="F159" s="1499">
        <v>3.2007541622785185</v>
      </c>
      <c r="G159" s="1499">
        <v>2.9862054874748027</v>
      </c>
      <c r="H159" s="1499">
        <v>3.6088220284824137</v>
      </c>
      <c r="I159" s="1499">
        <v>5.9457058399545364</v>
      </c>
      <c r="J159" s="1499">
        <v>5.1595990681037369</v>
      </c>
      <c r="K159" s="113">
        <v>3.1562641541784848</v>
      </c>
    </row>
    <row r="160" spans="2:11" x14ac:dyDescent="0.3">
      <c r="B160" s="115"/>
      <c r="C160" s="112" t="s">
        <v>1517</v>
      </c>
      <c r="D160" s="1499">
        <v>5.12352869024466</v>
      </c>
      <c r="E160" s="1499">
        <v>4.3610916097381098</v>
      </c>
      <c r="F160" s="1499">
        <v>3.1991120211255297</v>
      </c>
      <c r="G160" s="1499">
        <v>2.9845633463218144</v>
      </c>
      <c r="H160" s="1499">
        <v>3.6071798873294254</v>
      </c>
      <c r="I160" s="1499">
        <v>5.9440636988015489</v>
      </c>
      <c r="J160" s="1499">
        <v>5.1579569269507486</v>
      </c>
      <c r="K160" s="113">
        <v>3.1546220130254961</v>
      </c>
    </row>
    <row r="161" spans="2:11" ht="14.5" thickBot="1" x14ac:dyDescent="0.35">
      <c r="B161" s="1233"/>
      <c r="C161" s="116" t="s">
        <v>1519</v>
      </c>
      <c r="D161" s="117">
        <v>5.1298621843371786</v>
      </c>
      <c r="E161" s="117">
        <v>4.3674614738878681</v>
      </c>
      <c r="F161" s="117">
        <v>3.2055530260986673</v>
      </c>
      <c r="G161" s="117">
        <v>2.9909463221508501</v>
      </c>
      <c r="H161" s="117">
        <v>3.6134883374350055</v>
      </c>
      <c r="I161" s="117">
        <v>5.9503266133177277</v>
      </c>
      <c r="J161" s="117">
        <v>5.1643497429082945</v>
      </c>
      <c r="K161" s="118">
        <v>3.16102334269149</v>
      </c>
    </row>
    <row r="162" spans="2:11" x14ac:dyDescent="0.3">
      <c r="B162" s="120" t="s">
        <v>1990</v>
      </c>
      <c r="C162" s="108" t="s">
        <v>1416</v>
      </c>
      <c r="D162" s="109">
        <v>4.713526952855946</v>
      </c>
      <c r="E162" s="109">
        <v>3.9515196767308449</v>
      </c>
      <c r="F162" s="109">
        <v>2.7890381954140615</v>
      </c>
      <c r="G162" s="109">
        <v>2.5745484034461952</v>
      </c>
      <c r="H162" s="109">
        <v>3.1974219373424368</v>
      </c>
      <c r="I162" s="109">
        <v>5.5349606162256721</v>
      </c>
      <c r="J162" s="109">
        <v>4.7486443540125496</v>
      </c>
      <c r="K162" s="110">
        <v>2.7445247896504497</v>
      </c>
    </row>
    <row r="163" spans="2:11" x14ac:dyDescent="0.3">
      <c r="B163" s="111"/>
      <c r="C163" s="112" t="s">
        <v>1483</v>
      </c>
      <c r="D163" s="1499">
        <v>4.7234363383698987</v>
      </c>
      <c r="E163" s="1499">
        <v>3.9610356279205874</v>
      </c>
      <c r="F163" s="1499">
        <v>2.7991271801313875</v>
      </c>
      <c r="G163" s="1499">
        <v>2.5845204761835703</v>
      </c>
      <c r="H163" s="1499">
        <v>3.2070624914677257</v>
      </c>
      <c r="I163" s="1499">
        <v>5.543900767350447</v>
      </c>
      <c r="J163" s="1499">
        <v>4.7579238969410138</v>
      </c>
      <c r="K163" s="113">
        <v>2.7545974967242093</v>
      </c>
    </row>
    <row r="164" spans="2:11" x14ac:dyDescent="0.3">
      <c r="B164" s="111" t="s">
        <v>1989</v>
      </c>
      <c r="C164" s="112" t="s">
        <v>1489</v>
      </c>
      <c r="D164" s="1499">
        <v>4.7221198232945101</v>
      </c>
      <c r="E164" s="1499">
        <v>3.9597191128451992</v>
      </c>
      <c r="F164" s="1499">
        <v>2.7978106650559993</v>
      </c>
      <c r="G164" s="1499">
        <v>2.5832039611081816</v>
      </c>
      <c r="H164" s="1499">
        <v>3.205745976392337</v>
      </c>
      <c r="I164" s="1499">
        <v>5.5425842522750601</v>
      </c>
      <c r="J164" s="1499">
        <v>4.756607381865626</v>
      </c>
      <c r="K164" s="113">
        <v>2.7532809816488215</v>
      </c>
    </row>
    <row r="165" spans="2:11" x14ac:dyDescent="0.3">
      <c r="B165" s="114">
        <v>0</v>
      </c>
      <c r="C165" s="112" t="s">
        <v>1496</v>
      </c>
      <c r="D165" s="1499">
        <v>4.7201450506814284</v>
      </c>
      <c r="E165" s="1499">
        <v>3.9577443402321171</v>
      </c>
      <c r="F165" s="1499">
        <v>2.7958358924429167</v>
      </c>
      <c r="G165" s="1499">
        <v>2.5812291884950995</v>
      </c>
      <c r="H165" s="1499">
        <v>3.2037712037792545</v>
      </c>
      <c r="I165" s="1499">
        <v>5.5406094796619767</v>
      </c>
      <c r="J165" s="1499">
        <v>4.7546326092525435</v>
      </c>
      <c r="K165" s="113">
        <v>2.751306209035739</v>
      </c>
    </row>
    <row r="166" spans="2:11" x14ac:dyDescent="0.3">
      <c r="B166" s="115"/>
      <c r="C166" s="112" t="s">
        <v>1500</v>
      </c>
      <c r="D166" s="1499">
        <v>4.718170278068345</v>
      </c>
      <c r="E166" s="1499">
        <v>3.9557695676190341</v>
      </c>
      <c r="F166" s="1499">
        <v>2.7938611198298338</v>
      </c>
      <c r="G166" s="1499">
        <v>2.5792544158820165</v>
      </c>
      <c r="H166" s="1499">
        <v>3.2017964311661715</v>
      </c>
      <c r="I166" s="1499">
        <v>5.5386347070488942</v>
      </c>
      <c r="J166" s="1499">
        <v>4.752657836639461</v>
      </c>
      <c r="K166" s="113">
        <v>2.7493314364226564</v>
      </c>
    </row>
    <row r="167" spans="2:11" x14ac:dyDescent="0.3">
      <c r="B167" s="115"/>
      <c r="C167" s="112" t="s">
        <v>1504</v>
      </c>
      <c r="D167" s="1499">
        <v>4.7214818873520157</v>
      </c>
      <c r="E167" s="1499">
        <v>3.9590448068454647</v>
      </c>
      <c r="F167" s="1499">
        <v>2.797065218232885</v>
      </c>
      <c r="G167" s="1499">
        <v>2.5825165434291697</v>
      </c>
      <c r="H167" s="1499">
        <v>3.2051330844367811</v>
      </c>
      <c r="I167" s="1499">
        <v>5.5420168959089047</v>
      </c>
      <c r="J167" s="1499">
        <v>4.7559101240581043</v>
      </c>
      <c r="K167" s="113">
        <v>2.7525752101328518</v>
      </c>
    </row>
    <row r="168" spans="2:11" x14ac:dyDescent="0.3">
      <c r="B168" s="115"/>
      <c r="C168" s="112" t="s">
        <v>1508</v>
      </c>
      <c r="D168" s="1499">
        <v>4.7203871265833568</v>
      </c>
      <c r="E168" s="1499">
        <v>3.9579500460768062</v>
      </c>
      <c r="F168" s="1499">
        <v>2.7959704574642266</v>
      </c>
      <c r="G168" s="1499">
        <v>2.5814217826605108</v>
      </c>
      <c r="H168" s="1499">
        <v>3.2040383236681218</v>
      </c>
      <c r="I168" s="1499">
        <v>5.5409221351402458</v>
      </c>
      <c r="J168" s="1499">
        <v>4.7548153632894454</v>
      </c>
      <c r="K168" s="113">
        <v>2.7514804493641929</v>
      </c>
    </row>
    <row r="169" spans="2:11" x14ac:dyDescent="0.3">
      <c r="B169" s="115"/>
      <c r="C169" s="112" t="s">
        <v>1513</v>
      </c>
      <c r="D169" s="1499">
        <v>4.7187449854303685</v>
      </c>
      <c r="E169" s="1499">
        <v>3.9563079049238179</v>
      </c>
      <c r="F169" s="1499">
        <v>2.7943283163112378</v>
      </c>
      <c r="G169" s="1499">
        <v>2.5797796415075225</v>
      </c>
      <c r="H169" s="1499">
        <v>3.2023961825151335</v>
      </c>
      <c r="I169" s="1499">
        <v>5.5392799939872575</v>
      </c>
      <c r="J169" s="1499">
        <v>4.7531732221364562</v>
      </c>
      <c r="K169" s="113">
        <v>2.7498383082112041</v>
      </c>
    </row>
    <row r="170" spans="2:11" x14ac:dyDescent="0.3">
      <c r="B170" s="115"/>
      <c r="C170" s="112" t="s">
        <v>1517</v>
      </c>
      <c r="D170" s="1499">
        <v>4.7171028442773801</v>
      </c>
      <c r="E170" s="1499">
        <v>3.95466576377083</v>
      </c>
      <c r="F170" s="1499">
        <v>2.7926861751582499</v>
      </c>
      <c r="G170" s="1499">
        <v>2.5781375003545346</v>
      </c>
      <c r="H170" s="1499">
        <v>3.2007540413621456</v>
      </c>
      <c r="I170" s="1499">
        <v>5.5376378528342691</v>
      </c>
      <c r="J170" s="1499">
        <v>4.7515310809834688</v>
      </c>
      <c r="K170" s="113">
        <v>2.7481961670582162</v>
      </c>
    </row>
    <row r="171" spans="2:11" ht="14.5" thickBot="1" x14ac:dyDescent="0.35">
      <c r="B171" s="1233"/>
      <c r="C171" s="116" t="s">
        <v>1519</v>
      </c>
      <c r="D171" s="117">
        <v>4.7234363383698987</v>
      </c>
      <c r="E171" s="117">
        <v>3.9610356279205874</v>
      </c>
      <c r="F171" s="117">
        <v>2.7991271801313875</v>
      </c>
      <c r="G171" s="117">
        <v>2.5845204761835703</v>
      </c>
      <c r="H171" s="117">
        <v>3.2070624914677257</v>
      </c>
      <c r="I171" s="117">
        <v>5.543900767350447</v>
      </c>
      <c r="J171" s="117">
        <v>4.7579238969410138</v>
      </c>
      <c r="K171" s="118">
        <v>2.7545974967242093</v>
      </c>
    </row>
    <row r="173" spans="2:11" ht="14.5" thickBot="1" x14ac:dyDescent="0.35"/>
    <row r="174" spans="2:11" ht="25.5" thickBot="1" x14ac:dyDescent="0.55000000000000004">
      <c r="B174" s="88" t="s">
        <v>1960</v>
      </c>
      <c r="C174" s="89"/>
      <c r="D174" s="90">
        <v>8</v>
      </c>
      <c r="E174" s="91" t="s">
        <v>1991</v>
      </c>
      <c r="F174" s="92"/>
      <c r="G174" s="92"/>
      <c r="H174" s="92"/>
      <c r="I174" s="93"/>
      <c r="J174" s="89" t="s">
        <v>176</v>
      </c>
      <c r="K174" s="94" t="s">
        <v>239</v>
      </c>
    </row>
    <row r="175" spans="2:11" ht="14.5" thickBot="1" x14ac:dyDescent="0.35">
      <c r="B175" s="95" t="s">
        <v>1962</v>
      </c>
      <c r="C175" s="96" t="s">
        <v>1963</v>
      </c>
      <c r="D175" s="95" t="s">
        <v>1964</v>
      </c>
      <c r="E175" s="97" t="s">
        <v>1965</v>
      </c>
      <c r="F175" s="97" t="s">
        <v>1966</v>
      </c>
      <c r="G175" s="97" t="s">
        <v>1967</v>
      </c>
      <c r="H175" s="97" t="s">
        <v>1968</v>
      </c>
      <c r="I175" s="97" t="s">
        <v>1969</v>
      </c>
      <c r="J175" s="97" t="s">
        <v>1970</v>
      </c>
      <c r="K175" s="98" t="s">
        <v>1971</v>
      </c>
    </row>
    <row r="176" spans="2:11" ht="14.5" thickBot="1" x14ac:dyDescent="0.35">
      <c r="B176" s="99"/>
      <c r="C176" s="99"/>
      <c r="D176" s="100"/>
      <c r="E176" s="944"/>
      <c r="F176" s="944"/>
      <c r="G176" s="944"/>
      <c r="H176" s="944"/>
      <c r="I176" s="944"/>
      <c r="J176" s="944"/>
      <c r="K176" s="102"/>
    </row>
    <row r="177" spans="2:11" ht="88" thickBot="1" x14ac:dyDescent="0.45">
      <c r="B177" s="103" t="s">
        <v>1972</v>
      </c>
      <c r="C177" s="103" t="s">
        <v>1973</v>
      </c>
      <c r="D177" s="105" t="s">
        <v>1974</v>
      </c>
      <c r="E177" s="105" t="s">
        <v>1525</v>
      </c>
      <c r="F177" s="105" t="s">
        <v>1527</v>
      </c>
      <c r="G177" s="105" t="s">
        <v>1975</v>
      </c>
      <c r="H177" s="105" t="s">
        <v>1976</v>
      </c>
      <c r="I177" s="105" t="s">
        <v>1445</v>
      </c>
      <c r="J177" s="105" t="s">
        <v>1538</v>
      </c>
      <c r="K177" s="106" t="s">
        <v>1541</v>
      </c>
    </row>
    <row r="178" spans="2:11" x14ac:dyDescent="0.3">
      <c r="B178" s="120" t="s">
        <v>1992</v>
      </c>
      <c r="C178" s="108" t="s">
        <v>1416</v>
      </c>
      <c r="D178" s="109">
        <v>13.139277155535</v>
      </c>
      <c r="E178" s="109">
        <v>12.545235209273594</v>
      </c>
      <c r="F178" s="109">
        <v>11.390706380824067</v>
      </c>
      <c r="G178" s="109">
        <v>11.222389037706041</v>
      </c>
      <c r="H178" s="109">
        <v>11.776532211778608</v>
      </c>
      <c r="I178" s="109">
        <v>14.055089645541809</v>
      </c>
      <c r="J178" s="109">
        <v>13.313175131197516</v>
      </c>
      <c r="K178" s="110">
        <v>11.392397021072588</v>
      </c>
    </row>
    <row r="179" spans="2:11" x14ac:dyDescent="0.3">
      <c r="B179" s="128"/>
      <c r="C179" s="112" t="s">
        <v>1483</v>
      </c>
      <c r="D179" s="1499">
        <v>13.147014473079764</v>
      </c>
      <c r="E179" s="1499">
        <v>12.55303793892581</v>
      </c>
      <c r="F179" s="1499">
        <v>11.399439199951649</v>
      </c>
      <c r="G179" s="1499">
        <v>11.230931675483063</v>
      </c>
      <c r="H179" s="1499">
        <v>11.784715869170517</v>
      </c>
      <c r="I179" s="1499">
        <v>14.062077417783279</v>
      </c>
      <c r="J179" s="1499">
        <v>13.320572911758328</v>
      </c>
      <c r="K179" s="113">
        <v>11.400851279723231</v>
      </c>
    </row>
    <row r="180" spans="2:11" x14ac:dyDescent="0.3">
      <c r="B180" s="128"/>
      <c r="C180" s="112" t="s">
        <v>1489</v>
      </c>
      <c r="D180" s="1499">
        <v>13.145697958004376</v>
      </c>
      <c r="E180" s="1499">
        <v>12.551721423850422</v>
      </c>
      <c r="F180" s="1499">
        <v>11.398122684876261</v>
      </c>
      <c r="G180" s="1499">
        <v>11.229615160407674</v>
      </c>
      <c r="H180" s="1499">
        <v>11.783399354095128</v>
      </c>
      <c r="I180" s="1499">
        <v>14.060760902707889</v>
      </c>
      <c r="J180" s="1499">
        <v>13.31925639668294</v>
      </c>
      <c r="K180" s="113">
        <v>11.399534764647843</v>
      </c>
    </row>
    <row r="181" spans="2:11" x14ac:dyDescent="0.3">
      <c r="B181" s="122">
        <v>0</v>
      </c>
      <c r="C181" s="112" t="s">
        <v>1496</v>
      </c>
      <c r="D181" s="1499">
        <v>13.143723185391295</v>
      </c>
      <c r="E181" s="1499">
        <v>12.54974665123734</v>
      </c>
      <c r="F181" s="1499">
        <v>11.39614791226318</v>
      </c>
      <c r="G181" s="1499">
        <v>11.227640387794592</v>
      </c>
      <c r="H181" s="1499">
        <v>11.781424581482046</v>
      </c>
      <c r="I181" s="1499">
        <v>14.058786130094807</v>
      </c>
      <c r="J181" s="1499">
        <v>13.317281624069858</v>
      </c>
      <c r="K181" s="113">
        <v>11.397559992034761</v>
      </c>
    </row>
    <row r="182" spans="2:11" x14ac:dyDescent="0.3">
      <c r="B182" s="123"/>
      <c r="C182" s="112" t="s">
        <v>1500</v>
      </c>
      <c r="D182" s="1499">
        <v>13.14174841277821</v>
      </c>
      <c r="E182" s="1499">
        <v>12.547771878624255</v>
      </c>
      <c r="F182" s="1499">
        <v>11.394173139650094</v>
      </c>
      <c r="G182" s="1499">
        <v>11.225665615181509</v>
      </c>
      <c r="H182" s="1499">
        <v>11.779449808868963</v>
      </c>
      <c r="I182" s="1499">
        <v>14.056811357481724</v>
      </c>
      <c r="J182" s="1499">
        <v>13.315306851456773</v>
      </c>
      <c r="K182" s="113">
        <v>11.395585219421678</v>
      </c>
    </row>
    <row r="183" spans="2:11" x14ac:dyDescent="0.3">
      <c r="B183" s="123"/>
      <c r="C183" s="112" t="s">
        <v>1504</v>
      </c>
      <c r="D183" s="1499">
        <v>13.144877706206668</v>
      </c>
      <c r="E183" s="1499">
        <v>12.551554123377565</v>
      </c>
      <c r="F183" s="1499">
        <v>11.397278580120782</v>
      </c>
      <c r="G183" s="1499">
        <v>11.229274251946689</v>
      </c>
      <c r="H183" s="1499">
        <v>11.78309713164357</v>
      </c>
      <c r="I183" s="1499">
        <v>14.060785816194931</v>
      </c>
      <c r="J183" s="1499">
        <v>13.319159986514363</v>
      </c>
      <c r="K183" s="113">
        <v>11.399213055108195</v>
      </c>
    </row>
    <row r="184" spans="2:11" x14ac:dyDescent="0.3">
      <c r="B184" s="123"/>
      <c r="C184" s="112" t="s">
        <v>1508</v>
      </c>
      <c r="D184" s="1499">
        <v>13.143782945438007</v>
      </c>
      <c r="E184" s="1499">
        <v>12.550459362608905</v>
      </c>
      <c r="F184" s="1499">
        <v>11.396183819352123</v>
      </c>
      <c r="G184" s="1499">
        <v>11.228179491178031</v>
      </c>
      <c r="H184" s="1499">
        <v>11.782002370874912</v>
      </c>
      <c r="I184" s="1499">
        <v>14.059691055426271</v>
      </c>
      <c r="J184" s="1499">
        <v>13.318065225745704</v>
      </c>
      <c r="K184" s="113">
        <v>11.398118294339534</v>
      </c>
    </row>
    <row r="185" spans="2:11" x14ac:dyDescent="0.3">
      <c r="B185" s="123"/>
      <c r="C185" s="112" t="s">
        <v>1513</v>
      </c>
      <c r="D185" s="1499">
        <v>13.142140804285019</v>
      </c>
      <c r="E185" s="1499">
        <v>12.548817221455916</v>
      </c>
      <c r="F185" s="1499">
        <v>11.394541678199134</v>
      </c>
      <c r="G185" s="1499">
        <v>11.226537350025042</v>
      </c>
      <c r="H185" s="1499">
        <v>11.780360229721923</v>
      </c>
      <c r="I185" s="1499">
        <v>14.058048914273282</v>
      </c>
      <c r="J185" s="1499">
        <v>13.316423084592715</v>
      </c>
      <c r="K185" s="113">
        <v>11.396476153186546</v>
      </c>
    </row>
    <row r="186" spans="2:11" x14ac:dyDescent="0.3">
      <c r="B186" s="123"/>
      <c r="C186" s="112" t="s">
        <v>1517</v>
      </c>
      <c r="D186" s="1499">
        <v>13.14049866313203</v>
      </c>
      <c r="E186" s="1499">
        <v>12.547175080302928</v>
      </c>
      <c r="F186" s="1499">
        <v>11.392899537046146</v>
      </c>
      <c r="G186" s="1499">
        <v>11.224895208872052</v>
      </c>
      <c r="H186" s="1499">
        <v>11.778718088568935</v>
      </c>
      <c r="I186" s="1499">
        <v>14.056406773120294</v>
      </c>
      <c r="J186" s="1499">
        <v>13.314780943439727</v>
      </c>
      <c r="K186" s="113">
        <v>11.394834012033558</v>
      </c>
    </row>
    <row r="187" spans="2:11" ht="14.5" thickBot="1" x14ac:dyDescent="0.35">
      <c r="B187" s="124"/>
      <c r="C187" s="116" t="s">
        <v>1519</v>
      </c>
      <c r="D187" s="117">
        <v>13.147014473079764</v>
      </c>
      <c r="E187" s="117">
        <v>12.55303793892581</v>
      </c>
      <c r="F187" s="117">
        <v>11.399439199951649</v>
      </c>
      <c r="G187" s="117">
        <v>11.230931675483063</v>
      </c>
      <c r="H187" s="117">
        <v>11.784715869170517</v>
      </c>
      <c r="I187" s="117">
        <v>14.062077417783279</v>
      </c>
      <c r="J187" s="117">
        <v>13.320572911758328</v>
      </c>
      <c r="K187" s="118">
        <v>11.400851279723231</v>
      </c>
    </row>
    <row r="188" spans="2:11" x14ac:dyDescent="0.3">
      <c r="B188" s="120" t="s">
        <v>1993</v>
      </c>
      <c r="C188" s="1234" t="s">
        <v>1416</v>
      </c>
      <c r="D188" s="109">
        <v>8.7484687539935457</v>
      </c>
      <c r="E188" s="109">
        <v>8.2061529761230254</v>
      </c>
      <c r="F188" s="109">
        <v>6.8851807023165437</v>
      </c>
      <c r="G188" s="109">
        <v>6.7527021956634066</v>
      </c>
      <c r="H188" s="109">
        <v>7.2760416324500188</v>
      </c>
      <c r="I188" s="109">
        <v>9.8936942087004862</v>
      </c>
      <c r="J188" s="109">
        <v>9.0694419276529725</v>
      </c>
      <c r="K188" s="110">
        <v>6.9413606059474295</v>
      </c>
    </row>
    <row r="189" spans="2:11" x14ac:dyDescent="0.3">
      <c r="B189" s="121"/>
      <c r="C189" s="1500" t="s">
        <v>1483</v>
      </c>
      <c r="D189" s="1499">
        <v>8.7599204290653336</v>
      </c>
      <c r="E189" s="1499">
        <v>8.2173871956270759</v>
      </c>
      <c r="F189" s="1499">
        <v>6.8974899697385617</v>
      </c>
      <c r="G189" s="1499">
        <v>6.7648234100538076</v>
      </c>
      <c r="H189" s="1499">
        <v>7.2877100152443104</v>
      </c>
      <c r="I189" s="1499">
        <v>9.9039673111208568</v>
      </c>
      <c r="J189" s="1499">
        <v>9.0802077137215402</v>
      </c>
      <c r="K189" s="113">
        <v>6.9533801019846866</v>
      </c>
    </row>
    <row r="190" spans="2:11" x14ac:dyDescent="0.3">
      <c r="B190" s="128"/>
      <c r="C190" s="1500" t="s">
        <v>1489</v>
      </c>
      <c r="D190" s="1499">
        <v>8.7586039139899459</v>
      </c>
      <c r="E190" s="1499">
        <v>8.2160706805516863</v>
      </c>
      <c r="F190" s="1499">
        <v>6.8961734546631739</v>
      </c>
      <c r="G190" s="1499">
        <v>6.7635068949784189</v>
      </c>
      <c r="H190" s="1499">
        <v>7.2863935001689217</v>
      </c>
      <c r="I190" s="1499">
        <v>9.9026507960454673</v>
      </c>
      <c r="J190" s="1499">
        <v>9.0788911986461525</v>
      </c>
      <c r="K190" s="113">
        <v>6.9520635869092979</v>
      </c>
    </row>
    <row r="191" spans="2:11" x14ac:dyDescent="0.3">
      <c r="B191" s="122">
        <v>0</v>
      </c>
      <c r="C191" s="1500" t="s">
        <v>1496</v>
      </c>
      <c r="D191" s="1499">
        <v>8.7566291413768624</v>
      </c>
      <c r="E191" s="1499">
        <v>8.2140959079386047</v>
      </c>
      <c r="F191" s="1499">
        <v>6.8941986820500905</v>
      </c>
      <c r="G191" s="1499">
        <v>6.7615321223653364</v>
      </c>
      <c r="H191" s="1499">
        <v>7.2844187275558392</v>
      </c>
      <c r="I191" s="1499">
        <v>9.9006760234323856</v>
      </c>
      <c r="J191" s="1499">
        <v>9.076916426033069</v>
      </c>
      <c r="K191" s="113">
        <v>6.9500888142962145</v>
      </c>
    </row>
    <row r="192" spans="2:11" x14ac:dyDescent="0.3">
      <c r="B192" s="123"/>
      <c r="C192" s="1500" t="s">
        <v>1500</v>
      </c>
      <c r="D192" s="1499">
        <v>8.7546543687637808</v>
      </c>
      <c r="E192" s="1499">
        <v>8.212121135325523</v>
      </c>
      <c r="F192" s="1499">
        <v>6.8922239094370088</v>
      </c>
      <c r="G192" s="1499">
        <v>6.7595573497522548</v>
      </c>
      <c r="H192" s="1499">
        <v>7.2824439549427575</v>
      </c>
      <c r="I192" s="1499">
        <v>9.898701250819304</v>
      </c>
      <c r="J192" s="1499">
        <v>9.0749416534199874</v>
      </c>
      <c r="K192" s="113">
        <v>6.9481140416831328</v>
      </c>
    </row>
    <row r="193" spans="2:11" x14ac:dyDescent="0.3">
      <c r="B193" s="123"/>
      <c r="C193" s="1500" t="s">
        <v>1504</v>
      </c>
      <c r="D193" s="1499">
        <v>8.7574793652992327</v>
      </c>
      <c r="E193" s="1499">
        <v>8.2151548659865057</v>
      </c>
      <c r="F193" s="1499">
        <v>6.8949603686828089</v>
      </c>
      <c r="G193" s="1499">
        <v>6.762366522374653</v>
      </c>
      <c r="H193" s="1499">
        <v>7.2853579407338369</v>
      </c>
      <c r="I193" s="1499">
        <v>9.9019821533085857</v>
      </c>
      <c r="J193" s="1499">
        <v>9.0780887641451447</v>
      </c>
      <c r="K193" s="113">
        <v>6.9509494405424901</v>
      </c>
    </row>
    <row r="194" spans="2:11" x14ac:dyDescent="0.3">
      <c r="B194" s="123"/>
      <c r="C194" s="1500" t="s">
        <v>1508</v>
      </c>
      <c r="D194" s="1499">
        <v>8.7563846045305755</v>
      </c>
      <c r="E194" s="1499">
        <v>8.2140601052178468</v>
      </c>
      <c r="F194" s="1499">
        <v>6.89386560791415</v>
      </c>
      <c r="G194" s="1499">
        <v>6.761271761605995</v>
      </c>
      <c r="H194" s="1499">
        <v>7.2842631799651789</v>
      </c>
      <c r="I194" s="1499">
        <v>9.9008873925399268</v>
      </c>
      <c r="J194" s="1499">
        <v>9.0769940033764858</v>
      </c>
      <c r="K194" s="113">
        <v>6.9498546797738312</v>
      </c>
    </row>
    <row r="195" spans="2:11" x14ac:dyDescent="0.3">
      <c r="B195" s="123"/>
      <c r="C195" s="1500" t="s">
        <v>1513</v>
      </c>
      <c r="D195" s="1499">
        <v>8.7547424633775854</v>
      </c>
      <c r="E195" s="1499">
        <v>8.2124179640648585</v>
      </c>
      <c r="F195" s="1499">
        <v>6.8922234667611617</v>
      </c>
      <c r="G195" s="1499">
        <v>6.7596296204530066</v>
      </c>
      <c r="H195" s="1499">
        <v>7.2826210388121906</v>
      </c>
      <c r="I195" s="1499">
        <v>9.8992452513869384</v>
      </c>
      <c r="J195" s="1499">
        <v>9.0753518622234974</v>
      </c>
      <c r="K195" s="113">
        <v>6.9482125386208429</v>
      </c>
    </row>
    <row r="196" spans="2:11" x14ac:dyDescent="0.3">
      <c r="B196" s="123"/>
      <c r="C196" s="1500" t="s">
        <v>1517</v>
      </c>
      <c r="D196" s="1499">
        <v>8.7531003222245971</v>
      </c>
      <c r="E196" s="1499">
        <v>8.2107758229118701</v>
      </c>
      <c r="F196" s="1499">
        <v>6.8905813256081734</v>
      </c>
      <c r="G196" s="1499">
        <v>6.7579874793000174</v>
      </c>
      <c r="H196" s="1499">
        <v>7.2809788976592014</v>
      </c>
      <c r="I196" s="1499">
        <v>9.8976031102339501</v>
      </c>
      <c r="J196" s="1499">
        <v>9.0737097210705091</v>
      </c>
      <c r="K196" s="113">
        <v>6.9465703974678545</v>
      </c>
    </row>
    <row r="197" spans="2:11" ht="14.5" thickBot="1" x14ac:dyDescent="0.35">
      <c r="B197" s="124"/>
      <c r="C197" s="125" t="s">
        <v>1519</v>
      </c>
      <c r="D197" s="117">
        <v>8.7599204290653336</v>
      </c>
      <c r="E197" s="117">
        <v>8.2173871956270759</v>
      </c>
      <c r="F197" s="117">
        <v>6.8974899697385617</v>
      </c>
      <c r="G197" s="117">
        <v>6.7648234100538076</v>
      </c>
      <c r="H197" s="117">
        <v>7.2877100152443104</v>
      </c>
      <c r="I197" s="117">
        <v>9.9039673111208568</v>
      </c>
      <c r="J197" s="117">
        <v>9.0802077137215402</v>
      </c>
      <c r="K197" s="118">
        <v>6.9533801019846866</v>
      </c>
    </row>
    <row r="198" spans="2:11" x14ac:dyDescent="0.3">
      <c r="B198" s="119" t="s">
        <v>1994</v>
      </c>
      <c r="C198" s="108" t="s">
        <v>1416</v>
      </c>
      <c r="D198" s="109">
        <v>12.580321508714158</v>
      </c>
      <c r="E198" s="109">
        <v>12.183596464807366</v>
      </c>
      <c r="F198" s="109">
        <v>10.83753369717372</v>
      </c>
      <c r="G198" s="109">
        <v>10.737776689921384</v>
      </c>
      <c r="H198" s="109">
        <v>11.188329818090672</v>
      </c>
      <c r="I198" s="109">
        <v>13.880584332212482</v>
      </c>
      <c r="J198" s="109">
        <v>13.054854414607156</v>
      </c>
      <c r="K198" s="110">
        <v>10.927070665285905</v>
      </c>
    </row>
    <row r="199" spans="2:11" x14ac:dyDescent="0.3">
      <c r="B199" s="111"/>
      <c r="C199" s="112" t="s">
        <v>1483</v>
      </c>
      <c r="D199" s="1499">
        <v>12.589177099520519</v>
      </c>
      <c r="E199" s="1499">
        <v>12.192531176095086</v>
      </c>
      <c r="F199" s="1499">
        <v>10.847555744419831</v>
      </c>
      <c r="G199" s="1499">
        <v>10.747588497079144</v>
      </c>
      <c r="H199" s="1499">
        <v>11.197728436681652</v>
      </c>
      <c r="I199" s="1499">
        <v>13.888544330244768</v>
      </c>
      <c r="J199" s="1499">
        <v>13.06329081552167</v>
      </c>
      <c r="K199" s="113">
        <v>10.936776657589878</v>
      </c>
    </row>
    <row r="200" spans="2:11" x14ac:dyDescent="0.3">
      <c r="B200" s="111"/>
      <c r="C200" s="112" t="s">
        <v>1489</v>
      </c>
      <c r="D200" s="1499">
        <v>12.58786058444513</v>
      </c>
      <c r="E200" s="1499">
        <v>12.191214661019698</v>
      </c>
      <c r="F200" s="1499">
        <v>10.846239229344443</v>
      </c>
      <c r="G200" s="1499">
        <v>10.746271982003757</v>
      </c>
      <c r="H200" s="1499">
        <v>11.196411921606263</v>
      </c>
      <c r="I200" s="1499">
        <v>13.88722781516938</v>
      </c>
      <c r="J200" s="1499">
        <v>13.06197430044628</v>
      </c>
      <c r="K200" s="113">
        <v>10.935460142514488</v>
      </c>
    </row>
    <row r="201" spans="2:11" x14ac:dyDescent="0.3">
      <c r="B201" s="114">
        <v>0</v>
      </c>
      <c r="C201" s="112" t="s">
        <v>1496</v>
      </c>
      <c r="D201" s="1499">
        <v>12.585885811832048</v>
      </c>
      <c r="E201" s="1499">
        <v>12.189239888406616</v>
      </c>
      <c r="F201" s="1499">
        <v>10.844264456731359</v>
      </c>
      <c r="G201" s="1499">
        <v>10.744297209390673</v>
      </c>
      <c r="H201" s="1499">
        <v>11.194437148993181</v>
      </c>
      <c r="I201" s="1499">
        <v>13.885253042556299</v>
      </c>
      <c r="J201" s="1499">
        <v>13.059999527833199</v>
      </c>
      <c r="K201" s="113">
        <v>10.933485369901407</v>
      </c>
    </row>
    <row r="202" spans="2:11" x14ac:dyDescent="0.3">
      <c r="B202" s="115"/>
      <c r="C202" s="112" t="s">
        <v>1500</v>
      </c>
      <c r="D202" s="1499">
        <v>12.583911039218965</v>
      </c>
      <c r="E202" s="1499">
        <v>12.187265115793531</v>
      </c>
      <c r="F202" s="1499">
        <v>10.842289684118278</v>
      </c>
      <c r="G202" s="1499">
        <v>10.742322436777592</v>
      </c>
      <c r="H202" s="1499">
        <v>11.192462376380098</v>
      </c>
      <c r="I202" s="1499">
        <v>13.883278269943213</v>
      </c>
      <c r="J202" s="1499">
        <v>13.058024755220115</v>
      </c>
      <c r="K202" s="113">
        <v>10.931510597288323</v>
      </c>
    </row>
    <row r="203" spans="2:11" x14ac:dyDescent="0.3">
      <c r="B203" s="115"/>
      <c r="C203" s="112" t="s">
        <v>1504</v>
      </c>
      <c r="D203" s="1499">
        <v>12.586836647658071</v>
      </c>
      <c r="E203" s="1499">
        <v>12.19092077423579</v>
      </c>
      <c r="F203" s="1499">
        <v>10.84517596675358</v>
      </c>
      <c r="G203" s="1499">
        <v>10.745756314448498</v>
      </c>
      <c r="H203" s="1499">
        <v>11.195951869250887</v>
      </c>
      <c r="I203" s="1499">
        <v>13.887184982505806</v>
      </c>
      <c r="J203" s="1499">
        <v>13.061790099507379</v>
      </c>
      <c r="K203" s="113">
        <v>10.934970480436224</v>
      </c>
    </row>
    <row r="204" spans="2:11" x14ac:dyDescent="0.3">
      <c r="B204" s="115"/>
      <c r="C204" s="112" t="s">
        <v>1508</v>
      </c>
      <c r="D204" s="1499">
        <v>12.585741886889412</v>
      </c>
      <c r="E204" s="1499">
        <v>12.189826013467131</v>
      </c>
      <c r="F204" s="1499">
        <v>10.844081205984921</v>
      </c>
      <c r="G204" s="1499">
        <v>10.744661553679839</v>
      </c>
      <c r="H204" s="1499">
        <v>11.194857108482227</v>
      </c>
      <c r="I204" s="1499">
        <v>13.886090221737147</v>
      </c>
      <c r="J204" s="1499">
        <v>13.060695338738718</v>
      </c>
      <c r="K204" s="113">
        <v>10.933875719667565</v>
      </c>
    </row>
    <row r="205" spans="2:11" x14ac:dyDescent="0.3">
      <c r="B205" s="115"/>
      <c r="C205" s="112" t="s">
        <v>1513</v>
      </c>
      <c r="D205" s="1499">
        <v>12.584099745736424</v>
      </c>
      <c r="E205" s="1499">
        <v>12.188183872314143</v>
      </c>
      <c r="F205" s="1499">
        <v>10.842439064831932</v>
      </c>
      <c r="G205" s="1499">
        <v>10.74301941252685</v>
      </c>
      <c r="H205" s="1499">
        <v>11.193214967329238</v>
      </c>
      <c r="I205" s="1499">
        <v>13.884448080584159</v>
      </c>
      <c r="J205" s="1499">
        <v>13.05905319758573</v>
      </c>
      <c r="K205" s="113">
        <v>10.932233578514577</v>
      </c>
    </row>
    <row r="206" spans="2:11" x14ac:dyDescent="0.3">
      <c r="B206" s="115"/>
      <c r="C206" s="112" t="s">
        <v>1517</v>
      </c>
      <c r="D206" s="1499">
        <v>12.582457604583436</v>
      </c>
      <c r="E206" s="1499">
        <v>12.186541731161155</v>
      </c>
      <c r="F206" s="1499">
        <v>10.840796923678944</v>
      </c>
      <c r="G206" s="1499">
        <v>10.741377271373862</v>
      </c>
      <c r="H206" s="1499">
        <v>11.19157282617625</v>
      </c>
      <c r="I206" s="1499">
        <v>13.88280593943117</v>
      </c>
      <c r="J206" s="1499">
        <v>13.057411056432741</v>
      </c>
      <c r="K206" s="113">
        <v>10.930591437361588</v>
      </c>
    </row>
    <row r="207" spans="2:11" ht="14.5" thickBot="1" x14ac:dyDescent="0.35">
      <c r="B207" s="1233"/>
      <c r="C207" s="116" t="s">
        <v>1519</v>
      </c>
      <c r="D207" s="117">
        <v>12.589177099520519</v>
      </c>
      <c r="E207" s="117">
        <v>12.192531176095086</v>
      </c>
      <c r="F207" s="117">
        <v>10.847555744419831</v>
      </c>
      <c r="G207" s="117">
        <v>10.747588497079144</v>
      </c>
      <c r="H207" s="117">
        <v>11.197728436681652</v>
      </c>
      <c r="I207" s="117">
        <v>13.888544330244768</v>
      </c>
      <c r="J207" s="117">
        <v>13.06329081552167</v>
      </c>
      <c r="K207" s="118">
        <v>10.936776657589878</v>
      </c>
    </row>
    <row r="208" spans="2:11" x14ac:dyDescent="0.3">
      <c r="B208" s="120" t="s">
        <v>1519</v>
      </c>
      <c r="C208" s="108" t="s">
        <v>1416</v>
      </c>
      <c r="D208" s="129">
        <v>6.346238003253327</v>
      </c>
      <c r="E208" s="109">
        <v>5.5921159974627557</v>
      </c>
      <c r="F208" s="109">
        <v>4.421730550629726</v>
      </c>
      <c r="G208" s="109">
        <v>4.2133770601086198</v>
      </c>
      <c r="H208" s="109">
        <v>4.8328279997781731</v>
      </c>
      <c r="I208" s="109">
        <v>7.1755060588846957</v>
      </c>
      <c r="J208" s="109">
        <v>6.3903719420852445</v>
      </c>
      <c r="K208" s="110">
        <v>4.382852121197188</v>
      </c>
    </row>
    <row r="209" spans="2:11" x14ac:dyDescent="0.3">
      <c r="B209" s="111"/>
      <c r="C209" s="112" t="s">
        <v>1483</v>
      </c>
      <c r="D209" s="130">
        <v>6.3559432287411664</v>
      </c>
      <c r="E209" s="1499">
        <v>5.6013881725541639</v>
      </c>
      <c r="F209" s="1499">
        <v>4.4316802452266915</v>
      </c>
      <c r="G209" s="1499">
        <v>4.2231837956065528</v>
      </c>
      <c r="H209" s="1499">
        <v>4.8423281798532676</v>
      </c>
      <c r="I209" s="1499">
        <v>7.1842255094077849</v>
      </c>
      <c r="J209" s="1499">
        <v>6.3993403928023209</v>
      </c>
      <c r="K209" s="113">
        <v>4.3925809903110293</v>
      </c>
    </row>
    <row r="210" spans="2:11" x14ac:dyDescent="0.3">
      <c r="B210" s="111"/>
      <c r="C210" s="112" t="s">
        <v>1489</v>
      </c>
      <c r="D210" s="130">
        <v>6.3546267136657777</v>
      </c>
      <c r="E210" s="1499">
        <v>5.600071657478777</v>
      </c>
      <c r="F210" s="1499">
        <v>4.4303637301513028</v>
      </c>
      <c r="G210" s="1499">
        <v>4.2218672805311641</v>
      </c>
      <c r="H210" s="1499">
        <v>4.8410116647778789</v>
      </c>
      <c r="I210" s="1499">
        <v>7.182908994332398</v>
      </c>
      <c r="J210" s="1499">
        <v>6.3980238777269323</v>
      </c>
      <c r="K210" s="113">
        <v>4.3912644752356407</v>
      </c>
    </row>
    <row r="211" spans="2:11" x14ac:dyDescent="0.3">
      <c r="B211" s="114">
        <v>0</v>
      </c>
      <c r="C211" s="112" t="s">
        <v>1496</v>
      </c>
      <c r="D211" s="130">
        <v>6.352651941052696</v>
      </c>
      <c r="E211" s="1499">
        <v>5.5980968848656936</v>
      </c>
      <c r="F211" s="1499">
        <v>4.4283889575382211</v>
      </c>
      <c r="G211" s="1499">
        <v>4.2198925079180825</v>
      </c>
      <c r="H211" s="1499">
        <v>4.8390368921647964</v>
      </c>
      <c r="I211" s="1499">
        <v>7.1809342217193146</v>
      </c>
      <c r="J211" s="1499">
        <v>6.3960491051138506</v>
      </c>
      <c r="K211" s="113">
        <v>4.3892897026225581</v>
      </c>
    </row>
    <row r="212" spans="2:11" x14ac:dyDescent="0.3">
      <c r="B212" s="115"/>
      <c r="C212" s="112" t="s">
        <v>1500</v>
      </c>
      <c r="D212" s="130">
        <v>6.3506771684396135</v>
      </c>
      <c r="E212" s="1499">
        <v>5.596122112252611</v>
      </c>
      <c r="F212" s="1499">
        <v>4.4264141849251377</v>
      </c>
      <c r="G212" s="1499">
        <v>4.217917735304999</v>
      </c>
      <c r="H212" s="1499">
        <v>4.8370621195517138</v>
      </c>
      <c r="I212" s="1499">
        <v>7.1789594491062321</v>
      </c>
      <c r="J212" s="1499">
        <v>6.3940743325007681</v>
      </c>
      <c r="K212" s="113">
        <v>4.3873149300094756</v>
      </c>
    </row>
    <row r="213" spans="2:11" x14ac:dyDescent="0.3">
      <c r="B213" s="115"/>
      <c r="C213" s="112" t="s">
        <v>1504</v>
      </c>
      <c r="D213" s="130">
        <v>6.3539900463163654</v>
      </c>
      <c r="E213" s="1499">
        <v>5.5993972831065557</v>
      </c>
      <c r="F213" s="1499">
        <v>4.4297218971387373</v>
      </c>
      <c r="G213" s="1499">
        <v>4.221213217337823</v>
      </c>
      <c r="H213" s="1499">
        <v>4.8403830384352711</v>
      </c>
      <c r="I213" s="1499">
        <v>7.1824429594244847</v>
      </c>
      <c r="J213" s="1499">
        <v>6.3974200708391278</v>
      </c>
      <c r="K213" s="113">
        <v>4.390624765665625</v>
      </c>
    </row>
    <row r="214" spans="2:11" x14ac:dyDescent="0.3">
      <c r="B214" s="115"/>
      <c r="C214" s="112" t="s">
        <v>1508</v>
      </c>
      <c r="D214" s="130">
        <v>6.3528952855477057</v>
      </c>
      <c r="E214" s="1499">
        <v>5.5983025223378968</v>
      </c>
      <c r="F214" s="1499">
        <v>4.4286271363700784</v>
      </c>
      <c r="G214" s="1499">
        <v>4.220118456569165</v>
      </c>
      <c r="H214" s="1499">
        <v>4.8392882776666122</v>
      </c>
      <c r="I214" s="1499">
        <v>7.181348198655825</v>
      </c>
      <c r="J214" s="1499">
        <v>6.3963253100704689</v>
      </c>
      <c r="K214" s="113">
        <v>4.3895300048969661</v>
      </c>
    </row>
    <row r="215" spans="2:11" x14ac:dyDescent="0.3">
      <c r="B215" s="115"/>
      <c r="C215" s="112" t="s">
        <v>1513</v>
      </c>
      <c r="D215" s="130">
        <v>6.3512531443947182</v>
      </c>
      <c r="E215" s="1499">
        <v>5.5966603811849085</v>
      </c>
      <c r="F215" s="1499">
        <v>4.4269849952170901</v>
      </c>
      <c r="G215" s="1499">
        <v>4.2184763154161757</v>
      </c>
      <c r="H215" s="1499">
        <v>4.8376461365136239</v>
      </c>
      <c r="I215" s="1499">
        <v>7.1797060575028375</v>
      </c>
      <c r="J215" s="1499">
        <v>6.3946831689174806</v>
      </c>
      <c r="K215" s="113">
        <v>4.3878878637439778</v>
      </c>
    </row>
    <row r="216" spans="2:11" x14ac:dyDescent="0.3">
      <c r="B216" s="115"/>
      <c r="C216" s="112" t="s">
        <v>1517</v>
      </c>
      <c r="D216" s="130">
        <v>6.3496110032417299</v>
      </c>
      <c r="E216" s="1499">
        <v>5.5950182400319202</v>
      </c>
      <c r="F216" s="1499">
        <v>4.4253428540641027</v>
      </c>
      <c r="G216" s="1499">
        <v>4.2168341742631883</v>
      </c>
      <c r="H216" s="1499">
        <v>4.8360039953606355</v>
      </c>
      <c r="I216" s="1499">
        <v>7.1780639163498492</v>
      </c>
      <c r="J216" s="1499">
        <v>6.3930410277644922</v>
      </c>
      <c r="K216" s="113">
        <v>4.3862457225909903</v>
      </c>
    </row>
    <row r="217" spans="2:11" ht="14.5" thickBot="1" x14ac:dyDescent="0.35">
      <c r="B217" s="1233"/>
      <c r="C217" s="116" t="s">
        <v>1519</v>
      </c>
      <c r="D217" s="131">
        <v>6.3559432287411664</v>
      </c>
      <c r="E217" s="117">
        <v>5.6013881725541639</v>
      </c>
      <c r="F217" s="117">
        <v>4.4316802452266915</v>
      </c>
      <c r="G217" s="117">
        <v>4.2231837956065528</v>
      </c>
      <c r="H217" s="117">
        <v>4.8423281798532676</v>
      </c>
      <c r="I217" s="117">
        <v>7.1842255094077849</v>
      </c>
      <c r="J217" s="117">
        <v>6.3993403928023209</v>
      </c>
      <c r="K217" s="118">
        <v>4.3925809903110293</v>
      </c>
    </row>
    <row r="228" spans="2:2" x14ac:dyDescent="0.3">
      <c r="B228" s="2"/>
    </row>
    <row r="229" spans="2:2" x14ac:dyDescent="0.3">
      <c r="B229" s="136"/>
    </row>
    <row r="230" spans="2:2" x14ac:dyDescent="0.3">
      <c r="B230" s="136"/>
    </row>
    <row r="231" spans="2:2" x14ac:dyDescent="0.3">
      <c r="B231" s="137"/>
    </row>
    <row r="238" spans="2:2" x14ac:dyDescent="0.3">
      <c r="B238" s="2"/>
    </row>
    <row r="239" spans="2:2" x14ac:dyDescent="0.3">
      <c r="B239" s="136"/>
    </row>
    <row r="240" spans="2:2" x14ac:dyDescent="0.3">
      <c r="B240" s="136"/>
    </row>
    <row r="241" spans="2:2" x14ac:dyDescent="0.3">
      <c r="B241" s="137"/>
    </row>
  </sheetData>
  <sheetProtection algorithmName="SHA-512" hashValue="PqoQ6+XanLqy4yLB1wmt3400ww71KXKcpQjUOSVr9aoaaEDYHPgy9NWMkn63g+kORVvaH0NslMexhJiuxHH+Xg==" saltValue="D0v9wQ9CG51xNtJjerB96w==" spinCount="100000" sheet="1" objects="1" scenarios="1" autoFilter="0"/>
  <pageMargins left="0.7" right="0.7" top="0.75" bottom="0.75" header="0.3" footer="0.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1">
    <tabColor theme="7"/>
  </sheetPr>
  <dimension ref="A1:W996"/>
  <sheetViews>
    <sheetView showGridLines="0" zoomScale="85" zoomScaleNormal="85" workbookViewId="0">
      <selection activeCell="F38" sqref="F38"/>
    </sheetView>
  </sheetViews>
  <sheetFormatPr defaultRowHeight="14" x14ac:dyDescent="0.3"/>
  <cols>
    <col min="1" max="1" width="4.58203125" customWidth="1"/>
    <col min="2" max="2" width="34" customWidth="1"/>
    <col min="3" max="3" width="37.08203125" customWidth="1"/>
    <col min="4" max="4" width="23" customWidth="1"/>
    <col min="5" max="5" width="25.5" customWidth="1"/>
    <col min="6" max="9" width="19.33203125" customWidth="1"/>
    <col min="10" max="12" width="16.08203125" customWidth="1"/>
  </cols>
  <sheetData>
    <row r="1" spans="1:23" x14ac:dyDescent="0.3">
      <c r="A1" s="1"/>
      <c r="B1" s="1"/>
      <c r="C1" s="1"/>
      <c r="D1" s="1"/>
      <c r="E1" s="1"/>
      <c r="F1" s="1"/>
      <c r="G1" s="1"/>
      <c r="H1" s="1"/>
      <c r="I1" s="1"/>
      <c r="J1" s="1"/>
      <c r="K1" s="1"/>
      <c r="L1" s="1"/>
      <c r="M1" s="1"/>
      <c r="N1" s="1"/>
      <c r="O1" s="1"/>
      <c r="P1" s="1"/>
      <c r="Q1" s="1"/>
      <c r="R1" s="1"/>
      <c r="S1" s="1"/>
      <c r="T1" s="1"/>
      <c r="U1" s="1"/>
      <c r="V1" s="1"/>
      <c r="W1" s="1"/>
    </row>
    <row r="2" spans="1:23" x14ac:dyDescent="0.3">
      <c r="A2" s="1"/>
      <c r="B2" s="1"/>
      <c r="C2" s="1"/>
      <c r="D2" s="1"/>
      <c r="E2" s="1"/>
      <c r="F2" s="1"/>
      <c r="G2" s="1"/>
      <c r="H2" s="1"/>
      <c r="I2" s="1"/>
      <c r="J2" s="1"/>
      <c r="K2" s="1"/>
      <c r="L2" s="1"/>
      <c r="M2" s="1"/>
      <c r="N2" s="1"/>
      <c r="O2" s="1"/>
      <c r="P2" s="1"/>
      <c r="Q2" s="1"/>
      <c r="R2" s="1"/>
      <c r="S2" s="1"/>
      <c r="T2" s="1"/>
      <c r="U2" s="1"/>
      <c r="V2" s="1"/>
      <c r="W2" s="1"/>
    </row>
    <row r="3" spans="1:23" x14ac:dyDescent="0.3">
      <c r="A3" s="1"/>
      <c r="B3" s="1"/>
      <c r="C3" s="1"/>
      <c r="D3" s="1"/>
      <c r="E3" s="1"/>
      <c r="F3" s="1"/>
      <c r="G3" s="1"/>
      <c r="H3" s="1"/>
      <c r="I3" s="1"/>
      <c r="J3" s="1"/>
      <c r="K3" s="1"/>
      <c r="L3" s="1"/>
      <c r="M3" s="1"/>
      <c r="N3" s="1"/>
      <c r="O3" s="1"/>
      <c r="P3" s="1"/>
      <c r="Q3" s="1"/>
      <c r="R3" s="1"/>
      <c r="S3" s="1"/>
      <c r="T3" s="1"/>
      <c r="U3" s="1"/>
      <c r="V3" s="1"/>
      <c r="W3" s="1"/>
    </row>
    <row r="4" spans="1:23" x14ac:dyDescent="0.3">
      <c r="A4" s="1"/>
      <c r="B4" s="1"/>
      <c r="C4" s="1"/>
      <c r="D4" s="1"/>
      <c r="E4" s="1"/>
      <c r="F4" s="1"/>
      <c r="G4" s="1"/>
      <c r="H4" s="1"/>
      <c r="I4" s="1"/>
      <c r="J4" s="1"/>
      <c r="K4" s="1"/>
      <c r="L4" s="1"/>
      <c r="M4" s="1"/>
      <c r="N4" s="1"/>
      <c r="O4" s="1"/>
      <c r="P4" s="1"/>
      <c r="Q4" s="1"/>
      <c r="R4" s="1"/>
      <c r="S4" s="1"/>
      <c r="T4" s="1"/>
      <c r="U4" s="1"/>
      <c r="V4" s="1"/>
      <c r="W4" s="1"/>
    </row>
    <row r="5" spans="1:23" x14ac:dyDescent="0.3">
      <c r="A5" s="1"/>
      <c r="B5" s="1"/>
      <c r="C5" s="1"/>
      <c r="D5" s="1"/>
      <c r="E5" s="1"/>
      <c r="F5" s="1"/>
      <c r="G5" s="1"/>
      <c r="H5" s="1"/>
      <c r="I5" s="1"/>
      <c r="J5" s="1"/>
      <c r="K5" s="1"/>
      <c r="L5" s="1"/>
      <c r="M5" s="1"/>
      <c r="N5" s="1"/>
      <c r="O5" s="1"/>
      <c r="P5" s="1"/>
      <c r="Q5" s="1"/>
      <c r="R5" s="1"/>
      <c r="S5" s="1"/>
      <c r="T5" s="1"/>
      <c r="U5" s="1"/>
      <c r="V5" s="1"/>
      <c r="W5" s="1"/>
    </row>
    <row r="6" spans="1:23" x14ac:dyDescent="0.3">
      <c r="A6" s="1"/>
      <c r="B6" s="1"/>
      <c r="C6" s="1"/>
      <c r="D6" s="1"/>
      <c r="E6" s="1"/>
      <c r="F6" s="1"/>
      <c r="G6" s="1"/>
      <c r="H6" s="1"/>
      <c r="I6" s="1"/>
      <c r="J6" s="1"/>
      <c r="K6" s="1"/>
      <c r="L6" s="1"/>
      <c r="M6" s="1"/>
      <c r="N6" s="1"/>
      <c r="O6" s="1"/>
      <c r="P6" s="1"/>
      <c r="Q6" s="1"/>
      <c r="R6" s="1"/>
      <c r="S6" s="1"/>
      <c r="T6" s="1"/>
      <c r="U6" s="1"/>
      <c r="V6" s="1"/>
      <c r="W6" s="1"/>
    </row>
    <row r="9" spans="1:23" x14ac:dyDescent="0.3">
      <c r="B9" s="2" t="s">
        <v>2008</v>
      </c>
      <c r="C9" s="2" t="s">
        <v>2009</v>
      </c>
    </row>
    <row r="11" spans="1:23" x14ac:dyDescent="0.3">
      <c r="B11" s="5" t="s">
        <v>2010</v>
      </c>
    </row>
    <row r="12" spans="1:23" x14ac:dyDescent="0.3">
      <c r="B12" s="5" t="s">
        <v>2011</v>
      </c>
    </row>
    <row r="13" spans="1:23" x14ac:dyDescent="0.3">
      <c r="B13" t="s">
        <v>445</v>
      </c>
      <c r="C13" t="s">
        <v>1219</v>
      </c>
      <c r="D13" t="s">
        <v>1253</v>
      </c>
    </row>
    <row r="14" spans="1:23" x14ac:dyDescent="0.3">
      <c r="B14" s="7">
        <v>2</v>
      </c>
      <c r="C14">
        <v>9.6</v>
      </c>
      <c r="D14">
        <v>9.3699999999999992</v>
      </c>
      <c r="E14" s="6"/>
      <c r="F14" s="6"/>
      <c r="G14" s="6"/>
      <c r="H14" s="6"/>
      <c r="I14" s="6"/>
    </row>
    <row r="15" spans="1:23" x14ac:dyDescent="0.3">
      <c r="B15" s="7">
        <v>3</v>
      </c>
      <c r="C15">
        <v>19.100000000000001</v>
      </c>
      <c r="D15">
        <v>14.75</v>
      </c>
      <c r="E15" s="6"/>
      <c r="F15" s="6"/>
      <c r="G15" s="6"/>
      <c r="H15" s="6"/>
      <c r="I15" s="6"/>
    </row>
    <row r="16" spans="1:23" x14ac:dyDescent="0.3">
      <c r="B16" s="7">
        <v>4</v>
      </c>
      <c r="C16">
        <v>10.25</v>
      </c>
      <c r="D16">
        <v>8.0399999999999991</v>
      </c>
      <c r="E16" s="6"/>
      <c r="F16" s="6"/>
      <c r="G16" s="6"/>
      <c r="H16" s="6"/>
      <c r="I16" s="6"/>
    </row>
    <row r="17" spans="2:10" x14ac:dyDescent="0.3">
      <c r="B17" s="7" t="s">
        <v>2012</v>
      </c>
      <c r="C17">
        <v>8.89</v>
      </c>
      <c r="D17">
        <v>8.32</v>
      </c>
      <c r="E17" s="6"/>
      <c r="F17" s="6"/>
      <c r="G17" s="6"/>
      <c r="H17" s="6"/>
      <c r="I17" s="6"/>
    </row>
    <row r="18" spans="2:10" x14ac:dyDescent="0.3">
      <c r="B18" s="7" t="s">
        <v>2013</v>
      </c>
      <c r="C18">
        <v>8.7899999999999991</v>
      </c>
      <c r="D18">
        <v>10.119999999999999</v>
      </c>
      <c r="E18" s="6"/>
      <c r="F18" s="6"/>
      <c r="G18" s="6"/>
      <c r="H18" s="6"/>
      <c r="I18" s="6"/>
    </row>
    <row r="19" spans="2:10" x14ac:dyDescent="0.3">
      <c r="B19" s="7">
        <v>6</v>
      </c>
      <c r="C19">
        <v>8.4499999999999993</v>
      </c>
      <c r="D19">
        <v>6.06</v>
      </c>
      <c r="E19" s="6"/>
      <c r="F19" s="6"/>
      <c r="G19" s="6"/>
      <c r="H19" s="6"/>
      <c r="I19" s="6"/>
    </row>
    <row r="20" spans="2:10" x14ac:dyDescent="0.3">
      <c r="B20" s="7">
        <v>7</v>
      </c>
      <c r="C20">
        <v>7.02</v>
      </c>
      <c r="D20">
        <v>7.96</v>
      </c>
      <c r="E20" s="6"/>
      <c r="F20" s="6"/>
      <c r="G20" s="6"/>
      <c r="H20" s="6"/>
      <c r="I20" s="6"/>
    </row>
    <row r="21" spans="2:10" x14ac:dyDescent="0.3">
      <c r="B21" s="7">
        <v>8</v>
      </c>
      <c r="C21">
        <v>4.93</v>
      </c>
      <c r="D21">
        <v>9.41</v>
      </c>
      <c r="E21" s="6"/>
      <c r="F21" s="6"/>
      <c r="G21" s="6"/>
      <c r="H21" s="6"/>
      <c r="I21" s="6"/>
    </row>
    <row r="22" spans="2:10" x14ac:dyDescent="0.3">
      <c r="E22" s="6"/>
      <c r="F22" s="6"/>
      <c r="G22" s="6"/>
      <c r="H22" s="6"/>
      <c r="I22" s="6"/>
    </row>
    <row r="23" spans="2:10" x14ac:dyDescent="0.3">
      <c r="B23" s="5" t="s">
        <v>2014</v>
      </c>
      <c r="E23" s="6"/>
      <c r="F23" s="6"/>
      <c r="G23" s="6"/>
      <c r="H23" s="6"/>
      <c r="I23" s="6"/>
    </row>
    <row r="24" spans="2:10" x14ac:dyDescent="0.3">
      <c r="B24" s="5" t="s">
        <v>2015</v>
      </c>
      <c r="E24" s="6"/>
      <c r="F24" s="6"/>
      <c r="G24" s="6"/>
      <c r="H24" s="6"/>
      <c r="I24" s="6"/>
    </row>
    <row r="25" spans="2:10" x14ac:dyDescent="0.3">
      <c r="B25" t="s">
        <v>1285</v>
      </c>
      <c r="C25" t="s">
        <v>2016</v>
      </c>
      <c r="D25" t="s">
        <v>2017</v>
      </c>
      <c r="E25" t="s">
        <v>2018</v>
      </c>
      <c r="F25" t="s">
        <v>2019</v>
      </c>
      <c r="G25" t="s">
        <v>2020</v>
      </c>
      <c r="H25" t="s">
        <v>2021</v>
      </c>
      <c r="I25" t="s">
        <v>2022</v>
      </c>
      <c r="J25" t="s">
        <v>2023</v>
      </c>
    </row>
    <row r="26" spans="2:10" x14ac:dyDescent="0.3">
      <c r="B26" s="14">
        <v>0</v>
      </c>
      <c r="C26" s="14">
        <v>1.49</v>
      </c>
      <c r="D26" s="14">
        <v>1.48</v>
      </c>
      <c r="E26" s="14">
        <v>1.08</v>
      </c>
      <c r="F26" s="14">
        <v>0.47</v>
      </c>
      <c r="G26" s="14">
        <v>0.41</v>
      </c>
      <c r="H26" s="14">
        <v>0.46</v>
      </c>
      <c r="I26" s="14">
        <v>1.05</v>
      </c>
      <c r="J26" s="14">
        <v>1.44</v>
      </c>
    </row>
    <row r="27" spans="2:10" x14ac:dyDescent="0.3">
      <c r="B27" s="14">
        <v>0.05</v>
      </c>
      <c r="C27" s="14">
        <v>1.44</v>
      </c>
      <c r="D27" s="14">
        <v>1.4</v>
      </c>
      <c r="E27" s="14">
        <v>1</v>
      </c>
      <c r="F27" s="14">
        <v>0.4</v>
      </c>
      <c r="G27" s="14">
        <v>0.34</v>
      </c>
      <c r="H27" s="14">
        <v>0.41</v>
      </c>
      <c r="I27" s="14">
        <v>0.97</v>
      </c>
      <c r="J27" s="14">
        <v>1.38</v>
      </c>
    </row>
    <row r="28" spans="2:10" x14ac:dyDescent="0.3">
      <c r="B28" s="14">
        <v>0.1</v>
      </c>
      <c r="C28" s="14">
        <v>1.38</v>
      </c>
      <c r="D28" s="14">
        <v>1.36</v>
      </c>
      <c r="E28" s="14">
        <v>0.95</v>
      </c>
      <c r="F28" s="14">
        <v>0.38</v>
      </c>
      <c r="G28" s="14">
        <v>0.32</v>
      </c>
      <c r="H28" s="14">
        <v>0.38</v>
      </c>
      <c r="I28" s="14">
        <v>0.93</v>
      </c>
      <c r="J28" s="14">
        <v>1.31</v>
      </c>
    </row>
    <row r="29" spans="2:10" x14ac:dyDescent="0.3">
      <c r="B29" s="14">
        <v>0.2</v>
      </c>
      <c r="C29" s="14">
        <v>1.21</v>
      </c>
      <c r="D29" s="14">
        <v>1.21</v>
      </c>
      <c r="E29" s="14">
        <v>0.85</v>
      </c>
      <c r="F29" s="14">
        <v>0.34</v>
      </c>
      <c r="G29" s="14">
        <v>0.3</v>
      </c>
      <c r="H29" s="14">
        <v>0.34</v>
      </c>
      <c r="I29" s="14">
        <v>0.84</v>
      </c>
      <c r="J29" s="14">
        <v>1.17</v>
      </c>
    </row>
    <row r="30" spans="2:10" x14ac:dyDescent="0.3">
      <c r="B30" s="14">
        <v>0.4</v>
      </c>
      <c r="C30" s="14">
        <v>1</v>
      </c>
      <c r="D30" s="14">
        <v>0.97</v>
      </c>
      <c r="E30" s="14">
        <v>0.68</v>
      </c>
      <c r="F30" s="14">
        <v>0.28000000000000003</v>
      </c>
      <c r="G30" s="14">
        <v>0.25</v>
      </c>
      <c r="H30" s="14">
        <v>0.28000000000000003</v>
      </c>
      <c r="I30" s="14">
        <v>0.7</v>
      </c>
      <c r="J30" s="14">
        <v>0.97</v>
      </c>
    </row>
    <row r="31" spans="2:10" x14ac:dyDescent="0.3">
      <c r="B31" s="14">
        <v>0.6</v>
      </c>
      <c r="C31" s="14">
        <v>0.83</v>
      </c>
      <c r="D31" s="14">
        <v>0.8</v>
      </c>
      <c r="E31" s="14">
        <v>0.6</v>
      </c>
      <c r="F31" s="14">
        <v>0.25</v>
      </c>
      <c r="G31" s="14">
        <v>0.22</v>
      </c>
      <c r="H31" s="14">
        <v>0.25</v>
      </c>
      <c r="I31" s="14">
        <v>0.59</v>
      </c>
      <c r="J31" s="14">
        <v>0.81</v>
      </c>
    </row>
    <row r="32" spans="2:10" x14ac:dyDescent="0.3">
      <c r="B32" s="14">
        <v>0.8</v>
      </c>
      <c r="C32" s="14">
        <v>0.62</v>
      </c>
      <c r="D32" s="14">
        <v>0.64</v>
      </c>
      <c r="E32" s="14">
        <v>0.49</v>
      </c>
      <c r="F32" s="14">
        <v>0.21</v>
      </c>
      <c r="G32" s="14">
        <v>0.21</v>
      </c>
      <c r="H32" s="14">
        <v>0.23</v>
      </c>
      <c r="I32" s="14">
        <v>0.51</v>
      </c>
      <c r="J32" s="14">
        <v>0.66</v>
      </c>
    </row>
    <row r="33" spans="2:10" x14ac:dyDescent="0.3">
      <c r="B33" s="14">
        <v>1</v>
      </c>
      <c r="C33" s="14">
        <v>0.43</v>
      </c>
      <c r="D33" s="14">
        <v>0.54</v>
      </c>
      <c r="E33" s="14">
        <v>0.4</v>
      </c>
      <c r="F33" s="14">
        <v>0.2</v>
      </c>
      <c r="G33" s="14">
        <v>0.2</v>
      </c>
      <c r="H33" s="14">
        <v>0.19</v>
      </c>
      <c r="I33" s="14">
        <v>0.43</v>
      </c>
      <c r="J33" s="14">
        <v>0.55000000000000004</v>
      </c>
    </row>
    <row r="34" spans="2:10" x14ac:dyDescent="0.3">
      <c r="B34" s="14">
        <v>1.2</v>
      </c>
      <c r="C34" s="14">
        <v>0.26</v>
      </c>
      <c r="D34" s="14">
        <v>0.43</v>
      </c>
      <c r="E34" s="14">
        <v>0.35</v>
      </c>
      <c r="F34" s="14">
        <v>0.18</v>
      </c>
      <c r="G34" s="14">
        <v>0.19</v>
      </c>
      <c r="H34" s="14">
        <v>0.18</v>
      </c>
      <c r="I34" s="14">
        <v>0.4</v>
      </c>
      <c r="J34" s="14">
        <v>0.45</v>
      </c>
    </row>
    <row r="35" spans="2:10" x14ac:dyDescent="0.3">
      <c r="B35" s="14">
        <v>1.4</v>
      </c>
      <c r="C35" s="14">
        <v>0.22</v>
      </c>
      <c r="D35" s="14">
        <v>0.37</v>
      </c>
      <c r="E35" s="14">
        <v>0.28999999999999998</v>
      </c>
      <c r="F35" s="14">
        <v>0.16</v>
      </c>
      <c r="G35" s="14">
        <v>0.18</v>
      </c>
      <c r="H35" s="14">
        <v>0.17</v>
      </c>
      <c r="I35" s="14">
        <v>0.36</v>
      </c>
      <c r="J35" s="14">
        <v>0.37</v>
      </c>
    </row>
    <row r="36" spans="2:10" x14ac:dyDescent="0.3">
      <c r="B36" s="14">
        <v>1.6</v>
      </c>
      <c r="C36" s="14">
        <v>0.18</v>
      </c>
      <c r="D36" s="14">
        <v>0.3</v>
      </c>
      <c r="E36" s="14">
        <v>0.28000000000000003</v>
      </c>
      <c r="F36" s="14">
        <v>0.16</v>
      </c>
      <c r="G36" s="14">
        <v>0.17</v>
      </c>
      <c r="H36" s="14">
        <v>0.16</v>
      </c>
      <c r="I36" s="14">
        <v>0.3</v>
      </c>
      <c r="J36" s="14">
        <v>0.33</v>
      </c>
    </row>
    <row r="37" spans="2:10" x14ac:dyDescent="0.3">
      <c r="B37" s="14">
        <v>1.8</v>
      </c>
      <c r="C37" s="14">
        <v>0.15</v>
      </c>
      <c r="D37" s="14">
        <v>0.26</v>
      </c>
      <c r="E37" s="14">
        <v>0.24</v>
      </c>
      <c r="F37" s="14">
        <v>0.15</v>
      </c>
      <c r="G37" s="14">
        <v>0.15</v>
      </c>
      <c r="H37" s="14">
        <v>0.15</v>
      </c>
      <c r="I37" s="14">
        <v>0.26</v>
      </c>
      <c r="J37" s="14">
        <v>0.27</v>
      </c>
    </row>
    <row r="38" spans="2:10" x14ac:dyDescent="0.3">
      <c r="B38" s="14">
        <v>2</v>
      </c>
      <c r="C38" s="14">
        <v>0.12</v>
      </c>
      <c r="D38" s="14">
        <v>0.19</v>
      </c>
      <c r="E38" s="14">
        <v>0.21</v>
      </c>
      <c r="F38" s="14">
        <v>0.14000000000000001</v>
      </c>
      <c r="G38" s="14">
        <v>0.15</v>
      </c>
      <c r="H38" s="14">
        <v>0.15</v>
      </c>
      <c r="I38" s="14">
        <v>0.25</v>
      </c>
      <c r="J38" s="14">
        <v>0.26</v>
      </c>
    </row>
    <row r="39" spans="2:10" x14ac:dyDescent="0.3">
      <c r="E39" s="6"/>
      <c r="F39" s="6"/>
      <c r="G39" s="6"/>
      <c r="H39" s="6"/>
      <c r="I39" s="6"/>
    </row>
    <row r="40" spans="2:10" x14ac:dyDescent="0.3">
      <c r="B40" s="5" t="s">
        <v>2024</v>
      </c>
      <c r="E40" s="6"/>
      <c r="F40" s="6"/>
      <c r="G40" s="6"/>
      <c r="H40" s="6"/>
      <c r="I40" s="6"/>
    </row>
    <row r="41" spans="2:10" x14ac:dyDescent="0.3">
      <c r="B41" s="5" t="s">
        <v>2025</v>
      </c>
      <c r="E41" s="6"/>
      <c r="F41" s="6"/>
      <c r="G41" s="6"/>
      <c r="H41" s="6"/>
      <c r="I41" s="6"/>
    </row>
    <row r="42" spans="2:10" x14ac:dyDescent="0.3">
      <c r="B42" t="s">
        <v>1285</v>
      </c>
      <c r="C42" t="s">
        <v>2016</v>
      </c>
      <c r="D42" t="s">
        <v>2017</v>
      </c>
      <c r="E42" t="s">
        <v>2018</v>
      </c>
      <c r="F42" t="s">
        <v>2019</v>
      </c>
      <c r="G42" t="s">
        <v>2020</v>
      </c>
      <c r="H42" t="s">
        <v>2021</v>
      </c>
      <c r="I42" t="s">
        <v>2022</v>
      </c>
      <c r="J42" t="s">
        <v>2023</v>
      </c>
    </row>
    <row r="43" spans="2:10" x14ac:dyDescent="0.3">
      <c r="B43" s="14">
        <v>0</v>
      </c>
      <c r="C43" s="14">
        <v>1.67</v>
      </c>
      <c r="D43" s="14">
        <v>1.36</v>
      </c>
      <c r="E43" s="14">
        <v>1.2</v>
      </c>
      <c r="F43" s="14">
        <v>0.52</v>
      </c>
      <c r="G43" s="14">
        <v>0.19</v>
      </c>
      <c r="H43" s="14">
        <v>0.85</v>
      </c>
      <c r="I43" s="14">
        <v>1.18</v>
      </c>
      <c r="J43" s="14">
        <v>1.51</v>
      </c>
    </row>
    <row r="44" spans="2:10" x14ac:dyDescent="0.3">
      <c r="B44" s="14">
        <v>0.05</v>
      </c>
      <c r="C44" s="14">
        <v>1.62</v>
      </c>
      <c r="D44" s="14">
        <v>1.29</v>
      </c>
      <c r="E44" s="14">
        <v>1.1200000000000001</v>
      </c>
      <c r="F44" s="14">
        <v>0.45</v>
      </c>
      <c r="G44" s="14">
        <v>0.16</v>
      </c>
      <c r="H44" s="14">
        <v>0.75</v>
      </c>
      <c r="I44" s="14">
        <v>1.0900000000000001</v>
      </c>
      <c r="J44" s="14">
        <v>1.45</v>
      </c>
    </row>
    <row r="45" spans="2:10" x14ac:dyDescent="0.3">
      <c r="B45" s="14">
        <v>0.1</v>
      </c>
      <c r="C45" s="14">
        <v>1.56</v>
      </c>
      <c r="D45" s="14">
        <v>1.26</v>
      </c>
      <c r="E45" s="14">
        <v>1.06</v>
      </c>
      <c r="F45" s="14">
        <v>0.42</v>
      </c>
      <c r="G45" s="14">
        <v>0.15</v>
      </c>
      <c r="H45" s="14">
        <v>0.71</v>
      </c>
      <c r="I45" s="14">
        <v>1.05</v>
      </c>
      <c r="J45" s="14">
        <v>1.37</v>
      </c>
    </row>
    <row r="46" spans="2:10" x14ac:dyDescent="0.3">
      <c r="B46" s="14">
        <v>0.2</v>
      </c>
      <c r="C46" s="14">
        <v>1.36</v>
      </c>
      <c r="D46" s="14">
        <v>1.1100000000000001</v>
      </c>
      <c r="E46" s="14">
        <v>0.95</v>
      </c>
      <c r="F46" s="14">
        <v>0.38</v>
      </c>
      <c r="G46" s="14">
        <v>0.14000000000000001</v>
      </c>
      <c r="H46" s="14">
        <v>0.62</v>
      </c>
      <c r="I46" s="14">
        <v>0.95</v>
      </c>
      <c r="J46" s="14">
        <v>1.22</v>
      </c>
    </row>
    <row r="47" spans="2:10" x14ac:dyDescent="0.3">
      <c r="B47" s="14">
        <v>0.4</v>
      </c>
      <c r="C47" s="14">
        <v>1.1299999999999999</v>
      </c>
      <c r="D47" s="14">
        <v>0.9</v>
      </c>
      <c r="E47" s="14">
        <v>0.76</v>
      </c>
      <c r="F47" s="14">
        <v>0.31</v>
      </c>
      <c r="G47" s="14">
        <v>0.12</v>
      </c>
      <c r="H47" s="14">
        <v>0.52</v>
      </c>
      <c r="I47" s="14">
        <v>0.79</v>
      </c>
      <c r="J47" s="14">
        <v>1.01</v>
      </c>
    </row>
    <row r="48" spans="2:10" x14ac:dyDescent="0.3">
      <c r="B48" s="14">
        <v>0.6</v>
      </c>
      <c r="C48" s="14">
        <v>0.94</v>
      </c>
      <c r="D48" s="14">
        <v>0.74</v>
      </c>
      <c r="E48" s="14">
        <v>0.67</v>
      </c>
      <c r="F48" s="14">
        <v>0.28000000000000003</v>
      </c>
      <c r="G48" s="14">
        <v>0.1</v>
      </c>
      <c r="H48" s="14">
        <v>0.46</v>
      </c>
      <c r="I48" s="14">
        <v>0.66</v>
      </c>
      <c r="J48" s="14">
        <v>0.85</v>
      </c>
    </row>
    <row r="49" spans="2:10" x14ac:dyDescent="0.3">
      <c r="B49" s="14">
        <v>0.8</v>
      </c>
      <c r="C49" s="14">
        <v>0.7</v>
      </c>
      <c r="D49" s="14">
        <v>0.59</v>
      </c>
      <c r="E49" s="14">
        <v>0.55000000000000004</v>
      </c>
      <c r="F49" s="14">
        <v>0.24</v>
      </c>
      <c r="G49" s="14">
        <v>0.1</v>
      </c>
      <c r="H49" s="14">
        <v>0.41</v>
      </c>
      <c r="I49" s="14">
        <v>0.56999999999999995</v>
      </c>
      <c r="J49" s="14">
        <v>0.69</v>
      </c>
    </row>
    <row r="50" spans="2:10" x14ac:dyDescent="0.3">
      <c r="B50" s="14">
        <v>1</v>
      </c>
      <c r="C50" s="14">
        <v>0.49</v>
      </c>
      <c r="D50" s="14">
        <v>0.5</v>
      </c>
      <c r="E50" s="14">
        <v>0.45</v>
      </c>
      <c r="F50" s="14">
        <v>0.22</v>
      </c>
      <c r="G50" s="14">
        <v>0.09</v>
      </c>
      <c r="H50" s="14">
        <v>0.35</v>
      </c>
      <c r="I50" s="14">
        <v>0.48</v>
      </c>
      <c r="J50" s="14">
        <v>0.56999999999999995</v>
      </c>
    </row>
    <row r="51" spans="2:10" x14ac:dyDescent="0.3">
      <c r="B51" s="14">
        <v>1.2</v>
      </c>
      <c r="C51" s="14">
        <v>0.3</v>
      </c>
      <c r="D51" s="14">
        <v>0.4</v>
      </c>
      <c r="E51" s="14">
        <v>0.39</v>
      </c>
      <c r="F51" s="14">
        <v>0.2</v>
      </c>
      <c r="G51" s="14">
        <v>0.09</v>
      </c>
      <c r="H51" s="14">
        <v>0.33</v>
      </c>
      <c r="I51" s="14">
        <v>0.46</v>
      </c>
      <c r="J51" s="14">
        <v>0.47</v>
      </c>
    </row>
    <row r="52" spans="2:10" x14ac:dyDescent="0.3">
      <c r="B52" s="14">
        <v>1.4</v>
      </c>
      <c r="C52" s="14">
        <v>0.25</v>
      </c>
      <c r="D52" s="14">
        <v>0.34</v>
      </c>
      <c r="E52" s="14">
        <v>0.32</v>
      </c>
      <c r="F52" s="14">
        <v>0.18</v>
      </c>
      <c r="G52" s="14">
        <v>0.08</v>
      </c>
      <c r="H52" s="14">
        <v>0.31</v>
      </c>
      <c r="I52" s="14">
        <v>0.4</v>
      </c>
      <c r="J52" s="14">
        <v>0.39</v>
      </c>
    </row>
    <row r="53" spans="2:10" x14ac:dyDescent="0.3">
      <c r="B53" s="14">
        <v>1.6</v>
      </c>
      <c r="C53" s="14">
        <v>0.2</v>
      </c>
      <c r="D53" s="14">
        <v>0.27</v>
      </c>
      <c r="E53" s="14">
        <v>0.31</v>
      </c>
      <c r="F53" s="14">
        <v>0.18</v>
      </c>
      <c r="G53" s="14">
        <v>0.08</v>
      </c>
      <c r="H53" s="14">
        <v>0.28999999999999998</v>
      </c>
      <c r="I53" s="14">
        <v>0.34</v>
      </c>
      <c r="J53" s="14">
        <v>0.35</v>
      </c>
    </row>
    <row r="54" spans="2:10" x14ac:dyDescent="0.3">
      <c r="B54" s="14">
        <v>1.8</v>
      </c>
      <c r="C54" s="14">
        <v>0.17</v>
      </c>
      <c r="D54" s="14">
        <v>0.24</v>
      </c>
      <c r="E54" s="14">
        <v>0.27</v>
      </c>
      <c r="F54" s="14">
        <v>0.17</v>
      </c>
      <c r="G54" s="14">
        <v>7.0000000000000007E-2</v>
      </c>
      <c r="H54" s="14">
        <v>0.27</v>
      </c>
      <c r="I54" s="14">
        <v>0.3</v>
      </c>
      <c r="J54" s="14">
        <v>0.28999999999999998</v>
      </c>
    </row>
    <row r="55" spans="2:10" x14ac:dyDescent="0.3">
      <c r="B55" s="14">
        <v>2</v>
      </c>
      <c r="C55" s="14">
        <v>0.14000000000000001</v>
      </c>
      <c r="D55" s="14">
        <v>0.18</v>
      </c>
      <c r="E55" s="14">
        <v>0.24</v>
      </c>
      <c r="F55" s="14">
        <v>0.16</v>
      </c>
      <c r="G55" s="14">
        <v>7.0000000000000007E-2</v>
      </c>
      <c r="H55" s="14">
        <v>0.27</v>
      </c>
      <c r="I55" s="14">
        <v>0.28999999999999998</v>
      </c>
      <c r="J55" s="14">
        <v>0.28000000000000003</v>
      </c>
    </row>
    <row r="56" spans="2:10" x14ac:dyDescent="0.3">
      <c r="E56" s="6"/>
      <c r="F56" s="6"/>
      <c r="G56" s="6"/>
      <c r="H56" s="6"/>
    </row>
    <row r="57" spans="2:10" x14ac:dyDescent="0.3">
      <c r="B57" s="5" t="s">
        <v>2026</v>
      </c>
    </row>
    <row r="58" spans="2:10" x14ac:dyDescent="0.3">
      <c r="B58" s="5" t="s">
        <v>2027</v>
      </c>
    </row>
    <row r="59" spans="2:10" x14ac:dyDescent="0.3">
      <c r="B59" t="s">
        <v>1285</v>
      </c>
      <c r="C59" t="s">
        <v>2016</v>
      </c>
      <c r="D59" t="s">
        <v>2017</v>
      </c>
      <c r="E59" t="s">
        <v>2018</v>
      </c>
      <c r="F59" t="s">
        <v>2019</v>
      </c>
      <c r="G59" t="s">
        <v>2020</v>
      </c>
      <c r="H59" t="s">
        <v>2021</v>
      </c>
      <c r="I59" t="s">
        <v>2022</v>
      </c>
      <c r="J59" t="s">
        <v>2023</v>
      </c>
    </row>
    <row r="60" spans="2:10" x14ac:dyDescent="0.3">
      <c r="B60" s="14">
        <v>0</v>
      </c>
      <c r="C60" s="14">
        <v>1.36</v>
      </c>
      <c r="D60" s="14">
        <v>1.1599999999999999</v>
      </c>
      <c r="E60" s="14">
        <v>0.75</v>
      </c>
      <c r="F60" s="14">
        <v>0.38</v>
      </c>
      <c r="G60" s="14">
        <v>0.38</v>
      </c>
      <c r="H60" s="14">
        <v>0.43</v>
      </c>
      <c r="I60" s="14">
        <v>1.05</v>
      </c>
      <c r="J60" s="14">
        <v>1.41</v>
      </c>
    </row>
    <row r="61" spans="2:10" x14ac:dyDescent="0.3">
      <c r="B61" s="14">
        <v>0.05</v>
      </c>
      <c r="C61" s="14">
        <v>1.35</v>
      </c>
      <c r="D61" s="14">
        <v>1.1200000000000001</v>
      </c>
      <c r="E61" s="14">
        <v>0.7</v>
      </c>
      <c r="F61" s="14">
        <v>0.33</v>
      </c>
      <c r="G61" s="14">
        <v>0.33</v>
      </c>
      <c r="H61" s="14">
        <v>0.38</v>
      </c>
      <c r="I61" s="14">
        <v>1</v>
      </c>
      <c r="J61" s="14">
        <v>1.38</v>
      </c>
    </row>
    <row r="62" spans="2:10" x14ac:dyDescent="0.3">
      <c r="B62" s="14">
        <v>0.1</v>
      </c>
      <c r="C62" s="14">
        <v>1.25</v>
      </c>
      <c r="D62" s="14">
        <v>1.07</v>
      </c>
      <c r="E62" s="14">
        <v>0.66</v>
      </c>
      <c r="F62" s="14">
        <v>0.32</v>
      </c>
      <c r="G62" s="14">
        <v>0.32</v>
      </c>
      <c r="H62" s="14">
        <v>0.37</v>
      </c>
      <c r="I62" s="14">
        <v>0.96</v>
      </c>
      <c r="J62" s="14">
        <v>1.3</v>
      </c>
    </row>
    <row r="63" spans="2:10" x14ac:dyDescent="0.3">
      <c r="B63" s="14">
        <v>0.2</v>
      </c>
      <c r="C63" s="14">
        <v>1.1100000000000001</v>
      </c>
      <c r="D63" s="14">
        <v>0.95</v>
      </c>
      <c r="E63" s="14">
        <v>0.6</v>
      </c>
      <c r="F63" s="14">
        <v>0.28000000000000003</v>
      </c>
      <c r="G63" s="14">
        <v>0.3</v>
      </c>
      <c r="H63" s="14">
        <v>0.33</v>
      </c>
      <c r="I63" s="14">
        <v>0.86</v>
      </c>
      <c r="J63" s="14">
        <v>1.18</v>
      </c>
    </row>
    <row r="64" spans="2:10" x14ac:dyDescent="0.3">
      <c r="B64" s="14">
        <v>0.4</v>
      </c>
      <c r="C64" s="14">
        <v>0.89</v>
      </c>
      <c r="D64" s="14">
        <v>0.78</v>
      </c>
      <c r="E64" s="14">
        <v>0.51</v>
      </c>
      <c r="F64" s="14">
        <v>0.24</v>
      </c>
      <c r="G64" s="14">
        <v>0.27</v>
      </c>
      <c r="H64" s="14">
        <v>0.27</v>
      </c>
      <c r="I64" s="14">
        <v>0.74</v>
      </c>
      <c r="J64" s="14">
        <v>0.98</v>
      </c>
    </row>
    <row r="65" spans="2:10" x14ac:dyDescent="0.3">
      <c r="B65" s="14">
        <v>0.6</v>
      </c>
      <c r="C65" s="14">
        <v>0.67</v>
      </c>
      <c r="D65" s="14">
        <v>0.6</v>
      </c>
      <c r="E65" s="14">
        <v>0.41</v>
      </c>
      <c r="F65" s="14">
        <v>0.21</v>
      </c>
      <c r="G65" s="14">
        <v>0.26</v>
      </c>
      <c r="H65" s="14">
        <v>0.23</v>
      </c>
      <c r="I65" s="14">
        <v>0.59</v>
      </c>
      <c r="J65" s="14">
        <v>0.79</v>
      </c>
    </row>
    <row r="66" spans="2:10" x14ac:dyDescent="0.3">
      <c r="B66" s="14">
        <v>0.8</v>
      </c>
      <c r="C66" s="14">
        <v>0.45</v>
      </c>
      <c r="D66" s="14">
        <v>0.48</v>
      </c>
      <c r="E66" s="14">
        <v>0.37</v>
      </c>
      <c r="F66" s="14">
        <v>0.19</v>
      </c>
      <c r="G66" s="14">
        <v>0.23</v>
      </c>
      <c r="H66" s="14">
        <v>0.22</v>
      </c>
      <c r="I66" s="14">
        <v>0.51</v>
      </c>
      <c r="J66" s="14">
        <v>0.63</v>
      </c>
    </row>
    <row r="67" spans="2:10" x14ac:dyDescent="0.3">
      <c r="B67" s="14">
        <v>1</v>
      </c>
      <c r="C67" s="14">
        <v>0.3</v>
      </c>
      <c r="D67" s="14">
        <v>0.41</v>
      </c>
      <c r="E67" s="14">
        <v>0.3</v>
      </c>
      <c r="F67" s="14">
        <v>0.17</v>
      </c>
      <c r="G67" s="14">
        <v>0.21</v>
      </c>
      <c r="H67" s="14">
        <v>0.21</v>
      </c>
      <c r="I67" s="14">
        <v>0.45</v>
      </c>
      <c r="J67" s="14">
        <v>0.51</v>
      </c>
    </row>
    <row r="68" spans="2:10" x14ac:dyDescent="0.3">
      <c r="B68" s="14">
        <v>1.2</v>
      </c>
      <c r="C68" s="14">
        <v>0.21</v>
      </c>
      <c r="D68" s="14">
        <v>0.31</v>
      </c>
      <c r="E68" s="14">
        <v>0.26</v>
      </c>
      <c r="F68" s="14">
        <v>0.15</v>
      </c>
      <c r="G68" s="14">
        <v>0.21</v>
      </c>
      <c r="H68" s="14">
        <v>0.18</v>
      </c>
      <c r="I68" s="14">
        <v>0.37</v>
      </c>
      <c r="J68" s="14">
        <v>0.43</v>
      </c>
    </row>
    <row r="69" spans="2:10" x14ac:dyDescent="0.3">
      <c r="B69" s="14">
        <v>1.4</v>
      </c>
      <c r="C69" s="14">
        <v>0.16</v>
      </c>
      <c r="D69" s="14">
        <v>0.28000000000000003</v>
      </c>
      <c r="E69" s="14">
        <v>0.21</v>
      </c>
      <c r="F69" s="14">
        <v>0.14000000000000001</v>
      </c>
      <c r="G69" s="14">
        <v>0.2</v>
      </c>
      <c r="H69" s="14">
        <v>0.17</v>
      </c>
      <c r="I69" s="14">
        <v>0.33</v>
      </c>
      <c r="J69" s="14">
        <v>0.37</v>
      </c>
    </row>
    <row r="70" spans="2:10" x14ac:dyDescent="0.3">
      <c r="B70" s="14">
        <v>1.6</v>
      </c>
      <c r="C70" s="14">
        <v>0.12</v>
      </c>
      <c r="D70" s="14">
        <v>0.24</v>
      </c>
      <c r="E70" s="14">
        <v>0.2</v>
      </c>
      <c r="F70" s="14">
        <v>0.13</v>
      </c>
      <c r="G70" s="14">
        <v>0.18</v>
      </c>
      <c r="H70" s="14">
        <v>0.16</v>
      </c>
      <c r="I70" s="14">
        <v>0.32</v>
      </c>
      <c r="J70" s="14">
        <v>0.31</v>
      </c>
    </row>
    <row r="71" spans="2:10" x14ac:dyDescent="0.3">
      <c r="B71" s="14">
        <v>1.8</v>
      </c>
      <c r="C71" s="14">
        <v>0.11</v>
      </c>
      <c r="D71" s="14">
        <v>0.17</v>
      </c>
      <c r="E71" s="14">
        <v>0.16</v>
      </c>
      <c r="F71" s="14">
        <v>0.13</v>
      </c>
      <c r="G71" s="14">
        <v>0.18</v>
      </c>
      <c r="H71" s="14">
        <v>0.14000000000000001</v>
      </c>
      <c r="I71" s="14">
        <v>0.26</v>
      </c>
      <c r="J71" s="14">
        <v>0.28000000000000003</v>
      </c>
    </row>
    <row r="72" spans="2:10" x14ac:dyDescent="0.3">
      <c r="B72" s="14">
        <v>2</v>
      </c>
      <c r="C72" s="14">
        <v>0.09</v>
      </c>
      <c r="D72" s="14">
        <v>0.17</v>
      </c>
      <c r="E72" s="14">
        <v>0.15</v>
      </c>
      <c r="F72" s="14">
        <v>0.12</v>
      </c>
      <c r="G72" s="14">
        <v>0.18</v>
      </c>
      <c r="H72" s="14">
        <v>0.14000000000000001</v>
      </c>
      <c r="I72" s="14">
        <v>0.24</v>
      </c>
      <c r="J72" s="14">
        <v>0.24</v>
      </c>
    </row>
    <row r="73" spans="2:10" x14ac:dyDescent="0.3">
      <c r="E73" s="6"/>
      <c r="F73" s="6"/>
      <c r="G73" s="6"/>
      <c r="H73" s="6"/>
      <c r="I73" s="6"/>
    </row>
    <row r="74" spans="2:10" x14ac:dyDescent="0.3">
      <c r="B74" s="5" t="s">
        <v>2028</v>
      </c>
      <c r="E74" s="6"/>
      <c r="F74" s="6"/>
      <c r="G74" s="6"/>
      <c r="H74" s="6"/>
      <c r="I74" s="6"/>
    </row>
    <row r="75" spans="2:10" x14ac:dyDescent="0.3">
      <c r="B75" s="5" t="s">
        <v>2029</v>
      </c>
      <c r="E75" s="6"/>
      <c r="F75" s="6"/>
      <c r="G75" s="6"/>
      <c r="H75" s="6"/>
      <c r="I75" s="6"/>
    </row>
    <row r="76" spans="2:10" x14ac:dyDescent="0.3">
      <c r="B76" t="s">
        <v>1285</v>
      </c>
      <c r="C76" t="s">
        <v>2016</v>
      </c>
      <c r="D76" t="s">
        <v>2017</v>
      </c>
      <c r="E76" t="s">
        <v>2018</v>
      </c>
      <c r="F76" t="s">
        <v>2019</v>
      </c>
      <c r="G76" t="s">
        <v>2020</v>
      </c>
      <c r="H76" t="s">
        <v>2021</v>
      </c>
      <c r="I76" t="s">
        <v>2022</v>
      </c>
      <c r="J76" t="s">
        <v>2023</v>
      </c>
    </row>
    <row r="77" spans="2:10" x14ac:dyDescent="0.3">
      <c r="B77" s="14">
        <v>0</v>
      </c>
      <c r="C77" s="14">
        <v>1.92</v>
      </c>
      <c r="D77" s="14">
        <v>1.29</v>
      </c>
      <c r="E77" s="14">
        <v>0.97</v>
      </c>
      <c r="F77" s="14">
        <v>0.82</v>
      </c>
      <c r="G77" s="14">
        <v>0.75</v>
      </c>
      <c r="H77" s="14">
        <v>1.07</v>
      </c>
      <c r="I77" s="14">
        <v>1.24</v>
      </c>
      <c r="J77" s="14">
        <v>1.69</v>
      </c>
    </row>
    <row r="78" spans="2:10" x14ac:dyDescent="0.3">
      <c r="B78" s="14">
        <v>0.05</v>
      </c>
      <c r="C78" s="14">
        <v>1.9</v>
      </c>
      <c r="D78" s="14">
        <v>1.24</v>
      </c>
      <c r="E78" s="14">
        <v>0.9</v>
      </c>
      <c r="F78" s="14">
        <v>0.72</v>
      </c>
      <c r="G78" s="14">
        <v>0.66</v>
      </c>
      <c r="H78" s="14">
        <v>0.94</v>
      </c>
      <c r="I78" s="14">
        <v>1.18</v>
      </c>
      <c r="J78" s="14">
        <v>1.65</v>
      </c>
    </row>
    <row r="79" spans="2:10" x14ac:dyDescent="0.3">
      <c r="B79" s="14">
        <v>0.1</v>
      </c>
      <c r="C79" s="14">
        <v>1.76</v>
      </c>
      <c r="D79" s="14">
        <v>1.18</v>
      </c>
      <c r="E79" s="14">
        <v>0.86</v>
      </c>
      <c r="F79" s="14">
        <v>0.69</v>
      </c>
      <c r="G79" s="14">
        <v>0.63</v>
      </c>
      <c r="H79" s="14">
        <v>0.91</v>
      </c>
      <c r="I79" s="14">
        <v>1.1299999999999999</v>
      </c>
      <c r="J79" s="14">
        <v>1.56</v>
      </c>
    </row>
    <row r="80" spans="2:10" x14ac:dyDescent="0.3">
      <c r="B80" s="14">
        <v>0.2</v>
      </c>
      <c r="C80" s="14">
        <v>1.57</v>
      </c>
      <c r="D80" s="14">
        <v>1.05</v>
      </c>
      <c r="E80" s="14">
        <v>0.77</v>
      </c>
      <c r="F80" s="14">
        <v>0.62</v>
      </c>
      <c r="G80" s="14">
        <v>0.6</v>
      </c>
      <c r="H80" s="14">
        <v>0.81</v>
      </c>
      <c r="I80" s="14">
        <v>1.01</v>
      </c>
      <c r="J80" s="14">
        <v>1.41</v>
      </c>
    </row>
    <row r="81" spans="2:10" x14ac:dyDescent="0.3">
      <c r="B81" s="14">
        <v>0.4</v>
      </c>
      <c r="C81" s="14">
        <v>1.25</v>
      </c>
      <c r="D81" s="14">
        <v>0.86</v>
      </c>
      <c r="E81" s="14">
        <v>0.66</v>
      </c>
      <c r="F81" s="14">
        <v>0.51</v>
      </c>
      <c r="G81" s="14">
        <v>0.54</v>
      </c>
      <c r="H81" s="14">
        <v>0.68</v>
      </c>
      <c r="I81" s="14">
        <v>0.87</v>
      </c>
      <c r="J81" s="14">
        <v>1.17</v>
      </c>
    </row>
    <row r="82" spans="2:10" x14ac:dyDescent="0.3">
      <c r="B82" s="14">
        <v>0.6</v>
      </c>
      <c r="C82" s="14">
        <v>0.94</v>
      </c>
      <c r="D82" s="14">
        <v>0.66</v>
      </c>
      <c r="E82" s="14">
        <v>0.53</v>
      </c>
      <c r="F82" s="14">
        <v>0.46</v>
      </c>
      <c r="G82" s="14">
        <v>0.51</v>
      </c>
      <c r="H82" s="14">
        <v>0.59</v>
      </c>
      <c r="I82" s="14">
        <v>0.7</v>
      </c>
      <c r="J82" s="14">
        <v>0.94</v>
      </c>
    </row>
    <row r="83" spans="2:10" x14ac:dyDescent="0.3">
      <c r="B83" s="14">
        <v>0.8</v>
      </c>
      <c r="C83" s="14">
        <v>0.63</v>
      </c>
      <c r="D83" s="14">
        <v>0.53</v>
      </c>
      <c r="E83" s="14">
        <v>0.47</v>
      </c>
      <c r="F83" s="14">
        <v>0.41</v>
      </c>
      <c r="G83" s="14">
        <v>0.45</v>
      </c>
      <c r="H83" s="14">
        <v>0.55000000000000004</v>
      </c>
      <c r="I83" s="14">
        <v>0.6</v>
      </c>
      <c r="J83" s="14">
        <v>0.76</v>
      </c>
    </row>
    <row r="84" spans="2:10" x14ac:dyDescent="0.3">
      <c r="B84" s="14">
        <v>1</v>
      </c>
      <c r="C84" s="14">
        <v>0.42</v>
      </c>
      <c r="D84" s="14">
        <v>0.45</v>
      </c>
      <c r="E84" s="14">
        <v>0.39</v>
      </c>
      <c r="F84" s="14">
        <v>0.36</v>
      </c>
      <c r="G84" s="14">
        <v>0.42</v>
      </c>
      <c r="H84" s="14">
        <v>0.52</v>
      </c>
      <c r="I84" s="14">
        <v>0.53</v>
      </c>
      <c r="J84" s="14">
        <v>0.61</v>
      </c>
    </row>
    <row r="85" spans="2:10" x14ac:dyDescent="0.3">
      <c r="B85" s="14">
        <v>1.2</v>
      </c>
      <c r="C85" s="14">
        <v>0.28999999999999998</v>
      </c>
      <c r="D85" s="14">
        <v>0.35</v>
      </c>
      <c r="E85" s="14">
        <v>0.34</v>
      </c>
      <c r="F85" s="14">
        <v>0.33</v>
      </c>
      <c r="G85" s="14">
        <v>0.42</v>
      </c>
      <c r="H85" s="14">
        <v>0.46</v>
      </c>
      <c r="I85" s="14">
        <v>0.44</v>
      </c>
      <c r="J85" s="14">
        <v>0.52</v>
      </c>
    </row>
    <row r="86" spans="2:10" x14ac:dyDescent="0.3">
      <c r="B86" s="14">
        <v>1.4</v>
      </c>
      <c r="C86" s="14">
        <v>0.23</v>
      </c>
      <c r="D86" s="14">
        <v>0.31</v>
      </c>
      <c r="E86" s="14">
        <v>0.28000000000000003</v>
      </c>
      <c r="F86" s="14">
        <v>0.31</v>
      </c>
      <c r="G86" s="14">
        <v>0.39</v>
      </c>
      <c r="H86" s="14">
        <v>0.42</v>
      </c>
      <c r="I86" s="14">
        <v>0.39</v>
      </c>
      <c r="J86" s="14">
        <v>0.44</v>
      </c>
    </row>
    <row r="87" spans="2:10" x14ac:dyDescent="0.3">
      <c r="B87" s="14">
        <v>1.6</v>
      </c>
      <c r="C87" s="14">
        <v>0.17</v>
      </c>
      <c r="D87" s="14">
        <v>0.27</v>
      </c>
      <c r="E87" s="14">
        <v>0.26</v>
      </c>
      <c r="F87" s="14">
        <v>0.28000000000000003</v>
      </c>
      <c r="G87" s="14">
        <v>0.36</v>
      </c>
      <c r="H87" s="14">
        <v>0.39</v>
      </c>
      <c r="I87" s="14">
        <v>0.38</v>
      </c>
      <c r="J87" s="14">
        <v>0.37</v>
      </c>
    </row>
    <row r="88" spans="2:10" x14ac:dyDescent="0.3">
      <c r="B88" s="14">
        <v>1.8</v>
      </c>
      <c r="C88" s="14">
        <v>0.15</v>
      </c>
      <c r="D88" s="14">
        <v>0.19</v>
      </c>
      <c r="E88" s="14">
        <v>0.21</v>
      </c>
      <c r="F88" s="14">
        <v>0.28000000000000003</v>
      </c>
      <c r="G88" s="14">
        <v>0.36</v>
      </c>
      <c r="H88" s="14">
        <v>0.36</v>
      </c>
      <c r="I88" s="14">
        <v>0.31</v>
      </c>
      <c r="J88" s="14">
        <v>0.34</v>
      </c>
    </row>
    <row r="89" spans="2:10" x14ac:dyDescent="0.3">
      <c r="B89" s="14">
        <v>2</v>
      </c>
      <c r="C89" s="14">
        <v>0.13</v>
      </c>
      <c r="D89" s="14">
        <v>0.19</v>
      </c>
      <c r="E89" s="14">
        <v>0.2</v>
      </c>
      <c r="F89" s="14">
        <v>0.26</v>
      </c>
      <c r="G89" s="14">
        <v>0.36</v>
      </c>
      <c r="H89" s="14">
        <v>0.36</v>
      </c>
      <c r="I89" s="14">
        <v>0.28999999999999998</v>
      </c>
      <c r="J89" s="14">
        <v>0.28999999999999998</v>
      </c>
    </row>
    <row r="90" spans="2:10" x14ac:dyDescent="0.3">
      <c r="E90" s="6"/>
      <c r="F90" s="6"/>
    </row>
    <row r="91" spans="2:10" x14ac:dyDescent="0.3">
      <c r="B91" s="5" t="s">
        <v>2030</v>
      </c>
      <c r="E91" s="6"/>
      <c r="F91" s="6"/>
    </row>
    <row r="92" spans="2:10" x14ac:dyDescent="0.3">
      <c r="B92" s="5" t="s">
        <v>2031</v>
      </c>
      <c r="E92" s="6"/>
      <c r="F92" s="6"/>
    </row>
    <row r="93" spans="2:10" x14ac:dyDescent="0.3">
      <c r="B93" t="s">
        <v>1285</v>
      </c>
      <c r="C93" t="s">
        <v>2016</v>
      </c>
      <c r="D93" t="s">
        <v>2017</v>
      </c>
      <c r="E93" t="s">
        <v>2018</v>
      </c>
      <c r="F93" t="s">
        <v>2019</v>
      </c>
      <c r="G93" t="s">
        <v>2020</v>
      </c>
      <c r="H93" t="s">
        <v>2021</v>
      </c>
      <c r="I93" t="s">
        <v>2022</v>
      </c>
      <c r="J93" t="s">
        <v>2023</v>
      </c>
    </row>
    <row r="94" spans="2:10" x14ac:dyDescent="0.3">
      <c r="B94" s="14">
        <v>0</v>
      </c>
      <c r="C94" s="14">
        <v>1.48</v>
      </c>
      <c r="D94" s="14">
        <v>1.4</v>
      </c>
      <c r="E94" s="14">
        <v>0.91</v>
      </c>
      <c r="F94" s="14">
        <v>0.47</v>
      </c>
      <c r="G94" s="14">
        <v>0.46</v>
      </c>
      <c r="H94" s="14">
        <v>0.51</v>
      </c>
      <c r="I94" s="14">
        <v>1.1100000000000001</v>
      </c>
      <c r="J94" s="14">
        <v>1.57</v>
      </c>
    </row>
    <row r="95" spans="2:10" x14ac:dyDescent="0.3">
      <c r="B95" s="14">
        <v>0.05</v>
      </c>
      <c r="C95" s="14">
        <v>1.45</v>
      </c>
      <c r="D95" s="14">
        <v>1.34</v>
      </c>
      <c r="E95" s="14">
        <v>0.84</v>
      </c>
      <c r="F95" s="14">
        <v>0.4</v>
      </c>
      <c r="G95" s="14">
        <v>0.38</v>
      </c>
      <c r="H95" s="14">
        <v>0.43</v>
      </c>
      <c r="I95" s="14">
        <v>1.03</v>
      </c>
      <c r="J95" s="14">
        <v>1.51</v>
      </c>
    </row>
    <row r="96" spans="2:10" x14ac:dyDescent="0.3">
      <c r="B96" s="14">
        <v>0.1</v>
      </c>
      <c r="C96" s="14">
        <v>1.43</v>
      </c>
      <c r="D96" s="14">
        <v>1.3</v>
      </c>
      <c r="E96" s="14">
        <v>0.81</v>
      </c>
      <c r="F96" s="14">
        <v>0.37</v>
      </c>
      <c r="G96" s="14">
        <v>0.36</v>
      </c>
      <c r="H96" s="14">
        <v>0.4</v>
      </c>
      <c r="I96" s="14">
        <v>0.98</v>
      </c>
      <c r="J96" s="14">
        <v>1.46</v>
      </c>
    </row>
    <row r="97" spans="2:10" x14ac:dyDescent="0.3">
      <c r="B97" s="14">
        <v>0.2</v>
      </c>
      <c r="C97" s="14">
        <v>1.22</v>
      </c>
      <c r="D97" s="14">
        <v>1.18</v>
      </c>
      <c r="E97" s="14">
        <v>0.74</v>
      </c>
      <c r="F97" s="14">
        <v>0.34</v>
      </c>
      <c r="G97" s="14">
        <v>0.33</v>
      </c>
      <c r="H97" s="14">
        <v>0.36</v>
      </c>
      <c r="I97" s="14">
        <v>0.88</v>
      </c>
      <c r="J97" s="14">
        <v>1.31</v>
      </c>
    </row>
    <row r="98" spans="2:10" x14ac:dyDescent="0.3">
      <c r="B98" s="14">
        <v>0.4</v>
      </c>
      <c r="C98" s="14">
        <v>1.1100000000000001</v>
      </c>
      <c r="D98" s="14">
        <v>1.01</v>
      </c>
      <c r="E98" s="14">
        <v>0.62</v>
      </c>
      <c r="F98" s="14">
        <v>0.28999999999999998</v>
      </c>
      <c r="G98" s="14">
        <v>0.28999999999999998</v>
      </c>
      <c r="H98" s="14">
        <v>0.31</v>
      </c>
      <c r="I98" s="14">
        <v>0.75</v>
      </c>
      <c r="J98" s="14">
        <v>1.1299999999999999</v>
      </c>
    </row>
    <row r="99" spans="2:10" x14ac:dyDescent="0.3">
      <c r="B99" s="14">
        <v>0.6</v>
      </c>
      <c r="C99" s="14">
        <v>0.92</v>
      </c>
      <c r="D99" s="14">
        <v>0.83</v>
      </c>
      <c r="E99" s="14">
        <v>0.54</v>
      </c>
      <c r="F99" s="14">
        <v>0.25</v>
      </c>
      <c r="G99" s="14">
        <v>0.25</v>
      </c>
      <c r="H99" s="14">
        <v>0.27</v>
      </c>
      <c r="I99" s="14">
        <v>0.64</v>
      </c>
      <c r="J99" s="14">
        <v>0.92</v>
      </c>
    </row>
    <row r="100" spans="2:10" x14ac:dyDescent="0.3">
      <c r="B100" s="14">
        <v>0.8</v>
      </c>
      <c r="C100" s="14">
        <v>0.8</v>
      </c>
      <c r="D100" s="14">
        <v>0.68</v>
      </c>
      <c r="E100" s="14">
        <v>0.47</v>
      </c>
      <c r="F100" s="14">
        <v>0.23</v>
      </c>
      <c r="G100" s="14">
        <v>0.23</v>
      </c>
      <c r="H100" s="14">
        <v>0.25</v>
      </c>
      <c r="I100" s="14">
        <v>0.56999999999999995</v>
      </c>
      <c r="J100" s="14">
        <v>0.77</v>
      </c>
    </row>
    <row r="101" spans="2:10" x14ac:dyDescent="0.3">
      <c r="B101" s="14">
        <v>1</v>
      </c>
      <c r="C101" s="14">
        <v>0.64</v>
      </c>
      <c r="D101" s="14">
        <v>0.61</v>
      </c>
      <c r="E101" s="14">
        <v>0.41</v>
      </c>
      <c r="F101" s="14">
        <v>0.2</v>
      </c>
      <c r="G101" s="14">
        <v>0.21</v>
      </c>
      <c r="H101" s="14">
        <v>0.22</v>
      </c>
      <c r="I101" s="14">
        <v>0.48</v>
      </c>
      <c r="J101" s="14">
        <v>0.66</v>
      </c>
    </row>
    <row r="102" spans="2:10" x14ac:dyDescent="0.3">
      <c r="B102" s="14">
        <v>1.2</v>
      </c>
      <c r="C102" s="14">
        <v>0.46</v>
      </c>
      <c r="D102" s="14">
        <v>0.47</v>
      </c>
      <c r="E102" s="14">
        <v>0.36</v>
      </c>
      <c r="F102" s="14">
        <v>0.18</v>
      </c>
      <c r="G102" s="14">
        <v>0.21</v>
      </c>
      <c r="H102" s="14">
        <v>0.21</v>
      </c>
      <c r="I102" s="14">
        <v>0.44</v>
      </c>
      <c r="J102" s="14">
        <v>0.56999999999999995</v>
      </c>
    </row>
    <row r="103" spans="2:10" x14ac:dyDescent="0.3">
      <c r="B103" s="14">
        <v>1.4</v>
      </c>
      <c r="C103" s="14">
        <v>0.35</v>
      </c>
      <c r="D103" s="14" t="s">
        <v>2032</v>
      </c>
      <c r="E103" s="14">
        <v>0.33</v>
      </c>
      <c r="F103" s="14">
        <v>0.17</v>
      </c>
      <c r="G103" s="14">
        <v>0.2</v>
      </c>
      <c r="H103" s="14">
        <v>0.2</v>
      </c>
      <c r="I103" s="14">
        <v>0.39</v>
      </c>
      <c r="J103" s="14">
        <v>0.48</v>
      </c>
    </row>
    <row r="104" spans="2:10" x14ac:dyDescent="0.3">
      <c r="B104" s="14">
        <v>1.6</v>
      </c>
      <c r="C104" s="14">
        <v>0.26</v>
      </c>
      <c r="D104" s="14">
        <v>0.38</v>
      </c>
      <c r="E104" s="14">
        <v>0.31</v>
      </c>
      <c r="F104" s="14">
        <v>0.17</v>
      </c>
      <c r="G104" s="14">
        <v>0.18</v>
      </c>
      <c r="H104" s="14">
        <v>0.18</v>
      </c>
      <c r="I104" s="14">
        <v>0.34</v>
      </c>
      <c r="J104" s="14">
        <v>0.42</v>
      </c>
    </row>
    <row r="105" spans="2:10" x14ac:dyDescent="0.3">
      <c r="B105" s="14">
        <v>1.8</v>
      </c>
      <c r="C105" s="14">
        <v>0.2</v>
      </c>
      <c r="D105" s="14">
        <v>0.32</v>
      </c>
      <c r="E105" s="14">
        <v>0.28000000000000003</v>
      </c>
      <c r="F105" s="14">
        <v>0.16</v>
      </c>
      <c r="G105" s="14">
        <v>0.18</v>
      </c>
      <c r="H105" s="14">
        <v>0.17</v>
      </c>
      <c r="I105" s="14">
        <v>0.31</v>
      </c>
      <c r="J105" s="14">
        <v>0.36</v>
      </c>
    </row>
    <row r="106" spans="2:10" x14ac:dyDescent="0.3">
      <c r="B106" s="14">
        <v>2</v>
      </c>
      <c r="C106" s="14">
        <v>0.18</v>
      </c>
      <c r="D106" s="14">
        <v>0.3</v>
      </c>
      <c r="E106" s="14">
        <v>0.24</v>
      </c>
      <c r="F106" s="14">
        <v>0.14000000000000001</v>
      </c>
      <c r="G106" s="14">
        <v>0.17</v>
      </c>
      <c r="H106" s="14">
        <v>0.16</v>
      </c>
      <c r="I106" s="14">
        <v>0.28999999999999998</v>
      </c>
      <c r="J106" s="14">
        <v>0.3</v>
      </c>
    </row>
    <row r="107" spans="2:10" x14ac:dyDescent="0.3">
      <c r="E107" s="6"/>
      <c r="F107" s="6"/>
    </row>
    <row r="108" spans="2:10" x14ac:dyDescent="0.3">
      <c r="B108" s="5" t="s">
        <v>2033</v>
      </c>
      <c r="E108" s="6"/>
      <c r="F108" s="6"/>
    </row>
    <row r="109" spans="2:10" x14ac:dyDescent="0.3">
      <c r="B109" s="5" t="s">
        <v>2034</v>
      </c>
      <c r="E109" s="6"/>
      <c r="F109" s="6"/>
    </row>
    <row r="110" spans="2:10" x14ac:dyDescent="0.3">
      <c r="B110" t="s">
        <v>1285</v>
      </c>
      <c r="C110" t="s">
        <v>2016</v>
      </c>
      <c r="D110" t="s">
        <v>2017</v>
      </c>
      <c r="E110" t="s">
        <v>2018</v>
      </c>
      <c r="F110" t="s">
        <v>2019</v>
      </c>
      <c r="G110" t="s">
        <v>2020</v>
      </c>
      <c r="H110" t="s">
        <v>2021</v>
      </c>
      <c r="I110" t="s">
        <v>2022</v>
      </c>
      <c r="J110" t="s">
        <v>2023</v>
      </c>
    </row>
    <row r="111" spans="2:10" x14ac:dyDescent="0.3">
      <c r="B111" s="14">
        <v>0</v>
      </c>
      <c r="C111" s="14">
        <v>1.38</v>
      </c>
      <c r="D111" s="14">
        <v>1.1200000000000001</v>
      </c>
      <c r="E111" s="14">
        <v>1</v>
      </c>
      <c r="F111" s="14">
        <v>0.71</v>
      </c>
      <c r="G111" s="14">
        <v>0.56000000000000005</v>
      </c>
      <c r="H111" s="14">
        <v>0.87</v>
      </c>
      <c r="I111" s="14">
        <v>1.02</v>
      </c>
      <c r="J111" s="14">
        <v>1.26</v>
      </c>
    </row>
    <row r="112" spans="2:10" x14ac:dyDescent="0.3">
      <c r="B112" s="14">
        <v>0.05</v>
      </c>
      <c r="C112" s="14">
        <v>1.35</v>
      </c>
      <c r="D112" s="14">
        <v>1.08</v>
      </c>
      <c r="E112" s="14">
        <v>0.91</v>
      </c>
      <c r="F112" s="14">
        <v>0.6</v>
      </c>
      <c r="G112" s="14">
        <v>0.46</v>
      </c>
      <c r="H112" s="14">
        <v>0.73</v>
      </c>
      <c r="I112" s="14">
        <v>0.95</v>
      </c>
      <c r="J112" s="14">
        <v>1.21</v>
      </c>
    </row>
    <row r="113" spans="2:11" x14ac:dyDescent="0.3">
      <c r="B113" s="14">
        <v>0.1</v>
      </c>
      <c r="C113" s="14">
        <v>1.34</v>
      </c>
      <c r="D113" s="14">
        <v>1.04</v>
      </c>
      <c r="E113" s="14">
        <v>0.89</v>
      </c>
      <c r="F113" s="14">
        <v>0.56000000000000005</v>
      </c>
      <c r="G113" s="14">
        <v>0.45</v>
      </c>
      <c r="H113" s="14">
        <v>0.69</v>
      </c>
      <c r="I113" s="14">
        <v>0.9</v>
      </c>
      <c r="J113" s="14">
        <v>1.17</v>
      </c>
    </row>
    <row r="114" spans="2:11" x14ac:dyDescent="0.3">
      <c r="B114" s="14">
        <v>0.2</v>
      </c>
      <c r="C114" s="14">
        <v>1.1299999999999999</v>
      </c>
      <c r="D114" s="14">
        <v>0.95</v>
      </c>
      <c r="E114" s="14">
        <v>0.8</v>
      </c>
      <c r="F114" s="14">
        <v>0.51</v>
      </c>
      <c r="G114" s="14">
        <v>0.4</v>
      </c>
      <c r="H114" s="14">
        <v>0.62</v>
      </c>
      <c r="I114" s="14">
        <v>0.82</v>
      </c>
      <c r="J114" s="14">
        <v>1.05</v>
      </c>
    </row>
    <row r="115" spans="2:11" x14ac:dyDescent="0.3">
      <c r="B115" s="14">
        <v>0.4</v>
      </c>
      <c r="C115" s="14">
        <v>1.04</v>
      </c>
      <c r="D115" s="14">
        <v>0.81</v>
      </c>
      <c r="E115" s="14">
        <v>0.67</v>
      </c>
      <c r="F115" s="14">
        <v>0.43</v>
      </c>
      <c r="G115" s="14">
        <v>0.35</v>
      </c>
      <c r="H115" s="14">
        <v>0.53</v>
      </c>
      <c r="I115" s="14">
        <v>0.7</v>
      </c>
      <c r="J115" s="14">
        <v>0.91</v>
      </c>
    </row>
    <row r="116" spans="2:11" x14ac:dyDescent="0.3">
      <c r="B116" s="14">
        <v>0.6</v>
      </c>
      <c r="C116" s="14">
        <v>0.85</v>
      </c>
      <c r="D116" s="14">
        <v>0.67</v>
      </c>
      <c r="E116" s="14">
        <v>0.59</v>
      </c>
      <c r="F116" s="14">
        <v>0.38</v>
      </c>
      <c r="G116" s="14">
        <v>0.3</v>
      </c>
      <c r="H116" s="14">
        <v>0.47</v>
      </c>
      <c r="I116" s="14">
        <v>0.59</v>
      </c>
      <c r="J116" s="14">
        <v>0.74</v>
      </c>
    </row>
    <row r="117" spans="2:11" x14ac:dyDescent="0.3">
      <c r="B117" s="14">
        <v>0.8</v>
      </c>
      <c r="C117" s="14">
        <v>0.74</v>
      </c>
      <c r="D117" s="14">
        <v>0.55000000000000004</v>
      </c>
      <c r="E117" s="14">
        <v>0.52</v>
      </c>
      <c r="F117" s="14">
        <v>0.34</v>
      </c>
      <c r="G117" s="14">
        <v>0.28999999999999998</v>
      </c>
      <c r="H117" s="14">
        <v>0.42</v>
      </c>
      <c r="I117" s="14">
        <v>0.53</v>
      </c>
      <c r="J117" s="14">
        <v>0.62</v>
      </c>
    </row>
    <row r="118" spans="2:11" x14ac:dyDescent="0.3">
      <c r="B118" s="14">
        <v>1</v>
      </c>
      <c r="C118" s="14">
        <v>0.6</v>
      </c>
      <c r="D118" s="14">
        <v>0.49</v>
      </c>
      <c r="E118" s="14">
        <v>0.44</v>
      </c>
      <c r="F118" s="14">
        <v>0.31</v>
      </c>
      <c r="G118" s="14">
        <v>0.26</v>
      </c>
      <c r="H118" s="14">
        <v>0.38</v>
      </c>
      <c r="I118" s="14">
        <v>0.44</v>
      </c>
      <c r="J118" s="14">
        <v>0.53</v>
      </c>
    </row>
    <row r="119" spans="2:11" x14ac:dyDescent="0.3">
      <c r="B119" s="14">
        <v>1.2</v>
      </c>
      <c r="C119" s="14">
        <v>0.43</v>
      </c>
      <c r="D119" s="14">
        <v>0.38</v>
      </c>
      <c r="E119" s="14">
        <v>0.4</v>
      </c>
      <c r="F119" s="14">
        <v>0.27</v>
      </c>
      <c r="G119" s="14">
        <v>0.26</v>
      </c>
      <c r="H119" s="14">
        <v>0.36</v>
      </c>
      <c r="I119" s="14">
        <v>0.41</v>
      </c>
      <c r="J119" s="14">
        <v>0.46</v>
      </c>
      <c r="K119" s="6"/>
    </row>
    <row r="120" spans="2:11" x14ac:dyDescent="0.3">
      <c r="B120" s="14">
        <v>1.4</v>
      </c>
      <c r="C120" s="14">
        <v>0.33</v>
      </c>
      <c r="D120" s="14">
        <v>0.35</v>
      </c>
      <c r="E120" s="14">
        <v>0.36</v>
      </c>
      <c r="F120" s="14">
        <v>0.25</v>
      </c>
      <c r="G120" s="14">
        <v>0.24</v>
      </c>
      <c r="H120" s="14">
        <v>0.33</v>
      </c>
      <c r="I120" s="14">
        <v>0.36</v>
      </c>
      <c r="J120" s="14">
        <v>0.39</v>
      </c>
      <c r="K120" s="6"/>
    </row>
    <row r="121" spans="2:11" x14ac:dyDescent="0.3">
      <c r="B121" s="14">
        <v>1.6</v>
      </c>
      <c r="C121" s="14">
        <v>0.24</v>
      </c>
      <c r="D121" s="14">
        <v>0.31</v>
      </c>
      <c r="E121" s="14">
        <v>0.34</v>
      </c>
      <c r="F121" s="14">
        <v>0.25</v>
      </c>
      <c r="G121" s="14">
        <v>0.22</v>
      </c>
      <c r="H121" s="14">
        <v>0.31</v>
      </c>
      <c r="I121" s="14">
        <v>0.31</v>
      </c>
      <c r="J121" s="14">
        <v>0.34</v>
      </c>
      <c r="K121" s="6"/>
    </row>
    <row r="122" spans="2:11" x14ac:dyDescent="0.3">
      <c r="B122" s="14">
        <v>1.8</v>
      </c>
      <c r="C122" s="14">
        <v>0.18</v>
      </c>
      <c r="D122" s="14">
        <v>0.26</v>
      </c>
      <c r="E122" s="14">
        <v>0.3</v>
      </c>
      <c r="F122" s="14">
        <v>0.24</v>
      </c>
      <c r="G122" s="14">
        <v>0.22</v>
      </c>
      <c r="H122" s="14">
        <v>0.28999999999999998</v>
      </c>
      <c r="I122" s="14">
        <v>0.28999999999999998</v>
      </c>
      <c r="J122" s="14">
        <v>0.28999999999999998</v>
      </c>
      <c r="K122" s="6"/>
    </row>
    <row r="123" spans="2:11" x14ac:dyDescent="0.3">
      <c r="B123" s="14">
        <v>2</v>
      </c>
      <c r="C123" s="14">
        <v>0.17</v>
      </c>
      <c r="D123" s="14">
        <v>0.24</v>
      </c>
      <c r="E123" s="14">
        <v>0.26</v>
      </c>
      <c r="F123" s="14">
        <v>0.22</v>
      </c>
      <c r="G123" s="14">
        <v>0.21</v>
      </c>
      <c r="H123" s="14">
        <v>0.27</v>
      </c>
      <c r="I123" s="14">
        <v>0.26</v>
      </c>
      <c r="J123" s="14">
        <v>0.24</v>
      </c>
      <c r="K123" s="6"/>
    </row>
    <row r="124" spans="2:11" x14ac:dyDescent="0.3">
      <c r="E124" s="6"/>
      <c r="F124" s="6"/>
      <c r="J124" s="6"/>
      <c r="K124" s="6"/>
    </row>
    <row r="125" spans="2:11" x14ac:dyDescent="0.3">
      <c r="B125" s="5" t="s">
        <v>2035</v>
      </c>
      <c r="E125" s="6"/>
      <c r="F125" s="6"/>
      <c r="K125" s="6"/>
    </row>
    <row r="126" spans="2:11" x14ac:dyDescent="0.3">
      <c r="B126" s="5" t="s">
        <v>2036</v>
      </c>
      <c r="E126" s="6"/>
      <c r="F126" s="6"/>
      <c r="K126" s="6"/>
    </row>
    <row r="127" spans="2:11" x14ac:dyDescent="0.3">
      <c r="B127" t="s">
        <v>1285</v>
      </c>
      <c r="C127" t="s">
        <v>2016</v>
      </c>
      <c r="D127" t="s">
        <v>2017</v>
      </c>
      <c r="E127" t="s">
        <v>2018</v>
      </c>
      <c r="F127" t="s">
        <v>2019</v>
      </c>
      <c r="G127" t="s">
        <v>2020</v>
      </c>
      <c r="H127" t="s">
        <v>2021</v>
      </c>
      <c r="I127" t="s">
        <v>2022</v>
      </c>
      <c r="J127" t="s">
        <v>2023</v>
      </c>
      <c r="K127" s="6"/>
    </row>
    <row r="128" spans="2:11" x14ac:dyDescent="0.3">
      <c r="B128" s="14">
        <v>0</v>
      </c>
      <c r="C128" s="14">
        <v>1.61</v>
      </c>
      <c r="D128" s="14">
        <v>1.55</v>
      </c>
      <c r="E128" s="14">
        <v>1</v>
      </c>
      <c r="F128" s="14">
        <v>0.49</v>
      </c>
      <c r="G128" s="14">
        <v>0.44</v>
      </c>
      <c r="H128" s="14">
        <v>0.47</v>
      </c>
      <c r="I128" s="14">
        <v>1.02</v>
      </c>
      <c r="J128" s="14">
        <v>1.58</v>
      </c>
      <c r="K128" s="6"/>
    </row>
    <row r="129" spans="2:11" x14ac:dyDescent="0.3">
      <c r="B129" s="14">
        <v>0.05</v>
      </c>
      <c r="C129" s="14">
        <v>1.56</v>
      </c>
      <c r="D129" s="14">
        <v>1.49</v>
      </c>
      <c r="E129" s="14">
        <v>0.91</v>
      </c>
      <c r="F129" s="14">
        <v>0.41</v>
      </c>
      <c r="G129" s="14">
        <v>0.37</v>
      </c>
      <c r="H129" s="14">
        <v>0.4</v>
      </c>
      <c r="I129" s="14">
        <v>0.94</v>
      </c>
      <c r="J129" s="14">
        <v>1.51</v>
      </c>
      <c r="K129" s="6"/>
    </row>
    <row r="130" spans="2:11" x14ac:dyDescent="0.3">
      <c r="B130" s="14">
        <v>0.1</v>
      </c>
      <c r="C130" s="14">
        <v>1.56</v>
      </c>
      <c r="D130" s="14">
        <v>1.43</v>
      </c>
      <c r="E130" s="14">
        <v>0.86</v>
      </c>
      <c r="F130" s="14">
        <v>0.39</v>
      </c>
      <c r="G130" s="14">
        <v>0.36</v>
      </c>
      <c r="H130" s="14">
        <v>0.38</v>
      </c>
      <c r="I130" s="14">
        <v>0.9</v>
      </c>
      <c r="J130" s="14">
        <v>1.47</v>
      </c>
    </row>
    <row r="131" spans="2:11" x14ac:dyDescent="0.3">
      <c r="B131" s="14">
        <v>0.2</v>
      </c>
      <c r="C131" s="14">
        <v>1.3</v>
      </c>
      <c r="D131" s="14">
        <v>1.27</v>
      </c>
      <c r="E131" s="14">
        <v>0.77</v>
      </c>
      <c r="F131" s="14">
        <v>0.35</v>
      </c>
      <c r="G131" s="14">
        <v>0.32</v>
      </c>
      <c r="H131" s="14">
        <v>0.34</v>
      </c>
      <c r="I131" s="14">
        <v>0.8</v>
      </c>
      <c r="J131" s="14">
        <v>1.32</v>
      </c>
    </row>
    <row r="132" spans="2:11" x14ac:dyDescent="0.3">
      <c r="B132" s="14">
        <v>0.4</v>
      </c>
      <c r="C132" s="14">
        <v>1.19</v>
      </c>
      <c r="D132" s="14">
        <v>1.05</v>
      </c>
      <c r="E132" s="14">
        <v>0.64</v>
      </c>
      <c r="F132" s="14">
        <v>0.3</v>
      </c>
      <c r="G132" s="14">
        <v>0.28000000000000003</v>
      </c>
      <c r="H132" s="14">
        <v>0.28999999999999998</v>
      </c>
      <c r="I132" s="14">
        <v>0.66</v>
      </c>
      <c r="J132" s="14">
        <v>1.1000000000000001</v>
      </c>
    </row>
    <row r="133" spans="2:11" x14ac:dyDescent="0.3">
      <c r="B133" s="14">
        <v>0.6</v>
      </c>
      <c r="C133" s="14">
        <v>0.97</v>
      </c>
      <c r="D133" s="14">
        <v>0.87</v>
      </c>
      <c r="E133" s="14">
        <v>0.52</v>
      </c>
      <c r="F133" s="14">
        <v>0.26</v>
      </c>
      <c r="G133" s="14">
        <v>0.25</v>
      </c>
      <c r="H133" s="14">
        <v>0.25</v>
      </c>
      <c r="I133" s="14">
        <v>0.56000000000000005</v>
      </c>
      <c r="J133" s="14">
        <v>0.9</v>
      </c>
    </row>
    <row r="134" spans="2:11" x14ac:dyDescent="0.3">
      <c r="B134" s="14">
        <v>0.8</v>
      </c>
      <c r="C134" s="14">
        <v>0.78</v>
      </c>
      <c r="D134" s="14">
        <v>0.71</v>
      </c>
      <c r="E134" s="14">
        <v>0.46</v>
      </c>
      <c r="F134" s="14">
        <v>0.24</v>
      </c>
      <c r="G134" s="14">
        <v>0.23</v>
      </c>
      <c r="H134" s="14">
        <v>0.23</v>
      </c>
      <c r="I134" s="14">
        <v>0.5</v>
      </c>
      <c r="J134" s="14">
        <v>0.73</v>
      </c>
      <c r="K134" s="6"/>
    </row>
    <row r="135" spans="2:11" x14ac:dyDescent="0.3">
      <c r="B135" s="14">
        <v>1</v>
      </c>
      <c r="C135" s="14">
        <v>0.64</v>
      </c>
      <c r="D135" s="14">
        <v>0.55000000000000004</v>
      </c>
      <c r="E135" s="14">
        <v>0.36</v>
      </c>
      <c r="F135" s="14">
        <v>0.21</v>
      </c>
      <c r="G135" s="14">
        <v>0.22</v>
      </c>
      <c r="H135" s="14">
        <v>0.2</v>
      </c>
      <c r="I135" s="14">
        <v>0.43</v>
      </c>
      <c r="J135" s="14">
        <v>0.63</v>
      </c>
      <c r="K135" s="6"/>
    </row>
    <row r="136" spans="2:11" x14ac:dyDescent="0.3">
      <c r="B136" s="14">
        <v>1.2</v>
      </c>
      <c r="C136" s="14">
        <v>0.43</v>
      </c>
      <c r="D136" s="14">
        <v>0.48</v>
      </c>
      <c r="E136" s="14">
        <v>0.33</v>
      </c>
      <c r="F136" s="14">
        <v>0.2</v>
      </c>
      <c r="G136" s="14">
        <v>0.2</v>
      </c>
      <c r="H136" s="14">
        <v>0.19</v>
      </c>
      <c r="I136" s="14">
        <v>0.35</v>
      </c>
      <c r="J136" s="14">
        <v>0.5</v>
      </c>
      <c r="K136" s="6"/>
    </row>
    <row r="137" spans="2:11" x14ac:dyDescent="0.3">
      <c r="B137" s="14">
        <v>1.4</v>
      </c>
      <c r="C137" s="14">
        <v>0.32</v>
      </c>
      <c r="D137" s="14">
        <v>0.36</v>
      </c>
      <c r="E137" s="14">
        <v>0.27</v>
      </c>
      <c r="F137" s="14">
        <v>0.19</v>
      </c>
      <c r="G137" s="14">
        <v>0.19</v>
      </c>
      <c r="H137" s="14">
        <v>0.18</v>
      </c>
      <c r="I137" s="14">
        <v>0.34</v>
      </c>
      <c r="J137" s="14">
        <v>0.43</v>
      </c>
      <c r="K137" s="6"/>
    </row>
    <row r="138" spans="2:11" x14ac:dyDescent="0.3">
      <c r="B138" s="14">
        <v>1.6</v>
      </c>
      <c r="C138" s="14">
        <v>0.22</v>
      </c>
      <c r="D138" s="14">
        <v>0.32</v>
      </c>
      <c r="E138" s="14">
        <v>0.25</v>
      </c>
      <c r="F138" s="14">
        <v>0.18</v>
      </c>
      <c r="G138" s="14">
        <v>0.17</v>
      </c>
      <c r="H138" s="14">
        <v>0.16</v>
      </c>
      <c r="I138" s="14">
        <v>0.28000000000000003</v>
      </c>
      <c r="J138" s="14">
        <v>0.36</v>
      </c>
      <c r="K138" s="6"/>
    </row>
    <row r="139" spans="2:11" x14ac:dyDescent="0.3">
      <c r="B139" s="14">
        <v>1.8</v>
      </c>
      <c r="C139" s="14">
        <v>0.18</v>
      </c>
      <c r="D139" s="14">
        <v>0.26</v>
      </c>
      <c r="E139" s="14">
        <v>0.21</v>
      </c>
      <c r="F139" s="14">
        <v>0.16</v>
      </c>
      <c r="G139" s="14">
        <v>0.17</v>
      </c>
      <c r="H139" s="14">
        <v>0.16</v>
      </c>
      <c r="I139" s="14">
        <v>0.24</v>
      </c>
      <c r="J139" s="14">
        <v>0.32</v>
      </c>
      <c r="K139" s="6"/>
    </row>
    <row r="140" spans="2:11" x14ac:dyDescent="0.3">
      <c r="B140" s="14">
        <v>2</v>
      </c>
      <c r="C140" s="14">
        <v>0.14000000000000001</v>
      </c>
      <c r="D140" s="14">
        <v>0.2</v>
      </c>
      <c r="E140" s="14">
        <v>0.2</v>
      </c>
      <c r="F140" s="14">
        <v>0.15</v>
      </c>
      <c r="G140" s="14">
        <v>0.17</v>
      </c>
      <c r="H140" s="14">
        <v>0.14000000000000001</v>
      </c>
      <c r="I140" s="14">
        <v>0.23</v>
      </c>
      <c r="J140" s="14">
        <v>0.24</v>
      </c>
      <c r="K140" s="6"/>
    </row>
    <row r="141" spans="2:11" x14ac:dyDescent="0.3">
      <c r="E141" s="6"/>
      <c r="F141" s="6"/>
      <c r="J141" s="6"/>
      <c r="K141" s="6"/>
    </row>
    <row r="142" spans="2:11" x14ac:dyDescent="0.3">
      <c r="B142" s="5" t="s">
        <v>2037</v>
      </c>
      <c r="E142" s="6"/>
      <c r="F142" s="6"/>
      <c r="K142" s="6"/>
    </row>
    <row r="143" spans="2:11" x14ac:dyDescent="0.3">
      <c r="B143" s="5" t="s">
        <v>2038</v>
      </c>
      <c r="E143" s="6"/>
      <c r="F143" s="6"/>
      <c r="K143" s="6"/>
    </row>
    <row r="144" spans="2:11" x14ac:dyDescent="0.3">
      <c r="B144" t="s">
        <v>1285</v>
      </c>
      <c r="C144" t="s">
        <v>2016</v>
      </c>
      <c r="D144" t="s">
        <v>2017</v>
      </c>
      <c r="E144" t="s">
        <v>2018</v>
      </c>
      <c r="F144" t="s">
        <v>2019</v>
      </c>
      <c r="G144" t="s">
        <v>2020</v>
      </c>
      <c r="H144" t="s">
        <v>2021</v>
      </c>
      <c r="I144" t="s">
        <v>2022</v>
      </c>
      <c r="J144" t="s">
        <v>2023</v>
      </c>
      <c r="K144" s="6"/>
    </row>
    <row r="145" spans="2:11" x14ac:dyDescent="0.3">
      <c r="B145" s="14">
        <v>0</v>
      </c>
      <c r="C145" s="14">
        <v>1.61</v>
      </c>
      <c r="D145" s="14">
        <v>1.55</v>
      </c>
      <c r="E145" s="14">
        <v>1</v>
      </c>
      <c r="F145" s="14">
        <v>0.43</v>
      </c>
      <c r="G145" s="14">
        <v>0.33</v>
      </c>
      <c r="H145" s="14">
        <v>0.43</v>
      </c>
      <c r="I145" s="14">
        <v>1.1100000000000001</v>
      </c>
      <c r="J145" s="14">
        <v>1.66</v>
      </c>
    </row>
    <row r="146" spans="2:11" x14ac:dyDescent="0.3">
      <c r="B146" s="14">
        <v>0.05</v>
      </c>
      <c r="C146" s="14">
        <v>1.56</v>
      </c>
      <c r="D146" s="14">
        <v>1.49</v>
      </c>
      <c r="E146" s="14">
        <v>0.91</v>
      </c>
      <c r="F146" s="14">
        <v>0.36</v>
      </c>
      <c r="G146" s="14">
        <v>0.28000000000000003</v>
      </c>
      <c r="H146" s="14">
        <v>0.36</v>
      </c>
      <c r="I146" s="14">
        <v>1.01</v>
      </c>
      <c r="J146" s="14">
        <v>1.59</v>
      </c>
      <c r="K146" s="6"/>
    </row>
    <row r="147" spans="2:11" x14ac:dyDescent="0.3">
      <c r="B147" s="14">
        <v>0.1</v>
      </c>
      <c r="C147" s="14">
        <v>1.56</v>
      </c>
      <c r="D147" s="14">
        <v>1.43</v>
      </c>
      <c r="E147" s="14">
        <v>0.86</v>
      </c>
      <c r="F147" s="14">
        <v>0.34</v>
      </c>
      <c r="G147" s="14">
        <v>0.27</v>
      </c>
      <c r="H147" s="14">
        <v>0.35</v>
      </c>
      <c r="I147" s="14">
        <v>0.98</v>
      </c>
      <c r="J147" s="14">
        <v>1.54</v>
      </c>
      <c r="K147" s="6"/>
    </row>
    <row r="148" spans="2:11" x14ac:dyDescent="0.3">
      <c r="B148" s="14">
        <v>0.2</v>
      </c>
      <c r="C148" s="14">
        <v>1.3</v>
      </c>
      <c r="D148" s="14">
        <v>1.27</v>
      </c>
      <c r="E148" s="14">
        <v>0.77</v>
      </c>
      <c r="F148" s="14">
        <v>0.31</v>
      </c>
      <c r="G148" s="14">
        <v>0.24</v>
      </c>
      <c r="H148" s="14">
        <v>0.31</v>
      </c>
      <c r="I148" s="14">
        <v>0.87</v>
      </c>
      <c r="J148" s="14">
        <v>1.39</v>
      </c>
    </row>
    <row r="149" spans="2:11" x14ac:dyDescent="0.3">
      <c r="B149" s="14">
        <v>0.4</v>
      </c>
      <c r="C149" s="14">
        <v>1.19</v>
      </c>
      <c r="D149" s="14">
        <v>1.05</v>
      </c>
      <c r="E149" s="14">
        <v>0.64</v>
      </c>
      <c r="F149" s="14">
        <v>0.26</v>
      </c>
      <c r="G149" s="14">
        <v>0.21</v>
      </c>
      <c r="H149" s="14">
        <v>0.26</v>
      </c>
      <c r="I149" s="14">
        <v>0.72</v>
      </c>
      <c r="J149" s="14">
        <v>1.1599999999999999</v>
      </c>
    </row>
    <row r="150" spans="2:11" x14ac:dyDescent="0.3">
      <c r="B150" s="14">
        <v>0.6</v>
      </c>
      <c r="C150" s="14">
        <v>0.97</v>
      </c>
      <c r="D150" s="14">
        <v>0.87</v>
      </c>
      <c r="E150" s="14">
        <v>0.52</v>
      </c>
      <c r="F150" s="14">
        <v>0.23</v>
      </c>
      <c r="G150" s="14">
        <v>0.19</v>
      </c>
      <c r="H150" s="14">
        <v>0.23</v>
      </c>
      <c r="I150" s="14">
        <v>0.61</v>
      </c>
      <c r="J150" s="14">
        <v>0.95</v>
      </c>
    </row>
    <row r="151" spans="2:11" x14ac:dyDescent="0.3">
      <c r="B151" s="14">
        <v>0.8</v>
      </c>
      <c r="C151" s="14">
        <v>0.78</v>
      </c>
      <c r="D151" s="14">
        <v>0.71</v>
      </c>
      <c r="E151" s="14">
        <v>0.46</v>
      </c>
      <c r="F151" s="14">
        <v>0.21</v>
      </c>
      <c r="G151" s="14">
        <v>0.17</v>
      </c>
      <c r="H151" s="14">
        <v>0.21</v>
      </c>
      <c r="I151" s="14">
        <v>0.55000000000000004</v>
      </c>
      <c r="J151" s="14">
        <v>0.77</v>
      </c>
    </row>
    <row r="152" spans="2:11" x14ac:dyDescent="0.3">
      <c r="B152" s="14">
        <v>1</v>
      </c>
      <c r="C152" s="14">
        <v>0.64</v>
      </c>
      <c r="D152" s="14">
        <v>0.55000000000000004</v>
      </c>
      <c r="E152" s="14">
        <v>0.36</v>
      </c>
      <c r="F152" s="14">
        <v>0.19</v>
      </c>
      <c r="G152" s="14">
        <v>0.16</v>
      </c>
      <c r="H152" s="14">
        <v>0.19</v>
      </c>
      <c r="I152" s="14">
        <v>0.47</v>
      </c>
      <c r="J152" s="14">
        <v>0.66</v>
      </c>
    </row>
    <row r="153" spans="2:11" x14ac:dyDescent="0.3">
      <c r="B153" s="14">
        <v>1.2</v>
      </c>
      <c r="C153" s="14">
        <v>0.43</v>
      </c>
      <c r="D153" s="14">
        <v>0.48</v>
      </c>
      <c r="E153" s="14">
        <v>0.33</v>
      </c>
      <c r="F153" s="14">
        <v>0.18</v>
      </c>
      <c r="G153" s="14">
        <v>0.15</v>
      </c>
      <c r="H153" s="14">
        <v>0.18</v>
      </c>
      <c r="I153" s="14">
        <v>0.38</v>
      </c>
      <c r="J153" s="14">
        <v>0.53</v>
      </c>
    </row>
    <row r="154" spans="2:11" x14ac:dyDescent="0.3">
      <c r="B154" s="14">
        <v>1.4</v>
      </c>
      <c r="C154" s="14">
        <v>0.32</v>
      </c>
      <c r="D154" s="14">
        <v>0.36</v>
      </c>
      <c r="E154" s="14">
        <v>0.27</v>
      </c>
      <c r="F154" s="14">
        <v>0.17</v>
      </c>
      <c r="G154" s="14">
        <v>0.14000000000000001</v>
      </c>
      <c r="H154" s="14">
        <v>0.17</v>
      </c>
      <c r="I154" s="14">
        <v>0.36</v>
      </c>
      <c r="J154" s="14">
        <v>0.45</v>
      </c>
    </row>
    <row r="155" spans="2:11" x14ac:dyDescent="0.3">
      <c r="B155" s="14">
        <v>1.6</v>
      </c>
      <c r="C155" s="14">
        <v>0.22</v>
      </c>
      <c r="D155" s="14">
        <v>0.32</v>
      </c>
      <c r="E155" s="14">
        <v>0.25</v>
      </c>
      <c r="F155" s="14">
        <v>0.15</v>
      </c>
      <c r="G155" s="14">
        <v>0.13</v>
      </c>
      <c r="H155" s="14">
        <v>0.14000000000000001</v>
      </c>
      <c r="I155" s="14">
        <v>0.3</v>
      </c>
      <c r="J155" s="14">
        <v>0.38</v>
      </c>
    </row>
    <row r="156" spans="2:11" x14ac:dyDescent="0.3">
      <c r="B156" s="14">
        <v>1.8</v>
      </c>
      <c r="C156" s="14">
        <v>0.18</v>
      </c>
      <c r="D156" s="14">
        <v>0.26</v>
      </c>
      <c r="E156" s="14">
        <v>0.21</v>
      </c>
      <c r="F156" s="14">
        <v>0.14000000000000001</v>
      </c>
      <c r="G156" s="14">
        <v>0.13</v>
      </c>
      <c r="H156" s="14">
        <v>0.14000000000000001</v>
      </c>
      <c r="I156" s="14">
        <v>0.26</v>
      </c>
      <c r="J156" s="14">
        <v>0.34</v>
      </c>
    </row>
    <row r="157" spans="2:11" x14ac:dyDescent="0.3">
      <c r="B157" s="14">
        <v>2</v>
      </c>
      <c r="C157" s="14">
        <v>0.14000000000000001</v>
      </c>
      <c r="D157" s="14">
        <v>0.2</v>
      </c>
      <c r="E157" s="14">
        <v>0.2</v>
      </c>
      <c r="F157" s="14">
        <v>0.13</v>
      </c>
      <c r="G157" s="14">
        <v>0.13</v>
      </c>
      <c r="H157" s="14">
        <v>0.13</v>
      </c>
      <c r="I157" s="14">
        <v>0.25</v>
      </c>
      <c r="J157" s="14">
        <v>0.25</v>
      </c>
    </row>
    <row r="158" spans="2:11" x14ac:dyDescent="0.3">
      <c r="D158" s="6"/>
      <c r="E158" s="6"/>
      <c r="F158" s="6"/>
      <c r="G158" s="6"/>
    </row>
    <row r="159" spans="2:11" x14ac:dyDescent="0.3">
      <c r="B159" s="5" t="s">
        <v>2039</v>
      </c>
      <c r="E159" s="6"/>
      <c r="F159" s="6"/>
    </row>
    <row r="160" spans="2:11" x14ac:dyDescent="0.3">
      <c r="B160" s="5" t="s">
        <v>2040</v>
      </c>
      <c r="E160" s="6"/>
      <c r="F160" s="6"/>
    </row>
    <row r="161" spans="2:10" x14ac:dyDescent="0.3">
      <c r="B161" t="s">
        <v>1285</v>
      </c>
      <c r="C161" t="s">
        <v>2016</v>
      </c>
      <c r="D161" t="s">
        <v>2017</v>
      </c>
      <c r="E161" t="s">
        <v>2018</v>
      </c>
      <c r="F161" t="s">
        <v>2019</v>
      </c>
      <c r="G161" t="s">
        <v>2020</v>
      </c>
      <c r="H161" t="s">
        <v>2021</v>
      </c>
      <c r="I161" t="s">
        <v>2022</v>
      </c>
      <c r="J161" t="s">
        <v>2023</v>
      </c>
    </row>
    <row r="162" spans="2:10" x14ac:dyDescent="0.3">
      <c r="B162" s="14">
        <v>0</v>
      </c>
      <c r="C162" s="14">
        <v>1.61</v>
      </c>
      <c r="D162" s="14">
        <v>1.2</v>
      </c>
      <c r="E162" s="14">
        <v>1</v>
      </c>
      <c r="F162" s="14">
        <v>0.65</v>
      </c>
      <c r="G162" s="14">
        <v>0.48</v>
      </c>
      <c r="H162" s="14">
        <v>0.95</v>
      </c>
      <c r="I162" s="14">
        <v>1.19</v>
      </c>
      <c r="J162" s="14">
        <v>1.47</v>
      </c>
    </row>
    <row r="163" spans="2:10" x14ac:dyDescent="0.3">
      <c r="B163" s="14">
        <v>0.05</v>
      </c>
      <c r="C163" s="14">
        <v>1.56</v>
      </c>
      <c r="D163" s="14">
        <v>1.1499999999999999</v>
      </c>
      <c r="E163" s="14">
        <v>0.91</v>
      </c>
      <c r="F163" s="14">
        <v>0.55000000000000004</v>
      </c>
      <c r="G163" s="14">
        <v>0.4</v>
      </c>
      <c r="H163" s="14">
        <v>0.81</v>
      </c>
      <c r="I163" s="14">
        <v>1.0900000000000001</v>
      </c>
      <c r="J163" s="14">
        <v>1.4</v>
      </c>
    </row>
    <row r="164" spans="2:10" x14ac:dyDescent="0.3">
      <c r="B164" s="14">
        <v>0.1</v>
      </c>
      <c r="C164" s="14">
        <v>1.56</v>
      </c>
      <c r="D164" s="14">
        <v>1.1100000000000001</v>
      </c>
      <c r="E164" s="14">
        <v>0.86</v>
      </c>
      <c r="F164" s="14">
        <v>0.52</v>
      </c>
      <c r="G164" s="14">
        <v>0.39</v>
      </c>
      <c r="H164" s="14">
        <v>0.78</v>
      </c>
      <c r="I164" s="14">
        <v>1.05</v>
      </c>
      <c r="J164" s="14">
        <v>1.37</v>
      </c>
    </row>
    <row r="165" spans="2:10" x14ac:dyDescent="0.3">
      <c r="B165" s="14">
        <v>0.2</v>
      </c>
      <c r="C165" s="14">
        <v>1.3</v>
      </c>
      <c r="D165" s="14">
        <v>0.98</v>
      </c>
      <c r="E165" s="14">
        <v>0.77</v>
      </c>
      <c r="F165" s="14">
        <v>0.47</v>
      </c>
      <c r="G165" s="14">
        <v>0.35</v>
      </c>
      <c r="H165" s="14">
        <v>0.68</v>
      </c>
      <c r="I165" s="14">
        <v>0.94</v>
      </c>
      <c r="J165" s="14">
        <v>1.23</v>
      </c>
    </row>
    <row r="166" spans="2:10" x14ac:dyDescent="0.3">
      <c r="B166" s="14">
        <v>0.4</v>
      </c>
      <c r="C166" s="14">
        <v>1.19</v>
      </c>
      <c r="D166" s="14">
        <v>0.81</v>
      </c>
      <c r="E166" s="14">
        <v>0.64</v>
      </c>
      <c r="F166" s="14">
        <v>0.4</v>
      </c>
      <c r="G166" s="14">
        <v>0.3</v>
      </c>
      <c r="H166" s="14">
        <v>0.59</v>
      </c>
      <c r="I166" s="14">
        <v>0.77</v>
      </c>
      <c r="J166" s="14">
        <v>1.02</v>
      </c>
    </row>
    <row r="167" spans="2:10" x14ac:dyDescent="0.3">
      <c r="B167" s="14">
        <v>0.6</v>
      </c>
      <c r="C167" s="14">
        <v>0.97</v>
      </c>
      <c r="D167" s="14">
        <v>0.67</v>
      </c>
      <c r="E167" s="14">
        <v>0.52</v>
      </c>
      <c r="F167" s="14">
        <v>0.35</v>
      </c>
      <c r="G167" s="14">
        <v>0.27</v>
      </c>
      <c r="H167" s="14">
        <v>0.51</v>
      </c>
      <c r="I167" s="14">
        <v>0.66</v>
      </c>
      <c r="J167" s="14">
        <v>0.84</v>
      </c>
    </row>
    <row r="168" spans="2:10" x14ac:dyDescent="0.3">
      <c r="B168" s="14">
        <v>0.8</v>
      </c>
      <c r="C168" s="14">
        <v>0.78</v>
      </c>
      <c r="D168" s="14">
        <v>0.55000000000000004</v>
      </c>
      <c r="E168" s="14">
        <v>0.46</v>
      </c>
      <c r="F168" s="14">
        <v>0.32</v>
      </c>
      <c r="G168" s="14">
        <v>0.25</v>
      </c>
      <c r="H168" s="14">
        <v>0.46</v>
      </c>
      <c r="I168" s="14">
        <v>0.59</v>
      </c>
      <c r="J168" s="14">
        <v>0.68</v>
      </c>
    </row>
    <row r="169" spans="2:10" x14ac:dyDescent="0.3">
      <c r="B169" s="14">
        <v>1</v>
      </c>
      <c r="C169" s="14">
        <v>0.64</v>
      </c>
      <c r="D169" s="14">
        <v>0.42</v>
      </c>
      <c r="E169" s="14">
        <v>0.36</v>
      </c>
      <c r="F169" s="14">
        <v>0.28999999999999998</v>
      </c>
      <c r="G169" s="14">
        <v>0.23</v>
      </c>
      <c r="H169" s="14">
        <v>0.42</v>
      </c>
      <c r="I169" s="14">
        <v>0.5</v>
      </c>
      <c r="J169" s="14">
        <v>0.59</v>
      </c>
    </row>
    <row r="170" spans="2:10" x14ac:dyDescent="0.3">
      <c r="B170" s="14">
        <v>1.2</v>
      </c>
      <c r="C170" s="14">
        <v>0.43</v>
      </c>
      <c r="D170" s="14">
        <v>0.37</v>
      </c>
      <c r="E170" s="14">
        <v>0.33</v>
      </c>
      <c r="F170" s="14">
        <v>0.27</v>
      </c>
      <c r="G170" s="14">
        <v>0.22</v>
      </c>
      <c r="H170" s="14">
        <v>0.39</v>
      </c>
      <c r="I170" s="14">
        <v>0.41</v>
      </c>
      <c r="J170" s="14">
        <v>0.46</v>
      </c>
    </row>
    <row r="171" spans="2:10" x14ac:dyDescent="0.3">
      <c r="B171" s="14">
        <v>1.4</v>
      </c>
      <c r="C171" s="14">
        <v>0.32</v>
      </c>
      <c r="D171" s="14">
        <v>0.28000000000000003</v>
      </c>
      <c r="E171" s="14">
        <v>0.27</v>
      </c>
      <c r="F171" s="14">
        <v>0.25</v>
      </c>
      <c r="G171" s="14">
        <v>0.21</v>
      </c>
      <c r="H171" s="14">
        <v>0.37</v>
      </c>
      <c r="I171" s="14">
        <v>0.39</v>
      </c>
      <c r="J171" s="14">
        <v>0.4</v>
      </c>
    </row>
    <row r="172" spans="2:10" x14ac:dyDescent="0.3">
      <c r="B172" s="14">
        <v>1.6</v>
      </c>
      <c r="C172" s="14">
        <v>0.22</v>
      </c>
      <c r="D172" s="14">
        <v>0.24</v>
      </c>
      <c r="E172" s="14">
        <v>0.25</v>
      </c>
      <c r="F172" s="14">
        <v>0.23</v>
      </c>
      <c r="G172" s="14">
        <v>0.18</v>
      </c>
      <c r="H172" s="14">
        <v>0.32</v>
      </c>
      <c r="I172" s="14">
        <v>0.32</v>
      </c>
      <c r="J172" s="14">
        <v>0.33</v>
      </c>
    </row>
    <row r="173" spans="2:10" x14ac:dyDescent="0.3">
      <c r="B173" s="14">
        <v>1.8</v>
      </c>
      <c r="C173" s="14">
        <v>0.18</v>
      </c>
      <c r="D173" s="14">
        <v>0.2</v>
      </c>
      <c r="E173" s="14">
        <v>0.21</v>
      </c>
      <c r="F173" s="14">
        <v>0.22</v>
      </c>
      <c r="G173" s="14">
        <v>0.18</v>
      </c>
      <c r="H173" s="14">
        <v>0.32</v>
      </c>
      <c r="I173" s="14">
        <v>0.28000000000000003</v>
      </c>
      <c r="J173" s="14">
        <v>0.3</v>
      </c>
    </row>
    <row r="174" spans="2:10" x14ac:dyDescent="0.3">
      <c r="B174" s="14">
        <v>2</v>
      </c>
      <c r="C174" s="14">
        <v>0.14000000000000001</v>
      </c>
      <c r="D174" s="14">
        <v>0.15</v>
      </c>
      <c r="E174" s="14">
        <v>0.2</v>
      </c>
      <c r="F174" s="14">
        <v>0.2</v>
      </c>
      <c r="G174" s="14">
        <v>0.18</v>
      </c>
      <c r="H174" s="14">
        <v>0.28999999999999998</v>
      </c>
      <c r="I174" s="14">
        <v>0.27</v>
      </c>
      <c r="J174" s="14">
        <v>0.22</v>
      </c>
    </row>
    <row r="176" spans="2:10" x14ac:dyDescent="0.3">
      <c r="B176" s="5" t="s">
        <v>2041</v>
      </c>
      <c r="E176" s="6"/>
      <c r="F176" s="6"/>
    </row>
    <row r="177" spans="2:10" x14ac:dyDescent="0.3">
      <c r="B177" s="5" t="s">
        <v>2042</v>
      </c>
      <c r="E177" s="6"/>
      <c r="F177" s="6"/>
    </row>
    <row r="178" spans="2:10" x14ac:dyDescent="0.3">
      <c r="B178" t="s">
        <v>1285</v>
      </c>
      <c r="C178" t="s">
        <v>2016</v>
      </c>
      <c r="D178" t="s">
        <v>2017</v>
      </c>
      <c r="E178" t="s">
        <v>2018</v>
      </c>
      <c r="F178" t="s">
        <v>2019</v>
      </c>
      <c r="G178" t="s">
        <v>2020</v>
      </c>
      <c r="H178" t="s">
        <v>2021</v>
      </c>
      <c r="I178" t="s">
        <v>2022</v>
      </c>
      <c r="J178" t="s">
        <v>2023</v>
      </c>
    </row>
    <row r="179" spans="2:10" x14ac:dyDescent="0.3">
      <c r="B179" s="14">
        <v>0</v>
      </c>
      <c r="C179" s="14">
        <v>1.71</v>
      </c>
      <c r="D179" s="14">
        <v>1.24</v>
      </c>
      <c r="E179" s="14">
        <v>1</v>
      </c>
      <c r="F179" s="14">
        <v>0.63</v>
      </c>
      <c r="G179" s="14">
        <v>0.44</v>
      </c>
      <c r="H179" s="14">
        <v>0.94</v>
      </c>
      <c r="I179" s="14">
        <v>1.19</v>
      </c>
      <c r="J179" s="14">
        <v>1.54</v>
      </c>
    </row>
    <row r="180" spans="2:10" x14ac:dyDescent="0.3">
      <c r="B180" s="14">
        <v>0.05</v>
      </c>
      <c r="C180" s="14">
        <v>1.66</v>
      </c>
      <c r="D180" s="14">
        <v>1.19</v>
      </c>
      <c r="E180" s="14">
        <v>0.91</v>
      </c>
      <c r="F180" s="14">
        <v>0.53</v>
      </c>
      <c r="G180" s="14">
        <v>0.37</v>
      </c>
      <c r="H180" s="14">
        <v>0.8</v>
      </c>
      <c r="I180" s="14">
        <v>1.0900000000000001</v>
      </c>
      <c r="J180" s="14">
        <v>1.47</v>
      </c>
    </row>
    <row r="181" spans="2:10" x14ac:dyDescent="0.3">
      <c r="B181" s="14">
        <v>0.1</v>
      </c>
      <c r="C181" s="14">
        <v>1.66</v>
      </c>
      <c r="D181" s="14">
        <v>1.1399999999999999</v>
      </c>
      <c r="E181" s="14">
        <v>0.86</v>
      </c>
      <c r="F181" s="14">
        <v>0.5</v>
      </c>
      <c r="G181" s="14">
        <v>0.36</v>
      </c>
      <c r="H181" s="14">
        <v>0.77</v>
      </c>
      <c r="I181" s="14">
        <v>1.05</v>
      </c>
      <c r="J181" s="14">
        <v>1.43</v>
      </c>
    </row>
    <row r="182" spans="2:10" x14ac:dyDescent="0.3">
      <c r="B182" s="14">
        <v>0.2</v>
      </c>
      <c r="C182" s="14">
        <v>1.39</v>
      </c>
      <c r="D182" s="14">
        <v>1.01</v>
      </c>
      <c r="E182" s="14">
        <v>0.77</v>
      </c>
      <c r="F182" s="14">
        <v>0.45</v>
      </c>
      <c r="G182" s="14">
        <v>0.32</v>
      </c>
      <c r="H182" s="14">
        <v>0.68</v>
      </c>
      <c r="I182" s="14">
        <v>0.94</v>
      </c>
      <c r="J182" s="14">
        <v>1.28</v>
      </c>
    </row>
    <row r="183" spans="2:10" x14ac:dyDescent="0.3">
      <c r="B183" s="14">
        <v>0.4</v>
      </c>
      <c r="C183" s="14">
        <v>1.27</v>
      </c>
      <c r="D183" s="14">
        <v>0.84</v>
      </c>
      <c r="E183" s="14">
        <v>0.64</v>
      </c>
      <c r="F183" s="14">
        <v>0.39</v>
      </c>
      <c r="G183" s="14">
        <v>0.28000000000000003</v>
      </c>
      <c r="H183" s="14">
        <v>0.57999999999999996</v>
      </c>
      <c r="I183" s="14">
        <v>0.77</v>
      </c>
      <c r="J183" s="14">
        <v>1.07</v>
      </c>
    </row>
    <row r="184" spans="2:10" x14ac:dyDescent="0.3">
      <c r="B184" s="14">
        <v>0.6</v>
      </c>
      <c r="C184" s="14">
        <v>1.03</v>
      </c>
      <c r="D184" s="14">
        <v>0.69</v>
      </c>
      <c r="E184" s="14">
        <v>0.52</v>
      </c>
      <c r="F184" s="14">
        <v>0.34</v>
      </c>
      <c r="G184" s="14">
        <v>0.25</v>
      </c>
      <c r="H184" s="14">
        <v>0.51</v>
      </c>
      <c r="I184" s="14">
        <v>0.66</v>
      </c>
      <c r="J184" s="14">
        <v>0.87</v>
      </c>
    </row>
    <row r="185" spans="2:10" x14ac:dyDescent="0.3">
      <c r="B185" s="14">
        <v>0.8</v>
      </c>
      <c r="C185" s="14">
        <v>0.83</v>
      </c>
      <c r="D185" s="14">
        <v>0.56999999999999995</v>
      </c>
      <c r="E185" s="14">
        <v>0.46</v>
      </c>
      <c r="F185" s="14">
        <v>0.31</v>
      </c>
      <c r="G185" s="14">
        <v>0.23</v>
      </c>
      <c r="H185" s="14">
        <v>0.46</v>
      </c>
      <c r="I185" s="14">
        <v>0.59</v>
      </c>
      <c r="J185" s="14">
        <v>0.71</v>
      </c>
    </row>
    <row r="186" spans="2:10" x14ac:dyDescent="0.3">
      <c r="B186" s="14">
        <v>1</v>
      </c>
      <c r="C186" s="14">
        <v>0.68</v>
      </c>
      <c r="D186" s="14">
        <v>0.43</v>
      </c>
      <c r="E186" s="14">
        <v>0.36</v>
      </c>
      <c r="F186" s="14">
        <v>0.27</v>
      </c>
      <c r="G186" s="14">
        <v>0.22</v>
      </c>
      <c r="H186" s="14">
        <v>0.41</v>
      </c>
      <c r="I186" s="14">
        <v>0.5</v>
      </c>
      <c r="J186" s="14">
        <v>0.61</v>
      </c>
    </row>
    <row r="187" spans="2:10" x14ac:dyDescent="0.3">
      <c r="B187" s="14">
        <v>1.2</v>
      </c>
      <c r="C187" s="14">
        <v>0.46</v>
      </c>
      <c r="D187" s="14">
        <v>0.38</v>
      </c>
      <c r="E187" s="14">
        <v>0.33</v>
      </c>
      <c r="F187" s="14">
        <v>0.26</v>
      </c>
      <c r="G187" s="14">
        <v>0.2</v>
      </c>
      <c r="H187" s="14">
        <v>0.39</v>
      </c>
      <c r="I187" s="14">
        <v>0.41</v>
      </c>
      <c r="J187" s="14">
        <v>0.49</v>
      </c>
    </row>
    <row r="188" spans="2:10" x14ac:dyDescent="0.3">
      <c r="B188" s="14">
        <v>1.4</v>
      </c>
      <c r="C188" s="14">
        <v>0.34</v>
      </c>
      <c r="D188" s="14">
        <v>0.28000000000000003</v>
      </c>
      <c r="E188" s="14">
        <v>0.27</v>
      </c>
      <c r="F188" s="14">
        <v>0.24</v>
      </c>
      <c r="G188" s="14">
        <v>0.19</v>
      </c>
      <c r="H188" s="14">
        <v>0.36</v>
      </c>
      <c r="I188" s="14">
        <v>0.39</v>
      </c>
      <c r="J188" s="14">
        <v>0.42</v>
      </c>
    </row>
    <row r="189" spans="2:10" x14ac:dyDescent="0.3">
      <c r="B189" s="14">
        <v>1.6</v>
      </c>
      <c r="C189" s="14">
        <v>0.24</v>
      </c>
      <c r="D189" s="14">
        <v>0.25</v>
      </c>
      <c r="E189" s="14">
        <v>0.25</v>
      </c>
      <c r="F189" s="14">
        <v>0.23</v>
      </c>
      <c r="G189" s="14">
        <v>0.17</v>
      </c>
      <c r="H189" s="14">
        <v>0.31</v>
      </c>
      <c r="I189" s="14">
        <v>0.32</v>
      </c>
      <c r="J189" s="14">
        <v>0.35</v>
      </c>
    </row>
    <row r="190" spans="2:10" x14ac:dyDescent="0.3">
      <c r="B190" s="14">
        <v>1.8</v>
      </c>
      <c r="C190" s="14">
        <v>0.19</v>
      </c>
      <c r="D190" s="14">
        <v>0.21</v>
      </c>
      <c r="E190" s="14">
        <v>0.21</v>
      </c>
      <c r="F190" s="14">
        <v>0.21</v>
      </c>
      <c r="G190" s="14">
        <v>0.17</v>
      </c>
      <c r="H190" s="14">
        <v>0.31</v>
      </c>
      <c r="I190" s="14">
        <v>0.28000000000000003</v>
      </c>
      <c r="J190" s="14">
        <v>0.31</v>
      </c>
    </row>
    <row r="191" spans="2:10" x14ac:dyDescent="0.3">
      <c r="B191" s="14">
        <v>2</v>
      </c>
      <c r="C191" s="14">
        <v>0.15</v>
      </c>
      <c r="D191" s="14">
        <v>0.16</v>
      </c>
      <c r="E191" s="14">
        <v>0.2</v>
      </c>
      <c r="F191" s="14">
        <v>0.19</v>
      </c>
      <c r="G191" s="14">
        <v>0.17</v>
      </c>
      <c r="H191" s="14">
        <v>0.28999999999999998</v>
      </c>
      <c r="I191" s="14">
        <v>0.27</v>
      </c>
      <c r="J191" s="14">
        <v>0.23</v>
      </c>
    </row>
    <row r="192" spans="2:10" x14ac:dyDescent="0.3">
      <c r="B192" s="5"/>
    </row>
    <row r="193" spans="2:10" x14ac:dyDescent="0.3">
      <c r="B193" s="5" t="s">
        <v>2043</v>
      </c>
      <c r="E193" s="6"/>
      <c r="F193" s="6"/>
    </row>
    <row r="194" spans="2:10" x14ac:dyDescent="0.3">
      <c r="B194" s="5" t="s">
        <v>2044</v>
      </c>
      <c r="E194" s="6"/>
      <c r="F194" s="6"/>
    </row>
    <row r="195" spans="2:10" x14ac:dyDescent="0.3">
      <c r="B195" t="s">
        <v>1285</v>
      </c>
      <c r="C195" t="s">
        <v>2016</v>
      </c>
      <c r="D195" t="s">
        <v>2017</v>
      </c>
      <c r="E195" t="s">
        <v>2018</v>
      </c>
      <c r="F195" t="s">
        <v>2019</v>
      </c>
      <c r="G195" t="s">
        <v>2020</v>
      </c>
      <c r="H195" t="s">
        <v>2021</v>
      </c>
      <c r="I195" t="s">
        <v>2022</v>
      </c>
      <c r="J195" t="s">
        <v>2023</v>
      </c>
    </row>
    <row r="196" spans="2:10" x14ac:dyDescent="0.3">
      <c r="B196" s="14">
        <v>0</v>
      </c>
      <c r="C196" s="14">
        <v>1.52</v>
      </c>
      <c r="D196" s="14">
        <v>1.44</v>
      </c>
      <c r="E196" s="14">
        <v>1.28</v>
      </c>
      <c r="F196" s="14">
        <v>0.77</v>
      </c>
      <c r="G196" s="14">
        <v>0.77</v>
      </c>
      <c r="H196" s="14">
        <v>0.74</v>
      </c>
      <c r="I196" s="14">
        <v>1.32</v>
      </c>
      <c r="J196" s="14">
        <v>1.45</v>
      </c>
    </row>
    <row r="197" spans="2:10" x14ac:dyDescent="0.3">
      <c r="B197" s="14">
        <v>0.05</v>
      </c>
      <c r="C197" s="14">
        <v>1.47</v>
      </c>
      <c r="D197" s="14">
        <v>1.36</v>
      </c>
      <c r="E197" s="14">
        <v>1.17</v>
      </c>
      <c r="F197" s="14">
        <v>0.65</v>
      </c>
      <c r="G197" s="14">
        <v>0.65</v>
      </c>
      <c r="H197" s="14">
        <v>0.63</v>
      </c>
      <c r="I197" s="14">
        <v>1.22</v>
      </c>
      <c r="J197" s="14">
        <v>1.38</v>
      </c>
    </row>
    <row r="198" spans="2:10" x14ac:dyDescent="0.3">
      <c r="B198" s="14">
        <v>0.1</v>
      </c>
      <c r="C198" s="14">
        <v>1.46</v>
      </c>
      <c r="D198" s="14">
        <v>1.31</v>
      </c>
      <c r="E198" s="14">
        <v>1.1200000000000001</v>
      </c>
      <c r="F198" s="14">
        <v>0.61</v>
      </c>
      <c r="G198" s="14">
        <v>0.61</v>
      </c>
      <c r="H198" s="14">
        <v>0.59</v>
      </c>
      <c r="I198" s="14">
        <v>1.1399999999999999</v>
      </c>
      <c r="J198" s="14">
        <v>1.35</v>
      </c>
    </row>
    <row r="199" spans="2:10" x14ac:dyDescent="0.3">
      <c r="B199" s="14">
        <v>0.2</v>
      </c>
      <c r="C199" s="14">
        <v>1.25</v>
      </c>
      <c r="D199" s="14">
        <v>1.18</v>
      </c>
      <c r="E199" s="14">
        <v>0.99</v>
      </c>
      <c r="F199" s="14">
        <v>0.54</v>
      </c>
      <c r="G199" s="14">
        <v>0.54</v>
      </c>
      <c r="H199" s="14">
        <v>0.53</v>
      </c>
      <c r="I199" s="14">
        <v>1.05</v>
      </c>
      <c r="J199" s="14">
        <v>1.23</v>
      </c>
    </row>
    <row r="200" spans="2:10" x14ac:dyDescent="0.3">
      <c r="B200" s="14">
        <v>0.4</v>
      </c>
      <c r="C200" s="14">
        <v>1.1399999999999999</v>
      </c>
      <c r="D200" s="14">
        <v>1.02</v>
      </c>
      <c r="E200" s="14">
        <v>0.85</v>
      </c>
      <c r="F200" s="14">
        <v>0.46</v>
      </c>
      <c r="G200" s="14">
        <v>0.47</v>
      </c>
      <c r="H200" s="14">
        <v>0.45</v>
      </c>
      <c r="I200" s="14">
        <v>0.9</v>
      </c>
      <c r="J200" s="14">
        <v>1.04</v>
      </c>
    </row>
    <row r="201" spans="2:10" x14ac:dyDescent="0.3">
      <c r="B201" s="14">
        <v>0.6</v>
      </c>
      <c r="C201" s="14">
        <v>0.98</v>
      </c>
      <c r="D201" s="14">
        <v>0.87</v>
      </c>
      <c r="E201" s="14">
        <v>0.72</v>
      </c>
      <c r="F201" s="14">
        <v>0.39</v>
      </c>
      <c r="G201" s="14">
        <v>0.41</v>
      </c>
      <c r="H201" s="14">
        <v>0.38</v>
      </c>
      <c r="I201" s="14">
        <v>0.78</v>
      </c>
      <c r="J201" s="14">
        <v>0.9</v>
      </c>
    </row>
    <row r="202" spans="2:10" x14ac:dyDescent="0.3">
      <c r="B202" s="14">
        <v>0.8</v>
      </c>
      <c r="C202" s="14">
        <v>0.86</v>
      </c>
      <c r="D202" s="14">
        <v>0.74</v>
      </c>
      <c r="E202" s="14">
        <v>0.61</v>
      </c>
      <c r="F202" s="14">
        <v>0.36</v>
      </c>
      <c r="G202" s="14">
        <v>0.38</v>
      </c>
      <c r="H202" s="14">
        <v>0.36</v>
      </c>
      <c r="I202" s="14">
        <v>0.69</v>
      </c>
      <c r="J202" s="14">
        <v>0.75</v>
      </c>
    </row>
    <row r="203" spans="2:10" x14ac:dyDescent="0.3">
      <c r="B203" s="14">
        <v>1</v>
      </c>
      <c r="C203" s="14">
        <v>0.69</v>
      </c>
      <c r="D203" s="14">
        <v>0.57999999999999996</v>
      </c>
      <c r="E203" s="14">
        <v>0.54</v>
      </c>
      <c r="F203" s="14">
        <v>0.32</v>
      </c>
      <c r="G203" s="14">
        <v>0.34</v>
      </c>
      <c r="H203" s="14">
        <v>0.31</v>
      </c>
      <c r="I203" s="14">
        <v>0.59</v>
      </c>
      <c r="J203" s="14">
        <v>0.66</v>
      </c>
    </row>
    <row r="204" spans="2:10" x14ac:dyDescent="0.3">
      <c r="B204" s="14">
        <v>1.2</v>
      </c>
      <c r="C204" s="14">
        <v>0.56000000000000005</v>
      </c>
      <c r="D204" s="14">
        <v>0.54</v>
      </c>
      <c r="E204" s="14">
        <v>0.46</v>
      </c>
      <c r="F204" s="14">
        <v>0.31</v>
      </c>
      <c r="G204" s="14">
        <v>0.31</v>
      </c>
      <c r="H204" s="14">
        <v>0.3</v>
      </c>
      <c r="I204" s="14">
        <v>0.54</v>
      </c>
      <c r="J204" s="14">
        <v>0.55000000000000004</v>
      </c>
    </row>
    <row r="205" spans="2:10" x14ac:dyDescent="0.3">
      <c r="B205" s="14">
        <v>1.4</v>
      </c>
      <c r="C205" s="14">
        <v>0.42</v>
      </c>
      <c r="D205" s="14">
        <v>0.41</v>
      </c>
      <c r="E205" s="14">
        <v>0.42</v>
      </c>
      <c r="F205" s="14">
        <v>0.27</v>
      </c>
      <c r="G205" s="14">
        <v>0.31</v>
      </c>
      <c r="H205" s="14">
        <v>0.28000000000000003</v>
      </c>
      <c r="I205" s="14">
        <v>0.48</v>
      </c>
      <c r="J205" s="14">
        <v>0.49</v>
      </c>
    </row>
    <row r="206" spans="2:10" x14ac:dyDescent="0.3">
      <c r="B206" s="14">
        <v>1.6</v>
      </c>
      <c r="C206" s="14">
        <v>0.35</v>
      </c>
      <c r="D206" s="14">
        <v>0.37</v>
      </c>
      <c r="E206" s="14">
        <v>0.35</v>
      </c>
      <c r="F206" s="14">
        <v>0.26</v>
      </c>
      <c r="G206" s="14">
        <v>0.28999999999999998</v>
      </c>
      <c r="H206" s="14">
        <v>0.25</v>
      </c>
      <c r="I206" s="14">
        <v>0.42</v>
      </c>
      <c r="J206" s="14">
        <v>0.42</v>
      </c>
    </row>
    <row r="207" spans="2:10" x14ac:dyDescent="0.3">
      <c r="B207" s="14">
        <v>1.8</v>
      </c>
      <c r="C207" s="14">
        <v>0.26</v>
      </c>
      <c r="D207" s="14">
        <v>0.3</v>
      </c>
      <c r="E207" s="14">
        <v>0.34</v>
      </c>
      <c r="F207" s="14">
        <v>0.24</v>
      </c>
      <c r="G207" s="14">
        <v>0.27</v>
      </c>
      <c r="H207" s="14">
        <v>0.23</v>
      </c>
      <c r="I207" s="14">
        <v>0.41</v>
      </c>
      <c r="J207" s="14">
        <v>0.38</v>
      </c>
    </row>
    <row r="208" spans="2:10" x14ac:dyDescent="0.3">
      <c r="B208" s="14">
        <v>2</v>
      </c>
      <c r="C208" s="14">
        <v>0.2</v>
      </c>
      <c r="D208" s="14">
        <v>0.27</v>
      </c>
      <c r="E208" s="14">
        <v>0.32</v>
      </c>
      <c r="F208" s="14">
        <v>0.22</v>
      </c>
      <c r="G208" s="14">
        <v>0.25</v>
      </c>
      <c r="H208" s="14">
        <v>23</v>
      </c>
      <c r="I208" s="14">
        <v>0.36</v>
      </c>
      <c r="J208" s="14">
        <v>0.3</v>
      </c>
    </row>
    <row r="210" spans="2:10" x14ac:dyDescent="0.3">
      <c r="B210" s="5" t="s">
        <v>2045</v>
      </c>
      <c r="E210" s="6"/>
      <c r="F210" s="6"/>
    </row>
    <row r="211" spans="2:10" x14ac:dyDescent="0.3">
      <c r="B211" s="5" t="s">
        <v>2046</v>
      </c>
      <c r="E211" s="6"/>
      <c r="F211" s="6"/>
    </row>
    <row r="212" spans="2:10" x14ac:dyDescent="0.3">
      <c r="B212" t="s">
        <v>1285</v>
      </c>
      <c r="C212" t="s">
        <v>2016</v>
      </c>
      <c r="D212" t="s">
        <v>2017</v>
      </c>
      <c r="E212" t="s">
        <v>2018</v>
      </c>
      <c r="F212" t="s">
        <v>2019</v>
      </c>
      <c r="G212" t="s">
        <v>2020</v>
      </c>
      <c r="H212" t="s">
        <v>2021</v>
      </c>
      <c r="I212" t="s">
        <v>2022</v>
      </c>
      <c r="J212" t="s">
        <v>2023</v>
      </c>
    </row>
    <row r="213" spans="2:10" x14ac:dyDescent="0.3">
      <c r="B213" s="14">
        <v>0</v>
      </c>
      <c r="C213" s="14">
        <v>1.62</v>
      </c>
      <c r="D213" s="14">
        <v>1.31</v>
      </c>
      <c r="E213" s="14">
        <v>1.1599999999999999</v>
      </c>
      <c r="F213" s="14">
        <v>0.72</v>
      </c>
      <c r="G213" s="14">
        <v>0.49</v>
      </c>
      <c r="H213" s="14">
        <v>0.9</v>
      </c>
      <c r="I213" s="14">
        <v>1.1000000000000001</v>
      </c>
      <c r="J213" s="14">
        <v>1.44</v>
      </c>
    </row>
    <row r="214" spans="2:10" x14ac:dyDescent="0.3">
      <c r="B214" s="14">
        <v>0.05</v>
      </c>
      <c r="C214" s="14">
        <v>1.56</v>
      </c>
      <c r="D214" s="14">
        <v>1.24</v>
      </c>
      <c r="E214" s="14">
        <v>1.06</v>
      </c>
      <c r="F214" s="14">
        <v>0.6</v>
      </c>
      <c r="G214" s="14">
        <v>0.41</v>
      </c>
      <c r="H214" s="14">
        <v>0.76</v>
      </c>
      <c r="I214" s="14">
        <v>1.01</v>
      </c>
      <c r="J214" s="14">
        <v>1.37</v>
      </c>
    </row>
    <row r="215" spans="2:10" x14ac:dyDescent="0.3">
      <c r="B215" s="14">
        <v>0.1</v>
      </c>
      <c r="C215" s="14">
        <v>1.55</v>
      </c>
      <c r="D215" s="14">
        <v>1.19</v>
      </c>
      <c r="E215" s="14">
        <v>1.02</v>
      </c>
      <c r="F215" s="14">
        <v>0.56999999999999995</v>
      </c>
      <c r="G215" s="14">
        <v>0.39</v>
      </c>
      <c r="H215" s="14">
        <v>0.72</v>
      </c>
      <c r="I215" s="14">
        <v>0.95</v>
      </c>
      <c r="J215" s="14">
        <v>1.34</v>
      </c>
    </row>
    <row r="216" spans="2:10" x14ac:dyDescent="0.3">
      <c r="B216" s="14">
        <v>0.2</v>
      </c>
      <c r="C216" s="14">
        <v>1.33</v>
      </c>
      <c r="D216" s="14">
        <v>1.07</v>
      </c>
      <c r="E216" s="14">
        <v>0.9</v>
      </c>
      <c r="F216" s="14">
        <v>0.51</v>
      </c>
      <c r="G216" s="14">
        <v>0.35</v>
      </c>
      <c r="H216" s="14">
        <v>0.64</v>
      </c>
      <c r="I216" s="14">
        <v>0.88</v>
      </c>
      <c r="J216" s="14">
        <v>1.23</v>
      </c>
    </row>
    <row r="217" spans="2:10" x14ac:dyDescent="0.3">
      <c r="B217" s="14">
        <v>0.4</v>
      </c>
      <c r="C217" s="14">
        <v>1.22</v>
      </c>
      <c r="D217" s="14">
        <v>0.93</v>
      </c>
      <c r="E217" s="14">
        <v>0.77</v>
      </c>
      <c r="F217" s="14">
        <v>0.43</v>
      </c>
      <c r="G217" s="14">
        <v>0.3</v>
      </c>
      <c r="H217" s="14">
        <v>0.54</v>
      </c>
      <c r="I217" s="14">
        <v>0.75</v>
      </c>
      <c r="J217" s="14">
        <v>1.04</v>
      </c>
    </row>
    <row r="218" spans="2:10" x14ac:dyDescent="0.3">
      <c r="B218" s="14">
        <v>0.6</v>
      </c>
      <c r="C218" s="14">
        <v>1.04</v>
      </c>
      <c r="D218" s="14">
        <v>0.79</v>
      </c>
      <c r="E218" s="14">
        <v>0.65</v>
      </c>
      <c r="F218" s="14">
        <v>0.37</v>
      </c>
      <c r="G218" s="14">
        <v>0.26</v>
      </c>
      <c r="H218" s="14">
        <v>0.46</v>
      </c>
      <c r="I218" s="14">
        <v>0.65</v>
      </c>
      <c r="J218" s="14">
        <v>0.9</v>
      </c>
    </row>
    <row r="219" spans="2:10" x14ac:dyDescent="0.3">
      <c r="B219" s="14">
        <v>0.8</v>
      </c>
      <c r="C219" s="14">
        <v>0.92</v>
      </c>
      <c r="D219" s="14">
        <v>0.67</v>
      </c>
      <c r="E219" s="14">
        <v>0.55000000000000004</v>
      </c>
      <c r="F219" s="14">
        <v>0.33</v>
      </c>
      <c r="G219" s="14">
        <v>0.24</v>
      </c>
      <c r="H219" s="14">
        <v>0.44</v>
      </c>
      <c r="I219" s="14">
        <v>0.57999999999999996</v>
      </c>
      <c r="J219" s="14">
        <v>0.75</v>
      </c>
    </row>
    <row r="220" spans="2:10" x14ac:dyDescent="0.3">
      <c r="B220" s="14">
        <v>1</v>
      </c>
      <c r="C220" s="14">
        <v>0.73</v>
      </c>
      <c r="D220" s="14">
        <v>0.53</v>
      </c>
      <c r="E220" s="14">
        <v>0.49</v>
      </c>
      <c r="F220" s="14">
        <v>0.3</v>
      </c>
      <c r="G220" s="14">
        <v>0.22</v>
      </c>
      <c r="H220" s="14">
        <v>0.38</v>
      </c>
      <c r="I220" s="14">
        <v>0.49</v>
      </c>
      <c r="J220" s="14">
        <v>0.65</v>
      </c>
    </row>
    <row r="221" spans="2:10" x14ac:dyDescent="0.3">
      <c r="B221" s="14">
        <v>1.2</v>
      </c>
      <c r="C221" s="14">
        <v>0.6</v>
      </c>
      <c r="D221" s="14">
        <v>0.5</v>
      </c>
      <c r="E221" s="14">
        <v>0.42</v>
      </c>
      <c r="F221" s="14">
        <v>0.28999999999999998</v>
      </c>
      <c r="G221" s="14">
        <v>0.2</v>
      </c>
      <c r="H221" s="14">
        <v>0.36</v>
      </c>
      <c r="I221" s="14">
        <v>0.45</v>
      </c>
      <c r="J221" s="14">
        <v>0.55000000000000004</v>
      </c>
    </row>
    <row r="222" spans="2:10" x14ac:dyDescent="0.3">
      <c r="B222" s="14">
        <v>1.4</v>
      </c>
      <c r="C222" s="14">
        <v>0.45</v>
      </c>
      <c r="D222" s="14">
        <v>0.38</v>
      </c>
      <c r="E222" s="14">
        <v>0.38</v>
      </c>
      <c r="F222" s="14">
        <v>0.25</v>
      </c>
      <c r="G222" s="14">
        <v>0.2</v>
      </c>
      <c r="H222" s="14">
        <v>0.34</v>
      </c>
      <c r="I222" s="14">
        <v>0.4</v>
      </c>
      <c r="J222" s="14">
        <v>0.49</v>
      </c>
    </row>
    <row r="223" spans="2:10" x14ac:dyDescent="0.3">
      <c r="B223" s="14">
        <v>1.6</v>
      </c>
      <c r="C223" s="14">
        <v>0.37</v>
      </c>
      <c r="D223" s="14">
        <v>0.34</v>
      </c>
      <c r="E223" s="14">
        <v>0.32</v>
      </c>
      <c r="F223" s="14">
        <v>0.24</v>
      </c>
      <c r="G223" s="14">
        <v>0.18</v>
      </c>
      <c r="H223" s="14">
        <v>0.3</v>
      </c>
      <c r="I223" s="14">
        <v>0.35</v>
      </c>
      <c r="J223" s="14">
        <v>0.42</v>
      </c>
    </row>
    <row r="224" spans="2:10" x14ac:dyDescent="0.3">
      <c r="B224" s="14">
        <v>1.8</v>
      </c>
      <c r="C224" s="14">
        <v>0.27</v>
      </c>
      <c r="D224" s="14">
        <v>0.28000000000000003</v>
      </c>
      <c r="E224" s="14">
        <v>0.3</v>
      </c>
      <c r="F224" s="14">
        <v>0.22</v>
      </c>
      <c r="G224" s="14">
        <v>0.17</v>
      </c>
      <c r="H224" s="14">
        <v>0.28000000000000003</v>
      </c>
      <c r="I224" s="14">
        <v>0.34</v>
      </c>
      <c r="J224" s="14">
        <v>0.38</v>
      </c>
    </row>
    <row r="225" spans="2:10" x14ac:dyDescent="0.3">
      <c r="B225" s="14">
        <v>2</v>
      </c>
      <c r="C225" s="14">
        <v>0.21</v>
      </c>
      <c r="D225" s="14">
        <v>0.25</v>
      </c>
      <c r="E225" s="14">
        <v>0.28999999999999998</v>
      </c>
      <c r="F225" s="14">
        <v>0.21</v>
      </c>
      <c r="G225" s="14">
        <v>0.16</v>
      </c>
      <c r="H225" s="14">
        <v>0.28000000000000003</v>
      </c>
      <c r="I225" s="14">
        <v>0.3</v>
      </c>
      <c r="J225" s="14">
        <v>0.3</v>
      </c>
    </row>
    <row r="226" spans="2:10" x14ac:dyDescent="0.3">
      <c r="D226" s="8"/>
    </row>
    <row r="227" spans="2:10" x14ac:dyDescent="0.3">
      <c r="B227" s="5" t="s">
        <v>2047</v>
      </c>
      <c r="E227" s="6"/>
      <c r="F227" s="6"/>
    </row>
    <row r="228" spans="2:10" x14ac:dyDescent="0.3">
      <c r="B228" s="5" t="s">
        <v>2048</v>
      </c>
      <c r="E228" s="6"/>
      <c r="F228" s="6"/>
    </row>
    <row r="229" spans="2:10" x14ac:dyDescent="0.3">
      <c r="B229" t="s">
        <v>1285</v>
      </c>
      <c r="C229" t="s">
        <v>2016</v>
      </c>
      <c r="D229" t="s">
        <v>2017</v>
      </c>
      <c r="E229" t="s">
        <v>2018</v>
      </c>
      <c r="F229" t="s">
        <v>2019</v>
      </c>
      <c r="G229" t="s">
        <v>2020</v>
      </c>
      <c r="H229" t="s">
        <v>2021</v>
      </c>
      <c r="I229" t="s">
        <v>2022</v>
      </c>
      <c r="J229" t="s">
        <v>2023</v>
      </c>
    </row>
    <row r="230" spans="2:10" x14ac:dyDescent="0.3">
      <c r="B230" s="14">
        <v>0</v>
      </c>
      <c r="C230" s="14">
        <v>1.87</v>
      </c>
      <c r="D230" s="14">
        <v>1.92</v>
      </c>
      <c r="E230" s="14">
        <v>1.2</v>
      </c>
      <c r="F230" s="14">
        <v>0.52</v>
      </c>
      <c r="G230" s="14">
        <v>0.46</v>
      </c>
      <c r="H230" s="14">
        <v>0.53</v>
      </c>
      <c r="I230" s="14">
        <v>1.1299999999999999</v>
      </c>
      <c r="J230" s="14">
        <v>1.8</v>
      </c>
    </row>
    <row r="231" spans="2:10" x14ac:dyDescent="0.3">
      <c r="B231" s="14">
        <v>0.05</v>
      </c>
      <c r="C231" s="14">
        <v>1.81</v>
      </c>
      <c r="D231" s="14">
        <v>1.83</v>
      </c>
      <c r="E231" s="14">
        <v>1.1200000000000001</v>
      </c>
      <c r="F231" s="14">
        <v>0.44</v>
      </c>
      <c r="G231" s="14">
        <v>0.38</v>
      </c>
      <c r="H231" s="14">
        <v>0.45</v>
      </c>
      <c r="I231" s="14">
        <v>1.04</v>
      </c>
      <c r="J231" s="14">
        <v>1.73</v>
      </c>
    </row>
    <row r="232" spans="2:10" x14ac:dyDescent="0.3">
      <c r="B232" s="14">
        <v>0.1</v>
      </c>
      <c r="C232" s="14">
        <v>1.81</v>
      </c>
      <c r="D232" s="14">
        <v>1.8</v>
      </c>
      <c r="E232" s="14">
        <v>1.06</v>
      </c>
      <c r="F232" s="14">
        <v>0.41</v>
      </c>
      <c r="G232" s="14">
        <v>0.36</v>
      </c>
      <c r="H232" s="14">
        <v>0.42</v>
      </c>
      <c r="I232" s="14">
        <v>0.99</v>
      </c>
      <c r="J232" s="14">
        <v>1.69</v>
      </c>
    </row>
    <row r="233" spans="2:10" x14ac:dyDescent="0.3">
      <c r="B233" s="14">
        <v>0.2</v>
      </c>
      <c r="C233" s="14">
        <v>1.7</v>
      </c>
      <c r="D233" s="14">
        <v>1.68</v>
      </c>
      <c r="E233" s="14">
        <v>0.99</v>
      </c>
      <c r="F233" s="14">
        <v>0.37</v>
      </c>
      <c r="G233" s="14">
        <v>0.33</v>
      </c>
      <c r="H233" s="14">
        <v>0.38</v>
      </c>
      <c r="I233" s="14">
        <v>0.9</v>
      </c>
      <c r="J233" s="14">
        <v>1.54</v>
      </c>
    </row>
    <row r="234" spans="2:10" x14ac:dyDescent="0.3">
      <c r="B234" s="14">
        <v>0.4</v>
      </c>
      <c r="C234" s="14">
        <v>1.46</v>
      </c>
      <c r="D234" s="14">
        <v>1.46</v>
      </c>
      <c r="E234" s="14">
        <v>0.84</v>
      </c>
      <c r="F234" s="14">
        <v>0.32</v>
      </c>
      <c r="G234" s="14">
        <v>0.27</v>
      </c>
      <c r="H234" s="14">
        <v>0.32</v>
      </c>
      <c r="I234" s="14">
        <v>0.75</v>
      </c>
      <c r="J234" s="14">
        <v>1.36</v>
      </c>
    </row>
    <row r="235" spans="2:10" x14ac:dyDescent="0.3">
      <c r="B235" s="14">
        <v>0.6</v>
      </c>
      <c r="C235" s="14">
        <v>1.34</v>
      </c>
      <c r="D235" s="14">
        <v>1.28</v>
      </c>
      <c r="E235" s="14">
        <v>0.73</v>
      </c>
      <c r="F235" s="14">
        <v>0.28000000000000003</v>
      </c>
      <c r="G235" s="14">
        <v>0.25</v>
      </c>
      <c r="H235" s="14">
        <v>0.28000000000000003</v>
      </c>
      <c r="I235" s="14">
        <v>0.66</v>
      </c>
      <c r="J235" s="14">
        <v>1.1499999999999999</v>
      </c>
    </row>
    <row r="236" spans="2:10" x14ac:dyDescent="0.3">
      <c r="B236" s="14">
        <v>0.8</v>
      </c>
      <c r="C236" s="14">
        <v>1.1399999999999999</v>
      </c>
      <c r="D236" s="14">
        <v>1.1000000000000001</v>
      </c>
      <c r="E236" s="14">
        <v>0.64</v>
      </c>
      <c r="F236" s="14">
        <v>0.25</v>
      </c>
      <c r="G236" s="14">
        <v>0.22</v>
      </c>
      <c r="H236" s="14">
        <v>0.25</v>
      </c>
      <c r="I236" s="14">
        <v>0.59</v>
      </c>
      <c r="J236" s="14">
        <v>1</v>
      </c>
    </row>
    <row r="237" spans="2:10" x14ac:dyDescent="0.3">
      <c r="B237" s="14">
        <v>1</v>
      </c>
      <c r="C237" s="14">
        <v>1.04</v>
      </c>
      <c r="D237" s="14">
        <v>0.98</v>
      </c>
      <c r="E237" s="14">
        <v>0.59</v>
      </c>
      <c r="F237" s="14">
        <v>0.22</v>
      </c>
      <c r="G237" s="14">
        <v>0.21</v>
      </c>
      <c r="H237" s="14">
        <v>0.22</v>
      </c>
      <c r="I237" s="14">
        <v>0.51</v>
      </c>
      <c r="J237" s="14">
        <v>0.85</v>
      </c>
    </row>
    <row r="238" spans="2:10" x14ac:dyDescent="0.3">
      <c r="B238" s="14">
        <v>1.2</v>
      </c>
      <c r="C238" s="14">
        <v>0.82</v>
      </c>
      <c r="D238" s="14">
        <v>0.82</v>
      </c>
      <c r="E238" s="14">
        <v>0.49</v>
      </c>
      <c r="F238" s="14">
        <v>0.21</v>
      </c>
      <c r="G238" s="14">
        <v>0.2</v>
      </c>
      <c r="H238" s="14">
        <v>0.21</v>
      </c>
      <c r="I238" s="14">
        <v>0.45</v>
      </c>
      <c r="J238" s="14">
        <v>0.76</v>
      </c>
    </row>
    <row r="239" spans="2:10" x14ac:dyDescent="0.3">
      <c r="B239" s="14">
        <v>1.4</v>
      </c>
      <c r="C239" s="14">
        <v>0.75</v>
      </c>
      <c r="D239" s="14">
        <v>0.8</v>
      </c>
      <c r="E239" s="14">
        <v>0.48</v>
      </c>
      <c r="F239" s="14">
        <v>0.19</v>
      </c>
      <c r="G239" s="14">
        <v>0.18</v>
      </c>
      <c r="H239" s="14">
        <v>0.2</v>
      </c>
      <c r="I239" s="14">
        <v>0.41</v>
      </c>
      <c r="J239" s="14">
        <v>0.57999999999999996</v>
      </c>
    </row>
    <row r="240" spans="2:10" x14ac:dyDescent="0.3">
      <c r="B240" s="14">
        <v>1.6</v>
      </c>
      <c r="C240" s="14">
        <v>0.57999999999999996</v>
      </c>
      <c r="D240" s="14">
        <v>0.57999999999999996</v>
      </c>
      <c r="E240" s="14">
        <v>0.44</v>
      </c>
      <c r="F240" s="14">
        <v>0.18</v>
      </c>
      <c r="G240" s="14">
        <v>0.17</v>
      </c>
      <c r="H240" s="14">
        <v>0.17</v>
      </c>
      <c r="I240" s="14">
        <v>0.38</v>
      </c>
      <c r="J240" s="14">
        <v>0.54</v>
      </c>
    </row>
    <row r="241" spans="2:10" x14ac:dyDescent="0.3">
      <c r="B241" s="14">
        <v>1.8</v>
      </c>
      <c r="C241" s="14">
        <v>0.47</v>
      </c>
      <c r="D241" s="14">
        <v>0.55000000000000004</v>
      </c>
      <c r="E241" s="14">
        <v>0.35</v>
      </c>
      <c r="F241" s="14">
        <v>0.17</v>
      </c>
      <c r="G241" s="14">
        <v>0.17</v>
      </c>
      <c r="H241" s="14">
        <v>0.17</v>
      </c>
      <c r="I241" s="14">
        <v>0.35</v>
      </c>
      <c r="J241" s="14">
        <v>0.47</v>
      </c>
    </row>
    <row r="242" spans="2:10" x14ac:dyDescent="0.3">
      <c r="B242" s="14">
        <v>2</v>
      </c>
      <c r="C242" s="14">
        <v>0.35</v>
      </c>
      <c r="D242" s="14">
        <v>0.46</v>
      </c>
      <c r="E242" s="14">
        <v>0.35</v>
      </c>
      <c r="F242" s="14">
        <v>0.15</v>
      </c>
      <c r="G242" s="14">
        <v>0.16</v>
      </c>
      <c r="H242" s="14">
        <v>0.17</v>
      </c>
      <c r="I242" s="14">
        <v>0.3</v>
      </c>
      <c r="J242" s="14">
        <v>0.4</v>
      </c>
    </row>
    <row r="243" spans="2:10" x14ac:dyDescent="0.3">
      <c r="C243" s="6"/>
      <c r="D243" s="8"/>
    </row>
    <row r="244" spans="2:10" x14ac:dyDescent="0.3">
      <c r="B244" s="5" t="s">
        <v>2049</v>
      </c>
      <c r="E244" s="6"/>
      <c r="F244" s="6"/>
    </row>
    <row r="245" spans="2:10" x14ac:dyDescent="0.3">
      <c r="B245" s="5" t="s">
        <v>2050</v>
      </c>
      <c r="E245" s="6"/>
      <c r="F245" s="6"/>
    </row>
    <row r="246" spans="2:10" x14ac:dyDescent="0.3">
      <c r="B246" t="s">
        <v>1285</v>
      </c>
      <c r="C246" t="s">
        <v>2016</v>
      </c>
      <c r="D246" t="s">
        <v>2017</v>
      </c>
      <c r="E246" t="s">
        <v>2018</v>
      </c>
      <c r="F246" t="s">
        <v>2019</v>
      </c>
      <c r="G246" t="s">
        <v>2020</v>
      </c>
      <c r="H246" t="s">
        <v>2021</v>
      </c>
      <c r="I246" t="s">
        <v>2022</v>
      </c>
      <c r="J246" t="s">
        <v>2051</v>
      </c>
    </row>
    <row r="247" spans="2:10" x14ac:dyDescent="0.3">
      <c r="B247" s="14">
        <v>0</v>
      </c>
      <c r="C247" s="14">
        <v>1.87</v>
      </c>
      <c r="D247" s="14">
        <v>1.43</v>
      </c>
      <c r="E247" s="14">
        <v>1.2</v>
      </c>
      <c r="F247" s="14">
        <v>0.75</v>
      </c>
      <c r="G247" s="14">
        <v>0.53</v>
      </c>
      <c r="H247" s="14">
        <v>0.93</v>
      </c>
      <c r="I247" s="14">
        <v>1.1299999999999999</v>
      </c>
      <c r="J247" s="14">
        <v>1.62</v>
      </c>
    </row>
    <row r="248" spans="2:10" x14ac:dyDescent="0.3">
      <c r="B248" s="14">
        <v>0.05</v>
      </c>
      <c r="C248" s="14">
        <v>1.81</v>
      </c>
      <c r="D248" s="14">
        <v>1.37</v>
      </c>
      <c r="E248" s="14">
        <v>1.1200000000000001</v>
      </c>
      <c r="F248" s="14">
        <v>0.63</v>
      </c>
      <c r="G248" s="14">
        <v>0.44</v>
      </c>
      <c r="H248" s="14">
        <v>0.78</v>
      </c>
      <c r="I248" s="14">
        <v>1.04</v>
      </c>
      <c r="J248" s="14">
        <v>1.56</v>
      </c>
    </row>
    <row r="249" spans="2:10" x14ac:dyDescent="0.3">
      <c r="B249" s="14">
        <v>0.1</v>
      </c>
      <c r="C249" s="14">
        <v>1.81</v>
      </c>
      <c r="D249" s="14">
        <v>1.34</v>
      </c>
      <c r="E249" s="14">
        <v>1.06</v>
      </c>
      <c r="F249" s="14">
        <v>0.59</v>
      </c>
      <c r="G249" s="14">
        <v>0.42</v>
      </c>
      <c r="H249" s="14">
        <v>0.73</v>
      </c>
      <c r="I249" s="14">
        <v>0.99</v>
      </c>
      <c r="J249" s="14">
        <v>1.53</v>
      </c>
    </row>
    <row r="250" spans="2:10" x14ac:dyDescent="0.3">
      <c r="B250" s="14">
        <v>0.2</v>
      </c>
      <c r="C250" s="14">
        <v>1.7</v>
      </c>
      <c r="D250" s="14">
        <v>1.25</v>
      </c>
      <c r="E250" s="14">
        <v>0.99</v>
      </c>
      <c r="F250" s="14">
        <v>0.53</v>
      </c>
      <c r="G250" s="14">
        <v>0.38</v>
      </c>
      <c r="H250" s="14">
        <v>0.66</v>
      </c>
      <c r="I250" s="14">
        <v>0.9</v>
      </c>
      <c r="J250" s="14">
        <v>1.38</v>
      </c>
    </row>
    <row r="251" spans="2:10" x14ac:dyDescent="0.3">
      <c r="B251" s="14">
        <v>0.4</v>
      </c>
      <c r="C251" s="14">
        <v>1.46</v>
      </c>
      <c r="D251" s="14">
        <v>1.0900000000000001</v>
      </c>
      <c r="E251" s="14">
        <v>0.84</v>
      </c>
      <c r="F251" s="14">
        <v>0.45</v>
      </c>
      <c r="G251" s="14">
        <v>0.32</v>
      </c>
      <c r="H251" s="14">
        <v>0.56000000000000005</v>
      </c>
      <c r="I251" s="14">
        <v>0.75</v>
      </c>
      <c r="J251" s="14">
        <v>1.22</v>
      </c>
    </row>
    <row r="252" spans="2:10" x14ac:dyDescent="0.3">
      <c r="B252" s="14">
        <v>0.6</v>
      </c>
      <c r="C252" s="14">
        <v>1.34</v>
      </c>
      <c r="D252" s="14">
        <v>0.95</v>
      </c>
      <c r="E252" s="14">
        <v>0.73</v>
      </c>
      <c r="F252" s="14">
        <v>0.4</v>
      </c>
      <c r="G252" s="14">
        <v>0.28999999999999998</v>
      </c>
      <c r="H252" s="14">
        <v>0.49</v>
      </c>
      <c r="I252" s="14">
        <v>0.66</v>
      </c>
      <c r="J252" s="14">
        <v>1.04</v>
      </c>
    </row>
    <row r="253" spans="2:10" x14ac:dyDescent="0.3">
      <c r="B253" s="14">
        <v>0.8</v>
      </c>
      <c r="C253" s="14">
        <v>1.1399999999999999</v>
      </c>
      <c r="D253" s="14">
        <v>0.82</v>
      </c>
      <c r="E253" s="14">
        <v>0.64</v>
      </c>
      <c r="F253" s="14">
        <v>0.36</v>
      </c>
      <c r="G253" s="14">
        <v>0.26</v>
      </c>
      <c r="H253" s="14">
        <v>0.44</v>
      </c>
      <c r="I253" s="14">
        <v>0.59</v>
      </c>
      <c r="J253" s="14">
        <v>0.9</v>
      </c>
    </row>
    <row r="254" spans="2:10" x14ac:dyDescent="0.3">
      <c r="B254" s="14">
        <v>1</v>
      </c>
      <c r="C254" s="14">
        <v>1.04</v>
      </c>
      <c r="D254" s="14">
        <v>0.73</v>
      </c>
      <c r="E254" s="14">
        <v>0.59</v>
      </c>
      <c r="F254" s="14">
        <v>0.32</v>
      </c>
      <c r="G254" s="14">
        <v>0.24</v>
      </c>
      <c r="H254" s="14">
        <v>0.39</v>
      </c>
      <c r="I254" s="14">
        <v>0.51</v>
      </c>
      <c r="J254" s="14">
        <v>0.77</v>
      </c>
    </row>
    <row r="255" spans="2:10" x14ac:dyDescent="0.3">
      <c r="B255" s="14">
        <v>1.2</v>
      </c>
      <c r="C255" s="14">
        <v>0.82</v>
      </c>
      <c r="D255" s="14">
        <v>0.61</v>
      </c>
      <c r="E255" s="14">
        <v>0.49</v>
      </c>
      <c r="F255" s="14">
        <v>0.3</v>
      </c>
      <c r="G255" s="14">
        <v>0.23</v>
      </c>
      <c r="H255" s="14">
        <v>0.37</v>
      </c>
      <c r="I255" s="14">
        <v>0.45</v>
      </c>
      <c r="J255" s="14">
        <v>0.68</v>
      </c>
    </row>
    <row r="256" spans="2:10" x14ac:dyDescent="0.3">
      <c r="B256" s="14">
        <v>1.4</v>
      </c>
      <c r="C256" s="14">
        <v>0.75</v>
      </c>
      <c r="D256" s="14">
        <v>0.6</v>
      </c>
      <c r="E256" s="14">
        <v>0.48</v>
      </c>
      <c r="F256" s="14">
        <v>0.28000000000000003</v>
      </c>
      <c r="G256" s="14">
        <v>0.21</v>
      </c>
      <c r="H256" s="14">
        <v>0.34</v>
      </c>
      <c r="I256" s="14">
        <v>0.41</v>
      </c>
      <c r="J256" s="14">
        <v>0.52</v>
      </c>
    </row>
    <row r="257" spans="2:12" x14ac:dyDescent="0.3">
      <c r="B257" s="14">
        <v>1.6</v>
      </c>
      <c r="C257" s="14">
        <v>0.57999999999999996</v>
      </c>
      <c r="D257" s="14">
        <v>0.43</v>
      </c>
      <c r="E257" s="14">
        <v>0.44</v>
      </c>
      <c r="F257" s="14">
        <v>0.26</v>
      </c>
      <c r="G257" s="14">
        <v>0.2</v>
      </c>
      <c r="H257" s="14">
        <v>0.28999999999999998</v>
      </c>
      <c r="I257" s="14">
        <v>0.38</v>
      </c>
      <c r="J257" s="14">
        <v>0.49</v>
      </c>
    </row>
    <row r="258" spans="2:12" x14ac:dyDescent="0.3">
      <c r="B258" s="14">
        <v>1.8</v>
      </c>
      <c r="C258" s="14">
        <v>0.47</v>
      </c>
      <c r="D258" s="14">
        <v>0.41</v>
      </c>
      <c r="E258" s="14">
        <v>0.35</v>
      </c>
      <c r="F258" s="14">
        <v>0.24</v>
      </c>
      <c r="G258" s="14">
        <v>0.2</v>
      </c>
      <c r="H258" s="14">
        <v>0.28999999999999998</v>
      </c>
      <c r="I258" s="14">
        <v>0.35</v>
      </c>
      <c r="J258" s="14">
        <v>0.42</v>
      </c>
    </row>
    <row r="259" spans="2:12" x14ac:dyDescent="0.3">
      <c r="B259" s="14">
        <v>2</v>
      </c>
      <c r="C259" s="14">
        <v>0.35</v>
      </c>
      <c r="D259" s="14">
        <v>0.34</v>
      </c>
      <c r="E259" s="14">
        <v>0.35</v>
      </c>
      <c r="F259" s="14">
        <v>0.22</v>
      </c>
      <c r="G259" s="14">
        <v>0.18</v>
      </c>
      <c r="H259" s="14">
        <v>0.28999999999999998</v>
      </c>
      <c r="I259" s="14">
        <v>0.3</v>
      </c>
      <c r="J259" s="14">
        <v>0.36</v>
      </c>
    </row>
    <row r="260" spans="2:12" x14ac:dyDescent="0.3">
      <c r="B260" s="5"/>
    </row>
    <row r="261" spans="2:12" x14ac:dyDescent="0.3">
      <c r="B261" s="5" t="s">
        <v>2052</v>
      </c>
      <c r="E261" s="6"/>
      <c r="F261" s="6"/>
    </row>
    <row r="262" spans="2:12" x14ac:dyDescent="0.3">
      <c r="B262" s="5" t="s">
        <v>2053</v>
      </c>
      <c r="E262" s="6"/>
      <c r="F262" s="6"/>
    </row>
    <row r="263" spans="2:12" x14ac:dyDescent="0.3">
      <c r="B263" t="s">
        <v>1285</v>
      </c>
      <c r="C263" t="s">
        <v>2016</v>
      </c>
      <c r="D263" t="s">
        <v>2017</v>
      </c>
      <c r="E263" t="s">
        <v>2018</v>
      </c>
      <c r="F263" t="s">
        <v>2019</v>
      </c>
      <c r="G263" t="s">
        <v>2020</v>
      </c>
      <c r="H263" t="s">
        <v>2021</v>
      </c>
      <c r="I263" t="s">
        <v>2022</v>
      </c>
      <c r="J263" t="s">
        <v>2023</v>
      </c>
    </row>
    <row r="264" spans="2:12" x14ac:dyDescent="0.3">
      <c r="B264" s="14">
        <v>0</v>
      </c>
      <c r="C264" s="14">
        <v>2.2999999999999998</v>
      </c>
      <c r="D264" s="14">
        <v>2.4</v>
      </c>
      <c r="E264" s="14">
        <v>1.66</v>
      </c>
      <c r="F264" s="14">
        <v>0.67</v>
      </c>
      <c r="G264" s="14">
        <v>0.36</v>
      </c>
      <c r="H264" s="14">
        <v>0.65</v>
      </c>
      <c r="I264" s="14">
        <v>1.59</v>
      </c>
      <c r="J264" s="14">
        <v>2.2999999999999998</v>
      </c>
    </row>
    <row r="265" spans="2:12" x14ac:dyDescent="0.3">
      <c r="B265" s="14">
        <v>0.05</v>
      </c>
      <c r="C265" s="14">
        <v>2.23</v>
      </c>
      <c r="D265" s="14">
        <v>2.2799999999999998</v>
      </c>
      <c r="E265" s="14">
        <v>1.5</v>
      </c>
      <c r="F265" s="14">
        <v>0.56000000000000005</v>
      </c>
      <c r="G265" s="14">
        <v>0.3</v>
      </c>
      <c r="H265" s="14">
        <v>0.54</v>
      </c>
      <c r="I265" s="14">
        <v>1.43</v>
      </c>
      <c r="J265" s="14">
        <v>2.19</v>
      </c>
    </row>
    <row r="266" spans="2:12" x14ac:dyDescent="0.3">
      <c r="B266" s="14">
        <v>0.1</v>
      </c>
      <c r="C266" s="14">
        <v>2.2000000000000002</v>
      </c>
      <c r="D266" s="14">
        <v>2.2000000000000002</v>
      </c>
      <c r="E266" s="14">
        <v>1.44</v>
      </c>
      <c r="F266" s="14">
        <v>0.53</v>
      </c>
      <c r="G266" s="14">
        <v>0.28000000000000003</v>
      </c>
      <c r="H266" s="14">
        <v>0.51</v>
      </c>
      <c r="I266" s="14">
        <v>1.37</v>
      </c>
      <c r="J266" s="14">
        <v>2.11</v>
      </c>
    </row>
    <row r="267" spans="2:12" x14ac:dyDescent="0.3">
      <c r="B267" s="14">
        <v>0.2</v>
      </c>
      <c r="C267" s="14">
        <v>1.86</v>
      </c>
      <c r="D267" s="14">
        <v>1.98</v>
      </c>
      <c r="E267" s="14">
        <v>1.29</v>
      </c>
      <c r="F267" s="14">
        <v>0.47</v>
      </c>
      <c r="G267" s="14">
        <v>0.26</v>
      </c>
      <c r="H267" s="14">
        <v>0.46</v>
      </c>
      <c r="I267" s="14">
        <v>1.23</v>
      </c>
      <c r="J267" s="14">
        <v>1.89</v>
      </c>
    </row>
    <row r="268" spans="2:12" x14ac:dyDescent="0.3">
      <c r="B268" s="14">
        <v>0.4</v>
      </c>
      <c r="C268" s="14">
        <v>1.68</v>
      </c>
      <c r="D268" s="14">
        <v>1.65</v>
      </c>
      <c r="E268" s="14">
        <v>1.05</v>
      </c>
      <c r="F268" s="14">
        <v>0.4</v>
      </c>
      <c r="G268" s="14">
        <v>0.22</v>
      </c>
      <c r="H268" s="14">
        <v>0.39</v>
      </c>
      <c r="I268" s="14">
        <v>1</v>
      </c>
      <c r="J268" s="14">
        <v>1.56</v>
      </c>
      <c r="K268" s="6"/>
      <c r="L268" s="6"/>
    </row>
    <row r="269" spans="2:12" x14ac:dyDescent="0.3">
      <c r="B269" s="14">
        <v>0.6</v>
      </c>
      <c r="C269" s="14">
        <v>1.4</v>
      </c>
      <c r="D269" s="14">
        <v>1.34</v>
      </c>
      <c r="E269" s="14">
        <v>0.9</v>
      </c>
      <c r="F269" s="14">
        <v>0.34</v>
      </c>
      <c r="G269" s="14">
        <v>0.19</v>
      </c>
      <c r="H269" s="14">
        <v>0.33</v>
      </c>
      <c r="I269" s="14">
        <v>0.86</v>
      </c>
      <c r="J269" s="14">
        <v>1.29</v>
      </c>
      <c r="K269" s="6"/>
      <c r="L269" s="6"/>
    </row>
    <row r="270" spans="2:12" x14ac:dyDescent="0.3">
      <c r="B270" s="14">
        <v>0.8</v>
      </c>
      <c r="C270" s="14">
        <v>1.19</v>
      </c>
      <c r="D270" s="14">
        <v>1.1000000000000001</v>
      </c>
      <c r="E270" s="14">
        <v>0.76</v>
      </c>
      <c r="F270" s="14">
        <v>0.3</v>
      </c>
      <c r="G270" s="14">
        <v>0.18</v>
      </c>
      <c r="H270" s="14">
        <v>0.28999999999999998</v>
      </c>
      <c r="I270" s="14">
        <v>0.71</v>
      </c>
      <c r="J270" s="14">
        <v>1.06</v>
      </c>
      <c r="K270" s="6"/>
      <c r="L270" s="6"/>
    </row>
    <row r="271" spans="2:12" x14ac:dyDescent="0.3">
      <c r="B271" s="14">
        <v>1</v>
      </c>
      <c r="C271" s="14">
        <v>0.94</v>
      </c>
      <c r="D271" s="14">
        <v>0.96</v>
      </c>
      <c r="E271" s="14">
        <v>0.66</v>
      </c>
      <c r="F271" s="14">
        <v>0.28999999999999998</v>
      </c>
      <c r="G271" s="14">
        <v>0.16</v>
      </c>
      <c r="H271" s="14">
        <v>0.26</v>
      </c>
      <c r="I271" s="14">
        <v>0.59</v>
      </c>
      <c r="J271" s="14">
        <v>0.91</v>
      </c>
    </row>
    <row r="272" spans="2:12" x14ac:dyDescent="0.3">
      <c r="B272" s="14">
        <v>1.2</v>
      </c>
      <c r="C272" s="14">
        <v>0.64</v>
      </c>
      <c r="D272" s="14">
        <v>0.75</v>
      </c>
      <c r="E272" s="14">
        <v>0.56999999999999995</v>
      </c>
      <c r="F272" s="14">
        <v>0.26</v>
      </c>
      <c r="G272" s="14">
        <v>0.15</v>
      </c>
      <c r="H272" s="14">
        <v>0.25</v>
      </c>
      <c r="I272" s="14">
        <v>0.53</v>
      </c>
      <c r="J272" s="14">
        <v>0.74</v>
      </c>
    </row>
    <row r="273" spans="2:10" x14ac:dyDescent="0.3">
      <c r="B273" s="14">
        <v>1.4</v>
      </c>
      <c r="C273" s="14">
        <v>0.52</v>
      </c>
      <c r="D273" s="14">
        <v>0.68</v>
      </c>
      <c r="E273" s="14">
        <v>0.51</v>
      </c>
      <c r="F273" s="14">
        <v>0.24</v>
      </c>
      <c r="G273" s="14">
        <v>0.14000000000000001</v>
      </c>
      <c r="H273" s="14">
        <v>0.23</v>
      </c>
      <c r="I273" s="14">
        <v>0.47</v>
      </c>
      <c r="J273" s="14">
        <v>0.6</v>
      </c>
    </row>
    <row r="274" spans="2:10" x14ac:dyDescent="0.3">
      <c r="B274" s="14">
        <v>1.6</v>
      </c>
      <c r="C274" s="14">
        <v>0.37</v>
      </c>
      <c r="D274" s="14">
        <v>0.5</v>
      </c>
      <c r="E274" s="14">
        <v>0.43</v>
      </c>
      <c r="F274" s="14">
        <v>0.23</v>
      </c>
      <c r="G274" s="14">
        <v>0.14000000000000001</v>
      </c>
      <c r="H274" s="14">
        <v>0.21</v>
      </c>
      <c r="I274" s="14">
        <v>0.43</v>
      </c>
      <c r="J274" s="14">
        <v>0.5</v>
      </c>
    </row>
    <row r="275" spans="2:10" x14ac:dyDescent="0.3">
      <c r="B275" s="14">
        <v>1.8</v>
      </c>
      <c r="C275" s="14">
        <v>0.27</v>
      </c>
      <c r="D275" s="14">
        <v>0.45</v>
      </c>
      <c r="E275" s="14">
        <v>0.39</v>
      </c>
      <c r="F275" s="14">
        <v>0.2</v>
      </c>
      <c r="G275" s="14">
        <v>0.13</v>
      </c>
      <c r="H275" s="14">
        <v>0.19</v>
      </c>
      <c r="I275" s="14">
        <v>0.37</v>
      </c>
      <c r="J275" s="14">
        <v>0.46</v>
      </c>
    </row>
    <row r="276" spans="2:10" x14ac:dyDescent="0.3">
      <c r="B276" s="14">
        <v>2</v>
      </c>
      <c r="C276" s="14">
        <v>0.23</v>
      </c>
      <c r="D276" s="14">
        <v>0.41</v>
      </c>
      <c r="E276" s="14">
        <v>0.33</v>
      </c>
      <c r="F276" s="14">
        <v>0.2</v>
      </c>
      <c r="G276" s="14">
        <v>0.12</v>
      </c>
      <c r="H276" s="14">
        <v>0.19</v>
      </c>
      <c r="I276" s="14">
        <v>0.33</v>
      </c>
      <c r="J276" s="14">
        <v>0.36</v>
      </c>
    </row>
    <row r="277" spans="2:10" x14ac:dyDescent="0.3">
      <c r="B277" s="7"/>
      <c r="C277" s="6"/>
      <c r="D277" s="6"/>
      <c r="E277" s="6"/>
      <c r="F277" s="6"/>
      <c r="G277" s="6"/>
      <c r="H277" s="6"/>
      <c r="I277" s="6"/>
      <c r="J277" s="6"/>
    </row>
    <row r="278" spans="2:10" x14ac:dyDescent="0.3">
      <c r="B278" s="5" t="s">
        <v>2054</v>
      </c>
      <c r="E278" s="6"/>
      <c r="F278" s="6"/>
    </row>
    <row r="279" spans="2:10" x14ac:dyDescent="0.3">
      <c r="B279" s="5" t="s">
        <v>2055</v>
      </c>
      <c r="E279" s="6"/>
      <c r="F279" s="6"/>
    </row>
    <row r="280" spans="2:10" x14ac:dyDescent="0.3">
      <c r="B280" t="s">
        <v>1285</v>
      </c>
      <c r="C280" t="s">
        <v>2016</v>
      </c>
      <c r="D280" t="s">
        <v>2017</v>
      </c>
      <c r="E280" t="s">
        <v>2018</v>
      </c>
      <c r="F280" t="s">
        <v>2019</v>
      </c>
      <c r="G280" t="s">
        <v>2020</v>
      </c>
      <c r="H280" t="s">
        <v>2021</v>
      </c>
      <c r="I280" t="s">
        <v>2022</v>
      </c>
      <c r="J280" t="s">
        <v>2023</v>
      </c>
    </row>
    <row r="281" spans="2:10" x14ac:dyDescent="0.3">
      <c r="B281" s="14">
        <v>0</v>
      </c>
      <c r="C281" s="14">
        <v>1.39</v>
      </c>
      <c r="D281" s="14">
        <v>1.27</v>
      </c>
      <c r="E281" s="14">
        <v>1.22</v>
      </c>
      <c r="F281" s="14">
        <v>0.8</v>
      </c>
      <c r="G281" s="14">
        <v>0.59</v>
      </c>
      <c r="H281" s="14">
        <v>0.9</v>
      </c>
      <c r="I281" s="14">
        <v>1.05</v>
      </c>
      <c r="J281" s="14">
        <v>1.28</v>
      </c>
    </row>
    <row r="282" spans="2:10" x14ac:dyDescent="0.3">
      <c r="B282" s="14">
        <v>0.05</v>
      </c>
      <c r="C282" s="14">
        <v>1.35</v>
      </c>
      <c r="D282" s="14">
        <v>1.21</v>
      </c>
      <c r="E282" s="14">
        <v>1.1000000000000001</v>
      </c>
      <c r="F282" s="14">
        <v>0.66</v>
      </c>
      <c r="G282" s="14">
        <v>0.49</v>
      </c>
      <c r="H282" s="14">
        <v>0.74</v>
      </c>
      <c r="I282" s="14">
        <v>0.95</v>
      </c>
      <c r="J282" s="14">
        <v>1.22</v>
      </c>
    </row>
    <row r="283" spans="2:10" x14ac:dyDescent="0.3">
      <c r="B283" s="14">
        <v>0.1</v>
      </c>
      <c r="C283" s="14">
        <v>1.33</v>
      </c>
      <c r="D283" s="14">
        <v>1.17</v>
      </c>
      <c r="E283" s="14">
        <v>1.05</v>
      </c>
      <c r="F283" s="14">
        <v>0.63</v>
      </c>
      <c r="G283" s="14">
        <v>0.46</v>
      </c>
      <c r="H283" s="14">
        <v>0.71</v>
      </c>
      <c r="I283" s="14">
        <v>0.91</v>
      </c>
      <c r="J283" s="14">
        <v>1.17</v>
      </c>
    </row>
    <row r="284" spans="2:10" x14ac:dyDescent="0.3">
      <c r="B284" s="14">
        <v>0.2</v>
      </c>
      <c r="C284" s="14">
        <v>1.1200000000000001</v>
      </c>
      <c r="D284" s="14">
        <v>1.05</v>
      </c>
      <c r="E284" s="14">
        <v>0.95</v>
      </c>
      <c r="F284" s="14">
        <v>0.56000000000000005</v>
      </c>
      <c r="G284" s="14">
        <v>0.42</v>
      </c>
      <c r="H284" s="14">
        <v>0.63</v>
      </c>
      <c r="I284" s="14">
        <v>0.82</v>
      </c>
      <c r="J284" s="14">
        <v>1.05</v>
      </c>
    </row>
    <row r="285" spans="2:10" x14ac:dyDescent="0.3">
      <c r="B285" s="14">
        <v>0.4</v>
      </c>
      <c r="C285" s="14">
        <v>1.02</v>
      </c>
      <c r="D285" s="14">
        <v>0.88</v>
      </c>
      <c r="E285" s="14">
        <v>0.77</v>
      </c>
      <c r="F285" s="14">
        <v>0.47</v>
      </c>
      <c r="G285" s="14">
        <v>0.35</v>
      </c>
      <c r="H285" s="14">
        <v>0.53</v>
      </c>
      <c r="I285" s="14">
        <v>0.66</v>
      </c>
      <c r="J285" s="14">
        <v>0.87</v>
      </c>
    </row>
    <row r="286" spans="2:10" x14ac:dyDescent="0.3">
      <c r="B286" s="14">
        <v>0.6</v>
      </c>
      <c r="C286" s="14">
        <v>0.85</v>
      </c>
      <c r="D286" s="14">
        <v>0.71</v>
      </c>
      <c r="E286" s="14">
        <v>0.66</v>
      </c>
      <c r="F286" s="14">
        <v>0.41</v>
      </c>
      <c r="G286" s="14">
        <v>0.31</v>
      </c>
      <c r="H286" s="14">
        <v>0.46</v>
      </c>
      <c r="I286" s="14">
        <v>0.56999999999999995</v>
      </c>
      <c r="J286" s="14">
        <v>0.72</v>
      </c>
    </row>
    <row r="287" spans="2:10" x14ac:dyDescent="0.3">
      <c r="B287" s="14">
        <v>0.8</v>
      </c>
      <c r="C287" s="14">
        <v>0.72</v>
      </c>
      <c r="D287" s="14">
        <v>0.57999999999999996</v>
      </c>
      <c r="E287" s="14">
        <v>0.56000000000000005</v>
      </c>
      <c r="F287" s="14">
        <v>0.36</v>
      </c>
      <c r="G287" s="14">
        <v>0.28999999999999998</v>
      </c>
      <c r="H287" s="14">
        <v>0.4</v>
      </c>
      <c r="I287" s="14">
        <v>0.47</v>
      </c>
      <c r="J287" s="14">
        <v>0.59</v>
      </c>
    </row>
    <row r="288" spans="2:10" x14ac:dyDescent="0.3">
      <c r="B288" s="14">
        <v>1</v>
      </c>
      <c r="C288" s="14">
        <v>0.56999999999999995</v>
      </c>
      <c r="D288" s="14">
        <v>0.51</v>
      </c>
      <c r="E288" s="14">
        <v>0.48</v>
      </c>
      <c r="F288" s="14">
        <v>0.34</v>
      </c>
      <c r="G288" s="14">
        <v>0.26</v>
      </c>
      <c r="H288" s="14">
        <v>0.36</v>
      </c>
      <c r="I288" s="14">
        <v>0.39</v>
      </c>
      <c r="J288" s="14">
        <v>0.51</v>
      </c>
    </row>
    <row r="289" spans="2:10" x14ac:dyDescent="0.3">
      <c r="B289" s="14">
        <v>1.2</v>
      </c>
      <c r="C289" s="14">
        <v>0.39</v>
      </c>
      <c r="D289" s="14">
        <v>0.4</v>
      </c>
      <c r="E289" s="14">
        <v>0.42</v>
      </c>
      <c r="F289" s="14">
        <v>0.3</v>
      </c>
      <c r="G289" s="14">
        <v>0.25</v>
      </c>
      <c r="H289" s="14">
        <v>0.34</v>
      </c>
      <c r="I289" s="14">
        <v>0.35</v>
      </c>
      <c r="J289" s="14">
        <v>0.41</v>
      </c>
    </row>
    <row r="290" spans="2:10" x14ac:dyDescent="0.3">
      <c r="B290" s="14">
        <v>1.4</v>
      </c>
      <c r="C290" s="14">
        <v>0.32</v>
      </c>
      <c r="D290" s="14">
        <v>0.36</v>
      </c>
      <c r="E290" s="14">
        <v>0.38</v>
      </c>
      <c r="F290" s="14">
        <v>0.28999999999999998</v>
      </c>
      <c r="G290" s="14">
        <v>0.23</v>
      </c>
      <c r="H290" s="14">
        <v>0.32</v>
      </c>
      <c r="I290" s="14">
        <v>0.31</v>
      </c>
      <c r="J290" s="14">
        <v>0.33</v>
      </c>
    </row>
    <row r="291" spans="2:10" x14ac:dyDescent="0.3">
      <c r="B291" s="14">
        <v>1.6</v>
      </c>
      <c r="C291" s="14">
        <v>0.22</v>
      </c>
      <c r="D291" s="14">
        <v>0.27</v>
      </c>
      <c r="E291" s="14">
        <v>0.32</v>
      </c>
      <c r="F291" s="14">
        <v>0.27</v>
      </c>
      <c r="G291" s="14">
        <v>0.22</v>
      </c>
      <c r="H291" s="14">
        <v>0.28999999999999998</v>
      </c>
      <c r="I291" s="14">
        <v>0.28999999999999998</v>
      </c>
      <c r="J291" s="14">
        <v>0.28000000000000003</v>
      </c>
    </row>
    <row r="292" spans="2:10" x14ac:dyDescent="0.3">
      <c r="B292" s="14">
        <v>1.8</v>
      </c>
      <c r="C292" s="14">
        <v>0.17</v>
      </c>
      <c r="D292" s="14">
        <v>0.24</v>
      </c>
      <c r="E292" s="14">
        <v>0.28999999999999998</v>
      </c>
      <c r="F292" s="14">
        <v>0.24</v>
      </c>
      <c r="G292" s="14">
        <v>0.21</v>
      </c>
      <c r="H292" s="14">
        <v>0.27</v>
      </c>
      <c r="I292" s="14">
        <v>0.25</v>
      </c>
      <c r="J292" s="14">
        <v>0.25</v>
      </c>
    </row>
    <row r="293" spans="2:10" x14ac:dyDescent="0.3">
      <c r="B293" s="14">
        <v>2</v>
      </c>
      <c r="C293" s="14">
        <v>0.14000000000000001</v>
      </c>
      <c r="D293" s="14">
        <v>0.22</v>
      </c>
      <c r="E293" s="14">
        <v>0.24</v>
      </c>
      <c r="F293" s="14">
        <v>0.24</v>
      </c>
      <c r="G293" s="14">
        <v>0.2</v>
      </c>
      <c r="H293" s="14">
        <v>0.27</v>
      </c>
      <c r="I293" s="14">
        <v>0.22</v>
      </c>
      <c r="J293" s="14">
        <v>0.2</v>
      </c>
    </row>
    <row r="294" spans="2:10" x14ac:dyDescent="0.3">
      <c r="B294" s="6"/>
      <c r="C294" s="6"/>
      <c r="D294" s="6"/>
    </row>
    <row r="295" spans="2:10" x14ac:dyDescent="0.3">
      <c r="B295" s="5" t="s">
        <v>2056</v>
      </c>
    </row>
    <row r="296" spans="2:10" x14ac:dyDescent="0.3">
      <c r="B296" s="5" t="s">
        <v>2057</v>
      </c>
      <c r="C296" s="2"/>
    </row>
    <row r="297" spans="2:10" x14ac:dyDescent="0.3">
      <c r="B297" s="15" t="s">
        <v>445</v>
      </c>
      <c r="C297" t="s">
        <v>1219</v>
      </c>
      <c r="D297" t="s">
        <v>1253</v>
      </c>
    </row>
    <row r="298" spans="2:10" x14ac:dyDescent="0.3">
      <c r="B298" s="15">
        <v>2</v>
      </c>
      <c r="C298" s="14">
        <v>0.9</v>
      </c>
      <c r="D298" s="14">
        <v>0.7</v>
      </c>
    </row>
    <row r="299" spans="2:10" x14ac:dyDescent="0.3">
      <c r="B299" s="15">
        <v>3</v>
      </c>
      <c r="C299" s="14">
        <v>1.1100000000000001</v>
      </c>
      <c r="D299" s="14">
        <v>0.7</v>
      </c>
    </row>
    <row r="300" spans="2:10" x14ac:dyDescent="0.3">
      <c r="B300" s="15">
        <v>4</v>
      </c>
      <c r="C300" s="14">
        <v>1.1000000000000001</v>
      </c>
      <c r="D300" s="14">
        <v>0.95</v>
      </c>
    </row>
    <row r="301" spans="2:10" x14ac:dyDescent="0.3">
      <c r="B301" s="7" t="s">
        <v>2058</v>
      </c>
      <c r="C301" s="14">
        <v>1.2</v>
      </c>
      <c r="D301" s="14">
        <v>0.6</v>
      </c>
    </row>
    <row r="302" spans="2:10" x14ac:dyDescent="0.3">
      <c r="B302" s="15" t="s">
        <v>2013</v>
      </c>
      <c r="C302" s="14">
        <v>0.7</v>
      </c>
      <c r="D302" s="14">
        <v>1.2</v>
      </c>
    </row>
    <row r="303" spans="2:10" x14ac:dyDescent="0.3">
      <c r="B303" s="15">
        <v>6</v>
      </c>
      <c r="C303" s="14">
        <v>1.1000000000000001</v>
      </c>
      <c r="D303" s="14">
        <v>1.1000000000000001</v>
      </c>
      <c r="E303" s="6"/>
      <c r="F303" s="6"/>
      <c r="G303" s="6"/>
    </row>
    <row r="304" spans="2:10" x14ac:dyDescent="0.3">
      <c r="B304" s="15">
        <v>7</v>
      </c>
      <c r="C304" s="14">
        <v>1.08</v>
      </c>
      <c r="D304" s="14">
        <v>0.8</v>
      </c>
      <c r="E304" s="6"/>
      <c r="F304" s="6"/>
      <c r="G304" s="6"/>
    </row>
    <row r="305" spans="2:10" x14ac:dyDescent="0.3">
      <c r="B305" s="15">
        <v>8</v>
      </c>
      <c r="C305" s="14">
        <v>0.83</v>
      </c>
      <c r="D305" s="14">
        <v>0.82</v>
      </c>
      <c r="E305" s="6"/>
      <c r="F305" s="6"/>
      <c r="G305" s="6"/>
    </row>
    <row r="306" spans="2:10" x14ac:dyDescent="0.3">
      <c r="B306" s="6"/>
      <c r="C306" s="6"/>
      <c r="D306" s="6"/>
      <c r="E306" s="6"/>
      <c r="F306" s="6"/>
      <c r="G306" s="6"/>
    </row>
    <row r="307" spans="2:10" x14ac:dyDescent="0.3">
      <c r="B307" s="5" t="s">
        <v>2059</v>
      </c>
      <c r="C307" s="6"/>
      <c r="D307" s="6"/>
      <c r="E307" s="6"/>
      <c r="F307" s="6"/>
      <c r="G307" s="6"/>
    </row>
    <row r="308" spans="2:10" x14ac:dyDescent="0.3">
      <c r="B308" s="5" t="s">
        <v>2060</v>
      </c>
      <c r="C308" s="6"/>
      <c r="D308" s="6"/>
      <c r="E308" s="6"/>
      <c r="F308" s="6"/>
      <c r="G308" s="6"/>
    </row>
    <row r="309" spans="2:10" x14ac:dyDescent="0.3">
      <c r="B309" s="15" t="s">
        <v>147</v>
      </c>
      <c r="C309" t="s">
        <v>2016</v>
      </c>
      <c r="D309" s="15" t="s">
        <v>2017</v>
      </c>
      <c r="E309" t="s">
        <v>2018</v>
      </c>
      <c r="F309" s="15" t="s">
        <v>2019</v>
      </c>
      <c r="G309" t="s">
        <v>2020</v>
      </c>
      <c r="H309" s="15" t="s">
        <v>2021</v>
      </c>
      <c r="I309" t="s">
        <v>2022</v>
      </c>
      <c r="J309" s="15" t="s">
        <v>2051</v>
      </c>
    </row>
    <row r="310" spans="2:10" x14ac:dyDescent="0.3">
      <c r="B310" s="15" t="s">
        <v>1219</v>
      </c>
      <c r="C310" s="14">
        <v>1.1100000000000001</v>
      </c>
      <c r="D310" s="15">
        <v>0.97</v>
      </c>
      <c r="E310" s="14">
        <v>0.83</v>
      </c>
      <c r="F310" s="15">
        <v>0.81</v>
      </c>
      <c r="G310" s="14">
        <v>0.79</v>
      </c>
      <c r="H310" s="15">
        <v>0.82</v>
      </c>
      <c r="I310" s="14">
        <v>0.84</v>
      </c>
      <c r="J310" s="15">
        <v>0.98</v>
      </c>
    </row>
    <row r="311" spans="2:10" x14ac:dyDescent="0.3">
      <c r="B311" s="15" t="s">
        <v>1253</v>
      </c>
      <c r="C311" s="14">
        <v>1.2</v>
      </c>
      <c r="D311" s="15">
        <v>0.98</v>
      </c>
      <c r="E311" s="14">
        <v>0.75</v>
      </c>
      <c r="F311" s="15">
        <v>0.75</v>
      </c>
      <c r="G311" s="14">
        <v>0.75</v>
      </c>
      <c r="H311" s="15">
        <v>0.78</v>
      </c>
      <c r="I311" s="14">
        <v>0.8</v>
      </c>
      <c r="J311" s="15">
        <v>1</v>
      </c>
    </row>
    <row r="312" spans="2:10" x14ac:dyDescent="0.3">
      <c r="B312" s="6"/>
      <c r="C312" s="6"/>
      <c r="D312" s="6"/>
      <c r="E312" s="6"/>
      <c r="F312" s="6"/>
      <c r="G312" s="6"/>
    </row>
    <row r="313" spans="2:10" x14ac:dyDescent="0.3">
      <c r="B313" s="5" t="s">
        <v>2061</v>
      </c>
      <c r="C313" s="6"/>
      <c r="D313" s="6"/>
      <c r="E313" s="6"/>
      <c r="F313" s="6"/>
      <c r="G313" s="6"/>
    </row>
    <row r="314" spans="2:10" x14ac:dyDescent="0.3">
      <c r="B314" s="5" t="s">
        <v>2062</v>
      </c>
      <c r="C314" s="6"/>
      <c r="D314" s="6"/>
      <c r="E314" s="6"/>
      <c r="F314" s="6"/>
      <c r="G314" s="6"/>
    </row>
    <row r="315" spans="2:10" x14ac:dyDescent="0.3">
      <c r="B315" s="15" t="s">
        <v>147</v>
      </c>
      <c r="C315" t="s">
        <v>2016</v>
      </c>
      <c r="D315" s="15" t="s">
        <v>2017</v>
      </c>
      <c r="E315" t="s">
        <v>2018</v>
      </c>
      <c r="F315" s="15" t="s">
        <v>2019</v>
      </c>
      <c r="G315" t="s">
        <v>2020</v>
      </c>
      <c r="H315" s="15" t="s">
        <v>2021</v>
      </c>
      <c r="I315" t="s">
        <v>2022</v>
      </c>
      <c r="J315" s="15" t="s">
        <v>2023</v>
      </c>
    </row>
    <row r="316" spans="2:10" x14ac:dyDescent="0.3">
      <c r="B316" s="15" t="s">
        <v>1219</v>
      </c>
      <c r="C316" s="14">
        <v>1.25</v>
      </c>
      <c r="D316" s="15">
        <v>1.08</v>
      </c>
      <c r="E316" s="14">
        <v>0.91</v>
      </c>
      <c r="F316" s="15">
        <v>0.86</v>
      </c>
      <c r="G316" s="14">
        <v>0.8</v>
      </c>
      <c r="H316" s="15">
        <v>1</v>
      </c>
      <c r="I316" s="14">
        <v>1.2</v>
      </c>
      <c r="J316" s="15">
        <v>1.23</v>
      </c>
    </row>
    <row r="317" spans="2:10" x14ac:dyDescent="0.3">
      <c r="B317" s="15" t="s">
        <v>1253</v>
      </c>
      <c r="C317" s="14">
        <v>1.2</v>
      </c>
      <c r="D317" s="15">
        <v>1.1499999999999999</v>
      </c>
      <c r="E317" s="14">
        <v>1.1000000000000001</v>
      </c>
      <c r="F317" s="15">
        <v>0.95</v>
      </c>
      <c r="G317" s="14">
        <v>0.8</v>
      </c>
      <c r="H317" s="15">
        <v>1.01</v>
      </c>
      <c r="I317" s="14">
        <v>1.21</v>
      </c>
      <c r="J317" s="15">
        <v>1.21</v>
      </c>
    </row>
    <row r="318" spans="2:10" x14ac:dyDescent="0.3">
      <c r="B318" s="6"/>
      <c r="C318" s="6"/>
      <c r="D318" s="6"/>
      <c r="E318" s="6"/>
      <c r="F318" s="6"/>
      <c r="G318" s="6"/>
    </row>
    <row r="319" spans="2:10" x14ac:dyDescent="0.3">
      <c r="B319" s="5" t="s">
        <v>2063</v>
      </c>
      <c r="C319" s="6"/>
      <c r="D319" s="6"/>
      <c r="E319" s="6"/>
      <c r="F319" s="6"/>
      <c r="G319" s="6"/>
    </row>
    <row r="320" spans="2:10" x14ac:dyDescent="0.3">
      <c r="B320" s="5" t="s">
        <v>2064</v>
      </c>
      <c r="C320" s="6"/>
      <c r="D320" s="6"/>
      <c r="E320" s="6"/>
      <c r="F320" s="6"/>
      <c r="G320" s="6"/>
    </row>
    <row r="321" spans="2:11" x14ac:dyDescent="0.3">
      <c r="B321" s="15" t="s">
        <v>147</v>
      </c>
      <c r="C321" t="s">
        <v>2016</v>
      </c>
      <c r="D321" s="15" t="s">
        <v>2017</v>
      </c>
      <c r="E321" t="s">
        <v>2018</v>
      </c>
      <c r="F321" s="15" t="s">
        <v>2019</v>
      </c>
      <c r="G321" t="s">
        <v>2020</v>
      </c>
      <c r="H321" s="15" t="s">
        <v>2021</v>
      </c>
      <c r="I321" t="s">
        <v>2022</v>
      </c>
      <c r="J321" s="15" t="s">
        <v>2023</v>
      </c>
    </row>
    <row r="322" spans="2:11" x14ac:dyDescent="0.3">
      <c r="B322" s="15" t="s">
        <v>1219</v>
      </c>
      <c r="C322" s="14">
        <v>1.1499999999999999</v>
      </c>
      <c r="D322" s="15">
        <v>0.93</v>
      </c>
      <c r="E322" s="14">
        <v>0.7</v>
      </c>
      <c r="F322" s="15">
        <v>0.75</v>
      </c>
      <c r="G322" s="14">
        <v>0.8</v>
      </c>
      <c r="H322" s="15">
        <v>0.8</v>
      </c>
      <c r="I322" s="14">
        <v>0.8</v>
      </c>
      <c r="J322" s="15">
        <v>0.98</v>
      </c>
    </row>
    <row r="323" spans="2:11" x14ac:dyDescent="0.3">
      <c r="B323" s="15" t="s">
        <v>1253</v>
      </c>
      <c r="C323" s="14">
        <v>1.2</v>
      </c>
      <c r="D323" s="15">
        <v>1.05</v>
      </c>
      <c r="E323" s="14">
        <v>0.9</v>
      </c>
      <c r="F323" s="15">
        <v>0.9</v>
      </c>
      <c r="G323" s="14">
        <v>0.9</v>
      </c>
      <c r="H323" s="15">
        <v>0.9</v>
      </c>
      <c r="I323" s="14">
        <v>0.9</v>
      </c>
      <c r="J323" s="15">
        <v>1.05</v>
      </c>
    </row>
    <row r="324" spans="2:11" x14ac:dyDescent="0.3">
      <c r="B324" s="6"/>
      <c r="C324" s="6"/>
      <c r="D324" s="6"/>
      <c r="E324" s="6"/>
      <c r="F324" s="6"/>
      <c r="G324" s="6"/>
    </row>
    <row r="325" spans="2:11" x14ac:dyDescent="0.3">
      <c r="B325" s="5" t="s">
        <v>2065</v>
      </c>
      <c r="C325" s="6"/>
      <c r="D325" s="6"/>
      <c r="E325" s="6"/>
      <c r="F325" s="6"/>
      <c r="G325" s="6"/>
    </row>
    <row r="326" spans="2:11" x14ac:dyDescent="0.3">
      <c r="B326" s="5" t="s">
        <v>2066</v>
      </c>
      <c r="C326" s="6"/>
      <c r="D326" s="6"/>
      <c r="E326" s="6"/>
      <c r="F326" s="6"/>
      <c r="G326" s="6"/>
    </row>
    <row r="327" spans="2:11" x14ac:dyDescent="0.3">
      <c r="B327" s="15" t="s">
        <v>2067</v>
      </c>
      <c r="C327" t="s">
        <v>147</v>
      </c>
      <c r="D327" s="15" t="s">
        <v>2016</v>
      </c>
      <c r="E327" t="s">
        <v>2017</v>
      </c>
      <c r="F327" s="15" t="s">
        <v>2018</v>
      </c>
      <c r="G327" t="s">
        <v>2019</v>
      </c>
      <c r="H327" s="15" t="s">
        <v>2020</v>
      </c>
      <c r="I327" t="s">
        <v>2021</v>
      </c>
      <c r="J327" s="15" t="s">
        <v>2022</v>
      </c>
      <c r="K327" t="s">
        <v>2023</v>
      </c>
    </row>
    <row r="328" spans="2:11" x14ac:dyDescent="0.3">
      <c r="B328" s="15" t="s">
        <v>2068</v>
      </c>
      <c r="C328" s="14" t="s">
        <v>1219</v>
      </c>
      <c r="D328" s="16">
        <v>1.2</v>
      </c>
      <c r="E328" s="14">
        <v>1</v>
      </c>
      <c r="F328" s="16">
        <v>0.8</v>
      </c>
      <c r="G328" s="14">
        <v>0.75</v>
      </c>
      <c r="H328" s="16">
        <v>0.7</v>
      </c>
      <c r="I328" s="14">
        <v>0.75</v>
      </c>
      <c r="J328" s="16">
        <v>0.8</v>
      </c>
      <c r="K328" s="14">
        <v>1</v>
      </c>
    </row>
    <row r="329" spans="2:11" x14ac:dyDescent="0.3">
      <c r="B329" s="15" t="s">
        <v>2068</v>
      </c>
      <c r="C329" s="15" t="s">
        <v>1253</v>
      </c>
      <c r="D329" s="16">
        <v>1.2</v>
      </c>
      <c r="E329" s="16">
        <v>1</v>
      </c>
      <c r="F329" s="16">
        <v>0.8</v>
      </c>
      <c r="G329" s="16">
        <v>0.8</v>
      </c>
      <c r="H329" s="16">
        <v>0.8</v>
      </c>
      <c r="I329" s="16">
        <v>0.85</v>
      </c>
      <c r="J329" s="16">
        <v>0.9</v>
      </c>
      <c r="K329" s="16">
        <v>1.05</v>
      </c>
    </row>
    <row r="330" spans="2:11" x14ac:dyDescent="0.3">
      <c r="B330" s="15" t="s">
        <v>2069</v>
      </c>
      <c r="C330" s="15" t="s">
        <v>1219</v>
      </c>
      <c r="D330" s="16">
        <v>1</v>
      </c>
      <c r="E330" s="16">
        <v>0.9</v>
      </c>
      <c r="F330" s="16">
        <v>0.8</v>
      </c>
      <c r="G330" s="16">
        <v>0.85</v>
      </c>
      <c r="H330" s="16">
        <v>0.9</v>
      </c>
      <c r="I330" s="16">
        <v>0.9</v>
      </c>
      <c r="J330" s="16">
        <v>0.9</v>
      </c>
      <c r="K330" s="16">
        <v>0.95</v>
      </c>
    </row>
    <row r="331" spans="2:11" x14ac:dyDescent="0.3">
      <c r="B331" s="15" t="s">
        <v>2069</v>
      </c>
      <c r="C331" s="15" t="s">
        <v>1253</v>
      </c>
      <c r="D331" s="16">
        <v>1</v>
      </c>
      <c r="E331" s="16">
        <v>0.98</v>
      </c>
      <c r="F331" s="16">
        <v>0.95</v>
      </c>
      <c r="G331" s="16">
        <v>0.93</v>
      </c>
      <c r="H331" s="16">
        <v>0.9</v>
      </c>
      <c r="I331" s="16">
        <v>0.93</v>
      </c>
      <c r="J331" s="16">
        <v>0.95</v>
      </c>
      <c r="K331" s="16">
        <v>0.98</v>
      </c>
    </row>
    <row r="332" spans="2:11" x14ac:dyDescent="0.3">
      <c r="B332" s="6"/>
      <c r="C332" s="6"/>
      <c r="D332" s="6"/>
      <c r="E332" s="6"/>
      <c r="F332" s="6"/>
      <c r="G332" s="6"/>
    </row>
    <row r="333" spans="2:11" x14ac:dyDescent="0.3">
      <c r="B333" s="5" t="s">
        <v>2070</v>
      </c>
      <c r="C333" s="6"/>
      <c r="D333" s="6"/>
      <c r="E333" s="6"/>
      <c r="F333" s="6"/>
      <c r="G333" s="6"/>
    </row>
    <row r="334" spans="2:11" x14ac:dyDescent="0.3">
      <c r="B334" s="5" t="s">
        <v>2071</v>
      </c>
      <c r="C334" s="6"/>
      <c r="D334" s="6"/>
      <c r="E334" s="6"/>
      <c r="F334" s="6"/>
      <c r="G334" s="6"/>
    </row>
    <row r="335" spans="2:11" x14ac:dyDescent="0.3">
      <c r="B335" s="15" t="s">
        <v>147</v>
      </c>
      <c r="C335" t="s">
        <v>2016</v>
      </c>
      <c r="D335" s="15" t="s">
        <v>2017</v>
      </c>
      <c r="E335" t="s">
        <v>2018</v>
      </c>
      <c r="F335" s="15" t="s">
        <v>2019</v>
      </c>
      <c r="G335" t="s">
        <v>2020</v>
      </c>
      <c r="H335" s="15" t="s">
        <v>2021</v>
      </c>
      <c r="I335" t="s">
        <v>2022</v>
      </c>
      <c r="J335" s="15" t="s">
        <v>2023</v>
      </c>
    </row>
    <row r="336" spans="2:11" x14ac:dyDescent="0.3">
      <c r="B336" s="15" t="s">
        <v>1219</v>
      </c>
      <c r="C336" s="14">
        <v>1.05</v>
      </c>
      <c r="D336" s="15">
        <v>0.98</v>
      </c>
      <c r="E336" s="14">
        <v>0.9</v>
      </c>
      <c r="F336" s="15">
        <v>0.85</v>
      </c>
      <c r="G336" s="14">
        <v>0.8</v>
      </c>
      <c r="H336" s="15">
        <v>0.85</v>
      </c>
      <c r="I336" s="14">
        <v>0.9</v>
      </c>
      <c r="J336" s="15">
        <v>0.98</v>
      </c>
    </row>
    <row r="337" spans="2:10" x14ac:dyDescent="0.3">
      <c r="B337" s="15" t="s">
        <v>1253</v>
      </c>
      <c r="C337" s="14">
        <v>1</v>
      </c>
      <c r="D337" s="15">
        <v>0.9</v>
      </c>
      <c r="E337" s="14">
        <v>0.8</v>
      </c>
      <c r="F337" s="15">
        <v>0.8</v>
      </c>
      <c r="G337" s="14">
        <v>0.8</v>
      </c>
      <c r="H337" s="15">
        <v>0.8</v>
      </c>
      <c r="I337" s="14">
        <v>0.8</v>
      </c>
      <c r="J337" s="15">
        <v>0.9</v>
      </c>
    </row>
    <row r="338" spans="2:10" x14ac:dyDescent="0.3">
      <c r="B338" s="6"/>
      <c r="C338" s="6"/>
      <c r="D338" s="6"/>
      <c r="E338" s="6"/>
      <c r="F338" s="6"/>
      <c r="G338" s="6"/>
    </row>
    <row r="339" spans="2:10" x14ac:dyDescent="0.3">
      <c r="B339" s="5" t="s">
        <v>2072</v>
      </c>
      <c r="C339" s="6"/>
      <c r="D339" s="6"/>
      <c r="E339" s="6"/>
      <c r="F339" s="6"/>
      <c r="G339" s="6"/>
    </row>
    <row r="340" spans="2:10" x14ac:dyDescent="0.3">
      <c r="B340" s="5" t="s">
        <v>2073</v>
      </c>
      <c r="C340" s="6"/>
      <c r="D340" s="6"/>
      <c r="E340" s="6"/>
      <c r="F340" s="6"/>
      <c r="G340" s="6"/>
    </row>
    <row r="341" spans="2:10" x14ac:dyDescent="0.3">
      <c r="B341" s="15" t="s">
        <v>147</v>
      </c>
      <c r="C341" t="s">
        <v>2016</v>
      </c>
      <c r="D341" s="15" t="s">
        <v>2017</v>
      </c>
      <c r="E341" t="s">
        <v>2018</v>
      </c>
      <c r="F341" s="15" t="s">
        <v>2019</v>
      </c>
      <c r="G341" t="s">
        <v>2020</v>
      </c>
      <c r="H341" s="15" t="s">
        <v>2021</v>
      </c>
      <c r="I341" t="s">
        <v>2022</v>
      </c>
      <c r="J341" s="15" t="s">
        <v>2023</v>
      </c>
    </row>
    <row r="342" spans="2:10" x14ac:dyDescent="0.3">
      <c r="B342" s="15" t="s">
        <v>1219</v>
      </c>
      <c r="C342" s="14">
        <v>1.3</v>
      </c>
      <c r="D342" s="15">
        <v>1.05</v>
      </c>
      <c r="E342" s="14">
        <v>0.8</v>
      </c>
      <c r="F342" s="15">
        <v>0.8</v>
      </c>
      <c r="G342" s="14">
        <v>0.8</v>
      </c>
      <c r="H342" s="15">
        <v>0.8</v>
      </c>
      <c r="I342" s="14">
        <v>0.8</v>
      </c>
      <c r="J342" s="15">
        <v>1.05</v>
      </c>
    </row>
    <row r="343" spans="2:10" x14ac:dyDescent="0.3">
      <c r="B343" s="15" t="s">
        <v>1253</v>
      </c>
      <c r="C343" s="14">
        <v>1.3</v>
      </c>
      <c r="D343" s="15">
        <v>1.1000000000000001</v>
      </c>
      <c r="E343" s="14">
        <v>0.9</v>
      </c>
      <c r="F343" s="15">
        <v>0.9</v>
      </c>
      <c r="G343" s="14">
        <v>0.9</v>
      </c>
      <c r="H343" s="15">
        <v>0.9</v>
      </c>
      <c r="I343" s="14">
        <v>0.9</v>
      </c>
      <c r="J343" s="15">
        <v>1.1000000000000001</v>
      </c>
    </row>
    <row r="344" spans="2:10" x14ac:dyDescent="0.3">
      <c r="B344" s="6"/>
      <c r="C344" s="6"/>
      <c r="D344" s="6"/>
      <c r="E344" s="6"/>
      <c r="F344" s="6"/>
      <c r="G344" s="6"/>
    </row>
    <row r="345" spans="2:10" x14ac:dyDescent="0.3">
      <c r="B345" s="5" t="s">
        <v>2074</v>
      </c>
      <c r="C345" s="6"/>
      <c r="D345" s="6"/>
      <c r="E345" s="6"/>
      <c r="F345" s="6"/>
      <c r="G345" s="6"/>
    </row>
    <row r="346" spans="2:10" x14ac:dyDescent="0.3">
      <c r="B346" s="5" t="s">
        <v>2075</v>
      </c>
      <c r="C346" s="6"/>
      <c r="D346" s="6"/>
      <c r="E346" s="6"/>
      <c r="F346" s="6"/>
      <c r="G346" s="6"/>
    </row>
    <row r="347" spans="2:10" x14ac:dyDescent="0.3">
      <c r="B347" s="15" t="s">
        <v>147</v>
      </c>
      <c r="C347" t="s">
        <v>2016</v>
      </c>
      <c r="D347" s="15" t="s">
        <v>2017</v>
      </c>
      <c r="E347" t="s">
        <v>2018</v>
      </c>
      <c r="F347" s="15" t="s">
        <v>2019</v>
      </c>
      <c r="G347" t="s">
        <v>2020</v>
      </c>
      <c r="H347" s="15" t="s">
        <v>2021</v>
      </c>
      <c r="I347" t="s">
        <v>2022</v>
      </c>
      <c r="J347" s="15" t="s">
        <v>2023</v>
      </c>
    </row>
    <row r="348" spans="2:10" x14ac:dyDescent="0.3">
      <c r="B348" s="15" t="s">
        <v>1219</v>
      </c>
      <c r="C348" s="14">
        <v>1.3</v>
      </c>
      <c r="D348" s="15">
        <v>1.1000000000000001</v>
      </c>
      <c r="E348" s="14">
        <v>0.9</v>
      </c>
      <c r="F348" s="15">
        <v>0.88</v>
      </c>
      <c r="G348" s="14">
        <v>0.85</v>
      </c>
      <c r="H348" s="15">
        <v>0.88</v>
      </c>
      <c r="I348" s="14">
        <v>0.9</v>
      </c>
      <c r="J348" s="15">
        <v>1.1000000000000001</v>
      </c>
    </row>
    <row r="349" spans="2:10" x14ac:dyDescent="0.3">
      <c r="B349" s="15" t="s">
        <v>1253</v>
      </c>
      <c r="C349" s="14">
        <v>1.2</v>
      </c>
      <c r="D349" s="15">
        <v>1</v>
      </c>
      <c r="E349" s="14">
        <v>0.8</v>
      </c>
      <c r="F349" s="15">
        <v>0.75</v>
      </c>
      <c r="G349" s="14">
        <v>0.7</v>
      </c>
      <c r="H349" s="15">
        <v>0.75</v>
      </c>
      <c r="I349" s="14">
        <v>0.8</v>
      </c>
      <c r="J349" s="15">
        <v>1</v>
      </c>
    </row>
    <row r="351" spans="2:10" x14ac:dyDescent="0.3">
      <c r="B351" s="5" t="s">
        <v>2076</v>
      </c>
      <c r="C351" s="6"/>
      <c r="D351" s="6"/>
    </row>
    <row r="352" spans="2:10" x14ac:dyDescent="0.3">
      <c r="B352" s="5" t="s">
        <v>2077</v>
      </c>
      <c r="C352" s="6"/>
      <c r="D352" s="6"/>
    </row>
    <row r="353" spans="2:7" ht="28" x14ac:dyDescent="0.3">
      <c r="B353" s="15" t="s">
        <v>2078</v>
      </c>
      <c r="C353" s="8" t="s">
        <v>2079</v>
      </c>
      <c r="D353" s="15" t="s">
        <v>2080</v>
      </c>
    </row>
    <row r="354" spans="2:7" ht="39.75" customHeight="1" x14ac:dyDescent="0.3">
      <c r="B354" s="17" t="s">
        <v>2081</v>
      </c>
      <c r="C354" s="16">
        <v>0.4</v>
      </c>
      <c r="D354" s="15">
        <v>1</v>
      </c>
    </row>
    <row r="355" spans="2:7" x14ac:dyDescent="0.3">
      <c r="B355" s="15" t="s">
        <v>2082</v>
      </c>
      <c r="C355" s="14">
        <v>1.8</v>
      </c>
      <c r="D355" s="15">
        <v>1.02</v>
      </c>
    </row>
    <row r="356" spans="2:7" ht="28" x14ac:dyDescent="0.3">
      <c r="B356" s="15" t="s">
        <v>2083</v>
      </c>
      <c r="C356" s="14">
        <v>1.1000000000000001</v>
      </c>
      <c r="D356" s="15">
        <v>1.2</v>
      </c>
    </row>
    <row r="357" spans="2:7" ht="28" x14ac:dyDescent="0.3">
      <c r="B357" s="15" t="s">
        <v>2084</v>
      </c>
      <c r="C357" s="14">
        <v>0.98</v>
      </c>
      <c r="D357" s="15">
        <v>0.97</v>
      </c>
    </row>
    <row r="358" spans="2:7" ht="28" x14ac:dyDescent="0.3">
      <c r="B358" s="15" t="s">
        <v>2085</v>
      </c>
      <c r="C358" s="14">
        <v>1</v>
      </c>
      <c r="D358" s="15">
        <v>0.99</v>
      </c>
    </row>
    <row r="359" spans="2:7" ht="28" x14ac:dyDescent="0.3">
      <c r="B359" s="15" t="s">
        <v>2086</v>
      </c>
      <c r="C359" s="14">
        <v>1.03</v>
      </c>
      <c r="D359" s="15">
        <v>1.03</v>
      </c>
    </row>
    <row r="360" spans="2:7" ht="28" x14ac:dyDescent="0.3">
      <c r="B360" s="15" t="s">
        <v>2087</v>
      </c>
      <c r="C360" s="14">
        <v>1.1399999999999999</v>
      </c>
      <c r="D360" s="15" t="s">
        <v>2088</v>
      </c>
    </row>
    <row r="362" spans="2:7" x14ac:dyDescent="0.3">
      <c r="B362" s="5" t="s">
        <v>2089</v>
      </c>
      <c r="C362" s="6"/>
      <c r="D362" s="6"/>
    </row>
    <row r="363" spans="2:7" x14ac:dyDescent="0.3">
      <c r="B363" s="5" t="s">
        <v>2090</v>
      </c>
      <c r="C363" s="6"/>
      <c r="D363" s="6"/>
    </row>
    <row r="364" spans="2:7" ht="28" x14ac:dyDescent="0.3">
      <c r="B364" s="15" t="s">
        <v>2078</v>
      </c>
      <c r="C364" s="8" t="s">
        <v>2079</v>
      </c>
      <c r="D364" s="15" t="s">
        <v>2080</v>
      </c>
    </row>
    <row r="365" spans="2:7" ht="28" x14ac:dyDescent="0.3">
      <c r="B365" s="17" t="s">
        <v>2081</v>
      </c>
      <c r="C365" s="16">
        <v>0.26</v>
      </c>
      <c r="D365" s="15">
        <v>1</v>
      </c>
    </row>
    <row r="366" spans="2:7" x14ac:dyDescent="0.3">
      <c r="B366" s="15" t="s">
        <v>2082</v>
      </c>
      <c r="C366" s="14">
        <v>0.79</v>
      </c>
      <c r="D366" s="15">
        <v>0.5</v>
      </c>
    </row>
    <row r="367" spans="2:7" ht="28" x14ac:dyDescent="0.3">
      <c r="B367" s="15" t="s">
        <v>2091</v>
      </c>
      <c r="C367" s="14">
        <v>1.19</v>
      </c>
      <c r="D367" s="15">
        <v>1.3</v>
      </c>
      <c r="E367" s="6"/>
      <c r="F367" s="6"/>
      <c r="G367" s="6"/>
    </row>
    <row r="368" spans="2:7" ht="28" x14ac:dyDescent="0.3">
      <c r="B368" s="15" t="s">
        <v>2084</v>
      </c>
      <c r="C368" s="14">
        <v>0.97</v>
      </c>
      <c r="D368" s="15">
        <v>0.97</v>
      </c>
      <c r="E368" s="6"/>
      <c r="F368" s="6"/>
      <c r="G368" s="6"/>
    </row>
    <row r="369" spans="2:7" ht="28" x14ac:dyDescent="0.3">
      <c r="B369" s="15" t="s">
        <v>2085</v>
      </c>
      <c r="C369" s="14">
        <v>1</v>
      </c>
      <c r="D369" s="15">
        <v>1</v>
      </c>
      <c r="E369" s="6"/>
      <c r="F369" s="6"/>
      <c r="G369" s="6"/>
    </row>
    <row r="370" spans="2:7" ht="28" x14ac:dyDescent="0.3">
      <c r="B370" s="15" t="s">
        <v>2086</v>
      </c>
      <c r="C370" s="14">
        <v>1.04</v>
      </c>
      <c r="D370" s="15">
        <v>1.04</v>
      </c>
      <c r="E370" s="6"/>
      <c r="F370" s="6"/>
      <c r="G370" s="6"/>
    </row>
    <row r="371" spans="2:7" ht="28" x14ac:dyDescent="0.3">
      <c r="B371" s="15" t="s">
        <v>2087</v>
      </c>
      <c r="C371" s="14">
        <v>1.1499999999999999</v>
      </c>
      <c r="D371" s="15" t="s">
        <v>2088</v>
      </c>
      <c r="E371" s="6"/>
      <c r="F371" s="6"/>
      <c r="G371" s="6"/>
    </row>
    <row r="372" spans="2:7" x14ac:dyDescent="0.3">
      <c r="B372" s="6"/>
      <c r="C372" s="6"/>
      <c r="D372" s="6"/>
      <c r="E372" s="6"/>
      <c r="F372" s="6"/>
      <c r="G372" s="6"/>
    </row>
    <row r="373" spans="2:7" x14ac:dyDescent="0.3">
      <c r="B373" s="5" t="s">
        <v>2092</v>
      </c>
      <c r="C373" s="6"/>
      <c r="D373" s="6"/>
      <c r="E373" s="6"/>
      <c r="F373" s="6"/>
      <c r="G373" s="6"/>
    </row>
    <row r="374" spans="2:7" x14ac:dyDescent="0.3">
      <c r="B374" s="5" t="s">
        <v>2093</v>
      </c>
      <c r="C374" s="6"/>
      <c r="D374" s="6"/>
      <c r="E374" s="6"/>
      <c r="F374" s="6"/>
      <c r="G374" s="6"/>
    </row>
    <row r="375" spans="2:7" ht="28" x14ac:dyDescent="0.3">
      <c r="B375" s="15" t="s">
        <v>2078</v>
      </c>
      <c r="C375" s="8" t="s">
        <v>2079</v>
      </c>
      <c r="D375" s="15" t="s">
        <v>2080</v>
      </c>
      <c r="E375" s="6"/>
      <c r="F375" s="6"/>
      <c r="G375" s="6"/>
    </row>
    <row r="376" spans="2:7" ht="35.25" customHeight="1" x14ac:dyDescent="0.3">
      <c r="B376" s="17" t="s">
        <v>2081</v>
      </c>
      <c r="C376" s="16">
        <v>0.6</v>
      </c>
      <c r="D376" s="15">
        <v>1</v>
      </c>
      <c r="E376" s="6"/>
      <c r="F376" s="6"/>
      <c r="G376" s="6"/>
    </row>
    <row r="377" spans="2:7" x14ac:dyDescent="0.3">
      <c r="B377" s="15" t="s">
        <v>2082</v>
      </c>
      <c r="C377" s="14">
        <v>0.7</v>
      </c>
      <c r="D377" s="15">
        <v>0.71</v>
      </c>
      <c r="E377" s="6"/>
      <c r="F377" s="6"/>
      <c r="G377" s="6"/>
    </row>
    <row r="378" spans="2:7" ht="28" x14ac:dyDescent="0.3">
      <c r="B378" s="15" t="s">
        <v>2091</v>
      </c>
      <c r="C378" s="14">
        <v>1.3</v>
      </c>
      <c r="D378" s="15">
        <v>1.4</v>
      </c>
      <c r="E378" s="6"/>
      <c r="F378" s="6"/>
      <c r="G378" s="6"/>
    </row>
    <row r="379" spans="2:7" ht="28" x14ac:dyDescent="0.3">
      <c r="B379" s="15" t="s">
        <v>2084</v>
      </c>
      <c r="C379" s="14">
        <v>0.98</v>
      </c>
      <c r="D379" s="15">
        <v>0.98</v>
      </c>
      <c r="E379" s="6"/>
      <c r="F379" s="6"/>
      <c r="G379" s="6"/>
    </row>
    <row r="380" spans="2:7" ht="28" x14ac:dyDescent="0.3">
      <c r="B380" s="15" t="s">
        <v>2085</v>
      </c>
      <c r="C380" s="14">
        <v>1</v>
      </c>
      <c r="D380" s="15">
        <v>1</v>
      </c>
      <c r="E380" s="6"/>
      <c r="F380" s="6"/>
      <c r="G380" s="6"/>
    </row>
    <row r="381" spans="2:7" ht="28" x14ac:dyDescent="0.3">
      <c r="B381" s="15" t="s">
        <v>2086</v>
      </c>
      <c r="C381" s="14">
        <v>1.04</v>
      </c>
      <c r="D381" s="15">
        <v>1.04</v>
      </c>
      <c r="E381" s="6"/>
      <c r="F381" s="6"/>
      <c r="G381" s="6"/>
    </row>
    <row r="382" spans="2:7" ht="28" x14ac:dyDescent="0.3">
      <c r="B382" s="15" t="s">
        <v>2087</v>
      </c>
      <c r="C382" s="14">
        <v>1.03</v>
      </c>
      <c r="D382" s="15" t="s">
        <v>2088</v>
      </c>
      <c r="E382" s="6"/>
      <c r="F382" s="6"/>
      <c r="G382" s="6"/>
    </row>
    <row r="383" spans="2:7" x14ac:dyDescent="0.3">
      <c r="B383" s="6"/>
      <c r="C383" s="6"/>
      <c r="D383" s="6"/>
      <c r="E383" s="6"/>
      <c r="F383" s="6"/>
      <c r="G383" s="6"/>
    </row>
    <row r="384" spans="2:7" x14ac:dyDescent="0.3">
      <c r="B384" s="5" t="s">
        <v>2094</v>
      </c>
      <c r="C384" s="6"/>
      <c r="D384" s="6"/>
      <c r="E384" s="6"/>
      <c r="F384" s="6"/>
      <c r="G384" s="6"/>
    </row>
    <row r="385" spans="1:7" x14ac:dyDescent="0.3">
      <c r="B385" s="5" t="s">
        <v>2095</v>
      </c>
      <c r="C385" s="6"/>
      <c r="D385" s="6"/>
      <c r="E385" s="6"/>
      <c r="F385" s="6"/>
      <c r="G385" s="6"/>
    </row>
    <row r="386" spans="1:7" ht="28" x14ac:dyDescent="0.3">
      <c r="B386" s="15" t="s">
        <v>2078</v>
      </c>
      <c r="C386" s="8" t="s">
        <v>2079</v>
      </c>
      <c r="D386" s="15" t="s">
        <v>2080</v>
      </c>
      <c r="E386" s="6"/>
      <c r="F386" s="6"/>
      <c r="G386" s="6"/>
    </row>
    <row r="387" spans="1:7" ht="33" customHeight="1" x14ac:dyDescent="0.3">
      <c r="B387" s="17" t="s">
        <v>2081</v>
      </c>
      <c r="C387" s="16">
        <v>0.6</v>
      </c>
      <c r="D387" s="15">
        <v>1</v>
      </c>
      <c r="E387" s="6"/>
      <c r="F387" s="6"/>
      <c r="G387" s="6"/>
    </row>
    <row r="388" spans="1:7" x14ac:dyDescent="0.3">
      <c r="B388" s="15" t="s">
        <v>2096</v>
      </c>
      <c r="C388" s="14">
        <v>1.2</v>
      </c>
      <c r="D388" s="15">
        <v>0.56999999999999995</v>
      </c>
      <c r="E388" s="6"/>
      <c r="F388" s="6"/>
      <c r="G388" s="6"/>
    </row>
    <row r="389" spans="1:7" ht="28" x14ac:dyDescent="0.3">
      <c r="B389" s="15" t="s">
        <v>2083</v>
      </c>
      <c r="C389" s="14">
        <v>1.3</v>
      </c>
      <c r="D389" s="15">
        <v>1.2</v>
      </c>
      <c r="E389" s="6"/>
      <c r="F389" s="6"/>
      <c r="G389" s="6"/>
    </row>
    <row r="390" spans="1:7" ht="28" x14ac:dyDescent="0.3">
      <c r="B390" s="15" t="s">
        <v>2084</v>
      </c>
      <c r="C390" s="14">
        <v>0.97</v>
      </c>
      <c r="D390" s="15">
        <v>0.9</v>
      </c>
      <c r="E390" s="6"/>
      <c r="F390" s="6"/>
      <c r="G390" s="6"/>
    </row>
    <row r="391" spans="1:7" ht="28" x14ac:dyDescent="0.3">
      <c r="B391" s="15" t="s">
        <v>2085</v>
      </c>
      <c r="C391" s="14">
        <v>1</v>
      </c>
      <c r="D391" s="15">
        <v>0.93</v>
      </c>
      <c r="E391" s="6"/>
      <c r="F391" s="6"/>
      <c r="G391" s="6"/>
    </row>
    <row r="392" spans="1:7" ht="28" x14ac:dyDescent="0.3">
      <c r="B392" s="15" t="s">
        <v>2086</v>
      </c>
      <c r="C392" s="14">
        <v>1.04</v>
      </c>
      <c r="D392" s="15">
        <v>1</v>
      </c>
      <c r="E392" s="6"/>
      <c r="F392" s="6"/>
      <c r="G392" s="6"/>
    </row>
    <row r="393" spans="1:7" ht="28" x14ac:dyDescent="0.3">
      <c r="B393" s="15" t="s">
        <v>2087</v>
      </c>
      <c r="C393" s="14">
        <v>1.05</v>
      </c>
      <c r="D393" s="15" t="s">
        <v>2088</v>
      </c>
      <c r="E393" s="6"/>
      <c r="F393" s="6"/>
      <c r="G393" s="6"/>
    </row>
    <row r="394" spans="1:7" x14ac:dyDescent="0.3">
      <c r="B394" s="6"/>
      <c r="C394" s="6"/>
      <c r="D394" s="6"/>
      <c r="E394" s="6"/>
      <c r="F394" s="6"/>
      <c r="G394" s="6"/>
    </row>
    <row r="395" spans="1:7" x14ac:dyDescent="0.3">
      <c r="B395" s="5" t="s">
        <v>2097</v>
      </c>
      <c r="C395" s="6"/>
      <c r="D395" s="6"/>
      <c r="E395" s="6"/>
      <c r="F395" s="6"/>
      <c r="G395" s="6"/>
    </row>
    <row r="396" spans="1:7" x14ac:dyDescent="0.3">
      <c r="B396" s="5" t="s">
        <v>2098</v>
      </c>
      <c r="C396" s="6"/>
      <c r="D396" s="6"/>
      <c r="E396" s="6"/>
      <c r="F396" s="6"/>
      <c r="G396" s="6"/>
    </row>
    <row r="397" spans="1:7" ht="28" x14ac:dyDescent="0.3">
      <c r="A397" s="6"/>
      <c r="B397" s="15" t="s">
        <v>2078</v>
      </c>
      <c r="C397" s="8" t="s">
        <v>2079</v>
      </c>
      <c r="D397" s="15" t="s">
        <v>2080</v>
      </c>
    </row>
    <row r="398" spans="1:7" ht="36" customHeight="1" x14ac:dyDescent="0.3">
      <c r="A398" s="6"/>
      <c r="B398" s="17" t="s">
        <v>2081</v>
      </c>
      <c r="C398" s="16">
        <v>0.4</v>
      </c>
      <c r="D398" s="15">
        <v>0.3</v>
      </c>
    </row>
    <row r="399" spans="1:7" x14ac:dyDescent="0.3">
      <c r="A399" s="6"/>
      <c r="B399" s="17" t="s">
        <v>2099</v>
      </c>
      <c r="C399" s="14">
        <v>1</v>
      </c>
      <c r="D399" s="15">
        <v>0.6</v>
      </c>
    </row>
    <row r="400" spans="1:7" ht="28" x14ac:dyDescent="0.3">
      <c r="A400" s="6"/>
      <c r="B400" s="17" t="s">
        <v>2100</v>
      </c>
      <c r="C400" s="14">
        <v>1.4</v>
      </c>
      <c r="D400" s="15">
        <v>1.1000000000000001</v>
      </c>
    </row>
    <row r="401" spans="1:7" ht="28" x14ac:dyDescent="0.3">
      <c r="A401" s="6"/>
      <c r="B401" s="17" t="s">
        <v>2101</v>
      </c>
      <c r="C401" s="14">
        <v>0.97</v>
      </c>
      <c r="D401" s="15">
        <v>0.9</v>
      </c>
    </row>
    <row r="402" spans="1:7" ht="28" x14ac:dyDescent="0.3">
      <c r="A402" s="6"/>
      <c r="B402" s="17" t="s">
        <v>2102</v>
      </c>
      <c r="C402" s="14">
        <v>1</v>
      </c>
      <c r="D402" s="15">
        <v>1</v>
      </c>
    </row>
    <row r="403" spans="1:7" ht="28" x14ac:dyDescent="0.3">
      <c r="A403" s="6"/>
      <c r="B403" s="17" t="s">
        <v>2103</v>
      </c>
      <c r="C403" s="14">
        <v>1.04</v>
      </c>
      <c r="D403" s="15">
        <v>1</v>
      </c>
    </row>
    <row r="404" spans="1:7" ht="28" x14ac:dyDescent="0.3">
      <c r="A404" s="6"/>
      <c r="B404" s="17" t="s">
        <v>2104</v>
      </c>
      <c r="C404" s="14">
        <v>1.1000000000000001</v>
      </c>
      <c r="D404" s="15" t="s">
        <v>2088</v>
      </c>
    </row>
    <row r="405" spans="1:7" x14ac:dyDescent="0.3">
      <c r="A405" s="6"/>
    </row>
    <row r="406" spans="1:7" x14ac:dyDescent="0.3">
      <c r="A406" s="6"/>
      <c r="B406" s="5" t="s">
        <v>2105</v>
      </c>
      <c r="C406" s="6"/>
      <c r="D406" s="6"/>
    </row>
    <row r="407" spans="1:7" x14ac:dyDescent="0.3">
      <c r="A407" s="6"/>
      <c r="B407" s="5" t="s">
        <v>2106</v>
      </c>
      <c r="C407" s="6"/>
      <c r="D407" s="6"/>
    </row>
    <row r="408" spans="1:7" ht="28" x14ac:dyDescent="0.3">
      <c r="A408" s="6"/>
      <c r="B408" s="15" t="s">
        <v>2078</v>
      </c>
      <c r="C408" s="8" t="s">
        <v>2079</v>
      </c>
      <c r="D408" s="15" t="s">
        <v>2080</v>
      </c>
    </row>
    <row r="409" spans="1:7" ht="34.5" customHeight="1" x14ac:dyDescent="0.3">
      <c r="A409" s="6"/>
      <c r="B409" s="17" t="s">
        <v>2081</v>
      </c>
      <c r="C409" s="16">
        <v>0.6</v>
      </c>
      <c r="D409" s="15">
        <v>1</v>
      </c>
    </row>
    <row r="410" spans="1:7" x14ac:dyDescent="0.3">
      <c r="A410" s="6"/>
      <c r="B410" s="17" t="s">
        <v>2099</v>
      </c>
      <c r="C410" s="14">
        <v>0.7</v>
      </c>
      <c r="D410" s="15">
        <v>1.35</v>
      </c>
      <c r="E410" s="6"/>
      <c r="F410" s="6"/>
      <c r="G410" s="6"/>
    </row>
    <row r="411" spans="1:7" ht="28" x14ac:dyDescent="0.3">
      <c r="A411" s="6"/>
      <c r="B411" s="17" t="s">
        <v>2100</v>
      </c>
      <c r="C411" s="14">
        <v>1.3</v>
      </c>
      <c r="D411" s="15">
        <v>1.4</v>
      </c>
      <c r="E411" s="6"/>
      <c r="F411" s="6"/>
      <c r="G411" s="6"/>
    </row>
    <row r="412" spans="1:7" ht="28" x14ac:dyDescent="0.3">
      <c r="A412" s="6"/>
      <c r="B412" s="17" t="s">
        <v>2102</v>
      </c>
      <c r="C412" s="14">
        <v>0.93</v>
      </c>
      <c r="D412" s="15">
        <v>0.83</v>
      </c>
      <c r="E412" s="6"/>
      <c r="F412" s="6"/>
      <c r="G412" s="6"/>
    </row>
    <row r="413" spans="1:7" ht="28" x14ac:dyDescent="0.3">
      <c r="A413" s="6"/>
      <c r="B413" s="15" t="s">
        <v>2102</v>
      </c>
      <c r="C413" s="14">
        <v>0.96</v>
      </c>
      <c r="D413" s="15">
        <v>0.96</v>
      </c>
      <c r="E413" s="6"/>
      <c r="F413" s="6"/>
      <c r="G413" s="6"/>
    </row>
    <row r="414" spans="1:7" ht="28" x14ac:dyDescent="0.3">
      <c r="A414" s="6"/>
      <c r="B414" s="17" t="s">
        <v>2103</v>
      </c>
      <c r="C414" s="14">
        <v>1</v>
      </c>
      <c r="D414" s="15">
        <v>1</v>
      </c>
      <c r="E414" s="6"/>
      <c r="F414" s="6"/>
      <c r="G414" s="6"/>
    </row>
    <row r="415" spans="1:7" ht="28" x14ac:dyDescent="0.3">
      <c r="A415" s="6"/>
      <c r="B415" s="17" t="s">
        <v>2104</v>
      </c>
      <c r="C415" s="14">
        <v>0.95</v>
      </c>
      <c r="D415" s="15" t="s">
        <v>2088</v>
      </c>
      <c r="E415" s="6"/>
      <c r="F415" s="6"/>
      <c r="G415" s="6"/>
    </row>
    <row r="416" spans="1:7" x14ac:dyDescent="0.3">
      <c r="A416" s="6"/>
      <c r="B416" s="6"/>
      <c r="C416" s="6"/>
      <c r="D416" s="6"/>
      <c r="E416" s="6"/>
      <c r="F416" s="6"/>
      <c r="G416" s="6"/>
    </row>
    <row r="417" spans="1:9" x14ac:dyDescent="0.3">
      <c r="A417" s="6"/>
      <c r="B417" s="5" t="s">
        <v>2107</v>
      </c>
      <c r="C417" s="6"/>
      <c r="D417" s="6"/>
      <c r="E417" s="6"/>
      <c r="F417" s="6"/>
      <c r="G417" s="6"/>
    </row>
    <row r="418" spans="1:9" x14ac:dyDescent="0.3">
      <c r="A418" s="6"/>
      <c r="B418" s="5" t="s">
        <v>2108</v>
      </c>
      <c r="C418" s="6"/>
      <c r="D418" s="6"/>
      <c r="E418" s="6"/>
      <c r="F418" s="6"/>
      <c r="G418" s="6"/>
    </row>
    <row r="419" spans="1:9" ht="28" x14ac:dyDescent="0.3">
      <c r="A419" s="6"/>
      <c r="B419" s="15" t="s">
        <v>2078</v>
      </c>
      <c r="C419" s="8" t="s">
        <v>2079</v>
      </c>
      <c r="D419" s="15" t="s">
        <v>2080</v>
      </c>
      <c r="E419" s="6"/>
      <c r="F419" s="6"/>
      <c r="G419" s="6"/>
    </row>
    <row r="420" spans="1:9" ht="32.25" customHeight="1" x14ac:dyDescent="0.3">
      <c r="A420" s="6"/>
      <c r="B420" s="17" t="s">
        <v>2081</v>
      </c>
      <c r="C420" s="16">
        <v>0.6</v>
      </c>
      <c r="D420" s="15">
        <v>1</v>
      </c>
      <c r="E420" s="6"/>
      <c r="F420" s="6"/>
      <c r="G420" s="6"/>
    </row>
    <row r="421" spans="1:9" x14ac:dyDescent="0.3">
      <c r="A421" s="6"/>
      <c r="B421" s="17" t="s">
        <v>2099</v>
      </c>
      <c r="C421" s="14">
        <v>1.22</v>
      </c>
      <c r="D421" s="15">
        <v>0.5</v>
      </c>
      <c r="E421" s="6"/>
      <c r="F421" s="6"/>
      <c r="G421" s="6"/>
    </row>
    <row r="422" spans="1:9" ht="28" x14ac:dyDescent="0.3">
      <c r="A422" s="6"/>
      <c r="B422" s="17" t="s">
        <v>2100</v>
      </c>
      <c r="C422" s="14">
        <v>1.3</v>
      </c>
      <c r="D422" s="15">
        <v>1.1000000000000001</v>
      </c>
      <c r="E422" s="6"/>
      <c r="F422" s="6"/>
      <c r="G422" s="6"/>
    </row>
    <row r="423" spans="1:9" ht="28" x14ac:dyDescent="0.3">
      <c r="A423" s="6"/>
      <c r="B423" s="17" t="s">
        <v>2101</v>
      </c>
      <c r="C423" s="14">
        <v>0.97</v>
      </c>
      <c r="D423" s="15">
        <v>0.97</v>
      </c>
      <c r="E423" s="6"/>
      <c r="F423" s="6"/>
      <c r="G423" s="6"/>
    </row>
    <row r="424" spans="1:9" ht="28" x14ac:dyDescent="0.3">
      <c r="A424" s="6"/>
      <c r="B424" s="17" t="s">
        <v>2102</v>
      </c>
      <c r="C424" s="14">
        <v>1</v>
      </c>
      <c r="D424" s="15">
        <v>1</v>
      </c>
      <c r="E424" s="6"/>
      <c r="F424" s="6"/>
      <c r="G424" s="6"/>
    </row>
    <row r="425" spans="1:9" ht="28" x14ac:dyDescent="0.3">
      <c r="A425" s="6"/>
      <c r="B425" s="17" t="s">
        <v>2103</v>
      </c>
      <c r="C425" s="14">
        <v>1.05</v>
      </c>
      <c r="D425" s="15">
        <v>1.05</v>
      </c>
      <c r="E425" s="6"/>
      <c r="F425" s="6"/>
      <c r="G425" s="6"/>
    </row>
    <row r="426" spans="1:9" ht="28" x14ac:dyDescent="0.3">
      <c r="A426" s="6"/>
      <c r="B426" s="17" t="s">
        <v>2104</v>
      </c>
      <c r="C426" s="14">
        <v>1.03</v>
      </c>
      <c r="D426" s="15" t="s">
        <v>2088</v>
      </c>
      <c r="E426" s="6"/>
      <c r="F426" s="6"/>
      <c r="G426" s="6"/>
      <c r="H426" s="6"/>
      <c r="I426" s="6"/>
    </row>
    <row r="427" spans="1:9" x14ac:dyDescent="0.3">
      <c r="A427" s="6"/>
      <c r="B427" s="6"/>
      <c r="C427" s="6"/>
      <c r="D427" s="6"/>
      <c r="E427" s="6"/>
      <c r="F427" s="6"/>
      <c r="G427" s="6"/>
      <c r="H427" s="6"/>
      <c r="I427" s="6"/>
    </row>
    <row r="428" spans="1:9" x14ac:dyDescent="0.3">
      <c r="A428" s="6"/>
      <c r="B428" s="5" t="s">
        <v>2109</v>
      </c>
      <c r="C428" s="6"/>
      <c r="D428" s="6"/>
      <c r="E428" s="6"/>
      <c r="F428" s="6"/>
      <c r="G428" s="6"/>
      <c r="H428" s="6"/>
      <c r="I428" s="6"/>
    </row>
    <row r="429" spans="1:9" x14ac:dyDescent="0.3">
      <c r="A429" s="6"/>
      <c r="B429" s="5" t="s">
        <v>2110</v>
      </c>
      <c r="C429" s="6"/>
      <c r="D429" s="6"/>
      <c r="E429" s="6"/>
      <c r="F429" s="6"/>
      <c r="G429" s="6"/>
      <c r="H429" s="6"/>
      <c r="I429" s="6"/>
    </row>
    <row r="430" spans="1:9" ht="28" x14ac:dyDescent="0.3">
      <c r="A430" s="6"/>
      <c r="B430" s="15" t="s">
        <v>2078</v>
      </c>
      <c r="C430" s="8" t="s">
        <v>2079</v>
      </c>
      <c r="D430" s="15" t="s">
        <v>2080</v>
      </c>
      <c r="E430" s="6"/>
      <c r="F430" s="6"/>
      <c r="G430" s="6"/>
      <c r="H430" s="6"/>
      <c r="I430" s="6"/>
    </row>
    <row r="431" spans="1:9" ht="28" x14ac:dyDescent="0.3">
      <c r="A431" s="6"/>
      <c r="B431" s="17" t="s">
        <v>2111</v>
      </c>
      <c r="C431" s="16">
        <v>0.5</v>
      </c>
      <c r="D431" s="15">
        <v>1</v>
      </c>
      <c r="E431" s="6"/>
      <c r="F431" s="6"/>
      <c r="G431" s="6"/>
      <c r="H431" s="6"/>
      <c r="I431" s="6"/>
    </row>
    <row r="432" spans="1:9" x14ac:dyDescent="0.3">
      <c r="A432" s="6"/>
      <c r="B432" s="17" t="s">
        <v>2099</v>
      </c>
      <c r="C432" s="14">
        <v>1.52</v>
      </c>
      <c r="D432" s="15">
        <v>0.32</v>
      </c>
      <c r="E432" s="6"/>
      <c r="F432" s="6"/>
      <c r="G432" s="6"/>
      <c r="H432" s="6"/>
      <c r="I432" s="6"/>
    </row>
    <row r="433" spans="1:11" ht="28" x14ac:dyDescent="0.3">
      <c r="A433" s="6"/>
      <c r="B433" s="17" t="s">
        <v>2100</v>
      </c>
      <c r="C433" s="14">
        <v>1.1499999999999999</v>
      </c>
      <c r="D433" s="15">
        <v>0.7</v>
      </c>
      <c r="E433" s="6"/>
      <c r="F433" s="6"/>
      <c r="G433" s="6"/>
      <c r="H433" s="6"/>
      <c r="I433" s="6"/>
    </row>
    <row r="434" spans="1:11" ht="28" x14ac:dyDescent="0.3">
      <c r="A434" s="6"/>
      <c r="B434" s="17" t="s">
        <v>2101</v>
      </c>
      <c r="C434" s="14">
        <v>0.96</v>
      </c>
      <c r="D434" s="15">
        <v>0.96</v>
      </c>
      <c r="E434" s="6"/>
      <c r="F434" s="6"/>
      <c r="G434" s="6"/>
      <c r="H434" s="6"/>
      <c r="I434" s="6"/>
    </row>
    <row r="435" spans="1:11" ht="28" x14ac:dyDescent="0.3">
      <c r="A435" s="6"/>
      <c r="B435" s="17" t="s">
        <v>2102</v>
      </c>
      <c r="C435" s="14">
        <v>1</v>
      </c>
      <c r="D435" s="15">
        <v>1</v>
      </c>
      <c r="E435" s="6"/>
      <c r="F435" s="6"/>
      <c r="G435" s="6"/>
      <c r="H435" s="6"/>
      <c r="I435" s="6"/>
    </row>
    <row r="436" spans="1:11" ht="28" x14ac:dyDescent="0.3">
      <c r="A436" s="6"/>
      <c r="B436" s="17" t="s">
        <v>2103</v>
      </c>
      <c r="C436" s="14">
        <v>1</v>
      </c>
      <c r="D436" s="15">
        <v>1</v>
      </c>
      <c r="E436" s="6"/>
      <c r="F436" s="6"/>
      <c r="G436" s="6"/>
      <c r="H436" s="6"/>
      <c r="I436" s="6"/>
    </row>
    <row r="437" spans="1:11" x14ac:dyDescent="0.3">
      <c r="A437" s="6"/>
      <c r="B437" s="17" t="s">
        <v>2112</v>
      </c>
      <c r="C437" s="14">
        <v>0.91</v>
      </c>
      <c r="D437" s="15" t="s">
        <v>2088</v>
      </c>
      <c r="E437" s="6"/>
      <c r="F437" s="6"/>
      <c r="G437" s="6"/>
      <c r="H437" s="6"/>
      <c r="I437" s="6"/>
    </row>
    <row r="438" spans="1:11" x14ac:dyDescent="0.3">
      <c r="B438" s="6"/>
      <c r="C438" s="6"/>
      <c r="D438" s="6"/>
      <c r="E438" s="6"/>
      <c r="F438" s="6"/>
      <c r="G438" s="6"/>
    </row>
    <row r="439" spans="1:11" x14ac:dyDescent="0.3">
      <c r="B439" s="2" t="s">
        <v>2113</v>
      </c>
      <c r="C439" s="2" t="s">
        <v>2114</v>
      </c>
      <c r="D439" s="6"/>
      <c r="E439" s="6"/>
      <c r="F439" s="6"/>
      <c r="G439" s="6"/>
    </row>
    <row r="440" spans="1:11" x14ac:dyDescent="0.3">
      <c r="B440" s="6"/>
      <c r="C440" s="6"/>
      <c r="D440" s="6"/>
      <c r="E440" s="6"/>
      <c r="F440" s="6"/>
      <c r="G440" s="6"/>
    </row>
    <row r="441" spans="1:11" x14ac:dyDescent="0.3">
      <c r="B441" s="5" t="s">
        <v>2115</v>
      </c>
      <c r="C441" s="6"/>
      <c r="D441" s="6"/>
      <c r="E441" s="6"/>
      <c r="F441" s="6"/>
      <c r="G441" s="6"/>
    </row>
    <row r="442" spans="1:11" x14ac:dyDescent="0.3">
      <c r="B442" s="5" t="s">
        <v>2116</v>
      </c>
      <c r="C442" s="6"/>
      <c r="D442" s="6"/>
      <c r="E442" s="6"/>
      <c r="F442" s="6"/>
      <c r="G442" s="6"/>
    </row>
    <row r="443" spans="1:11" x14ac:dyDescent="0.3">
      <c r="B443" s="18" t="s">
        <v>147</v>
      </c>
      <c r="C443" s="18" t="s">
        <v>2117</v>
      </c>
      <c r="D443" s="18" t="s">
        <v>445</v>
      </c>
      <c r="E443" s="18" t="s">
        <v>445</v>
      </c>
      <c r="F443" s="18" t="s">
        <v>445</v>
      </c>
      <c r="G443" s="18" t="s">
        <v>445</v>
      </c>
      <c r="H443" s="18" t="s">
        <v>445</v>
      </c>
      <c r="I443" s="18" t="s">
        <v>445</v>
      </c>
      <c r="J443" s="18" t="s">
        <v>445</v>
      </c>
      <c r="K443" s="18" t="s">
        <v>445</v>
      </c>
    </row>
    <row r="444" spans="1:11" ht="28" x14ac:dyDescent="0.3">
      <c r="B444" s="18"/>
      <c r="C444" s="18"/>
      <c r="D444" s="18">
        <v>1</v>
      </c>
      <c r="E444" s="18">
        <v>2</v>
      </c>
      <c r="F444" s="18">
        <v>3</v>
      </c>
      <c r="G444" s="18">
        <v>4</v>
      </c>
      <c r="H444" s="18" t="s">
        <v>2012</v>
      </c>
      <c r="I444" s="18" t="s">
        <v>2118</v>
      </c>
      <c r="J444" s="18">
        <v>6</v>
      </c>
      <c r="K444" s="18">
        <v>7</v>
      </c>
    </row>
    <row r="445" spans="1:11" s="6" customFormat="1" x14ac:dyDescent="0.3">
      <c r="A445"/>
      <c r="B445" s="17" t="s">
        <v>1219</v>
      </c>
      <c r="C445" s="14">
        <v>0.05</v>
      </c>
      <c r="D445" s="16">
        <v>6.7199999999999996E-2</v>
      </c>
      <c r="E445" s="16">
        <v>5.9499999999999997E-2</v>
      </c>
      <c r="F445" s="16">
        <v>9.4500000000000001E-2</v>
      </c>
      <c r="G445" s="16">
        <v>6.0400000000000002E-2</v>
      </c>
      <c r="H445" s="16">
        <v>4.8399999999999999E-2</v>
      </c>
      <c r="I445" s="16">
        <v>6.5699999999999995E-2</v>
      </c>
      <c r="J445" s="16">
        <v>7.8600000000000003E-2</v>
      </c>
      <c r="K445" s="16">
        <v>7.6200000000000004E-2</v>
      </c>
    </row>
    <row r="446" spans="1:11" x14ac:dyDescent="0.3">
      <c r="B446" s="17"/>
      <c r="C446" s="14">
        <v>0.1</v>
      </c>
      <c r="D446" s="16">
        <v>7.1800000000000003E-2</v>
      </c>
      <c r="E446" s="16">
        <v>6.4000000000000001E-2</v>
      </c>
      <c r="F446" s="16">
        <v>9.8500000000000004E-2</v>
      </c>
      <c r="G446" s="16">
        <v>6.2600000000000003E-2</v>
      </c>
      <c r="H446" s="16">
        <v>5.3800000000000001E-2</v>
      </c>
      <c r="I446" s="16">
        <v>6.9500000000000006E-2</v>
      </c>
      <c r="J446" s="16">
        <v>8.1699999999999995E-2</v>
      </c>
      <c r="K446" s="16">
        <v>8.2100000000000006E-2</v>
      </c>
    </row>
    <row r="447" spans="1:11" x14ac:dyDescent="0.3">
      <c r="B447" s="17"/>
      <c r="C447" s="14">
        <v>0.15</v>
      </c>
      <c r="D447" s="16">
        <v>7.6999999999999999E-2</v>
      </c>
      <c r="E447" s="16">
        <v>6.8199999999999997E-2</v>
      </c>
      <c r="F447" s="16">
        <v>0.10009999999999999</v>
      </c>
      <c r="G447" s="16">
        <v>6.4100000000000004E-2</v>
      </c>
      <c r="H447" s="16">
        <v>5.6899999999999999E-2</v>
      </c>
      <c r="I447" s="16">
        <v>7.1400000000000005E-2</v>
      </c>
      <c r="J447" s="16">
        <v>8.3199999999999996E-2</v>
      </c>
      <c r="K447" s="16">
        <v>8.7099999999999997E-2</v>
      </c>
    </row>
    <row r="448" spans="1:11" x14ac:dyDescent="0.3">
      <c r="B448" s="17"/>
      <c r="C448" s="14">
        <v>0.2</v>
      </c>
      <c r="D448" s="16">
        <v>8.2699999999999996E-2</v>
      </c>
      <c r="E448" s="16">
        <v>7.1900000000000006E-2</v>
      </c>
      <c r="F448" s="16">
        <v>0.1007</v>
      </c>
      <c r="G448" s="16">
        <v>6.5000000000000002E-2</v>
      </c>
      <c r="H448" s="16">
        <v>5.8700000000000002E-2</v>
      </c>
      <c r="I448" s="16">
        <v>7.2300000000000003E-2</v>
      </c>
      <c r="J448" s="16">
        <v>8.4000000000000005E-2</v>
      </c>
      <c r="K448" s="16">
        <v>9.1200000000000003E-2</v>
      </c>
    </row>
    <row r="449" spans="2:11" x14ac:dyDescent="0.3">
      <c r="B449" s="17" t="s">
        <v>1253</v>
      </c>
      <c r="C449" s="14">
        <v>0.05</v>
      </c>
      <c r="D449" s="16">
        <v>4.3099999999999999E-2</v>
      </c>
      <c r="E449" s="16">
        <v>3.2399999999999998E-2</v>
      </c>
      <c r="F449" s="16">
        <v>7.6799999999999993E-2</v>
      </c>
      <c r="G449" s="16">
        <v>6.5100000000000005E-2</v>
      </c>
      <c r="H449" s="16">
        <v>3.3399999999999999E-2</v>
      </c>
      <c r="I449" s="16">
        <v>6.3E-2</v>
      </c>
      <c r="J449" s="16">
        <v>9.6299999999999997E-2</v>
      </c>
      <c r="K449" s="16">
        <v>7.4999999999999997E-2</v>
      </c>
    </row>
    <row r="450" spans="2:11" x14ac:dyDescent="0.3">
      <c r="B450" s="17"/>
      <c r="C450" s="14">
        <v>0.1</v>
      </c>
      <c r="D450" s="16">
        <v>4.9700000000000001E-2</v>
      </c>
      <c r="E450" s="16">
        <v>4.0399999999999998E-2</v>
      </c>
      <c r="F450" s="16">
        <v>7.8299999999999995E-2</v>
      </c>
      <c r="G450" s="16">
        <v>6.9699999999999998E-2</v>
      </c>
      <c r="H450" s="16">
        <v>4.2599999999999999E-2</v>
      </c>
      <c r="I450" s="16">
        <v>6.83E-2</v>
      </c>
      <c r="J450" s="16">
        <v>9.8900000000000002E-2</v>
      </c>
      <c r="K450" s="16">
        <v>7.7799999999999994E-2</v>
      </c>
    </row>
    <row r="451" spans="2:11" x14ac:dyDescent="0.3">
      <c r="B451" s="17"/>
      <c r="C451" s="14">
        <v>0.15</v>
      </c>
      <c r="D451" s="16">
        <v>5.4100000000000002E-2</v>
      </c>
      <c r="E451" s="16">
        <v>4.58E-2</v>
      </c>
      <c r="F451" s="16">
        <v>7.9200000000000007E-2</v>
      </c>
      <c r="G451" s="16">
        <v>7.2099999999999997E-2</v>
      </c>
      <c r="H451" s="16">
        <v>4.7699999999999999E-2</v>
      </c>
      <c r="I451" s="16">
        <v>7.0999999999999994E-2</v>
      </c>
      <c r="J451" s="16">
        <v>0.10009999999999999</v>
      </c>
      <c r="K451" s="16">
        <v>7.8899999999999998E-2</v>
      </c>
    </row>
    <row r="452" spans="2:11" x14ac:dyDescent="0.3">
      <c r="B452" s="17"/>
      <c r="C452" s="14">
        <v>0.2</v>
      </c>
      <c r="D452" s="16">
        <v>5.7000000000000002E-2</v>
      </c>
      <c r="E452" s="16">
        <v>4.9399999999999999E-2</v>
      </c>
      <c r="F452" s="16">
        <v>7.9600000000000004E-2</v>
      </c>
      <c r="G452" s="16">
        <v>7.3400000000000007E-2</v>
      </c>
      <c r="H452" s="16">
        <v>5.0500000000000003E-2</v>
      </c>
      <c r="I452" s="16">
        <v>7.2300000000000003E-2</v>
      </c>
      <c r="J452" s="16">
        <v>0.1007</v>
      </c>
      <c r="K452" s="16">
        <v>7.9299999999999995E-2</v>
      </c>
    </row>
    <row r="453" spans="2:11" x14ac:dyDescent="0.3">
      <c r="B453" s="6"/>
      <c r="C453" s="6"/>
      <c r="D453" s="6"/>
      <c r="E453" s="6"/>
      <c r="F453" s="6"/>
      <c r="G453" s="6"/>
    </row>
    <row r="454" spans="2:11" x14ac:dyDescent="0.3">
      <c r="B454" s="5" t="s">
        <v>2119</v>
      </c>
      <c r="C454" s="6"/>
      <c r="D454" s="6"/>
      <c r="E454" s="6"/>
      <c r="F454" s="6"/>
      <c r="G454" s="6"/>
    </row>
    <row r="455" spans="2:11" x14ac:dyDescent="0.3">
      <c r="B455" s="5" t="s">
        <v>2120</v>
      </c>
    </row>
    <row r="456" spans="2:11" x14ac:dyDescent="0.3">
      <c r="B456" s="8" t="s">
        <v>1285</v>
      </c>
      <c r="C456" s="8" t="s">
        <v>2016</v>
      </c>
      <c r="D456" s="8" t="s">
        <v>2017</v>
      </c>
      <c r="E456" s="8" t="s">
        <v>2018</v>
      </c>
      <c r="F456" s="8" t="s">
        <v>2019</v>
      </c>
      <c r="G456" s="8" t="s">
        <v>2020</v>
      </c>
      <c r="H456" s="8" t="s">
        <v>2021</v>
      </c>
      <c r="I456" s="8" t="s">
        <v>2022</v>
      </c>
      <c r="J456" s="8" t="s">
        <v>2023</v>
      </c>
    </row>
    <row r="457" spans="2:11" x14ac:dyDescent="0.3">
      <c r="B457" s="16">
        <v>0</v>
      </c>
      <c r="C457" s="16">
        <v>1.35</v>
      </c>
      <c r="D457" s="16">
        <v>1.64</v>
      </c>
      <c r="E457" s="16">
        <v>1.69</v>
      </c>
      <c r="F457" s="16">
        <v>1.62</v>
      </c>
      <c r="G457" s="16">
        <v>1.1299999999999999</v>
      </c>
      <c r="H457" s="16">
        <v>1.65</v>
      </c>
      <c r="I457" s="16">
        <v>1.72</v>
      </c>
      <c r="J457" s="16">
        <v>1.66</v>
      </c>
    </row>
    <row r="458" spans="2:11" x14ac:dyDescent="0.3">
      <c r="B458" s="16">
        <v>0.05</v>
      </c>
      <c r="C458" s="16">
        <v>1.1399999999999999</v>
      </c>
      <c r="D458" s="16">
        <v>1.45</v>
      </c>
      <c r="E458" s="16">
        <v>1.56</v>
      </c>
      <c r="F458" s="16">
        <v>1.47</v>
      </c>
      <c r="G458" s="16">
        <v>0.98</v>
      </c>
      <c r="H458" s="16">
        <v>1.52</v>
      </c>
      <c r="I458" s="16">
        <v>1.6</v>
      </c>
      <c r="J458" s="16">
        <v>1.46</v>
      </c>
    </row>
    <row r="459" spans="2:11" x14ac:dyDescent="0.3">
      <c r="B459" s="16">
        <v>0.1</v>
      </c>
      <c r="C459" s="16">
        <v>1.07</v>
      </c>
      <c r="D459" s="16">
        <v>1.33</v>
      </c>
      <c r="E459" s="16">
        <v>1.45</v>
      </c>
      <c r="F459" s="16">
        <v>1.4</v>
      </c>
      <c r="G459" s="16">
        <v>0.88</v>
      </c>
      <c r="H459" s="16">
        <v>1.42</v>
      </c>
      <c r="I459" s="16">
        <v>1.5</v>
      </c>
      <c r="J459" s="16">
        <v>1.35</v>
      </c>
    </row>
    <row r="460" spans="2:11" x14ac:dyDescent="0.3">
      <c r="B460" s="16">
        <v>0.2</v>
      </c>
      <c r="C460" s="16">
        <v>0.96</v>
      </c>
      <c r="D460" s="16">
        <v>1.1499999999999999</v>
      </c>
      <c r="E460" s="16">
        <v>1.32</v>
      </c>
      <c r="F460" s="16">
        <v>1.23</v>
      </c>
      <c r="G460" s="16">
        <v>0.72</v>
      </c>
      <c r="H460" s="16">
        <v>1.22</v>
      </c>
      <c r="I460" s="16">
        <v>1.3</v>
      </c>
      <c r="J460" s="16">
        <v>1.17</v>
      </c>
    </row>
    <row r="461" spans="2:11" x14ac:dyDescent="0.3">
      <c r="B461" s="16">
        <v>0.4</v>
      </c>
      <c r="C461" s="16">
        <v>0.78</v>
      </c>
      <c r="D461" s="16">
        <v>0.88</v>
      </c>
      <c r="E461" s="16">
        <v>1.03</v>
      </c>
      <c r="F461" s="16">
        <v>0.9</v>
      </c>
      <c r="G461" s="16">
        <v>0.55000000000000004</v>
      </c>
      <c r="H461" s="16">
        <v>0.98</v>
      </c>
      <c r="I461" s="16">
        <v>1.08</v>
      </c>
      <c r="J461" s="16">
        <v>0.92</v>
      </c>
    </row>
    <row r="462" spans="2:11" x14ac:dyDescent="0.3">
      <c r="B462" s="16">
        <v>0.6</v>
      </c>
      <c r="C462" s="16">
        <v>0.65</v>
      </c>
      <c r="D462" s="16">
        <v>0.72</v>
      </c>
      <c r="E462" s="16">
        <v>0.86</v>
      </c>
      <c r="F462" s="16">
        <v>0.77</v>
      </c>
      <c r="G462" s="16">
        <v>0.44</v>
      </c>
      <c r="H462" s="16">
        <v>0.78</v>
      </c>
      <c r="I462" s="16">
        <v>0.86</v>
      </c>
      <c r="J462" s="16">
        <v>0.74</v>
      </c>
    </row>
    <row r="463" spans="2:11" x14ac:dyDescent="0.3">
      <c r="B463" s="16">
        <v>0.8</v>
      </c>
      <c r="C463" s="16">
        <v>0.56999999999999995</v>
      </c>
      <c r="D463" s="16">
        <v>0.61</v>
      </c>
      <c r="E463" s="16">
        <v>0.69</v>
      </c>
      <c r="F463" s="16">
        <v>0.61</v>
      </c>
      <c r="G463" s="16">
        <v>0.39</v>
      </c>
      <c r="H463" s="16">
        <v>0.68</v>
      </c>
      <c r="I463" s="16">
        <v>0.75</v>
      </c>
      <c r="J463" s="16">
        <v>0.62</v>
      </c>
    </row>
    <row r="464" spans="2:11" x14ac:dyDescent="0.3">
      <c r="B464" s="16">
        <v>1</v>
      </c>
      <c r="C464" s="16">
        <v>0.49</v>
      </c>
      <c r="D464" s="16">
        <v>0.51</v>
      </c>
      <c r="E464" s="16">
        <v>0.59</v>
      </c>
      <c r="F464" s="16">
        <v>0.54</v>
      </c>
      <c r="G464" s="16">
        <v>0.33</v>
      </c>
      <c r="H464" s="16">
        <v>0.56000000000000005</v>
      </c>
      <c r="I464" s="16">
        <v>0.62</v>
      </c>
      <c r="J464" s="16">
        <v>0.55000000000000004</v>
      </c>
    </row>
    <row r="465" spans="2:10" x14ac:dyDescent="0.3">
      <c r="B465" s="16">
        <v>1.2</v>
      </c>
      <c r="C465" s="16">
        <v>0.47</v>
      </c>
      <c r="D465" s="16">
        <v>0.45</v>
      </c>
      <c r="E465" s="16">
        <v>0.48</v>
      </c>
      <c r="F465" s="16">
        <v>0.43</v>
      </c>
      <c r="G465" s="16">
        <v>0.28999999999999998</v>
      </c>
      <c r="H465" s="16">
        <v>0.51</v>
      </c>
      <c r="I465" s="16">
        <v>0.55000000000000004</v>
      </c>
      <c r="J465" s="16">
        <v>0.51</v>
      </c>
    </row>
    <row r="466" spans="2:10" x14ac:dyDescent="0.3">
      <c r="B466" s="16">
        <v>1.4</v>
      </c>
      <c r="C466" s="16">
        <v>0.44</v>
      </c>
      <c r="D466" s="16">
        <v>0.41</v>
      </c>
      <c r="E466" s="16">
        <v>0.42</v>
      </c>
      <c r="F466" s="16">
        <v>0.39</v>
      </c>
      <c r="G466" s="16">
        <v>0.28999999999999998</v>
      </c>
      <c r="H466" s="16">
        <v>0.42</v>
      </c>
      <c r="I466" s="16">
        <v>0.48</v>
      </c>
      <c r="J466" s="16">
        <v>0.43</v>
      </c>
    </row>
    <row r="467" spans="2:10" x14ac:dyDescent="0.3">
      <c r="B467" s="16">
        <v>1.6</v>
      </c>
      <c r="C467" s="16">
        <v>0.39</v>
      </c>
      <c r="D467" s="16">
        <v>0.35</v>
      </c>
      <c r="E467" s="16">
        <v>0.37</v>
      </c>
      <c r="F467" s="16">
        <v>0.34</v>
      </c>
      <c r="G467" s="16">
        <v>0.23</v>
      </c>
      <c r="H467" s="16">
        <v>0.38</v>
      </c>
      <c r="I467" s="16">
        <v>0.44</v>
      </c>
      <c r="J467" s="16">
        <v>0.41</v>
      </c>
    </row>
    <row r="468" spans="2:10" x14ac:dyDescent="0.3">
      <c r="B468" s="16">
        <v>1.8</v>
      </c>
      <c r="C468" s="16">
        <v>0.34</v>
      </c>
      <c r="D468" s="16">
        <v>0.35</v>
      </c>
      <c r="E468" s="16">
        <v>0.35</v>
      </c>
      <c r="F468" s="16">
        <v>0.28999999999999998</v>
      </c>
      <c r="G468" s="16">
        <v>0.22</v>
      </c>
      <c r="H468" s="16">
        <v>0.36</v>
      </c>
      <c r="I468" s="16">
        <v>0.39</v>
      </c>
      <c r="J468" s="16">
        <v>0.35</v>
      </c>
    </row>
    <row r="469" spans="2:10" x14ac:dyDescent="0.3">
      <c r="B469" s="16">
        <v>2</v>
      </c>
      <c r="C469" s="16">
        <v>0.31</v>
      </c>
      <c r="D469" s="16">
        <v>0.33</v>
      </c>
      <c r="E469" s="16">
        <v>0.3</v>
      </c>
      <c r="F469" s="16">
        <v>0.27</v>
      </c>
      <c r="G469" s="16">
        <v>0.21</v>
      </c>
      <c r="H469" s="16">
        <v>0.31</v>
      </c>
      <c r="I469" s="16">
        <v>0.36</v>
      </c>
      <c r="J469" s="16">
        <v>0.33</v>
      </c>
    </row>
    <row r="470" spans="2:10" x14ac:dyDescent="0.3">
      <c r="B470" s="6"/>
      <c r="C470" s="6"/>
      <c r="D470" s="6"/>
      <c r="E470" s="6"/>
      <c r="F470" s="6"/>
      <c r="G470" s="6"/>
      <c r="H470" s="6"/>
      <c r="I470" s="6"/>
      <c r="J470" s="6"/>
    </row>
    <row r="471" spans="2:10" x14ac:dyDescent="0.3">
      <c r="B471" s="5" t="s">
        <v>2121</v>
      </c>
      <c r="C471" s="6"/>
      <c r="D471" s="6"/>
      <c r="E471" s="6"/>
      <c r="F471" s="6"/>
      <c r="G471" s="6"/>
    </row>
    <row r="472" spans="2:10" x14ac:dyDescent="0.3">
      <c r="B472" s="5" t="s">
        <v>2122</v>
      </c>
    </row>
    <row r="473" spans="2:10" x14ac:dyDescent="0.3">
      <c r="B473" s="8" t="s">
        <v>1285</v>
      </c>
      <c r="C473" s="8" t="s">
        <v>2016</v>
      </c>
      <c r="D473" s="8" t="s">
        <v>2017</v>
      </c>
      <c r="E473" s="8" t="s">
        <v>2018</v>
      </c>
      <c r="F473" s="8" t="s">
        <v>2123</v>
      </c>
      <c r="G473" s="8" t="s">
        <v>2020</v>
      </c>
      <c r="H473" s="8" t="s">
        <v>2021</v>
      </c>
      <c r="I473" s="8" t="s">
        <v>2022</v>
      </c>
      <c r="J473" s="8" t="s">
        <v>2023</v>
      </c>
    </row>
    <row r="474" spans="2:10" x14ac:dyDescent="0.3">
      <c r="B474" s="16">
        <v>0</v>
      </c>
      <c r="C474" s="16">
        <v>0.61</v>
      </c>
      <c r="D474" s="16">
        <v>0.96</v>
      </c>
      <c r="E474" s="16">
        <v>1.43</v>
      </c>
      <c r="F474" s="16">
        <v>1.19</v>
      </c>
      <c r="G474" s="16">
        <v>0.7</v>
      </c>
      <c r="H474" s="16">
        <v>1.1499999999999999</v>
      </c>
      <c r="I474" s="16">
        <v>1.32</v>
      </c>
      <c r="J474" s="16">
        <v>0.92</v>
      </c>
    </row>
    <row r="475" spans="2:10" x14ac:dyDescent="0.3">
      <c r="B475" s="16">
        <v>0.05</v>
      </c>
      <c r="C475" s="16">
        <v>0.51</v>
      </c>
      <c r="D475" s="16">
        <v>0.84</v>
      </c>
      <c r="E475" s="16">
        <v>1.32</v>
      </c>
      <c r="F475" s="16">
        <v>1.08</v>
      </c>
      <c r="G475" s="16">
        <v>0.61</v>
      </c>
      <c r="H475" s="16">
        <v>1.06</v>
      </c>
      <c r="I475" s="16">
        <v>1.23</v>
      </c>
      <c r="J475" s="16">
        <v>0.81</v>
      </c>
    </row>
    <row r="476" spans="2:10" x14ac:dyDescent="0.3">
      <c r="B476" s="16">
        <v>0.1</v>
      </c>
      <c r="C476" s="16">
        <v>0.48</v>
      </c>
      <c r="D476" s="16">
        <v>0.78</v>
      </c>
      <c r="E476" s="16">
        <v>1.23</v>
      </c>
      <c r="F476" s="16">
        <v>1.03</v>
      </c>
      <c r="G476" s="16">
        <v>0.55000000000000004</v>
      </c>
      <c r="H476" s="16">
        <v>0.99</v>
      </c>
      <c r="I476" s="16">
        <v>1.1499999999999999</v>
      </c>
      <c r="J476" s="16">
        <v>0.75</v>
      </c>
    </row>
    <row r="477" spans="2:10" x14ac:dyDescent="0.3">
      <c r="B477" s="16">
        <v>0.2</v>
      </c>
      <c r="C477" s="16">
        <v>0.43</v>
      </c>
      <c r="D477" s="16">
        <v>0.67</v>
      </c>
      <c r="E477" s="16">
        <v>1.1200000000000001</v>
      </c>
      <c r="F477" s="16">
        <v>0.9</v>
      </c>
      <c r="G477" s="16">
        <v>0.45</v>
      </c>
      <c r="H477" s="16">
        <v>0.85</v>
      </c>
      <c r="I477" s="16">
        <v>1</v>
      </c>
      <c r="J477" s="16">
        <v>0.65</v>
      </c>
    </row>
    <row r="478" spans="2:10" x14ac:dyDescent="0.3">
      <c r="B478" s="16">
        <v>0.4</v>
      </c>
      <c r="C478" s="16">
        <v>0.35</v>
      </c>
      <c r="D478" s="16">
        <v>0.51</v>
      </c>
      <c r="E478" s="16">
        <v>0.88</v>
      </c>
      <c r="F478" s="16">
        <v>0.66</v>
      </c>
      <c r="G478" s="16">
        <v>0.34</v>
      </c>
      <c r="H478" s="16">
        <v>0.68</v>
      </c>
      <c r="I478" s="16">
        <v>0.83</v>
      </c>
      <c r="J478" s="16">
        <v>0.51</v>
      </c>
    </row>
    <row r="479" spans="2:10" x14ac:dyDescent="0.3">
      <c r="B479" s="16">
        <v>0.6</v>
      </c>
      <c r="C479" s="16">
        <v>0.28999999999999998</v>
      </c>
      <c r="D479" s="16">
        <v>0.42</v>
      </c>
      <c r="E479" s="16">
        <v>0.73</v>
      </c>
      <c r="F479" s="16">
        <v>0.56999999999999995</v>
      </c>
      <c r="G479" s="16">
        <v>0.28000000000000003</v>
      </c>
      <c r="H479" s="16">
        <v>0.54</v>
      </c>
      <c r="I479" s="16">
        <v>0.66</v>
      </c>
      <c r="J479" s="16">
        <v>0.41</v>
      </c>
    </row>
    <row r="480" spans="2:10" x14ac:dyDescent="0.3">
      <c r="B480" s="16">
        <v>0.8</v>
      </c>
      <c r="C480" s="16">
        <v>0.26</v>
      </c>
      <c r="D480" s="16">
        <v>0.35</v>
      </c>
      <c r="E480" s="16">
        <v>0.59</v>
      </c>
      <c r="F480" s="16">
        <v>0.45</v>
      </c>
      <c r="G480" s="16">
        <v>0.24</v>
      </c>
      <c r="H480" s="16">
        <v>0.47</v>
      </c>
      <c r="I480" s="16">
        <v>0.57999999999999996</v>
      </c>
      <c r="J480" s="16">
        <v>0.35</v>
      </c>
    </row>
    <row r="481" spans="2:10" x14ac:dyDescent="0.3">
      <c r="B481" s="16">
        <v>1</v>
      </c>
      <c r="C481" s="16">
        <v>0.22</v>
      </c>
      <c r="D481" s="16">
        <v>0.3</v>
      </c>
      <c r="E481" s="16">
        <v>0.5</v>
      </c>
      <c r="F481" s="16">
        <v>0.39</v>
      </c>
      <c r="G481" s="16">
        <v>0.2</v>
      </c>
      <c r="H481" s="16">
        <v>0.39</v>
      </c>
      <c r="I481" s="16">
        <v>0.48</v>
      </c>
      <c r="J481" s="16">
        <v>0.3</v>
      </c>
    </row>
    <row r="482" spans="2:10" x14ac:dyDescent="0.3">
      <c r="B482" s="16">
        <v>1.2</v>
      </c>
      <c r="C482" s="16">
        <v>0.21</v>
      </c>
      <c r="D482" s="16">
        <v>0.26</v>
      </c>
      <c r="E482" s="16">
        <v>0.41</v>
      </c>
      <c r="F482" s="16">
        <v>0.32</v>
      </c>
      <c r="G482" s="16">
        <v>0.18</v>
      </c>
      <c r="H482" s="16">
        <v>0.35</v>
      </c>
      <c r="I482" s="16">
        <v>0.42</v>
      </c>
      <c r="J482" s="16">
        <v>0.28000000000000003</v>
      </c>
    </row>
    <row r="483" spans="2:10" x14ac:dyDescent="0.3">
      <c r="B483" s="16">
        <v>1.4</v>
      </c>
      <c r="C483" s="16">
        <v>0.2</v>
      </c>
      <c r="D483" s="16">
        <v>0.24</v>
      </c>
      <c r="E483" s="16">
        <v>0.36</v>
      </c>
      <c r="F483" s="16">
        <v>0.28999999999999998</v>
      </c>
      <c r="G483" s="16">
        <v>0.18</v>
      </c>
      <c r="H483" s="16">
        <v>0.28999999999999998</v>
      </c>
      <c r="I483" s="16">
        <v>0.37</v>
      </c>
      <c r="J483" s="16">
        <v>0.24</v>
      </c>
    </row>
    <row r="484" spans="2:10" x14ac:dyDescent="0.3">
      <c r="B484" s="16">
        <v>1.6</v>
      </c>
      <c r="C484" s="16">
        <v>0.18</v>
      </c>
      <c r="D484" s="16">
        <v>0.21</v>
      </c>
      <c r="E484" s="16">
        <v>0.31</v>
      </c>
      <c r="F484" s="16">
        <v>0.25</v>
      </c>
      <c r="G484" s="16">
        <v>0.15</v>
      </c>
      <c r="H484" s="16">
        <v>0.26</v>
      </c>
      <c r="I484" s="16">
        <v>0.34</v>
      </c>
      <c r="J484" s="16">
        <v>0.23</v>
      </c>
    </row>
    <row r="485" spans="2:10" x14ac:dyDescent="0.3">
      <c r="B485" s="16">
        <v>1.8</v>
      </c>
      <c r="C485" s="16">
        <v>0.15</v>
      </c>
      <c r="D485" s="16">
        <v>0.21</v>
      </c>
      <c r="E485" s="16">
        <v>0.3</v>
      </c>
      <c r="F485" s="16">
        <v>0.21</v>
      </c>
      <c r="G485" s="16">
        <v>0.14000000000000001</v>
      </c>
      <c r="H485" s="16">
        <v>0.25</v>
      </c>
      <c r="I485" s="16">
        <v>0.3</v>
      </c>
      <c r="J485" s="16">
        <v>0.2</v>
      </c>
    </row>
    <row r="486" spans="2:10" x14ac:dyDescent="0.3">
      <c r="B486" s="16">
        <v>2</v>
      </c>
      <c r="C486" s="16">
        <v>0.14000000000000001</v>
      </c>
      <c r="D486" s="16">
        <v>0.19</v>
      </c>
      <c r="E486" s="16">
        <v>0.26</v>
      </c>
      <c r="F486" s="16">
        <v>0.2</v>
      </c>
      <c r="G486" s="16">
        <v>0.13</v>
      </c>
      <c r="H486" s="16">
        <v>0.22</v>
      </c>
      <c r="I486" s="16">
        <v>0.28000000000000003</v>
      </c>
      <c r="J486" s="16">
        <v>0.18</v>
      </c>
    </row>
    <row r="487" spans="2:10" x14ac:dyDescent="0.3">
      <c r="B487" s="6"/>
      <c r="C487" s="6"/>
      <c r="D487" s="6"/>
      <c r="E487" s="6"/>
      <c r="F487" s="6"/>
      <c r="G487" s="6"/>
      <c r="H487" s="6"/>
      <c r="I487" s="6"/>
      <c r="J487" s="6"/>
    </row>
    <row r="488" spans="2:10" x14ac:dyDescent="0.3">
      <c r="B488" s="5" t="s">
        <v>2124</v>
      </c>
      <c r="C488" s="6"/>
      <c r="D488" s="6"/>
      <c r="E488" s="6"/>
      <c r="F488" s="6"/>
      <c r="G488" s="6"/>
    </row>
    <row r="489" spans="2:10" x14ac:dyDescent="0.3">
      <c r="B489" s="5" t="s">
        <v>2125</v>
      </c>
    </row>
    <row r="490" spans="2:10" x14ac:dyDescent="0.3">
      <c r="B490" s="8" t="s">
        <v>1285</v>
      </c>
      <c r="C490" s="8" t="s">
        <v>2016</v>
      </c>
      <c r="D490" s="8" t="s">
        <v>2017</v>
      </c>
      <c r="E490" s="8" t="s">
        <v>2018</v>
      </c>
      <c r="F490" s="8" t="s">
        <v>2019</v>
      </c>
      <c r="G490" s="8" t="s">
        <v>2020</v>
      </c>
      <c r="H490" s="8" t="s">
        <v>2021</v>
      </c>
      <c r="I490" s="8" t="s">
        <v>2022</v>
      </c>
      <c r="J490" s="8" t="s">
        <v>2023</v>
      </c>
    </row>
    <row r="491" spans="2:10" x14ac:dyDescent="0.3">
      <c r="B491" s="16">
        <v>0</v>
      </c>
      <c r="C491" s="16">
        <v>0.59</v>
      </c>
      <c r="D491" s="16">
        <v>1.08</v>
      </c>
      <c r="E491" s="16">
        <v>1.5</v>
      </c>
      <c r="F491" s="16">
        <v>0.93</v>
      </c>
      <c r="G491" s="16">
        <v>0.4</v>
      </c>
      <c r="H491" s="16">
        <v>1.05</v>
      </c>
      <c r="I491" s="16">
        <v>1.78</v>
      </c>
      <c r="J491" s="16">
        <v>1.19</v>
      </c>
    </row>
    <row r="492" spans="2:10" x14ac:dyDescent="0.3">
      <c r="B492" s="16">
        <v>0.05</v>
      </c>
      <c r="C492" s="16">
        <v>0.49</v>
      </c>
      <c r="D492" s="16">
        <v>0.94</v>
      </c>
      <c r="E492" s="16">
        <v>1.35</v>
      </c>
      <c r="F492" s="16">
        <v>0.82</v>
      </c>
      <c r="G492" s="16">
        <v>0.33</v>
      </c>
      <c r="H492" s="16">
        <v>0.95</v>
      </c>
      <c r="I492" s="16">
        <v>1.64</v>
      </c>
      <c r="J492" s="16">
        <v>1.06</v>
      </c>
    </row>
    <row r="493" spans="2:10" x14ac:dyDescent="0.3">
      <c r="B493" s="16">
        <v>0.1</v>
      </c>
      <c r="C493" s="16">
        <v>0.45</v>
      </c>
      <c r="D493" s="16">
        <v>0.87</v>
      </c>
      <c r="E493" s="16">
        <v>1.28</v>
      </c>
      <c r="F493" s="16">
        <v>0.77</v>
      </c>
      <c r="G493" s="16">
        <v>0.31</v>
      </c>
      <c r="H493" s="16">
        <v>0.88</v>
      </c>
      <c r="I493" s="16">
        <v>1.52</v>
      </c>
      <c r="J493" s="16">
        <v>0.97</v>
      </c>
    </row>
    <row r="494" spans="2:10" x14ac:dyDescent="0.3">
      <c r="B494" s="16">
        <v>0.2</v>
      </c>
      <c r="C494" s="16">
        <v>0.39</v>
      </c>
      <c r="D494" s="16">
        <v>0.76</v>
      </c>
      <c r="E494" s="16">
        <v>1.1299999999999999</v>
      </c>
      <c r="F494" s="16">
        <v>0.68</v>
      </c>
      <c r="G494" s="16">
        <v>0.28000000000000003</v>
      </c>
      <c r="H494" s="16">
        <v>0.79</v>
      </c>
      <c r="I494" s="16">
        <v>1.33</v>
      </c>
      <c r="J494" s="16">
        <v>0.84</v>
      </c>
    </row>
    <row r="495" spans="2:10" x14ac:dyDescent="0.3">
      <c r="B495" s="16">
        <v>0.4</v>
      </c>
      <c r="C495" s="16">
        <v>0.32</v>
      </c>
      <c r="D495" s="16">
        <v>0.56999999999999995</v>
      </c>
      <c r="E495" s="16">
        <v>0.9</v>
      </c>
      <c r="F495" s="16">
        <v>0.54</v>
      </c>
      <c r="G495" s="16">
        <v>0.22</v>
      </c>
      <c r="H495" s="16">
        <v>0.63</v>
      </c>
      <c r="I495" s="16">
        <v>1.1000000000000001</v>
      </c>
      <c r="J495" s="16">
        <v>0.65</v>
      </c>
    </row>
    <row r="496" spans="2:10" x14ac:dyDescent="0.3">
      <c r="B496" s="16">
        <v>0.6</v>
      </c>
      <c r="C496" s="16">
        <v>0.27</v>
      </c>
      <c r="D496" s="16">
        <v>0.45</v>
      </c>
      <c r="E496" s="16">
        <v>0.74</v>
      </c>
      <c r="F496" s="16">
        <v>0.44</v>
      </c>
      <c r="G496" s="16">
        <v>0.18</v>
      </c>
      <c r="H496" s="16">
        <v>0.52</v>
      </c>
      <c r="I496" s="16">
        <v>0.89</v>
      </c>
      <c r="J496" s="16">
        <v>0.48</v>
      </c>
    </row>
    <row r="497" spans="2:10" x14ac:dyDescent="0.3">
      <c r="B497" s="16">
        <v>0.8</v>
      </c>
      <c r="C497" s="16">
        <v>0.24</v>
      </c>
      <c r="D497" s="16">
        <v>0.38</v>
      </c>
      <c r="E497" s="16">
        <v>0.62</v>
      </c>
      <c r="F497" s="16">
        <v>0.36</v>
      </c>
      <c r="G497" s="16">
        <v>0.16</v>
      </c>
      <c r="H497" s="16">
        <v>0.43</v>
      </c>
      <c r="I497" s="16">
        <v>0.77</v>
      </c>
      <c r="J497" s="16">
        <v>0.42</v>
      </c>
    </row>
    <row r="498" spans="2:10" x14ac:dyDescent="0.3">
      <c r="B498" s="16">
        <v>1</v>
      </c>
      <c r="C498" s="16">
        <v>0.21</v>
      </c>
      <c r="D498" s="16">
        <v>0.31</v>
      </c>
      <c r="E498" s="16">
        <v>0.53</v>
      </c>
      <c r="F498" s="16">
        <v>0.31</v>
      </c>
      <c r="G498" s="16">
        <v>0.13</v>
      </c>
      <c r="H498" s="16">
        <v>0.38</v>
      </c>
      <c r="I498" s="16">
        <v>0.63</v>
      </c>
      <c r="J498" s="16">
        <v>0.34</v>
      </c>
    </row>
    <row r="499" spans="2:10" x14ac:dyDescent="0.3">
      <c r="B499" s="16">
        <v>1.2</v>
      </c>
      <c r="C499" s="16">
        <v>0.19</v>
      </c>
      <c r="D499" s="16">
        <v>0.28000000000000003</v>
      </c>
      <c r="E499" s="16">
        <v>0.43</v>
      </c>
      <c r="F499" s="16">
        <v>0.27</v>
      </c>
      <c r="G499" s="16">
        <v>0.12</v>
      </c>
      <c r="H499" s="16">
        <v>0.32</v>
      </c>
      <c r="I499" s="16">
        <v>0.55000000000000004</v>
      </c>
      <c r="J499" s="16">
        <v>0.3</v>
      </c>
    </row>
    <row r="500" spans="2:10" x14ac:dyDescent="0.3">
      <c r="B500" s="16">
        <v>1.4</v>
      </c>
      <c r="C500" s="16">
        <v>0.17</v>
      </c>
      <c r="D500" s="16">
        <v>0.25</v>
      </c>
      <c r="E500" s="16">
        <v>0.39</v>
      </c>
      <c r="F500" s="16">
        <v>0.25</v>
      </c>
      <c r="G500" s="16">
        <v>0.12</v>
      </c>
      <c r="H500" s="16">
        <v>0.28000000000000003</v>
      </c>
      <c r="I500" s="16">
        <v>0.48</v>
      </c>
      <c r="J500" s="16">
        <v>0.26</v>
      </c>
    </row>
    <row r="501" spans="2:10" x14ac:dyDescent="0.3">
      <c r="B501" s="16">
        <v>1.6</v>
      </c>
      <c r="C501" s="16">
        <v>0.16</v>
      </c>
      <c r="D501" s="16">
        <v>0.24</v>
      </c>
      <c r="E501" s="16">
        <v>0.34</v>
      </c>
      <c r="F501" s="16">
        <v>0.22</v>
      </c>
      <c r="G501" s="16">
        <v>0.1</v>
      </c>
      <c r="H501" s="16">
        <v>0.25</v>
      </c>
      <c r="I501" s="16">
        <v>0.41</v>
      </c>
      <c r="J501" s="16">
        <v>0.24</v>
      </c>
    </row>
    <row r="502" spans="2:10" x14ac:dyDescent="0.3">
      <c r="B502" s="16">
        <v>1.8</v>
      </c>
      <c r="C502" s="16">
        <v>0.14000000000000001</v>
      </c>
      <c r="D502" s="16">
        <v>0.21</v>
      </c>
      <c r="E502" s="16">
        <v>0.3</v>
      </c>
      <c r="F502" s="16">
        <v>0.2</v>
      </c>
      <c r="G502" s="16">
        <v>0.09</v>
      </c>
      <c r="H502" s="16">
        <v>0.24</v>
      </c>
      <c r="I502" s="16">
        <v>0.37</v>
      </c>
      <c r="J502" s="16">
        <v>0.22</v>
      </c>
    </row>
    <row r="503" spans="2:10" x14ac:dyDescent="0.3">
      <c r="B503" s="16">
        <v>2</v>
      </c>
      <c r="C503" s="16">
        <v>0.14000000000000001</v>
      </c>
      <c r="D503" s="16">
        <v>0.19</v>
      </c>
      <c r="E503" s="16">
        <v>0.27</v>
      </c>
      <c r="F503" s="16">
        <v>0.19</v>
      </c>
      <c r="G503" s="16">
        <v>0.09</v>
      </c>
      <c r="H503" s="16">
        <v>0.21</v>
      </c>
      <c r="I503" s="16">
        <v>0.36</v>
      </c>
      <c r="J503" s="16">
        <v>0.2</v>
      </c>
    </row>
    <row r="504" spans="2:10" x14ac:dyDescent="0.3">
      <c r="B504" s="6"/>
      <c r="C504" s="6"/>
      <c r="D504" s="6"/>
      <c r="E504" s="6"/>
      <c r="F504" s="6"/>
      <c r="G504" s="6"/>
      <c r="H504" s="6"/>
      <c r="I504" s="6"/>
      <c r="J504" s="6"/>
    </row>
    <row r="505" spans="2:10" x14ac:dyDescent="0.3">
      <c r="B505" s="5" t="s">
        <v>2126</v>
      </c>
      <c r="C505" s="6"/>
      <c r="D505" s="6"/>
      <c r="E505" s="6"/>
      <c r="F505" s="6"/>
      <c r="G505" s="6"/>
    </row>
    <row r="506" spans="2:10" x14ac:dyDescent="0.3">
      <c r="B506" s="5" t="s">
        <v>2127</v>
      </c>
    </row>
    <row r="507" spans="2:10" x14ac:dyDescent="0.3">
      <c r="B507" s="8" t="s">
        <v>1285</v>
      </c>
      <c r="C507" s="8" t="s">
        <v>2016</v>
      </c>
      <c r="D507" s="8" t="s">
        <v>2017</v>
      </c>
      <c r="E507" s="8" t="s">
        <v>2018</v>
      </c>
      <c r="F507" s="8" t="s">
        <v>2019</v>
      </c>
      <c r="G507" s="8" t="s">
        <v>2020</v>
      </c>
      <c r="H507" s="8" t="s">
        <v>2021</v>
      </c>
      <c r="I507" s="8" t="s">
        <v>2022</v>
      </c>
      <c r="J507" s="8" t="s">
        <v>2023</v>
      </c>
    </row>
    <row r="508" spans="2:10" x14ac:dyDescent="0.3">
      <c r="B508" s="16">
        <v>0</v>
      </c>
      <c r="C508" s="16">
        <v>0.43</v>
      </c>
      <c r="D508" s="16">
        <v>0.81</v>
      </c>
      <c r="E508" s="16">
        <v>1.1599999999999999</v>
      </c>
      <c r="F508" s="16">
        <v>0.75</v>
      </c>
      <c r="G508" s="16">
        <v>0.36</v>
      </c>
      <c r="H508" s="16">
        <v>1.06</v>
      </c>
      <c r="I508" s="16">
        <v>1.88</v>
      </c>
      <c r="J508" s="16">
        <v>1.1100000000000001</v>
      </c>
    </row>
    <row r="509" spans="2:10" x14ac:dyDescent="0.3">
      <c r="B509" s="16">
        <v>0.05</v>
      </c>
      <c r="C509" s="16">
        <v>0.36</v>
      </c>
      <c r="D509" s="16">
        <v>0.71</v>
      </c>
      <c r="E509" s="16">
        <v>1.05</v>
      </c>
      <c r="F509" s="16">
        <v>0.67</v>
      </c>
      <c r="G509" s="16">
        <v>0.3</v>
      </c>
      <c r="H509" s="16">
        <v>0.96</v>
      </c>
      <c r="I509" s="16">
        <v>1.72</v>
      </c>
      <c r="J509" s="16">
        <v>0.99</v>
      </c>
    </row>
    <row r="510" spans="2:10" x14ac:dyDescent="0.3">
      <c r="B510" s="16">
        <v>0.1</v>
      </c>
      <c r="C510" s="16">
        <v>0.33</v>
      </c>
      <c r="D510" s="16">
        <v>0.66</v>
      </c>
      <c r="E510" s="16">
        <v>0.99</v>
      </c>
      <c r="F510" s="16">
        <v>0.62</v>
      </c>
      <c r="G510" s="16">
        <v>0.28999999999999998</v>
      </c>
      <c r="H510" s="16">
        <v>0.89</v>
      </c>
      <c r="I510" s="16">
        <v>1.6</v>
      </c>
      <c r="J510" s="16">
        <v>0.9</v>
      </c>
    </row>
    <row r="511" spans="2:10" x14ac:dyDescent="0.3">
      <c r="B511" s="16">
        <v>0.2</v>
      </c>
      <c r="C511" s="16">
        <v>0.28000000000000003</v>
      </c>
      <c r="D511" s="16">
        <v>0.56999999999999995</v>
      </c>
      <c r="E511" s="16">
        <v>0.87</v>
      </c>
      <c r="F511" s="16">
        <v>0.55000000000000004</v>
      </c>
      <c r="G511" s="16">
        <v>0.25</v>
      </c>
      <c r="H511" s="16">
        <v>0.8</v>
      </c>
      <c r="I511" s="16">
        <v>1.4</v>
      </c>
      <c r="J511" s="16">
        <v>0.78</v>
      </c>
    </row>
    <row r="512" spans="2:10" x14ac:dyDescent="0.3">
      <c r="B512" s="16">
        <v>0.4</v>
      </c>
      <c r="C512" s="16">
        <v>0.23</v>
      </c>
      <c r="D512" s="16">
        <v>0.43</v>
      </c>
      <c r="E512" s="16">
        <v>0.69</v>
      </c>
      <c r="F512" s="16">
        <v>0.44</v>
      </c>
      <c r="G512" s="16">
        <v>0.2</v>
      </c>
      <c r="H512" s="16">
        <v>0.64</v>
      </c>
      <c r="I512" s="16">
        <v>1.1599999999999999</v>
      </c>
      <c r="J512" s="16">
        <v>0.6</v>
      </c>
    </row>
    <row r="513" spans="2:10" x14ac:dyDescent="0.3">
      <c r="B513" s="16">
        <v>0.6</v>
      </c>
      <c r="C513" s="16">
        <v>0.2</v>
      </c>
      <c r="D513" s="16">
        <v>0.34</v>
      </c>
      <c r="E513" s="16">
        <v>0.56999999999999995</v>
      </c>
      <c r="F513" s="16">
        <v>0.36</v>
      </c>
      <c r="G513" s="16">
        <v>0.17</v>
      </c>
      <c r="H513" s="16">
        <v>0.52</v>
      </c>
      <c r="I513" s="16">
        <v>0.94</v>
      </c>
      <c r="J513" s="16">
        <v>0.45</v>
      </c>
    </row>
    <row r="514" spans="2:10" x14ac:dyDescent="0.3">
      <c r="B514" s="16">
        <v>0.8</v>
      </c>
      <c r="C514" s="16">
        <v>0.17</v>
      </c>
      <c r="D514" s="16">
        <v>0.28999999999999998</v>
      </c>
      <c r="E514" s="16">
        <v>0.48</v>
      </c>
      <c r="F514" s="16">
        <v>0.3</v>
      </c>
      <c r="G514" s="16">
        <v>0.15</v>
      </c>
      <c r="H514" s="16">
        <v>0.44</v>
      </c>
      <c r="I514" s="16">
        <v>0.81</v>
      </c>
      <c r="J514" s="16">
        <v>0.39</v>
      </c>
    </row>
    <row r="515" spans="2:10" x14ac:dyDescent="0.3">
      <c r="B515" s="16">
        <v>1</v>
      </c>
      <c r="C515" s="16">
        <v>0.16</v>
      </c>
      <c r="D515" s="16">
        <v>0.23</v>
      </c>
      <c r="E515" s="16">
        <v>0.41</v>
      </c>
      <c r="F515" s="16">
        <v>0.25</v>
      </c>
      <c r="G515" s="16">
        <v>0.12</v>
      </c>
      <c r="H515" s="16">
        <v>0.38</v>
      </c>
      <c r="I515" s="16">
        <v>0.66</v>
      </c>
      <c r="J515" s="16">
        <v>0.32</v>
      </c>
    </row>
    <row r="516" spans="2:10" x14ac:dyDescent="0.3">
      <c r="B516" s="16">
        <v>1.2</v>
      </c>
      <c r="C516" s="16">
        <v>0.14000000000000001</v>
      </c>
      <c r="D516" s="16">
        <v>0.21</v>
      </c>
      <c r="E516" s="16">
        <v>0.33</v>
      </c>
      <c r="F516" s="16">
        <v>0.22</v>
      </c>
      <c r="G516" s="16">
        <v>0.11</v>
      </c>
      <c r="H516" s="16">
        <v>0.32</v>
      </c>
      <c r="I516" s="16">
        <v>0.56999999999999995</v>
      </c>
      <c r="J516" s="16">
        <v>0.28000000000000003</v>
      </c>
    </row>
    <row r="517" spans="2:10" x14ac:dyDescent="0.3">
      <c r="B517" s="16">
        <v>1.4</v>
      </c>
      <c r="C517" s="16">
        <v>0.13</v>
      </c>
      <c r="D517" s="16">
        <v>0.19</v>
      </c>
      <c r="E517" s="16">
        <v>0.3</v>
      </c>
      <c r="F517" s="16">
        <v>0.2</v>
      </c>
      <c r="G517" s="16">
        <v>0.11</v>
      </c>
      <c r="H517" s="16">
        <v>0.28999999999999998</v>
      </c>
      <c r="I517" s="16">
        <v>0.5</v>
      </c>
      <c r="J517" s="16">
        <v>0.24</v>
      </c>
    </row>
    <row r="518" spans="2:10" x14ac:dyDescent="0.3">
      <c r="B518" s="16">
        <v>1.6</v>
      </c>
      <c r="C518" s="16">
        <v>0.11</v>
      </c>
      <c r="D518" s="16">
        <v>0.18</v>
      </c>
      <c r="E518" s="16">
        <v>0.27</v>
      </c>
      <c r="F518" s="16">
        <v>0.18</v>
      </c>
      <c r="G518" s="16">
        <v>0.1</v>
      </c>
      <c r="H518" s="16">
        <v>0.26</v>
      </c>
      <c r="I518" s="16">
        <v>0.43</v>
      </c>
      <c r="J518" s="16">
        <v>0.22</v>
      </c>
    </row>
    <row r="519" spans="2:10" x14ac:dyDescent="0.3">
      <c r="B519" s="16">
        <v>1.8</v>
      </c>
      <c r="C519" s="16">
        <v>0.1</v>
      </c>
      <c r="D519" s="16">
        <v>0.16</v>
      </c>
      <c r="E519" s="16">
        <v>0.23</v>
      </c>
      <c r="F519" s="16">
        <v>0.16</v>
      </c>
      <c r="G519" s="16">
        <v>0.09</v>
      </c>
      <c r="H519" s="16">
        <v>0.25</v>
      </c>
      <c r="I519" s="16">
        <v>0.39</v>
      </c>
      <c r="J519" s="16">
        <v>0.2</v>
      </c>
    </row>
    <row r="520" spans="2:10" x14ac:dyDescent="0.3">
      <c r="B520" s="16">
        <v>2</v>
      </c>
      <c r="C520" s="16">
        <v>0.1</v>
      </c>
      <c r="D520" s="16">
        <v>0.15</v>
      </c>
      <c r="E520" s="16">
        <v>0.21</v>
      </c>
      <c r="F520" s="16">
        <v>0.15</v>
      </c>
      <c r="G520" s="16">
        <v>0.08</v>
      </c>
      <c r="H520" s="16">
        <v>0.21</v>
      </c>
      <c r="I520" s="16">
        <v>0.38</v>
      </c>
      <c r="J520" s="16">
        <v>0.19</v>
      </c>
    </row>
    <row r="521" spans="2:10" x14ac:dyDescent="0.3">
      <c r="B521" s="6"/>
      <c r="C521" s="6"/>
      <c r="D521" s="6"/>
      <c r="E521" s="6"/>
      <c r="F521" s="6"/>
      <c r="G521" s="6"/>
      <c r="H521" s="6"/>
      <c r="I521" s="6"/>
      <c r="J521" s="6"/>
    </row>
    <row r="522" spans="2:10" x14ac:dyDescent="0.3">
      <c r="B522" s="5" t="s">
        <v>2128</v>
      </c>
      <c r="C522" s="6"/>
      <c r="D522" s="6"/>
      <c r="E522" s="6"/>
      <c r="F522" s="6"/>
      <c r="G522" s="6"/>
    </row>
    <row r="523" spans="2:10" x14ac:dyDescent="0.3">
      <c r="B523" s="5" t="s">
        <v>2129</v>
      </c>
    </row>
    <row r="524" spans="2:10" x14ac:dyDescent="0.3">
      <c r="B524" s="8" t="s">
        <v>1285</v>
      </c>
      <c r="C524" s="8" t="s">
        <v>2016</v>
      </c>
      <c r="D524" s="8" t="s">
        <v>2017</v>
      </c>
      <c r="E524" s="8" t="s">
        <v>2018</v>
      </c>
      <c r="F524" s="8" t="s">
        <v>2019</v>
      </c>
      <c r="G524" s="8" t="s">
        <v>2020</v>
      </c>
      <c r="H524" s="8" t="s">
        <v>2021</v>
      </c>
      <c r="I524" s="8" t="s">
        <v>2022</v>
      </c>
      <c r="J524" s="8" t="s">
        <v>2023</v>
      </c>
    </row>
    <row r="525" spans="2:10" x14ac:dyDescent="0.3">
      <c r="B525" s="16">
        <v>0</v>
      </c>
      <c r="C525" s="16">
        <v>0.95</v>
      </c>
      <c r="D525" s="16">
        <v>1.51</v>
      </c>
      <c r="E525" s="16">
        <v>1.7</v>
      </c>
      <c r="F525" s="16">
        <v>1.53</v>
      </c>
      <c r="G525" s="16">
        <v>0.92</v>
      </c>
      <c r="H525" s="16">
        <v>1.45</v>
      </c>
      <c r="I525" s="16">
        <v>1.5</v>
      </c>
      <c r="J525" s="16">
        <v>1.41</v>
      </c>
    </row>
    <row r="526" spans="2:10" x14ac:dyDescent="0.3">
      <c r="B526" s="16">
        <v>0.05</v>
      </c>
      <c r="C526" s="16">
        <v>0.8</v>
      </c>
      <c r="D526" s="16">
        <v>1.36</v>
      </c>
      <c r="E526" s="16">
        <v>1.58</v>
      </c>
      <c r="F526" s="16">
        <v>1.4</v>
      </c>
      <c r="G526" s="16">
        <v>0.8</v>
      </c>
      <c r="H526" s="16">
        <v>1.31</v>
      </c>
      <c r="I526" s="16">
        <v>1.39</v>
      </c>
      <c r="J526" s="16">
        <v>1.26</v>
      </c>
    </row>
    <row r="527" spans="2:10" x14ac:dyDescent="0.3">
      <c r="B527" s="16">
        <v>0.1</v>
      </c>
      <c r="C527" s="16">
        <v>0.75</v>
      </c>
      <c r="D527" s="16">
        <v>1.23</v>
      </c>
      <c r="E527" s="16">
        <v>1.5</v>
      </c>
      <c r="F527" s="16">
        <v>1.33</v>
      </c>
      <c r="G527" s="16">
        <v>0.76</v>
      </c>
      <c r="H527" s="16">
        <v>1.24</v>
      </c>
      <c r="I527" s="16">
        <v>1.31</v>
      </c>
      <c r="J527" s="16">
        <v>1.1599999999999999</v>
      </c>
    </row>
    <row r="528" spans="2:10" x14ac:dyDescent="0.3">
      <c r="B528" s="16">
        <v>0.2</v>
      </c>
      <c r="C528" s="16">
        <v>0.65</v>
      </c>
      <c r="D528" s="16">
        <v>1.06</v>
      </c>
      <c r="E528" s="16">
        <v>1.32</v>
      </c>
      <c r="F528" s="16">
        <v>1.17</v>
      </c>
      <c r="G528" s="16">
        <v>0.64</v>
      </c>
      <c r="H528" s="16">
        <v>1.0900000000000001</v>
      </c>
      <c r="I528" s="16">
        <v>1.17</v>
      </c>
      <c r="J528" s="16">
        <v>1.02</v>
      </c>
    </row>
    <row r="529" spans="1:10" x14ac:dyDescent="0.3">
      <c r="B529" s="16">
        <v>0.4</v>
      </c>
      <c r="C529" s="16">
        <v>0.54</v>
      </c>
      <c r="D529" s="16">
        <v>0.81</v>
      </c>
      <c r="E529" s="16">
        <v>1.06</v>
      </c>
      <c r="F529" s="16">
        <v>0.92</v>
      </c>
      <c r="G529" s="16">
        <v>0.53</v>
      </c>
      <c r="H529" s="16">
        <v>0.9</v>
      </c>
      <c r="I529" s="16">
        <v>0.92</v>
      </c>
      <c r="J529" s="16">
        <v>0.78</v>
      </c>
    </row>
    <row r="530" spans="1:10" x14ac:dyDescent="0.3">
      <c r="B530" s="16">
        <v>0.6</v>
      </c>
      <c r="C530" s="16">
        <v>0.48</v>
      </c>
      <c r="D530" s="16">
        <v>0.62</v>
      </c>
      <c r="E530" s="16">
        <v>0.89</v>
      </c>
      <c r="F530" s="16">
        <v>0.75</v>
      </c>
      <c r="G530" s="16">
        <v>0.43</v>
      </c>
      <c r="H530" s="16">
        <v>0.71</v>
      </c>
      <c r="I530" s="16">
        <v>0.78</v>
      </c>
      <c r="J530" s="16">
        <v>0.62</v>
      </c>
    </row>
    <row r="531" spans="1:10" x14ac:dyDescent="0.3">
      <c r="B531" s="16">
        <v>0.8</v>
      </c>
      <c r="C531" s="16">
        <v>0.41</v>
      </c>
      <c r="D531" s="16">
        <v>0.51</v>
      </c>
      <c r="E531" s="16">
        <v>0.71</v>
      </c>
      <c r="F531" s="16">
        <v>0.61</v>
      </c>
      <c r="G531" s="16">
        <v>0.38</v>
      </c>
      <c r="H531" s="16">
        <v>0.63</v>
      </c>
      <c r="I531" s="16">
        <v>0.66</v>
      </c>
      <c r="J531" s="16">
        <v>0.49</v>
      </c>
    </row>
    <row r="532" spans="1:10" x14ac:dyDescent="0.3">
      <c r="B532" s="16">
        <v>1</v>
      </c>
      <c r="C532" s="16">
        <v>0.34</v>
      </c>
      <c r="D532" s="16">
        <v>0.42</v>
      </c>
      <c r="E532" s="16">
        <v>0.6</v>
      </c>
      <c r="F532" s="16">
        <v>0.52</v>
      </c>
      <c r="G532" s="16">
        <v>0.34</v>
      </c>
      <c r="H532" s="16">
        <v>0.54</v>
      </c>
      <c r="I532" s="16">
        <v>0.57999999999999996</v>
      </c>
      <c r="J532" s="16">
        <v>0.41</v>
      </c>
    </row>
    <row r="533" spans="1:10" x14ac:dyDescent="0.3">
      <c r="B533" s="16">
        <v>1.2</v>
      </c>
      <c r="C533" s="16">
        <v>0.32</v>
      </c>
      <c r="D533" s="16">
        <v>0.38</v>
      </c>
      <c r="E533" s="16">
        <v>0.5</v>
      </c>
      <c r="F533" s="16">
        <v>0.44</v>
      </c>
      <c r="G533" s="16">
        <v>0.28999999999999998</v>
      </c>
      <c r="H533" s="16">
        <v>0.46</v>
      </c>
      <c r="I533" s="16">
        <v>0.47</v>
      </c>
      <c r="J533" s="16">
        <v>0.36</v>
      </c>
    </row>
    <row r="534" spans="1:10" x14ac:dyDescent="0.3">
      <c r="B534" s="16">
        <v>1.4</v>
      </c>
      <c r="C534" s="16">
        <v>0.28999999999999998</v>
      </c>
      <c r="D534" s="16">
        <v>0.32</v>
      </c>
      <c r="E534" s="16">
        <v>0.42</v>
      </c>
      <c r="F534" s="16">
        <v>0.4</v>
      </c>
      <c r="G534" s="16">
        <v>0.28000000000000003</v>
      </c>
      <c r="H534" s="16">
        <v>0.4</v>
      </c>
      <c r="I534" s="16">
        <v>0.45</v>
      </c>
      <c r="J534" s="16">
        <v>0.32</v>
      </c>
    </row>
    <row r="535" spans="1:10" x14ac:dyDescent="0.3">
      <c r="B535" s="16">
        <v>1.6</v>
      </c>
      <c r="C535" s="16">
        <v>0.28999999999999998</v>
      </c>
      <c r="D535" s="16">
        <v>0.28999999999999998</v>
      </c>
      <c r="E535" s="16">
        <v>0.4</v>
      </c>
      <c r="F535" s="16">
        <v>0.35</v>
      </c>
      <c r="G535" s="16">
        <v>0.22</v>
      </c>
      <c r="H535" s="16">
        <v>0.39</v>
      </c>
      <c r="I535" s="16">
        <v>0.39</v>
      </c>
      <c r="J535" s="16">
        <v>0.28999999999999998</v>
      </c>
    </row>
    <row r="536" spans="1:10" x14ac:dyDescent="0.3">
      <c r="B536" s="16">
        <v>1.8</v>
      </c>
      <c r="C536" s="16">
        <v>0.26</v>
      </c>
      <c r="D536" s="16">
        <v>0.28000000000000003</v>
      </c>
      <c r="E536" s="16">
        <v>0.36</v>
      </c>
      <c r="F536" s="16">
        <v>0.31</v>
      </c>
      <c r="G536" s="16">
        <v>0.22</v>
      </c>
      <c r="H536" s="16">
        <v>0.35</v>
      </c>
      <c r="I536" s="16">
        <v>0.36</v>
      </c>
      <c r="J536" s="16">
        <v>0.27</v>
      </c>
    </row>
    <row r="537" spans="1:10" x14ac:dyDescent="0.3">
      <c r="A537" s="6"/>
      <c r="B537" s="16">
        <v>2</v>
      </c>
      <c r="C537" s="16">
        <v>0.26</v>
      </c>
      <c r="D537" s="16">
        <v>0.26</v>
      </c>
      <c r="E537" s="16">
        <v>0.3</v>
      </c>
      <c r="F537" s="16">
        <v>0.31</v>
      </c>
      <c r="G537" s="16">
        <v>0.21</v>
      </c>
      <c r="H537" s="16">
        <v>0.3</v>
      </c>
      <c r="I537" s="16">
        <v>0.3</v>
      </c>
      <c r="J537" s="16">
        <v>0.24</v>
      </c>
    </row>
    <row r="538" spans="1:10" x14ac:dyDescent="0.3">
      <c r="A538" s="6"/>
      <c r="B538" s="6"/>
      <c r="C538" s="6"/>
      <c r="D538" s="6"/>
      <c r="E538" s="6"/>
      <c r="F538" s="6"/>
      <c r="G538" s="6"/>
      <c r="H538" s="6"/>
      <c r="I538" s="6"/>
      <c r="J538" s="6"/>
    </row>
    <row r="539" spans="1:10" x14ac:dyDescent="0.3">
      <c r="A539" s="6"/>
      <c r="B539" s="5" t="s">
        <v>2130</v>
      </c>
      <c r="C539" s="6"/>
      <c r="D539" s="6"/>
      <c r="E539" s="6"/>
      <c r="F539" s="6"/>
      <c r="G539" s="6"/>
    </row>
    <row r="540" spans="1:10" x14ac:dyDescent="0.3">
      <c r="A540" s="6"/>
      <c r="B540" s="5" t="s">
        <v>2131</v>
      </c>
    </row>
    <row r="541" spans="1:10" x14ac:dyDescent="0.3">
      <c r="A541" s="6"/>
      <c r="B541" s="8" t="s">
        <v>1285</v>
      </c>
      <c r="C541" s="8" t="s">
        <v>2016</v>
      </c>
      <c r="D541" s="8" t="s">
        <v>2017</v>
      </c>
      <c r="E541" s="8" t="s">
        <v>2018</v>
      </c>
      <c r="F541" s="8" t="s">
        <v>2019</v>
      </c>
      <c r="G541" s="8" t="s">
        <v>2020</v>
      </c>
      <c r="H541" s="8" t="s">
        <v>2021</v>
      </c>
      <c r="I541" s="8" t="s">
        <v>2022</v>
      </c>
      <c r="J541" s="8" t="s">
        <v>2023</v>
      </c>
    </row>
    <row r="542" spans="1:10" x14ac:dyDescent="0.3">
      <c r="A542" s="6"/>
      <c r="B542" s="16">
        <v>0</v>
      </c>
      <c r="C542" s="16">
        <v>0.78</v>
      </c>
      <c r="D542" s="16">
        <v>1.3</v>
      </c>
      <c r="E542" s="16">
        <v>1.56</v>
      </c>
      <c r="F542" s="16">
        <v>1.36</v>
      </c>
      <c r="G542" s="16">
        <v>0.79</v>
      </c>
      <c r="H542" s="16">
        <v>1.1599999999999999</v>
      </c>
      <c r="I542" s="16">
        <v>1.0900000000000001</v>
      </c>
      <c r="J542" s="16">
        <v>1.1100000000000001</v>
      </c>
    </row>
    <row r="543" spans="1:10" x14ac:dyDescent="0.3">
      <c r="A543" s="6"/>
      <c r="B543" s="16">
        <v>0.05</v>
      </c>
      <c r="C543" s="16">
        <v>0.66</v>
      </c>
      <c r="D543" s="16">
        <v>1.18</v>
      </c>
      <c r="E543" s="16">
        <v>1.45</v>
      </c>
      <c r="F543" s="16">
        <v>1.24</v>
      </c>
      <c r="G543" s="16">
        <v>0.68</v>
      </c>
      <c r="H543" s="16">
        <v>1.05</v>
      </c>
      <c r="I543" s="16">
        <v>1.01</v>
      </c>
      <c r="J543" s="16">
        <v>0.99</v>
      </c>
    </row>
    <row r="544" spans="1:10" x14ac:dyDescent="0.3">
      <c r="A544" s="6"/>
      <c r="B544" s="16">
        <v>0.1</v>
      </c>
      <c r="C544" s="16">
        <v>0.62</v>
      </c>
      <c r="D544" s="16">
        <v>1.06</v>
      </c>
      <c r="E544" s="16">
        <v>1.38</v>
      </c>
      <c r="F544" s="16">
        <v>1.17</v>
      </c>
      <c r="G544" s="16">
        <v>0.65</v>
      </c>
      <c r="H544" s="16">
        <v>0.99</v>
      </c>
      <c r="I544" s="16">
        <v>0.95</v>
      </c>
      <c r="J544" s="16">
        <v>0.91</v>
      </c>
    </row>
    <row r="545" spans="2:10" x14ac:dyDescent="0.3">
      <c r="B545" s="16">
        <v>0.2</v>
      </c>
      <c r="C545" s="16">
        <v>0.53</v>
      </c>
      <c r="D545" s="16">
        <v>0.91</v>
      </c>
      <c r="E545" s="16">
        <v>1.21</v>
      </c>
      <c r="F545" s="16">
        <v>1.04</v>
      </c>
      <c r="G545" s="16">
        <v>0.55000000000000004</v>
      </c>
      <c r="H545" s="16">
        <v>0.87</v>
      </c>
      <c r="I545" s="16">
        <v>0.85</v>
      </c>
      <c r="J545" s="16">
        <v>0.8</v>
      </c>
    </row>
    <row r="546" spans="2:10" x14ac:dyDescent="0.3">
      <c r="B546" s="16">
        <v>0.4</v>
      </c>
      <c r="C546" s="16">
        <v>0.45</v>
      </c>
      <c r="D546" s="16">
        <v>0.7</v>
      </c>
      <c r="E546" s="16">
        <v>0.97</v>
      </c>
      <c r="F546" s="16">
        <v>0.82</v>
      </c>
      <c r="G546" s="16">
        <v>0.46</v>
      </c>
      <c r="H546" s="16">
        <v>0.72</v>
      </c>
      <c r="I546" s="16">
        <v>0.67</v>
      </c>
      <c r="J546" s="16">
        <v>0.62</v>
      </c>
    </row>
    <row r="547" spans="2:10" x14ac:dyDescent="0.3">
      <c r="B547" s="16">
        <v>0.6</v>
      </c>
      <c r="C547" s="16">
        <v>0.39</v>
      </c>
      <c r="D547" s="16">
        <v>0.54</v>
      </c>
      <c r="E547" s="16">
        <v>0.81</v>
      </c>
      <c r="F547" s="16">
        <v>0.67</v>
      </c>
      <c r="G547" s="16">
        <v>0.37</v>
      </c>
      <c r="H547" s="16">
        <v>0.56999999999999995</v>
      </c>
      <c r="I547" s="16">
        <v>0.56999999999999995</v>
      </c>
      <c r="J547" s="16">
        <v>0.48</v>
      </c>
    </row>
    <row r="548" spans="2:10" x14ac:dyDescent="0.3">
      <c r="B548" s="16">
        <v>0.8</v>
      </c>
      <c r="C548" s="16">
        <v>0.34</v>
      </c>
      <c r="D548" s="16">
        <v>0.44</v>
      </c>
      <c r="E548" s="16">
        <v>0.65</v>
      </c>
      <c r="F548" s="16">
        <v>0.54</v>
      </c>
      <c r="G548" s="16">
        <v>0.32</v>
      </c>
      <c r="H548" s="16">
        <v>0.5</v>
      </c>
      <c r="I548" s="16">
        <v>0.48</v>
      </c>
      <c r="J548" s="16">
        <v>0.39</v>
      </c>
    </row>
    <row r="549" spans="2:10" x14ac:dyDescent="0.3">
      <c r="B549" s="16">
        <v>1</v>
      </c>
      <c r="C549" s="16">
        <v>0.28000000000000003</v>
      </c>
      <c r="D549" s="16">
        <v>0.36</v>
      </c>
      <c r="E549" s="16">
        <v>0.55000000000000004</v>
      </c>
      <c r="F549" s="16">
        <v>0.46</v>
      </c>
      <c r="G549" s="16">
        <v>0.28999999999999998</v>
      </c>
      <c r="H549" s="16">
        <v>0.43</v>
      </c>
      <c r="I549" s="16">
        <v>0.42</v>
      </c>
      <c r="J549" s="16">
        <v>0.32</v>
      </c>
    </row>
    <row r="550" spans="2:10" x14ac:dyDescent="0.3">
      <c r="B550" s="16">
        <v>1.2</v>
      </c>
      <c r="C550" s="16">
        <v>0.27</v>
      </c>
      <c r="D550" s="16">
        <v>0.33</v>
      </c>
      <c r="E550" s="16">
        <v>0.46</v>
      </c>
      <c r="F550" s="16">
        <v>0.39</v>
      </c>
      <c r="G550" s="16">
        <v>0.25</v>
      </c>
      <c r="H550" s="16">
        <v>0.37</v>
      </c>
      <c r="I550" s="16">
        <v>0.34</v>
      </c>
      <c r="J550" s="16">
        <v>0.28999999999999998</v>
      </c>
    </row>
    <row r="551" spans="2:10" x14ac:dyDescent="0.3">
      <c r="B551" s="16">
        <v>1.4</v>
      </c>
      <c r="C551" s="16">
        <v>0.24</v>
      </c>
      <c r="D551" s="16">
        <v>0.28000000000000003</v>
      </c>
      <c r="E551" s="16">
        <v>0.39</v>
      </c>
      <c r="F551" s="16">
        <v>0.36</v>
      </c>
      <c r="G551" s="16">
        <v>0.24</v>
      </c>
      <c r="H551" s="16">
        <v>0.32</v>
      </c>
      <c r="I551" s="16">
        <v>0.33</v>
      </c>
      <c r="J551" s="16">
        <v>0.25</v>
      </c>
    </row>
    <row r="552" spans="2:10" x14ac:dyDescent="0.3">
      <c r="B552" s="16">
        <v>1.6</v>
      </c>
      <c r="C552" s="16">
        <v>0.24</v>
      </c>
      <c r="D552" s="16">
        <v>0.25</v>
      </c>
      <c r="E552" s="16">
        <v>0.36</v>
      </c>
      <c r="F552" s="16">
        <v>0.31</v>
      </c>
      <c r="G552" s="16">
        <v>0.19</v>
      </c>
      <c r="H552" s="16">
        <v>0.31</v>
      </c>
      <c r="I552" s="16">
        <v>0.28000000000000003</v>
      </c>
      <c r="J552" s="16">
        <v>0.23</v>
      </c>
    </row>
    <row r="553" spans="2:10" x14ac:dyDescent="0.3">
      <c r="B553" s="16">
        <v>1.8</v>
      </c>
      <c r="C553" s="16">
        <v>0.21</v>
      </c>
      <c r="D553" s="16">
        <v>0.24</v>
      </c>
      <c r="E553" s="16">
        <v>0.33</v>
      </c>
      <c r="F553" s="16">
        <v>0.28000000000000003</v>
      </c>
      <c r="G553" s="16">
        <v>0.19</v>
      </c>
      <c r="H553" s="16">
        <v>0.28000000000000003</v>
      </c>
      <c r="I553" s="16">
        <v>0.26</v>
      </c>
      <c r="J553" s="16">
        <v>0.21</v>
      </c>
    </row>
    <row r="554" spans="2:10" x14ac:dyDescent="0.3">
      <c r="B554" s="16">
        <v>2</v>
      </c>
      <c r="C554" s="16">
        <v>0.21</v>
      </c>
      <c r="D554" s="16">
        <v>0.23</v>
      </c>
      <c r="E554" s="16">
        <v>0.28000000000000003</v>
      </c>
      <c r="F554" s="16">
        <v>0.28000000000000003</v>
      </c>
      <c r="G554" s="16">
        <v>0.18</v>
      </c>
      <c r="H554" s="16">
        <v>0.24</v>
      </c>
      <c r="I554" s="16">
        <v>0.22</v>
      </c>
      <c r="J554" s="16">
        <v>0.19</v>
      </c>
    </row>
    <row r="555" spans="2:10" x14ac:dyDescent="0.3">
      <c r="B555" s="6"/>
      <c r="C555" s="6"/>
      <c r="D555" s="6"/>
      <c r="E555" s="6"/>
      <c r="F555" s="6"/>
      <c r="G555" s="6"/>
      <c r="H555" s="6"/>
      <c r="I555" s="6"/>
      <c r="J555" s="6"/>
    </row>
    <row r="556" spans="2:10" x14ac:dyDescent="0.3">
      <c r="B556" s="5" t="s">
        <v>2132</v>
      </c>
      <c r="C556" s="6"/>
      <c r="D556" s="6"/>
      <c r="E556" s="6"/>
      <c r="F556" s="6"/>
      <c r="G556" s="6"/>
    </row>
    <row r="557" spans="2:10" x14ac:dyDescent="0.3">
      <c r="B557" s="5" t="s">
        <v>2133</v>
      </c>
    </row>
    <row r="558" spans="2:10" x14ac:dyDescent="0.3">
      <c r="B558" s="8" t="s">
        <v>1285</v>
      </c>
      <c r="C558" s="8" t="s">
        <v>2016</v>
      </c>
      <c r="D558" s="8" t="s">
        <v>2017</v>
      </c>
      <c r="E558" s="8" t="s">
        <v>2018</v>
      </c>
      <c r="F558" s="8" t="s">
        <v>2019</v>
      </c>
      <c r="G558" s="8" t="s">
        <v>2020</v>
      </c>
      <c r="H558" s="8" t="s">
        <v>2021</v>
      </c>
      <c r="I558" s="8" t="s">
        <v>2022</v>
      </c>
      <c r="J558" s="8" t="s">
        <v>2023</v>
      </c>
    </row>
    <row r="559" spans="2:10" x14ac:dyDescent="0.3">
      <c r="B559" s="16">
        <v>0</v>
      </c>
      <c r="C559" s="16">
        <v>0.83</v>
      </c>
      <c r="D559" s="16">
        <v>1.1299999999999999</v>
      </c>
      <c r="E559" s="16">
        <v>1.05</v>
      </c>
      <c r="F559" s="16">
        <v>0.68</v>
      </c>
      <c r="G559" s="16">
        <v>0.31</v>
      </c>
      <c r="H559" s="16">
        <v>0.99</v>
      </c>
      <c r="I559" s="16">
        <v>1.9</v>
      </c>
      <c r="J559" s="16">
        <v>1.46</v>
      </c>
    </row>
    <row r="560" spans="2:10" x14ac:dyDescent="0.3">
      <c r="B560" s="16">
        <v>0.05</v>
      </c>
      <c r="C560" s="16">
        <v>0.7</v>
      </c>
      <c r="D560" s="16">
        <v>1.05</v>
      </c>
      <c r="E560" s="16">
        <v>0.98</v>
      </c>
      <c r="F560" s="16">
        <v>0.63</v>
      </c>
      <c r="G560" s="16">
        <v>0.27</v>
      </c>
      <c r="H560" s="16">
        <v>0.91</v>
      </c>
      <c r="I560" s="16">
        <v>1.77</v>
      </c>
      <c r="J560" s="16">
        <v>1.33</v>
      </c>
    </row>
    <row r="561" spans="2:10" x14ac:dyDescent="0.3">
      <c r="B561" s="16">
        <v>0.1</v>
      </c>
      <c r="C561" s="16">
        <v>0.64</v>
      </c>
      <c r="D561" s="16">
        <v>0.95</v>
      </c>
      <c r="E561" s="16">
        <v>0.93</v>
      </c>
      <c r="F561" s="16">
        <v>0.59</v>
      </c>
      <c r="G561" s="16">
        <v>0.25</v>
      </c>
      <c r="H561" s="16">
        <v>0.85</v>
      </c>
      <c r="I561" s="16">
        <v>1.7</v>
      </c>
      <c r="J561" s="16">
        <v>1.22</v>
      </c>
    </row>
    <row r="562" spans="2:10" x14ac:dyDescent="0.3">
      <c r="B562" s="16">
        <v>0.2</v>
      </c>
      <c r="C562" s="16">
        <v>0.49</v>
      </c>
      <c r="D562" s="16">
        <v>0.83</v>
      </c>
      <c r="E562" s="16">
        <v>0.84</v>
      </c>
      <c r="F562" s="16">
        <v>0.53</v>
      </c>
      <c r="G562" s="16">
        <v>0.23</v>
      </c>
      <c r="H562" s="16">
        <v>0.76</v>
      </c>
      <c r="I562" s="16">
        <v>1.52</v>
      </c>
      <c r="J562" s="16">
        <v>1.05</v>
      </c>
    </row>
    <row r="563" spans="2:10" x14ac:dyDescent="0.3">
      <c r="B563" s="16">
        <v>0.4</v>
      </c>
      <c r="C563" s="16">
        <v>0.35</v>
      </c>
      <c r="D563" s="16">
        <v>0.63</v>
      </c>
      <c r="E563" s="16">
        <v>0.69</v>
      </c>
      <c r="F563" s="16">
        <v>0.44</v>
      </c>
      <c r="G563" s="16">
        <v>0.19</v>
      </c>
      <c r="H563" s="16">
        <v>0.62</v>
      </c>
      <c r="I563" s="16">
        <v>1.23</v>
      </c>
      <c r="J563" s="16">
        <v>0.81</v>
      </c>
    </row>
    <row r="564" spans="2:10" x14ac:dyDescent="0.3">
      <c r="B564" s="16">
        <v>0.6</v>
      </c>
      <c r="C564" s="16">
        <v>0.31</v>
      </c>
      <c r="D564" s="16">
        <v>0.48</v>
      </c>
      <c r="E564" s="16">
        <v>0.56000000000000005</v>
      </c>
      <c r="F564" s="16">
        <v>0.36</v>
      </c>
      <c r="G564" s="16">
        <v>0.16</v>
      </c>
      <c r="H564" s="16">
        <v>0.53</v>
      </c>
      <c r="I564" s="16">
        <v>1.04</v>
      </c>
      <c r="J564" s="16">
        <v>0.59</v>
      </c>
    </row>
    <row r="565" spans="2:10" x14ac:dyDescent="0.3">
      <c r="B565" s="16">
        <v>0.8</v>
      </c>
      <c r="C565" s="16">
        <v>0.28000000000000003</v>
      </c>
      <c r="D565" s="16">
        <v>0.36</v>
      </c>
      <c r="E565" s="16">
        <v>0.47</v>
      </c>
      <c r="F565" s="16">
        <v>0.32</v>
      </c>
      <c r="G565" s="16">
        <v>0.14000000000000001</v>
      </c>
      <c r="H565" s="16">
        <v>0.45</v>
      </c>
      <c r="I565" s="16">
        <v>0.86</v>
      </c>
      <c r="J565" s="16">
        <v>0.47</v>
      </c>
    </row>
    <row r="566" spans="2:10" x14ac:dyDescent="0.3">
      <c r="B566" s="16">
        <v>1</v>
      </c>
      <c r="C566" s="16">
        <v>0.23</v>
      </c>
      <c r="D566" s="16">
        <v>0.28999999999999998</v>
      </c>
      <c r="E566" s="16">
        <v>0.41</v>
      </c>
      <c r="F566" s="16">
        <v>0.27</v>
      </c>
      <c r="G566" s="16">
        <v>0.12</v>
      </c>
      <c r="H566" s="16">
        <v>0.39</v>
      </c>
      <c r="I566" s="16">
        <v>0.74</v>
      </c>
      <c r="J566" s="16">
        <v>0.39</v>
      </c>
    </row>
    <row r="567" spans="2:10" x14ac:dyDescent="0.3">
      <c r="B567" s="16">
        <v>1.2</v>
      </c>
      <c r="C567" s="16">
        <v>0.22</v>
      </c>
      <c r="D567" s="16">
        <v>0.25</v>
      </c>
      <c r="E567" s="16">
        <v>0.35</v>
      </c>
      <c r="F567" s="16">
        <v>0.24</v>
      </c>
      <c r="G567" s="16">
        <v>0.11</v>
      </c>
      <c r="H567" s="16">
        <v>0.35</v>
      </c>
      <c r="I567" s="16">
        <v>0.65</v>
      </c>
      <c r="J567" s="16">
        <v>0.33</v>
      </c>
    </row>
    <row r="568" spans="2:10" x14ac:dyDescent="0.3">
      <c r="B568" s="16">
        <v>1.4</v>
      </c>
      <c r="C568" s="16">
        <v>0.18</v>
      </c>
      <c r="D568" s="16">
        <v>0.22</v>
      </c>
      <c r="E568" s="16">
        <v>0.28999999999999998</v>
      </c>
      <c r="F568" s="16">
        <v>0.22</v>
      </c>
      <c r="G568" s="16">
        <v>0.09</v>
      </c>
      <c r="H568" s="16">
        <v>0.33</v>
      </c>
      <c r="I568" s="16">
        <v>0.55000000000000004</v>
      </c>
      <c r="J568" s="16">
        <v>0.27</v>
      </c>
    </row>
    <row r="569" spans="2:10" x14ac:dyDescent="0.3">
      <c r="B569" s="16">
        <v>1.6</v>
      </c>
      <c r="C569" s="16">
        <v>0.18</v>
      </c>
      <c r="D569" s="16">
        <v>0.19</v>
      </c>
      <c r="E569" s="16">
        <v>0.28999999999999998</v>
      </c>
      <c r="F569" s="16">
        <v>0.2</v>
      </c>
      <c r="G569" s="16">
        <v>0.09</v>
      </c>
      <c r="H569" s="16">
        <v>0.28999999999999998</v>
      </c>
      <c r="I569" s="16">
        <v>0.48</v>
      </c>
      <c r="J569" s="16">
        <v>0.26</v>
      </c>
    </row>
    <row r="570" spans="2:10" x14ac:dyDescent="0.3">
      <c r="B570" s="16">
        <v>1.8</v>
      </c>
      <c r="C570" s="16">
        <v>0.16</v>
      </c>
      <c r="D570" s="16">
        <v>0.17</v>
      </c>
      <c r="E570" s="16">
        <v>0.24</v>
      </c>
      <c r="F570" s="16">
        <v>0.18</v>
      </c>
      <c r="G570" s="16">
        <v>0.08</v>
      </c>
      <c r="H570" s="16">
        <v>0.25</v>
      </c>
      <c r="I570" s="16">
        <v>0.46</v>
      </c>
      <c r="J570" s="16">
        <v>0.22</v>
      </c>
    </row>
    <row r="571" spans="2:10" x14ac:dyDescent="0.3">
      <c r="B571" s="16">
        <v>2</v>
      </c>
      <c r="C571" s="16">
        <v>0.15</v>
      </c>
      <c r="D571" s="16">
        <v>0.16</v>
      </c>
      <c r="E571" s="16">
        <v>0.21</v>
      </c>
      <c r="F571" s="16">
        <v>0.15</v>
      </c>
      <c r="G571" s="16">
        <v>0.08</v>
      </c>
      <c r="H571" s="16">
        <v>0.24</v>
      </c>
      <c r="I571" s="16">
        <v>0.38</v>
      </c>
      <c r="J571" s="16">
        <v>0.21</v>
      </c>
    </row>
    <row r="572" spans="2:10" x14ac:dyDescent="0.3">
      <c r="B572" s="6"/>
      <c r="C572" s="6"/>
      <c r="D572" s="6"/>
      <c r="E572" s="6"/>
      <c r="F572" s="6"/>
      <c r="G572" s="6"/>
      <c r="H572" s="6"/>
      <c r="I572" s="6"/>
      <c r="J572" s="6"/>
    </row>
    <row r="573" spans="2:10" x14ac:dyDescent="0.3">
      <c r="B573" s="5" t="s">
        <v>2134</v>
      </c>
      <c r="C573" s="6"/>
      <c r="D573" s="6"/>
      <c r="E573" s="6"/>
      <c r="F573" s="6"/>
      <c r="G573" s="6"/>
    </row>
    <row r="574" spans="2:10" x14ac:dyDescent="0.3">
      <c r="B574" s="5" t="s">
        <v>2135</v>
      </c>
    </row>
    <row r="575" spans="2:10" x14ac:dyDescent="0.3">
      <c r="B575" s="8" t="s">
        <v>1285</v>
      </c>
      <c r="C575" s="8" t="s">
        <v>2016</v>
      </c>
      <c r="D575" s="8" t="s">
        <v>2017</v>
      </c>
      <c r="E575" s="8" t="s">
        <v>2018</v>
      </c>
      <c r="F575" s="8" t="s">
        <v>2019</v>
      </c>
      <c r="G575" s="8" t="s">
        <v>2020</v>
      </c>
      <c r="H575" s="8" t="s">
        <v>2021</v>
      </c>
      <c r="I575" s="8" t="s">
        <v>2022</v>
      </c>
      <c r="J575" s="8" t="s">
        <v>2023</v>
      </c>
    </row>
    <row r="576" spans="2:10" x14ac:dyDescent="0.3">
      <c r="B576" s="16">
        <v>0</v>
      </c>
      <c r="C576" s="16">
        <v>0.79</v>
      </c>
      <c r="D576" s="16">
        <v>1.1299999999999999</v>
      </c>
      <c r="E576" s="16">
        <v>1.1200000000000001</v>
      </c>
      <c r="F576" s="16">
        <v>0.68</v>
      </c>
      <c r="G576" s="16">
        <v>0.28999999999999998</v>
      </c>
      <c r="H576" s="16">
        <v>0.64</v>
      </c>
      <c r="I576" s="16">
        <v>1.05</v>
      </c>
      <c r="J576" s="16">
        <v>1.06</v>
      </c>
    </row>
    <row r="577" spans="2:10" x14ac:dyDescent="0.3">
      <c r="B577" s="16">
        <v>0.05</v>
      </c>
      <c r="C577" s="16">
        <v>0.66</v>
      </c>
      <c r="D577" s="16">
        <v>1.05</v>
      </c>
      <c r="E577" s="16">
        <v>1.05</v>
      </c>
      <c r="F577" s="16">
        <v>0.63</v>
      </c>
      <c r="G577" s="16">
        <v>0.25</v>
      </c>
      <c r="H577" s="16">
        <v>0.59</v>
      </c>
      <c r="I577" s="16">
        <v>0.98</v>
      </c>
      <c r="J577" s="16">
        <v>0.97</v>
      </c>
    </row>
    <row r="578" spans="2:10" x14ac:dyDescent="0.3">
      <c r="B578" s="16">
        <v>0.1</v>
      </c>
      <c r="C578" s="16">
        <v>0.61</v>
      </c>
      <c r="D578" s="16">
        <v>0.95</v>
      </c>
      <c r="E578" s="16">
        <v>0.99</v>
      </c>
      <c r="F578" s="16">
        <v>0.59</v>
      </c>
      <c r="G578" s="16">
        <v>0.23</v>
      </c>
      <c r="H578" s="16">
        <v>0.55000000000000004</v>
      </c>
      <c r="I578" s="16">
        <v>0.94</v>
      </c>
      <c r="J578" s="16">
        <v>0.89</v>
      </c>
    </row>
    <row r="579" spans="2:10" x14ac:dyDescent="0.3">
      <c r="B579" s="16">
        <v>0.2</v>
      </c>
      <c r="C579" s="16">
        <v>0.52</v>
      </c>
      <c r="D579" s="16">
        <v>0.83</v>
      </c>
      <c r="E579" s="16">
        <v>0.9</v>
      </c>
      <c r="F579" s="16">
        <v>0.53</v>
      </c>
      <c r="G579" s="16">
        <v>0.21</v>
      </c>
      <c r="H579" s="16">
        <v>0.49</v>
      </c>
      <c r="I579" s="16">
        <v>0.84</v>
      </c>
      <c r="J579" s="16">
        <v>0.77</v>
      </c>
    </row>
    <row r="580" spans="2:10" x14ac:dyDescent="0.3">
      <c r="B580" s="16">
        <v>0.4</v>
      </c>
      <c r="C580" s="16">
        <v>0.43</v>
      </c>
      <c r="D580" s="16">
        <v>0.63</v>
      </c>
      <c r="E580" s="16">
        <v>0.74</v>
      </c>
      <c r="F580" s="16">
        <v>0.44</v>
      </c>
      <c r="G580" s="16">
        <v>0.17</v>
      </c>
      <c r="H580" s="16">
        <v>0.4</v>
      </c>
      <c r="I580" s="16">
        <v>0.68</v>
      </c>
      <c r="J580" s="16">
        <v>0.59</v>
      </c>
    </row>
    <row r="581" spans="2:10" x14ac:dyDescent="0.3">
      <c r="B581" s="16">
        <v>0.6</v>
      </c>
      <c r="C581" s="16">
        <v>0.36</v>
      </c>
      <c r="D581" s="16">
        <v>0.48</v>
      </c>
      <c r="E581" s="16">
        <v>0.59</v>
      </c>
      <c r="F581" s="16">
        <v>0.36</v>
      </c>
      <c r="G581" s="16">
        <v>0.15</v>
      </c>
      <c r="H581" s="16">
        <v>0.34</v>
      </c>
      <c r="I581" s="16">
        <v>0.57999999999999996</v>
      </c>
      <c r="J581" s="16">
        <v>0.43</v>
      </c>
    </row>
    <row r="582" spans="2:10" x14ac:dyDescent="0.3">
      <c r="B582" s="16">
        <v>0.8</v>
      </c>
      <c r="C582" s="16">
        <v>0.32</v>
      </c>
      <c r="D582" s="16">
        <v>0.36</v>
      </c>
      <c r="E582" s="16">
        <v>0.5</v>
      </c>
      <c r="F582" s="16">
        <v>0.32</v>
      </c>
      <c r="G582" s="16">
        <v>0.13</v>
      </c>
      <c r="H582" s="16">
        <v>0.28999999999999998</v>
      </c>
      <c r="I582" s="16">
        <v>0.47</v>
      </c>
      <c r="J582" s="16">
        <v>0.34</v>
      </c>
    </row>
    <row r="583" spans="2:10" x14ac:dyDescent="0.3">
      <c r="B583" s="16">
        <v>1</v>
      </c>
      <c r="C583" s="16">
        <v>0.28999999999999998</v>
      </c>
      <c r="D583" s="16">
        <v>0.28999999999999998</v>
      </c>
      <c r="E583" s="16">
        <v>0.44</v>
      </c>
      <c r="F583" s="16">
        <v>0.27</v>
      </c>
      <c r="G583" s="16">
        <v>0.11</v>
      </c>
      <c r="H583" s="16">
        <v>0.25</v>
      </c>
      <c r="I583" s="16">
        <v>0.41</v>
      </c>
      <c r="J583" s="16">
        <v>0.28999999999999998</v>
      </c>
    </row>
    <row r="584" spans="2:10" x14ac:dyDescent="0.3">
      <c r="B584" s="16">
        <v>1.2</v>
      </c>
      <c r="C584" s="16">
        <v>0.25</v>
      </c>
      <c r="D584" s="16">
        <v>0.25</v>
      </c>
      <c r="E584" s="16">
        <v>0.37</v>
      </c>
      <c r="F584" s="16">
        <v>0.24</v>
      </c>
      <c r="G584" s="16">
        <v>0.1</v>
      </c>
      <c r="H584" s="16">
        <v>0.23</v>
      </c>
      <c r="I584" s="16">
        <v>0.36</v>
      </c>
      <c r="J584" s="16">
        <v>0.24</v>
      </c>
    </row>
    <row r="585" spans="2:10" x14ac:dyDescent="0.3">
      <c r="B585" s="16">
        <v>1.4</v>
      </c>
      <c r="C585" s="16">
        <v>0.23</v>
      </c>
      <c r="D585" s="16">
        <v>0.22</v>
      </c>
      <c r="E585" s="16">
        <v>0.31</v>
      </c>
      <c r="F585" s="16">
        <v>0.22</v>
      </c>
      <c r="G585" s="16">
        <v>0.09</v>
      </c>
      <c r="H585" s="16">
        <v>0.21</v>
      </c>
      <c r="I585" s="16">
        <v>0.3</v>
      </c>
      <c r="J585" s="16">
        <v>0.2</v>
      </c>
    </row>
    <row r="586" spans="2:10" x14ac:dyDescent="0.3">
      <c r="B586" s="16">
        <v>1.6</v>
      </c>
      <c r="C586" s="16">
        <v>0.21</v>
      </c>
      <c r="D586" s="16">
        <v>0.19</v>
      </c>
      <c r="E586" s="16">
        <v>0.3</v>
      </c>
      <c r="F586" s="16">
        <v>0.2</v>
      </c>
      <c r="G586" s="16">
        <v>0.08</v>
      </c>
      <c r="H586" s="16">
        <v>0.19</v>
      </c>
      <c r="I586" s="16">
        <v>0.26</v>
      </c>
      <c r="J586" s="16">
        <v>0.19</v>
      </c>
    </row>
    <row r="587" spans="2:10" x14ac:dyDescent="0.3">
      <c r="B587" s="16">
        <v>1.8</v>
      </c>
      <c r="C587" s="16">
        <v>0.19</v>
      </c>
      <c r="D587" s="16">
        <v>0.17</v>
      </c>
      <c r="E587" s="16">
        <v>0.26</v>
      </c>
      <c r="F587" s="16">
        <v>0.18</v>
      </c>
      <c r="G587" s="16">
        <v>7.0000000000000007E-2</v>
      </c>
      <c r="H587" s="16">
        <v>0.16</v>
      </c>
      <c r="I587" s="16">
        <v>0.26</v>
      </c>
      <c r="J587" s="16">
        <v>0.16</v>
      </c>
    </row>
    <row r="588" spans="2:10" x14ac:dyDescent="0.3">
      <c r="B588" s="16">
        <v>2</v>
      </c>
      <c r="C588" s="16">
        <v>0.19</v>
      </c>
      <c r="D588" s="16">
        <v>0.16</v>
      </c>
      <c r="E588" s="16">
        <v>0.22</v>
      </c>
      <c r="F588" s="16">
        <v>0.15</v>
      </c>
      <c r="G588" s="16">
        <v>7.0000000000000007E-2</v>
      </c>
      <c r="H588" s="16">
        <v>0.16</v>
      </c>
      <c r="I588" s="16">
        <v>0.21</v>
      </c>
      <c r="J588" s="16">
        <v>0.15</v>
      </c>
    </row>
    <row r="589" spans="2:10" x14ac:dyDescent="0.3">
      <c r="B589" s="6"/>
      <c r="C589" s="6"/>
      <c r="D589" s="6"/>
      <c r="E589" s="6"/>
      <c r="F589" s="6"/>
      <c r="G589" s="6"/>
      <c r="H589" s="6"/>
      <c r="I589" s="6"/>
      <c r="J589" s="6"/>
    </row>
    <row r="590" spans="2:10" x14ac:dyDescent="0.3">
      <c r="B590" s="5" t="s">
        <v>2136</v>
      </c>
      <c r="C590" s="6"/>
      <c r="D590" s="6"/>
      <c r="E590" s="6"/>
      <c r="F590" s="6"/>
      <c r="G590" s="6"/>
    </row>
    <row r="591" spans="2:10" x14ac:dyDescent="0.3">
      <c r="B591" s="5" t="s">
        <v>2137</v>
      </c>
    </row>
    <row r="592" spans="2:10" x14ac:dyDescent="0.3">
      <c r="B592" s="8" t="s">
        <v>1285</v>
      </c>
      <c r="C592" s="8" t="s">
        <v>2016</v>
      </c>
      <c r="D592" s="8" t="s">
        <v>2017</v>
      </c>
      <c r="E592" s="8" t="s">
        <v>2018</v>
      </c>
      <c r="F592" s="8" t="s">
        <v>2019</v>
      </c>
      <c r="G592" s="8" t="s">
        <v>2020</v>
      </c>
      <c r="H592" s="8" t="s">
        <v>2021</v>
      </c>
      <c r="I592" s="8" t="s">
        <v>2022</v>
      </c>
      <c r="J592" s="8" t="s">
        <v>2023</v>
      </c>
    </row>
    <row r="593" spans="2:10" x14ac:dyDescent="0.3">
      <c r="B593" s="16">
        <v>0</v>
      </c>
      <c r="C593" s="16">
        <v>0.62</v>
      </c>
      <c r="D593" s="16">
        <v>0.79</v>
      </c>
      <c r="E593" s="16">
        <v>0.83</v>
      </c>
      <c r="F593" s="16">
        <v>0.67</v>
      </c>
      <c r="G593" s="16">
        <v>0.48</v>
      </c>
      <c r="H593" s="16">
        <v>1.04</v>
      </c>
      <c r="I593" s="16">
        <v>1.69</v>
      </c>
      <c r="J593" s="16">
        <v>1.19</v>
      </c>
    </row>
    <row r="594" spans="2:10" x14ac:dyDescent="0.3">
      <c r="B594" s="16">
        <v>0.05</v>
      </c>
      <c r="C594" s="16">
        <v>0.52</v>
      </c>
      <c r="D594" s="16">
        <v>0.7</v>
      </c>
      <c r="E594" s="16">
        <v>0.75</v>
      </c>
      <c r="F594" s="16">
        <v>0.6</v>
      </c>
      <c r="G594" s="16">
        <v>0.4</v>
      </c>
      <c r="H594" s="16">
        <v>0.92</v>
      </c>
      <c r="I594" s="16">
        <v>1.55</v>
      </c>
      <c r="J594" s="16">
        <v>1.07</v>
      </c>
    </row>
    <row r="595" spans="2:10" x14ac:dyDescent="0.3">
      <c r="B595" s="16">
        <v>0.1</v>
      </c>
      <c r="C595" s="16">
        <v>0.47</v>
      </c>
      <c r="D595" s="16">
        <v>0.64</v>
      </c>
      <c r="E595" s="16">
        <v>0.71</v>
      </c>
      <c r="F595" s="16">
        <v>0.55000000000000004</v>
      </c>
      <c r="G595" s="16">
        <v>0.38</v>
      </c>
      <c r="H595" s="16">
        <v>0.86</v>
      </c>
      <c r="I595" s="16">
        <v>1.44</v>
      </c>
      <c r="J595" s="16">
        <v>0.96</v>
      </c>
    </row>
    <row r="596" spans="2:10" x14ac:dyDescent="0.3">
      <c r="B596" s="16">
        <v>0.2</v>
      </c>
      <c r="C596" s="16">
        <v>0.38</v>
      </c>
      <c r="D596" s="16">
        <v>0.55000000000000004</v>
      </c>
      <c r="E596" s="16">
        <v>0.62</v>
      </c>
      <c r="F596" s="16">
        <v>0.49</v>
      </c>
      <c r="G596" s="16">
        <v>0.34</v>
      </c>
      <c r="H596" s="16">
        <v>0.76</v>
      </c>
      <c r="I596" s="16">
        <v>1.29</v>
      </c>
      <c r="J596" s="16">
        <v>0.85</v>
      </c>
    </row>
    <row r="597" spans="2:10" x14ac:dyDescent="0.3">
      <c r="B597" s="16">
        <v>0.4</v>
      </c>
      <c r="C597" s="16">
        <v>0.28999999999999998</v>
      </c>
      <c r="D597" s="16">
        <v>0.42</v>
      </c>
      <c r="E597" s="16">
        <v>0.5</v>
      </c>
      <c r="F597" s="16">
        <v>0.4</v>
      </c>
      <c r="G597" s="16">
        <v>0.27</v>
      </c>
      <c r="H597" s="16">
        <v>0.62</v>
      </c>
      <c r="I597" s="16">
        <v>1.05</v>
      </c>
      <c r="J597" s="16">
        <v>0.64</v>
      </c>
    </row>
    <row r="598" spans="2:10" x14ac:dyDescent="0.3">
      <c r="B598" s="16">
        <v>0.6</v>
      </c>
      <c r="C598" s="16">
        <v>0.26</v>
      </c>
      <c r="D598" s="16">
        <v>0.33</v>
      </c>
      <c r="E598" s="16">
        <v>0.41</v>
      </c>
      <c r="F598" s="16">
        <v>0.33</v>
      </c>
      <c r="G598" s="16">
        <v>0.23</v>
      </c>
      <c r="H598" s="16">
        <v>0.51</v>
      </c>
      <c r="I598" s="16">
        <v>0.85</v>
      </c>
      <c r="J598" s="16">
        <v>0.49</v>
      </c>
    </row>
    <row r="599" spans="2:10" x14ac:dyDescent="0.3">
      <c r="B599" s="16">
        <v>0.8</v>
      </c>
      <c r="C599" s="16">
        <v>0.23</v>
      </c>
      <c r="D599" s="16">
        <v>0.27</v>
      </c>
      <c r="E599" s="16">
        <v>0.35</v>
      </c>
      <c r="F599" s="16">
        <v>0.28000000000000003</v>
      </c>
      <c r="G599" s="16">
        <v>0.2</v>
      </c>
      <c r="H599" s="16">
        <v>0.43</v>
      </c>
      <c r="I599" s="16">
        <v>0.68</v>
      </c>
      <c r="J599" s="16">
        <v>0.41</v>
      </c>
    </row>
    <row r="600" spans="2:10" x14ac:dyDescent="0.3">
      <c r="B600" s="16">
        <v>1</v>
      </c>
      <c r="C600" s="16">
        <v>0.2</v>
      </c>
      <c r="D600" s="16">
        <v>0.22</v>
      </c>
      <c r="E600" s="16">
        <v>0.28999999999999998</v>
      </c>
      <c r="F600" s="16">
        <v>0.24</v>
      </c>
      <c r="G600" s="16">
        <v>0.18</v>
      </c>
      <c r="H600" s="16">
        <v>0.37</v>
      </c>
      <c r="I600" s="16">
        <v>0.6</v>
      </c>
      <c r="J600" s="16">
        <v>0.32</v>
      </c>
    </row>
    <row r="601" spans="2:10" x14ac:dyDescent="0.3">
      <c r="B601" s="16">
        <v>1.2</v>
      </c>
      <c r="C601" s="16">
        <v>0.18</v>
      </c>
      <c r="D601" s="16">
        <v>0.19</v>
      </c>
      <c r="E601" s="16">
        <v>0.25</v>
      </c>
      <c r="F601" s="16">
        <v>0.21</v>
      </c>
      <c r="G601" s="16">
        <v>0.15</v>
      </c>
      <c r="H601" s="16">
        <v>0.33</v>
      </c>
      <c r="I601" s="16">
        <v>0.52</v>
      </c>
      <c r="J601" s="16">
        <v>0.28000000000000003</v>
      </c>
    </row>
    <row r="602" spans="2:10" x14ac:dyDescent="0.3">
      <c r="B602" s="16">
        <v>1.4</v>
      </c>
      <c r="C602" s="16">
        <v>0.16</v>
      </c>
      <c r="D602" s="16">
        <v>0.17</v>
      </c>
      <c r="E602" s="16">
        <v>0.22</v>
      </c>
      <c r="F602" s="16">
        <v>0.19</v>
      </c>
      <c r="G602" s="16">
        <v>0.14000000000000001</v>
      </c>
      <c r="H602" s="16">
        <v>0.28999999999999998</v>
      </c>
      <c r="I602" s="16">
        <v>0.44</v>
      </c>
      <c r="J602" s="16">
        <v>0.25</v>
      </c>
    </row>
    <row r="603" spans="2:10" x14ac:dyDescent="0.3">
      <c r="B603" s="16">
        <v>1.6</v>
      </c>
      <c r="C603" s="16">
        <v>0.15</v>
      </c>
      <c r="D603" s="16">
        <v>0.16</v>
      </c>
      <c r="E603" s="16">
        <v>0.2</v>
      </c>
      <c r="F603" s="16">
        <v>0.16</v>
      </c>
      <c r="G603" s="16">
        <v>0.13</v>
      </c>
      <c r="H603" s="16">
        <v>0.27</v>
      </c>
      <c r="I603" s="16">
        <v>0.39</v>
      </c>
      <c r="J603" s="16">
        <v>0.22</v>
      </c>
    </row>
    <row r="604" spans="2:10" x14ac:dyDescent="0.3">
      <c r="B604" s="16">
        <v>1.8</v>
      </c>
      <c r="C604" s="16">
        <v>0.14000000000000001</v>
      </c>
      <c r="D604" s="16">
        <v>0.15</v>
      </c>
      <c r="E604" s="16">
        <v>0.18</v>
      </c>
      <c r="F604" s="16">
        <v>0.15</v>
      </c>
      <c r="G604" s="16">
        <v>0.12</v>
      </c>
      <c r="H604" s="16">
        <v>0.23</v>
      </c>
      <c r="I604" s="16">
        <v>0.35</v>
      </c>
      <c r="J604" s="16">
        <v>0.21</v>
      </c>
    </row>
    <row r="605" spans="2:10" x14ac:dyDescent="0.3">
      <c r="B605" s="16">
        <v>2</v>
      </c>
      <c r="C605" s="16">
        <v>0.13</v>
      </c>
      <c r="D605" s="16">
        <v>0.12</v>
      </c>
      <c r="E605" s="16">
        <v>0.17</v>
      </c>
      <c r="F605" s="16">
        <v>0.15</v>
      </c>
      <c r="G605" s="16">
        <v>0.11</v>
      </c>
      <c r="H605" s="16">
        <v>0.21</v>
      </c>
      <c r="I605" s="16">
        <v>0.33</v>
      </c>
      <c r="J605" s="16">
        <v>0.19</v>
      </c>
    </row>
    <row r="606" spans="2:10" x14ac:dyDescent="0.3">
      <c r="B606" s="6"/>
      <c r="C606" s="6"/>
      <c r="D606" s="6"/>
      <c r="E606" s="6"/>
      <c r="F606" s="6"/>
      <c r="G606" s="6"/>
      <c r="H606" s="6"/>
      <c r="I606" s="6"/>
      <c r="J606" s="6"/>
    </row>
    <row r="607" spans="2:10" x14ac:dyDescent="0.3">
      <c r="B607" s="5" t="s">
        <v>2138</v>
      </c>
      <c r="C607" s="6"/>
      <c r="D607" s="6"/>
      <c r="E607" s="6"/>
      <c r="F607" s="6"/>
      <c r="G607" s="6"/>
    </row>
    <row r="608" spans="2:10" x14ac:dyDescent="0.3">
      <c r="B608" s="5" t="s">
        <v>2139</v>
      </c>
    </row>
    <row r="609" spans="2:10" x14ac:dyDescent="0.3">
      <c r="B609" s="8" t="s">
        <v>1285</v>
      </c>
      <c r="C609" s="8" t="s">
        <v>2016</v>
      </c>
      <c r="D609" s="8" t="s">
        <v>2017</v>
      </c>
      <c r="E609" s="8" t="s">
        <v>2018</v>
      </c>
      <c r="F609" s="8" t="s">
        <v>2019</v>
      </c>
      <c r="G609" s="8" t="s">
        <v>2020</v>
      </c>
      <c r="H609" s="8" t="s">
        <v>2021</v>
      </c>
      <c r="I609" s="8" t="s">
        <v>2022</v>
      </c>
      <c r="J609" s="8" t="s">
        <v>2023</v>
      </c>
    </row>
    <row r="610" spans="2:10" x14ac:dyDescent="0.3">
      <c r="B610" s="16">
        <v>0</v>
      </c>
      <c r="C610" s="16">
        <v>0.98</v>
      </c>
      <c r="D610" s="16">
        <v>1.1399999999999999</v>
      </c>
      <c r="E610" s="16">
        <v>1.07</v>
      </c>
      <c r="F610" s="16">
        <v>0.6</v>
      </c>
      <c r="G610" s="16">
        <v>0.24</v>
      </c>
      <c r="H610" s="16">
        <v>0.78</v>
      </c>
      <c r="I610" s="16">
        <v>1.5</v>
      </c>
      <c r="J610" s="16">
        <v>1.36</v>
      </c>
    </row>
    <row r="611" spans="2:10" x14ac:dyDescent="0.3">
      <c r="B611" s="16">
        <v>0.05</v>
      </c>
      <c r="C611" s="16">
        <v>0.83</v>
      </c>
      <c r="D611" s="16">
        <v>1.01</v>
      </c>
      <c r="E611" s="16">
        <v>0.96</v>
      </c>
      <c r="F611" s="16">
        <v>0.53</v>
      </c>
      <c r="G611" s="16">
        <v>0.2</v>
      </c>
      <c r="H611" s="16">
        <v>0.69</v>
      </c>
      <c r="I611" s="16">
        <v>1.37</v>
      </c>
      <c r="J611" s="16">
        <v>1.22</v>
      </c>
    </row>
    <row r="612" spans="2:10" x14ac:dyDescent="0.3">
      <c r="B612" s="16">
        <v>0.1</v>
      </c>
      <c r="C612" s="16">
        <v>0.76</v>
      </c>
      <c r="D612" s="16">
        <v>0.92</v>
      </c>
      <c r="E612" s="16">
        <v>0.91</v>
      </c>
      <c r="F612" s="16">
        <v>0.49</v>
      </c>
      <c r="G612" s="16">
        <v>0.19</v>
      </c>
      <c r="H612" s="16">
        <v>0.65</v>
      </c>
      <c r="I612" s="16">
        <v>1.28</v>
      </c>
      <c r="J612" s="16">
        <v>1.1000000000000001</v>
      </c>
    </row>
    <row r="613" spans="2:10" x14ac:dyDescent="0.3">
      <c r="B613" s="16">
        <v>0.2</v>
      </c>
      <c r="C613" s="16">
        <v>0.61</v>
      </c>
      <c r="D613" s="16">
        <v>0.8</v>
      </c>
      <c r="E613" s="16">
        <v>0.8</v>
      </c>
      <c r="F613" s="16">
        <v>0.44</v>
      </c>
      <c r="G613" s="16">
        <v>0.17</v>
      </c>
      <c r="H613" s="16">
        <v>0.56999999999999995</v>
      </c>
      <c r="I613" s="16">
        <v>1.1399999999999999</v>
      </c>
      <c r="J613" s="16">
        <v>0.98</v>
      </c>
    </row>
    <row r="614" spans="2:10" x14ac:dyDescent="0.3">
      <c r="B614" s="16">
        <v>0.4</v>
      </c>
      <c r="C614" s="16">
        <v>0.47</v>
      </c>
      <c r="D614" s="16">
        <v>0.61</v>
      </c>
      <c r="E614" s="16">
        <v>0.64</v>
      </c>
      <c r="F614" s="16">
        <v>0.36</v>
      </c>
      <c r="G614" s="16">
        <v>0.13</v>
      </c>
      <c r="H614" s="16">
        <v>0.47</v>
      </c>
      <c r="I614" s="16">
        <v>0.93</v>
      </c>
      <c r="J614" s="16">
        <v>0.73</v>
      </c>
    </row>
    <row r="615" spans="2:10" x14ac:dyDescent="0.3">
      <c r="B615" s="16">
        <v>0.6</v>
      </c>
      <c r="C615" s="16">
        <v>0.42</v>
      </c>
      <c r="D615" s="16">
        <v>0.48</v>
      </c>
      <c r="E615" s="16">
        <v>0.52</v>
      </c>
      <c r="F615" s="16">
        <v>0.28999999999999998</v>
      </c>
      <c r="G615" s="16">
        <v>0.12</v>
      </c>
      <c r="H615" s="16">
        <v>0.38</v>
      </c>
      <c r="I615" s="16">
        <v>0.75</v>
      </c>
      <c r="J615" s="16">
        <v>0.56000000000000005</v>
      </c>
    </row>
    <row r="616" spans="2:10" x14ac:dyDescent="0.3">
      <c r="B616" s="16">
        <v>0.8</v>
      </c>
      <c r="C616" s="16">
        <v>0.36</v>
      </c>
      <c r="D616" s="16">
        <v>0.39</v>
      </c>
      <c r="E616" s="16">
        <v>0.45</v>
      </c>
      <c r="F616" s="16">
        <v>0.25</v>
      </c>
      <c r="G616" s="16">
        <v>0.1</v>
      </c>
      <c r="H616" s="16">
        <v>0.32</v>
      </c>
      <c r="I616" s="16">
        <v>0.6</v>
      </c>
      <c r="J616" s="16">
        <v>0.47</v>
      </c>
    </row>
    <row r="617" spans="2:10" x14ac:dyDescent="0.3">
      <c r="B617" s="16">
        <v>1</v>
      </c>
      <c r="C617" s="16">
        <v>0.31</v>
      </c>
      <c r="D617" s="16">
        <v>0.33</v>
      </c>
      <c r="E617" s="16">
        <v>0.38</v>
      </c>
      <c r="F617" s="16">
        <v>0.21</v>
      </c>
      <c r="G617" s="16">
        <v>0.09</v>
      </c>
      <c r="H617" s="16">
        <v>0.28000000000000003</v>
      </c>
      <c r="I617" s="16">
        <v>0.53</v>
      </c>
      <c r="J617" s="16">
        <v>0.36</v>
      </c>
    </row>
    <row r="618" spans="2:10" x14ac:dyDescent="0.3">
      <c r="B618" s="16">
        <v>1.2</v>
      </c>
      <c r="C618" s="16">
        <v>0.28999999999999998</v>
      </c>
      <c r="D618" s="16">
        <v>0.27</v>
      </c>
      <c r="E618" s="16">
        <v>0.32</v>
      </c>
      <c r="F618" s="16">
        <v>0.19</v>
      </c>
      <c r="G618" s="16">
        <v>0.08</v>
      </c>
      <c r="H618" s="16">
        <v>0.25</v>
      </c>
      <c r="I618" s="16">
        <v>0.46</v>
      </c>
      <c r="J618" s="16">
        <v>0.32</v>
      </c>
    </row>
    <row r="619" spans="2:10" x14ac:dyDescent="0.3">
      <c r="B619" s="16">
        <v>1.4</v>
      </c>
      <c r="C619" s="16">
        <v>0.25</v>
      </c>
      <c r="D619" s="16">
        <v>0.24</v>
      </c>
      <c r="E619" s="16">
        <v>0.28999999999999998</v>
      </c>
      <c r="F619" s="16">
        <v>0.17</v>
      </c>
      <c r="G619" s="16">
        <v>7.0000000000000007E-2</v>
      </c>
      <c r="H619" s="16">
        <v>0.22</v>
      </c>
      <c r="I619" s="16">
        <v>0.39</v>
      </c>
      <c r="J619" s="16">
        <v>0.28000000000000003</v>
      </c>
    </row>
    <row r="620" spans="2:10" x14ac:dyDescent="0.3">
      <c r="B620" s="16">
        <v>1.6</v>
      </c>
      <c r="C620" s="16">
        <v>0.24</v>
      </c>
      <c r="D620" s="16">
        <v>0.23</v>
      </c>
      <c r="E620" s="16">
        <v>0.26</v>
      </c>
      <c r="F620" s="16">
        <v>0.14000000000000001</v>
      </c>
      <c r="G620" s="16">
        <v>0.06</v>
      </c>
      <c r="H620" s="16">
        <v>0.2</v>
      </c>
      <c r="I620" s="16">
        <v>0.35</v>
      </c>
      <c r="J620" s="16">
        <v>0.25</v>
      </c>
    </row>
    <row r="621" spans="2:10" x14ac:dyDescent="0.3">
      <c r="B621" s="16">
        <v>1.8</v>
      </c>
      <c r="C621" s="16">
        <v>0.22</v>
      </c>
      <c r="D621" s="16">
        <v>0.21</v>
      </c>
      <c r="E621" s="16">
        <v>0.23</v>
      </c>
      <c r="F621" s="16">
        <v>0.13</v>
      </c>
      <c r="G621" s="16">
        <v>0.06</v>
      </c>
      <c r="H621" s="16">
        <v>0.17</v>
      </c>
      <c r="I621" s="16">
        <v>0.31</v>
      </c>
      <c r="J621" s="16">
        <v>0.24</v>
      </c>
    </row>
    <row r="622" spans="2:10" x14ac:dyDescent="0.3">
      <c r="B622" s="16">
        <v>2</v>
      </c>
      <c r="C622" s="16">
        <v>0.2</v>
      </c>
      <c r="D622" s="16">
        <v>0.18</v>
      </c>
      <c r="E622" s="16">
        <v>0.22</v>
      </c>
      <c r="F622" s="16">
        <v>0.13</v>
      </c>
      <c r="G622" s="16">
        <v>0.06</v>
      </c>
      <c r="H622" s="16">
        <v>0.16</v>
      </c>
      <c r="I622" s="16">
        <v>0.28999999999999998</v>
      </c>
      <c r="J622" s="16">
        <v>0.22</v>
      </c>
    </row>
    <row r="623" spans="2:10" x14ac:dyDescent="0.3">
      <c r="B623" s="6"/>
      <c r="C623" s="6"/>
      <c r="D623" s="6"/>
      <c r="E623" s="6"/>
      <c r="F623" s="6"/>
      <c r="G623" s="6"/>
      <c r="H623" s="6"/>
      <c r="I623" s="6"/>
      <c r="J623" s="6"/>
    </row>
    <row r="624" spans="2:10" x14ac:dyDescent="0.3">
      <c r="B624" s="5" t="s">
        <v>2140</v>
      </c>
      <c r="C624" s="6"/>
      <c r="D624" s="6"/>
      <c r="E624" s="6"/>
      <c r="F624" s="6"/>
      <c r="G624" s="6"/>
    </row>
    <row r="625" spans="2:10" x14ac:dyDescent="0.3">
      <c r="B625" s="5" t="s">
        <v>2141</v>
      </c>
    </row>
    <row r="626" spans="2:10" x14ac:dyDescent="0.3">
      <c r="B626" s="8" t="s">
        <v>1285</v>
      </c>
      <c r="C626" s="8" t="s">
        <v>2016</v>
      </c>
      <c r="D626" s="8" t="s">
        <v>2017</v>
      </c>
      <c r="E626" s="8" t="s">
        <v>2018</v>
      </c>
      <c r="F626" s="8" t="s">
        <v>2123</v>
      </c>
      <c r="G626" s="8" t="s">
        <v>2020</v>
      </c>
      <c r="H626" s="8" t="s">
        <v>2021</v>
      </c>
      <c r="I626" s="8" t="s">
        <v>2022</v>
      </c>
      <c r="J626" s="8" t="s">
        <v>2023</v>
      </c>
    </row>
    <row r="627" spans="2:10" x14ac:dyDescent="0.3">
      <c r="B627" s="16">
        <v>0</v>
      </c>
      <c r="C627" s="16">
        <v>0.67</v>
      </c>
      <c r="D627" s="16">
        <v>0.93</v>
      </c>
      <c r="E627" s="16">
        <v>1.05</v>
      </c>
      <c r="F627" s="16">
        <v>0.61</v>
      </c>
      <c r="G627" s="16">
        <v>0.27</v>
      </c>
      <c r="H627" s="16">
        <v>0.67</v>
      </c>
      <c r="I627" s="16">
        <v>1.1599999999999999</v>
      </c>
      <c r="J627" s="16">
        <v>0.99</v>
      </c>
    </row>
    <row r="628" spans="2:10" x14ac:dyDescent="0.3">
      <c r="B628" s="16">
        <v>0.05</v>
      </c>
      <c r="C628" s="16">
        <v>0.56999999999999995</v>
      </c>
      <c r="D628" s="16">
        <v>0.82</v>
      </c>
      <c r="E628" s="16">
        <v>0.94</v>
      </c>
      <c r="F628" s="16">
        <v>0.54</v>
      </c>
      <c r="G628" s="16">
        <v>0.23</v>
      </c>
      <c r="H628" s="16">
        <v>0.59</v>
      </c>
      <c r="I628" s="16">
        <v>1.06</v>
      </c>
      <c r="J628" s="16">
        <v>0.89</v>
      </c>
    </row>
    <row r="629" spans="2:10" x14ac:dyDescent="0.3">
      <c r="B629" s="16">
        <v>0.1</v>
      </c>
      <c r="C629" s="16">
        <v>0.52</v>
      </c>
      <c r="D629" s="16">
        <v>0.75</v>
      </c>
      <c r="E629" s="16">
        <v>0.89</v>
      </c>
      <c r="F629" s="16">
        <v>0.51</v>
      </c>
      <c r="G629" s="16">
        <v>0.22</v>
      </c>
      <c r="H629" s="16">
        <v>0.55000000000000004</v>
      </c>
      <c r="I629" s="16">
        <v>0.99</v>
      </c>
      <c r="J629" s="16">
        <v>0.8</v>
      </c>
    </row>
    <row r="630" spans="2:10" x14ac:dyDescent="0.3">
      <c r="B630" s="16">
        <v>0.2</v>
      </c>
      <c r="C630" s="16">
        <v>0.42</v>
      </c>
      <c r="D630" s="16">
        <v>0.65</v>
      </c>
      <c r="E630" s="16">
        <v>0.78</v>
      </c>
      <c r="F630" s="16">
        <v>0.45</v>
      </c>
      <c r="G630" s="16">
        <v>0.19</v>
      </c>
      <c r="H630" s="16">
        <v>0.49</v>
      </c>
      <c r="I630" s="16">
        <v>0.88</v>
      </c>
      <c r="J630" s="16">
        <v>0.71</v>
      </c>
    </row>
    <row r="631" spans="2:10" x14ac:dyDescent="0.3">
      <c r="B631" s="16">
        <v>0.4</v>
      </c>
      <c r="C631" s="16">
        <v>0.32</v>
      </c>
      <c r="D631" s="16">
        <v>0.49</v>
      </c>
      <c r="E631" s="16">
        <v>0.62</v>
      </c>
      <c r="F631" s="16">
        <v>0.36</v>
      </c>
      <c r="G631" s="16">
        <v>0.15</v>
      </c>
      <c r="H631" s="16">
        <v>0.4</v>
      </c>
      <c r="I631" s="16">
        <v>0.72</v>
      </c>
      <c r="J631" s="16">
        <v>0.53</v>
      </c>
    </row>
    <row r="632" spans="2:10" x14ac:dyDescent="0.3">
      <c r="B632" s="16">
        <v>0.6</v>
      </c>
      <c r="C632" s="16">
        <v>0.28999999999999998</v>
      </c>
      <c r="D632" s="16">
        <v>0.39</v>
      </c>
      <c r="E632" s="16">
        <v>0.51</v>
      </c>
      <c r="F632" s="16">
        <v>0.3</v>
      </c>
      <c r="G632" s="16">
        <v>0.13</v>
      </c>
      <c r="H632" s="16">
        <v>0.33</v>
      </c>
      <c r="I632" s="16">
        <v>0.57999999999999996</v>
      </c>
      <c r="J632" s="16">
        <v>0.41</v>
      </c>
    </row>
    <row r="633" spans="2:10" x14ac:dyDescent="0.3">
      <c r="B633" s="16">
        <v>0.8</v>
      </c>
      <c r="C633" s="16">
        <v>0.25</v>
      </c>
      <c r="D633" s="16">
        <v>0.31</v>
      </c>
      <c r="E633" s="16">
        <v>0.44</v>
      </c>
      <c r="F633" s="16">
        <v>0.26</v>
      </c>
      <c r="G633" s="16">
        <v>0.11</v>
      </c>
      <c r="H633" s="16">
        <v>0.28000000000000003</v>
      </c>
      <c r="I633" s="16">
        <v>0.46</v>
      </c>
      <c r="J633" s="16">
        <v>0.34</v>
      </c>
    </row>
    <row r="634" spans="2:10" x14ac:dyDescent="0.3">
      <c r="B634" s="16">
        <v>1</v>
      </c>
      <c r="C634" s="16">
        <v>0.21</v>
      </c>
      <c r="D634" s="16">
        <v>0.26</v>
      </c>
      <c r="E634" s="16">
        <v>0.37</v>
      </c>
      <c r="F634" s="16">
        <v>0.22</v>
      </c>
      <c r="G634" s="16">
        <v>0.1</v>
      </c>
      <c r="H634" s="16">
        <v>0.24</v>
      </c>
      <c r="I634" s="16">
        <v>0.41</v>
      </c>
      <c r="J634" s="16">
        <v>0.27</v>
      </c>
    </row>
    <row r="635" spans="2:10" x14ac:dyDescent="0.3">
      <c r="B635" s="16">
        <v>1.2</v>
      </c>
      <c r="C635" s="16">
        <v>0.2</v>
      </c>
      <c r="D635" s="16">
        <v>0.22</v>
      </c>
      <c r="E635" s="16">
        <v>0.32</v>
      </c>
      <c r="F635" s="16">
        <v>0.19</v>
      </c>
      <c r="G635" s="16">
        <v>0.09</v>
      </c>
      <c r="H635" s="16">
        <v>0.21</v>
      </c>
      <c r="I635" s="16">
        <v>0.36</v>
      </c>
      <c r="J635" s="16">
        <v>0.23</v>
      </c>
    </row>
    <row r="636" spans="2:10" x14ac:dyDescent="0.3">
      <c r="B636" s="16">
        <v>1.4</v>
      </c>
      <c r="C636" s="16">
        <v>0.17</v>
      </c>
      <c r="D636" s="16">
        <v>0.2</v>
      </c>
      <c r="E636" s="16">
        <v>0.28000000000000003</v>
      </c>
      <c r="F636" s="16">
        <v>0.17</v>
      </c>
      <c r="G636" s="16">
        <v>0.08</v>
      </c>
      <c r="H636" s="16">
        <v>0.19</v>
      </c>
      <c r="I636" s="16">
        <v>0.3</v>
      </c>
      <c r="J636" s="16">
        <v>0.21</v>
      </c>
    </row>
    <row r="637" spans="2:10" x14ac:dyDescent="0.3">
      <c r="B637" s="16">
        <v>1.6</v>
      </c>
      <c r="C637" s="16">
        <v>0.16</v>
      </c>
      <c r="D637" s="16">
        <v>0.19</v>
      </c>
      <c r="E637" s="16">
        <v>0.26</v>
      </c>
      <c r="F637" s="16">
        <v>0.15</v>
      </c>
      <c r="G637" s="16">
        <v>7.0000000000000007E-2</v>
      </c>
      <c r="H637" s="16">
        <v>0.17</v>
      </c>
      <c r="I637" s="16">
        <v>0.27</v>
      </c>
      <c r="J637" s="16">
        <v>0.18</v>
      </c>
    </row>
    <row r="638" spans="2:10" x14ac:dyDescent="0.3">
      <c r="B638" s="16">
        <v>1.8</v>
      </c>
      <c r="C638" s="16">
        <v>0.15</v>
      </c>
      <c r="D638" s="16">
        <v>0.17</v>
      </c>
      <c r="E638" s="16">
        <v>0.22</v>
      </c>
      <c r="F638" s="16">
        <v>0.13</v>
      </c>
      <c r="G638" s="16">
        <v>7.0000000000000007E-2</v>
      </c>
      <c r="H638" s="16">
        <v>0.15</v>
      </c>
      <c r="I638" s="16">
        <v>0.24</v>
      </c>
      <c r="J638" s="16">
        <v>0.17</v>
      </c>
    </row>
    <row r="639" spans="2:10" x14ac:dyDescent="0.3">
      <c r="B639" s="16">
        <v>2</v>
      </c>
      <c r="C639" s="16">
        <v>0.14000000000000001</v>
      </c>
      <c r="D639" s="16">
        <v>0.14000000000000001</v>
      </c>
      <c r="E639" s="16">
        <v>0.21</v>
      </c>
      <c r="F639" s="16">
        <v>0.13</v>
      </c>
      <c r="G639" s="16">
        <v>0.06</v>
      </c>
      <c r="H639" s="16">
        <v>0.14000000000000001</v>
      </c>
      <c r="I639" s="16">
        <v>0.22</v>
      </c>
      <c r="J639" s="16">
        <v>0.16</v>
      </c>
    </row>
    <row r="640" spans="2:10" x14ac:dyDescent="0.3">
      <c r="B640" s="6"/>
      <c r="C640" s="6"/>
      <c r="D640" s="6"/>
      <c r="E640" s="6"/>
      <c r="F640" s="6"/>
      <c r="G640" s="6"/>
      <c r="H640" s="6"/>
      <c r="I640" s="6"/>
      <c r="J640" s="6"/>
    </row>
    <row r="641" spans="2:10" x14ac:dyDescent="0.3">
      <c r="B641" s="5" t="s">
        <v>2142</v>
      </c>
      <c r="C641" s="6"/>
      <c r="D641" s="6"/>
      <c r="E641" s="6"/>
      <c r="F641" s="6"/>
      <c r="G641" s="6"/>
    </row>
    <row r="642" spans="2:10" x14ac:dyDescent="0.3">
      <c r="B642" s="5" t="s">
        <v>2143</v>
      </c>
    </row>
    <row r="643" spans="2:10" x14ac:dyDescent="0.3">
      <c r="B643" s="8" t="s">
        <v>1285</v>
      </c>
      <c r="C643" s="8" t="s">
        <v>2016</v>
      </c>
      <c r="D643" s="8" t="s">
        <v>2017</v>
      </c>
      <c r="E643" s="8" t="s">
        <v>2018</v>
      </c>
      <c r="F643" s="8" t="s">
        <v>2019</v>
      </c>
      <c r="G643" s="8" t="s">
        <v>2020</v>
      </c>
      <c r="H643" s="8" t="s">
        <v>2021</v>
      </c>
      <c r="I643" s="8" t="s">
        <v>2022</v>
      </c>
      <c r="J643" s="8" t="s">
        <v>2023</v>
      </c>
    </row>
    <row r="644" spans="2:10" x14ac:dyDescent="0.3">
      <c r="B644" s="16">
        <v>0</v>
      </c>
      <c r="C644" s="16">
        <v>0.82</v>
      </c>
      <c r="D644" s="16">
        <v>1.04</v>
      </c>
      <c r="E644" s="16">
        <v>1.07</v>
      </c>
      <c r="F644" s="16">
        <v>0.72</v>
      </c>
      <c r="G644" s="16">
        <v>0.41</v>
      </c>
      <c r="H644" s="16">
        <v>0.78</v>
      </c>
      <c r="I644" s="16">
        <v>1.17</v>
      </c>
      <c r="J644" s="16">
        <v>1.1000000000000001</v>
      </c>
    </row>
    <row r="645" spans="2:10" x14ac:dyDescent="0.3">
      <c r="B645" s="16">
        <v>0.05</v>
      </c>
      <c r="C645" s="16">
        <v>0.69</v>
      </c>
      <c r="D645" s="16">
        <v>0.91</v>
      </c>
      <c r="E645" s="16">
        <v>0.96</v>
      </c>
      <c r="F645" s="16">
        <v>0.64</v>
      </c>
      <c r="G645" s="16">
        <v>0.34</v>
      </c>
      <c r="H645" s="16">
        <v>0.69</v>
      </c>
      <c r="I645" s="16">
        <v>1.07</v>
      </c>
      <c r="J645" s="16">
        <v>0.99</v>
      </c>
    </row>
    <row r="646" spans="2:10" x14ac:dyDescent="0.3">
      <c r="B646" s="16">
        <v>0.1</v>
      </c>
      <c r="C646" s="16">
        <v>0.63</v>
      </c>
      <c r="D646" s="16">
        <v>0.84</v>
      </c>
      <c r="E646" s="16">
        <v>0.91</v>
      </c>
      <c r="F646" s="16">
        <v>0.59</v>
      </c>
      <c r="G646" s="16">
        <v>0.32</v>
      </c>
      <c r="H646" s="16">
        <v>0.65</v>
      </c>
      <c r="I646" s="16">
        <v>1</v>
      </c>
      <c r="J646" s="16">
        <v>0.89</v>
      </c>
    </row>
    <row r="647" spans="2:10" x14ac:dyDescent="0.3">
      <c r="B647" s="16">
        <v>0.2</v>
      </c>
      <c r="C647" s="16">
        <v>0.51</v>
      </c>
      <c r="D647" s="16">
        <v>0.72</v>
      </c>
      <c r="E647" s="16">
        <v>0.8</v>
      </c>
      <c r="F647" s="16">
        <v>0.53</v>
      </c>
      <c r="G647" s="16">
        <v>0.28999999999999998</v>
      </c>
      <c r="H647" s="16">
        <v>0.56999999999999995</v>
      </c>
      <c r="I647" s="16">
        <v>0.89</v>
      </c>
      <c r="J647" s="16">
        <v>0.79</v>
      </c>
    </row>
    <row r="648" spans="2:10" x14ac:dyDescent="0.3">
      <c r="B648" s="16">
        <v>0.4</v>
      </c>
      <c r="C648" s="16">
        <v>0.39</v>
      </c>
      <c r="D648" s="16">
        <v>0.55000000000000004</v>
      </c>
      <c r="E648" s="16">
        <v>0.64</v>
      </c>
      <c r="F648" s="16">
        <v>0.43</v>
      </c>
      <c r="G648" s="16">
        <v>0.23</v>
      </c>
      <c r="H648" s="16">
        <v>0.47</v>
      </c>
      <c r="I648" s="16">
        <v>0.73</v>
      </c>
      <c r="J648" s="16">
        <v>0.59</v>
      </c>
    </row>
    <row r="649" spans="2:10" x14ac:dyDescent="0.3">
      <c r="B649" s="16">
        <v>0.6</v>
      </c>
      <c r="C649" s="16">
        <v>0.35</v>
      </c>
      <c r="D649" s="16">
        <v>0.44</v>
      </c>
      <c r="E649" s="16">
        <v>0.52</v>
      </c>
      <c r="F649" s="16">
        <v>0.35</v>
      </c>
      <c r="G649" s="16">
        <v>0.2</v>
      </c>
      <c r="H649" s="16">
        <v>0.38</v>
      </c>
      <c r="I649" s="16">
        <v>0.59</v>
      </c>
      <c r="J649" s="16">
        <v>0.46</v>
      </c>
    </row>
    <row r="650" spans="2:10" x14ac:dyDescent="0.3">
      <c r="B650" s="16">
        <v>0.8</v>
      </c>
      <c r="C650" s="16">
        <v>0.3</v>
      </c>
      <c r="D650" s="16">
        <v>0.35</v>
      </c>
      <c r="E650" s="16">
        <v>0.45</v>
      </c>
      <c r="F650" s="16">
        <v>0.3</v>
      </c>
      <c r="G650" s="16">
        <v>0.17</v>
      </c>
      <c r="H650" s="16">
        <v>0.32</v>
      </c>
      <c r="I650" s="16">
        <v>0.47</v>
      </c>
      <c r="J650" s="16">
        <v>0.38</v>
      </c>
    </row>
    <row r="651" spans="2:10" x14ac:dyDescent="0.3">
      <c r="B651" s="16">
        <v>1</v>
      </c>
      <c r="C651" s="16">
        <v>0.26</v>
      </c>
      <c r="D651" s="16">
        <v>0.28999999999999998</v>
      </c>
      <c r="E651" s="16">
        <v>0.38</v>
      </c>
      <c r="F651" s="16">
        <v>0.26</v>
      </c>
      <c r="G651" s="16">
        <v>0.15</v>
      </c>
      <c r="H651" s="16">
        <v>0.28000000000000003</v>
      </c>
      <c r="I651" s="16">
        <v>0.41</v>
      </c>
      <c r="J651" s="16">
        <v>0.28999999999999998</v>
      </c>
    </row>
    <row r="652" spans="2:10" x14ac:dyDescent="0.3">
      <c r="B652" s="16">
        <v>1.2</v>
      </c>
      <c r="C652" s="16">
        <v>0.24</v>
      </c>
      <c r="D652" s="16">
        <v>0.25</v>
      </c>
      <c r="E652" s="16">
        <v>0.32</v>
      </c>
      <c r="F652" s="16">
        <v>0.23</v>
      </c>
      <c r="G652" s="16">
        <v>0.13</v>
      </c>
      <c r="H652" s="16">
        <v>0.25</v>
      </c>
      <c r="I652" s="16">
        <v>0.36</v>
      </c>
      <c r="J652" s="16">
        <v>0.26</v>
      </c>
    </row>
    <row r="653" spans="2:10" x14ac:dyDescent="0.3">
      <c r="B653" s="16">
        <v>1.4</v>
      </c>
      <c r="C653" s="16">
        <v>0.21</v>
      </c>
      <c r="D653" s="16">
        <v>0.22</v>
      </c>
      <c r="E653" s="16">
        <v>0.28999999999999998</v>
      </c>
      <c r="F653" s="16">
        <v>0.2</v>
      </c>
      <c r="G653" s="16">
        <v>0.12</v>
      </c>
      <c r="H653" s="16">
        <v>0.22</v>
      </c>
      <c r="I653" s="16">
        <v>0.31</v>
      </c>
      <c r="J653" s="16">
        <v>0.23</v>
      </c>
    </row>
    <row r="654" spans="2:10" x14ac:dyDescent="0.3">
      <c r="B654" s="16">
        <v>1.6</v>
      </c>
      <c r="C654" s="16">
        <v>0.2</v>
      </c>
      <c r="D654" s="16">
        <v>0.21</v>
      </c>
      <c r="E654" s="16">
        <v>0.26</v>
      </c>
      <c r="F654" s="16">
        <v>0.17</v>
      </c>
      <c r="G654" s="16">
        <v>0.11</v>
      </c>
      <c r="H654" s="16">
        <v>0.2</v>
      </c>
      <c r="I654" s="16">
        <v>0.27</v>
      </c>
      <c r="J654" s="16">
        <v>0.2</v>
      </c>
    </row>
    <row r="655" spans="2:10" x14ac:dyDescent="0.3">
      <c r="B655" s="16">
        <v>1.8</v>
      </c>
      <c r="C655" s="16">
        <v>0.18</v>
      </c>
      <c r="D655" s="16">
        <v>0.19</v>
      </c>
      <c r="E655" s="16">
        <v>0.23</v>
      </c>
      <c r="F655" s="16">
        <v>0.16</v>
      </c>
      <c r="G655" s="16">
        <v>0.1</v>
      </c>
      <c r="H655" s="16">
        <v>0.17</v>
      </c>
      <c r="I655" s="16">
        <v>0.24</v>
      </c>
      <c r="J655" s="16">
        <v>0.19</v>
      </c>
    </row>
    <row r="656" spans="2:10" x14ac:dyDescent="0.3">
      <c r="B656" s="16">
        <v>2</v>
      </c>
      <c r="C656" s="16">
        <v>0.17</v>
      </c>
      <c r="D656" s="16">
        <v>0.16</v>
      </c>
      <c r="E656" s="16">
        <v>0.22</v>
      </c>
      <c r="F656" s="16">
        <v>0.16</v>
      </c>
      <c r="G656" s="16">
        <v>0.1</v>
      </c>
      <c r="H656" s="16">
        <v>0.16</v>
      </c>
      <c r="I656" s="16">
        <v>0.23</v>
      </c>
      <c r="J656" s="16">
        <v>0.18</v>
      </c>
    </row>
    <row r="657" spans="2:10" x14ac:dyDescent="0.3">
      <c r="B657" s="6"/>
      <c r="C657" s="6"/>
      <c r="D657" s="6"/>
      <c r="E657" s="6"/>
      <c r="F657" s="6"/>
      <c r="G657" s="6"/>
      <c r="H657" s="6"/>
      <c r="I657" s="6"/>
      <c r="J657" s="6"/>
    </row>
    <row r="658" spans="2:10" x14ac:dyDescent="0.3">
      <c r="B658" s="5" t="s">
        <v>2144</v>
      </c>
      <c r="C658" s="6"/>
      <c r="D658" s="6"/>
      <c r="E658" s="6"/>
      <c r="F658" s="6"/>
      <c r="G658" s="6"/>
    </row>
    <row r="659" spans="2:10" x14ac:dyDescent="0.3">
      <c r="B659" s="5" t="s">
        <v>2145</v>
      </c>
    </row>
    <row r="660" spans="2:10" x14ac:dyDescent="0.3">
      <c r="B660" s="8" t="s">
        <v>1285</v>
      </c>
      <c r="C660" s="8" t="s">
        <v>2016</v>
      </c>
      <c r="D660" s="8" t="s">
        <v>2017</v>
      </c>
      <c r="E660" s="8" t="s">
        <v>2018</v>
      </c>
      <c r="F660" s="8" t="s">
        <v>2019</v>
      </c>
      <c r="G660" s="8" t="s">
        <v>2020</v>
      </c>
      <c r="H660" s="8" t="s">
        <v>2021</v>
      </c>
      <c r="I660" s="8" t="s">
        <v>2022</v>
      </c>
      <c r="J660" s="8" t="s">
        <v>2023</v>
      </c>
    </row>
    <row r="661" spans="2:10" x14ac:dyDescent="0.3">
      <c r="B661" s="16">
        <v>0</v>
      </c>
      <c r="C661" s="16">
        <v>1.01</v>
      </c>
      <c r="D661" s="16">
        <v>1.19</v>
      </c>
      <c r="E661" s="16">
        <v>1.1499999999999999</v>
      </c>
      <c r="F661" s="16">
        <v>0.78</v>
      </c>
      <c r="G661" s="16">
        <v>0.49</v>
      </c>
      <c r="H661" s="16">
        <v>1.1000000000000001</v>
      </c>
      <c r="I661" s="16">
        <v>1.82</v>
      </c>
      <c r="J661" s="16">
        <v>1.55</v>
      </c>
    </row>
    <row r="662" spans="2:10" x14ac:dyDescent="0.3">
      <c r="B662" s="16">
        <v>0.05</v>
      </c>
      <c r="C662" s="16">
        <v>0.85</v>
      </c>
      <c r="D662" s="16">
        <v>1.07</v>
      </c>
      <c r="E662" s="16">
        <v>1.05</v>
      </c>
      <c r="F662" s="16">
        <v>0.7</v>
      </c>
      <c r="G662" s="16">
        <v>0.42</v>
      </c>
      <c r="H662" s="16">
        <v>1.01</v>
      </c>
      <c r="I662" s="16">
        <v>1.69</v>
      </c>
      <c r="J662" s="16">
        <v>1.41</v>
      </c>
    </row>
    <row r="663" spans="2:10" x14ac:dyDescent="0.3">
      <c r="B663" s="16">
        <v>0.1</v>
      </c>
      <c r="C663" s="16">
        <v>0.78</v>
      </c>
      <c r="D663" s="16">
        <v>0.99</v>
      </c>
      <c r="E663" s="16">
        <v>0.99</v>
      </c>
      <c r="F663" s="16">
        <v>0.67</v>
      </c>
      <c r="G663" s="16">
        <v>0.39</v>
      </c>
      <c r="H663" s="16">
        <v>0.96</v>
      </c>
      <c r="I663" s="16">
        <v>1.63</v>
      </c>
      <c r="J663" s="16">
        <v>1.3</v>
      </c>
    </row>
    <row r="664" spans="2:10" x14ac:dyDescent="0.3">
      <c r="B664" s="16">
        <v>0.2</v>
      </c>
      <c r="C664" s="16">
        <v>0.62</v>
      </c>
      <c r="D664" s="16">
        <v>0.85</v>
      </c>
      <c r="E664" s="16">
        <v>0.88</v>
      </c>
      <c r="F664" s="16">
        <v>0.59</v>
      </c>
      <c r="G664" s="16">
        <v>0.35</v>
      </c>
      <c r="H664" s="16">
        <v>0.86</v>
      </c>
      <c r="I664" s="16">
        <v>1.46</v>
      </c>
      <c r="J664" s="16">
        <v>1.1399999999999999</v>
      </c>
    </row>
    <row r="665" spans="2:10" x14ac:dyDescent="0.3">
      <c r="B665" s="16">
        <v>0.4</v>
      </c>
      <c r="C665" s="16">
        <v>0.43</v>
      </c>
      <c r="D665" s="16">
        <v>0.64</v>
      </c>
      <c r="E665" s="16">
        <v>0.71</v>
      </c>
      <c r="F665" s="16">
        <v>0.49</v>
      </c>
      <c r="G665" s="16">
        <v>0.28999999999999998</v>
      </c>
      <c r="H665" s="16">
        <v>0.7</v>
      </c>
      <c r="I665" s="16">
        <v>1.17</v>
      </c>
      <c r="J665" s="16">
        <v>0.86</v>
      </c>
    </row>
    <row r="666" spans="2:10" x14ac:dyDescent="0.3">
      <c r="B666" s="16">
        <v>0.6</v>
      </c>
      <c r="C666" s="16">
        <v>0.36</v>
      </c>
      <c r="D666" s="16">
        <v>0.47</v>
      </c>
      <c r="E666" s="16">
        <v>0.61</v>
      </c>
      <c r="F666" s="16">
        <v>0.41</v>
      </c>
      <c r="G666" s="16">
        <v>0.25</v>
      </c>
      <c r="H666" s="16">
        <v>0.61</v>
      </c>
      <c r="I666" s="16">
        <v>0.99</v>
      </c>
      <c r="J666" s="16">
        <v>0.64</v>
      </c>
    </row>
    <row r="667" spans="2:10" x14ac:dyDescent="0.3">
      <c r="B667" s="16">
        <v>0.8</v>
      </c>
      <c r="C667" s="16">
        <v>0.31</v>
      </c>
      <c r="D667" s="16">
        <v>0.39</v>
      </c>
      <c r="E667" s="16">
        <v>0.5</v>
      </c>
      <c r="F667" s="16">
        <v>0.34</v>
      </c>
      <c r="G667" s="16">
        <v>0.21</v>
      </c>
      <c r="H667" s="16">
        <v>0.53</v>
      </c>
      <c r="I667" s="16">
        <v>0.86</v>
      </c>
      <c r="J667" s="16">
        <v>0.5</v>
      </c>
    </row>
    <row r="668" spans="2:10" x14ac:dyDescent="0.3">
      <c r="B668" s="16">
        <v>1</v>
      </c>
      <c r="C668" s="16">
        <v>0.26</v>
      </c>
      <c r="D668" s="16">
        <v>0.32</v>
      </c>
      <c r="E668" s="16">
        <v>0.42</v>
      </c>
      <c r="F668" s="16">
        <v>0.28999999999999998</v>
      </c>
      <c r="G668" s="16">
        <v>0.18</v>
      </c>
      <c r="H668" s="16">
        <v>0.44</v>
      </c>
      <c r="I668" s="16">
        <v>0.73</v>
      </c>
      <c r="J668" s="16">
        <v>0.45</v>
      </c>
    </row>
    <row r="669" spans="2:10" x14ac:dyDescent="0.3">
      <c r="B669" s="16">
        <v>1.2</v>
      </c>
      <c r="C669" s="16">
        <v>0.24</v>
      </c>
      <c r="D669" s="16">
        <v>0.26</v>
      </c>
      <c r="E669" s="16">
        <v>0.37</v>
      </c>
      <c r="F669" s="16">
        <v>0.26</v>
      </c>
      <c r="G669" s="16">
        <v>0.18</v>
      </c>
      <c r="H669" s="16">
        <v>0.41</v>
      </c>
      <c r="I669" s="16">
        <v>0.62</v>
      </c>
      <c r="J669" s="16">
        <v>0.36</v>
      </c>
    </row>
    <row r="670" spans="2:10" x14ac:dyDescent="0.3">
      <c r="B670" s="16">
        <v>1.4</v>
      </c>
      <c r="C670" s="16">
        <v>0.22</v>
      </c>
      <c r="D670" s="16">
        <v>0.24</v>
      </c>
      <c r="E670" s="16">
        <v>0.32</v>
      </c>
      <c r="F670" s="16">
        <v>0.23</v>
      </c>
      <c r="G670" s="16">
        <v>0.15</v>
      </c>
      <c r="H670" s="16">
        <v>0.36</v>
      </c>
      <c r="I670" s="16">
        <v>0.55000000000000004</v>
      </c>
      <c r="J670" s="16">
        <v>0.33</v>
      </c>
    </row>
    <row r="671" spans="2:10" x14ac:dyDescent="0.3">
      <c r="B671" s="16">
        <v>1.6</v>
      </c>
      <c r="C671" s="16">
        <v>0.19</v>
      </c>
      <c r="D671" s="16">
        <v>0.21</v>
      </c>
      <c r="E671" s="16">
        <v>0.28000000000000003</v>
      </c>
      <c r="F671" s="16">
        <v>0.22</v>
      </c>
      <c r="G671" s="16">
        <v>0.14000000000000001</v>
      </c>
      <c r="H671" s="16">
        <v>0.33</v>
      </c>
      <c r="I671" s="16">
        <v>0.49</v>
      </c>
      <c r="J671" s="16">
        <v>0.26</v>
      </c>
    </row>
    <row r="672" spans="2:10" x14ac:dyDescent="0.3">
      <c r="B672" s="16">
        <v>1.8</v>
      </c>
      <c r="C672" s="16">
        <v>0.18</v>
      </c>
      <c r="D672" s="16">
        <v>0.2</v>
      </c>
      <c r="E672" s="16">
        <v>0.26</v>
      </c>
      <c r="F672" s="16">
        <v>0.2</v>
      </c>
      <c r="G672" s="16">
        <v>0.14000000000000001</v>
      </c>
      <c r="H672" s="16">
        <v>0.28999999999999998</v>
      </c>
      <c r="I672" s="16">
        <v>0.44</v>
      </c>
      <c r="J672" s="16">
        <v>0.25</v>
      </c>
    </row>
    <row r="673" spans="2:10" x14ac:dyDescent="0.3">
      <c r="B673" s="16">
        <v>2</v>
      </c>
      <c r="C673" s="16">
        <v>0.17</v>
      </c>
      <c r="D673" s="16">
        <v>0.19</v>
      </c>
      <c r="E673" s="16">
        <v>0.24</v>
      </c>
      <c r="F673" s="16">
        <v>0.19</v>
      </c>
      <c r="G673" s="16">
        <v>0.14000000000000001</v>
      </c>
      <c r="H673" s="16">
        <v>0.27</v>
      </c>
      <c r="I673" s="16">
        <v>0.4</v>
      </c>
      <c r="J673" s="16">
        <v>0.21</v>
      </c>
    </row>
    <row r="674" spans="2:10" x14ac:dyDescent="0.3">
      <c r="B674" s="6"/>
      <c r="C674" s="6"/>
      <c r="D674" s="6"/>
      <c r="E674" s="6"/>
      <c r="F674" s="6"/>
      <c r="G674" s="6"/>
      <c r="H674" s="6"/>
      <c r="I674" s="6"/>
      <c r="J674" s="6"/>
    </row>
    <row r="675" spans="2:10" x14ac:dyDescent="0.3">
      <c r="B675" s="5" t="s">
        <v>2146</v>
      </c>
      <c r="C675" s="6"/>
      <c r="D675" s="6"/>
      <c r="E675" s="6"/>
      <c r="F675" s="6"/>
      <c r="G675" s="6"/>
    </row>
    <row r="676" spans="2:10" x14ac:dyDescent="0.3">
      <c r="B676" s="5" t="s">
        <v>2147</v>
      </c>
    </row>
    <row r="677" spans="2:10" x14ac:dyDescent="0.3">
      <c r="B677" s="8" t="s">
        <v>1285</v>
      </c>
      <c r="C677" s="8" t="s">
        <v>2016</v>
      </c>
      <c r="D677" s="8" t="s">
        <v>2017</v>
      </c>
      <c r="E677" s="8" t="s">
        <v>2018</v>
      </c>
      <c r="F677" s="8" t="s">
        <v>2019</v>
      </c>
      <c r="G677" s="8" t="s">
        <v>2020</v>
      </c>
      <c r="H677" s="8" t="s">
        <v>2021</v>
      </c>
      <c r="I677" s="8" t="s">
        <v>2022</v>
      </c>
      <c r="J677" s="8" t="s">
        <v>2023</v>
      </c>
    </row>
    <row r="678" spans="2:10" x14ac:dyDescent="0.3">
      <c r="B678" s="16">
        <v>0</v>
      </c>
      <c r="C678" s="16">
        <v>0.88</v>
      </c>
      <c r="D678" s="16">
        <v>1.05</v>
      </c>
      <c r="E678" s="16">
        <v>1.04</v>
      </c>
      <c r="F678" s="16">
        <v>0.56999999999999995</v>
      </c>
      <c r="G678" s="16">
        <v>0.24</v>
      </c>
      <c r="H678" s="16">
        <v>0.96</v>
      </c>
      <c r="I678" s="16">
        <v>2</v>
      </c>
      <c r="J678" s="16">
        <v>1.54</v>
      </c>
    </row>
    <row r="679" spans="2:10" x14ac:dyDescent="0.3">
      <c r="B679" s="16">
        <v>0.05</v>
      </c>
      <c r="C679" s="16">
        <v>0.75</v>
      </c>
      <c r="D679" s="16">
        <v>0.95</v>
      </c>
      <c r="E679" s="16">
        <v>0.95</v>
      </c>
      <c r="F679" s="16">
        <v>0.51</v>
      </c>
      <c r="G679" s="16">
        <v>0.21</v>
      </c>
      <c r="H679" s="16">
        <v>0.88</v>
      </c>
      <c r="I679" s="16">
        <v>1.86</v>
      </c>
      <c r="J679" s="16">
        <v>1.4</v>
      </c>
    </row>
    <row r="680" spans="2:10" x14ac:dyDescent="0.3">
      <c r="B680" s="16">
        <v>0.1</v>
      </c>
      <c r="C680" s="16">
        <v>0.68</v>
      </c>
      <c r="D680" s="16">
        <v>0.88</v>
      </c>
      <c r="E680" s="16">
        <v>0.89</v>
      </c>
      <c r="F680" s="16">
        <v>0.48</v>
      </c>
      <c r="G680" s="16">
        <v>0.2</v>
      </c>
      <c r="H680" s="16">
        <v>0.83</v>
      </c>
      <c r="I680" s="16">
        <v>1.79</v>
      </c>
      <c r="J680" s="16">
        <v>1.29</v>
      </c>
    </row>
    <row r="681" spans="2:10" x14ac:dyDescent="0.3">
      <c r="B681" s="16">
        <v>0.2</v>
      </c>
      <c r="C681" s="16">
        <v>0.55000000000000004</v>
      </c>
      <c r="D681" s="16">
        <v>0.75</v>
      </c>
      <c r="E681" s="16">
        <v>0.79</v>
      </c>
      <c r="F681" s="16">
        <v>0.42</v>
      </c>
      <c r="G681" s="16">
        <v>0.18</v>
      </c>
      <c r="H681" s="16">
        <v>0.75</v>
      </c>
      <c r="I681" s="16">
        <v>1.6</v>
      </c>
      <c r="J681" s="16">
        <v>1.1299999999999999</v>
      </c>
    </row>
    <row r="682" spans="2:10" x14ac:dyDescent="0.3">
      <c r="B682" s="16">
        <v>0.4</v>
      </c>
      <c r="C682" s="16">
        <v>0.38</v>
      </c>
      <c r="D682" s="16">
        <v>0.56999999999999995</v>
      </c>
      <c r="E682" s="16">
        <v>0.64</v>
      </c>
      <c r="F682" s="16">
        <v>0.35</v>
      </c>
      <c r="G682" s="16">
        <v>0.14000000000000001</v>
      </c>
      <c r="H682" s="16">
        <v>0.61</v>
      </c>
      <c r="I682" s="16">
        <v>1.29</v>
      </c>
      <c r="J682" s="16">
        <v>0.86</v>
      </c>
    </row>
    <row r="683" spans="2:10" x14ac:dyDescent="0.3">
      <c r="B683" s="16">
        <v>0.6</v>
      </c>
      <c r="C683" s="16">
        <v>0.32</v>
      </c>
      <c r="D683" s="16">
        <v>0.42</v>
      </c>
      <c r="E683" s="16">
        <v>0.55000000000000004</v>
      </c>
      <c r="F683" s="16">
        <v>0.28999999999999998</v>
      </c>
      <c r="G683" s="16">
        <v>0.12</v>
      </c>
      <c r="H683" s="16">
        <v>0.53</v>
      </c>
      <c r="I683" s="16">
        <v>1.0900000000000001</v>
      </c>
      <c r="J683" s="16">
        <v>0.63</v>
      </c>
    </row>
    <row r="684" spans="2:10" x14ac:dyDescent="0.3">
      <c r="B684" s="16">
        <v>0.8</v>
      </c>
      <c r="C684" s="16">
        <v>0.27</v>
      </c>
      <c r="D684" s="16">
        <v>0.34</v>
      </c>
      <c r="E684" s="16">
        <v>0.45</v>
      </c>
      <c r="F684" s="16">
        <v>0.25</v>
      </c>
      <c r="G684" s="16">
        <v>0.1</v>
      </c>
      <c r="H684" s="16">
        <v>0.46</v>
      </c>
      <c r="I684" s="16">
        <v>0.94</v>
      </c>
      <c r="J684" s="16">
        <v>0.5</v>
      </c>
    </row>
    <row r="685" spans="2:10" x14ac:dyDescent="0.3">
      <c r="B685" s="16">
        <v>1</v>
      </c>
      <c r="C685" s="16">
        <v>0.23</v>
      </c>
      <c r="D685" s="16">
        <v>0.28000000000000003</v>
      </c>
      <c r="E685" s="16">
        <v>0.38</v>
      </c>
      <c r="F685" s="16">
        <v>0.21</v>
      </c>
      <c r="G685" s="16">
        <v>0.09</v>
      </c>
      <c r="H685" s="16">
        <v>0.38</v>
      </c>
      <c r="I685" s="16">
        <v>0.8</v>
      </c>
      <c r="J685" s="16">
        <v>0.45</v>
      </c>
    </row>
    <row r="686" spans="2:10" x14ac:dyDescent="0.3">
      <c r="B686" s="16">
        <v>1.2</v>
      </c>
      <c r="C686" s="16">
        <v>0.21</v>
      </c>
      <c r="D686" s="16">
        <v>0.23</v>
      </c>
      <c r="E686" s="16">
        <v>0.33</v>
      </c>
      <c r="F686" s="16">
        <v>0.19</v>
      </c>
      <c r="G686" s="16">
        <v>0.09</v>
      </c>
      <c r="H686" s="16">
        <v>0.36</v>
      </c>
      <c r="I686" s="16">
        <v>0.69</v>
      </c>
      <c r="J686" s="16">
        <v>0.36</v>
      </c>
    </row>
    <row r="687" spans="2:10" x14ac:dyDescent="0.3">
      <c r="B687" s="16">
        <v>1.4</v>
      </c>
      <c r="C687" s="16">
        <v>0.19</v>
      </c>
      <c r="D687" s="16">
        <v>0.21</v>
      </c>
      <c r="E687" s="16">
        <v>0.28999999999999998</v>
      </c>
      <c r="F687" s="16">
        <v>0.17</v>
      </c>
      <c r="G687" s="16">
        <v>0.08</v>
      </c>
      <c r="H687" s="16">
        <v>0.31</v>
      </c>
      <c r="I687" s="16">
        <v>0.6</v>
      </c>
      <c r="J687" s="16">
        <v>0.32</v>
      </c>
    </row>
    <row r="688" spans="2:10" x14ac:dyDescent="0.3">
      <c r="B688" s="16">
        <v>1.6</v>
      </c>
      <c r="C688" s="16">
        <v>0.17</v>
      </c>
      <c r="D688" s="16">
        <v>0.19</v>
      </c>
      <c r="E688" s="16">
        <v>0.25</v>
      </c>
      <c r="F688" s="16">
        <v>0.16</v>
      </c>
      <c r="G688" s="16">
        <v>7.0000000000000007E-2</v>
      </c>
      <c r="H688" s="16">
        <v>0.28000000000000003</v>
      </c>
      <c r="I688" s="16">
        <v>0.54</v>
      </c>
      <c r="J688" s="16">
        <v>0.26</v>
      </c>
    </row>
    <row r="689" spans="2:10" x14ac:dyDescent="0.3">
      <c r="B689" s="16">
        <v>1.8</v>
      </c>
      <c r="C689" s="16">
        <v>0.16</v>
      </c>
      <c r="D689" s="16">
        <v>0.18</v>
      </c>
      <c r="E689" s="16">
        <v>0.23</v>
      </c>
      <c r="F689" s="16">
        <v>0.14000000000000001</v>
      </c>
      <c r="G689" s="16">
        <v>7.0000000000000007E-2</v>
      </c>
      <c r="H689" s="16">
        <v>0.26</v>
      </c>
      <c r="I689" s="16">
        <v>0.49</v>
      </c>
      <c r="J689" s="16">
        <v>0.25</v>
      </c>
    </row>
    <row r="690" spans="2:10" x14ac:dyDescent="0.3">
      <c r="B690" s="16">
        <v>2</v>
      </c>
      <c r="C690" s="16">
        <v>0.15</v>
      </c>
      <c r="D690" s="16">
        <v>0.17</v>
      </c>
      <c r="E690" s="16">
        <v>0.22</v>
      </c>
      <c r="F690" s="16">
        <v>0.14000000000000001</v>
      </c>
      <c r="G690" s="16">
        <v>7.0000000000000007E-2</v>
      </c>
      <c r="H690" s="16">
        <v>0.24</v>
      </c>
      <c r="I690" s="16">
        <v>0.44</v>
      </c>
      <c r="J690" s="16">
        <v>0.21</v>
      </c>
    </row>
    <row r="691" spans="2:10" x14ac:dyDescent="0.3">
      <c r="B691" s="6"/>
      <c r="C691" s="6"/>
      <c r="D691" s="6"/>
      <c r="E691" s="6"/>
      <c r="F691" s="6"/>
      <c r="G691" s="6"/>
      <c r="H691" s="6"/>
      <c r="I691" s="6"/>
      <c r="J691" s="6"/>
    </row>
    <row r="692" spans="2:10" x14ac:dyDescent="0.3">
      <c r="B692" s="5" t="s">
        <v>2148</v>
      </c>
      <c r="C692" s="6"/>
      <c r="D692" s="6"/>
      <c r="E692" s="6"/>
      <c r="F692" s="6"/>
      <c r="G692" s="6"/>
    </row>
    <row r="693" spans="2:10" x14ac:dyDescent="0.3">
      <c r="B693" s="5" t="s">
        <v>2149</v>
      </c>
    </row>
    <row r="694" spans="2:10" x14ac:dyDescent="0.3">
      <c r="B694" s="8" t="s">
        <v>1285</v>
      </c>
      <c r="C694" s="8" t="s">
        <v>2016</v>
      </c>
      <c r="D694" s="8" t="s">
        <v>2017</v>
      </c>
      <c r="E694" s="8" t="s">
        <v>2018</v>
      </c>
      <c r="F694" s="8" t="s">
        <v>2019</v>
      </c>
      <c r="G694" s="8" t="s">
        <v>2020</v>
      </c>
      <c r="H694" s="8" t="s">
        <v>2021</v>
      </c>
      <c r="I694" s="8" t="s">
        <v>2022</v>
      </c>
      <c r="J694" s="8" t="s">
        <v>2023</v>
      </c>
    </row>
    <row r="695" spans="2:10" x14ac:dyDescent="0.3">
      <c r="B695" s="16">
        <v>0</v>
      </c>
      <c r="C695" s="16">
        <v>1.06</v>
      </c>
      <c r="D695" s="16">
        <v>1.3</v>
      </c>
      <c r="E695" s="16">
        <v>1.36</v>
      </c>
      <c r="F695" s="16">
        <v>1.0900000000000001</v>
      </c>
      <c r="G695" s="16">
        <v>0.77</v>
      </c>
      <c r="H695" s="16">
        <v>1.1100000000000001</v>
      </c>
      <c r="I695" s="16">
        <v>1.49</v>
      </c>
      <c r="J695" s="16">
        <v>1.39</v>
      </c>
    </row>
    <row r="696" spans="2:10" x14ac:dyDescent="0.3">
      <c r="B696" s="16">
        <v>0.05</v>
      </c>
      <c r="C696" s="16">
        <v>0.91</v>
      </c>
      <c r="D696" s="16">
        <v>1.17</v>
      </c>
      <c r="E696" s="16">
        <v>1.23</v>
      </c>
      <c r="F696" s="16">
        <v>0.96</v>
      </c>
      <c r="G696" s="16">
        <v>0.65</v>
      </c>
      <c r="H696" s="16">
        <v>0.99</v>
      </c>
      <c r="I696" s="16">
        <v>1.36</v>
      </c>
      <c r="J696" s="16">
        <v>1.26</v>
      </c>
    </row>
    <row r="697" spans="2:10" x14ac:dyDescent="0.3">
      <c r="B697" s="16">
        <v>0.1</v>
      </c>
      <c r="C697" s="16">
        <v>0.84</v>
      </c>
      <c r="D697" s="16">
        <v>1.08</v>
      </c>
      <c r="E697" s="16">
        <v>1.1599999999999999</v>
      </c>
      <c r="F697" s="16">
        <v>0.93</v>
      </c>
      <c r="G697" s="16">
        <v>0.61</v>
      </c>
      <c r="H697" s="16">
        <v>0.93</v>
      </c>
      <c r="I697" s="16">
        <v>1.29</v>
      </c>
      <c r="J697" s="16">
        <v>1.1499999999999999</v>
      </c>
    </row>
    <row r="698" spans="2:10" x14ac:dyDescent="0.3">
      <c r="B698" s="16">
        <v>0.2</v>
      </c>
      <c r="C698" s="16">
        <v>0.68</v>
      </c>
      <c r="D698" s="16">
        <v>0.94</v>
      </c>
      <c r="E698" s="16">
        <v>1.04</v>
      </c>
      <c r="F698" s="16">
        <v>0.81</v>
      </c>
      <c r="G698" s="16">
        <v>0.54</v>
      </c>
      <c r="H698" s="16">
        <v>0.83</v>
      </c>
      <c r="I698" s="16">
        <v>1.1399999999999999</v>
      </c>
      <c r="J698" s="16">
        <v>1.01</v>
      </c>
    </row>
    <row r="699" spans="2:10" x14ac:dyDescent="0.3">
      <c r="B699" s="16">
        <v>0.4</v>
      </c>
      <c r="C699" s="16">
        <v>0.44</v>
      </c>
      <c r="D699" s="16">
        <v>0.72</v>
      </c>
      <c r="E699" s="16">
        <v>0.85</v>
      </c>
      <c r="F699" s="16">
        <v>0.67</v>
      </c>
      <c r="G699" s="16">
        <v>0.46</v>
      </c>
      <c r="H699" s="16">
        <v>0.67</v>
      </c>
      <c r="I699" s="16">
        <v>0.93</v>
      </c>
      <c r="J699" s="16">
        <v>0.75</v>
      </c>
    </row>
    <row r="700" spans="2:10" x14ac:dyDescent="0.3">
      <c r="B700" s="16">
        <v>0.6</v>
      </c>
      <c r="C700" s="16">
        <v>0.35</v>
      </c>
      <c r="D700" s="16">
        <v>0.56999999999999995</v>
      </c>
      <c r="E700" s="16">
        <v>0.73</v>
      </c>
      <c r="F700" s="16">
        <v>0.57999999999999996</v>
      </c>
      <c r="G700" s="16">
        <v>0.4</v>
      </c>
      <c r="H700" s="16">
        <v>0.57999999999999996</v>
      </c>
      <c r="I700" s="16">
        <v>0.79</v>
      </c>
      <c r="J700" s="16">
        <v>0.6</v>
      </c>
    </row>
    <row r="701" spans="2:10" x14ac:dyDescent="0.3">
      <c r="B701" s="16">
        <v>0.8</v>
      </c>
      <c r="C701" s="16">
        <v>0.31</v>
      </c>
      <c r="D701" s="16">
        <v>0.44</v>
      </c>
      <c r="E701" s="16">
        <v>0.6</v>
      </c>
      <c r="F701" s="16">
        <v>0.51</v>
      </c>
      <c r="G701" s="16">
        <v>0.34</v>
      </c>
      <c r="H701" s="16">
        <v>0.5</v>
      </c>
      <c r="I701" s="16">
        <v>0.66</v>
      </c>
      <c r="J701" s="16">
        <v>0.47</v>
      </c>
    </row>
    <row r="702" spans="2:10" x14ac:dyDescent="0.3">
      <c r="B702" s="16">
        <v>1</v>
      </c>
      <c r="C702" s="16">
        <v>0.28000000000000003</v>
      </c>
      <c r="D702" s="16">
        <v>0.37</v>
      </c>
      <c r="E702" s="16">
        <v>0.54</v>
      </c>
      <c r="F702" s="16">
        <v>0.43</v>
      </c>
      <c r="G702" s="16">
        <v>0.3</v>
      </c>
      <c r="H702" s="16">
        <v>0.43</v>
      </c>
      <c r="I702" s="16">
        <v>0.55000000000000004</v>
      </c>
      <c r="J702" s="16">
        <v>0.38</v>
      </c>
    </row>
    <row r="703" spans="2:10" x14ac:dyDescent="0.3">
      <c r="B703" s="16">
        <v>1.2</v>
      </c>
      <c r="C703" s="16">
        <v>0.24</v>
      </c>
      <c r="D703" s="16">
        <v>0.31</v>
      </c>
      <c r="E703" s="16">
        <v>0.46</v>
      </c>
      <c r="F703" s="16">
        <v>0.39</v>
      </c>
      <c r="G703" s="16">
        <v>0.28000000000000003</v>
      </c>
      <c r="H703" s="16">
        <v>0.38</v>
      </c>
      <c r="I703" s="16">
        <v>0.48</v>
      </c>
      <c r="J703" s="16">
        <v>0.32</v>
      </c>
    </row>
    <row r="704" spans="2:10" x14ac:dyDescent="0.3">
      <c r="B704" s="16">
        <v>1.4</v>
      </c>
      <c r="C704" s="16">
        <v>0.21</v>
      </c>
      <c r="D704" s="16">
        <v>0.26</v>
      </c>
      <c r="E704" s="16">
        <v>0.4</v>
      </c>
      <c r="F704" s="16">
        <v>0.35</v>
      </c>
      <c r="G704" s="16">
        <v>0.25</v>
      </c>
      <c r="H704" s="16">
        <v>0.34</v>
      </c>
      <c r="I704" s="16">
        <v>0.41</v>
      </c>
      <c r="J704" s="16">
        <v>0.28000000000000003</v>
      </c>
    </row>
    <row r="705" spans="2:10" x14ac:dyDescent="0.3">
      <c r="B705" s="16">
        <v>1.6</v>
      </c>
      <c r="C705" s="16">
        <v>0.2</v>
      </c>
      <c r="D705" s="16">
        <v>0.23</v>
      </c>
      <c r="E705" s="16">
        <v>0.37</v>
      </c>
      <c r="F705" s="16">
        <v>0.31</v>
      </c>
      <c r="G705" s="16">
        <v>0.24</v>
      </c>
      <c r="H705" s="16">
        <v>0.32</v>
      </c>
      <c r="I705" s="16">
        <v>0.39</v>
      </c>
      <c r="J705" s="16">
        <v>0.25</v>
      </c>
    </row>
    <row r="706" spans="2:10" x14ac:dyDescent="0.3">
      <c r="B706" s="16">
        <v>1.8</v>
      </c>
      <c r="C706" s="16">
        <v>0.19</v>
      </c>
      <c r="D706" s="16">
        <v>0.22</v>
      </c>
      <c r="E706" s="16">
        <v>0.31</v>
      </c>
      <c r="F706" s="16">
        <v>0.28000000000000003</v>
      </c>
      <c r="G706" s="16">
        <v>0.22</v>
      </c>
      <c r="H706" s="16">
        <v>0.28999999999999998</v>
      </c>
      <c r="I706" s="16">
        <v>0.34</v>
      </c>
      <c r="J706" s="16">
        <v>0.22</v>
      </c>
    </row>
    <row r="707" spans="2:10" x14ac:dyDescent="0.3">
      <c r="B707" s="16">
        <v>2</v>
      </c>
      <c r="C707" s="16">
        <v>0.18</v>
      </c>
      <c r="D707" s="16">
        <v>0.21</v>
      </c>
      <c r="E707" s="16">
        <v>0.3</v>
      </c>
      <c r="F707" s="16">
        <v>0.27</v>
      </c>
      <c r="G707" s="16">
        <v>0.22</v>
      </c>
      <c r="H707" s="16">
        <v>0.26</v>
      </c>
      <c r="I707" s="16">
        <v>0.31</v>
      </c>
      <c r="J707" s="16">
        <v>0.21</v>
      </c>
    </row>
    <row r="708" spans="2:10" x14ac:dyDescent="0.3">
      <c r="B708" s="6"/>
      <c r="C708" s="6"/>
      <c r="D708" s="6"/>
      <c r="E708" s="6"/>
      <c r="F708" s="6"/>
      <c r="G708" s="6"/>
      <c r="H708" s="6"/>
      <c r="I708" s="6"/>
      <c r="J708" s="6"/>
    </row>
    <row r="709" spans="2:10" x14ac:dyDescent="0.3">
      <c r="B709" s="5" t="s">
        <v>2150</v>
      </c>
      <c r="C709" s="6"/>
      <c r="D709" s="6"/>
      <c r="E709" s="6"/>
      <c r="F709" s="6"/>
      <c r="G709" s="6"/>
    </row>
    <row r="710" spans="2:10" x14ac:dyDescent="0.3">
      <c r="B710" s="5" t="s">
        <v>2151</v>
      </c>
    </row>
    <row r="711" spans="2:10" x14ac:dyDescent="0.3">
      <c r="B711" s="8" t="s">
        <v>1285</v>
      </c>
      <c r="C711" s="8" t="s">
        <v>2016</v>
      </c>
      <c r="D711" s="8" t="s">
        <v>2017</v>
      </c>
      <c r="E711" s="8" t="s">
        <v>2018</v>
      </c>
      <c r="F711" s="8" t="s">
        <v>2019</v>
      </c>
      <c r="G711" s="8" t="s">
        <v>2020</v>
      </c>
      <c r="H711" s="8" t="s">
        <v>2021</v>
      </c>
      <c r="I711" s="8" t="s">
        <v>2022</v>
      </c>
      <c r="J711" s="8" t="s">
        <v>2023</v>
      </c>
    </row>
    <row r="712" spans="2:10" x14ac:dyDescent="0.3">
      <c r="B712" s="16">
        <v>0</v>
      </c>
      <c r="C712" s="16">
        <v>1.1499999999999999</v>
      </c>
      <c r="D712" s="16">
        <v>1.17</v>
      </c>
      <c r="E712" s="16">
        <v>0.97</v>
      </c>
      <c r="F712" s="16">
        <v>0.75</v>
      </c>
      <c r="G712" s="16">
        <v>0.51</v>
      </c>
      <c r="H712" s="16">
        <v>0.77</v>
      </c>
      <c r="I712" s="16">
        <v>1.07</v>
      </c>
      <c r="J712" s="16">
        <v>1.24</v>
      </c>
    </row>
    <row r="713" spans="2:10" x14ac:dyDescent="0.3">
      <c r="B713" s="16">
        <v>0.05</v>
      </c>
      <c r="C713" s="16">
        <v>1</v>
      </c>
      <c r="D713" s="16">
        <v>1.05</v>
      </c>
      <c r="E713" s="16">
        <v>0.88</v>
      </c>
      <c r="F713" s="16">
        <v>0.66</v>
      </c>
      <c r="G713" s="16">
        <v>0.43</v>
      </c>
      <c r="H713" s="16">
        <v>0.69</v>
      </c>
      <c r="I713" s="16">
        <v>0.98</v>
      </c>
      <c r="J713" s="16">
        <v>1.1200000000000001</v>
      </c>
    </row>
    <row r="714" spans="2:10" x14ac:dyDescent="0.3">
      <c r="B714" s="16">
        <v>0.1</v>
      </c>
      <c r="C714" s="16">
        <v>0.91</v>
      </c>
      <c r="D714" s="16">
        <v>0.97</v>
      </c>
      <c r="E714" s="16">
        <v>0.83</v>
      </c>
      <c r="F714" s="16">
        <v>0.64</v>
      </c>
      <c r="G714" s="16">
        <v>0.41</v>
      </c>
      <c r="H714" s="16">
        <v>0.65</v>
      </c>
      <c r="I714" s="16">
        <v>0.93</v>
      </c>
      <c r="J714" s="16">
        <v>1.03</v>
      </c>
    </row>
    <row r="715" spans="2:10" x14ac:dyDescent="0.3">
      <c r="B715" s="16">
        <v>0.2</v>
      </c>
      <c r="C715" s="16">
        <v>0.74</v>
      </c>
      <c r="D715" s="16">
        <v>0.85</v>
      </c>
      <c r="E715" s="16">
        <v>0.74</v>
      </c>
      <c r="F715" s="16">
        <v>0.56000000000000005</v>
      </c>
      <c r="G715" s="16">
        <v>0.36</v>
      </c>
      <c r="H715" s="16">
        <v>0.57999999999999996</v>
      </c>
      <c r="I715" s="16">
        <v>0.82</v>
      </c>
      <c r="J715" s="16">
        <v>0.9</v>
      </c>
    </row>
    <row r="716" spans="2:10" x14ac:dyDescent="0.3">
      <c r="B716" s="16">
        <v>0.4</v>
      </c>
      <c r="C716" s="16">
        <v>0.48</v>
      </c>
      <c r="D716" s="16">
        <v>0.65</v>
      </c>
      <c r="E716" s="16">
        <v>0.61</v>
      </c>
      <c r="F716" s="16">
        <v>0.46</v>
      </c>
      <c r="G716" s="16">
        <v>0.3</v>
      </c>
      <c r="H716" s="16">
        <v>0.47</v>
      </c>
      <c r="I716" s="16">
        <v>0.67</v>
      </c>
      <c r="J716" s="16">
        <v>0.67</v>
      </c>
    </row>
    <row r="717" spans="2:10" x14ac:dyDescent="0.3">
      <c r="B717" s="16">
        <v>0.6</v>
      </c>
      <c r="C717" s="16">
        <v>0.38</v>
      </c>
      <c r="D717" s="16">
        <v>0.51</v>
      </c>
      <c r="E717" s="16">
        <v>0.52</v>
      </c>
      <c r="F717" s="16">
        <v>0.4</v>
      </c>
      <c r="G717" s="16">
        <v>0.26</v>
      </c>
      <c r="H717" s="16">
        <v>0.4</v>
      </c>
      <c r="I717" s="16">
        <v>0.56999999999999995</v>
      </c>
      <c r="J717" s="16">
        <v>0.54</v>
      </c>
    </row>
    <row r="718" spans="2:10" x14ac:dyDescent="0.3">
      <c r="B718" s="16">
        <v>0.8</v>
      </c>
      <c r="C718" s="16">
        <v>0.34</v>
      </c>
      <c r="D718" s="16">
        <v>0.4</v>
      </c>
      <c r="E718" s="16">
        <v>0.43</v>
      </c>
      <c r="F718" s="16">
        <v>0.35</v>
      </c>
      <c r="G718" s="16">
        <v>0.22</v>
      </c>
      <c r="H718" s="16">
        <v>0.35</v>
      </c>
      <c r="I718" s="16">
        <v>0.48</v>
      </c>
      <c r="J718" s="16">
        <v>0.42</v>
      </c>
    </row>
    <row r="719" spans="2:10" x14ac:dyDescent="0.3">
      <c r="B719" s="16">
        <v>1</v>
      </c>
      <c r="C719" s="16">
        <v>0.3</v>
      </c>
      <c r="D719" s="16">
        <v>0.33</v>
      </c>
      <c r="E719" s="16">
        <v>0.38</v>
      </c>
      <c r="F719" s="16">
        <v>0.3</v>
      </c>
      <c r="G719" s="16">
        <v>0.2</v>
      </c>
      <c r="H719" s="16">
        <v>0.3</v>
      </c>
      <c r="I719" s="16">
        <v>0.4</v>
      </c>
      <c r="J719" s="16">
        <v>0.34</v>
      </c>
    </row>
    <row r="720" spans="2:10" x14ac:dyDescent="0.3">
      <c r="B720" s="16">
        <v>1.2</v>
      </c>
      <c r="C720" s="16">
        <v>0.26</v>
      </c>
      <c r="D720" s="16">
        <v>0.28000000000000003</v>
      </c>
      <c r="E720" s="16">
        <v>0.33</v>
      </c>
      <c r="F720" s="16">
        <v>0.27</v>
      </c>
      <c r="G720" s="16">
        <v>0.18</v>
      </c>
      <c r="H720" s="16">
        <v>0.26</v>
      </c>
      <c r="I720" s="16">
        <v>0.34</v>
      </c>
      <c r="J720" s="16">
        <v>0.28000000000000003</v>
      </c>
    </row>
    <row r="721" spans="2:10" x14ac:dyDescent="0.3">
      <c r="B721" s="16">
        <v>1.4</v>
      </c>
      <c r="C721" s="16">
        <v>0.23</v>
      </c>
      <c r="D721" s="16">
        <v>0.23</v>
      </c>
      <c r="E721" s="16">
        <v>0.28999999999999998</v>
      </c>
      <c r="F721" s="16">
        <v>0.24</v>
      </c>
      <c r="G721" s="16">
        <v>0.17</v>
      </c>
      <c r="H721" s="16">
        <v>0.24</v>
      </c>
      <c r="I721" s="16">
        <v>0.3</v>
      </c>
      <c r="J721" s="16">
        <v>0.25</v>
      </c>
    </row>
    <row r="722" spans="2:10" x14ac:dyDescent="0.3">
      <c r="B722" s="16">
        <v>1.6</v>
      </c>
      <c r="C722" s="16">
        <v>0.22</v>
      </c>
      <c r="D722" s="16">
        <v>0.21</v>
      </c>
      <c r="E722" s="16">
        <v>0.26</v>
      </c>
      <c r="F722" s="16">
        <v>0.22</v>
      </c>
      <c r="G722" s="16">
        <v>0.16</v>
      </c>
      <c r="H722" s="16">
        <v>0.22</v>
      </c>
      <c r="I722" s="16">
        <v>0.28000000000000003</v>
      </c>
      <c r="J722" s="16">
        <v>0.22</v>
      </c>
    </row>
    <row r="723" spans="2:10" x14ac:dyDescent="0.3">
      <c r="B723" s="16">
        <v>1.8</v>
      </c>
      <c r="C723" s="16">
        <v>0.2</v>
      </c>
      <c r="D723" s="16">
        <v>0.2</v>
      </c>
      <c r="E723" s="16">
        <v>0.22</v>
      </c>
      <c r="F723" s="16">
        <v>0.19</v>
      </c>
      <c r="G723" s="16">
        <v>0.14000000000000001</v>
      </c>
      <c r="H723" s="16">
        <v>0.2</v>
      </c>
      <c r="I723" s="16">
        <v>0.24</v>
      </c>
      <c r="J723" s="16">
        <v>0.2</v>
      </c>
    </row>
    <row r="724" spans="2:10" x14ac:dyDescent="0.3">
      <c r="B724" s="16">
        <v>2</v>
      </c>
      <c r="C724" s="16">
        <v>0.19</v>
      </c>
      <c r="D724" s="16">
        <v>0.19</v>
      </c>
      <c r="E724" s="16">
        <v>0.22</v>
      </c>
      <c r="F724" s="16">
        <v>0.18</v>
      </c>
      <c r="G724" s="16">
        <v>0.14000000000000001</v>
      </c>
      <c r="H724" s="16">
        <v>0.18</v>
      </c>
      <c r="I724" s="16">
        <v>0.23</v>
      </c>
      <c r="J724" s="16">
        <v>0.19</v>
      </c>
    </row>
    <row r="725" spans="2:10" x14ac:dyDescent="0.3">
      <c r="B725" s="6"/>
      <c r="C725" s="6"/>
      <c r="D725" s="6"/>
      <c r="E725" s="6"/>
      <c r="F725" s="6"/>
      <c r="G725" s="6"/>
      <c r="H725" s="6"/>
      <c r="I725" s="6"/>
      <c r="J725" s="6"/>
    </row>
    <row r="726" spans="2:10" x14ac:dyDescent="0.3">
      <c r="B726" s="5" t="s">
        <v>2152</v>
      </c>
      <c r="C726" s="6"/>
      <c r="D726" s="6"/>
      <c r="E726" s="6"/>
      <c r="F726" s="6"/>
      <c r="G726" s="6"/>
      <c r="H726" s="6"/>
      <c r="I726" s="6"/>
      <c r="J726" s="6"/>
    </row>
    <row r="727" spans="2:10" x14ac:dyDescent="0.3">
      <c r="B727" s="5" t="s">
        <v>2153</v>
      </c>
      <c r="E727" s="6"/>
      <c r="F727" s="6"/>
      <c r="G727" s="6"/>
      <c r="H727" s="6"/>
      <c r="I727" s="6"/>
      <c r="J727" s="6"/>
    </row>
    <row r="728" spans="2:10" ht="28" x14ac:dyDescent="0.3">
      <c r="B728" s="8" t="s">
        <v>2078</v>
      </c>
      <c r="C728" s="8" t="s">
        <v>2079</v>
      </c>
      <c r="D728" s="8" t="s">
        <v>2080</v>
      </c>
      <c r="E728" s="6"/>
      <c r="F728" s="6"/>
      <c r="G728" s="6"/>
      <c r="H728" s="6"/>
      <c r="I728" s="6"/>
      <c r="J728" s="6"/>
    </row>
    <row r="729" spans="2:10" ht="28" x14ac:dyDescent="0.3">
      <c r="B729" s="17" t="s">
        <v>2154</v>
      </c>
      <c r="C729" s="16">
        <v>0.6</v>
      </c>
      <c r="D729" s="16">
        <v>0.56999999999999995</v>
      </c>
      <c r="E729" s="6"/>
      <c r="F729" s="6"/>
      <c r="G729" s="6"/>
      <c r="H729" s="6"/>
      <c r="I729" s="6"/>
      <c r="J729" s="6"/>
    </row>
    <row r="730" spans="2:10" ht="21" customHeight="1" x14ac:dyDescent="0.3">
      <c r="B730" s="17" t="s">
        <v>2155</v>
      </c>
      <c r="C730" s="16">
        <v>1.2</v>
      </c>
      <c r="D730" s="16">
        <v>1.35</v>
      </c>
      <c r="E730" s="6"/>
      <c r="F730" s="6"/>
      <c r="G730" s="6"/>
      <c r="H730" s="6"/>
      <c r="I730" s="6"/>
      <c r="J730" s="6"/>
    </row>
    <row r="731" spans="2:10" ht="28" x14ac:dyDescent="0.3">
      <c r="B731" s="17" t="s">
        <v>2156</v>
      </c>
      <c r="C731" s="16">
        <v>0.91</v>
      </c>
      <c r="D731" s="16">
        <v>0.87</v>
      </c>
      <c r="E731" s="6"/>
      <c r="F731" s="6"/>
      <c r="G731" s="6"/>
      <c r="H731" s="6"/>
      <c r="I731" s="6"/>
      <c r="J731" s="6"/>
    </row>
    <row r="732" spans="2:10" ht="28" x14ac:dyDescent="0.3">
      <c r="B732" s="17" t="s">
        <v>2157</v>
      </c>
      <c r="C732" s="16">
        <v>1</v>
      </c>
      <c r="D732" s="16">
        <v>1</v>
      </c>
      <c r="E732" s="6"/>
      <c r="F732" s="6"/>
      <c r="G732" s="6"/>
      <c r="H732" s="6"/>
      <c r="I732" s="6"/>
      <c r="J732" s="6"/>
    </row>
    <row r="733" spans="2:10" ht="28" x14ac:dyDescent="0.3">
      <c r="B733" s="17" t="s">
        <v>2158</v>
      </c>
      <c r="C733" s="16">
        <v>1.1499999999999999</v>
      </c>
      <c r="D733" s="16">
        <v>1.21</v>
      </c>
      <c r="E733" s="6"/>
      <c r="F733" s="6"/>
      <c r="G733" s="6"/>
      <c r="H733" s="6"/>
      <c r="I733" s="6"/>
      <c r="J733" s="6"/>
    </row>
    <row r="734" spans="2:10" ht="28" x14ac:dyDescent="0.3">
      <c r="B734" s="17" t="s">
        <v>2159</v>
      </c>
      <c r="C734" s="16">
        <v>0.75</v>
      </c>
      <c r="D734" s="16" t="s">
        <v>2088</v>
      </c>
      <c r="E734" s="6"/>
      <c r="F734" s="6"/>
      <c r="G734" s="6"/>
      <c r="H734" s="6"/>
      <c r="I734" s="6"/>
      <c r="J734" s="6"/>
    </row>
    <row r="735" spans="2:10" x14ac:dyDescent="0.3">
      <c r="B735" s="6"/>
      <c r="C735" s="6"/>
      <c r="D735" s="6"/>
      <c r="E735" s="6"/>
      <c r="F735" s="6"/>
      <c r="G735" s="6"/>
      <c r="H735" s="6"/>
      <c r="I735" s="6"/>
      <c r="J735" s="6"/>
    </row>
    <row r="736" spans="2:10" x14ac:dyDescent="0.3">
      <c r="B736" s="5" t="s">
        <v>2160</v>
      </c>
      <c r="C736" s="6"/>
      <c r="D736" s="6"/>
      <c r="E736" s="6"/>
      <c r="F736" s="6"/>
      <c r="G736" s="6"/>
      <c r="H736" s="6"/>
      <c r="I736" s="6"/>
      <c r="J736" s="6"/>
    </row>
    <row r="737" spans="2:10" x14ac:dyDescent="0.3">
      <c r="B737" s="5" t="s">
        <v>2161</v>
      </c>
      <c r="E737" s="6"/>
      <c r="F737" s="6"/>
      <c r="G737" s="6"/>
      <c r="H737" s="6"/>
      <c r="I737" s="6"/>
      <c r="J737" s="6"/>
    </row>
    <row r="738" spans="2:10" ht="28" x14ac:dyDescent="0.3">
      <c r="B738" s="8" t="s">
        <v>2078</v>
      </c>
      <c r="C738" s="8" t="s">
        <v>2079</v>
      </c>
      <c r="D738" s="8" t="s">
        <v>2080</v>
      </c>
      <c r="E738" s="6"/>
      <c r="F738" s="6"/>
      <c r="G738" s="6"/>
      <c r="H738" s="6"/>
      <c r="I738" s="6"/>
      <c r="J738" s="6"/>
    </row>
    <row r="739" spans="2:10" ht="28" x14ac:dyDescent="0.3">
      <c r="B739" s="17" t="s">
        <v>2154</v>
      </c>
      <c r="C739" s="16">
        <v>0.6</v>
      </c>
      <c r="D739" s="16">
        <v>0.4</v>
      </c>
      <c r="E739" s="6"/>
      <c r="F739" s="6"/>
      <c r="G739" s="6"/>
      <c r="H739" s="6"/>
      <c r="I739" s="6"/>
      <c r="J739" s="6"/>
    </row>
    <row r="740" spans="2:10" x14ac:dyDescent="0.3">
      <c r="B740" s="17" t="s">
        <v>2155</v>
      </c>
      <c r="C740" s="16">
        <v>1.2</v>
      </c>
      <c r="D740" s="16">
        <v>1.1000000000000001</v>
      </c>
      <c r="E740" s="6"/>
      <c r="F740" s="6"/>
      <c r="G740" s="6"/>
      <c r="H740" s="6"/>
      <c r="I740" s="6"/>
      <c r="J740" s="6"/>
    </row>
    <row r="741" spans="2:10" ht="28" x14ac:dyDescent="0.3">
      <c r="B741" s="17" t="s">
        <v>2156</v>
      </c>
      <c r="C741" s="16">
        <v>0.91</v>
      </c>
      <c r="D741" s="16">
        <v>0.68</v>
      </c>
      <c r="E741" s="6"/>
      <c r="F741" s="6"/>
      <c r="G741" s="6"/>
      <c r="H741" s="6"/>
      <c r="I741" s="6"/>
      <c r="J741" s="6"/>
    </row>
    <row r="742" spans="2:10" ht="28" x14ac:dyDescent="0.3">
      <c r="B742" s="17" t="s">
        <v>2157</v>
      </c>
      <c r="C742" s="16">
        <v>1</v>
      </c>
      <c r="D742" s="16">
        <v>0.9</v>
      </c>
      <c r="E742" s="6"/>
      <c r="F742" s="6"/>
      <c r="G742" s="6"/>
      <c r="H742" s="6"/>
      <c r="I742" s="6"/>
      <c r="J742" s="6"/>
    </row>
    <row r="743" spans="2:10" ht="28" x14ac:dyDescent="0.3">
      <c r="B743" s="17" t="s">
        <v>2158</v>
      </c>
      <c r="C743" s="16">
        <v>1.19</v>
      </c>
      <c r="D743" s="16">
        <v>1</v>
      </c>
      <c r="E743" s="6"/>
      <c r="F743" s="6"/>
      <c r="G743" s="6"/>
      <c r="H743" s="6"/>
      <c r="I743" s="6"/>
      <c r="J743" s="6"/>
    </row>
    <row r="744" spans="2:10" ht="28" x14ac:dyDescent="0.3">
      <c r="B744" s="17" t="s">
        <v>2159</v>
      </c>
      <c r="C744" s="16">
        <v>0.75</v>
      </c>
      <c r="D744" s="16" t="s">
        <v>2088</v>
      </c>
      <c r="E744" s="6"/>
      <c r="F744" s="6"/>
      <c r="G744" s="6"/>
      <c r="H744" s="6"/>
      <c r="I744" s="6"/>
      <c r="J744" s="6"/>
    </row>
    <row r="745" spans="2:10" x14ac:dyDescent="0.3">
      <c r="B745" s="6"/>
      <c r="C745" s="6"/>
      <c r="D745" s="6"/>
      <c r="E745" s="6"/>
      <c r="F745" s="6"/>
      <c r="G745" s="6"/>
      <c r="H745" s="6"/>
      <c r="I745" s="6"/>
      <c r="J745" s="6"/>
    </row>
    <row r="746" spans="2:10" x14ac:dyDescent="0.3">
      <c r="B746" s="5" t="s">
        <v>2162</v>
      </c>
      <c r="C746" s="6"/>
      <c r="D746" s="6"/>
      <c r="E746" s="6"/>
      <c r="F746" s="6"/>
      <c r="G746" s="6"/>
      <c r="H746" s="6"/>
      <c r="I746" s="6"/>
      <c r="J746" s="6"/>
    </row>
    <row r="747" spans="2:10" x14ac:dyDescent="0.3">
      <c r="B747" s="5" t="s">
        <v>2163</v>
      </c>
      <c r="E747" s="6"/>
      <c r="F747" s="6"/>
      <c r="G747" s="6"/>
      <c r="H747" s="6"/>
      <c r="I747" s="6"/>
      <c r="J747" s="6"/>
    </row>
    <row r="748" spans="2:10" ht="28" x14ac:dyDescent="0.3">
      <c r="B748" s="8" t="s">
        <v>2078</v>
      </c>
      <c r="C748" s="8" t="s">
        <v>2079</v>
      </c>
      <c r="D748" s="8" t="s">
        <v>2080</v>
      </c>
      <c r="E748" s="6"/>
      <c r="F748" s="6"/>
      <c r="G748" s="6"/>
      <c r="H748" s="6"/>
      <c r="I748" s="6"/>
      <c r="J748" s="6"/>
    </row>
    <row r="749" spans="2:10" ht="28" x14ac:dyDescent="0.3">
      <c r="B749" s="17" t="s">
        <v>2154</v>
      </c>
      <c r="C749" s="16">
        <v>0.9</v>
      </c>
      <c r="D749" s="16">
        <v>0.7</v>
      </c>
      <c r="E749" s="6"/>
      <c r="F749" s="6"/>
      <c r="G749" s="6"/>
      <c r="H749" s="6"/>
      <c r="I749" s="6"/>
      <c r="J749" s="6"/>
    </row>
    <row r="750" spans="2:10" x14ac:dyDescent="0.3">
      <c r="B750" s="17" t="s">
        <v>2155</v>
      </c>
      <c r="C750" s="16">
        <v>1.7</v>
      </c>
      <c r="D750" s="16">
        <v>1.9</v>
      </c>
      <c r="E750" s="6"/>
      <c r="F750" s="6"/>
      <c r="G750" s="6"/>
      <c r="H750" s="6"/>
      <c r="I750" s="6"/>
      <c r="J750" s="6"/>
    </row>
    <row r="751" spans="2:10" ht="28" x14ac:dyDescent="0.3">
      <c r="B751" s="17" t="s">
        <v>2156</v>
      </c>
      <c r="C751" s="16">
        <v>0.88</v>
      </c>
      <c r="D751" s="16">
        <v>0.88</v>
      </c>
      <c r="E751" s="6"/>
      <c r="F751" s="6"/>
      <c r="G751" s="6"/>
      <c r="H751" s="6"/>
      <c r="I751" s="6"/>
      <c r="J751" s="6"/>
    </row>
    <row r="752" spans="2:10" ht="28" x14ac:dyDescent="0.3">
      <c r="B752" s="17" t="s">
        <v>2164</v>
      </c>
      <c r="C752" s="16">
        <v>1</v>
      </c>
      <c r="D752" s="16">
        <v>1</v>
      </c>
      <c r="E752" s="6"/>
      <c r="F752" s="6"/>
      <c r="G752" s="6"/>
      <c r="H752" s="6"/>
      <c r="I752" s="6"/>
      <c r="J752" s="6"/>
    </row>
    <row r="753" spans="2:10" ht="28" x14ac:dyDescent="0.3">
      <c r="B753" s="17" t="s">
        <v>2158</v>
      </c>
      <c r="C753" s="16">
        <v>1.21</v>
      </c>
      <c r="D753" s="16">
        <v>1.21</v>
      </c>
      <c r="E753" s="6"/>
      <c r="F753" s="6"/>
      <c r="G753" s="6"/>
      <c r="H753" s="6"/>
      <c r="I753" s="6"/>
      <c r="J753" s="6"/>
    </row>
    <row r="754" spans="2:10" ht="28" x14ac:dyDescent="0.3">
      <c r="B754" s="17" t="s">
        <v>2165</v>
      </c>
      <c r="C754" s="16">
        <v>0.89</v>
      </c>
      <c r="D754" s="16" t="s">
        <v>2088</v>
      </c>
      <c r="E754" s="6"/>
      <c r="F754" s="6"/>
      <c r="G754" s="6"/>
      <c r="H754" s="6"/>
      <c r="I754" s="6"/>
      <c r="J754" s="6"/>
    </row>
    <row r="755" spans="2:10" x14ac:dyDescent="0.3">
      <c r="B755" s="6"/>
      <c r="C755" s="6"/>
      <c r="D755" s="6"/>
      <c r="E755" s="6"/>
      <c r="F755" s="6"/>
      <c r="G755" s="6"/>
      <c r="H755" s="6"/>
      <c r="I755" s="6"/>
      <c r="J755" s="6"/>
    </row>
    <row r="756" spans="2:10" x14ac:dyDescent="0.3">
      <c r="B756" s="5" t="s">
        <v>2166</v>
      </c>
      <c r="C756" s="6"/>
      <c r="D756" s="6"/>
      <c r="E756" s="6"/>
      <c r="F756" s="6"/>
      <c r="G756" s="6"/>
      <c r="H756" s="6"/>
      <c r="I756" s="6"/>
      <c r="J756" s="6"/>
    </row>
    <row r="757" spans="2:10" x14ac:dyDescent="0.3">
      <c r="B757" s="5" t="s">
        <v>2167</v>
      </c>
      <c r="E757" s="6"/>
      <c r="F757" s="6"/>
      <c r="G757" s="6"/>
      <c r="H757" s="6"/>
      <c r="I757" s="6"/>
      <c r="J757" s="6"/>
    </row>
    <row r="758" spans="2:10" ht="28" x14ac:dyDescent="0.3">
      <c r="B758" s="8" t="s">
        <v>2168</v>
      </c>
      <c r="C758" s="8" t="s">
        <v>2079</v>
      </c>
      <c r="D758" s="8" t="s">
        <v>2080</v>
      </c>
      <c r="E758" s="6"/>
      <c r="F758" s="6"/>
      <c r="G758" s="6"/>
      <c r="H758" s="6"/>
      <c r="I758" s="6"/>
      <c r="J758" s="6"/>
    </row>
    <row r="759" spans="2:10" ht="28" x14ac:dyDescent="0.3">
      <c r="B759" s="17" t="s">
        <v>2154</v>
      </c>
      <c r="C759" s="16">
        <v>0.35</v>
      </c>
      <c r="D759" s="16">
        <v>0.8</v>
      </c>
      <c r="E759" s="6"/>
      <c r="F759" s="6"/>
      <c r="G759" s="6"/>
      <c r="H759" s="6"/>
      <c r="I759" s="6"/>
      <c r="J759" s="6"/>
    </row>
    <row r="760" spans="2:10" x14ac:dyDescent="0.3">
      <c r="B760" s="17" t="s">
        <v>2155</v>
      </c>
      <c r="C760" s="16">
        <v>1.1000000000000001</v>
      </c>
      <c r="D760" s="16">
        <v>1.2</v>
      </c>
      <c r="E760" s="6"/>
      <c r="F760" s="6"/>
      <c r="G760" s="6"/>
      <c r="H760" s="6"/>
      <c r="I760" s="6"/>
      <c r="J760" s="6"/>
    </row>
    <row r="761" spans="2:10" ht="28" x14ac:dyDescent="0.3">
      <c r="B761" s="17" t="s">
        <v>2156</v>
      </c>
      <c r="C761" s="16">
        <v>0.88</v>
      </c>
      <c r="D761" s="16">
        <v>0.88</v>
      </c>
      <c r="E761" s="6"/>
      <c r="F761" s="6"/>
      <c r="G761" s="6"/>
      <c r="H761" s="6"/>
      <c r="I761" s="6"/>
      <c r="J761" s="6"/>
    </row>
    <row r="762" spans="2:10" ht="28" x14ac:dyDescent="0.3">
      <c r="B762" s="17" t="s">
        <v>2157</v>
      </c>
      <c r="C762" s="16">
        <v>1</v>
      </c>
      <c r="D762" s="16">
        <v>0.91</v>
      </c>
      <c r="E762" s="6"/>
      <c r="F762" s="6"/>
      <c r="G762" s="6"/>
      <c r="H762" s="6"/>
      <c r="I762" s="6"/>
      <c r="J762" s="6"/>
    </row>
    <row r="763" spans="2:10" ht="28" x14ac:dyDescent="0.3">
      <c r="B763" s="17" t="s">
        <v>2158</v>
      </c>
      <c r="C763" s="16">
        <v>1.19</v>
      </c>
      <c r="D763" s="16">
        <v>1</v>
      </c>
      <c r="E763" s="6"/>
      <c r="F763" s="6"/>
      <c r="G763" s="6"/>
      <c r="H763" s="6"/>
      <c r="I763" s="6"/>
      <c r="J763" s="6"/>
    </row>
    <row r="764" spans="2:10" ht="28" x14ac:dyDescent="0.3">
      <c r="B764" s="17" t="s">
        <v>2159</v>
      </c>
      <c r="C764" s="16">
        <v>0.91</v>
      </c>
      <c r="D764" s="16" t="s">
        <v>2088</v>
      </c>
      <c r="E764" s="6"/>
      <c r="F764" s="6"/>
      <c r="G764" s="6"/>
      <c r="H764" s="6"/>
      <c r="I764" s="6"/>
      <c r="J764" s="6"/>
    </row>
    <row r="765" spans="2:10" x14ac:dyDescent="0.3">
      <c r="B765" s="6"/>
      <c r="C765" s="6"/>
      <c r="D765" s="6"/>
      <c r="E765" s="6"/>
      <c r="F765" s="6"/>
      <c r="G765" s="6"/>
      <c r="H765" s="6"/>
      <c r="I765" s="6"/>
      <c r="J765" s="6"/>
    </row>
    <row r="766" spans="2:10" x14ac:dyDescent="0.3">
      <c r="B766" s="5" t="s">
        <v>2169</v>
      </c>
      <c r="C766" s="6"/>
      <c r="D766" s="6"/>
      <c r="E766" s="6"/>
      <c r="F766" s="6"/>
      <c r="G766" s="6"/>
      <c r="H766" s="6"/>
      <c r="I766" s="6"/>
      <c r="J766" s="6"/>
    </row>
    <row r="767" spans="2:10" x14ac:dyDescent="0.3">
      <c r="B767" s="5" t="s">
        <v>2170</v>
      </c>
      <c r="E767" s="6"/>
      <c r="F767" s="6"/>
      <c r="G767" s="6"/>
      <c r="H767" s="6"/>
      <c r="I767" s="6"/>
      <c r="J767" s="6"/>
    </row>
    <row r="768" spans="2:10" ht="28" x14ac:dyDescent="0.3">
      <c r="B768" s="8" t="s">
        <v>2078</v>
      </c>
      <c r="C768" s="8" t="s">
        <v>2079</v>
      </c>
      <c r="D768" s="8" t="s">
        <v>2080</v>
      </c>
      <c r="E768" s="6"/>
      <c r="F768" s="6"/>
      <c r="G768" s="6"/>
      <c r="H768" s="6"/>
      <c r="I768" s="6"/>
      <c r="J768" s="6"/>
    </row>
    <row r="769" spans="2:10" ht="28" x14ac:dyDescent="0.3">
      <c r="B769" s="17" t="s">
        <v>2154</v>
      </c>
      <c r="C769" s="16">
        <v>0.45</v>
      </c>
      <c r="D769" s="16">
        <v>0.52</v>
      </c>
      <c r="E769" s="6"/>
      <c r="F769" s="6"/>
      <c r="G769" s="6"/>
      <c r="H769" s="6"/>
      <c r="I769" s="6"/>
      <c r="J769" s="6"/>
    </row>
    <row r="770" spans="2:10" x14ac:dyDescent="0.3">
      <c r="B770" s="17" t="s">
        <v>2155</v>
      </c>
      <c r="C770" s="16">
        <v>1.2</v>
      </c>
      <c r="D770" s="16">
        <v>1.45</v>
      </c>
      <c r="E770" s="6"/>
      <c r="F770" s="6"/>
      <c r="G770" s="6"/>
      <c r="H770" s="6"/>
      <c r="I770" s="6"/>
      <c r="J770" s="6"/>
    </row>
    <row r="771" spans="2:10" ht="28" x14ac:dyDescent="0.3">
      <c r="B771" s="17" t="s">
        <v>2156</v>
      </c>
      <c r="C771" s="16">
        <v>0.88</v>
      </c>
      <c r="D771" s="16">
        <v>0.73</v>
      </c>
      <c r="E771" s="6"/>
      <c r="F771" s="6"/>
      <c r="G771" s="6"/>
      <c r="H771" s="6"/>
      <c r="I771" s="6"/>
      <c r="J771" s="6"/>
    </row>
    <row r="772" spans="2:10" ht="28" x14ac:dyDescent="0.3">
      <c r="B772" s="17" t="s">
        <v>2157</v>
      </c>
      <c r="C772" s="16">
        <v>1</v>
      </c>
      <c r="D772" s="16">
        <v>0.78</v>
      </c>
      <c r="E772" s="6"/>
      <c r="F772" s="6"/>
      <c r="G772" s="6"/>
      <c r="H772" s="6"/>
      <c r="I772" s="6"/>
      <c r="J772" s="6"/>
    </row>
    <row r="773" spans="2:10" ht="28" x14ac:dyDescent="0.3">
      <c r="B773" s="17" t="s">
        <v>2158</v>
      </c>
      <c r="C773" s="16">
        <v>1.2</v>
      </c>
      <c r="D773" s="16">
        <v>1</v>
      </c>
      <c r="E773" s="6"/>
      <c r="F773" s="6"/>
      <c r="G773" s="6"/>
      <c r="H773" s="6"/>
      <c r="I773" s="6"/>
      <c r="J773" s="6"/>
    </row>
    <row r="774" spans="2:10" ht="28" x14ac:dyDescent="0.3">
      <c r="B774" s="17" t="s">
        <v>2159</v>
      </c>
      <c r="C774" s="16">
        <v>0.65</v>
      </c>
      <c r="D774" s="16" t="s">
        <v>2088</v>
      </c>
      <c r="E774" s="6"/>
      <c r="F774" s="6"/>
      <c r="G774" s="6"/>
      <c r="H774" s="6"/>
      <c r="I774" s="6"/>
      <c r="J774" s="6"/>
    </row>
    <row r="775" spans="2:10" x14ac:dyDescent="0.3">
      <c r="B775" s="6"/>
      <c r="C775" s="6"/>
      <c r="D775" s="6"/>
      <c r="E775" s="6"/>
      <c r="F775" s="6"/>
      <c r="G775" s="6"/>
      <c r="H775" s="6"/>
      <c r="I775" s="6"/>
      <c r="J775" s="6"/>
    </row>
    <row r="776" spans="2:10" x14ac:dyDescent="0.3">
      <c r="B776" s="5" t="s">
        <v>2171</v>
      </c>
      <c r="C776" s="6"/>
      <c r="D776" s="6"/>
      <c r="E776" s="6"/>
      <c r="F776" s="6"/>
      <c r="G776" s="6"/>
      <c r="H776" s="6"/>
      <c r="I776" s="6"/>
      <c r="J776" s="6"/>
    </row>
    <row r="777" spans="2:10" x14ac:dyDescent="0.3">
      <c r="B777" s="5" t="s">
        <v>2172</v>
      </c>
      <c r="E777" s="6"/>
      <c r="F777" s="6"/>
      <c r="G777" s="6"/>
      <c r="H777" s="6"/>
      <c r="I777" s="6"/>
      <c r="J777" s="6"/>
    </row>
    <row r="778" spans="2:10" ht="28" x14ac:dyDescent="0.3">
      <c r="B778" s="8" t="s">
        <v>2078</v>
      </c>
      <c r="C778" s="8" t="s">
        <v>2079</v>
      </c>
      <c r="D778" s="8" t="s">
        <v>2080</v>
      </c>
      <c r="E778" s="6"/>
      <c r="F778" s="6"/>
      <c r="G778" s="6"/>
      <c r="H778" s="6"/>
      <c r="I778" s="6"/>
      <c r="J778" s="6"/>
    </row>
    <row r="779" spans="2:10" ht="28" x14ac:dyDescent="0.3">
      <c r="B779" s="17" t="s">
        <v>2154</v>
      </c>
      <c r="C779" s="16">
        <v>0.5</v>
      </c>
      <c r="D779" s="16">
        <v>0.35</v>
      </c>
      <c r="E779" s="6"/>
      <c r="F779" s="6"/>
      <c r="G779" s="6"/>
      <c r="H779" s="6"/>
      <c r="I779" s="6"/>
      <c r="J779" s="6"/>
    </row>
    <row r="780" spans="2:10" x14ac:dyDescent="0.3">
      <c r="B780" s="17" t="s">
        <v>2155</v>
      </c>
      <c r="C780" s="16">
        <v>1.4</v>
      </c>
      <c r="D780" s="16">
        <v>1.3</v>
      </c>
      <c r="E780" s="6"/>
      <c r="F780" s="6"/>
      <c r="G780" s="6"/>
      <c r="H780" s="6"/>
      <c r="I780" s="6"/>
      <c r="J780" s="6"/>
    </row>
    <row r="781" spans="2:10" ht="28" x14ac:dyDescent="0.3">
      <c r="B781" s="17" t="s">
        <v>2156</v>
      </c>
      <c r="C781" s="16">
        <v>0.89</v>
      </c>
      <c r="D781" s="16">
        <v>0.9</v>
      </c>
      <c r="E781" s="6"/>
      <c r="F781" s="6"/>
      <c r="G781" s="6"/>
      <c r="H781" s="6"/>
      <c r="I781" s="6"/>
      <c r="J781" s="6"/>
    </row>
    <row r="782" spans="2:10" ht="28" x14ac:dyDescent="0.3">
      <c r="B782" s="17" t="s">
        <v>2157</v>
      </c>
      <c r="C782" s="16">
        <v>1</v>
      </c>
      <c r="D782" s="16">
        <v>0.95</v>
      </c>
      <c r="E782" s="6"/>
      <c r="F782" s="6"/>
      <c r="G782" s="6"/>
      <c r="H782" s="6"/>
      <c r="I782" s="6"/>
      <c r="J782" s="6"/>
    </row>
    <row r="783" spans="2:10" ht="28" x14ac:dyDescent="0.3">
      <c r="B783" s="17" t="s">
        <v>2173</v>
      </c>
      <c r="C783" s="16">
        <v>1.18</v>
      </c>
      <c r="D783" s="16">
        <v>1</v>
      </c>
      <c r="E783" s="6"/>
      <c r="F783" s="6"/>
      <c r="G783" s="6"/>
      <c r="H783" s="6"/>
      <c r="I783" s="6"/>
      <c r="J783" s="6"/>
    </row>
    <row r="784" spans="2:10" ht="28" x14ac:dyDescent="0.3">
      <c r="B784" s="17" t="s">
        <v>2159</v>
      </c>
      <c r="C784" s="16">
        <v>0.6</v>
      </c>
      <c r="D784" s="16" t="s">
        <v>2088</v>
      </c>
      <c r="E784" s="6"/>
      <c r="F784" s="6"/>
      <c r="G784" s="6"/>
      <c r="H784" s="6"/>
      <c r="I784" s="6"/>
      <c r="J784" s="6"/>
    </row>
    <row r="785" spans="2:10" x14ac:dyDescent="0.3">
      <c r="B785" s="6"/>
      <c r="C785" s="6"/>
      <c r="D785" s="6"/>
      <c r="E785" s="6"/>
      <c r="F785" s="6"/>
      <c r="G785" s="6"/>
      <c r="H785" s="6"/>
      <c r="I785" s="6"/>
      <c r="J785" s="6"/>
    </row>
    <row r="786" spans="2:10" x14ac:dyDescent="0.3">
      <c r="B786" s="5" t="s">
        <v>2174</v>
      </c>
      <c r="C786" s="6"/>
      <c r="D786" s="6"/>
      <c r="E786" s="6"/>
      <c r="F786" s="6"/>
      <c r="G786" s="6"/>
      <c r="H786" s="6"/>
      <c r="I786" s="6"/>
      <c r="J786" s="6"/>
    </row>
    <row r="787" spans="2:10" x14ac:dyDescent="0.3">
      <c r="B787" s="5" t="s">
        <v>2175</v>
      </c>
      <c r="E787" s="6"/>
      <c r="F787" s="6"/>
      <c r="G787" s="6"/>
      <c r="H787" s="6"/>
      <c r="I787" s="6"/>
      <c r="J787" s="6"/>
    </row>
    <row r="788" spans="2:10" ht="28" x14ac:dyDescent="0.3">
      <c r="B788" s="8" t="s">
        <v>2078</v>
      </c>
      <c r="C788" s="8" t="s">
        <v>2079</v>
      </c>
      <c r="D788" s="8" t="s">
        <v>2176</v>
      </c>
      <c r="E788" s="6"/>
      <c r="F788" s="6"/>
      <c r="G788" s="6"/>
      <c r="H788" s="6"/>
      <c r="I788" s="6"/>
      <c r="J788" s="6"/>
    </row>
    <row r="789" spans="2:10" ht="28" x14ac:dyDescent="0.3">
      <c r="B789" s="17" t="s">
        <v>2154</v>
      </c>
      <c r="C789" s="16">
        <v>0.6</v>
      </c>
      <c r="D789" s="16">
        <v>0.8</v>
      </c>
      <c r="E789" s="6"/>
      <c r="F789" s="6"/>
      <c r="G789" s="6"/>
      <c r="H789" s="6"/>
      <c r="I789" s="6"/>
      <c r="J789" s="6"/>
    </row>
    <row r="790" spans="2:10" x14ac:dyDescent="0.3">
      <c r="B790" s="17" t="s">
        <v>2155</v>
      </c>
      <c r="C790" s="16">
        <v>1.4</v>
      </c>
      <c r="D790" s="16">
        <v>1.6</v>
      </c>
      <c r="E790" s="6"/>
      <c r="F790" s="6"/>
      <c r="G790" s="6"/>
      <c r="H790" s="6"/>
      <c r="I790" s="6"/>
      <c r="J790" s="6"/>
    </row>
    <row r="791" spans="2:10" ht="28" x14ac:dyDescent="0.3">
      <c r="B791" s="17" t="s">
        <v>2156</v>
      </c>
      <c r="C791" s="16">
        <v>0.84</v>
      </c>
      <c r="D791" s="16">
        <v>0.83</v>
      </c>
      <c r="E791" s="6"/>
      <c r="F791" s="6"/>
      <c r="G791" s="6"/>
      <c r="H791" s="6"/>
      <c r="I791" s="6"/>
      <c r="J791" s="6"/>
    </row>
    <row r="792" spans="2:10" ht="28" x14ac:dyDescent="0.3">
      <c r="B792" s="17" t="s">
        <v>2157</v>
      </c>
      <c r="C792" s="16">
        <v>0.9</v>
      </c>
      <c r="D792" s="16">
        <v>0.96</v>
      </c>
      <c r="E792" s="6"/>
      <c r="F792" s="6"/>
      <c r="G792" s="6"/>
      <c r="H792" s="6"/>
      <c r="I792" s="6"/>
      <c r="J792" s="6"/>
    </row>
    <row r="793" spans="2:10" ht="28" x14ac:dyDescent="0.3">
      <c r="B793" s="17" t="s">
        <v>2158</v>
      </c>
      <c r="C793" s="16">
        <v>1</v>
      </c>
      <c r="D793" s="16">
        <v>1</v>
      </c>
      <c r="E793" s="6"/>
      <c r="F793" s="6"/>
      <c r="G793" s="6"/>
      <c r="H793" s="6"/>
      <c r="I793" s="6"/>
      <c r="J793" s="6"/>
    </row>
    <row r="794" spans="2:10" ht="28" x14ac:dyDescent="0.3">
      <c r="B794" s="17" t="s">
        <v>2159</v>
      </c>
      <c r="C794" s="16">
        <v>0.8</v>
      </c>
      <c r="D794" s="16" t="s">
        <v>2088</v>
      </c>
      <c r="E794" s="6"/>
      <c r="F794" s="6"/>
      <c r="G794" s="6"/>
      <c r="H794" s="6"/>
      <c r="I794" s="6"/>
      <c r="J794" s="6"/>
    </row>
    <row r="795" spans="2:10" x14ac:dyDescent="0.3">
      <c r="B795" s="6"/>
      <c r="C795" s="6"/>
      <c r="D795" s="6"/>
      <c r="E795" s="6"/>
      <c r="F795" s="6"/>
      <c r="G795" s="6"/>
      <c r="H795" s="6"/>
      <c r="I795" s="6"/>
      <c r="J795" s="6"/>
    </row>
    <row r="796" spans="2:10" x14ac:dyDescent="0.3">
      <c r="B796" s="5" t="s">
        <v>2177</v>
      </c>
      <c r="C796" s="6"/>
      <c r="D796" s="6"/>
      <c r="E796" s="6"/>
      <c r="F796" s="6"/>
      <c r="G796" s="6"/>
      <c r="H796" s="6"/>
      <c r="I796" s="6"/>
      <c r="J796" s="6"/>
    </row>
    <row r="797" spans="2:10" x14ac:dyDescent="0.3">
      <c r="B797" s="5" t="s">
        <v>2178</v>
      </c>
      <c r="E797" s="6"/>
      <c r="F797" s="6"/>
      <c r="G797" s="6"/>
      <c r="H797" s="6"/>
      <c r="I797" s="6"/>
      <c r="J797" s="6"/>
    </row>
    <row r="798" spans="2:10" ht="28" x14ac:dyDescent="0.3">
      <c r="B798" s="8" t="s">
        <v>2078</v>
      </c>
      <c r="C798" s="8" t="s">
        <v>2079</v>
      </c>
      <c r="D798" s="8" t="s">
        <v>2080</v>
      </c>
      <c r="E798" s="6"/>
      <c r="F798" s="6"/>
      <c r="G798" s="6"/>
      <c r="H798" s="6"/>
      <c r="I798" s="6"/>
      <c r="J798" s="6"/>
    </row>
    <row r="799" spans="2:10" ht="28" x14ac:dyDescent="0.3">
      <c r="B799" s="17" t="s">
        <v>2154</v>
      </c>
      <c r="C799" s="16">
        <v>0.4</v>
      </c>
      <c r="D799" s="16">
        <v>0.4</v>
      </c>
      <c r="E799" s="6"/>
      <c r="F799" s="6"/>
      <c r="G799" s="6"/>
      <c r="H799" s="6"/>
      <c r="I799" s="6"/>
      <c r="J799" s="6"/>
    </row>
    <row r="800" spans="2:10" x14ac:dyDescent="0.3">
      <c r="B800" s="17" t="s">
        <v>2155</v>
      </c>
      <c r="C800" s="16">
        <v>1.4</v>
      </c>
      <c r="D800" s="16">
        <v>1.3</v>
      </c>
      <c r="E800" s="6"/>
      <c r="F800" s="6"/>
      <c r="G800" s="6"/>
      <c r="H800" s="6"/>
      <c r="I800" s="6"/>
      <c r="J800" s="6"/>
    </row>
    <row r="801" spans="2:10" ht="28" x14ac:dyDescent="0.3">
      <c r="B801" s="17" t="s">
        <v>2156</v>
      </c>
      <c r="C801" s="16">
        <v>0.91</v>
      </c>
      <c r="D801" s="16">
        <v>0.85</v>
      </c>
      <c r="E801" s="6"/>
      <c r="F801" s="6"/>
      <c r="G801" s="6"/>
      <c r="H801" s="6"/>
      <c r="I801" s="6"/>
      <c r="J801" s="6"/>
    </row>
    <row r="802" spans="2:10" ht="28" x14ac:dyDescent="0.3">
      <c r="B802" s="17" t="s">
        <v>2157</v>
      </c>
      <c r="C802" s="16">
        <v>1</v>
      </c>
      <c r="D802" s="16">
        <v>1</v>
      </c>
      <c r="E802" s="6"/>
      <c r="F802" s="6"/>
      <c r="G802" s="6"/>
      <c r="H802" s="6"/>
      <c r="I802" s="6"/>
      <c r="J802" s="6"/>
    </row>
    <row r="803" spans="2:10" ht="28" x14ac:dyDescent="0.3">
      <c r="B803" s="17" t="s">
        <v>2158</v>
      </c>
      <c r="C803" s="16">
        <v>1</v>
      </c>
      <c r="D803" s="16">
        <v>1</v>
      </c>
      <c r="E803" s="6"/>
      <c r="F803" s="6"/>
      <c r="G803" s="6"/>
      <c r="H803" s="6"/>
      <c r="I803" s="6"/>
      <c r="J803" s="6"/>
    </row>
    <row r="804" spans="2:10" ht="28" x14ac:dyDescent="0.3">
      <c r="B804" s="17" t="s">
        <v>2159</v>
      </c>
      <c r="C804" s="16">
        <v>0.85</v>
      </c>
      <c r="D804" s="16" t="s">
        <v>2088</v>
      </c>
      <c r="E804" s="6"/>
      <c r="F804" s="6"/>
      <c r="G804" s="6"/>
      <c r="H804" s="6"/>
      <c r="I804" s="6"/>
      <c r="J804" s="6"/>
    </row>
    <row r="805" spans="2:10" x14ac:dyDescent="0.3">
      <c r="B805" s="6"/>
      <c r="C805" s="6"/>
      <c r="D805" s="6"/>
      <c r="E805" s="6"/>
      <c r="F805" s="6"/>
      <c r="G805" s="6"/>
      <c r="H805" s="6"/>
      <c r="I805" s="6"/>
      <c r="J805" s="6"/>
    </row>
    <row r="806" spans="2:10" ht="22.5" customHeight="1" x14ac:dyDescent="0.3">
      <c r="B806" s="6"/>
      <c r="C806" s="6"/>
      <c r="D806" s="6"/>
      <c r="E806" s="6"/>
      <c r="F806" s="6"/>
      <c r="G806" s="6"/>
      <c r="H806" s="6"/>
      <c r="I806" s="6"/>
      <c r="J806" s="6"/>
    </row>
    <row r="807" spans="2:10" x14ac:dyDescent="0.3">
      <c r="B807" s="6"/>
      <c r="C807" s="6"/>
      <c r="D807" s="6"/>
      <c r="E807" s="6"/>
      <c r="F807" s="6"/>
      <c r="G807" s="6"/>
      <c r="H807" s="6"/>
      <c r="I807" s="6"/>
      <c r="J807" s="6"/>
    </row>
    <row r="808" spans="2:10" x14ac:dyDescent="0.3">
      <c r="B808" s="6"/>
      <c r="C808" s="6"/>
      <c r="D808" s="6"/>
      <c r="E808" s="6"/>
      <c r="F808" s="6"/>
      <c r="G808" s="6"/>
      <c r="H808" s="6"/>
      <c r="I808" s="6"/>
      <c r="J808" s="6"/>
    </row>
    <row r="809" spans="2:10" x14ac:dyDescent="0.3">
      <c r="B809" s="6"/>
      <c r="C809" s="6"/>
      <c r="D809" s="6"/>
      <c r="E809" s="6"/>
      <c r="F809" s="6"/>
      <c r="G809" s="6"/>
      <c r="H809" s="6"/>
      <c r="I809" s="6"/>
      <c r="J809" s="6"/>
    </row>
    <row r="810" spans="2:10" x14ac:dyDescent="0.3">
      <c r="B810" s="6"/>
      <c r="C810" s="6"/>
      <c r="D810" s="6"/>
      <c r="E810" s="6"/>
      <c r="F810" s="6"/>
      <c r="G810" s="6"/>
      <c r="H810" s="6"/>
      <c r="I810" s="6"/>
      <c r="J810" s="6"/>
    </row>
    <row r="811" spans="2:10" x14ac:dyDescent="0.3">
      <c r="B811" s="6"/>
      <c r="C811" s="6"/>
      <c r="D811" s="6"/>
      <c r="E811" s="6"/>
      <c r="F811" s="6"/>
      <c r="G811" s="6"/>
      <c r="H811" s="6"/>
      <c r="I811" s="6"/>
      <c r="J811" s="6"/>
    </row>
    <row r="812" spans="2:10" x14ac:dyDescent="0.3">
      <c r="B812" s="6"/>
      <c r="C812" s="6"/>
      <c r="D812" s="6"/>
      <c r="E812" s="6"/>
      <c r="F812" s="6"/>
      <c r="G812" s="6"/>
      <c r="H812" s="6"/>
      <c r="I812" s="6"/>
      <c r="J812" s="6"/>
    </row>
    <row r="813" spans="2:10" x14ac:dyDescent="0.3">
      <c r="B813" s="6"/>
      <c r="C813" s="6"/>
      <c r="D813" s="6"/>
      <c r="E813" s="6"/>
      <c r="F813" s="6"/>
      <c r="G813" s="6"/>
      <c r="H813" s="6"/>
      <c r="I813" s="6"/>
      <c r="J813" s="6"/>
    </row>
    <row r="814" spans="2:10" x14ac:dyDescent="0.3">
      <c r="B814" s="6"/>
      <c r="C814" s="6"/>
      <c r="D814" s="6"/>
      <c r="E814" s="6"/>
      <c r="F814" s="6"/>
      <c r="G814" s="6"/>
      <c r="H814" s="6"/>
      <c r="I814" s="6"/>
      <c r="J814" s="6"/>
    </row>
    <row r="815" spans="2:10" x14ac:dyDescent="0.3">
      <c r="B815" s="6"/>
      <c r="C815" s="6"/>
      <c r="D815" s="6"/>
      <c r="E815" s="6"/>
      <c r="F815" s="6"/>
      <c r="G815" s="6"/>
      <c r="H815" s="6"/>
      <c r="I815" s="6"/>
      <c r="J815" s="6"/>
    </row>
    <row r="816" spans="2:10" x14ac:dyDescent="0.3">
      <c r="B816" s="6"/>
      <c r="C816" s="6"/>
      <c r="D816" s="6"/>
      <c r="E816" s="6"/>
      <c r="F816" s="6"/>
      <c r="G816" s="6"/>
      <c r="H816" s="6"/>
      <c r="I816" s="6"/>
      <c r="J816" s="6"/>
    </row>
    <row r="817" spans="2:10" x14ac:dyDescent="0.3">
      <c r="B817" s="6"/>
      <c r="C817" s="6"/>
      <c r="D817" s="6"/>
      <c r="E817" s="6"/>
      <c r="F817" s="6"/>
      <c r="G817" s="6"/>
      <c r="H817" s="6"/>
      <c r="I817" s="6"/>
      <c r="J817" s="6"/>
    </row>
    <row r="818" spans="2:10" x14ac:dyDescent="0.3">
      <c r="B818" s="6"/>
      <c r="C818" s="6"/>
      <c r="D818" s="6"/>
      <c r="E818" s="6"/>
      <c r="F818" s="6"/>
      <c r="G818" s="6"/>
      <c r="H818" s="6"/>
      <c r="I818" s="6"/>
      <c r="J818" s="6"/>
    </row>
    <row r="819" spans="2:10" x14ac:dyDescent="0.3">
      <c r="B819" s="6"/>
      <c r="C819" s="6"/>
      <c r="D819" s="6"/>
      <c r="E819" s="6"/>
      <c r="F819" s="6"/>
      <c r="G819" s="6"/>
      <c r="H819" s="6"/>
      <c r="I819" s="6"/>
      <c r="J819" s="6"/>
    </row>
    <row r="820" spans="2:10" x14ac:dyDescent="0.3">
      <c r="B820" s="6"/>
      <c r="C820" s="6"/>
      <c r="D820" s="6"/>
      <c r="E820" s="6"/>
      <c r="F820" s="6"/>
      <c r="G820" s="6"/>
      <c r="H820" s="6"/>
      <c r="I820" s="6"/>
      <c r="J820" s="6"/>
    </row>
    <row r="821" spans="2:10" x14ac:dyDescent="0.3">
      <c r="B821" s="6"/>
      <c r="C821" s="6"/>
      <c r="D821" s="6"/>
      <c r="E821" s="6"/>
      <c r="F821" s="6"/>
      <c r="G821" s="6"/>
      <c r="H821" s="6"/>
      <c r="I821" s="6"/>
      <c r="J821" s="6"/>
    </row>
    <row r="822" spans="2:10" x14ac:dyDescent="0.3">
      <c r="B822" s="6"/>
      <c r="C822" s="6"/>
      <c r="D822" s="6"/>
      <c r="E822" s="6"/>
      <c r="F822" s="6"/>
      <c r="G822" s="6"/>
      <c r="H822" s="6"/>
      <c r="I822" s="6"/>
      <c r="J822" s="6"/>
    </row>
    <row r="823" spans="2:10" x14ac:dyDescent="0.3">
      <c r="B823" s="6"/>
      <c r="C823" s="6"/>
      <c r="D823" s="6"/>
      <c r="E823" s="6"/>
      <c r="F823" s="6"/>
      <c r="G823" s="6"/>
      <c r="H823" s="6"/>
      <c r="I823" s="6"/>
      <c r="J823" s="6"/>
    </row>
    <row r="824" spans="2:10" ht="39" customHeight="1" x14ac:dyDescent="0.3">
      <c r="B824" s="6"/>
      <c r="C824" s="6"/>
      <c r="D824" s="6"/>
      <c r="E824" s="6"/>
      <c r="F824" s="6"/>
      <c r="G824" s="6"/>
      <c r="H824" s="6"/>
      <c r="I824" s="6"/>
      <c r="J824" s="6"/>
    </row>
    <row r="825" spans="2:10" x14ac:dyDescent="0.3">
      <c r="B825" s="6"/>
      <c r="C825" s="6"/>
      <c r="D825" s="6"/>
      <c r="E825" s="6"/>
      <c r="F825" s="6"/>
      <c r="G825" s="6"/>
      <c r="H825" s="6"/>
      <c r="I825" s="6"/>
      <c r="J825" s="6"/>
    </row>
    <row r="826" spans="2:10" x14ac:dyDescent="0.3">
      <c r="B826" s="6"/>
      <c r="C826" s="6"/>
      <c r="D826" s="6"/>
      <c r="E826" s="6"/>
      <c r="F826" s="6"/>
      <c r="G826" s="6"/>
      <c r="H826" s="6"/>
      <c r="I826" s="6"/>
      <c r="J826" s="6"/>
    </row>
    <row r="827" spans="2:10" x14ac:dyDescent="0.3">
      <c r="B827" s="6"/>
      <c r="C827" s="6"/>
      <c r="D827" s="6"/>
      <c r="E827" s="6"/>
      <c r="F827" s="6"/>
      <c r="G827" s="6"/>
      <c r="H827" s="6"/>
      <c r="I827" s="6"/>
      <c r="J827" s="6"/>
    </row>
    <row r="828" spans="2:10" x14ac:dyDescent="0.3">
      <c r="B828" s="6"/>
      <c r="C828" s="6"/>
      <c r="D828" s="6"/>
      <c r="E828" s="6"/>
      <c r="F828" s="6"/>
      <c r="G828" s="6"/>
      <c r="H828" s="6"/>
      <c r="I828" s="6"/>
      <c r="J828" s="6"/>
    </row>
    <row r="829" spans="2:10" x14ac:dyDescent="0.3">
      <c r="B829" s="6"/>
      <c r="C829" s="6"/>
      <c r="D829" s="6"/>
      <c r="E829" s="6"/>
      <c r="F829" s="6"/>
      <c r="G829" s="6"/>
      <c r="H829" s="6"/>
      <c r="I829" s="6"/>
      <c r="J829" s="6"/>
    </row>
    <row r="830" spans="2:10" x14ac:dyDescent="0.3">
      <c r="B830" s="6"/>
      <c r="C830" s="6"/>
      <c r="D830" s="6"/>
      <c r="E830" s="6"/>
      <c r="F830" s="6"/>
      <c r="G830" s="6"/>
      <c r="H830" s="6"/>
      <c r="I830" s="6"/>
      <c r="J830" s="6"/>
    </row>
    <row r="831" spans="2:10" x14ac:dyDescent="0.3">
      <c r="B831" s="6"/>
      <c r="C831" s="6"/>
      <c r="D831" s="6"/>
      <c r="E831" s="6"/>
      <c r="F831" s="6"/>
      <c r="G831" s="6"/>
      <c r="H831" s="6"/>
      <c r="I831" s="6"/>
      <c r="J831" s="6"/>
    </row>
    <row r="832" spans="2:10" x14ac:dyDescent="0.3">
      <c r="B832" s="6"/>
      <c r="C832" s="6"/>
      <c r="D832" s="6"/>
      <c r="E832" s="6"/>
      <c r="F832" s="6"/>
      <c r="G832" s="6"/>
      <c r="H832" s="6"/>
      <c r="I832" s="6"/>
      <c r="J832" s="6"/>
    </row>
    <row r="833" spans="2:10" x14ac:dyDescent="0.3">
      <c r="B833" s="6"/>
      <c r="C833" s="6"/>
      <c r="D833" s="6"/>
      <c r="E833" s="6"/>
      <c r="F833" s="6"/>
      <c r="G833" s="6"/>
      <c r="H833" s="6"/>
      <c r="I833" s="6"/>
      <c r="J833" s="6"/>
    </row>
    <row r="834" spans="2:10" x14ac:dyDescent="0.3">
      <c r="B834" s="6"/>
      <c r="C834" s="6"/>
      <c r="D834" s="6"/>
      <c r="E834" s="6"/>
      <c r="F834" s="6"/>
      <c r="G834" s="6"/>
      <c r="H834" s="6"/>
      <c r="I834" s="6"/>
      <c r="J834" s="6"/>
    </row>
    <row r="835" spans="2:10" x14ac:dyDescent="0.3">
      <c r="B835" s="6"/>
      <c r="C835" s="6"/>
      <c r="D835" s="6"/>
      <c r="E835" s="6"/>
      <c r="F835" s="6"/>
      <c r="G835" s="6"/>
      <c r="H835" s="6"/>
      <c r="I835" s="6"/>
      <c r="J835" s="6"/>
    </row>
    <row r="836" spans="2:10" x14ac:dyDescent="0.3">
      <c r="B836" s="6"/>
      <c r="C836" s="6"/>
      <c r="D836" s="6"/>
      <c r="E836" s="6"/>
      <c r="F836" s="6"/>
      <c r="G836" s="6"/>
      <c r="H836" s="6"/>
      <c r="I836" s="6"/>
      <c r="J836" s="6"/>
    </row>
    <row r="837" spans="2:10" x14ac:dyDescent="0.3">
      <c r="B837" s="6"/>
      <c r="C837" s="6"/>
      <c r="D837" s="6"/>
      <c r="E837" s="6"/>
      <c r="F837" s="6"/>
      <c r="G837" s="6"/>
      <c r="H837" s="6"/>
      <c r="I837" s="6"/>
      <c r="J837" s="6"/>
    </row>
    <row r="838" spans="2:10" x14ac:dyDescent="0.3">
      <c r="B838" s="6"/>
      <c r="C838" s="6"/>
      <c r="D838" s="6"/>
      <c r="E838" s="6"/>
      <c r="F838" s="6"/>
      <c r="G838" s="6"/>
      <c r="H838" s="6"/>
      <c r="I838" s="6"/>
      <c r="J838" s="6"/>
    </row>
    <row r="839" spans="2:10" x14ac:dyDescent="0.3">
      <c r="B839" s="6"/>
      <c r="C839" s="6"/>
      <c r="D839" s="6"/>
      <c r="E839" s="6"/>
      <c r="F839" s="6"/>
      <c r="G839" s="6"/>
      <c r="H839" s="6"/>
      <c r="I839" s="6"/>
      <c r="J839" s="6"/>
    </row>
    <row r="840" spans="2:10" x14ac:dyDescent="0.3">
      <c r="B840" s="6"/>
      <c r="C840" s="6"/>
      <c r="D840" s="6"/>
      <c r="E840" s="6"/>
      <c r="F840" s="6"/>
      <c r="G840" s="6"/>
      <c r="H840" s="6"/>
      <c r="I840" s="6"/>
      <c r="J840" s="6"/>
    </row>
    <row r="841" spans="2:10" x14ac:dyDescent="0.3">
      <c r="B841" s="6"/>
      <c r="C841" s="6"/>
      <c r="D841" s="6"/>
      <c r="E841" s="6"/>
      <c r="F841" s="6"/>
      <c r="G841" s="6"/>
      <c r="H841" s="6"/>
      <c r="I841" s="6"/>
      <c r="J841" s="6"/>
    </row>
    <row r="842" spans="2:10" x14ac:dyDescent="0.3">
      <c r="B842" s="6"/>
      <c r="C842" s="6"/>
      <c r="D842" s="6"/>
      <c r="E842" s="6"/>
      <c r="F842" s="6"/>
      <c r="G842" s="6"/>
      <c r="H842" s="6"/>
      <c r="I842" s="6"/>
      <c r="J842" s="6"/>
    </row>
    <row r="843" spans="2:10" x14ac:dyDescent="0.3">
      <c r="B843" s="6"/>
      <c r="C843" s="6"/>
      <c r="D843" s="6"/>
      <c r="E843" s="6"/>
      <c r="F843" s="6"/>
      <c r="G843" s="6"/>
      <c r="H843" s="6"/>
      <c r="I843" s="6"/>
      <c r="J843" s="6"/>
    </row>
    <row r="844" spans="2:10" x14ac:dyDescent="0.3">
      <c r="B844" s="6"/>
      <c r="C844" s="6"/>
      <c r="D844" s="6"/>
      <c r="E844" s="6"/>
      <c r="F844" s="6"/>
      <c r="G844" s="6"/>
      <c r="H844" s="6"/>
      <c r="I844" s="6"/>
      <c r="J844" s="6"/>
    </row>
    <row r="845" spans="2:10" x14ac:dyDescent="0.3">
      <c r="B845" s="6"/>
      <c r="C845" s="6"/>
      <c r="D845" s="6"/>
      <c r="E845" s="6"/>
      <c r="F845" s="6"/>
      <c r="G845" s="6"/>
      <c r="H845" s="6"/>
      <c r="I845" s="6"/>
      <c r="J845" s="6"/>
    </row>
    <row r="846" spans="2:10" x14ac:dyDescent="0.3">
      <c r="B846" s="6"/>
      <c r="C846" s="6"/>
      <c r="D846" s="6"/>
      <c r="E846" s="6"/>
      <c r="F846" s="6"/>
      <c r="G846" s="6"/>
      <c r="H846" s="6"/>
      <c r="I846" s="6"/>
      <c r="J846" s="6"/>
    </row>
    <row r="847" spans="2:10" x14ac:dyDescent="0.3">
      <c r="B847" s="6"/>
      <c r="C847" s="6"/>
      <c r="D847" s="6"/>
      <c r="E847" s="6"/>
      <c r="F847" s="6"/>
      <c r="G847" s="6"/>
      <c r="H847" s="6"/>
      <c r="I847" s="6"/>
      <c r="J847" s="6"/>
    </row>
    <row r="848" spans="2:10" x14ac:dyDescent="0.3">
      <c r="B848" s="6"/>
      <c r="C848" s="6"/>
      <c r="D848" s="6"/>
      <c r="E848" s="6"/>
      <c r="F848" s="6"/>
      <c r="G848" s="6"/>
      <c r="H848" s="6"/>
      <c r="I848" s="6"/>
      <c r="J848" s="6"/>
    </row>
    <row r="849" spans="2:10" x14ac:dyDescent="0.3">
      <c r="B849" s="6"/>
      <c r="C849" s="6"/>
      <c r="D849" s="6"/>
      <c r="E849" s="6"/>
      <c r="F849" s="6"/>
      <c r="G849" s="6"/>
      <c r="H849" s="6"/>
      <c r="I849" s="6"/>
      <c r="J849" s="6"/>
    </row>
    <row r="850" spans="2:10" x14ac:dyDescent="0.3">
      <c r="B850" s="6"/>
      <c r="C850" s="6"/>
      <c r="D850" s="6"/>
      <c r="E850" s="6"/>
      <c r="F850" s="6"/>
      <c r="G850" s="6"/>
      <c r="H850" s="6"/>
      <c r="I850" s="6"/>
      <c r="J850" s="6"/>
    </row>
    <row r="851" spans="2:10" x14ac:dyDescent="0.3">
      <c r="B851" s="6"/>
      <c r="C851" s="6"/>
      <c r="D851" s="6"/>
      <c r="E851" s="6"/>
      <c r="F851" s="6"/>
      <c r="G851" s="6"/>
      <c r="H851" s="6"/>
      <c r="I851" s="6"/>
      <c r="J851" s="6"/>
    </row>
    <row r="852" spans="2:10" x14ac:dyDescent="0.3">
      <c r="B852" s="6"/>
      <c r="C852" s="6"/>
      <c r="D852" s="6"/>
      <c r="E852" s="6"/>
      <c r="F852" s="6"/>
      <c r="G852" s="6"/>
      <c r="H852" s="6"/>
      <c r="I852" s="6"/>
      <c r="J852" s="6"/>
    </row>
    <row r="853" spans="2:10" x14ac:dyDescent="0.3">
      <c r="B853" s="6"/>
      <c r="C853" s="6"/>
      <c r="D853" s="6"/>
      <c r="E853" s="6"/>
      <c r="F853" s="6"/>
      <c r="G853" s="6"/>
      <c r="H853" s="6"/>
      <c r="I853" s="6"/>
      <c r="J853" s="6"/>
    </row>
    <row r="854" spans="2:10" x14ac:dyDescent="0.3">
      <c r="B854" s="6"/>
      <c r="C854" s="6"/>
      <c r="D854" s="6"/>
      <c r="E854" s="6"/>
      <c r="F854" s="6"/>
      <c r="G854" s="6"/>
      <c r="H854" s="6"/>
      <c r="I854" s="6"/>
      <c r="J854" s="6"/>
    </row>
    <row r="855" spans="2:10" x14ac:dyDescent="0.3">
      <c r="B855" s="6"/>
      <c r="C855" s="6"/>
      <c r="D855" s="6"/>
      <c r="E855" s="6"/>
      <c r="F855" s="6"/>
      <c r="G855" s="6"/>
      <c r="H855" s="6"/>
      <c r="I855" s="6"/>
      <c r="J855" s="6"/>
    </row>
    <row r="856" spans="2:10" x14ac:dyDescent="0.3">
      <c r="B856" s="6"/>
      <c r="C856" s="6"/>
      <c r="D856" s="6"/>
      <c r="E856" s="6"/>
      <c r="F856" s="6"/>
      <c r="G856" s="6"/>
      <c r="H856" s="6"/>
      <c r="I856" s="6"/>
      <c r="J856" s="6"/>
    </row>
    <row r="857" spans="2:10" x14ac:dyDescent="0.3">
      <c r="B857" s="6"/>
      <c r="C857" s="6"/>
      <c r="D857" s="6"/>
      <c r="E857" s="6"/>
      <c r="F857" s="6"/>
      <c r="G857" s="6"/>
      <c r="H857" s="6"/>
      <c r="I857" s="6"/>
      <c r="J857" s="6"/>
    </row>
    <row r="858" spans="2:10" x14ac:dyDescent="0.3">
      <c r="B858" s="6"/>
      <c r="C858" s="6"/>
      <c r="D858" s="6"/>
      <c r="E858" s="6"/>
      <c r="F858" s="6"/>
      <c r="G858" s="6"/>
      <c r="H858" s="6"/>
      <c r="I858" s="6"/>
      <c r="J858" s="6"/>
    </row>
    <row r="859" spans="2:10" x14ac:dyDescent="0.3">
      <c r="B859" s="6"/>
      <c r="C859" s="6"/>
      <c r="D859" s="6"/>
      <c r="E859" s="6"/>
      <c r="F859" s="6"/>
      <c r="G859" s="6"/>
      <c r="H859" s="6"/>
      <c r="I859" s="6"/>
      <c r="J859" s="6"/>
    </row>
    <row r="860" spans="2:10" x14ac:dyDescent="0.3">
      <c r="B860" s="6"/>
      <c r="C860" s="6"/>
      <c r="D860" s="6"/>
      <c r="E860" s="6"/>
      <c r="F860" s="6"/>
      <c r="G860" s="6"/>
      <c r="H860" s="6"/>
      <c r="I860" s="6"/>
      <c r="J860" s="6"/>
    </row>
    <row r="861" spans="2:10" x14ac:dyDescent="0.3">
      <c r="B861" s="6"/>
      <c r="C861" s="6"/>
      <c r="D861" s="6"/>
      <c r="E861" s="6"/>
      <c r="F861" s="6"/>
      <c r="G861" s="6"/>
      <c r="H861" s="6"/>
      <c r="I861" s="6"/>
      <c r="J861" s="6"/>
    </row>
    <row r="862" spans="2:10" x14ac:dyDescent="0.3">
      <c r="B862" s="6"/>
      <c r="C862" s="6"/>
      <c r="D862" s="6"/>
      <c r="E862" s="6"/>
      <c r="F862" s="6"/>
      <c r="G862" s="6"/>
      <c r="H862" s="6"/>
      <c r="I862" s="6"/>
      <c r="J862" s="6"/>
    </row>
    <row r="863" spans="2:10" x14ac:dyDescent="0.3">
      <c r="B863" s="6"/>
      <c r="C863" s="6"/>
      <c r="D863" s="6"/>
      <c r="E863" s="6"/>
      <c r="F863" s="6"/>
      <c r="G863" s="6"/>
      <c r="H863" s="6"/>
      <c r="I863" s="6"/>
      <c r="J863" s="6"/>
    </row>
    <row r="864" spans="2:10" x14ac:dyDescent="0.3">
      <c r="B864" s="6"/>
      <c r="C864" s="6"/>
      <c r="D864" s="6"/>
      <c r="E864" s="6"/>
      <c r="F864" s="6"/>
      <c r="G864" s="6"/>
      <c r="H864" s="6"/>
      <c r="I864" s="6"/>
      <c r="J864" s="6"/>
    </row>
    <row r="865" spans="2:10" x14ac:dyDescent="0.3">
      <c r="B865" s="6"/>
      <c r="C865" s="6"/>
      <c r="D865" s="6"/>
      <c r="E865" s="6"/>
      <c r="F865" s="6"/>
      <c r="G865" s="6"/>
      <c r="H865" s="6"/>
      <c r="I865" s="6"/>
      <c r="J865" s="6"/>
    </row>
    <row r="866" spans="2:10" x14ac:dyDescent="0.3">
      <c r="B866" s="6"/>
      <c r="C866" s="6"/>
      <c r="D866" s="6"/>
      <c r="E866" s="6"/>
      <c r="F866" s="6"/>
      <c r="G866" s="6"/>
      <c r="H866" s="6"/>
      <c r="I866" s="6"/>
      <c r="J866" s="6"/>
    </row>
    <row r="867" spans="2:10" x14ac:dyDescent="0.3">
      <c r="B867" s="6"/>
      <c r="C867" s="6"/>
      <c r="D867" s="6"/>
      <c r="E867" s="6"/>
      <c r="F867" s="6"/>
      <c r="G867" s="6"/>
      <c r="H867" s="6"/>
      <c r="I867" s="6"/>
      <c r="J867" s="6"/>
    </row>
    <row r="868" spans="2:10" x14ac:dyDescent="0.3">
      <c r="B868" s="6"/>
      <c r="C868" s="6"/>
      <c r="D868" s="6"/>
      <c r="E868" s="6"/>
      <c r="F868" s="6"/>
      <c r="G868" s="6"/>
      <c r="H868" s="6"/>
      <c r="I868" s="6"/>
      <c r="J868" s="6"/>
    </row>
    <row r="869" spans="2:10" x14ac:dyDescent="0.3">
      <c r="B869" s="6"/>
      <c r="C869" s="6"/>
      <c r="D869" s="6"/>
      <c r="E869" s="6"/>
      <c r="F869" s="6"/>
      <c r="G869" s="6"/>
      <c r="H869" s="6"/>
      <c r="I869" s="6"/>
      <c r="J869" s="6"/>
    </row>
    <row r="870" spans="2:10" x14ac:dyDescent="0.3">
      <c r="B870" s="6"/>
      <c r="C870" s="6"/>
      <c r="D870" s="6"/>
      <c r="E870" s="6"/>
      <c r="F870" s="6"/>
      <c r="G870" s="6"/>
      <c r="H870" s="6"/>
      <c r="I870" s="6"/>
      <c r="J870" s="6"/>
    </row>
    <row r="871" spans="2:10" x14ac:dyDescent="0.3">
      <c r="B871" s="6"/>
      <c r="C871" s="6"/>
      <c r="D871" s="6"/>
      <c r="E871" s="6"/>
      <c r="F871" s="6"/>
      <c r="G871" s="6"/>
      <c r="H871" s="6"/>
      <c r="I871" s="6"/>
      <c r="J871" s="6"/>
    </row>
    <row r="872" spans="2:10" x14ac:dyDescent="0.3">
      <c r="B872" s="6"/>
      <c r="C872" s="6"/>
      <c r="D872" s="6"/>
      <c r="E872" s="6"/>
      <c r="F872" s="6"/>
      <c r="G872" s="6"/>
      <c r="H872" s="6"/>
      <c r="I872" s="6"/>
      <c r="J872" s="6"/>
    </row>
    <row r="873" spans="2:10" x14ac:dyDescent="0.3">
      <c r="B873" s="6"/>
      <c r="C873" s="6"/>
      <c r="D873" s="6"/>
      <c r="E873" s="6"/>
      <c r="F873" s="6"/>
      <c r="G873" s="6"/>
      <c r="H873" s="6"/>
      <c r="I873" s="6"/>
      <c r="J873" s="6"/>
    </row>
    <row r="874" spans="2:10" x14ac:dyDescent="0.3">
      <c r="B874" s="6"/>
      <c r="C874" s="6"/>
      <c r="D874" s="6"/>
      <c r="E874" s="6"/>
      <c r="F874" s="6"/>
      <c r="G874" s="6"/>
      <c r="H874" s="6"/>
      <c r="I874" s="6"/>
      <c r="J874" s="6"/>
    </row>
    <row r="875" spans="2:10" x14ac:dyDescent="0.3">
      <c r="B875" s="6"/>
      <c r="C875" s="6"/>
      <c r="D875" s="6"/>
      <c r="E875" s="6"/>
      <c r="F875" s="6"/>
      <c r="G875" s="6"/>
      <c r="H875" s="6"/>
      <c r="I875" s="6"/>
      <c r="J875" s="6"/>
    </row>
    <row r="876" spans="2:10" x14ac:dyDescent="0.3">
      <c r="B876" s="6"/>
      <c r="C876" s="6"/>
      <c r="D876" s="6"/>
      <c r="E876" s="6"/>
      <c r="F876" s="6"/>
      <c r="G876" s="6"/>
      <c r="H876" s="6"/>
      <c r="I876" s="6"/>
      <c r="J876" s="6"/>
    </row>
    <row r="877" spans="2:10" x14ac:dyDescent="0.3">
      <c r="B877" s="6"/>
      <c r="C877" s="6"/>
      <c r="D877" s="6"/>
      <c r="E877" s="6"/>
      <c r="F877" s="6"/>
      <c r="G877" s="6"/>
      <c r="H877" s="6"/>
      <c r="I877" s="6"/>
      <c r="J877" s="6"/>
    </row>
    <row r="878" spans="2:10" x14ac:dyDescent="0.3">
      <c r="B878" s="6"/>
      <c r="C878" s="6"/>
      <c r="D878" s="6"/>
      <c r="E878" s="6"/>
      <c r="F878" s="6"/>
      <c r="G878" s="6"/>
      <c r="H878" s="6"/>
      <c r="I878" s="6"/>
      <c r="J878" s="6"/>
    </row>
    <row r="879" spans="2:10" x14ac:dyDescent="0.3">
      <c r="B879" s="6"/>
      <c r="C879" s="6"/>
      <c r="D879" s="6"/>
      <c r="E879" s="6"/>
      <c r="F879" s="6"/>
      <c r="G879" s="6"/>
      <c r="H879" s="6"/>
      <c r="I879" s="6"/>
      <c r="J879" s="6"/>
    </row>
    <row r="880" spans="2:10" x14ac:dyDescent="0.3">
      <c r="B880" s="6"/>
      <c r="C880" s="6"/>
      <c r="D880" s="6"/>
      <c r="E880" s="6"/>
      <c r="F880" s="6"/>
      <c r="G880" s="6"/>
      <c r="H880" s="6"/>
      <c r="I880" s="6"/>
      <c r="J880" s="6"/>
    </row>
    <row r="881" spans="2:10" x14ac:dyDescent="0.3">
      <c r="B881" s="6"/>
      <c r="C881" s="6"/>
      <c r="D881" s="6"/>
      <c r="E881" s="6"/>
      <c r="F881" s="6"/>
      <c r="G881" s="6"/>
      <c r="H881" s="6"/>
      <c r="I881" s="6"/>
      <c r="J881" s="6"/>
    </row>
    <row r="882" spans="2:10" x14ac:dyDescent="0.3">
      <c r="B882" s="6"/>
      <c r="C882" s="6"/>
      <c r="D882" s="6"/>
      <c r="E882" s="6"/>
      <c r="F882" s="6"/>
      <c r="G882" s="6"/>
      <c r="H882" s="6"/>
      <c r="I882" s="6"/>
      <c r="J882" s="6"/>
    </row>
    <row r="883" spans="2:10" x14ac:dyDescent="0.3">
      <c r="B883" s="6"/>
      <c r="C883" s="6"/>
      <c r="D883" s="6"/>
      <c r="E883" s="6"/>
      <c r="F883" s="6"/>
      <c r="G883" s="6"/>
      <c r="H883" s="6"/>
      <c r="I883" s="6"/>
      <c r="J883" s="6"/>
    </row>
    <row r="884" spans="2:10" x14ac:dyDescent="0.3">
      <c r="B884" s="6"/>
      <c r="C884" s="6"/>
      <c r="D884" s="6"/>
      <c r="E884" s="6"/>
      <c r="F884" s="6"/>
      <c r="G884" s="6"/>
      <c r="H884" s="6"/>
      <c r="I884" s="6"/>
      <c r="J884" s="6"/>
    </row>
    <row r="885" spans="2:10" x14ac:dyDescent="0.3">
      <c r="B885" s="6"/>
      <c r="C885" s="6"/>
      <c r="D885" s="6"/>
      <c r="E885" s="6"/>
      <c r="F885" s="6"/>
      <c r="G885" s="6"/>
      <c r="H885" s="6"/>
      <c r="I885" s="6"/>
      <c r="J885" s="6"/>
    </row>
    <row r="886" spans="2:10" x14ac:dyDescent="0.3">
      <c r="B886" s="6"/>
      <c r="C886" s="6"/>
      <c r="D886" s="6"/>
      <c r="E886" s="6"/>
      <c r="F886" s="6"/>
      <c r="G886" s="6"/>
      <c r="H886" s="6"/>
      <c r="I886" s="6"/>
      <c r="J886" s="6"/>
    </row>
    <row r="887" spans="2:10" x14ac:dyDescent="0.3">
      <c r="B887" s="6"/>
      <c r="C887" s="6"/>
      <c r="D887" s="6"/>
      <c r="E887" s="6"/>
      <c r="F887" s="6"/>
      <c r="G887" s="6"/>
      <c r="H887" s="6"/>
      <c r="I887" s="6"/>
      <c r="J887" s="6"/>
    </row>
    <row r="888" spans="2:10" x14ac:dyDescent="0.3">
      <c r="B888" s="6"/>
      <c r="C888" s="6"/>
      <c r="D888" s="6"/>
      <c r="E888" s="6"/>
      <c r="F888" s="6"/>
      <c r="G888" s="6"/>
      <c r="H888" s="6"/>
      <c r="I888" s="6"/>
      <c r="J888" s="6"/>
    </row>
    <row r="889" spans="2:10" x14ac:dyDescent="0.3">
      <c r="B889" s="6"/>
      <c r="C889" s="6"/>
      <c r="D889" s="6"/>
      <c r="E889" s="6"/>
      <c r="F889" s="6"/>
      <c r="G889" s="6"/>
      <c r="H889" s="6"/>
      <c r="I889" s="6"/>
      <c r="J889" s="6"/>
    </row>
    <row r="890" spans="2:10" x14ac:dyDescent="0.3">
      <c r="B890" s="6"/>
      <c r="C890" s="6"/>
      <c r="D890" s="6"/>
      <c r="E890" s="6"/>
      <c r="F890" s="6"/>
      <c r="G890" s="6"/>
      <c r="H890" s="6"/>
      <c r="I890" s="6"/>
      <c r="J890" s="6"/>
    </row>
    <row r="891" spans="2:10" x14ac:dyDescent="0.3">
      <c r="B891" s="6"/>
      <c r="C891" s="6"/>
      <c r="D891" s="6"/>
      <c r="E891" s="6"/>
      <c r="F891" s="6"/>
      <c r="G891" s="6"/>
      <c r="H891" s="6"/>
      <c r="I891" s="6"/>
      <c r="J891" s="6"/>
    </row>
    <row r="892" spans="2:10" x14ac:dyDescent="0.3">
      <c r="B892" s="6"/>
      <c r="C892" s="6"/>
      <c r="D892" s="6"/>
      <c r="E892" s="6"/>
      <c r="F892" s="6"/>
      <c r="G892" s="6"/>
      <c r="H892" s="6"/>
      <c r="I892" s="6"/>
      <c r="J892" s="6"/>
    </row>
    <row r="893" spans="2:10" x14ac:dyDescent="0.3">
      <c r="B893" s="6"/>
      <c r="C893" s="6"/>
      <c r="D893" s="6"/>
      <c r="E893" s="6"/>
      <c r="F893" s="6"/>
      <c r="G893" s="6"/>
      <c r="H893" s="6"/>
      <c r="I893" s="6"/>
      <c r="J893" s="6"/>
    </row>
    <row r="894" spans="2:10" x14ac:dyDescent="0.3">
      <c r="B894" s="6"/>
      <c r="C894" s="6"/>
      <c r="D894" s="6"/>
      <c r="E894" s="6"/>
      <c r="F894" s="6"/>
      <c r="G894" s="6"/>
      <c r="H894" s="6"/>
      <c r="I894" s="6"/>
      <c r="J894" s="6"/>
    </row>
    <row r="895" spans="2:10" x14ac:dyDescent="0.3">
      <c r="B895" s="6"/>
      <c r="C895" s="6"/>
      <c r="D895" s="6"/>
      <c r="E895" s="6"/>
      <c r="F895" s="6"/>
      <c r="G895" s="6"/>
      <c r="H895" s="6"/>
      <c r="I895" s="6"/>
      <c r="J895" s="6"/>
    </row>
    <row r="896" spans="2:10" x14ac:dyDescent="0.3">
      <c r="B896" s="6"/>
      <c r="C896" s="6"/>
      <c r="D896" s="6"/>
      <c r="E896" s="6"/>
      <c r="F896" s="6"/>
      <c r="G896" s="6"/>
      <c r="H896" s="6"/>
      <c r="I896" s="6"/>
      <c r="J896" s="6"/>
    </row>
    <row r="897" spans="2:10" x14ac:dyDescent="0.3">
      <c r="B897" s="6"/>
      <c r="C897" s="6"/>
      <c r="D897" s="6"/>
      <c r="E897" s="6"/>
      <c r="F897" s="6"/>
      <c r="G897" s="6"/>
      <c r="H897" s="6"/>
      <c r="I897" s="6"/>
      <c r="J897" s="6"/>
    </row>
    <row r="898" spans="2:10" x14ac:dyDescent="0.3">
      <c r="B898" s="6"/>
      <c r="C898" s="6"/>
      <c r="D898" s="6"/>
      <c r="E898" s="6"/>
      <c r="F898" s="6"/>
      <c r="G898" s="6"/>
      <c r="H898" s="6"/>
      <c r="I898" s="6"/>
      <c r="J898" s="6"/>
    </row>
    <row r="899" spans="2:10" x14ac:dyDescent="0.3">
      <c r="B899" s="6"/>
      <c r="C899" s="6"/>
      <c r="D899" s="6"/>
      <c r="E899" s="6"/>
      <c r="F899" s="6"/>
      <c r="G899" s="6"/>
      <c r="H899" s="6"/>
      <c r="I899" s="6"/>
      <c r="J899" s="6"/>
    </row>
    <row r="900" spans="2:10" x14ac:dyDescent="0.3">
      <c r="B900" s="6"/>
      <c r="C900" s="6"/>
      <c r="D900" s="6"/>
      <c r="E900" s="6"/>
      <c r="F900" s="6"/>
      <c r="G900" s="6"/>
      <c r="H900" s="6"/>
      <c r="I900" s="6"/>
      <c r="J900" s="6"/>
    </row>
    <row r="901" spans="2:10" x14ac:dyDescent="0.3">
      <c r="B901" s="6"/>
      <c r="C901" s="6"/>
      <c r="D901" s="6"/>
      <c r="E901" s="6"/>
      <c r="F901" s="6"/>
      <c r="G901" s="6"/>
      <c r="H901" s="6"/>
      <c r="I901" s="6"/>
      <c r="J901" s="6"/>
    </row>
    <row r="902" spans="2:10" x14ac:dyDescent="0.3">
      <c r="B902" s="6"/>
      <c r="C902" s="6"/>
      <c r="D902" s="6"/>
      <c r="E902" s="6"/>
      <c r="F902" s="6"/>
      <c r="G902" s="6"/>
      <c r="H902" s="6"/>
      <c r="I902" s="6"/>
      <c r="J902" s="6"/>
    </row>
    <row r="903" spans="2:10" x14ac:dyDescent="0.3">
      <c r="B903" s="6"/>
      <c r="C903" s="6"/>
      <c r="D903" s="6"/>
      <c r="E903" s="6"/>
      <c r="F903" s="6"/>
      <c r="G903" s="6"/>
      <c r="H903" s="6"/>
      <c r="I903" s="6"/>
      <c r="J903" s="6"/>
    </row>
    <row r="904" spans="2:10" x14ac:dyDescent="0.3">
      <c r="B904" s="6"/>
      <c r="C904" s="6"/>
      <c r="D904" s="6"/>
      <c r="E904" s="6"/>
      <c r="F904" s="6"/>
      <c r="G904" s="6"/>
      <c r="H904" s="6"/>
      <c r="I904" s="6"/>
      <c r="J904" s="6"/>
    </row>
    <row r="905" spans="2:10" x14ac:dyDescent="0.3">
      <c r="B905" s="6"/>
      <c r="C905" s="6"/>
      <c r="D905" s="6"/>
      <c r="E905" s="6"/>
      <c r="F905" s="6"/>
      <c r="G905" s="6"/>
      <c r="H905" s="6"/>
      <c r="I905" s="6"/>
      <c r="J905" s="6"/>
    </row>
    <row r="906" spans="2:10" x14ac:dyDescent="0.3">
      <c r="B906" s="6"/>
      <c r="C906" s="6"/>
      <c r="D906" s="6"/>
      <c r="E906" s="6"/>
      <c r="F906" s="6"/>
      <c r="G906" s="6"/>
      <c r="H906" s="6"/>
      <c r="I906" s="6"/>
      <c r="J906" s="6"/>
    </row>
    <row r="907" spans="2:10" x14ac:dyDescent="0.3">
      <c r="B907" s="6"/>
      <c r="C907" s="6"/>
      <c r="D907" s="6"/>
      <c r="E907" s="6"/>
      <c r="F907" s="6"/>
      <c r="G907" s="6"/>
      <c r="H907" s="6"/>
      <c r="I907" s="6"/>
      <c r="J907" s="6"/>
    </row>
    <row r="908" spans="2:10" x14ac:dyDescent="0.3">
      <c r="B908" s="6"/>
      <c r="C908" s="6"/>
      <c r="D908" s="6"/>
      <c r="E908" s="6"/>
      <c r="F908" s="6"/>
      <c r="G908" s="6"/>
      <c r="H908" s="6"/>
      <c r="I908" s="6"/>
      <c r="J908" s="6"/>
    </row>
    <row r="909" spans="2:10" x14ac:dyDescent="0.3">
      <c r="B909" s="6"/>
      <c r="C909" s="6"/>
      <c r="D909" s="6"/>
      <c r="E909" s="6"/>
      <c r="F909" s="6"/>
      <c r="G909" s="6"/>
      <c r="H909" s="6"/>
      <c r="I909" s="6"/>
      <c r="J909" s="6"/>
    </row>
    <row r="910" spans="2:10" x14ac:dyDescent="0.3">
      <c r="B910" s="6"/>
      <c r="C910" s="6"/>
      <c r="D910" s="6"/>
      <c r="E910" s="6"/>
      <c r="F910" s="6"/>
      <c r="G910" s="6"/>
      <c r="H910" s="6"/>
      <c r="I910" s="6"/>
      <c r="J910" s="6"/>
    </row>
    <row r="911" spans="2:10" x14ac:dyDescent="0.3">
      <c r="B911" s="6"/>
      <c r="C911" s="6"/>
      <c r="D911" s="6"/>
      <c r="E911" s="6"/>
      <c r="F911" s="6"/>
      <c r="G911" s="6"/>
      <c r="H911" s="6"/>
      <c r="I911" s="6"/>
      <c r="J911" s="6"/>
    </row>
    <row r="912" spans="2:10" x14ac:dyDescent="0.3">
      <c r="B912" s="6"/>
      <c r="C912" s="6"/>
      <c r="D912" s="6"/>
      <c r="E912" s="6"/>
      <c r="F912" s="6"/>
      <c r="G912" s="6"/>
      <c r="H912" s="6"/>
      <c r="I912" s="6"/>
      <c r="J912" s="6"/>
    </row>
    <row r="913" spans="2:10" x14ac:dyDescent="0.3">
      <c r="B913" s="6"/>
      <c r="C913" s="6"/>
      <c r="D913" s="6"/>
      <c r="E913" s="6"/>
      <c r="F913" s="6"/>
      <c r="G913" s="6"/>
      <c r="H913" s="6"/>
      <c r="I913" s="6"/>
      <c r="J913" s="6"/>
    </row>
    <row r="914" spans="2:10" x14ac:dyDescent="0.3">
      <c r="B914" s="6"/>
      <c r="C914" s="6"/>
      <c r="D914" s="6"/>
      <c r="E914" s="6"/>
      <c r="F914" s="6"/>
      <c r="G914" s="6"/>
      <c r="H914" s="6"/>
      <c r="I914" s="6"/>
      <c r="J914" s="6"/>
    </row>
    <row r="915" spans="2:10" x14ac:dyDescent="0.3">
      <c r="B915" s="6"/>
      <c r="C915" s="6"/>
      <c r="D915" s="6"/>
      <c r="E915" s="6"/>
      <c r="F915" s="6"/>
      <c r="G915" s="6"/>
      <c r="H915" s="6"/>
      <c r="I915" s="6"/>
      <c r="J915" s="6"/>
    </row>
    <row r="916" spans="2:10" x14ac:dyDescent="0.3">
      <c r="B916" s="6"/>
      <c r="C916" s="6"/>
      <c r="D916" s="6"/>
      <c r="E916" s="6"/>
      <c r="F916" s="6"/>
      <c r="G916" s="6"/>
      <c r="H916" s="6"/>
      <c r="I916" s="6"/>
      <c r="J916" s="6"/>
    </row>
    <row r="917" spans="2:10" x14ac:dyDescent="0.3">
      <c r="B917" s="6"/>
      <c r="C917" s="6"/>
      <c r="D917" s="6"/>
      <c r="E917" s="6"/>
      <c r="F917" s="6"/>
      <c r="G917" s="6"/>
      <c r="H917" s="6"/>
      <c r="I917" s="6"/>
      <c r="J917" s="6"/>
    </row>
    <row r="918" spans="2:10" x14ac:dyDescent="0.3">
      <c r="B918" s="6"/>
      <c r="C918" s="6"/>
      <c r="D918" s="6"/>
      <c r="E918" s="6"/>
      <c r="F918" s="6"/>
      <c r="G918" s="6"/>
      <c r="H918" s="6"/>
      <c r="I918" s="6"/>
      <c r="J918" s="6"/>
    </row>
    <row r="919" spans="2:10" x14ac:dyDescent="0.3">
      <c r="B919" s="6"/>
      <c r="C919" s="6"/>
      <c r="D919" s="6"/>
      <c r="E919" s="6"/>
      <c r="F919" s="6"/>
      <c r="G919" s="6"/>
      <c r="H919" s="6"/>
      <c r="I919" s="6"/>
      <c r="J919" s="6"/>
    </row>
    <row r="920" spans="2:10" x14ac:dyDescent="0.3">
      <c r="B920" s="6"/>
      <c r="C920" s="6"/>
      <c r="D920" s="6"/>
      <c r="E920" s="6"/>
      <c r="F920" s="6"/>
      <c r="G920" s="6"/>
      <c r="H920" s="6"/>
      <c r="I920" s="6"/>
      <c r="J920" s="6"/>
    </row>
    <row r="921" spans="2:10" x14ac:dyDescent="0.3">
      <c r="B921" s="6"/>
      <c r="C921" s="6"/>
      <c r="D921" s="6"/>
      <c r="E921" s="6"/>
      <c r="F921" s="6"/>
      <c r="G921" s="6"/>
      <c r="H921" s="6"/>
      <c r="I921" s="6"/>
      <c r="J921" s="6"/>
    </row>
    <row r="922" spans="2:10" x14ac:dyDescent="0.3">
      <c r="B922" s="6"/>
      <c r="C922" s="6"/>
      <c r="D922" s="6"/>
      <c r="E922" s="6"/>
      <c r="F922" s="6"/>
      <c r="G922" s="6"/>
      <c r="H922" s="6"/>
      <c r="I922" s="6"/>
      <c r="J922" s="6"/>
    </row>
    <row r="923" spans="2:10" x14ac:dyDescent="0.3">
      <c r="B923" s="6"/>
      <c r="C923" s="6"/>
      <c r="D923" s="6"/>
      <c r="E923" s="6"/>
      <c r="F923" s="6"/>
      <c r="G923" s="6"/>
      <c r="H923" s="6"/>
      <c r="I923" s="6"/>
      <c r="J923" s="6"/>
    </row>
    <row r="924" spans="2:10" x14ac:dyDescent="0.3">
      <c r="B924" s="6"/>
      <c r="C924" s="6"/>
      <c r="D924" s="6"/>
      <c r="E924" s="6"/>
      <c r="F924" s="6"/>
      <c r="G924" s="6"/>
      <c r="H924" s="6"/>
      <c r="I924" s="6"/>
      <c r="J924" s="6"/>
    </row>
    <row r="925" spans="2:10" x14ac:dyDescent="0.3">
      <c r="B925" s="6"/>
      <c r="C925" s="6"/>
      <c r="D925" s="6"/>
      <c r="E925" s="6"/>
      <c r="F925" s="6"/>
      <c r="G925" s="6"/>
      <c r="H925" s="6"/>
      <c r="I925" s="6"/>
      <c r="J925" s="6"/>
    </row>
    <row r="926" spans="2:10" x14ac:dyDescent="0.3">
      <c r="B926" s="6"/>
      <c r="C926" s="6"/>
      <c r="D926" s="6"/>
      <c r="E926" s="6"/>
      <c r="F926" s="6"/>
      <c r="G926" s="6"/>
      <c r="H926" s="6"/>
      <c r="I926" s="6"/>
      <c r="J926" s="6"/>
    </row>
    <row r="927" spans="2:10" x14ac:dyDescent="0.3">
      <c r="B927" s="6"/>
      <c r="C927" s="6"/>
      <c r="D927" s="6"/>
      <c r="E927" s="6"/>
      <c r="F927" s="6"/>
      <c r="G927" s="6"/>
      <c r="H927" s="6"/>
      <c r="I927" s="6"/>
      <c r="J927" s="6"/>
    </row>
    <row r="928" spans="2:10" x14ac:dyDescent="0.3">
      <c r="B928" s="6"/>
      <c r="C928" s="6"/>
      <c r="D928" s="6"/>
      <c r="E928" s="6"/>
      <c r="F928" s="6"/>
      <c r="G928" s="6"/>
      <c r="H928" s="6"/>
      <c r="I928" s="6"/>
      <c r="J928" s="6"/>
    </row>
    <row r="929" spans="2:10" x14ac:dyDescent="0.3">
      <c r="B929" s="6"/>
      <c r="C929" s="6"/>
      <c r="D929" s="6"/>
      <c r="E929" s="6"/>
      <c r="F929" s="6"/>
      <c r="G929" s="6"/>
      <c r="H929" s="6"/>
      <c r="I929" s="6"/>
      <c r="J929" s="6"/>
    </row>
    <row r="930" spans="2:10" x14ac:dyDescent="0.3">
      <c r="B930" s="6"/>
      <c r="C930" s="6"/>
      <c r="D930" s="6"/>
      <c r="E930" s="6"/>
      <c r="F930" s="6"/>
      <c r="G930" s="6"/>
      <c r="H930" s="6"/>
      <c r="I930" s="6"/>
      <c r="J930" s="6"/>
    </row>
    <row r="931" spans="2:10" x14ac:dyDescent="0.3">
      <c r="B931" s="6"/>
      <c r="C931" s="6"/>
      <c r="D931" s="6"/>
      <c r="E931" s="6"/>
      <c r="F931" s="6"/>
      <c r="G931" s="6"/>
      <c r="H931" s="6"/>
      <c r="I931" s="6"/>
      <c r="J931" s="6"/>
    </row>
    <row r="932" spans="2:10" x14ac:dyDescent="0.3">
      <c r="B932" s="6"/>
      <c r="C932" s="6"/>
      <c r="D932" s="6"/>
      <c r="E932" s="6"/>
      <c r="F932" s="6"/>
      <c r="G932" s="6"/>
      <c r="H932" s="6"/>
      <c r="I932" s="6"/>
      <c r="J932" s="6"/>
    </row>
    <row r="933" spans="2:10" x14ac:dyDescent="0.3">
      <c r="B933" s="6"/>
      <c r="C933" s="6"/>
      <c r="D933" s="6"/>
      <c r="E933" s="6"/>
      <c r="F933" s="6"/>
      <c r="G933" s="6"/>
      <c r="H933" s="6"/>
      <c r="I933" s="6"/>
      <c r="J933" s="6"/>
    </row>
    <row r="934" spans="2:10" x14ac:dyDescent="0.3">
      <c r="B934" s="6"/>
      <c r="C934" s="6"/>
      <c r="D934" s="6"/>
      <c r="E934" s="6"/>
      <c r="F934" s="6"/>
      <c r="G934" s="6"/>
      <c r="H934" s="6"/>
      <c r="I934" s="6"/>
      <c r="J934" s="6"/>
    </row>
    <row r="935" spans="2:10" x14ac:dyDescent="0.3">
      <c r="B935" s="6"/>
      <c r="C935" s="6"/>
      <c r="D935" s="6"/>
      <c r="E935" s="6"/>
      <c r="F935" s="6"/>
      <c r="G935" s="6"/>
      <c r="H935" s="6"/>
      <c r="I935" s="6"/>
      <c r="J935" s="6"/>
    </row>
    <row r="936" spans="2:10" x14ac:dyDescent="0.3">
      <c r="B936" s="6"/>
      <c r="C936" s="6"/>
      <c r="D936" s="6"/>
      <c r="E936" s="6"/>
      <c r="F936" s="6"/>
      <c r="G936" s="6"/>
      <c r="H936" s="6"/>
      <c r="I936" s="6"/>
      <c r="J936" s="6"/>
    </row>
    <row r="937" spans="2:10" x14ac:dyDescent="0.3">
      <c r="B937" s="6"/>
      <c r="C937" s="6"/>
      <c r="D937" s="6"/>
      <c r="E937" s="6"/>
      <c r="F937" s="6"/>
      <c r="G937" s="6"/>
      <c r="H937" s="6"/>
      <c r="I937" s="6"/>
      <c r="J937" s="6"/>
    </row>
    <row r="938" spans="2:10" x14ac:dyDescent="0.3">
      <c r="B938" s="6"/>
      <c r="C938" s="6"/>
      <c r="D938" s="6"/>
      <c r="E938" s="6"/>
      <c r="F938" s="6"/>
      <c r="G938" s="6"/>
      <c r="H938" s="6"/>
      <c r="I938" s="6"/>
      <c r="J938" s="6"/>
    </row>
    <row r="939" spans="2:10" x14ac:dyDescent="0.3">
      <c r="B939" s="6"/>
      <c r="C939" s="6"/>
      <c r="D939" s="6"/>
      <c r="E939" s="6"/>
      <c r="F939" s="6"/>
      <c r="G939" s="6"/>
      <c r="H939" s="6"/>
      <c r="I939" s="6"/>
      <c r="J939" s="6"/>
    </row>
    <row r="940" spans="2:10" x14ac:dyDescent="0.3">
      <c r="B940" s="6"/>
      <c r="C940" s="6"/>
      <c r="D940" s="6"/>
      <c r="E940" s="6"/>
      <c r="F940" s="6"/>
      <c r="G940" s="6"/>
      <c r="H940" s="6"/>
      <c r="I940" s="6"/>
      <c r="J940" s="6"/>
    </row>
    <row r="941" spans="2:10" x14ac:dyDescent="0.3">
      <c r="B941" s="6"/>
      <c r="C941" s="6"/>
      <c r="D941" s="6"/>
      <c r="E941" s="6"/>
      <c r="F941" s="6"/>
      <c r="G941" s="6"/>
      <c r="H941" s="6"/>
      <c r="I941" s="6"/>
      <c r="J941" s="6"/>
    </row>
    <row r="942" spans="2:10" x14ac:dyDescent="0.3">
      <c r="B942" s="6"/>
      <c r="C942" s="6"/>
      <c r="D942" s="6"/>
      <c r="E942" s="6"/>
      <c r="F942" s="6"/>
      <c r="G942" s="6"/>
      <c r="H942" s="6"/>
      <c r="I942" s="6"/>
      <c r="J942" s="6"/>
    </row>
    <row r="943" spans="2:10" x14ac:dyDescent="0.3">
      <c r="B943" s="6"/>
      <c r="C943" s="6"/>
      <c r="D943" s="6"/>
      <c r="E943" s="6"/>
      <c r="F943" s="6"/>
      <c r="G943" s="6"/>
      <c r="H943" s="6"/>
      <c r="I943" s="6"/>
      <c r="J943" s="6"/>
    </row>
    <row r="944" spans="2:10" x14ac:dyDescent="0.3">
      <c r="B944" s="6"/>
      <c r="C944" s="6"/>
      <c r="D944" s="6"/>
      <c r="E944" s="6"/>
      <c r="F944" s="6"/>
      <c r="G944" s="6"/>
      <c r="H944" s="6"/>
      <c r="I944" s="6"/>
      <c r="J944" s="6"/>
    </row>
    <row r="945" spans="2:10" x14ac:dyDescent="0.3">
      <c r="B945" s="6"/>
      <c r="C945" s="6"/>
      <c r="D945" s="6"/>
      <c r="E945" s="6"/>
      <c r="F945" s="6"/>
      <c r="G945" s="6"/>
      <c r="H945" s="6"/>
      <c r="I945" s="6"/>
      <c r="J945" s="6"/>
    </row>
    <row r="946" spans="2:10" x14ac:dyDescent="0.3">
      <c r="B946" s="6"/>
      <c r="C946" s="6"/>
      <c r="D946" s="6"/>
      <c r="E946" s="6"/>
      <c r="F946" s="6"/>
      <c r="G946" s="6"/>
      <c r="H946" s="6"/>
      <c r="I946" s="6"/>
      <c r="J946" s="6"/>
    </row>
    <row r="947" spans="2:10" x14ac:dyDescent="0.3">
      <c r="B947" s="7"/>
      <c r="C947" s="12"/>
    </row>
    <row r="948" spans="2:10" x14ac:dyDescent="0.3">
      <c r="B948" s="7"/>
      <c r="C948" s="6"/>
    </row>
    <row r="949" spans="2:10" x14ac:dyDescent="0.3">
      <c r="B949" s="7"/>
      <c r="C949" s="6"/>
    </row>
    <row r="995" spans="2:3" x14ac:dyDescent="0.3">
      <c r="B995" s="6"/>
    </row>
    <row r="996" spans="2:3" x14ac:dyDescent="0.3">
      <c r="B996" s="6"/>
      <c r="C996" s="6"/>
    </row>
  </sheetData>
  <sheetProtection algorithmName="SHA-512" hashValue="gUTt/Q8lK/KSthw4THLa93gMXj7y4mZXG1vwMghg5+Kr7CIBx+Pv4ZqhkC3LuKJYZ37fs6RaHF6v6J4NCTF9ZA==" saltValue="ON3RJQRhWGrCK31/krnGHA==" spinCount="100000" sheet="1" objects="1" scenarios="1" autoFilter="0"/>
  <hyperlinks>
    <hyperlink ref="B13" location="_bookmark936" display="_bookmark936" xr:uid="{00000000-0004-0000-3400-000000000000}"/>
    <hyperlink ref="B297" location="_bookmark936" display="_bookmark936" xr:uid="{00000000-0004-0000-3400-000001000000}"/>
    <hyperlink ref="B431" location="_bookmark944" display="_bookmark944" xr:uid="{00000000-0004-0000-3400-000002000000}"/>
  </hyperlinks>
  <pageMargins left="0.7" right="0.7" top="0.75" bottom="0.75" header="0.3" footer="0.3"/>
  <drawing r:id="rId1"/>
  <legacyDrawing r:id="rId2"/>
  <tableParts count="5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32">
    <tabColor theme="7"/>
  </sheetPr>
  <dimension ref="A1:W949"/>
  <sheetViews>
    <sheetView showGridLines="0" topLeftCell="A22" zoomScaleNormal="100" workbookViewId="0">
      <selection activeCell="F38" sqref="F38"/>
    </sheetView>
  </sheetViews>
  <sheetFormatPr defaultRowHeight="14" x14ac:dyDescent="0.3"/>
  <cols>
    <col min="1" max="1" width="4.58203125" customWidth="1"/>
    <col min="2" max="2" width="40.58203125" customWidth="1"/>
    <col min="3" max="3" width="38.83203125" customWidth="1"/>
    <col min="4" max="4" width="42.58203125" customWidth="1"/>
    <col min="5" max="5" width="25.5" customWidth="1"/>
    <col min="6" max="9" width="19.33203125" customWidth="1"/>
    <col min="10" max="12" width="16.08203125" customWidth="1"/>
  </cols>
  <sheetData>
    <row r="1" spans="1:23" x14ac:dyDescent="0.3">
      <c r="A1" s="1"/>
      <c r="B1" s="1"/>
      <c r="C1" s="1"/>
      <c r="D1" s="1"/>
      <c r="E1" s="1"/>
      <c r="F1" s="1"/>
      <c r="G1" s="1"/>
      <c r="H1" s="1"/>
      <c r="I1" s="1"/>
      <c r="J1" s="1"/>
      <c r="K1" s="1"/>
      <c r="L1" s="1"/>
      <c r="M1" s="1"/>
      <c r="N1" s="1"/>
      <c r="O1" s="1"/>
      <c r="P1" s="1"/>
      <c r="Q1" s="1"/>
      <c r="R1" s="1"/>
      <c r="S1" s="1"/>
      <c r="T1" s="1"/>
      <c r="U1" s="1"/>
      <c r="V1" s="1"/>
      <c r="W1" s="1"/>
    </row>
    <row r="2" spans="1:23" x14ac:dyDescent="0.3">
      <c r="A2" s="1"/>
      <c r="B2" s="1"/>
      <c r="C2" s="1"/>
      <c r="D2" s="1"/>
      <c r="E2" s="1"/>
      <c r="F2" s="1"/>
      <c r="G2" s="1"/>
      <c r="H2" s="1"/>
      <c r="I2" s="1"/>
      <c r="J2" s="1"/>
      <c r="K2" s="1"/>
      <c r="L2" s="1"/>
      <c r="M2" s="1"/>
      <c r="N2" s="1"/>
      <c r="O2" s="1"/>
      <c r="P2" s="1"/>
      <c r="Q2" s="1"/>
      <c r="R2" s="1"/>
      <c r="S2" s="1"/>
      <c r="T2" s="1"/>
      <c r="U2" s="1"/>
      <c r="V2" s="1"/>
      <c r="W2" s="1"/>
    </row>
    <row r="3" spans="1:23" x14ac:dyDescent="0.3">
      <c r="A3" s="1"/>
      <c r="B3" s="1"/>
      <c r="C3" s="1"/>
      <c r="D3" s="1"/>
      <c r="E3" s="1"/>
      <c r="F3" s="1"/>
      <c r="G3" s="1"/>
      <c r="H3" s="1"/>
      <c r="I3" s="1"/>
      <c r="J3" s="1"/>
      <c r="K3" s="1"/>
      <c r="L3" s="1"/>
      <c r="M3" s="1"/>
      <c r="N3" s="1"/>
      <c r="O3" s="1"/>
      <c r="P3" s="1"/>
      <c r="Q3" s="1"/>
      <c r="R3" s="1"/>
      <c r="S3" s="1"/>
      <c r="T3" s="1"/>
      <c r="U3" s="1"/>
      <c r="V3" s="1"/>
      <c r="W3" s="1"/>
    </row>
    <row r="4" spans="1:23" x14ac:dyDescent="0.3">
      <c r="A4" s="1"/>
      <c r="B4" s="1"/>
      <c r="C4" s="1"/>
      <c r="D4" s="1"/>
      <c r="E4" s="1"/>
      <c r="F4" s="1"/>
      <c r="G4" s="1"/>
      <c r="H4" s="1"/>
      <c r="I4" s="1"/>
      <c r="J4" s="1"/>
      <c r="K4" s="1"/>
      <c r="L4" s="1"/>
      <c r="M4" s="1"/>
      <c r="N4" s="1"/>
      <c r="O4" s="1"/>
      <c r="P4" s="1"/>
      <c r="Q4" s="1"/>
      <c r="R4" s="1"/>
      <c r="S4" s="1"/>
      <c r="T4" s="1"/>
      <c r="U4" s="1"/>
      <c r="V4" s="1"/>
      <c r="W4" s="1"/>
    </row>
    <row r="5" spans="1:23" x14ac:dyDescent="0.3">
      <c r="A5" s="1"/>
      <c r="B5" s="1"/>
      <c r="C5" s="1"/>
      <c r="D5" s="1"/>
      <c r="E5" s="1"/>
      <c r="F5" s="1"/>
      <c r="G5" s="1"/>
      <c r="H5" s="1"/>
      <c r="I5" s="1"/>
      <c r="J5" s="1"/>
      <c r="K5" s="1"/>
      <c r="L5" s="1"/>
      <c r="M5" s="1"/>
      <c r="N5" s="1"/>
      <c r="O5" s="1"/>
      <c r="P5" s="1"/>
      <c r="Q5" s="1"/>
      <c r="R5" s="1"/>
      <c r="S5" s="1"/>
      <c r="T5" s="1"/>
      <c r="U5" s="1"/>
      <c r="V5" s="1"/>
      <c r="W5" s="1"/>
    </row>
    <row r="6" spans="1:23" x14ac:dyDescent="0.3">
      <c r="A6" s="1"/>
      <c r="B6" s="1"/>
      <c r="C6" s="1"/>
      <c r="D6" s="1"/>
      <c r="E6" s="1"/>
      <c r="F6" s="1"/>
      <c r="G6" s="1"/>
      <c r="H6" s="1"/>
      <c r="I6" s="1"/>
      <c r="J6" s="1"/>
      <c r="K6" s="1"/>
      <c r="L6" s="1"/>
      <c r="M6" s="1"/>
      <c r="N6" s="1"/>
      <c r="O6" s="1"/>
      <c r="P6" s="1"/>
      <c r="Q6" s="1"/>
      <c r="R6" s="1"/>
      <c r="S6" s="1"/>
      <c r="T6" s="1"/>
      <c r="U6" s="1"/>
      <c r="V6" s="1"/>
      <c r="W6" s="1"/>
    </row>
    <row r="9" spans="1:23" x14ac:dyDescent="0.3">
      <c r="B9" s="2" t="s">
        <v>2179</v>
      </c>
      <c r="C9" s="2" t="s">
        <v>2180</v>
      </c>
    </row>
    <row r="11" spans="1:23" x14ac:dyDescent="0.3">
      <c r="B11" s="5" t="s">
        <v>2181</v>
      </c>
    </row>
    <row r="12" spans="1:23" x14ac:dyDescent="0.3">
      <c r="B12" s="5" t="s">
        <v>2182</v>
      </c>
    </row>
    <row r="13" spans="1:23" x14ac:dyDescent="0.3">
      <c r="B13" s="19" t="s">
        <v>2183</v>
      </c>
      <c r="C13" s="19" t="s">
        <v>2184</v>
      </c>
      <c r="D13" s="19" t="s">
        <v>2183</v>
      </c>
      <c r="E13" s="19" t="s">
        <v>2184</v>
      </c>
      <c r="F13" s="19" t="s">
        <v>2183</v>
      </c>
      <c r="G13" s="19" t="s">
        <v>2184</v>
      </c>
      <c r="H13" s="19" t="s">
        <v>2183</v>
      </c>
      <c r="I13" s="19" t="s">
        <v>2184</v>
      </c>
    </row>
    <row r="14" spans="1:23" x14ac:dyDescent="0.3">
      <c r="B14" s="7" t="s">
        <v>1463</v>
      </c>
      <c r="C14" s="14">
        <v>1.23E-2</v>
      </c>
      <c r="D14" s="14" t="s">
        <v>2185</v>
      </c>
      <c r="E14" s="14">
        <v>9.7000000000000003E-3</v>
      </c>
      <c r="F14" s="14" t="s">
        <v>2186</v>
      </c>
      <c r="G14" s="14">
        <v>8.6999999999999994E-3</v>
      </c>
      <c r="H14" s="14" t="s">
        <v>2187</v>
      </c>
      <c r="I14" s="14">
        <v>8.0000000000000002E-3</v>
      </c>
    </row>
    <row r="15" spans="1:23" x14ac:dyDescent="0.3">
      <c r="B15" s="7" t="s">
        <v>2188</v>
      </c>
      <c r="C15" s="14">
        <v>1.1900000000000001E-2</v>
      </c>
      <c r="D15" s="14" t="s">
        <v>2189</v>
      </c>
      <c r="E15" s="14">
        <v>9.5999999999999992E-3</v>
      </c>
      <c r="F15" s="14" t="s">
        <v>2190</v>
      </c>
      <c r="G15" s="14">
        <v>8.6E-3</v>
      </c>
      <c r="H15" s="14" t="s">
        <v>2191</v>
      </c>
      <c r="I15" s="14">
        <v>7.9000000000000008E-3</v>
      </c>
    </row>
    <row r="16" spans="1:23" x14ac:dyDescent="0.3">
      <c r="B16" s="7" t="s">
        <v>2192</v>
      </c>
      <c r="C16" s="14">
        <v>1.1599999999999999E-2</v>
      </c>
      <c r="D16" s="14" t="s">
        <v>2193</v>
      </c>
      <c r="E16" s="14">
        <v>9.4999999999999998E-3</v>
      </c>
      <c r="F16" s="14" t="s">
        <v>2194</v>
      </c>
      <c r="G16" s="14">
        <v>8.5000000000000006E-3</v>
      </c>
      <c r="H16" s="14" t="s">
        <v>2195</v>
      </c>
      <c r="I16" s="14">
        <v>7.9000000000000008E-3</v>
      </c>
    </row>
    <row r="17" spans="2:10" x14ac:dyDescent="0.3">
      <c r="B17" s="7" t="s">
        <v>2196</v>
      </c>
      <c r="C17" s="14">
        <v>1.1299999999999999E-2</v>
      </c>
      <c r="D17" s="14" t="s">
        <v>2197</v>
      </c>
      <c r="E17" s="14">
        <v>9.4000000000000004E-3</v>
      </c>
      <c r="F17" s="14" t="s">
        <v>2198</v>
      </c>
      <c r="G17" s="14">
        <v>8.5000000000000006E-3</v>
      </c>
      <c r="H17" s="14" t="s">
        <v>2199</v>
      </c>
      <c r="I17" s="14">
        <v>7.7999999999999996E-3</v>
      </c>
    </row>
    <row r="18" spans="2:10" x14ac:dyDescent="0.3">
      <c r="B18" s="7" t="s">
        <v>2200</v>
      </c>
      <c r="C18" s="14">
        <v>1.11E-2</v>
      </c>
      <c r="D18" s="14" t="s">
        <v>2201</v>
      </c>
      <c r="E18" s="14">
        <v>9.2999999999999992E-3</v>
      </c>
      <c r="F18" s="14" t="s">
        <v>2202</v>
      </c>
      <c r="G18" s="14">
        <v>8.3999999999999995E-3</v>
      </c>
      <c r="H18" s="14" t="s">
        <v>2203</v>
      </c>
      <c r="I18" s="14">
        <v>7.7999999999999996E-3</v>
      </c>
    </row>
    <row r="19" spans="2:10" x14ac:dyDescent="0.3">
      <c r="B19" s="7" t="s">
        <v>2204</v>
      </c>
      <c r="C19" s="14">
        <v>1.0800000000000001E-2</v>
      </c>
      <c r="D19" s="14" t="s">
        <v>2205</v>
      </c>
      <c r="E19" s="14">
        <v>9.1999999999999998E-3</v>
      </c>
      <c r="F19" s="14" t="s">
        <v>2206</v>
      </c>
      <c r="G19" s="14">
        <v>8.3000000000000001E-3</v>
      </c>
      <c r="H19" s="14" t="s">
        <v>2207</v>
      </c>
      <c r="I19" s="14">
        <v>7.7000000000000002E-3</v>
      </c>
    </row>
    <row r="20" spans="2:10" x14ac:dyDescent="0.3">
      <c r="B20" s="7" t="s">
        <v>2208</v>
      </c>
      <c r="C20" s="14">
        <v>1.06E-2</v>
      </c>
      <c r="D20" s="14" t="s">
        <v>2209</v>
      </c>
      <c r="E20" s="14">
        <v>9.1000000000000004E-3</v>
      </c>
      <c r="F20" s="14" t="s">
        <v>2210</v>
      </c>
      <c r="G20" s="14">
        <v>8.3000000000000001E-3</v>
      </c>
      <c r="H20" s="14" t="s">
        <v>2211</v>
      </c>
      <c r="I20" s="14">
        <v>7.7000000000000002E-3</v>
      </c>
    </row>
    <row r="21" spans="2:10" x14ac:dyDescent="0.3">
      <c r="B21" s="7" t="s">
        <v>2212</v>
      </c>
      <c r="C21" s="14">
        <v>1.0500000000000001E-2</v>
      </c>
      <c r="D21" s="14" t="s">
        <v>2213</v>
      </c>
      <c r="E21" s="14">
        <v>8.9999999999999993E-3</v>
      </c>
      <c r="F21" s="14" t="s">
        <v>2214</v>
      </c>
      <c r="G21" s="14">
        <v>8.2000000000000007E-3</v>
      </c>
      <c r="H21" s="14" t="s">
        <v>2215</v>
      </c>
      <c r="I21" s="14">
        <v>7.7000000000000002E-3</v>
      </c>
    </row>
    <row r="22" spans="2:10" x14ac:dyDescent="0.3">
      <c r="B22" s="7" t="s">
        <v>2216</v>
      </c>
      <c r="C22" s="14">
        <v>1.03E-2</v>
      </c>
      <c r="D22" s="14" t="s">
        <v>2217</v>
      </c>
      <c r="E22" s="14">
        <v>8.9999999999999993E-3</v>
      </c>
      <c r="F22" s="14" t="s">
        <v>2218</v>
      </c>
      <c r="G22" s="14">
        <v>8.2000000000000007E-3</v>
      </c>
      <c r="H22" s="14" t="s">
        <v>2219</v>
      </c>
      <c r="I22" s="14">
        <v>7.6E-3</v>
      </c>
    </row>
    <row r="23" spans="2:10" x14ac:dyDescent="0.3">
      <c r="B23" s="7" t="s">
        <v>2220</v>
      </c>
      <c r="C23" s="14">
        <v>1.01E-2</v>
      </c>
      <c r="D23" s="14" t="s">
        <v>2221</v>
      </c>
      <c r="E23" s="14">
        <v>8.8999999999999999E-3</v>
      </c>
      <c r="F23" s="14" t="s">
        <v>2222</v>
      </c>
      <c r="G23" s="14">
        <v>8.0999999999999996E-3</v>
      </c>
      <c r="H23" s="14" t="s">
        <v>2223</v>
      </c>
      <c r="I23" s="14">
        <v>7.6E-3</v>
      </c>
    </row>
    <row r="24" spans="2:10" x14ac:dyDescent="0.3">
      <c r="B24" s="7" t="s">
        <v>2224</v>
      </c>
      <c r="C24" s="14">
        <v>0.01</v>
      </c>
      <c r="D24" s="14" t="s">
        <v>2225</v>
      </c>
      <c r="E24" s="14">
        <v>8.8000000000000005E-3</v>
      </c>
      <c r="F24" s="14" t="s">
        <v>2226</v>
      </c>
      <c r="G24" s="14">
        <v>8.0999999999999996E-3</v>
      </c>
      <c r="H24" s="14">
        <v>500</v>
      </c>
      <c r="I24" s="14">
        <v>7.4999999999999997E-3</v>
      </c>
    </row>
    <row r="25" spans="2:10" x14ac:dyDescent="0.3">
      <c r="B25" s="7" t="s">
        <v>2227</v>
      </c>
      <c r="C25" s="14">
        <v>9.9000000000000008E-3</v>
      </c>
      <c r="D25" s="14" t="s">
        <v>2228</v>
      </c>
      <c r="E25" s="14">
        <v>8.6999999999999994E-3</v>
      </c>
      <c r="F25" s="14" t="s">
        <v>2229</v>
      </c>
      <c r="G25" s="14">
        <v>8.0000000000000002E-3</v>
      </c>
      <c r="H25" s="14" t="s">
        <v>2230</v>
      </c>
      <c r="I25" s="14" t="s">
        <v>2230</v>
      </c>
    </row>
    <row r="27" spans="2:10" ht="16.5" x14ac:dyDescent="0.45">
      <c r="B27" s="5" t="s">
        <v>2231</v>
      </c>
      <c r="J27" s="4"/>
    </row>
    <row r="28" spans="2:10" ht="16.5" x14ac:dyDescent="0.45">
      <c r="B28" s="5" t="s">
        <v>2232</v>
      </c>
      <c r="J28" s="4"/>
    </row>
    <row r="29" spans="2:10" x14ac:dyDescent="0.3">
      <c r="B29" s="19" t="s">
        <v>445</v>
      </c>
      <c r="C29" s="19" t="s">
        <v>200</v>
      </c>
      <c r="D29" s="19" t="s">
        <v>214</v>
      </c>
      <c r="E29" s="19" t="s">
        <v>223</v>
      </c>
      <c r="F29" s="19" t="s">
        <v>2233</v>
      </c>
      <c r="G29" s="19" t="s">
        <v>234</v>
      </c>
      <c r="H29" s="19" t="s">
        <v>2234</v>
      </c>
      <c r="I29" s="19" t="s">
        <v>2235</v>
      </c>
      <c r="J29" s="19" t="s">
        <v>243</v>
      </c>
    </row>
    <row r="30" spans="2:10" x14ac:dyDescent="0.3">
      <c r="B30" s="7">
        <v>1</v>
      </c>
      <c r="C30" s="14" t="s">
        <v>2230</v>
      </c>
      <c r="D30" s="14" t="s">
        <v>2230</v>
      </c>
      <c r="E30" s="14">
        <v>1.91</v>
      </c>
      <c r="F30" s="14">
        <v>2.77</v>
      </c>
      <c r="G30" s="14" t="s">
        <v>2230</v>
      </c>
      <c r="H30" s="14" t="s">
        <v>2230</v>
      </c>
      <c r="I30" s="14" t="s">
        <v>2230</v>
      </c>
      <c r="J30" s="7">
        <v>3.25</v>
      </c>
    </row>
    <row r="31" spans="2:10" x14ac:dyDescent="0.3">
      <c r="B31" s="7">
        <v>2</v>
      </c>
      <c r="C31" s="14" t="s">
        <v>2230</v>
      </c>
      <c r="D31" s="14">
        <v>1.32</v>
      </c>
      <c r="E31" s="14" t="s">
        <v>2230</v>
      </c>
      <c r="F31" s="14">
        <v>1.78</v>
      </c>
      <c r="G31" s="14" t="s">
        <v>2230</v>
      </c>
      <c r="H31" s="14" t="s">
        <v>2230</v>
      </c>
      <c r="I31" s="14" t="s">
        <v>2230</v>
      </c>
      <c r="J31" s="7" t="s">
        <v>2230</v>
      </c>
    </row>
    <row r="32" spans="2:10" x14ac:dyDescent="0.3">
      <c r="B32" s="7">
        <v>3</v>
      </c>
      <c r="C32" s="14" t="s">
        <v>2230</v>
      </c>
      <c r="D32" s="14" t="s">
        <v>2230</v>
      </c>
      <c r="E32" s="14">
        <v>1.23</v>
      </c>
      <c r="F32" s="14">
        <v>2.46</v>
      </c>
      <c r="G32" s="14" t="s">
        <v>2230</v>
      </c>
      <c r="H32" s="14" t="s">
        <v>2230</v>
      </c>
      <c r="I32" s="14" t="s">
        <v>2230</v>
      </c>
      <c r="J32" s="7">
        <v>2.87</v>
      </c>
    </row>
    <row r="33" spans="2:10" x14ac:dyDescent="0.3">
      <c r="B33" s="7">
        <v>4</v>
      </c>
      <c r="C33" s="14" t="s">
        <v>2230</v>
      </c>
      <c r="D33" s="14">
        <v>1.8</v>
      </c>
      <c r="E33" s="14" t="s">
        <v>2230</v>
      </c>
      <c r="F33" s="14" t="s">
        <v>2230</v>
      </c>
      <c r="G33" s="14">
        <v>1.86</v>
      </c>
      <c r="H33" s="14" t="s">
        <v>2230</v>
      </c>
      <c r="I33" s="14">
        <v>1.25</v>
      </c>
      <c r="J33" s="7">
        <v>2.34</v>
      </c>
    </row>
    <row r="34" spans="2:10" x14ac:dyDescent="0.3">
      <c r="B34" s="7">
        <v>5</v>
      </c>
      <c r="C34" s="14" t="s">
        <v>2230</v>
      </c>
      <c r="D34" s="14">
        <v>1.75</v>
      </c>
      <c r="E34" s="14" t="s">
        <v>2230</v>
      </c>
      <c r="F34" s="14">
        <v>2.2799999999999998</v>
      </c>
      <c r="G34" s="14">
        <v>1.79</v>
      </c>
      <c r="H34" s="14" t="s">
        <v>2230</v>
      </c>
      <c r="I34" s="14" t="s">
        <v>2230</v>
      </c>
      <c r="J34" s="7">
        <v>2.35</v>
      </c>
    </row>
    <row r="35" spans="2:10" x14ac:dyDescent="0.3">
      <c r="B35" s="7">
        <v>6</v>
      </c>
      <c r="C35" s="14" t="s">
        <v>2230</v>
      </c>
      <c r="D35" s="14">
        <v>2.4</v>
      </c>
      <c r="E35" s="14" t="s">
        <v>2230</v>
      </c>
      <c r="F35" s="14" t="s">
        <v>2230</v>
      </c>
      <c r="G35" s="14">
        <v>2.5099999999999998</v>
      </c>
      <c r="H35" s="14" t="s">
        <v>2230</v>
      </c>
      <c r="I35" s="14">
        <v>1.63</v>
      </c>
      <c r="J35" s="7">
        <v>3.2</v>
      </c>
    </row>
    <row r="36" spans="2:10" x14ac:dyDescent="0.3">
      <c r="B36" s="7">
        <v>7</v>
      </c>
      <c r="C36" s="14">
        <v>2.56</v>
      </c>
      <c r="D36" s="14">
        <v>2.33</v>
      </c>
      <c r="E36" s="14" t="s">
        <v>2230</v>
      </c>
      <c r="F36" s="14" t="s">
        <v>2230</v>
      </c>
      <c r="G36" s="14" t="s">
        <v>2230</v>
      </c>
      <c r="H36" s="14">
        <v>3.08</v>
      </c>
      <c r="I36" s="14">
        <v>1.62</v>
      </c>
      <c r="J36" s="7" t="s">
        <v>2230</v>
      </c>
    </row>
    <row r="37" spans="2:10" x14ac:dyDescent="0.3">
      <c r="B37" s="7">
        <v>8</v>
      </c>
      <c r="C37" s="14" t="s">
        <v>2230</v>
      </c>
      <c r="D37" s="14">
        <v>3.99</v>
      </c>
      <c r="E37" s="14" t="s">
        <v>2230</v>
      </c>
      <c r="F37" s="14" t="s">
        <v>2230</v>
      </c>
      <c r="G37" s="14" t="s">
        <v>2230</v>
      </c>
      <c r="H37" s="14">
        <v>3.92</v>
      </c>
      <c r="I37" s="14">
        <v>2.82</v>
      </c>
      <c r="J37" s="7" t="s">
        <v>2230</v>
      </c>
    </row>
    <row r="38" spans="2:10" x14ac:dyDescent="0.3">
      <c r="E38" s="6"/>
      <c r="F38" s="6"/>
      <c r="G38" s="6"/>
      <c r="H38" s="6"/>
      <c r="I38" s="6"/>
    </row>
    <row r="39" spans="2:10" ht="16.5" x14ac:dyDescent="0.45">
      <c r="B39" s="5" t="s">
        <v>2236</v>
      </c>
      <c r="J39" s="4"/>
    </row>
    <row r="40" spans="2:10" ht="16.5" x14ac:dyDescent="0.45">
      <c r="B40" s="5" t="s">
        <v>2237</v>
      </c>
      <c r="J40" s="4"/>
    </row>
    <row r="41" spans="2:10" x14ac:dyDescent="0.3">
      <c r="B41" s="19" t="s">
        <v>1590</v>
      </c>
      <c r="C41" s="19" t="s">
        <v>200</v>
      </c>
      <c r="D41" s="19" t="s">
        <v>214</v>
      </c>
      <c r="E41" s="19" t="s">
        <v>223</v>
      </c>
      <c r="F41" s="19" t="s">
        <v>2233</v>
      </c>
      <c r="G41" s="19" t="s">
        <v>234</v>
      </c>
      <c r="H41" s="19" t="s">
        <v>2234</v>
      </c>
      <c r="I41" s="19" t="s">
        <v>2235</v>
      </c>
      <c r="J41" s="19" t="s">
        <v>243</v>
      </c>
    </row>
    <row r="42" spans="2:10" x14ac:dyDescent="0.3">
      <c r="B42" s="7" t="s">
        <v>2238</v>
      </c>
      <c r="C42" s="14">
        <v>5.6000000000000001E-2</v>
      </c>
      <c r="D42" s="14">
        <v>0.06</v>
      </c>
      <c r="E42" s="14">
        <v>2.8000000000000001E-2</v>
      </c>
      <c r="F42" s="14">
        <v>4.5999999999999999E-2</v>
      </c>
      <c r="G42" s="14">
        <v>6.8000000000000005E-2</v>
      </c>
      <c r="H42" s="14">
        <v>6.0999999999999999E-2</v>
      </c>
      <c r="I42" s="14">
        <v>4.9000000000000002E-2</v>
      </c>
      <c r="J42" s="7">
        <v>6.3E-2</v>
      </c>
    </row>
    <row r="43" spans="2:10" x14ac:dyDescent="0.3">
      <c r="B43" s="7">
        <v>1.5</v>
      </c>
      <c r="C43" s="14">
        <v>4.8000000000000001E-2</v>
      </c>
      <c r="D43" s="14">
        <v>0.05</v>
      </c>
      <c r="E43" s="14">
        <v>2.3E-2</v>
      </c>
      <c r="F43" s="14">
        <v>3.9E-2</v>
      </c>
      <c r="G43" s="14">
        <v>5.7000000000000002E-2</v>
      </c>
      <c r="H43" s="14">
        <v>5.1999999999999998E-2</v>
      </c>
      <c r="I43" s="14">
        <v>4.1000000000000002E-2</v>
      </c>
      <c r="J43" s="7">
        <v>5.2999999999999999E-2</v>
      </c>
    </row>
    <row r="44" spans="2:10" x14ac:dyDescent="0.3">
      <c r="B44" s="7">
        <v>2</v>
      </c>
      <c r="C44" s="14">
        <v>4.1000000000000002E-2</v>
      </c>
      <c r="D44" s="14">
        <v>4.3999999999999997E-2</v>
      </c>
      <c r="E44" s="14">
        <v>0.02</v>
      </c>
      <c r="F44" s="14">
        <v>3.4000000000000002E-2</v>
      </c>
      <c r="G44" s="14">
        <v>0.05</v>
      </c>
      <c r="H44" s="14">
        <v>4.4999999999999998E-2</v>
      </c>
      <c r="I44" s="14">
        <v>3.5999999999999997E-2</v>
      </c>
      <c r="J44" s="7">
        <v>4.5999999999999999E-2</v>
      </c>
    </row>
    <row r="45" spans="2:10" x14ac:dyDescent="0.3">
      <c r="B45" s="7">
        <v>2.5</v>
      </c>
      <c r="C45" s="14">
        <v>3.6999999999999998E-2</v>
      </c>
      <c r="D45" s="14">
        <v>3.9E-2</v>
      </c>
      <c r="E45" s="14">
        <v>1.7999999999999999E-2</v>
      </c>
      <c r="F45" s="14">
        <v>0.03</v>
      </c>
      <c r="G45" s="14">
        <v>4.3999999999999997E-2</v>
      </c>
      <c r="H45" s="14">
        <v>0.04</v>
      </c>
      <c r="I45" s="14">
        <v>3.2000000000000001E-2</v>
      </c>
      <c r="J45" s="7">
        <v>4.1000000000000002E-2</v>
      </c>
    </row>
    <row r="46" spans="2:10" x14ac:dyDescent="0.3">
      <c r="B46" s="7">
        <v>3</v>
      </c>
      <c r="C46" s="14">
        <v>3.3000000000000002E-2</v>
      </c>
      <c r="D46" s="14">
        <v>3.5000000000000003E-2</v>
      </c>
      <c r="E46" s="14">
        <v>1.6E-2</v>
      </c>
      <c r="F46" s="14">
        <v>2.7E-2</v>
      </c>
      <c r="G46" s="14">
        <v>3.9E-2</v>
      </c>
      <c r="H46" s="14">
        <v>3.5000000000000003E-2</v>
      </c>
      <c r="I46" s="14">
        <v>2.8000000000000001E-2</v>
      </c>
      <c r="J46" s="7">
        <v>3.5999999999999997E-2</v>
      </c>
    </row>
    <row r="47" spans="2:10" x14ac:dyDescent="0.3">
      <c r="B47" s="7">
        <v>3.5</v>
      </c>
      <c r="C47" s="14">
        <v>2.9000000000000001E-2</v>
      </c>
      <c r="D47" s="14">
        <v>3.1E-2</v>
      </c>
      <c r="E47" s="14">
        <v>1.4E-2</v>
      </c>
      <c r="F47" s="14">
        <v>2.4E-2</v>
      </c>
      <c r="G47" s="14">
        <v>3.5000000000000003E-2</v>
      </c>
      <c r="H47" s="14">
        <v>3.2000000000000001E-2</v>
      </c>
      <c r="I47" s="14">
        <v>2.5000000000000001E-2</v>
      </c>
      <c r="J47" s="7">
        <v>3.3000000000000002E-2</v>
      </c>
    </row>
    <row r="48" spans="2:10" x14ac:dyDescent="0.3">
      <c r="B48" s="7">
        <v>4</v>
      </c>
      <c r="C48" s="14">
        <v>2.5999999999999999E-2</v>
      </c>
      <c r="D48" s="14">
        <v>2.8000000000000001E-2</v>
      </c>
      <c r="E48" s="14">
        <v>1.2999999999999999E-2</v>
      </c>
      <c r="F48" s="14">
        <v>2.1000000000000001E-2</v>
      </c>
      <c r="G48" s="14">
        <v>3.2000000000000001E-2</v>
      </c>
      <c r="H48" s="14">
        <v>2.9000000000000001E-2</v>
      </c>
      <c r="I48" s="14">
        <v>2.3E-2</v>
      </c>
      <c r="J48" s="7">
        <v>2.9000000000000001E-2</v>
      </c>
    </row>
    <row r="49" spans="2:10" x14ac:dyDescent="0.3">
      <c r="B49" s="7">
        <v>4.5</v>
      </c>
      <c r="C49" s="14">
        <v>2.4E-2</v>
      </c>
      <c r="D49" s="14">
        <v>2.5000000000000001E-2</v>
      </c>
      <c r="E49" s="14">
        <v>1.2E-2</v>
      </c>
      <c r="F49" s="14">
        <v>1.9E-2</v>
      </c>
      <c r="G49" s="14">
        <v>2.9000000000000001E-2</v>
      </c>
      <c r="H49" s="14">
        <v>2.5999999999999999E-2</v>
      </c>
      <c r="I49" s="14">
        <v>2.1000000000000001E-2</v>
      </c>
      <c r="J49" s="7">
        <v>2.7E-2</v>
      </c>
    </row>
    <row r="50" spans="2:10" x14ac:dyDescent="0.3">
      <c r="B50" s="7">
        <v>5</v>
      </c>
      <c r="C50" s="14">
        <v>2.1999999999999999E-2</v>
      </c>
      <c r="D50" s="14">
        <v>2.3E-2</v>
      </c>
      <c r="E50" s="14">
        <v>1.0999999999999999E-2</v>
      </c>
      <c r="F50" s="14">
        <v>1.7999999999999999E-2</v>
      </c>
      <c r="G50" s="14">
        <v>2.5999999999999999E-2</v>
      </c>
      <c r="H50" s="14">
        <v>2.3E-2</v>
      </c>
      <c r="I50" s="14">
        <v>1.9E-2</v>
      </c>
      <c r="J50" s="7">
        <v>2.4E-2</v>
      </c>
    </row>
    <row r="51" spans="2:10" x14ac:dyDescent="0.3">
      <c r="B51" s="7">
        <v>5.5</v>
      </c>
      <c r="C51" s="14">
        <v>0.02</v>
      </c>
      <c r="D51" s="14">
        <v>2.1000000000000001E-2</v>
      </c>
      <c r="E51" s="14">
        <v>0.01</v>
      </c>
      <c r="F51" s="14">
        <v>1.6E-2</v>
      </c>
      <c r="G51" s="14">
        <v>2.3E-2</v>
      </c>
      <c r="H51" s="14">
        <v>2.1000000000000001E-2</v>
      </c>
      <c r="I51" s="14">
        <v>1.7000000000000001E-2</v>
      </c>
      <c r="J51" s="7">
        <v>2.1999999999999999E-2</v>
      </c>
    </row>
    <row r="52" spans="2:10" x14ac:dyDescent="0.3">
      <c r="B52" s="7">
        <v>6</v>
      </c>
      <c r="C52" s="14">
        <v>1.7999999999999999E-2</v>
      </c>
      <c r="D52" s="14">
        <v>1.9E-2</v>
      </c>
      <c r="E52" s="14">
        <v>8.9999999999999993E-3</v>
      </c>
      <c r="F52" s="14">
        <v>1.4E-2</v>
      </c>
      <c r="G52" s="14">
        <v>2.1000000000000001E-2</v>
      </c>
      <c r="H52" s="14">
        <v>1.9E-2</v>
      </c>
      <c r="I52" s="14">
        <v>1.4999999999999999E-2</v>
      </c>
      <c r="J52" s="7">
        <v>0.02</v>
      </c>
    </row>
    <row r="53" spans="2:10" x14ac:dyDescent="0.3">
      <c r="B53" s="7">
        <v>6.5</v>
      </c>
      <c r="C53" s="14">
        <v>1.6E-2</v>
      </c>
      <c r="D53" s="14">
        <v>1.7000000000000001E-2</v>
      </c>
      <c r="E53" s="14">
        <v>8.0000000000000002E-3</v>
      </c>
      <c r="F53" s="14">
        <v>1.2999999999999999E-2</v>
      </c>
      <c r="G53" s="14">
        <v>1.9E-2</v>
      </c>
      <c r="H53" s="14">
        <v>1.7000000000000001E-2</v>
      </c>
      <c r="I53" s="14">
        <v>1.4E-2</v>
      </c>
      <c r="J53" s="7">
        <v>1.7999999999999999E-2</v>
      </c>
    </row>
    <row r="54" spans="2:10" x14ac:dyDescent="0.3">
      <c r="B54" s="7">
        <v>7</v>
      </c>
      <c r="C54" s="14">
        <v>1.4E-2</v>
      </c>
      <c r="D54" s="14">
        <v>1.4999999999999999E-2</v>
      </c>
      <c r="E54" s="14">
        <v>7.0000000000000001E-3</v>
      </c>
      <c r="F54" s="14">
        <v>1.2E-2</v>
      </c>
      <c r="G54" s="14">
        <v>1.7000000000000001E-2</v>
      </c>
      <c r="H54" s="14">
        <v>1.6E-2</v>
      </c>
      <c r="I54" s="14">
        <v>1.2E-2</v>
      </c>
      <c r="J54" s="7">
        <v>1.6E-2</v>
      </c>
    </row>
    <row r="55" spans="2:10" x14ac:dyDescent="0.3">
      <c r="B55" s="7">
        <v>7.5</v>
      </c>
      <c r="C55" s="14">
        <v>1.2999999999999999E-2</v>
      </c>
      <c r="D55" s="14">
        <v>1.2999999999999999E-2</v>
      </c>
      <c r="E55" s="14">
        <v>6.0000000000000001E-3</v>
      </c>
      <c r="F55" s="14">
        <v>0.01</v>
      </c>
      <c r="G55" s="14">
        <v>1.4999999999999999E-2</v>
      </c>
      <c r="H55" s="14">
        <v>1.4E-2</v>
      </c>
      <c r="I55" s="14">
        <v>1.0999999999999999E-2</v>
      </c>
      <c r="J55" s="7">
        <v>1.4E-2</v>
      </c>
    </row>
    <row r="56" spans="2:10" x14ac:dyDescent="0.3">
      <c r="B56" s="7">
        <v>8</v>
      </c>
      <c r="C56" s="14">
        <v>1.0999999999999999E-2</v>
      </c>
      <c r="D56" s="14">
        <v>1.2E-2</v>
      </c>
      <c r="E56" s="14">
        <v>6.0000000000000001E-3</v>
      </c>
      <c r="F56" s="14">
        <v>8.9999999999999993E-3</v>
      </c>
      <c r="G56" s="14">
        <v>1.4E-2</v>
      </c>
      <c r="H56" s="14">
        <v>1.2E-2</v>
      </c>
      <c r="I56" s="14">
        <v>0.01</v>
      </c>
      <c r="J56" s="7">
        <v>1.2999999999999999E-2</v>
      </c>
    </row>
    <row r="57" spans="2:10" x14ac:dyDescent="0.3">
      <c r="B57" s="7">
        <v>8.5</v>
      </c>
      <c r="C57" s="14">
        <v>0.01</v>
      </c>
      <c r="D57" s="14">
        <v>1.0999999999999999E-2</v>
      </c>
      <c r="E57" s="14">
        <v>5.0000000000000001E-3</v>
      </c>
      <c r="F57" s="14">
        <v>8.0000000000000002E-3</v>
      </c>
      <c r="G57" s="14">
        <v>1.2E-2</v>
      </c>
      <c r="H57" s="14">
        <v>1.0999999999999999E-2</v>
      </c>
      <c r="I57" s="14">
        <v>8.9999999999999993E-3</v>
      </c>
      <c r="J57" s="7">
        <v>1.0999999999999999E-2</v>
      </c>
    </row>
    <row r="58" spans="2:10" x14ac:dyDescent="0.3">
      <c r="B58" s="7">
        <v>9</v>
      </c>
      <c r="C58" s="14">
        <v>8.9999999999999993E-3</v>
      </c>
      <c r="D58" s="14">
        <v>8.9999999999999993E-3</v>
      </c>
      <c r="E58" s="14">
        <v>4.0000000000000001E-3</v>
      </c>
      <c r="F58" s="14">
        <v>7.0000000000000001E-3</v>
      </c>
      <c r="G58" s="14">
        <v>1.0999999999999999E-2</v>
      </c>
      <c r="H58" s="14">
        <v>0.01</v>
      </c>
      <c r="I58" s="14">
        <v>8.0000000000000002E-3</v>
      </c>
      <c r="J58" s="7">
        <v>0.01</v>
      </c>
    </row>
    <row r="59" spans="2:10" x14ac:dyDescent="0.3">
      <c r="B59" s="7">
        <v>9.5</v>
      </c>
      <c r="C59" s="14">
        <v>8.0000000000000002E-3</v>
      </c>
      <c r="D59" s="14">
        <v>8.0000000000000002E-3</v>
      </c>
      <c r="E59" s="14">
        <v>4.0000000000000001E-3</v>
      </c>
      <c r="F59" s="14">
        <v>6.0000000000000001E-3</v>
      </c>
      <c r="G59" s="14">
        <v>8.9999999999999993E-3</v>
      </c>
      <c r="H59" s="14">
        <v>8.0000000000000002E-3</v>
      </c>
      <c r="I59" s="14">
        <v>7.0000000000000001E-3</v>
      </c>
      <c r="J59" s="7">
        <v>8.9999999999999993E-3</v>
      </c>
    </row>
    <row r="60" spans="2:10" x14ac:dyDescent="0.3">
      <c r="B60" s="7">
        <v>10</v>
      </c>
      <c r="C60" s="14">
        <v>7.0000000000000001E-3</v>
      </c>
      <c r="D60" s="14">
        <v>7.0000000000000001E-3</v>
      </c>
      <c r="E60" s="14">
        <v>3.0000000000000001E-3</v>
      </c>
      <c r="F60" s="14">
        <v>5.0000000000000001E-3</v>
      </c>
      <c r="G60" s="14">
        <v>8.0000000000000002E-3</v>
      </c>
      <c r="H60" s="14">
        <v>7.0000000000000001E-3</v>
      </c>
      <c r="I60" s="14">
        <v>6.0000000000000001E-3</v>
      </c>
      <c r="J60" s="7">
        <v>7.0000000000000001E-3</v>
      </c>
    </row>
    <row r="61" spans="2:10" x14ac:dyDescent="0.3">
      <c r="E61" s="6"/>
      <c r="F61" s="6"/>
      <c r="G61" s="6"/>
      <c r="H61" s="6"/>
      <c r="I61" s="6"/>
    </row>
    <row r="62" spans="2:10" x14ac:dyDescent="0.3">
      <c r="B62" s="5" t="s">
        <v>2239</v>
      </c>
      <c r="E62" s="6"/>
      <c r="F62" s="6"/>
      <c r="G62" s="6"/>
      <c r="H62" s="6"/>
      <c r="I62" s="6"/>
    </row>
    <row r="63" spans="2:10" x14ac:dyDescent="0.3">
      <c r="B63" s="5" t="s">
        <v>2240</v>
      </c>
      <c r="E63" s="6"/>
      <c r="F63" s="6"/>
      <c r="G63" s="6"/>
      <c r="H63" s="6"/>
      <c r="I63" s="6"/>
    </row>
    <row r="64" spans="2:10" x14ac:dyDescent="0.3">
      <c r="B64" s="19" t="s">
        <v>1591</v>
      </c>
      <c r="C64" s="19" t="s">
        <v>200</v>
      </c>
      <c r="D64" s="19" t="s">
        <v>214</v>
      </c>
      <c r="E64" s="19" t="s">
        <v>223</v>
      </c>
      <c r="F64" s="19" t="s">
        <v>2233</v>
      </c>
      <c r="G64" s="19" t="s">
        <v>234</v>
      </c>
      <c r="H64" s="19" t="s">
        <v>2234</v>
      </c>
      <c r="I64" s="19" t="s">
        <v>2235</v>
      </c>
      <c r="J64" s="19" t="s">
        <v>243</v>
      </c>
    </row>
    <row r="65" spans="2:10" x14ac:dyDescent="0.3">
      <c r="B65" s="7" t="s">
        <v>1592</v>
      </c>
      <c r="C65" s="14">
        <v>6.7000000000000004E-2</v>
      </c>
      <c r="D65" s="14">
        <v>7.0999999999999994E-2</v>
      </c>
      <c r="E65" s="14">
        <v>3.3000000000000002E-2</v>
      </c>
      <c r="F65" s="7">
        <v>5.5E-2</v>
      </c>
      <c r="G65" s="14">
        <v>8.1000000000000003E-2</v>
      </c>
      <c r="H65" s="7">
        <v>7.2999999999999995E-2</v>
      </c>
      <c r="I65" s="14">
        <v>5.8000000000000003E-2</v>
      </c>
      <c r="J65" s="7">
        <v>7.4999999999999997E-2</v>
      </c>
    </row>
    <row r="66" spans="2:10" x14ac:dyDescent="0.3">
      <c r="E66" s="6"/>
      <c r="F66" s="6"/>
      <c r="G66" s="6"/>
      <c r="H66" s="6"/>
      <c r="I66" s="6"/>
    </row>
    <row r="67" spans="2:10" x14ac:dyDescent="0.3">
      <c r="E67" s="6"/>
      <c r="F67" s="6"/>
      <c r="G67" s="6"/>
      <c r="H67" s="6"/>
      <c r="I67" s="6"/>
    </row>
    <row r="68" spans="2:10" x14ac:dyDescent="0.3">
      <c r="E68" s="6"/>
      <c r="F68" s="6"/>
      <c r="G68" s="6"/>
      <c r="H68" s="6"/>
      <c r="I68" s="6"/>
    </row>
    <row r="69" spans="2:10" x14ac:dyDescent="0.3">
      <c r="E69" s="6"/>
      <c r="F69" s="6"/>
      <c r="G69" s="6"/>
      <c r="H69" s="6"/>
      <c r="I69" s="6"/>
    </row>
    <row r="70" spans="2:10" x14ac:dyDescent="0.3">
      <c r="E70" s="6"/>
      <c r="F70" s="6"/>
      <c r="G70" s="6"/>
      <c r="H70" s="6"/>
      <c r="I70" s="6"/>
    </row>
    <row r="71" spans="2:10" x14ac:dyDescent="0.3">
      <c r="E71" s="6"/>
      <c r="F71" s="6"/>
      <c r="G71" s="6"/>
      <c r="H71" s="6"/>
      <c r="I71" s="6"/>
    </row>
    <row r="72" spans="2:10" x14ac:dyDescent="0.3">
      <c r="E72" s="6"/>
      <c r="F72" s="6"/>
      <c r="G72" s="6"/>
      <c r="H72" s="6"/>
      <c r="I72" s="6"/>
    </row>
    <row r="73" spans="2:10" x14ac:dyDescent="0.3">
      <c r="E73" s="6"/>
      <c r="F73" s="6"/>
      <c r="G73" s="6"/>
      <c r="H73" s="6"/>
      <c r="I73" s="6"/>
    </row>
    <row r="74" spans="2:10" x14ac:dyDescent="0.3">
      <c r="E74" s="6"/>
      <c r="F74" s="6"/>
      <c r="G74" s="6"/>
      <c r="H74" s="6"/>
      <c r="I74" s="6"/>
    </row>
    <row r="75" spans="2:10" x14ac:dyDescent="0.3">
      <c r="E75" s="6"/>
      <c r="F75" s="6"/>
      <c r="G75" s="6"/>
      <c r="H75" s="6"/>
      <c r="I75" s="6"/>
    </row>
    <row r="76" spans="2:10" x14ac:dyDescent="0.3">
      <c r="E76" s="6"/>
      <c r="F76" s="6"/>
      <c r="G76" s="6"/>
      <c r="H76" s="6"/>
      <c r="I76" s="6"/>
    </row>
    <row r="77" spans="2:10" x14ac:dyDescent="0.3">
      <c r="E77" s="6"/>
      <c r="F77" s="6"/>
      <c r="G77" s="6"/>
      <c r="H77" s="6"/>
      <c r="I77" s="6"/>
    </row>
    <row r="78" spans="2:10" x14ac:dyDescent="0.3">
      <c r="E78" s="6"/>
      <c r="F78" s="6"/>
      <c r="G78" s="6"/>
      <c r="H78" s="6"/>
      <c r="I78" s="6"/>
    </row>
    <row r="79" spans="2:10" x14ac:dyDescent="0.3">
      <c r="E79" s="6"/>
      <c r="F79" s="6"/>
      <c r="G79" s="6"/>
      <c r="H79" s="6"/>
      <c r="I79" s="6"/>
    </row>
    <row r="80" spans="2:10" x14ac:dyDescent="0.3">
      <c r="E80" s="6"/>
      <c r="F80" s="6"/>
      <c r="G80" s="6"/>
      <c r="H80" s="6"/>
      <c r="I80" s="6"/>
    </row>
    <row r="82" spans="2:6" x14ac:dyDescent="0.3">
      <c r="B82" s="5"/>
    </row>
    <row r="83" spans="2:6" x14ac:dyDescent="0.3">
      <c r="B83" s="5"/>
    </row>
    <row r="85" spans="2:6" x14ac:dyDescent="0.3">
      <c r="E85" s="6"/>
      <c r="F85" s="6"/>
    </row>
    <row r="86" spans="2:6" x14ac:dyDescent="0.3">
      <c r="E86" s="6"/>
      <c r="F86" s="6"/>
    </row>
    <row r="87" spans="2:6" x14ac:dyDescent="0.3">
      <c r="E87" s="6"/>
      <c r="F87" s="6"/>
    </row>
    <row r="88" spans="2:6" x14ac:dyDescent="0.3">
      <c r="E88" s="6"/>
      <c r="F88" s="6"/>
    </row>
    <row r="89" spans="2:6" x14ac:dyDescent="0.3">
      <c r="E89" s="6"/>
      <c r="F89" s="6"/>
    </row>
    <row r="90" spans="2:6" x14ac:dyDescent="0.3">
      <c r="E90" s="6"/>
      <c r="F90" s="6"/>
    </row>
    <row r="91" spans="2:6" x14ac:dyDescent="0.3">
      <c r="E91" s="6"/>
      <c r="F91" s="6"/>
    </row>
    <row r="92" spans="2:6" x14ac:dyDescent="0.3">
      <c r="B92" s="5"/>
      <c r="E92" s="6"/>
      <c r="F92" s="6"/>
    </row>
    <row r="93" spans="2:6" x14ac:dyDescent="0.3">
      <c r="B93" s="5"/>
      <c r="E93" s="6"/>
      <c r="F93" s="6"/>
    </row>
    <row r="95" spans="2:6" x14ac:dyDescent="0.3">
      <c r="E95" s="6"/>
      <c r="F95" s="6"/>
    </row>
    <row r="96" spans="2:6" x14ac:dyDescent="0.3">
      <c r="E96" s="6"/>
      <c r="F96" s="6"/>
    </row>
    <row r="97" spans="2:6" x14ac:dyDescent="0.3">
      <c r="E97" s="6"/>
      <c r="F97" s="6"/>
    </row>
    <row r="98" spans="2:6" x14ac:dyDescent="0.3">
      <c r="E98" s="6"/>
      <c r="F98" s="6"/>
    </row>
    <row r="99" spans="2:6" x14ac:dyDescent="0.3">
      <c r="E99" s="6"/>
      <c r="F99" s="6"/>
    </row>
    <row r="100" spans="2:6" x14ac:dyDescent="0.3">
      <c r="E100" s="6"/>
      <c r="F100" s="6"/>
    </row>
    <row r="102" spans="2:6" x14ac:dyDescent="0.3">
      <c r="E102" s="6"/>
      <c r="F102" s="6"/>
    </row>
    <row r="104" spans="2:6" x14ac:dyDescent="0.3">
      <c r="B104" s="5"/>
    </row>
    <row r="105" spans="2:6" x14ac:dyDescent="0.3">
      <c r="B105" s="5"/>
    </row>
    <row r="107" spans="2:6" x14ac:dyDescent="0.3">
      <c r="E107" s="6"/>
      <c r="F107" s="6"/>
    </row>
    <row r="108" spans="2:6" x14ac:dyDescent="0.3">
      <c r="E108" s="6"/>
      <c r="F108" s="6"/>
    </row>
    <row r="109" spans="2:6" x14ac:dyDescent="0.3">
      <c r="E109" s="6"/>
      <c r="F109" s="6"/>
    </row>
    <row r="110" spans="2:6" x14ac:dyDescent="0.3">
      <c r="E110" s="6"/>
      <c r="F110" s="6"/>
    </row>
    <row r="111" spans="2:6" x14ac:dyDescent="0.3">
      <c r="E111" s="6"/>
      <c r="F111" s="6"/>
    </row>
    <row r="112" spans="2:6" x14ac:dyDescent="0.3">
      <c r="E112" s="6"/>
      <c r="F112" s="6"/>
    </row>
    <row r="114" spans="2:11" x14ac:dyDescent="0.3">
      <c r="E114" s="6"/>
      <c r="F114" s="6"/>
    </row>
    <row r="116" spans="2:11" x14ac:dyDescent="0.3">
      <c r="B116" s="5"/>
    </row>
    <row r="117" spans="2:11" x14ac:dyDescent="0.3">
      <c r="B117" s="5"/>
    </row>
    <row r="119" spans="2:11" x14ac:dyDescent="0.3">
      <c r="E119" s="6"/>
      <c r="F119" s="6"/>
      <c r="J119" s="6"/>
      <c r="K119" s="6"/>
    </row>
    <row r="120" spans="2:11" x14ac:dyDescent="0.3">
      <c r="E120" s="6"/>
      <c r="F120" s="6"/>
      <c r="J120" s="6"/>
      <c r="K120" s="6"/>
    </row>
    <row r="121" spans="2:11" x14ac:dyDescent="0.3">
      <c r="E121" s="6"/>
      <c r="F121" s="6"/>
      <c r="J121" s="6"/>
      <c r="K121" s="6"/>
    </row>
    <row r="122" spans="2:11" x14ac:dyDescent="0.3">
      <c r="E122" s="6"/>
      <c r="F122" s="6"/>
      <c r="J122" s="6"/>
      <c r="K122" s="6"/>
    </row>
    <row r="123" spans="2:11" x14ac:dyDescent="0.3">
      <c r="E123" s="6"/>
      <c r="F123" s="6"/>
      <c r="J123" s="6"/>
      <c r="K123" s="6"/>
    </row>
    <row r="124" spans="2:11" x14ac:dyDescent="0.3">
      <c r="E124" s="6"/>
      <c r="F124" s="6"/>
      <c r="J124" s="6"/>
      <c r="K124" s="6"/>
    </row>
    <row r="125" spans="2:11" x14ac:dyDescent="0.3">
      <c r="E125" s="6"/>
      <c r="F125" s="6"/>
      <c r="J125" s="6"/>
      <c r="K125" s="6"/>
    </row>
    <row r="126" spans="2:11" x14ac:dyDescent="0.3">
      <c r="E126" s="6"/>
      <c r="F126" s="6"/>
      <c r="J126" s="6"/>
      <c r="K126" s="6"/>
    </row>
    <row r="127" spans="2:11" x14ac:dyDescent="0.3">
      <c r="E127" s="6"/>
      <c r="F127" s="6"/>
      <c r="J127" s="6"/>
      <c r="K127" s="6"/>
    </row>
    <row r="128" spans="2:11" x14ac:dyDescent="0.3">
      <c r="E128" s="6"/>
      <c r="F128" s="6"/>
      <c r="J128" s="6"/>
      <c r="K128" s="6"/>
    </row>
    <row r="129" spans="2:11" x14ac:dyDescent="0.3">
      <c r="E129" s="6"/>
      <c r="F129" s="6"/>
      <c r="J129" s="6"/>
      <c r="K129" s="6"/>
    </row>
    <row r="131" spans="2:11" x14ac:dyDescent="0.3">
      <c r="B131" s="5"/>
    </row>
    <row r="132" spans="2:11" x14ac:dyDescent="0.3">
      <c r="B132" s="5"/>
    </row>
    <row r="134" spans="2:11" x14ac:dyDescent="0.3">
      <c r="E134" s="6"/>
      <c r="F134" s="6"/>
      <c r="J134" s="6"/>
      <c r="K134" s="6"/>
    </row>
    <row r="135" spans="2:11" x14ac:dyDescent="0.3">
      <c r="E135" s="6"/>
      <c r="F135" s="6"/>
      <c r="J135" s="6"/>
      <c r="K135" s="6"/>
    </row>
    <row r="136" spans="2:11" x14ac:dyDescent="0.3">
      <c r="E136" s="6"/>
      <c r="F136" s="6"/>
      <c r="J136" s="6"/>
      <c r="K136" s="6"/>
    </row>
    <row r="137" spans="2:11" x14ac:dyDescent="0.3">
      <c r="E137" s="6"/>
      <c r="F137" s="6"/>
      <c r="J137" s="6"/>
      <c r="K137" s="6"/>
    </row>
    <row r="138" spans="2:11" x14ac:dyDescent="0.3">
      <c r="E138" s="6"/>
      <c r="F138" s="6"/>
      <c r="J138" s="6"/>
      <c r="K138" s="6"/>
    </row>
    <row r="139" spans="2:11" x14ac:dyDescent="0.3">
      <c r="E139" s="6"/>
      <c r="F139" s="6"/>
      <c r="J139" s="6"/>
      <c r="K139" s="6"/>
    </row>
    <row r="140" spans="2:11" x14ac:dyDescent="0.3">
      <c r="E140" s="6"/>
      <c r="F140" s="6"/>
      <c r="J140" s="6"/>
      <c r="K140" s="6"/>
    </row>
    <row r="141" spans="2:11" x14ac:dyDescent="0.3">
      <c r="E141" s="6"/>
      <c r="F141" s="6"/>
      <c r="J141" s="6"/>
      <c r="K141" s="6"/>
    </row>
    <row r="142" spans="2:11" x14ac:dyDescent="0.3">
      <c r="E142" s="6"/>
      <c r="F142" s="6"/>
      <c r="J142" s="6"/>
      <c r="K142" s="6"/>
    </row>
    <row r="143" spans="2:11" x14ac:dyDescent="0.3">
      <c r="E143" s="6"/>
      <c r="F143" s="6"/>
      <c r="J143" s="6"/>
      <c r="K143" s="6"/>
    </row>
    <row r="144" spans="2:11" x14ac:dyDescent="0.3">
      <c r="E144" s="6"/>
      <c r="F144" s="6"/>
      <c r="J144" s="6"/>
      <c r="K144" s="6"/>
    </row>
    <row r="146" spans="2:11" x14ac:dyDescent="0.3">
      <c r="E146" s="6"/>
      <c r="F146" s="6"/>
      <c r="J146" s="6"/>
      <c r="K146" s="6"/>
    </row>
    <row r="147" spans="2:11" x14ac:dyDescent="0.3">
      <c r="E147" s="6"/>
      <c r="F147" s="6"/>
      <c r="J147" s="6"/>
      <c r="K147" s="6"/>
    </row>
    <row r="149" spans="2:11" x14ac:dyDescent="0.3">
      <c r="B149" s="5"/>
    </row>
    <row r="150" spans="2:11" x14ac:dyDescent="0.3">
      <c r="B150" s="5"/>
    </row>
    <row r="152" spans="2:11" x14ac:dyDescent="0.3">
      <c r="D152" s="6"/>
      <c r="E152" s="6"/>
      <c r="F152" s="6"/>
      <c r="G152" s="6"/>
    </row>
    <row r="153" spans="2:11" x14ac:dyDescent="0.3">
      <c r="D153" s="6"/>
      <c r="E153" s="6"/>
      <c r="F153" s="6"/>
      <c r="G153" s="6"/>
    </row>
    <row r="155" spans="2:11" x14ac:dyDescent="0.3">
      <c r="B155" s="5"/>
    </row>
    <row r="156" spans="2:11" x14ac:dyDescent="0.3">
      <c r="B156" s="5"/>
    </row>
    <row r="158" spans="2:11" x14ac:dyDescent="0.3">
      <c r="D158" s="6"/>
      <c r="E158" s="6"/>
      <c r="F158" s="6"/>
      <c r="G158" s="6"/>
    </row>
    <row r="159" spans="2:11" x14ac:dyDescent="0.3">
      <c r="D159" s="6"/>
      <c r="E159" s="6"/>
      <c r="F159" s="6"/>
      <c r="G159" s="6"/>
    </row>
    <row r="161" spans="2:7" x14ac:dyDescent="0.3">
      <c r="B161" s="5"/>
    </row>
    <row r="162" spans="2:7" x14ac:dyDescent="0.3">
      <c r="B162" s="5"/>
    </row>
    <row r="164" spans="2:7" x14ac:dyDescent="0.3">
      <c r="D164" s="6"/>
      <c r="E164" s="6"/>
      <c r="F164" s="6"/>
      <c r="G164" s="6"/>
    </row>
    <row r="165" spans="2:7" x14ac:dyDescent="0.3">
      <c r="D165" s="6"/>
      <c r="E165" s="6"/>
      <c r="F165" s="6"/>
      <c r="G165" s="6"/>
    </row>
    <row r="167" spans="2:7" x14ac:dyDescent="0.3">
      <c r="B167" s="5"/>
    </row>
    <row r="168" spans="2:7" x14ac:dyDescent="0.3">
      <c r="B168" s="5"/>
    </row>
    <row r="170" spans="2:7" x14ac:dyDescent="0.3">
      <c r="D170" s="6"/>
      <c r="E170" s="6"/>
      <c r="F170" s="6"/>
      <c r="G170" s="6"/>
    </row>
    <row r="171" spans="2:7" x14ac:dyDescent="0.3">
      <c r="D171" s="6"/>
      <c r="E171" s="6"/>
      <c r="F171" s="6"/>
      <c r="G171" s="6"/>
    </row>
    <row r="173" spans="2:7" x14ac:dyDescent="0.3">
      <c r="B173" s="5"/>
    </row>
    <row r="174" spans="2:7" x14ac:dyDescent="0.3">
      <c r="B174" s="5"/>
    </row>
    <row r="179" spans="2:2" x14ac:dyDescent="0.3">
      <c r="B179" s="5"/>
    </row>
    <row r="180" spans="2:2" x14ac:dyDescent="0.3">
      <c r="B180" s="5"/>
    </row>
    <row r="185" spans="2:2" x14ac:dyDescent="0.3">
      <c r="B185" s="5"/>
    </row>
    <row r="186" spans="2:2" x14ac:dyDescent="0.3">
      <c r="B186" s="5"/>
    </row>
    <row r="191" spans="2:2" x14ac:dyDescent="0.3">
      <c r="B191" s="5"/>
    </row>
    <row r="192" spans="2:2" x14ac:dyDescent="0.3">
      <c r="B192" s="5"/>
    </row>
    <row r="197" spans="2:3" x14ac:dyDescent="0.3">
      <c r="B197" s="5"/>
    </row>
    <row r="198" spans="2:3" x14ac:dyDescent="0.3">
      <c r="B198" s="5"/>
    </row>
    <row r="203" spans="2:3" x14ac:dyDescent="0.3">
      <c r="B203" s="5"/>
    </row>
    <row r="204" spans="2:3" x14ac:dyDescent="0.3">
      <c r="B204" s="5"/>
    </row>
    <row r="205" spans="2:3" x14ac:dyDescent="0.3">
      <c r="B205" s="8"/>
      <c r="C205" s="6"/>
    </row>
    <row r="217" spans="2:4" x14ac:dyDescent="0.3">
      <c r="B217" s="5"/>
    </row>
    <row r="218" spans="2:4" x14ac:dyDescent="0.3">
      <c r="B218" s="5"/>
    </row>
    <row r="219" spans="2:4" ht="37.5" customHeight="1" x14ac:dyDescent="0.3">
      <c r="B219" s="8"/>
      <c r="C219" s="8"/>
      <c r="D219" s="8"/>
    </row>
    <row r="220" spans="2:4" x14ac:dyDescent="0.3">
      <c r="D220" s="8"/>
    </row>
    <row r="221" spans="2:4" x14ac:dyDescent="0.3">
      <c r="D221" s="8"/>
    </row>
    <row r="222" spans="2:4" x14ac:dyDescent="0.3">
      <c r="D222" s="8"/>
    </row>
    <row r="223" spans="2:4" x14ac:dyDescent="0.3">
      <c r="D223" s="8"/>
    </row>
    <row r="224" spans="2:4" x14ac:dyDescent="0.3">
      <c r="D224" s="8"/>
    </row>
    <row r="225" spans="2:4" x14ac:dyDescent="0.3">
      <c r="D225" s="8"/>
    </row>
    <row r="226" spans="2:4" x14ac:dyDescent="0.3">
      <c r="D226" s="8"/>
    </row>
    <row r="227" spans="2:4" x14ac:dyDescent="0.3">
      <c r="D227" s="8"/>
    </row>
    <row r="228" spans="2:4" x14ac:dyDescent="0.3">
      <c r="D228" s="8"/>
    </row>
    <row r="229" spans="2:4" x14ac:dyDescent="0.3">
      <c r="D229" s="8"/>
    </row>
    <row r="230" spans="2:4" x14ac:dyDescent="0.3">
      <c r="D230" s="8"/>
    </row>
    <row r="232" spans="2:4" x14ac:dyDescent="0.3">
      <c r="B232" s="5"/>
    </row>
    <row r="233" spans="2:4" x14ac:dyDescent="0.3">
      <c r="B233" s="5"/>
    </row>
    <row r="234" spans="2:4" ht="55.5" customHeight="1" x14ac:dyDescent="0.3">
      <c r="B234" s="8"/>
      <c r="C234" s="8"/>
      <c r="D234" s="9"/>
    </row>
    <row r="235" spans="2:4" x14ac:dyDescent="0.3">
      <c r="D235" s="8"/>
    </row>
    <row r="236" spans="2:4" x14ac:dyDescent="0.3">
      <c r="D236" s="8"/>
    </row>
    <row r="237" spans="2:4" x14ac:dyDescent="0.3">
      <c r="D237" s="8"/>
    </row>
    <row r="238" spans="2:4" x14ac:dyDescent="0.3">
      <c r="D238" s="8"/>
    </row>
    <row r="239" spans="2:4" x14ac:dyDescent="0.3">
      <c r="D239" s="8"/>
    </row>
    <row r="240" spans="2:4" x14ac:dyDescent="0.3">
      <c r="C240" s="6"/>
      <c r="D240" s="8"/>
    </row>
    <row r="241" spans="2:4" x14ac:dyDescent="0.3">
      <c r="C241" s="6"/>
      <c r="D241" s="8"/>
    </row>
    <row r="242" spans="2:4" x14ac:dyDescent="0.3">
      <c r="C242" s="6"/>
      <c r="D242" s="8"/>
    </row>
    <row r="243" spans="2:4" x14ac:dyDescent="0.3">
      <c r="C243" s="6"/>
      <c r="D243" s="8"/>
    </row>
    <row r="244" spans="2:4" x14ac:dyDescent="0.3">
      <c r="C244" s="6"/>
      <c r="D244" s="8"/>
    </row>
    <row r="245" spans="2:4" x14ac:dyDescent="0.3">
      <c r="C245" s="6"/>
      <c r="D245" s="8"/>
    </row>
    <row r="247" spans="2:4" x14ac:dyDescent="0.3">
      <c r="B247" s="5"/>
    </row>
    <row r="248" spans="2:4" x14ac:dyDescent="0.3">
      <c r="B248" s="5"/>
    </row>
    <row r="249" spans="2:4" x14ac:dyDescent="0.3">
      <c r="B249" s="8"/>
      <c r="C249" s="8"/>
    </row>
    <row r="250" spans="2:4" x14ac:dyDescent="0.3">
      <c r="B250" s="7"/>
    </row>
    <row r="251" spans="2:4" x14ac:dyDescent="0.3">
      <c r="B251" s="7"/>
    </row>
    <row r="252" spans="2:4" x14ac:dyDescent="0.3">
      <c r="B252" s="7"/>
    </row>
    <row r="253" spans="2:4" x14ac:dyDescent="0.3">
      <c r="B253" s="7"/>
    </row>
    <row r="254" spans="2:4" x14ac:dyDescent="0.3">
      <c r="B254" s="7"/>
    </row>
    <row r="255" spans="2:4" x14ac:dyDescent="0.3">
      <c r="B255" s="7"/>
    </row>
    <row r="256" spans="2:4" x14ac:dyDescent="0.3">
      <c r="B256" s="7"/>
    </row>
    <row r="257" spans="2:12" x14ac:dyDescent="0.3">
      <c r="B257" s="7"/>
    </row>
    <row r="258" spans="2:12" x14ac:dyDescent="0.3">
      <c r="B258" s="7"/>
    </row>
    <row r="260" spans="2:12" x14ac:dyDescent="0.3">
      <c r="B260" s="5"/>
    </row>
    <row r="261" spans="2:12" x14ac:dyDescent="0.3">
      <c r="B261" s="5"/>
    </row>
    <row r="262" spans="2:12" x14ac:dyDescent="0.3">
      <c r="B262" s="10"/>
      <c r="C262" s="10"/>
      <c r="D262" s="10"/>
      <c r="E262" s="10"/>
      <c r="F262" s="10"/>
      <c r="G262" s="10"/>
      <c r="H262" s="10"/>
      <c r="I262" s="10"/>
      <c r="J262" s="10"/>
      <c r="K262" s="10"/>
      <c r="L262" s="10"/>
    </row>
    <row r="263" spans="2:12" x14ac:dyDescent="0.3">
      <c r="B263" s="10"/>
      <c r="C263" s="10"/>
      <c r="D263" s="11"/>
      <c r="E263" s="11"/>
      <c r="F263" s="11"/>
      <c r="G263" s="11"/>
      <c r="H263" s="11"/>
      <c r="I263" s="11"/>
      <c r="J263" s="11"/>
      <c r="K263" s="11"/>
      <c r="L263" s="11"/>
    </row>
    <row r="264" spans="2:12" x14ac:dyDescent="0.3">
      <c r="D264" s="6"/>
      <c r="E264" s="6"/>
      <c r="F264" s="6"/>
      <c r="G264" s="6"/>
      <c r="H264" s="6"/>
      <c r="I264" s="6"/>
      <c r="J264" s="6"/>
      <c r="K264" s="6"/>
      <c r="L264" s="6"/>
    </row>
    <row r="265" spans="2:12" x14ac:dyDescent="0.3">
      <c r="D265" s="6"/>
      <c r="E265" s="6"/>
      <c r="F265" s="6"/>
      <c r="G265" s="6"/>
      <c r="H265" s="6"/>
      <c r="I265" s="6"/>
      <c r="J265" s="6"/>
      <c r="K265" s="6"/>
      <c r="L265" s="6"/>
    </row>
    <row r="266" spans="2:12" x14ac:dyDescent="0.3">
      <c r="D266" s="6"/>
      <c r="E266" s="6"/>
      <c r="F266" s="6"/>
      <c r="G266" s="6"/>
      <c r="H266" s="6"/>
      <c r="I266" s="6"/>
      <c r="J266" s="6"/>
      <c r="K266" s="6"/>
      <c r="L266" s="6"/>
    </row>
    <row r="267" spans="2:12" x14ac:dyDescent="0.3">
      <c r="D267" s="6"/>
      <c r="E267" s="6"/>
      <c r="F267" s="6"/>
      <c r="G267" s="6"/>
      <c r="H267" s="6"/>
      <c r="I267" s="6"/>
      <c r="J267" s="6"/>
      <c r="K267" s="6"/>
      <c r="L267" s="6"/>
    </row>
    <row r="268" spans="2:12" x14ac:dyDescent="0.3">
      <c r="D268" s="6"/>
      <c r="E268" s="6"/>
      <c r="F268" s="6"/>
      <c r="G268" s="6"/>
      <c r="H268" s="6"/>
      <c r="I268" s="6"/>
      <c r="J268" s="6"/>
      <c r="K268" s="6"/>
      <c r="L268" s="6"/>
    </row>
    <row r="269" spans="2:12" x14ac:dyDescent="0.3">
      <c r="D269" s="6"/>
      <c r="E269" s="6"/>
      <c r="F269" s="6"/>
      <c r="G269" s="6"/>
      <c r="H269" s="6"/>
      <c r="I269" s="6"/>
      <c r="J269" s="6"/>
      <c r="K269" s="6"/>
      <c r="L269" s="6"/>
    </row>
    <row r="270" spans="2:12" x14ac:dyDescent="0.3">
      <c r="D270" s="6"/>
      <c r="E270" s="6"/>
      <c r="F270" s="6"/>
      <c r="G270" s="6"/>
      <c r="H270" s="6"/>
      <c r="I270" s="6"/>
      <c r="J270" s="6"/>
      <c r="K270" s="6"/>
      <c r="L270" s="6"/>
    </row>
    <row r="272" spans="2:12" x14ac:dyDescent="0.3">
      <c r="B272" s="5"/>
    </row>
    <row r="273" spans="2:10" x14ac:dyDescent="0.3">
      <c r="B273" s="5"/>
    </row>
    <row r="274" spans="2:10" x14ac:dyDescent="0.3">
      <c r="B274" s="8"/>
      <c r="C274" s="8"/>
      <c r="D274" s="8"/>
      <c r="E274" s="8"/>
      <c r="F274" s="8"/>
      <c r="G274" s="8"/>
      <c r="H274" s="8"/>
      <c r="I274" s="8"/>
      <c r="J274" s="8"/>
    </row>
    <row r="275" spans="2:10" x14ac:dyDescent="0.3">
      <c r="B275" s="7"/>
      <c r="C275" s="6"/>
      <c r="D275" s="6"/>
      <c r="E275" s="6"/>
      <c r="F275" s="6"/>
      <c r="G275" s="6"/>
      <c r="H275" s="6"/>
      <c r="I275" s="6"/>
      <c r="J275" s="6"/>
    </row>
    <row r="276" spans="2:10" x14ac:dyDescent="0.3">
      <c r="B276" s="7"/>
      <c r="C276" s="6"/>
      <c r="D276" s="6"/>
      <c r="E276" s="6"/>
      <c r="F276" s="6"/>
      <c r="G276" s="6"/>
      <c r="H276" s="6"/>
      <c r="I276" s="6"/>
      <c r="J276" s="6"/>
    </row>
    <row r="277" spans="2:10" x14ac:dyDescent="0.3">
      <c r="B277" s="7"/>
      <c r="C277" s="6"/>
      <c r="D277" s="6"/>
      <c r="E277" s="6"/>
      <c r="F277" s="6"/>
      <c r="G277" s="6"/>
      <c r="H277" s="6"/>
      <c r="I277" s="6"/>
      <c r="J277" s="6"/>
    </row>
    <row r="278" spans="2:10" x14ac:dyDescent="0.3">
      <c r="B278" s="7"/>
      <c r="C278" s="6"/>
      <c r="D278" s="6"/>
      <c r="E278" s="6"/>
      <c r="F278" s="6"/>
      <c r="G278" s="6"/>
      <c r="H278" s="6"/>
      <c r="I278" s="6"/>
      <c r="J278" s="6"/>
    </row>
    <row r="279" spans="2:10" x14ac:dyDescent="0.3">
      <c r="B279" s="7"/>
      <c r="C279" s="6"/>
      <c r="D279" s="6"/>
      <c r="E279" s="6"/>
      <c r="F279" s="6"/>
      <c r="G279" s="6"/>
      <c r="H279" s="6"/>
      <c r="I279" s="6"/>
      <c r="J279" s="6"/>
    </row>
    <row r="280" spans="2:10" x14ac:dyDescent="0.3">
      <c r="B280" s="7"/>
      <c r="C280" s="6"/>
      <c r="D280" s="6"/>
      <c r="E280" s="6"/>
      <c r="F280" s="6"/>
      <c r="G280" s="6"/>
      <c r="H280" s="6"/>
      <c r="I280" s="6"/>
      <c r="J280" s="6"/>
    </row>
    <row r="281" spans="2:10" x14ac:dyDescent="0.3">
      <c r="B281" s="7"/>
      <c r="C281" s="6"/>
      <c r="D281" s="6"/>
      <c r="E281" s="6"/>
      <c r="F281" s="6"/>
      <c r="G281" s="6"/>
      <c r="H281" s="6"/>
      <c r="I281" s="6"/>
      <c r="J281" s="6"/>
    </row>
    <row r="282" spans="2:10" x14ac:dyDescent="0.3">
      <c r="B282" s="7"/>
      <c r="C282" s="6"/>
      <c r="D282" s="6"/>
      <c r="E282" s="6"/>
      <c r="F282" s="6"/>
      <c r="G282" s="6"/>
      <c r="H282" s="6"/>
      <c r="I282" s="6"/>
      <c r="J282" s="6"/>
    </row>
    <row r="283" spans="2:10" x14ac:dyDescent="0.3">
      <c r="B283" s="7"/>
      <c r="C283" s="6"/>
      <c r="D283" s="6"/>
      <c r="E283" s="6"/>
      <c r="F283" s="6"/>
      <c r="G283" s="6"/>
      <c r="H283" s="6"/>
      <c r="I283" s="6"/>
      <c r="J283" s="6"/>
    </row>
    <row r="284" spans="2:10" x14ac:dyDescent="0.3">
      <c r="B284" s="15"/>
      <c r="C284" s="12"/>
      <c r="D284" s="12"/>
      <c r="E284" s="12"/>
      <c r="F284" s="12"/>
      <c r="G284" s="12"/>
      <c r="H284" s="12"/>
      <c r="I284" s="12"/>
      <c r="J284" s="12"/>
    </row>
    <row r="285" spans="2:10" x14ac:dyDescent="0.3">
      <c r="B285" s="7"/>
      <c r="C285" s="6"/>
      <c r="D285" s="6"/>
      <c r="E285" s="6"/>
      <c r="F285" s="6"/>
      <c r="G285" s="6"/>
      <c r="H285" s="6"/>
      <c r="I285" s="6"/>
      <c r="J285" s="6"/>
    </row>
    <row r="287" spans="2:10" x14ac:dyDescent="0.3">
      <c r="B287" s="2"/>
      <c r="C287" s="2"/>
    </row>
    <row r="289" spans="2:7" x14ac:dyDescent="0.3">
      <c r="B289" s="5"/>
    </row>
    <row r="290" spans="2:7" x14ac:dyDescent="0.3">
      <c r="B290" s="5"/>
    </row>
    <row r="291" spans="2:7" ht="39.75" customHeight="1" x14ac:dyDescent="0.3">
      <c r="B291" s="8"/>
      <c r="C291" s="8"/>
      <c r="D291" s="8"/>
    </row>
    <row r="292" spans="2:7" x14ac:dyDescent="0.3">
      <c r="B292" s="6"/>
      <c r="C292" s="6"/>
      <c r="D292" s="6"/>
    </row>
    <row r="293" spans="2:7" x14ac:dyDescent="0.3">
      <c r="B293" s="6"/>
      <c r="C293" s="6"/>
      <c r="D293" s="6"/>
    </row>
    <row r="294" spans="2:7" x14ac:dyDescent="0.3">
      <c r="B294" s="6"/>
      <c r="C294" s="6"/>
      <c r="D294" s="6"/>
    </row>
    <row r="296" spans="2:7" x14ac:dyDescent="0.3">
      <c r="B296" s="2"/>
      <c r="C296" s="2"/>
    </row>
    <row r="298" spans="2:7" x14ac:dyDescent="0.3">
      <c r="B298" s="5"/>
    </row>
    <row r="299" spans="2:7" x14ac:dyDescent="0.3">
      <c r="B299" s="5"/>
    </row>
    <row r="300" spans="2:7" x14ac:dyDescent="0.3">
      <c r="B300" s="10"/>
      <c r="C300" s="10"/>
      <c r="D300" s="10"/>
      <c r="E300" s="10"/>
      <c r="F300" s="10"/>
      <c r="G300" s="10"/>
    </row>
    <row r="301" spans="2:7" x14ac:dyDescent="0.3">
      <c r="B301" s="10"/>
      <c r="C301" s="10"/>
      <c r="D301" s="10"/>
      <c r="E301" s="10"/>
      <c r="F301" s="10"/>
      <c r="G301" s="10"/>
    </row>
    <row r="302" spans="2:7" x14ac:dyDescent="0.3">
      <c r="B302" s="6"/>
      <c r="C302" s="6"/>
      <c r="D302" s="6"/>
      <c r="E302" s="6"/>
      <c r="F302" s="6"/>
      <c r="G302" s="6"/>
    </row>
    <row r="303" spans="2:7" x14ac:dyDescent="0.3">
      <c r="B303" s="6"/>
      <c r="C303" s="6"/>
      <c r="D303" s="6"/>
      <c r="E303" s="6"/>
      <c r="F303" s="6"/>
      <c r="G303" s="6"/>
    </row>
    <row r="304" spans="2:7" x14ac:dyDescent="0.3">
      <c r="B304" s="6"/>
      <c r="C304" s="6"/>
      <c r="D304" s="6"/>
      <c r="E304" s="6"/>
      <c r="F304" s="6"/>
      <c r="G304" s="6"/>
    </row>
    <row r="305" spans="2:7" x14ac:dyDescent="0.3">
      <c r="B305" s="6"/>
      <c r="C305" s="6"/>
      <c r="D305" s="6"/>
      <c r="E305" s="6"/>
      <c r="F305" s="6"/>
      <c r="G305" s="6"/>
    </row>
    <row r="306" spans="2:7" x14ac:dyDescent="0.3">
      <c r="B306" s="6"/>
      <c r="C306" s="6"/>
      <c r="D306" s="6"/>
      <c r="E306" s="6"/>
      <c r="F306" s="6"/>
      <c r="G306" s="6"/>
    </row>
    <row r="307" spans="2:7" x14ac:dyDescent="0.3">
      <c r="B307" s="6"/>
      <c r="C307" s="6"/>
      <c r="D307" s="6"/>
      <c r="E307" s="6"/>
      <c r="F307" s="6"/>
      <c r="G307" s="6"/>
    </row>
    <row r="308" spans="2:7" x14ac:dyDescent="0.3">
      <c r="B308" s="6"/>
      <c r="C308" s="6"/>
      <c r="D308" s="6"/>
      <c r="E308" s="6"/>
      <c r="F308" s="6"/>
      <c r="G308" s="6"/>
    </row>
    <row r="309" spans="2:7" x14ac:dyDescent="0.3">
      <c r="B309" s="6"/>
      <c r="C309" s="6"/>
      <c r="D309" s="6"/>
      <c r="E309" s="6"/>
      <c r="F309" s="6"/>
      <c r="G309" s="6"/>
    </row>
    <row r="310" spans="2:7" x14ac:dyDescent="0.3">
      <c r="B310" s="6"/>
      <c r="C310" s="6"/>
      <c r="D310" s="6"/>
      <c r="E310" s="6"/>
      <c r="F310" s="6"/>
      <c r="G310" s="6"/>
    </row>
    <row r="311" spans="2:7" x14ac:dyDescent="0.3">
      <c r="B311" s="6"/>
      <c r="C311" s="6"/>
      <c r="D311" s="6"/>
      <c r="E311" s="6"/>
      <c r="F311" s="6"/>
      <c r="G311" s="6"/>
    </row>
    <row r="312" spans="2:7" x14ac:dyDescent="0.3">
      <c r="B312" s="6"/>
      <c r="C312" s="6"/>
      <c r="D312" s="6"/>
      <c r="E312" s="6"/>
      <c r="F312" s="6"/>
      <c r="G312" s="6"/>
    </row>
    <row r="313" spans="2:7" x14ac:dyDescent="0.3">
      <c r="B313" s="6"/>
      <c r="C313" s="6"/>
      <c r="D313" s="6"/>
      <c r="E313" s="6"/>
      <c r="F313" s="6"/>
      <c r="G313" s="6"/>
    </row>
    <row r="314" spans="2:7" x14ac:dyDescent="0.3">
      <c r="B314" s="6"/>
      <c r="C314" s="6"/>
      <c r="D314" s="6"/>
      <c r="E314" s="6"/>
      <c r="F314" s="6"/>
      <c r="G314" s="6"/>
    </row>
    <row r="315" spans="2:7" x14ac:dyDescent="0.3">
      <c r="B315" s="6"/>
      <c r="C315" s="6"/>
      <c r="D315" s="6"/>
      <c r="E315" s="6"/>
      <c r="F315" s="6"/>
      <c r="G315" s="6"/>
    </row>
    <row r="316" spans="2:7" x14ac:dyDescent="0.3">
      <c r="B316" s="6"/>
      <c r="C316" s="6"/>
      <c r="D316" s="6"/>
      <c r="E316" s="6"/>
      <c r="F316" s="6"/>
      <c r="G316" s="6"/>
    </row>
    <row r="317" spans="2:7" x14ac:dyDescent="0.3">
      <c r="B317" s="6"/>
      <c r="C317" s="6"/>
      <c r="D317" s="6"/>
      <c r="E317" s="6"/>
      <c r="F317" s="6"/>
      <c r="G317" s="6"/>
    </row>
    <row r="318" spans="2:7" x14ac:dyDescent="0.3">
      <c r="B318" s="6"/>
      <c r="C318" s="6"/>
      <c r="D318" s="6"/>
      <c r="E318" s="6"/>
      <c r="F318" s="6"/>
      <c r="G318" s="6"/>
    </row>
    <row r="319" spans="2:7" x14ac:dyDescent="0.3">
      <c r="B319" s="6"/>
      <c r="C319" s="6"/>
      <c r="D319" s="6"/>
      <c r="E319" s="6"/>
      <c r="F319" s="6"/>
      <c r="G319" s="6"/>
    </row>
    <row r="320" spans="2:7" x14ac:dyDescent="0.3">
      <c r="B320" s="6"/>
      <c r="C320" s="6"/>
      <c r="D320" s="6"/>
      <c r="E320" s="6"/>
      <c r="F320" s="6"/>
      <c r="G320" s="6"/>
    </row>
    <row r="321" spans="2:7" x14ac:dyDescent="0.3">
      <c r="B321" s="6"/>
      <c r="C321" s="6"/>
      <c r="D321" s="6"/>
      <c r="E321" s="6"/>
      <c r="F321" s="6"/>
      <c r="G321" s="6"/>
    </row>
    <row r="322" spans="2:7" x14ac:dyDescent="0.3">
      <c r="B322" s="6"/>
      <c r="C322" s="6"/>
      <c r="D322" s="6"/>
      <c r="E322" s="6"/>
      <c r="F322" s="6"/>
      <c r="G322" s="6"/>
    </row>
    <row r="323" spans="2:7" x14ac:dyDescent="0.3">
      <c r="B323" s="6"/>
      <c r="C323" s="6"/>
      <c r="D323" s="6"/>
      <c r="E323" s="6"/>
      <c r="F323" s="6"/>
      <c r="G323" s="6"/>
    </row>
    <row r="324" spans="2:7" x14ac:dyDescent="0.3">
      <c r="B324" s="6"/>
      <c r="C324" s="6"/>
      <c r="D324" s="6"/>
      <c r="E324" s="6"/>
      <c r="F324" s="6"/>
      <c r="G324" s="6"/>
    </row>
    <row r="325" spans="2:7" x14ac:dyDescent="0.3">
      <c r="B325" s="6"/>
      <c r="C325" s="6"/>
      <c r="D325" s="6"/>
      <c r="E325" s="6"/>
      <c r="F325" s="6"/>
      <c r="G325" s="6"/>
    </row>
    <row r="326" spans="2:7" x14ac:dyDescent="0.3">
      <c r="B326" s="6"/>
      <c r="C326" s="6"/>
      <c r="D326" s="6"/>
      <c r="E326" s="6"/>
      <c r="F326" s="6"/>
      <c r="G326" s="6"/>
    </row>
    <row r="327" spans="2:7" x14ac:dyDescent="0.3">
      <c r="B327" s="6"/>
      <c r="C327" s="6"/>
      <c r="D327" s="6"/>
      <c r="E327" s="6"/>
      <c r="F327" s="6"/>
      <c r="G327" s="6"/>
    </row>
    <row r="328" spans="2:7" x14ac:dyDescent="0.3">
      <c r="B328" s="6"/>
      <c r="C328" s="6"/>
      <c r="D328" s="6"/>
      <c r="E328" s="6"/>
      <c r="F328" s="6"/>
      <c r="G328" s="6"/>
    </row>
    <row r="329" spans="2:7" x14ac:dyDescent="0.3">
      <c r="B329" s="6"/>
      <c r="C329" s="6"/>
      <c r="D329" s="6"/>
      <c r="E329" s="6"/>
      <c r="F329" s="6"/>
      <c r="G329" s="6"/>
    </row>
    <row r="330" spans="2:7" x14ac:dyDescent="0.3">
      <c r="B330" s="6"/>
      <c r="C330" s="6"/>
      <c r="D330" s="6"/>
      <c r="E330" s="6"/>
      <c r="F330" s="6"/>
      <c r="G330" s="6"/>
    </row>
    <row r="331" spans="2:7" x14ac:dyDescent="0.3">
      <c r="B331" s="6"/>
      <c r="C331" s="6"/>
      <c r="D331" s="6"/>
      <c r="E331" s="6"/>
      <c r="F331" s="6"/>
      <c r="G331" s="6"/>
    </row>
    <row r="332" spans="2:7" x14ac:dyDescent="0.3">
      <c r="B332" s="6"/>
      <c r="C332" s="6"/>
      <c r="D332" s="6"/>
      <c r="E332" s="6"/>
      <c r="F332" s="6"/>
      <c r="G332" s="6"/>
    </row>
    <row r="333" spans="2:7" x14ac:dyDescent="0.3">
      <c r="B333" s="6"/>
      <c r="C333" s="6"/>
      <c r="D333" s="6"/>
      <c r="E333" s="6"/>
      <c r="F333" s="6"/>
      <c r="G333" s="6"/>
    </row>
    <row r="334" spans="2:7" x14ac:dyDescent="0.3">
      <c r="B334" s="6"/>
      <c r="C334" s="6"/>
      <c r="D334" s="6"/>
      <c r="E334" s="6"/>
      <c r="F334" s="6"/>
      <c r="G334" s="6"/>
    </row>
    <row r="335" spans="2:7" x14ac:dyDescent="0.3">
      <c r="B335" s="6"/>
      <c r="C335" s="6"/>
      <c r="D335" s="6"/>
      <c r="E335" s="6"/>
      <c r="F335" s="6"/>
      <c r="G335" s="6"/>
    </row>
    <row r="336" spans="2:7" x14ac:dyDescent="0.3">
      <c r="B336" s="6"/>
      <c r="C336" s="6"/>
      <c r="D336" s="6"/>
      <c r="E336" s="6"/>
      <c r="F336" s="6"/>
      <c r="G336" s="6"/>
    </row>
    <row r="337" spans="2:7" x14ac:dyDescent="0.3">
      <c r="B337" s="6"/>
      <c r="C337" s="6"/>
      <c r="D337" s="6"/>
      <c r="E337" s="6"/>
      <c r="F337" s="6"/>
      <c r="G337" s="6"/>
    </row>
    <row r="338" spans="2:7" x14ac:dyDescent="0.3">
      <c r="B338" s="6"/>
      <c r="C338" s="6"/>
      <c r="D338" s="6"/>
      <c r="E338" s="6"/>
      <c r="F338" s="6"/>
      <c r="G338" s="6"/>
    </row>
    <row r="339" spans="2:7" x14ac:dyDescent="0.3">
      <c r="B339" s="6"/>
      <c r="C339" s="6"/>
      <c r="D339" s="6"/>
      <c r="E339" s="6"/>
      <c r="F339" s="6"/>
      <c r="G339" s="6"/>
    </row>
    <row r="340" spans="2:7" x14ac:dyDescent="0.3">
      <c r="B340" s="6"/>
      <c r="C340" s="6"/>
      <c r="D340" s="6"/>
      <c r="E340" s="6"/>
      <c r="F340" s="6"/>
      <c r="G340" s="6"/>
    </row>
    <row r="341" spans="2:7" x14ac:dyDescent="0.3">
      <c r="B341" s="6"/>
      <c r="C341" s="6"/>
      <c r="D341" s="6"/>
      <c r="E341" s="6"/>
      <c r="F341" s="6"/>
      <c r="G341" s="6"/>
    </row>
    <row r="342" spans="2:7" x14ac:dyDescent="0.3">
      <c r="B342" s="6"/>
      <c r="C342" s="6"/>
      <c r="D342" s="6"/>
      <c r="E342" s="6"/>
      <c r="F342" s="6"/>
      <c r="G342" s="6"/>
    </row>
    <row r="343" spans="2:7" x14ac:dyDescent="0.3">
      <c r="B343" s="6"/>
      <c r="C343" s="6"/>
      <c r="D343" s="6"/>
      <c r="E343" s="6"/>
      <c r="F343" s="6"/>
      <c r="G343" s="6"/>
    </row>
    <row r="344" spans="2:7" x14ac:dyDescent="0.3">
      <c r="B344" s="6"/>
      <c r="C344" s="6"/>
      <c r="D344" s="6"/>
      <c r="E344" s="6"/>
      <c r="F344" s="6"/>
      <c r="G344" s="6"/>
    </row>
    <row r="345" spans="2:7" x14ac:dyDescent="0.3">
      <c r="B345" s="6"/>
      <c r="C345" s="6"/>
      <c r="D345" s="6"/>
      <c r="E345" s="6"/>
      <c r="F345" s="6"/>
      <c r="G345" s="6"/>
    </row>
    <row r="346" spans="2:7" x14ac:dyDescent="0.3">
      <c r="B346" s="6"/>
      <c r="C346" s="6"/>
      <c r="D346" s="6"/>
      <c r="E346" s="6"/>
      <c r="F346" s="6"/>
      <c r="G346" s="6"/>
    </row>
    <row r="348" spans="2:7" x14ac:dyDescent="0.3">
      <c r="B348" s="5"/>
    </row>
    <row r="349" spans="2:7" x14ac:dyDescent="0.3">
      <c r="B349" s="5"/>
    </row>
    <row r="350" spans="2:7" x14ac:dyDescent="0.3">
      <c r="B350" s="10"/>
      <c r="C350" s="10"/>
      <c r="D350" s="10"/>
      <c r="E350" s="10"/>
      <c r="F350" s="10"/>
      <c r="G350" s="10"/>
    </row>
    <row r="351" spans="2:7" x14ac:dyDescent="0.3">
      <c r="B351" s="10"/>
      <c r="C351" s="10"/>
      <c r="D351" s="10"/>
      <c r="E351" s="10"/>
      <c r="F351" s="10"/>
      <c r="G351" s="10"/>
    </row>
    <row r="352" spans="2:7" x14ac:dyDescent="0.3">
      <c r="B352" s="6"/>
      <c r="C352" s="6"/>
      <c r="D352" s="6"/>
      <c r="E352" s="6"/>
      <c r="F352" s="6"/>
      <c r="G352" s="6"/>
    </row>
    <row r="353" spans="2:7" x14ac:dyDescent="0.3">
      <c r="B353" s="6"/>
      <c r="C353" s="6"/>
      <c r="D353" s="6"/>
      <c r="E353" s="6"/>
      <c r="F353" s="6"/>
      <c r="G353" s="6"/>
    </row>
    <row r="354" spans="2:7" x14ac:dyDescent="0.3">
      <c r="B354" s="6"/>
      <c r="C354" s="6"/>
      <c r="D354" s="6"/>
      <c r="E354" s="6"/>
      <c r="F354" s="6"/>
      <c r="G354" s="6"/>
    </row>
    <row r="355" spans="2:7" x14ac:dyDescent="0.3">
      <c r="B355" s="6"/>
      <c r="C355" s="6"/>
      <c r="D355" s="6"/>
      <c r="E355" s="6"/>
      <c r="F355" s="6"/>
      <c r="G355" s="6"/>
    </row>
    <row r="356" spans="2:7" x14ac:dyDescent="0.3">
      <c r="B356" s="6"/>
      <c r="C356" s="6"/>
      <c r="D356" s="6"/>
      <c r="E356" s="6"/>
      <c r="F356" s="6"/>
      <c r="G356" s="6"/>
    </row>
    <row r="357" spans="2:7" x14ac:dyDescent="0.3">
      <c r="B357" s="6"/>
      <c r="C357" s="6"/>
      <c r="D357" s="6"/>
      <c r="E357" s="6"/>
      <c r="F357" s="6"/>
      <c r="G357" s="6"/>
    </row>
    <row r="358" spans="2:7" x14ac:dyDescent="0.3">
      <c r="B358" s="6"/>
      <c r="C358" s="6"/>
      <c r="D358" s="6"/>
      <c r="E358" s="6"/>
      <c r="F358" s="6"/>
      <c r="G358" s="6"/>
    </row>
    <row r="359" spans="2:7" x14ac:dyDescent="0.3">
      <c r="B359" s="6"/>
      <c r="C359" s="6"/>
      <c r="D359" s="6"/>
      <c r="E359" s="6"/>
      <c r="F359" s="6"/>
      <c r="G359" s="6"/>
    </row>
    <row r="360" spans="2:7" x14ac:dyDescent="0.3">
      <c r="B360" s="6"/>
      <c r="C360" s="6"/>
      <c r="D360" s="6"/>
      <c r="E360" s="6"/>
      <c r="F360" s="6"/>
      <c r="G360" s="6"/>
    </row>
    <row r="361" spans="2:7" x14ac:dyDescent="0.3">
      <c r="B361" s="6"/>
      <c r="C361" s="6"/>
      <c r="D361" s="6"/>
      <c r="E361" s="6"/>
      <c r="F361" s="6"/>
      <c r="G361" s="6"/>
    </row>
    <row r="362" spans="2:7" x14ac:dyDescent="0.3">
      <c r="B362" s="6"/>
      <c r="C362" s="6"/>
      <c r="D362" s="6"/>
      <c r="E362" s="6"/>
      <c r="F362" s="6"/>
      <c r="G362" s="6"/>
    </row>
    <row r="363" spans="2:7" x14ac:dyDescent="0.3">
      <c r="B363" s="6"/>
      <c r="C363" s="6"/>
      <c r="D363" s="6"/>
      <c r="E363" s="6"/>
      <c r="F363" s="6"/>
      <c r="G363" s="6"/>
    </row>
    <row r="364" spans="2:7" x14ac:dyDescent="0.3">
      <c r="B364" s="6"/>
      <c r="C364" s="6"/>
      <c r="D364" s="6"/>
      <c r="E364" s="6"/>
      <c r="F364" s="6"/>
      <c r="G364" s="6"/>
    </row>
    <row r="365" spans="2:7" x14ac:dyDescent="0.3">
      <c r="B365" s="6"/>
      <c r="C365" s="6"/>
      <c r="D365" s="6"/>
      <c r="E365" s="6"/>
      <c r="F365" s="6"/>
      <c r="G365" s="6"/>
    </row>
    <row r="366" spans="2:7" x14ac:dyDescent="0.3">
      <c r="B366" s="6"/>
      <c r="C366" s="6"/>
      <c r="D366" s="6"/>
      <c r="E366" s="6"/>
      <c r="F366" s="6"/>
      <c r="G366" s="6"/>
    </row>
    <row r="367" spans="2:7" x14ac:dyDescent="0.3">
      <c r="B367" s="6"/>
      <c r="C367" s="6"/>
      <c r="D367" s="6"/>
      <c r="E367" s="6"/>
      <c r="F367" s="6"/>
      <c r="G367" s="6"/>
    </row>
    <row r="368" spans="2:7" x14ac:dyDescent="0.3">
      <c r="B368" s="6"/>
      <c r="C368" s="6"/>
      <c r="D368" s="6"/>
      <c r="E368" s="6"/>
      <c r="F368" s="6"/>
      <c r="G368" s="6"/>
    </row>
    <row r="369" spans="2:7" x14ac:dyDescent="0.3">
      <c r="B369" s="6"/>
      <c r="C369" s="6"/>
      <c r="D369" s="6"/>
      <c r="E369" s="6"/>
      <c r="F369" s="6"/>
      <c r="G369" s="6"/>
    </row>
    <row r="370" spans="2:7" x14ac:dyDescent="0.3">
      <c r="B370" s="6"/>
      <c r="C370" s="6"/>
      <c r="D370" s="6"/>
      <c r="E370" s="6"/>
      <c r="F370" s="6"/>
      <c r="G370" s="6"/>
    </row>
    <row r="371" spans="2:7" x14ac:dyDescent="0.3">
      <c r="B371" s="6"/>
      <c r="C371" s="6"/>
      <c r="D371" s="6"/>
      <c r="E371" s="6"/>
      <c r="F371" s="6"/>
      <c r="G371" s="6"/>
    </row>
    <row r="372" spans="2:7" x14ac:dyDescent="0.3">
      <c r="B372" s="6"/>
      <c r="C372" s="6"/>
      <c r="D372" s="6"/>
      <c r="E372" s="6"/>
      <c r="F372" s="6"/>
      <c r="G372" s="6"/>
    </row>
    <row r="373" spans="2:7" x14ac:dyDescent="0.3">
      <c r="B373" s="6"/>
      <c r="C373" s="6"/>
      <c r="D373" s="6"/>
      <c r="E373" s="6"/>
      <c r="F373" s="6"/>
      <c r="G373" s="6"/>
    </row>
    <row r="374" spans="2:7" x14ac:dyDescent="0.3">
      <c r="B374" s="6"/>
      <c r="C374" s="6"/>
      <c r="D374" s="6"/>
      <c r="E374" s="6"/>
      <c r="F374" s="6"/>
      <c r="G374" s="6"/>
    </row>
    <row r="375" spans="2:7" x14ac:dyDescent="0.3">
      <c r="B375" s="6"/>
      <c r="C375" s="6"/>
      <c r="D375" s="6"/>
      <c r="E375" s="6"/>
      <c r="F375" s="6"/>
      <c r="G375" s="6"/>
    </row>
    <row r="376" spans="2:7" x14ac:dyDescent="0.3">
      <c r="B376" s="6"/>
      <c r="C376" s="6"/>
      <c r="D376" s="6"/>
      <c r="E376" s="6"/>
      <c r="F376" s="6"/>
      <c r="G376" s="6"/>
    </row>
    <row r="377" spans="2:7" x14ac:dyDescent="0.3">
      <c r="B377" s="6"/>
      <c r="C377" s="6"/>
      <c r="D377" s="6"/>
      <c r="E377" s="6"/>
      <c r="F377" s="6"/>
      <c r="G377" s="6"/>
    </row>
    <row r="378" spans="2:7" x14ac:dyDescent="0.3">
      <c r="B378" s="6"/>
      <c r="C378" s="6"/>
      <c r="D378" s="6"/>
      <c r="E378" s="6"/>
      <c r="F378" s="6"/>
      <c r="G378" s="6"/>
    </row>
    <row r="379" spans="2:7" x14ac:dyDescent="0.3">
      <c r="B379" s="6"/>
      <c r="C379" s="6"/>
      <c r="D379" s="6"/>
      <c r="E379" s="6"/>
      <c r="F379" s="6"/>
      <c r="G379" s="6"/>
    </row>
    <row r="380" spans="2:7" x14ac:dyDescent="0.3">
      <c r="B380" s="6"/>
      <c r="C380" s="6"/>
      <c r="D380" s="6"/>
      <c r="E380" s="6"/>
      <c r="F380" s="6"/>
      <c r="G380" s="6"/>
    </row>
    <row r="381" spans="2:7" x14ac:dyDescent="0.3">
      <c r="B381" s="6"/>
      <c r="C381" s="6"/>
      <c r="D381" s="6"/>
      <c r="E381" s="6"/>
      <c r="F381" s="6"/>
      <c r="G381" s="6"/>
    </row>
    <row r="382" spans="2:7" x14ac:dyDescent="0.3">
      <c r="B382" s="6"/>
      <c r="C382" s="6"/>
      <c r="D382" s="6"/>
      <c r="E382" s="6"/>
      <c r="F382" s="6"/>
      <c r="G382" s="6"/>
    </row>
    <row r="383" spans="2:7" x14ac:dyDescent="0.3">
      <c r="B383" s="6"/>
      <c r="C383" s="6"/>
      <c r="D383" s="6"/>
      <c r="E383" s="6"/>
      <c r="F383" s="6"/>
      <c r="G383" s="6"/>
    </row>
    <row r="384" spans="2:7" x14ac:dyDescent="0.3">
      <c r="B384" s="6"/>
      <c r="C384" s="6"/>
      <c r="D384" s="6"/>
      <c r="E384" s="6"/>
      <c r="F384" s="6"/>
      <c r="G384" s="6"/>
    </row>
    <row r="385" spans="2:7" x14ac:dyDescent="0.3">
      <c r="B385" s="6"/>
      <c r="C385" s="6"/>
      <c r="D385" s="6"/>
      <c r="E385" s="6"/>
      <c r="F385" s="6"/>
      <c r="G385" s="6"/>
    </row>
    <row r="386" spans="2:7" x14ac:dyDescent="0.3">
      <c r="B386" s="6"/>
      <c r="C386" s="6"/>
      <c r="D386" s="6"/>
      <c r="E386" s="6"/>
      <c r="F386" s="6"/>
      <c r="G386" s="6"/>
    </row>
    <row r="387" spans="2:7" x14ac:dyDescent="0.3">
      <c r="B387" s="6"/>
      <c r="C387" s="6"/>
      <c r="D387" s="6"/>
      <c r="E387" s="6"/>
      <c r="F387" s="6"/>
      <c r="G387" s="6"/>
    </row>
    <row r="388" spans="2:7" x14ac:dyDescent="0.3">
      <c r="B388" s="6"/>
      <c r="C388" s="6"/>
      <c r="D388" s="6"/>
      <c r="E388" s="6"/>
      <c r="F388" s="6"/>
      <c r="G388" s="6"/>
    </row>
    <row r="389" spans="2:7" x14ac:dyDescent="0.3">
      <c r="B389" s="6"/>
      <c r="C389" s="6"/>
      <c r="D389" s="6"/>
      <c r="E389" s="6"/>
      <c r="F389" s="6"/>
      <c r="G389" s="6"/>
    </row>
    <row r="390" spans="2:7" x14ac:dyDescent="0.3">
      <c r="B390" s="6"/>
      <c r="C390" s="6"/>
      <c r="D390" s="6"/>
      <c r="E390" s="6"/>
      <c r="F390" s="6"/>
      <c r="G390" s="6"/>
    </row>
    <row r="391" spans="2:7" x14ac:dyDescent="0.3">
      <c r="B391" s="6"/>
      <c r="C391" s="6"/>
      <c r="D391" s="6"/>
      <c r="E391" s="6"/>
      <c r="F391" s="6"/>
      <c r="G391" s="6"/>
    </row>
    <row r="392" spans="2:7" x14ac:dyDescent="0.3">
      <c r="B392" s="6"/>
      <c r="C392" s="6"/>
      <c r="D392" s="6"/>
      <c r="E392" s="6"/>
      <c r="F392" s="6"/>
      <c r="G392" s="6"/>
    </row>
    <row r="393" spans="2:7" x14ac:dyDescent="0.3">
      <c r="B393" s="6"/>
      <c r="C393" s="6"/>
      <c r="D393" s="6"/>
      <c r="E393" s="6"/>
      <c r="F393" s="6"/>
      <c r="G393" s="6"/>
    </row>
    <row r="394" spans="2:7" x14ac:dyDescent="0.3">
      <c r="B394" s="6"/>
      <c r="C394" s="6"/>
      <c r="D394" s="6"/>
      <c r="E394" s="6"/>
      <c r="F394" s="6"/>
      <c r="G394" s="6"/>
    </row>
    <row r="395" spans="2:7" x14ac:dyDescent="0.3">
      <c r="B395" s="6"/>
      <c r="C395" s="6"/>
      <c r="D395" s="6"/>
      <c r="E395" s="6"/>
      <c r="F395" s="6"/>
      <c r="G395" s="6"/>
    </row>
    <row r="396" spans="2:7" x14ac:dyDescent="0.3">
      <c r="B396" s="6"/>
      <c r="C396" s="6"/>
      <c r="D396" s="6"/>
      <c r="E396" s="6"/>
      <c r="F396" s="6"/>
      <c r="G396" s="6"/>
    </row>
    <row r="398" spans="2:7" x14ac:dyDescent="0.3">
      <c r="B398" s="5"/>
    </row>
    <row r="399" spans="2:7" x14ac:dyDescent="0.3">
      <c r="B399" s="5"/>
    </row>
    <row r="400" spans="2:7" x14ac:dyDescent="0.3">
      <c r="B400" s="10"/>
      <c r="C400" s="10"/>
      <c r="D400" s="10"/>
      <c r="E400" s="10"/>
      <c r="F400" s="10"/>
      <c r="G400" s="10"/>
    </row>
    <row r="401" spans="2:7" x14ac:dyDescent="0.3">
      <c r="B401" s="10"/>
      <c r="C401" s="10"/>
      <c r="D401" s="10"/>
      <c r="E401" s="10"/>
      <c r="F401" s="10"/>
      <c r="G401" s="10"/>
    </row>
    <row r="402" spans="2:7" x14ac:dyDescent="0.3">
      <c r="B402" s="6"/>
      <c r="C402" s="6"/>
      <c r="D402" s="6"/>
      <c r="E402" s="6"/>
      <c r="F402" s="6"/>
      <c r="G402" s="6"/>
    </row>
    <row r="403" spans="2:7" x14ac:dyDescent="0.3">
      <c r="B403" s="6"/>
      <c r="C403" s="6"/>
      <c r="D403" s="6"/>
      <c r="E403" s="6"/>
      <c r="F403" s="6"/>
      <c r="G403" s="6"/>
    </row>
    <row r="404" spans="2:7" x14ac:dyDescent="0.3">
      <c r="B404" s="6"/>
      <c r="C404" s="6"/>
      <c r="D404" s="6"/>
      <c r="E404" s="6"/>
      <c r="F404" s="6"/>
      <c r="G404" s="6"/>
    </row>
    <row r="405" spans="2:7" x14ac:dyDescent="0.3">
      <c r="B405" s="6"/>
      <c r="C405" s="6"/>
      <c r="D405" s="6"/>
      <c r="E405" s="6"/>
      <c r="F405" s="6"/>
      <c r="G405" s="6"/>
    </row>
    <row r="406" spans="2:7" x14ac:dyDescent="0.3">
      <c r="B406" s="6"/>
      <c r="C406" s="6"/>
      <c r="D406" s="6"/>
      <c r="E406" s="6"/>
      <c r="F406" s="6"/>
      <c r="G406" s="6"/>
    </row>
    <row r="407" spans="2:7" x14ac:dyDescent="0.3">
      <c r="B407" s="6"/>
      <c r="C407" s="6"/>
      <c r="D407" s="6"/>
      <c r="E407" s="6"/>
      <c r="F407" s="6"/>
      <c r="G407" s="6"/>
    </row>
    <row r="408" spans="2:7" x14ac:dyDescent="0.3">
      <c r="B408" s="6"/>
      <c r="C408" s="6"/>
      <c r="D408" s="6"/>
      <c r="E408" s="6"/>
      <c r="F408" s="6"/>
      <c r="G408" s="6"/>
    </row>
    <row r="409" spans="2:7" x14ac:dyDescent="0.3">
      <c r="B409" s="6"/>
      <c r="C409" s="6"/>
      <c r="D409" s="6"/>
      <c r="E409" s="6"/>
      <c r="F409" s="6"/>
      <c r="G409" s="6"/>
    </row>
    <row r="410" spans="2:7" x14ac:dyDescent="0.3">
      <c r="B410" s="6"/>
      <c r="C410" s="6"/>
      <c r="D410" s="6"/>
      <c r="E410" s="6"/>
      <c r="F410" s="6"/>
      <c r="G410" s="6"/>
    </row>
    <row r="411" spans="2:7" x14ac:dyDescent="0.3">
      <c r="B411" s="6"/>
      <c r="C411" s="6"/>
      <c r="D411" s="6"/>
      <c r="E411" s="6"/>
      <c r="F411" s="6"/>
      <c r="G411" s="6"/>
    </row>
    <row r="412" spans="2:7" x14ac:dyDescent="0.3">
      <c r="B412" s="6"/>
      <c r="C412" s="6"/>
      <c r="D412" s="6"/>
      <c r="E412" s="6"/>
      <c r="F412" s="6"/>
      <c r="G412" s="6"/>
    </row>
    <row r="413" spans="2:7" x14ac:dyDescent="0.3">
      <c r="B413" s="6"/>
      <c r="C413" s="6"/>
      <c r="D413" s="6"/>
      <c r="E413" s="6"/>
      <c r="F413" s="6"/>
      <c r="G413" s="6"/>
    </row>
    <row r="414" spans="2:7" x14ac:dyDescent="0.3">
      <c r="B414" s="6"/>
      <c r="C414" s="6"/>
      <c r="D414" s="6"/>
      <c r="E414" s="6"/>
      <c r="F414" s="6"/>
      <c r="G414" s="6"/>
    </row>
    <row r="415" spans="2:7" x14ac:dyDescent="0.3">
      <c r="B415" s="6"/>
      <c r="C415" s="6"/>
      <c r="D415" s="6"/>
      <c r="E415" s="6"/>
      <c r="F415" s="6"/>
      <c r="G415" s="6"/>
    </row>
    <row r="416" spans="2:7" x14ac:dyDescent="0.3">
      <c r="B416" s="6"/>
      <c r="C416" s="6"/>
      <c r="D416" s="6"/>
      <c r="E416" s="6"/>
      <c r="F416" s="6"/>
      <c r="G416" s="6"/>
    </row>
    <row r="417" spans="2:7" x14ac:dyDescent="0.3">
      <c r="B417" s="6"/>
      <c r="C417" s="6"/>
      <c r="D417" s="6"/>
      <c r="E417" s="6"/>
      <c r="F417" s="6"/>
      <c r="G417" s="6"/>
    </row>
    <row r="418" spans="2:7" x14ac:dyDescent="0.3">
      <c r="B418" s="6"/>
      <c r="C418" s="6"/>
      <c r="D418" s="6"/>
      <c r="E418" s="6"/>
      <c r="F418" s="6"/>
      <c r="G418" s="6"/>
    </row>
    <row r="419" spans="2:7" x14ac:dyDescent="0.3">
      <c r="B419" s="6"/>
      <c r="C419" s="6"/>
      <c r="D419" s="6"/>
      <c r="E419" s="6"/>
      <c r="F419" s="6"/>
      <c r="G419" s="6"/>
    </row>
    <row r="420" spans="2:7" x14ac:dyDescent="0.3">
      <c r="B420" s="6"/>
      <c r="C420" s="6"/>
      <c r="D420" s="6"/>
      <c r="E420" s="6"/>
      <c r="F420" s="6"/>
      <c r="G420" s="6"/>
    </row>
    <row r="421" spans="2:7" x14ac:dyDescent="0.3">
      <c r="B421" s="6"/>
      <c r="C421" s="6"/>
      <c r="D421" s="6"/>
      <c r="E421" s="6"/>
      <c r="F421" s="6"/>
      <c r="G421" s="6"/>
    </row>
    <row r="422" spans="2:7" x14ac:dyDescent="0.3">
      <c r="B422" s="6"/>
      <c r="C422" s="6"/>
      <c r="D422" s="6"/>
      <c r="E422" s="6"/>
      <c r="F422" s="6"/>
      <c r="G422" s="6"/>
    </row>
    <row r="423" spans="2:7" x14ac:dyDescent="0.3">
      <c r="B423" s="6"/>
      <c r="C423" s="6"/>
      <c r="D423" s="6"/>
      <c r="E423" s="6"/>
      <c r="F423" s="6"/>
      <c r="G423" s="6"/>
    </row>
    <row r="424" spans="2:7" x14ac:dyDescent="0.3">
      <c r="B424" s="6"/>
      <c r="C424" s="6"/>
      <c r="D424" s="6"/>
      <c r="E424" s="6"/>
      <c r="F424" s="6"/>
      <c r="G424" s="6"/>
    </row>
    <row r="425" spans="2:7" x14ac:dyDescent="0.3">
      <c r="B425" s="6"/>
      <c r="C425" s="6"/>
      <c r="D425" s="6"/>
      <c r="E425" s="6"/>
      <c r="F425" s="6"/>
      <c r="G425" s="6"/>
    </row>
    <row r="427" spans="2:7" x14ac:dyDescent="0.3">
      <c r="B427" s="5"/>
    </row>
    <row r="428" spans="2:7" x14ac:dyDescent="0.3">
      <c r="B428" s="5"/>
    </row>
    <row r="429" spans="2:7" x14ac:dyDescent="0.3">
      <c r="B429" s="10"/>
      <c r="C429" s="10"/>
      <c r="D429" s="10"/>
      <c r="E429" s="10"/>
      <c r="F429" s="10"/>
      <c r="G429" s="10"/>
    </row>
    <row r="430" spans="2:7" x14ac:dyDescent="0.3">
      <c r="B430" s="10"/>
      <c r="C430" s="10"/>
      <c r="D430" s="10"/>
      <c r="E430" s="10"/>
      <c r="F430" s="10"/>
      <c r="G430" s="10"/>
    </row>
    <row r="431" spans="2:7" x14ac:dyDescent="0.3">
      <c r="B431" s="6"/>
      <c r="C431" s="6"/>
      <c r="D431" s="6"/>
      <c r="E431" s="6"/>
      <c r="F431" s="6"/>
      <c r="G431" s="6"/>
    </row>
    <row r="432" spans="2:7" x14ac:dyDescent="0.3">
      <c r="B432" s="6"/>
      <c r="C432" s="6"/>
      <c r="D432" s="6"/>
      <c r="E432" s="6"/>
      <c r="F432" s="6"/>
      <c r="G432" s="6"/>
    </row>
    <row r="433" spans="2:7" x14ac:dyDescent="0.3">
      <c r="B433" s="6"/>
      <c r="C433" s="6"/>
      <c r="D433" s="6"/>
      <c r="E433" s="6"/>
      <c r="F433" s="6"/>
      <c r="G433" s="6"/>
    </row>
    <row r="434" spans="2:7" x14ac:dyDescent="0.3">
      <c r="B434" s="6"/>
      <c r="C434" s="6"/>
      <c r="D434" s="6"/>
      <c r="E434" s="6"/>
      <c r="F434" s="6"/>
      <c r="G434" s="6"/>
    </row>
    <row r="435" spans="2:7" x14ac:dyDescent="0.3">
      <c r="B435" s="6"/>
      <c r="C435" s="6"/>
      <c r="D435" s="6"/>
      <c r="E435" s="6"/>
      <c r="F435" s="6"/>
      <c r="G435" s="6"/>
    </row>
    <row r="436" spans="2:7" x14ac:dyDescent="0.3">
      <c r="B436" s="6"/>
      <c r="C436" s="6"/>
      <c r="D436" s="6"/>
      <c r="E436" s="6"/>
      <c r="F436" s="6"/>
      <c r="G436" s="6"/>
    </row>
    <row r="437" spans="2:7" x14ac:dyDescent="0.3">
      <c r="B437" s="6"/>
      <c r="C437" s="6"/>
      <c r="D437" s="6"/>
      <c r="E437" s="6"/>
      <c r="F437" s="6"/>
      <c r="G437" s="6"/>
    </row>
    <row r="438" spans="2:7" x14ac:dyDescent="0.3">
      <c r="B438" s="6"/>
      <c r="C438" s="6"/>
      <c r="D438" s="6"/>
      <c r="E438" s="6"/>
      <c r="F438" s="6"/>
      <c r="G438" s="6"/>
    </row>
    <row r="439" spans="2:7" x14ac:dyDescent="0.3">
      <c r="B439" s="6"/>
      <c r="C439" s="6"/>
      <c r="D439" s="6"/>
      <c r="E439" s="6"/>
      <c r="F439" s="6"/>
      <c r="G439" s="6"/>
    </row>
    <row r="440" spans="2:7" x14ac:dyDescent="0.3">
      <c r="B440" s="6"/>
      <c r="C440" s="6"/>
      <c r="D440" s="6"/>
      <c r="E440" s="6"/>
      <c r="F440" s="6"/>
      <c r="G440" s="6"/>
    </row>
    <row r="441" spans="2:7" x14ac:dyDescent="0.3">
      <c r="B441" s="6"/>
      <c r="C441" s="6"/>
      <c r="D441" s="6"/>
      <c r="E441" s="6"/>
      <c r="F441" s="6"/>
      <c r="G441" s="6"/>
    </row>
    <row r="442" spans="2:7" x14ac:dyDescent="0.3">
      <c r="B442" s="6"/>
      <c r="C442" s="6"/>
      <c r="D442" s="6"/>
      <c r="E442" s="6"/>
      <c r="F442" s="6"/>
      <c r="G442" s="6"/>
    </row>
    <row r="443" spans="2:7" x14ac:dyDescent="0.3">
      <c r="B443" s="6"/>
      <c r="C443" s="6"/>
      <c r="D443" s="6"/>
      <c r="E443" s="6"/>
      <c r="F443" s="6"/>
      <c r="G443" s="6"/>
    </row>
    <row r="444" spans="2:7" x14ac:dyDescent="0.3">
      <c r="B444" s="6"/>
      <c r="C444" s="6"/>
      <c r="D444" s="6"/>
      <c r="E444" s="6"/>
      <c r="F444" s="6"/>
      <c r="G444" s="6"/>
    </row>
    <row r="445" spans="2:7" x14ac:dyDescent="0.3">
      <c r="B445" s="6"/>
      <c r="C445" s="6"/>
      <c r="D445" s="6"/>
      <c r="E445" s="6"/>
      <c r="F445" s="6"/>
      <c r="G445" s="6"/>
    </row>
    <row r="446" spans="2:7" x14ac:dyDescent="0.3">
      <c r="B446" s="6"/>
      <c r="C446" s="6"/>
      <c r="D446" s="6"/>
      <c r="E446" s="6"/>
      <c r="F446" s="6"/>
      <c r="G446" s="6"/>
    </row>
    <row r="447" spans="2:7" x14ac:dyDescent="0.3">
      <c r="B447" s="6"/>
      <c r="C447" s="6"/>
      <c r="D447" s="6"/>
      <c r="E447" s="6"/>
      <c r="F447" s="6"/>
      <c r="G447" s="6"/>
    </row>
    <row r="448" spans="2:7" x14ac:dyDescent="0.3">
      <c r="B448" s="6"/>
      <c r="C448" s="6"/>
      <c r="D448" s="6"/>
      <c r="E448" s="6"/>
      <c r="F448" s="6"/>
      <c r="G448" s="6"/>
    </row>
    <row r="449" spans="2:7" x14ac:dyDescent="0.3">
      <c r="B449" s="6"/>
      <c r="C449" s="6"/>
      <c r="D449" s="6"/>
      <c r="E449" s="6"/>
      <c r="F449" s="6"/>
      <c r="G449" s="6"/>
    </row>
    <row r="450" spans="2:7" x14ac:dyDescent="0.3">
      <c r="B450" s="6"/>
      <c r="C450" s="6"/>
      <c r="D450" s="6"/>
      <c r="E450" s="6"/>
      <c r="F450" s="6"/>
      <c r="G450" s="6"/>
    </row>
    <row r="451" spans="2:7" x14ac:dyDescent="0.3">
      <c r="B451" s="6"/>
      <c r="C451" s="6"/>
      <c r="D451" s="6"/>
      <c r="E451" s="6"/>
      <c r="F451" s="6"/>
      <c r="G451" s="6"/>
    </row>
    <row r="452" spans="2:7" x14ac:dyDescent="0.3">
      <c r="B452" s="6"/>
      <c r="C452" s="6"/>
      <c r="D452" s="6"/>
      <c r="E452" s="6"/>
      <c r="F452" s="6"/>
      <c r="G452" s="6"/>
    </row>
    <row r="453" spans="2:7" x14ac:dyDescent="0.3">
      <c r="B453" s="6"/>
      <c r="C453" s="6"/>
      <c r="D453" s="6"/>
      <c r="E453" s="6"/>
      <c r="F453" s="6"/>
      <c r="G453" s="6"/>
    </row>
    <row r="454" spans="2:7" x14ac:dyDescent="0.3">
      <c r="B454" s="6"/>
      <c r="C454" s="6"/>
      <c r="D454" s="6"/>
      <c r="E454" s="6"/>
      <c r="F454" s="6"/>
      <c r="G454" s="6"/>
    </row>
    <row r="456" spans="2:7" x14ac:dyDescent="0.3">
      <c r="B456" s="5"/>
    </row>
    <row r="457" spans="2:7" x14ac:dyDescent="0.3">
      <c r="B457" s="5"/>
    </row>
    <row r="458" spans="2:7" x14ac:dyDescent="0.3">
      <c r="B458" s="10"/>
      <c r="C458" s="10"/>
    </row>
    <row r="459" spans="2:7" x14ac:dyDescent="0.3">
      <c r="B459" s="6"/>
      <c r="C459" s="6"/>
    </row>
    <row r="461" spans="2:7" x14ac:dyDescent="0.3">
      <c r="B461" s="5"/>
    </row>
    <row r="462" spans="2:7" x14ac:dyDescent="0.3">
      <c r="B462" s="5"/>
    </row>
    <row r="463" spans="2:7" x14ac:dyDescent="0.3">
      <c r="B463" s="10"/>
      <c r="C463" s="10"/>
      <c r="D463" s="10"/>
      <c r="E463" s="10"/>
      <c r="F463" s="10"/>
      <c r="G463" s="10"/>
    </row>
    <row r="464" spans="2:7" x14ac:dyDescent="0.3">
      <c r="B464" s="10"/>
      <c r="C464" s="10"/>
      <c r="D464" s="10"/>
      <c r="E464" s="10"/>
      <c r="F464" s="10"/>
      <c r="G464" s="10"/>
    </row>
    <row r="465" spans="2:7" x14ac:dyDescent="0.3">
      <c r="B465" s="6"/>
      <c r="C465" s="6"/>
      <c r="D465" s="6"/>
      <c r="E465" s="6"/>
      <c r="F465" s="6"/>
      <c r="G465" s="6"/>
    </row>
    <row r="466" spans="2:7" x14ac:dyDescent="0.3">
      <c r="B466" s="6"/>
      <c r="C466" s="6"/>
      <c r="D466" s="6"/>
      <c r="E466" s="6"/>
      <c r="F466" s="6"/>
      <c r="G466" s="6"/>
    </row>
    <row r="467" spans="2:7" x14ac:dyDescent="0.3">
      <c r="B467" s="6"/>
      <c r="C467" s="6"/>
      <c r="D467" s="6"/>
      <c r="E467" s="6"/>
      <c r="F467" s="6"/>
      <c r="G467" s="6"/>
    </row>
    <row r="468" spans="2:7" x14ac:dyDescent="0.3">
      <c r="B468" s="6"/>
      <c r="C468" s="6"/>
      <c r="D468" s="6"/>
      <c r="E468" s="6"/>
      <c r="F468" s="6"/>
      <c r="G468" s="6"/>
    </row>
    <row r="469" spans="2:7" x14ac:dyDescent="0.3">
      <c r="B469" s="6"/>
      <c r="C469" s="6"/>
      <c r="D469" s="6"/>
      <c r="E469" s="6"/>
      <c r="F469" s="6"/>
      <c r="G469" s="6"/>
    </row>
    <row r="470" spans="2:7" x14ac:dyDescent="0.3">
      <c r="B470" s="6"/>
      <c r="C470" s="6"/>
      <c r="D470" s="6"/>
      <c r="E470" s="6"/>
      <c r="F470" s="6"/>
      <c r="G470" s="6"/>
    </row>
    <row r="471" spans="2:7" x14ac:dyDescent="0.3">
      <c r="B471" s="6"/>
      <c r="C471" s="6"/>
      <c r="D471" s="6"/>
      <c r="E471" s="6"/>
      <c r="F471" s="6"/>
      <c r="G471" s="6"/>
    </row>
    <row r="472" spans="2:7" x14ac:dyDescent="0.3">
      <c r="B472" s="6"/>
      <c r="C472" s="6"/>
      <c r="D472" s="6"/>
      <c r="E472" s="6"/>
      <c r="F472" s="6"/>
      <c r="G472" s="6"/>
    </row>
    <row r="473" spans="2:7" x14ac:dyDescent="0.3">
      <c r="B473" s="6"/>
      <c r="C473" s="6"/>
      <c r="D473" s="6"/>
      <c r="E473" s="6"/>
      <c r="F473" s="6"/>
      <c r="G473" s="6"/>
    </row>
    <row r="474" spans="2:7" x14ac:dyDescent="0.3">
      <c r="B474" s="6"/>
      <c r="C474" s="6"/>
      <c r="D474" s="6"/>
      <c r="E474" s="6"/>
      <c r="F474" s="6"/>
      <c r="G474" s="6"/>
    </row>
    <row r="475" spans="2:7" x14ac:dyDescent="0.3">
      <c r="B475" s="6"/>
      <c r="C475" s="6"/>
      <c r="D475" s="6"/>
      <c r="E475" s="6"/>
      <c r="F475" s="6"/>
      <c r="G475" s="6"/>
    </row>
    <row r="476" spans="2:7" x14ac:dyDescent="0.3">
      <c r="B476" s="6"/>
      <c r="C476" s="6"/>
      <c r="D476" s="6"/>
      <c r="E476" s="6"/>
      <c r="F476" s="6"/>
      <c r="G476" s="6"/>
    </row>
    <row r="477" spans="2:7" x14ac:dyDescent="0.3">
      <c r="B477" s="6"/>
      <c r="C477" s="6"/>
      <c r="D477" s="6"/>
      <c r="E477" s="6"/>
      <c r="F477" s="6"/>
      <c r="G477" s="6"/>
    </row>
    <row r="478" spans="2:7" x14ac:dyDescent="0.3">
      <c r="B478" s="6"/>
      <c r="C478" s="6"/>
      <c r="D478" s="6"/>
      <c r="E478" s="6"/>
      <c r="F478" s="6"/>
      <c r="G478" s="6"/>
    </row>
    <row r="479" spans="2:7" x14ac:dyDescent="0.3">
      <c r="B479" s="6"/>
      <c r="C479" s="6"/>
      <c r="D479" s="6"/>
      <c r="E479" s="6"/>
      <c r="F479" s="6"/>
      <c r="G479" s="6"/>
    </row>
    <row r="480" spans="2:7" x14ac:dyDescent="0.3">
      <c r="B480" s="6"/>
      <c r="C480" s="6"/>
      <c r="D480" s="6"/>
      <c r="E480" s="6"/>
      <c r="F480" s="6"/>
      <c r="G480" s="6"/>
    </row>
    <row r="481" spans="2:7" x14ac:dyDescent="0.3">
      <c r="B481" s="6"/>
      <c r="C481" s="6"/>
      <c r="D481" s="6"/>
      <c r="E481" s="6"/>
      <c r="F481" s="6"/>
      <c r="G481" s="6"/>
    </row>
    <row r="482" spans="2:7" x14ac:dyDescent="0.3">
      <c r="B482" s="6"/>
      <c r="C482" s="6"/>
      <c r="D482" s="6"/>
      <c r="E482" s="6"/>
      <c r="F482" s="6"/>
      <c r="G482" s="6"/>
    </row>
    <row r="483" spans="2:7" x14ac:dyDescent="0.3">
      <c r="B483" s="6"/>
      <c r="C483" s="6"/>
      <c r="D483" s="6"/>
      <c r="E483" s="6"/>
      <c r="F483" s="6"/>
      <c r="G483" s="6"/>
    </row>
    <row r="484" spans="2:7" x14ac:dyDescent="0.3">
      <c r="B484" s="6"/>
      <c r="C484" s="6"/>
      <c r="D484" s="6"/>
      <c r="E484" s="6"/>
      <c r="F484" s="6"/>
      <c r="G484" s="6"/>
    </row>
    <row r="485" spans="2:7" x14ac:dyDescent="0.3">
      <c r="B485" s="6"/>
      <c r="C485" s="6"/>
      <c r="D485" s="6"/>
      <c r="E485" s="6"/>
      <c r="F485" s="6"/>
      <c r="G485" s="6"/>
    </row>
    <row r="486" spans="2:7" x14ac:dyDescent="0.3">
      <c r="B486" s="6"/>
      <c r="C486" s="6"/>
      <c r="D486" s="6"/>
      <c r="E486" s="6"/>
      <c r="F486" s="6"/>
      <c r="G486" s="6"/>
    </row>
    <row r="487" spans="2:7" x14ac:dyDescent="0.3">
      <c r="B487" s="6"/>
      <c r="C487" s="6"/>
      <c r="D487" s="6"/>
      <c r="E487" s="6"/>
      <c r="F487" s="6"/>
      <c r="G487" s="6"/>
    </row>
    <row r="488" spans="2:7" x14ac:dyDescent="0.3">
      <c r="B488" s="6"/>
      <c r="C488" s="6"/>
      <c r="D488" s="6"/>
      <c r="E488" s="6"/>
      <c r="F488" s="6"/>
      <c r="G488" s="6"/>
    </row>
    <row r="489" spans="2:7" x14ac:dyDescent="0.3">
      <c r="B489" s="6"/>
      <c r="C489" s="6"/>
      <c r="D489" s="6"/>
      <c r="E489" s="6"/>
      <c r="F489" s="6"/>
      <c r="G489" s="6"/>
    </row>
    <row r="490" spans="2:7" x14ac:dyDescent="0.3">
      <c r="B490" s="6"/>
      <c r="C490" s="6"/>
      <c r="D490" s="6"/>
      <c r="E490" s="6"/>
      <c r="F490" s="6"/>
      <c r="G490" s="6"/>
    </row>
    <row r="491" spans="2:7" x14ac:dyDescent="0.3">
      <c r="B491" s="6"/>
      <c r="C491" s="6"/>
      <c r="D491" s="6"/>
      <c r="E491" s="6"/>
      <c r="F491" s="6"/>
      <c r="G491" s="6"/>
    </row>
    <row r="492" spans="2:7" x14ac:dyDescent="0.3">
      <c r="B492" s="6"/>
      <c r="C492" s="6"/>
      <c r="D492" s="6"/>
      <c r="E492" s="6"/>
      <c r="F492" s="6"/>
      <c r="G492" s="6"/>
    </row>
    <row r="493" spans="2:7" x14ac:dyDescent="0.3">
      <c r="B493" s="6"/>
      <c r="C493" s="6"/>
      <c r="D493" s="6"/>
      <c r="E493" s="6"/>
      <c r="F493" s="6"/>
      <c r="G493" s="6"/>
    </row>
    <row r="494" spans="2:7" x14ac:dyDescent="0.3">
      <c r="B494" s="6"/>
      <c r="C494" s="6"/>
      <c r="D494" s="6"/>
      <c r="E494" s="6"/>
      <c r="F494" s="6"/>
      <c r="G494" s="6"/>
    </row>
    <row r="495" spans="2:7" x14ac:dyDescent="0.3">
      <c r="B495" s="6"/>
      <c r="C495" s="6"/>
      <c r="D495" s="6"/>
      <c r="E495" s="6"/>
      <c r="F495" s="6"/>
      <c r="G495" s="6"/>
    </row>
    <row r="496" spans="2:7" x14ac:dyDescent="0.3">
      <c r="B496" s="6"/>
      <c r="C496" s="6"/>
      <c r="D496" s="6"/>
      <c r="E496" s="6"/>
      <c r="F496" s="6"/>
      <c r="G496" s="6"/>
    </row>
    <row r="497" spans="2:7" x14ac:dyDescent="0.3">
      <c r="B497" s="6"/>
      <c r="C497" s="6"/>
      <c r="D497" s="6"/>
      <c r="E497" s="6"/>
      <c r="F497" s="6"/>
      <c r="G497" s="6"/>
    </row>
    <row r="498" spans="2:7" x14ac:dyDescent="0.3">
      <c r="B498" s="6"/>
      <c r="C498" s="6"/>
      <c r="D498" s="6"/>
      <c r="E498" s="6"/>
      <c r="F498" s="6"/>
      <c r="G498" s="6"/>
    </row>
    <row r="499" spans="2:7" x14ac:dyDescent="0.3">
      <c r="B499" s="6"/>
      <c r="C499" s="6"/>
      <c r="D499" s="6"/>
      <c r="E499" s="6"/>
      <c r="F499" s="6"/>
      <c r="G499" s="6"/>
    </row>
    <row r="500" spans="2:7" x14ac:dyDescent="0.3">
      <c r="B500" s="6"/>
      <c r="C500" s="6"/>
      <c r="D500" s="6"/>
      <c r="E500" s="6"/>
      <c r="F500" s="6"/>
      <c r="G500" s="6"/>
    </row>
    <row r="501" spans="2:7" x14ac:dyDescent="0.3">
      <c r="B501" s="6"/>
      <c r="C501" s="6"/>
      <c r="D501" s="6"/>
      <c r="E501" s="6"/>
      <c r="F501" s="6"/>
      <c r="G501" s="6"/>
    </row>
    <row r="502" spans="2:7" x14ac:dyDescent="0.3">
      <c r="B502" s="6"/>
      <c r="C502" s="6"/>
      <c r="D502" s="6"/>
      <c r="E502" s="6"/>
      <c r="F502" s="6"/>
      <c r="G502" s="6"/>
    </row>
    <row r="503" spans="2:7" x14ac:dyDescent="0.3">
      <c r="B503" s="6"/>
      <c r="C503" s="6"/>
      <c r="D503" s="6"/>
      <c r="E503" s="6"/>
      <c r="F503" s="6"/>
      <c r="G503" s="6"/>
    </row>
    <row r="504" spans="2:7" x14ac:dyDescent="0.3">
      <c r="B504" s="6"/>
      <c r="C504" s="6"/>
      <c r="D504" s="6"/>
      <c r="E504" s="6"/>
      <c r="F504" s="6"/>
      <c r="G504" s="6"/>
    </row>
    <row r="505" spans="2:7" x14ac:dyDescent="0.3">
      <c r="B505" s="6"/>
      <c r="C505" s="6"/>
      <c r="D505" s="6"/>
      <c r="E505" s="6"/>
      <c r="F505" s="6"/>
      <c r="G505" s="6"/>
    </row>
    <row r="506" spans="2:7" x14ac:dyDescent="0.3">
      <c r="B506" s="6"/>
      <c r="C506" s="6"/>
      <c r="D506" s="6"/>
      <c r="E506" s="6"/>
      <c r="F506" s="6"/>
      <c r="G506" s="6"/>
    </row>
    <row r="507" spans="2:7" x14ac:dyDescent="0.3">
      <c r="B507" s="6"/>
      <c r="C507" s="6"/>
      <c r="D507" s="6"/>
      <c r="E507" s="6"/>
      <c r="F507" s="6"/>
      <c r="G507" s="6"/>
    </row>
    <row r="508" spans="2:7" x14ac:dyDescent="0.3">
      <c r="B508" s="6"/>
      <c r="C508" s="6"/>
      <c r="D508" s="6"/>
      <c r="E508" s="6"/>
      <c r="F508" s="6"/>
      <c r="G508" s="6"/>
    </row>
    <row r="509" spans="2:7" x14ac:dyDescent="0.3">
      <c r="B509" s="6"/>
      <c r="C509" s="6"/>
      <c r="D509" s="6"/>
      <c r="E509" s="6"/>
      <c r="F509" s="6"/>
      <c r="G509" s="6"/>
    </row>
    <row r="511" spans="2:7" x14ac:dyDescent="0.3">
      <c r="B511" s="5"/>
    </row>
    <row r="512" spans="2:7" x14ac:dyDescent="0.3">
      <c r="B512" s="5"/>
    </row>
    <row r="513" spans="2:7" x14ac:dyDescent="0.3">
      <c r="B513" s="10"/>
      <c r="C513" s="10"/>
      <c r="D513" s="10"/>
      <c r="E513" s="10"/>
      <c r="F513" s="10"/>
      <c r="G513" s="10"/>
    </row>
    <row r="514" spans="2:7" x14ac:dyDescent="0.3">
      <c r="B514" s="10"/>
      <c r="C514" s="10"/>
      <c r="D514" s="10"/>
      <c r="E514" s="10"/>
      <c r="F514" s="10"/>
      <c r="G514" s="10"/>
    </row>
    <row r="515" spans="2:7" x14ac:dyDescent="0.3">
      <c r="B515" s="6"/>
      <c r="C515" s="6"/>
      <c r="D515" s="6"/>
      <c r="E515" s="6"/>
      <c r="F515" s="6"/>
      <c r="G515" s="6"/>
    </row>
    <row r="516" spans="2:7" x14ac:dyDescent="0.3">
      <c r="B516" s="6"/>
      <c r="C516" s="6"/>
      <c r="D516" s="6"/>
      <c r="E516" s="6"/>
      <c r="F516" s="6"/>
      <c r="G516" s="6"/>
    </row>
    <row r="517" spans="2:7" x14ac:dyDescent="0.3">
      <c r="B517" s="6"/>
      <c r="C517" s="6"/>
      <c r="D517" s="6"/>
      <c r="E517" s="6"/>
      <c r="F517" s="6"/>
      <c r="G517" s="6"/>
    </row>
    <row r="518" spans="2:7" x14ac:dyDescent="0.3">
      <c r="B518" s="6"/>
      <c r="C518" s="6"/>
      <c r="D518" s="6"/>
      <c r="E518" s="6"/>
      <c r="F518" s="6"/>
      <c r="G518" s="6"/>
    </row>
    <row r="519" spans="2:7" x14ac:dyDescent="0.3">
      <c r="B519" s="6"/>
      <c r="C519" s="6"/>
      <c r="D519" s="6"/>
      <c r="E519" s="6"/>
      <c r="F519" s="6"/>
      <c r="G519" s="6"/>
    </row>
    <row r="520" spans="2:7" x14ac:dyDescent="0.3">
      <c r="B520" s="6"/>
      <c r="C520" s="6"/>
      <c r="D520" s="6"/>
      <c r="E520" s="6"/>
      <c r="F520" s="6"/>
      <c r="G520" s="6"/>
    </row>
    <row r="521" spans="2:7" x14ac:dyDescent="0.3">
      <c r="B521" s="6"/>
      <c r="C521" s="6"/>
      <c r="D521" s="6"/>
      <c r="E521" s="6"/>
      <c r="F521" s="6"/>
      <c r="G521" s="6"/>
    </row>
    <row r="522" spans="2:7" x14ac:dyDescent="0.3">
      <c r="B522" s="6"/>
      <c r="C522" s="6"/>
      <c r="D522" s="6"/>
      <c r="E522" s="6"/>
      <c r="F522" s="6"/>
      <c r="G522" s="6"/>
    </row>
    <row r="523" spans="2:7" x14ac:dyDescent="0.3">
      <c r="B523" s="6"/>
      <c r="C523" s="6"/>
      <c r="D523" s="6"/>
      <c r="E523" s="6"/>
      <c r="F523" s="6"/>
      <c r="G523" s="6"/>
    </row>
    <row r="524" spans="2:7" x14ac:dyDescent="0.3">
      <c r="B524" s="6"/>
      <c r="C524" s="6"/>
      <c r="D524" s="6"/>
      <c r="E524" s="6"/>
      <c r="F524" s="6"/>
      <c r="G524" s="6"/>
    </row>
    <row r="525" spans="2:7" x14ac:dyDescent="0.3">
      <c r="B525" s="6"/>
      <c r="C525" s="6"/>
      <c r="D525" s="6"/>
      <c r="E525" s="6"/>
      <c r="F525" s="6"/>
      <c r="G525" s="6"/>
    </row>
    <row r="526" spans="2:7" x14ac:dyDescent="0.3">
      <c r="B526" s="6"/>
      <c r="C526" s="6"/>
      <c r="D526" s="6"/>
      <c r="E526" s="6"/>
      <c r="F526" s="6"/>
      <c r="G526" s="6"/>
    </row>
    <row r="527" spans="2:7" x14ac:dyDescent="0.3">
      <c r="B527" s="6"/>
      <c r="C527" s="6"/>
      <c r="D527" s="6"/>
      <c r="E527" s="6"/>
      <c r="F527" s="6"/>
      <c r="G527" s="6"/>
    </row>
    <row r="528" spans="2:7" x14ac:dyDescent="0.3">
      <c r="B528" s="6"/>
      <c r="C528" s="6"/>
      <c r="D528" s="6"/>
      <c r="E528" s="6"/>
      <c r="F528" s="6"/>
      <c r="G528" s="6"/>
    </row>
    <row r="529" spans="2:7" x14ac:dyDescent="0.3">
      <c r="B529" s="6"/>
      <c r="C529" s="6"/>
      <c r="D529" s="6"/>
      <c r="E529" s="6"/>
      <c r="F529" s="6"/>
      <c r="G529" s="6"/>
    </row>
    <row r="530" spans="2:7" x14ac:dyDescent="0.3">
      <c r="B530" s="6"/>
      <c r="C530" s="6"/>
      <c r="D530" s="6"/>
      <c r="E530" s="6"/>
      <c r="F530" s="6"/>
      <c r="G530" s="6"/>
    </row>
    <row r="531" spans="2:7" x14ac:dyDescent="0.3">
      <c r="B531" s="6"/>
      <c r="C531" s="6"/>
      <c r="D531" s="6"/>
      <c r="E531" s="6"/>
      <c r="F531" s="6"/>
      <c r="G531" s="6"/>
    </row>
    <row r="532" spans="2:7" x14ac:dyDescent="0.3">
      <c r="B532" s="6"/>
      <c r="C532" s="6"/>
      <c r="D532" s="6"/>
      <c r="E532" s="6"/>
      <c r="F532" s="6"/>
      <c r="G532" s="6"/>
    </row>
    <row r="533" spans="2:7" x14ac:dyDescent="0.3">
      <c r="B533" s="6"/>
      <c r="C533" s="6"/>
      <c r="D533" s="6"/>
      <c r="E533" s="6"/>
      <c r="F533" s="6"/>
      <c r="G533" s="6"/>
    </row>
    <row r="534" spans="2:7" x14ac:dyDescent="0.3">
      <c r="B534" s="6"/>
      <c r="C534" s="6"/>
      <c r="D534" s="6"/>
      <c r="E534" s="6"/>
      <c r="F534" s="6"/>
      <c r="G534" s="6"/>
    </row>
    <row r="535" spans="2:7" x14ac:dyDescent="0.3">
      <c r="B535" s="6"/>
      <c r="C535" s="6"/>
      <c r="D535" s="6"/>
      <c r="E535" s="6"/>
      <c r="F535" s="6"/>
      <c r="G535" s="6"/>
    </row>
    <row r="537" spans="2:7" x14ac:dyDescent="0.3">
      <c r="B537" s="5"/>
    </row>
    <row r="538" spans="2:7" x14ac:dyDescent="0.3">
      <c r="B538" s="5"/>
    </row>
    <row r="539" spans="2:7" x14ac:dyDescent="0.3">
      <c r="B539" s="10"/>
      <c r="C539" s="10"/>
      <c r="D539" s="10"/>
      <c r="E539" s="10"/>
      <c r="F539" s="10"/>
      <c r="G539" s="10"/>
    </row>
    <row r="540" spans="2:7" x14ac:dyDescent="0.3">
      <c r="B540" s="10"/>
      <c r="C540" s="10"/>
      <c r="D540" s="10"/>
      <c r="E540" s="10"/>
      <c r="F540" s="10"/>
      <c r="G540" s="10"/>
    </row>
    <row r="541" spans="2:7" x14ac:dyDescent="0.3">
      <c r="B541" s="6"/>
      <c r="C541" s="6"/>
      <c r="D541" s="6"/>
      <c r="E541" s="6"/>
      <c r="F541" s="6"/>
      <c r="G541" s="6"/>
    </row>
    <row r="542" spans="2:7" x14ac:dyDescent="0.3">
      <c r="B542" s="6"/>
      <c r="C542" s="6"/>
      <c r="D542" s="6"/>
      <c r="E542" s="6"/>
      <c r="F542" s="6"/>
      <c r="G542" s="6"/>
    </row>
    <row r="543" spans="2:7" x14ac:dyDescent="0.3">
      <c r="B543" s="6"/>
      <c r="C543" s="6"/>
      <c r="D543" s="6"/>
      <c r="E543" s="6"/>
      <c r="F543" s="6"/>
      <c r="G543" s="6"/>
    </row>
    <row r="544" spans="2:7" x14ac:dyDescent="0.3">
      <c r="B544" s="6"/>
      <c r="C544" s="6"/>
      <c r="D544" s="6"/>
      <c r="E544" s="6"/>
      <c r="F544" s="6"/>
      <c r="G544" s="6"/>
    </row>
    <row r="545" spans="2:7" x14ac:dyDescent="0.3">
      <c r="B545" s="6"/>
      <c r="C545" s="6"/>
      <c r="D545" s="6"/>
      <c r="E545" s="6"/>
      <c r="F545" s="6"/>
      <c r="G545" s="6"/>
    </row>
    <row r="546" spans="2:7" x14ac:dyDescent="0.3">
      <c r="B546" s="6"/>
      <c r="C546" s="6"/>
      <c r="D546" s="6"/>
      <c r="E546" s="6"/>
      <c r="F546" s="6"/>
      <c r="G546" s="6"/>
    </row>
    <row r="547" spans="2:7" x14ac:dyDescent="0.3">
      <c r="B547" s="6"/>
      <c r="C547" s="6"/>
      <c r="D547" s="6"/>
      <c r="E547" s="6"/>
      <c r="F547" s="6"/>
      <c r="G547" s="6"/>
    </row>
    <row r="548" spans="2:7" x14ac:dyDescent="0.3">
      <c r="B548" s="6"/>
      <c r="C548" s="6"/>
      <c r="D548" s="6"/>
      <c r="E548" s="6"/>
      <c r="F548" s="6"/>
      <c r="G548" s="6"/>
    </row>
    <row r="549" spans="2:7" x14ac:dyDescent="0.3">
      <c r="B549" s="6"/>
      <c r="C549" s="6"/>
      <c r="D549" s="6"/>
      <c r="E549" s="6"/>
      <c r="F549" s="6"/>
      <c r="G549" s="6"/>
    </row>
    <row r="550" spans="2:7" x14ac:dyDescent="0.3">
      <c r="B550" s="6"/>
      <c r="C550" s="6"/>
      <c r="D550" s="6"/>
      <c r="E550" s="6"/>
      <c r="F550" s="6"/>
      <c r="G550" s="6"/>
    </row>
    <row r="551" spans="2:7" x14ac:dyDescent="0.3">
      <c r="B551" s="6"/>
      <c r="C551" s="6"/>
      <c r="D551" s="6"/>
      <c r="E551" s="6"/>
      <c r="F551" s="6"/>
      <c r="G551" s="6"/>
    </row>
    <row r="552" spans="2:7" x14ac:dyDescent="0.3">
      <c r="B552" s="6"/>
      <c r="C552" s="6"/>
      <c r="D552" s="6"/>
      <c r="E552" s="6"/>
      <c r="F552" s="6"/>
      <c r="G552" s="6"/>
    </row>
    <row r="553" spans="2:7" x14ac:dyDescent="0.3">
      <c r="B553" s="6"/>
      <c r="C553" s="6"/>
      <c r="D553" s="6"/>
      <c r="E553" s="6"/>
      <c r="F553" s="6"/>
      <c r="G553" s="6"/>
    </row>
    <row r="554" spans="2:7" x14ac:dyDescent="0.3">
      <c r="B554" s="6"/>
      <c r="C554" s="6"/>
      <c r="D554" s="6"/>
      <c r="E554" s="6"/>
      <c r="F554" s="6"/>
      <c r="G554" s="6"/>
    </row>
    <row r="555" spans="2:7" x14ac:dyDescent="0.3">
      <c r="B555" s="6"/>
      <c r="C555" s="6"/>
      <c r="D555" s="6"/>
      <c r="E555" s="6"/>
      <c r="F555" s="6"/>
      <c r="G555" s="6"/>
    </row>
    <row r="556" spans="2:7" x14ac:dyDescent="0.3">
      <c r="B556" s="6"/>
      <c r="C556" s="6"/>
      <c r="D556" s="6"/>
      <c r="E556" s="6"/>
      <c r="F556" s="6"/>
      <c r="G556" s="6"/>
    </row>
    <row r="557" spans="2:7" x14ac:dyDescent="0.3">
      <c r="B557" s="6"/>
      <c r="C557" s="6"/>
      <c r="D557" s="6"/>
      <c r="E557" s="6"/>
      <c r="F557" s="6"/>
      <c r="G557" s="6"/>
    </row>
    <row r="558" spans="2:7" x14ac:dyDescent="0.3">
      <c r="B558" s="6"/>
      <c r="C558" s="6"/>
      <c r="D558" s="6"/>
      <c r="E558" s="6"/>
      <c r="F558" s="6"/>
      <c r="G558" s="6"/>
    </row>
    <row r="559" spans="2:7" x14ac:dyDescent="0.3">
      <c r="B559" s="6"/>
      <c r="C559" s="6"/>
      <c r="D559" s="6"/>
      <c r="E559" s="6"/>
      <c r="F559" s="6"/>
      <c r="G559" s="6"/>
    </row>
    <row r="560" spans="2:7" x14ac:dyDescent="0.3">
      <c r="B560" s="6"/>
      <c r="C560" s="6"/>
      <c r="D560" s="6"/>
      <c r="E560" s="6"/>
      <c r="F560" s="6"/>
      <c r="G560" s="6"/>
    </row>
    <row r="561" spans="2:7" x14ac:dyDescent="0.3">
      <c r="B561" s="6"/>
      <c r="C561" s="6"/>
      <c r="D561" s="6"/>
      <c r="E561" s="6"/>
      <c r="F561" s="6"/>
      <c r="G561" s="6"/>
    </row>
    <row r="562" spans="2:7" x14ac:dyDescent="0.3">
      <c r="B562" s="6"/>
      <c r="C562" s="6"/>
      <c r="D562" s="6"/>
      <c r="E562" s="6"/>
      <c r="F562" s="6"/>
      <c r="G562" s="6"/>
    </row>
    <row r="563" spans="2:7" x14ac:dyDescent="0.3">
      <c r="B563" s="6"/>
      <c r="C563" s="6"/>
      <c r="D563" s="6"/>
      <c r="E563" s="6"/>
      <c r="F563" s="6"/>
      <c r="G563" s="6"/>
    </row>
    <row r="564" spans="2:7" x14ac:dyDescent="0.3">
      <c r="B564" s="6"/>
      <c r="C564" s="6"/>
      <c r="D564" s="6"/>
      <c r="E564" s="6"/>
      <c r="F564" s="6"/>
      <c r="G564" s="6"/>
    </row>
    <row r="566" spans="2:7" x14ac:dyDescent="0.3">
      <c r="B566" s="5"/>
    </row>
    <row r="567" spans="2:7" x14ac:dyDescent="0.3">
      <c r="B567" s="5"/>
    </row>
    <row r="568" spans="2:7" x14ac:dyDescent="0.3">
      <c r="B568" s="10"/>
      <c r="C568" s="10"/>
      <c r="D568" s="10"/>
      <c r="E568" s="10"/>
      <c r="F568" s="10"/>
      <c r="G568" s="10"/>
    </row>
    <row r="569" spans="2:7" x14ac:dyDescent="0.3">
      <c r="B569" s="10"/>
      <c r="C569" s="10"/>
      <c r="D569" s="10"/>
      <c r="E569" s="10"/>
      <c r="F569" s="10"/>
      <c r="G569" s="10"/>
    </row>
    <row r="570" spans="2:7" x14ac:dyDescent="0.3">
      <c r="B570" s="6"/>
      <c r="C570" s="6"/>
      <c r="D570" s="6"/>
      <c r="E570" s="6"/>
      <c r="F570" s="6"/>
      <c r="G570" s="6"/>
    </row>
    <row r="571" spans="2:7" x14ac:dyDescent="0.3">
      <c r="B571" s="6"/>
      <c r="C571" s="6"/>
      <c r="D571" s="6"/>
      <c r="E571" s="6"/>
      <c r="F571" s="6"/>
      <c r="G571" s="6"/>
    </row>
    <row r="572" spans="2:7" x14ac:dyDescent="0.3">
      <c r="B572" s="6"/>
      <c r="C572" s="6"/>
      <c r="D572" s="6"/>
      <c r="E572" s="6"/>
      <c r="F572" s="6"/>
      <c r="G572" s="6"/>
    </row>
    <row r="573" spans="2:7" x14ac:dyDescent="0.3">
      <c r="B573" s="6"/>
      <c r="C573" s="6"/>
      <c r="D573" s="6"/>
      <c r="E573" s="6"/>
      <c r="F573" s="6"/>
      <c r="G573" s="6"/>
    </row>
    <row r="574" spans="2:7" x14ac:dyDescent="0.3">
      <c r="B574" s="6"/>
      <c r="C574" s="6"/>
      <c r="D574" s="6"/>
      <c r="E574" s="6"/>
      <c r="F574" s="6"/>
      <c r="G574" s="6"/>
    </row>
    <row r="575" spans="2:7" x14ac:dyDescent="0.3">
      <c r="B575" s="6"/>
      <c r="C575" s="6"/>
      <c r="D575" s="6"/>
      <c r="E575" s="6"/>
      <c r="F575" s="6"/>
      <c r="G575" s="6"/>
    </row>
    <row r="576" spans="2:7" x14ac:dyDescent="0.3">
      <c r="B576" s="6"/>
      <c r="C576" s="6"/>
      <c r="D576" s="6"/>
      <c r="E576" s="6"/>
      <c r="F576" s="6"/>
      <c r="G576" s="6"/>
    </row>
    <row r="577" spans="2:7" x14ac:dyDescent="0.3">
      <c r="B577" s="6"/>
      <c r="C577" s="6"/>
      <c r="D577" s="6"/>
      <c r="E577" s="6"/>
      <c r="F577" s="6"/>
      <c r="G577" s="6"/>
    </row>
    <row r="578" spans="2:7" x14ac:dyDescent="0.3">
      <c r="B578" s="6"/>
      <c r="C578" s="6"/>
      <c r="D578" s="6"/>
      <c r="E578" s="6"/>
      <c r="F578" s="6"/>
      <c r="G578" s="6"/>
    </row>
    <row r="579" spans="2:7" x14ac:dyDescent="0.3">
      <c r="B579" s="6"/>
      <c r="C579" s="6"/>
      <c r="D579" s="6"/>
      <c r="E579" s="6"/>
      <c r="F579" s="6"/>
      <c r="G579" s="6"/>
    </row>
    <row r="580" spans="2:7" x14ac:dyDescent="0.3">
      <c r="B580" s="6"/>
      <c r="C580" s="6"/>
      <c r="D580" s="6"/>
      <c r="E580" s="6"/>
      <c r="F580" s="6"/>
      <c r="G580" s="6"/>
    </row>
    <row r="581" spans="2:7" x14ac:dyDescent="0.3">
      <c r="B581" s="6"/>
      <c r="C581" s="6"/>
      <c r="D581" s="6"/>
      <c r="E581" s="6"/>
      <c r="F581" s="6"/>
      <c r="G581" s="6"/>
    </row>
    <row r="582" spans="2:7" x14ac:dyDescent="0.3">
      <c r="B582" s="6"/>
      <c r="C582" s="6"/>
      <c r="D582" s="6"/>
      <c r="E582" s="6"/>
      <c r="F582" s="6"/>
      <c r="G582" s="6"/>
    </row>
    <row r="583" spans="2:7" x14ac:dyDescent="0.3">
      <c r="B583" s="6"/>
      <c r="C583" s="6"/>
      <c r="D583" s="6"/>
      <c r="E583" s="6"/>
      <c r="F583" s="6"/>
      <c r="G583" s="6"/>
    </row>
    <row r="584" spans="2:7" x14ac:dyDescent="0.3">
      <c r="B584" s="6"/>
      <c r="C584" s="6"/>
      <c r="D584" s="6"/>
      <c r="E584" s="6"/>
      <c r="F584" s="6"/>
      <c r="G584" s="6"/>
    </row>
    <row r="585" spans="2:7" x14ac:dyDescent="0.3">
      <c r="B585" s="6"/>
      <c r="C585" s="6"/>
      <c r="D585" s="6"/>
      <c r="E585" s="6"/>
      <c r="F585" s="6"/>
      <c r="G585" s="6"/>
    </row>
    <row r="586" spans="2:7" x14ac:dyDescent="0.3">
      <c r="B586" s="6"/>
      <c r="C586" s="6"/>
      <c r="D586" s="6"/>
      <c r="E586" s="6"/>
      <c r="F586" s="6"/>
      <c r="G586" s="6"/>
    </row>
    <row r="587" spans="2:7" x14ac:dyDescent="0.3">
      <c r="B587" s="6"/>
      <c r="C587" s="6"/>
      <c r="D587" s="6"/>
      <c r="E587" s="6"/>
      <c r="F587" s="6"/>
      <c r="G587" s="6"/>
    </row>
    <row r="588" spans="2:7" x14ac:dyDescent="0.3">
      <c r="B588" s="6"/>
      <c r="C588" s="6"/>
      <c r="D588" s="6"/>
      <c r="E588" s="6"/>
      <c r="F588" s="6"/>
      <c r="G588" s="6"/>
    </row>
    <row r="589" spans="2:7" x14ac:dyDescent="0.3">
      <c r="B589" s="6"/>
      <c r="C589" s="6"/>
      <c r="D589" s="6"/>
      <c r="E589" s="6"/>
      <c r="F589" s="6"/>
      <c r="G589" s="6"/>
    </row>
    <row r="590" spans="2:7" x14ac:dyDescent="0.3">
      <c r="B590" s="6"/>
      <c r="C590" s="6"/>
      <c r="D590" s="6"/>
      <c r="E590" s="6"/>
      <c r="F590" s="6"/>
      <c r="G590" s="6"/>
    </row>
    <row r="592" spans="2:7" x14ac:dyDescent="0.3">
      <c r="B592" s="5"/>
    </row>
    <row r="593" spans="2:7" x14ac:dyDescent="0.3">
      <c r="B593" s="5"/>
    </row>
    <row r="594" spans="2:7" x14ac:dyDescent="0.3">
      <c r="B594" s="10"/>
      <c r="C594" s="10"/>
      <c r="D594" s="10"/>
      <c r="E594" s="10"/>
      <c r="F594" s="10"/>
      <c r="G594" s="10"/>
    </row>
    <row r="595" spans="2:7" x14ac:dyDescent="0.3">
      <c r="B595" s="10"/>
      <c r="C595" s="10"/>
      <c r="D595" s="10"/>
      <c r="E595" s="10"/>
      <c r="F595" s="10"/>
      <c r="G595" s="10"/>
    </row>
    <row r="596" spans="2:7" x14ac:dyDescent="0.3">
      <c r="B596" s="6"/>
      <c r="C596" s="6"/>
      <c r="D596" s="6"/>
      <c r="E596" s="6"/>
      <c r="F596" s="6"/>
      <c r="G596" s="6"/>
    </row>
    <row r="597" spans="2:7" x14ac:dyDescent="0.3">
      <c r="B597" s="6"/>
      <c r="C597" s="6"/>
      <c r="D597" s="6"/>
      <c r="E597" s="6"/>
      <c r="F597" s="6"/>
      <c r="G597" s="6"/>
    </row>
    <row r="598" spans="2:7" x14ac:dyDescent="0.3">
      <c r="B598" s="6"/>
      <c r="C598" s="6"/>
      <c r="D598" s="6"/>
      <c r="E598" s="6"/>
      <c r="F598" s="6"/>
      <c r="G598" s="6"/>
    </row>
    <row r="599" spans="2:7" x14ac:dyDescent="0.3">
      <c r="B599" s="6"/>
      <c r="C599" s="6"/>
      <c r="D599" s="6"/>
      <c r="E599" s="6"/>
      <c r="F599" s="6"/>
      <c r="G599" s="6"/>
    </row>
    <row r="600" spans="2:7" x14ac:dyDescent="0.3">
      <c r="B600" s="6"/>
      <c r="C600" s="6"/>
      <c r="D600" s="6"/>
      <c r="E600" s="6"/>
      <c r="F600" s="6"/>
      <c r="G600" s="6"/>
    </row>
    <row r="601" spans="2:7" x14ac:dyDescent="0.3">
      <c r="B601" s="6"/>
      <c r="C601" s="6"/>
      <c r="D601" s="6"/>
      <c r="E601" s="6"/>
      <c r="F601" s="6"/>
      <c r="G601" s="6"/>
    </row>
    <row r="602" spans="2:7" x14ac:dyDescent="0.3">
      <c r="B602" s="6"/>
      <c r="C602" s="6"/>
      <c r="D602" s="6"/>
      <c r="E602" s="6"/>
      <c r="F602" s="6"/>
      <c r="G602" s="6"/>
    </row>
    <row r="603" spans="2:7" x14ac:dyDescent="0.3">
      <c r="B603" s="6"/>
      <c r="C603" s="6"/>
      <c r="D603" s="6"/>
      <c r="E603" s="6"/>
      <c r="F603" s="6"/>
      <c r="G603" s="6"/>
    </row>
    <row r="604" spans="2:7" x14ac:dyDescent="0.3">
      <c r="B604" s="6"/>
      <c r="C604" s="6"/>
      <c r="D604" s="6"/>
      <c r="E604" s="6"/>
      <c r="F604" s="6"/>
      <c r="G604" s="6"/>
    </row>
    <row r="605" spans="2:7" x14ac:dyDescent="0.3">
      <c r="B605" s="6"/>
      <c r="C605" s="6"/>
      <c r="D605" s="6"/>
      <c r="E605" s="6"/>
      <c r="F605" s="6"/>
      <c r="G605" s="6"/>
    </row>
    <row r="606" spans="2:7" x14ac:dyDescent="0.3">
      <c r="B606" s="6"/>
      <c r="C606" s="6"/>
      <c r="D606" s="6"/>
      <c r="E606" s="6"/>
      <c r="F606" s="6"/>
      <c r="G606" s="6"/>
    </row>
    <row r="607" spans="2:7" x14ac:dyDescent="0.3">
      <c r="B607" s="6"/>
      <c r="C607" s="6"/>
      <c r="D607" s="6"/>
      <c r="E607" s="6"/>
      <c r="F607" s="6"/>
      <c r="G607" s="6"/>
    </row>
    <row r="608" spans="2:7" x14ac:dyDescent="0.3">
      <c r="B608" s="6"/>
      <c r="C608" s="6"/>
      <c r="D608" s="6"/>
      <c r="E608" s="6"/>
      <c r="F608" s="6"/>
      <c r="G608" s="6"/>
    </row>
    <row r="609" spans="2:7" x14ac:dyDescent="0.3">
      <c r="B609" s="6"/>
      <c r="C609" s="6"/>
      <c r="D609" s="6"/>
      <c r="E609" s="6"/>
      <c r="F609" s="6"/>
      <c r="G609" s="6"/>
    </row>
    <row r="610" spans="2:7" x14ac:dyDescent="0.3">
      <c r="B610" s="6"/>
      <c r="C610" s="6"/>
      <c r="D610" s="6"/>
      <c r="E610" s="6"/>
      <c r="F610" s="6"/>
      <c r="G610" s="6"/>
    </row>
    <row r="611" spans="2:7" x14ac:dyDescent="0.3">
      <c r="B611" s="6"/>
      <c r="C611" s="6"/>
      <c r="D611" s="6"/>
      <c r="E611" s="6"/>
      <c r="F611" s="6"/>
      <c r="G611" s="6"/>
    </row>
    <row r="612" spans="2:7" x14ac:dyDescent="0.3">
      <c r="B612" s="6"/>
      <c r="C612" s="6"/>
      <c r="D612" s="6"/>
      <c r="E612" s="6"/>
      <c r="F612" s="6"/>
      <c r="G612" s="6"/>
    </row>
    <row r="613" spans="2:7" x14ac:dyDescent="0.3">
      <c r="B613" s="6"/>
      <c r="C613" s="6"/>
      <c r="D613" s="6"/>
      <c r="E613" s="6"/>
      <c r="F613" s="6"/>
      <c r="G613" s="6"/>
    </row>
    <row r="614" spans="2:7" x14ac:dyDescent="0.3">
      <c r="B614" s="6"/>
      <c r="C614" s="6"/>
      <c r="D614" s="6"/>
      <c r="E614" s="6"/>
      <c r="F614" s="6"/>
      <c r="G614" s="6"/>
    </row>
    <row r="615" spans="2:7" x14ac:dyDescent="0.3">
      <c r="B615" s="6"/>
      <c r="C615" s="6"/>
      <c r="D615" s="6"/>
      <c r="E615" s="6"/>
      <c r="F615" s="6"/>
      <c r="G615" s="6"/>
    </row>
    <row r="616" spans="2:7" x14ac:dyDescent="0.3">
      <c r="B616" s="6"/>
      <c r="C616" s="6"/>
      <c r="D616" s="6"/>
      <c r="E616" s="6"/>
      <c r="F616" s="6"/>
      <c r="G616" s="6"/>
    </row>
    <row r="618" spans="2:7" x14ac:dyDescent="0.3">
      <c r="B618" s="5"/>
    </row>
    <row r="619" spans="2:7" x14ac:dyDescent="0.3">
      <c r="B619" s="5"/>
    </row>
    <row r="620" spans="2:7" x14ac:dyDescent="0.3">
      <c r="B620" s="10"/>
      <c r="C620" s="10"/>
      <c r="D620" s="10"/>
      <c r="E620" s="10"/>
      <c r="F620" s="10"/>
      <c r="G620" s="10"/>
    </row>
    <row r="621" spans="2:7" x14ac:dyDescent="0.3">
      <c r="B621" s="10"/>
      <c r="C621" s="10"/>
      <c r="D621" s="10"/>
      <c r="E621" s="10"/>
      <c r="F621" s="10"/>
      <c r="G621" s="10"/>
    </row>
    <row r="622" spans="2:7" x14ac:dyDescent="0.3">
      <c r="B622" s="6"/>
      <c r="C622" s="6"/>
      <c r="D622" s="6"/>
      <c r="E622" s="6"/>
      <c r="F622" s="6"/>
      <c r="G622" s="6"/>
    </row>
    <row r="623" spans="2:7" x14ac:dyDescent="0.3">
      <c r="B623" s="6"/>
      <c r="C623" s="6"/>
      <c r="D623" s="6"/>
      <c r="E623" s="6"/>
      <c r="F623" s="6"/>
      <c r="G623" s="6"/>
    </row>
    <row r="624" spans="2:7" x14ac:dyDescent="0.3">
      <c r="B624" s="6"/>
      <c r="C624" s="6"/>
      <c r="D624" s="6"/>
      <c r="E624" s="6"/>
      <c r="F624" s="6"/>
      <c r="G624" s="6"/>
    </row>
    <row r="625" spans="2:7" x14ac:dyDescent="0.3">
      <c r="B625" s="6"/>
      <c r="C625" s="6"/>
      <c r="D625" s="6"/>
      <c r="E625" s="6"/>
      <c r="F625" s="6"/>
      <c r="G625" s="6"/>
    </row>
    <row r="626" spans="2:7" x14ac:dyDescent="0.3">
      <c r="B626" s="6"/>
      <c r="C626" s="6"/>
      <c r="D626" s="6"/>
      <c r="E626" s="6"/>
      <c r="F626" s="6"/>
      <c r="G626" s="6"/>
    </row>
    <row r="627" spans="2:7" x14ac:dyDescent="0.3">
      <c r="B627" s="6"/>
      <c r="C627" s="6"/>
      <c r="D627" s="6"/>
      <c r="E627" s="6"/>
      <c r="F627" s="6"/>
      <c r="G627" s="6"/>
    </row>
    <row r="628" spans="2:7" x14ac:dyDescent="0.3">
      <c r="B628" s="6"/>
      <c r="C628" s="6"/>
      <c r="D628" s="6"/>
      <c r="E628" s="6"/>
      <c r="F628" s="6"/>
      <c r="G628" s="6"/>
    </row>
    <row r="629" spans="2:7" x14ac:dyDescent="0.3">
      <c r="B629" s="6"/>
      <c r="C629" s="6"/>
      <c r="D629" s="6"/>
      <c r="E629" s="6"/>
      <c r="F629" s="6"/>
      <c r="G629" s="6"/>
    </row>
    <row r="630" spans="2:7" x14ac:dyDescent="0.3">
      <c r="B630" s="6"/>
      <c r="C630" s="6"/>
      <c r="D630" s="6"/>
      <c r="E630" s="6"/>
      <c r="F630" s="6"/>
      <c r="G630" s="6"/>
    </row>
    <row r="631" spans="2:7" x14ac:dyDescent="0.3">
      <c r="B631" s="6"/>
      <c r="C631" s="6"/>
      <c r="D631" s="6"/>
      <c r="E631" s="6"/>
      <c r="F631" s="6"/>
      <c r="G631" s="6"/>
    </row>
    <row r="632" spans="2:7" x14ac:dyDescent="0.3">
      <c r="B632" s="6"/>
      <c r="C632" s="6"/>
      <c r="D632" s="6"/>
      <c r="E632" s="6"/>
      <c r="F632" s="6"/>
      <c r="G632" s="6"/>
    </row>
    <row r="633" spans="2:7" x14ac:dyDescent="0.3">
      <c r="B633" s="6"/>
      <c r="C633" s="6"/>
      <c r="D633" s="6"/>
      <c r="E633" s="6"/>
      <c r="F633" s="6"/>
      <c r="G633" s="6"/>
    </row>
    <row r="634" spans="2:7" x14ac:dyDescent="0.3">
      <c r="B634" s="6"/>
      <c r="C634" s="6"/>
      <c r="D634" s="6"/>
      <c r="E634" s="6"/>
      <c r="F634" s="6"/>
      <c r="G634" s="6"/>
    </row>
    <row r="635" spans="2:7" x14ac:dyDescent="0.3">
      <c r="B635" s="6"/>
      <c r="C635" s="6"/>
      <c r="D635" s="6"/>
      <c r="E635" s="6"/>
      <c r="F635" s="6"/>
      <c r="G635" s="6"/>
    </row>
    <row r="636" spans="2:7" x14ac:dyDescent="0.3">
      <c r="B636" s="6"/>
      <c r="C636" s="6"/>
      <c r="D636" s="6"/>
      <c r="E636" s="6"/>
      <c r="F636" s="6"/>
      <c r="G636" s="6"/>
    </row>
    <row r="637" spans="2:7" x14ac:dyDescent="0.3">
      <c r="B637" s="6"/>
      <c r="C637" s="6"/>
      <c r="D637" s="6"/>
      <c r="E637" s="6"/>
      <c r="F637" s="6"/>
      <c r="G637" s="6"/>
    </row>
    <row r="638" spans="2:7" x14ac:dyDescent="0.3">
      <c r="B638" s="6"/>
      <c r="C638" s="6"/>
      <c r="D638" s="6"/>
      <c r="E638" s="6"/>
      <c r="F638" s="6"/>
      <c r="G638" s="6"/>
    </row>
    <row r="639" spans="2:7" x14ac:dyDescent="0.3">
      <c r="B639" s="6"/>
      <c r="C639" s="6"/>
      <c r="D639" s="6"/>
      <c r="E639" s="6"/>
      <c r="F639" s="6"/>
      <c r="G639" s="6"/>
    </row>
    <row r="640" spans="2:7" x14ac:dyDescent="0.3">
      <c r="B640" s="6"/>
      <c r="C640" s="6"/>
      <c r="D640" s="6"/>
      <c r="E640" s="6"/>
      <c r="F640" s="6"/>
      <c r="G640" s="6"/>
    </row>
    <row r="641" spans="2:7" x14ac:dyDescent="0.3">
      <c r="B641" s="6"/>
      <c r="C641" s="6"/>
      <c r="D641" s="6"/>
      <c r="E641" s="6"/>
      <c r="F641" s="6"/>
      <c r="G641" s="6"/>
    </row>
    <row r="643" spans="2:7" x14ac:dyDescent="0.3">
      <c r="B643" s="5"/>
    </row>
    <row r="644" spans="2:7" x14ac:dyDescent="0.3">
      <c r="B644" s="5"/>
    </row>
    <row r="645" spans="2:7" x14ac:dyDescent="0.3">
      <c r="B645" s="10"/>
      <c r="C645" s="10"/>
      <c r="D645" s="10"/>
      <c r="E645" s="10"/>
      <c r="F645" s="10"/>
      <c r="G645" s="10"/>
    </row>
    <row r="646" spans="2:7" x14ac:dyDescent="0.3">
      <c r="B646" s="10"/>
      <c r="C646" s="10"/>
      <c r="D646" s="10"/>
      <c r="E646" s="10"/>
      <c r="F646" s="10"/>
      <c r="G646" s="10"/>
    </row>
    <row r="647" spans="2:7" x14ac:dyDescent="0.3">
      <c r="B647" s="6"/>
      <c r="C647" s="6"/>
      <c r="D647" s="6"/>
      <c r="E647" s="6"/>
      <c r="F647" s="6"/>
      <c r="G647" s="6"/>
    </row>
    <row r="648" spans="2:7" x14ac:dyDescent="0.3">
      <c r="B648" s="6"/>
      <c r="C648" s="6"/>
      <c r="D648" s="6"/>
      <c r="E648" s="6"/>
      <c r="F648" s="6"/>
      <c r="G648" s="6"/>
    </row>
    <row r="649" spans="2:7" x14ac:dyDescent="0.3">
      <c r="B649" s="6"/>
      <c r="C649" s="6"/>
      <c r="D649" s="6"/>
      <c r="E649" s="6"/>
      <c r="F649" s="6"/>
      <c r="G649" s="6"/>
    </row>
    <row r="650" spans="2:7" x14ac:dyDescent="0.3">
      <c r="B650" s="6"/>
      <c r="C650" s="6"/>
      <c r="D650" s="6"/>
      <c r="E650" s="6"/>
      <c r="F650" s="6"/>
      <c r="G650" s="6"/>
    </row>
    <row r="651" spans="2:7" x14ac:dyDescent="0.3">
      <c r="B651" s="6"/>
      <c r="C651" s="6"/>
      <c r="D651" s="6"/>
      <c r="E651" s="6"/>
      <c r="F651" s="6"/>
      <c r="G651" s="6"/>
    </row>
    <row r="652" spans="2:7" x14ac:dyDescent="0.3">
      <c r="B652" s="6"/>
      <c r="C652" s="6"/>
      <c r="D652" s="6"/>
      <c r="E652" s="6"/>
      <c r="F652" s="6"/>
      <c r="G652" s="6"/>
    </row>
    <row r="653" spans="2:7" x14ac:dyDescent="0.3">
      <c r="B653" s="6"/>
      <c r="C653" s="6"/>
      <c r="D653" s="6"/>
      <c r="E653" s="6"/>
      <c r="F653" s="6"/>
      <c r="G653" s="6"/>
    </row>
    <row r="654" spans="2:7" x14ac:dyDescent="0.3">
      <c r="B654" s="6"/>
      <c r="C654" s="6"/>
      <c r="D654" s="6"/>
      <c r="E654" s="6"/>
      <c r="F654" s="6"/>
      <c r="G654" s="6"/>
    </row>
    <row r="655" spans="2:7" x14ac:dyDescent="0.3">
      <c r="B655" s="6"/>
      <c r="C655" s="6"/>
      <c r="D655" s="6"/>
      <c r="E655" s="6"/>
      <c r="F655" s="6"/>
      <c r="G655" s="6"/>
    </row>
    <row r="656" spans="2:7" x14ac:dyDescent="0.3">
      <c r="B656" s="6"/>
      <c r="C656" s="6"/>
      <c r="D656" s="6"/>
      <c r="E656" s="6"/>
      <c r="F656" s="6"/>
      <c r="G656" s="6"/>
    </row>
    <row r="657" spans="2:7" x14ac:dyDescent="0.3">
      <c r="B657" s="6"/>
      <c r="C657" s="6"/>
      <c r="D657" s="6"/>
      <c r="E657" s="6"/>
      <c r="F657" s="6"/>
      <c r="G657" s="6"/>
    </row>
    <row r="658" spans="2:7" x14ac:dyDescent="0.3">
      <c r="B658" s="6"/>
      <c r="C658" s="6"/>
      <c r="D658" s="6"/>
      <c r="E658" s="6"/>
      <c r="F658" s="6"/>
      <c r="G658" s="6"/>
    </row>
    <row r="659" spans="2:7" x14ac:dyDescent="0.3">
      <c r="B659" s="6"/>
      <c r="C659" s="6"/>
      <c r="D659" s="6"/>
      <c r="E659" s="6"/>
      <c r="F659" s="6"/>
      <c r="G659" s="6"/>
    </row>
    <row r="660" spans="2:7" x14ac:dyDescent="0.3">
      <c r="B660" s="6"/>
      <c r="C660" s="6"/>
      <c r="D660" s="6"/>
      <c r="E660" s="6"/>
      <c r="F660" s="6"/>
      <c r="G660" s="6"/>
    </row>
    <row r="661" spans="2:7" x14ac:dyDescent="0.3">
      <c r="B661" s="6"/>
      <c r="C661" s="6"/>
      <c r="D661" s="6"/>
      <c r="E661" s="6"/>
      <c r="F661" s="6"/>
      <c r="G661" s="6"/>
    </row>
    <row r="662" spans="2:7" x14ac:dyDescent="0.3">
      <c r="B662" s="6"/>
      <c r="C662" s="6"/>
      <c r="D662" s="6"/>
      <c r="E662" s="6"/>
      <c r="F662" s="6"/>
      <c r="G662" s="6"/>
    </row>
    <row r="663" spans="2:7" x14ac:dyDescent="0.3">
      <c r="B663" s="6"/>
      <c r="C663" s="6"/>
      <c r="D663" s="6"/>
      <c r="E663" s="6"/>
      <c r="F663" s="6"/>
      <c r="G663" s="6"/>
    </row>
    <row r="664" spans="2:7" x14ac:dyDescent="0.3">
      <c r="B664" s="6"/>
      <c r="C664" s="6"/>
      <c r="D664" s="6"/>
      <c r="E664" s="6"/>
      <c r="F664" s="6"/>
      <c r="G664" s="6"/>
    </row>
    <row r="665" spans="2:7" x14ac:dyDescent="0.3">
      <c r="B665" s="6"/>
      <c r="C665" s="6"/>
      <c r="D665" s="6"/>
      <c r="E665" s="6"/>
      <c r="F665" s="6"/>
      <c r="G665" s="6"/>
    </row>
    <row r="666" spans="2:7" x14ac:dyDescent="0.3">
      <c r="B666" s="6"/>
      <c r="C666" s="6"/>
      <c r="D666" s="6"/>
      <c r="E666" s="6"/>
      <c r="F666" s="6"/>
      <c r="G666" s="6"/>
    </row>
    <row r="667" spans="2:7" x14ac:dyDescent="0.3">
      <c r="B667" s="6"/>
      <c r="C667" s="6"/>
      <c r="D667" s="6"/>
      <c r="E667" s="6"/>
      <c r="F667" s="6"/>
      <c r="G667" s="6"/>
    </row>
    <row r="668" spans="2:7" x14ac:dyDescent="0.3">
      <c r="B668" s="6"/>
      <c r="C668" s="6"/>
      <c r="D668" s="6"/>
      <c r="E668" s="6"/>
      <c r="F668" s="6"/>
      <c r="G668" s="6"/>
    </row>
    <row r="669" spans="2:7" x14ac:dyDescent="0.3">
      <c r="B669" s="6"/>
      <c r="C669" s="6"/>
      <c r="D669" s="6"/>
      <c r="E669" s="6"/>
      <c r="F669" s="6"/>
      <c r="G669" s="6"/>
    </row>
    <row r="670" spans="2:7" x14ac:dyDescent="0.3">
      <c r="B670" s="6"/>
      <c r="C670" s="6"/>
      <c r="D670" s="6"/>
      <c r="E670" s="6"/>
      <c r="F670" s="6"/>
      <c r="G670" s="6"/>
    </row>
    <row r="672" spans="2:7" x14ac:dyDescent="0.3">
      <c r="B672" s="5"/>
    </row>
    <row r="673" spans="2:7" x14ac:dyDescent="0.3">
      <c r="B673" s="5"/>
    </row>
    <row r="674" spans="2:7" x14ac:dyDescent="0.3">
      <c r="B674" s="10"/>
      <c r="C674" s="10"/>
      <c r="D674" s="10"/>
      <c r="E674" s="10"/>
      <c r="F674" s="10"/>
      <c r="G674" s="10"/>
    </row>
    <row r="675" spans="2:7" x14ac:dyDescent="0.3">
      <c r="B675" s="10"/>
      <c r="C675" s="10"/>
      <c r="D675" s="10"/>
      <c r="E675" s="10"/>
      <c r="F675" s="10"/>
      <c r="G675" s="10"/>
    </row>
    <row r="676" spans="2:7" x14ac:dyDescent="0.3">
      <c r="B676" s="6"/>
      <c r="C676" s="6"/>
      <c r="D676" s="6"/>
      <c r="E676" s="6"/>
      <c r="F676" s="6"/>
      <c r="G676" s="6"/>
    </row>
    <row r="677" spans="2:7" x14ac:dyDescent="0.3">
      <c r="B677" s="6"/>
      <c r="C677" s="6"/>
      <c r="D677" s="6"/>
      <c r="E677" s="6"/>
      <c r="F677" s="6"/>
      <c r="G677" s="6"/>
    </row>
    <row r="678" spans="2:7" x14ac:dyDescent="0.3">
      <c r="B678" s="6"/>
      <c r="C678" s="6"/>
      <c r="D678" s="6"/>
      <c r="E678" s="6"/>
      <c r="F678" s="6"/>
      <c r="G678" s="6"/>
    </row>
    <row r="679" spans="2:7" x14ac:dyDescent="0.3">
      <c r="B679" s="6"/>
      <c r="C679" s="6"/>
      <c r="D679" s="6"/>
      <c r="E679" s="6"/>
      <c r="F679" s="6"/>
      <c r="G679" s="6"/>
    </row>
    <row r="680" spans="2:7" x14ac:dyDescent="0.3">
      <c r="B680" s="6"/>
      <c r="C680" s="6"/>
      <c r="D680" s="6"/>
      <c r="E680" s="6"/>
      <c r="F680" s="6"/>
      <c r="G680" s="6"/>
    </row>
    <row r="681" spans="2:7" x14ac:dyDescent="0.3">
      <c r="B681" s="6"/>
      <c r="C681" s="6"/>
      <c r="D681" s="6"/>
      <c r="E681" s="6"/>
      <c r="F681" s="6"/>
      <c r="G681" s="6"/>
    </row>
    <row r="682" spans="2:7" x14ac:dyDescent="0.3">
      <c r="B682" s="6"/>
      <c r="C682" s="6"/>
      <c r="D682" s="6"/>
      <c r="E682" s="6"/>
      <c r="F682" s="6"/>
      <c r="G682" s="6"/>
    </row>
    <row r="683" spans="2:7" x14ac:dyDescent="0.3">
      <c r="B683" s="6"/>
      <c r="C683" s="6"/>
      <c r="D683" s="6"/>
      <c r="E683" s="6"/>
      <c r="F683" s="6"/>
      <c r="G683" s="6"/>
    </row>
    <row r="684" spans="2:7" x14ac:dyDescent="0.3">
      <c r="B684" s="6"/>
      <c r="C684" s="6"/>
      <c r="D684" s="6"/>
      <c r="E684" s="6"/>
      <c r="F684" s="6"/>
      <c r="G684" s="6"/>
    </row>
    <row r="685" spans="2:7" x14ac:dyDescent="0.3">
      <c r="B685" s="6"/>
      <c r="C685" s="6"/>
      <c r="D685" s="6"/>
      <c r="E685" s="6"/>
      <c r="F685" s="6"/>
      <c r="G685" s="6"/>
    </row>
    <row r="686" spans="2:7" x14ac:dyDescent="0.3">
      <c r="B686" s="6"/>
      <c r="C686" s="6"/>
      <c r="D686" s="6"/>
      <c r="E686" s="6"/>
      <c r="F686" s="6"/>
      <c r="G686" s="6"/>
    </row>
    <row r="687" spans="2:7" x14ac:dyDescent="0.3">
      <c r="B687" s="6"/>
      <c r="C687" s="6"/>
      <c r="D687" s="6"/>
      <c r="E687" s="6"/>
      <c r="F687" s="6"/>
      <c r="G687" s="6"/>
    </row>
    <row r="688" spans="2:7" x14ac:dyDescent="0.3">
      <c r="B688" s="6"/>
      <c r="C688" s="6"/>
      <c r="D688" s="6"/>
      <c r="E688" s="6"/>
      <c r="F688" s="6"/>
      <c r="G688" s="6"/>
    </row>
    <row r="689" spans="2:7" x14ac:dyDescent="0.3">
      <c r="B689" s="6"/>
      <c r="C689" s="6"/>
      <c r="D689" s="6"/>
      <c r="E689" s="6"/>
      <c r="F689" s="6"/>
      <c r="G689" s="6"/>
    </row>
    <row r="690" spans="2:7" x14ac:dyDescent="0.3">
      <c r="B690" s="6"/>
      <c r="C690" s="6"/>
      <c r="D690" s="6"/>
      <c r="E690" s="6"/>
      <c r="F690" s="6"/>
      <c r="G690" s="6"/>
    </row>
    <row r="691" spans="2:7" x14ac:dyDescent="0.3">
      <c r="B691" s="6"/>
      <c r="C691" s="6"/>
      <c r="D691" s="6"/>
      <c r="E691" s="6"/>
      <c r="F691" s="6"/>
      <c r="G691" s="6"/>
    </row>
    <row r="692" spans="2:7" x14ac:dyDescent="0.3">
      <c r="B692" s="6"/>
      <c r="C692" s="6"/>
      <c r="D692" s="6"/>
      <c r="E692" s="6"/>
      <c r="F692" s="6"/>
      <c r="G692" s="6"/>
    </row>
    <row r="693" spans="2:7" x14ac:dyDescent="0.3">
      <c r="B693" s="6"/>
      <c r="C693" s="6"/>
      <c r="D693" s="6"/>
      <c r="E693" s="6"/>
      <c r="F693" s="6"/>
      <c r="G693" s="6"/>
    </row>
    <row r="694" spans="2:7" x14ac:dyDescent="0.3">
      <c r="B694" s="6"/>
      <c r="C694" s="6"/>
      <c r="D694" s="6"/>
      <c r="E694" s="6"/>
      <c r="F694" s="6"/>
      <c r="G694" s="6"/>
    </row>
    <row r="695" spans="2:7" x14ac:dyDescent="0.3">
      <c r="B695" s="6"/>
      <c r="C695" s="6"/>
      <c r="D695" s="6"/>
      <c r="E695" s="6"/>
      <c r="F695" s="6"/>
      <c r="G695" s="6"/>
    </row>
    <row r="696" spans="2:7" x14ac:dyDescent="0.3">
      <c r="B696" s="6"/>
      <c r="C696" s="6"/>
      <c r="D696" s="6"/>
      <c r="E696" s="6"/>
      <c r="F696" s="6"/>
      <c r="G696" s="6"/>
    </row>
    <row r="697" spans="2:7" x14ac:dyDescent="0.3">
      <c r="B697" s="6"/>
      <c r="C697" s="6"/>
      <c r="D697" s="6"/>
      <c r="E697" s="6"/>
      <c r="F697" s="6"/>
      <c r="G697" s="6"/>
    </row>
    <row r="698" spans="2:7" x14ac:dyDescent="0.3">
      <c r="B698" s="6"/>
      <c r="C698" s="6"/>
      <c r="D698" s="6"/>
      <c r="E698" s="6"/>
      <c r="F698" s="6"/>
      <c r="G698" s="6"/>
    </row>
    <row r="699" spans="2:7" x14ac:dyDescent="0.3">
      <c r="B699" s="6"/>
      <c r="C699" s="6"/>
      <c r="D699" s="6"/>
      <c r="E699" s="6"/>
      <c r="F699" s="6"/>
      <c r="G699" s="6"/>
    </row>
    <row r="701" spans="2:7" x14ac:dyDescent="0.3">
      <c r="B701" s="5"/>
    </row>
    <row r="702" spans="2:7" x14ac:dyDescent="0.3">
      <c r="B702" s="5"/>
    </row>
    <row r="703" spans="2:7" x14ac:dyDescent="0.3">
      <c r="B703" s="10"/>
      <c r="C703" s="10"/>
      <c r="D703" s="10"/>
      <c r="E703" s="10"/>
      <c r="F703" s="10"/>
      <c r="G703" s="10"/>
    </row>
    <row r="704" spans="2:7" x14ac:dyDescent="0.3">
      <c r="B704" s="10"/>
      <c r="C704" s="10"/>
      <c r="D704" s="10"/>
      <c r="E704" s="10"/>
      <c r="F704" s="10"/>
      <c r="G704" s="10"/>
    </row>
    <row r="705" spans="2:7" x14ac:dyDescent="0.3">
      <c r="B705" s="6"/>
      <c r="C705" s="6"/>
      <c r="D705" s="6"/>
      <c r="E705" s="6"/>
      <c r="F705" s="6"/>
      <c r="G705" s="6"/>
    </row>
    <row r="706" spans="2:7" x14ac:dyDescent="0.3">
      <c r="B706" s="6"/>
      <c r="C706" s="6"/>
      <c r="D706" s="6"/>
      <c r="E706" s="6"/>
      <c r="F706" s="6"/>
      <c r="G706" s="6"/>
    </row>
    <row r="707" spans="2:7" x14ac:dyDescent="0.3">
      <c r="B707" s="6"/>
      <c r="C707" s="6"/>
      <c r="D707" s="6"/>
      <c r="E707" s="6"/>
      <c r="F707" s="6"/>
      <c r="G707" s="6"/>
    </row>
    <row r="708" spans="2:7" x14ac:dyDescent="0.3">
      <c r="B708" s="6"/>
      <c r="C708" s="6"/>
      <c r="D708" s="6"/>
      <c r="E708" s="6"/>
      <c r="F708" s="6"/>
      <c r="G708" s="6"/>
    </row>
    <row r="709" spans="2:7" x14ac:dyDescent="0.3">
      <c r="B709" s="6"/>
      <c r="C709" s="6"/>
      <c r="D709" s="6"/>
      <c r="E709" s="6"/>
      <c r="F709" s="6"/>
      <c r="G709" s="6"/>
    </row>
    <row r="710" spans="2:7" x14ac:dyDescent="0.3">
      <c r="B710" s="6"/>
      <c r="C710" s="6"/>
      <c r="D710" s="6"/>
      <c r="E710" s="6"/>
      <c r="F710" s="6"/>
      <c r="G710" s="6"/>
    </row>
    <row r="712" spans="2:7" x14ac:dyDescent="0.3">
      <c r="B712" s="5"/>
    </row>
    <row r="713" spans="2:7" x14ac:dyDescent="0.3">
      <c r="B713" s="5"/>
    </row>
    <row r="714" spans="2:7" x14ac:dyDescent="0.3">
      <c r="B714" s="10"/>
      <c r="C714" s="10"/>
      <c r="D714" s="10"/>
      <c r="E714" s="10"/>
      <c r="F714" s="10"/>
      <c r="G714" s="10"/>
    </row>
    <row r="715" spans="2:7" x14ac:dyDescent="0.3">
      <c r="B715" s="10"/>
      <c r="C715" s="10"/>
      <c r="D715" s="10"/>
      <c r="E715" s="10"/>
      <c r="F715" s="10"/>
      <c r="G715" s="10"/>
    </row>
    <row r="716" spans="2:7" x14ac:dyDescent="0.3">
      <c r="B716" s="6"/>
      <c r="C716" s="6"/>
      <c r="D716" s="6"/>
      <c r="E716" s="6"/>
      <c r="F716" s="6"/>
      <c r="G716" s="6"/>
    </row>
    <row r="717" spans="2:7" x14ac:dyDescent="0.3">
      <c r="B717" s="6"/>
      <c r="C717" s="6"/>
      <c r="D717" s="6"/>
      <c r="E717" s="6"/>
      <c r="F717" s="6"/>
      <c r="G717" s="6"/>
    </row>
    <row r="718" spans="2:7" x14ac:dyDescent="0.3">
      <c r="B718" s="6"/>
      <c r="C718" s="6"/>
      <c r="D718" s="6"/>
      <c r="E718" s="6"/>
      <c r="F718" s="6"/>
      <c r="G718" s="6"/>
    </row>
    <row r="719" spans="2:7" x14ac:dyDescent="0.3">
      <c r="B719" s="6"/>
      <c r="C719" s="6"/>
      <c r="D719" s="6"/>
      <c r="E719" s="6"/>
      <c r="F719" s="6"/>
      <c r="G719" s="6"/>
    </row>
    <row r="720" spans="2:7" x14ac:dyDescent="0.3">
      <c r="B720" s="6"/>
      <c r="C720" s="6"/>
      <c r="D720" s="6"/>
      <c r="E720" s="6"/>
      <c r="F720" s="6"/>
      <c r="G720" s="6"/>
    </row>
    <row r="721" spans="2:7" x14ac:dyDescent="0.3">
      <c r="B721" s="6"/>
      <c r="C721" s="6"/>
      <c r="D721" s="6"/>
      <c r="E721" s="6"/>
      <c r="F721" s="6"/>
      <c r="G721" s="6"/>
    </row>
    <row r="722" spans="2:7" x14ac:dyDescent="0.3">
      <c r="B722" s="6"/>
      <c r="C722" s="6"/>
      <c r="D722" s="6"/>
      <c r="E722" s="6"/>
      <c r="F722" s="6"/>
      <c r="G722" s="6"/>
    </row>
    <row r="723" spans="2:7" x14ac:dyDescent="0.3">
      <c r="B723" s="6"/>
      <c r="C723" s="6"/>
      <c r="D723" s="6"/>
      <c r="E723" s="6"/>
      <c r="F723" s="6"/>
      <c r="G723" s="6"/>
    </row>
    <row r="724" spans="2:7" x14ac:dyDescent="0.3">
      <c r="B724" s="6"/>
      <c r="C724" s="6"/>
      <c r="D724" s="6"/>
      <c r="E724" s="6"/>
      <c r="F724" s="6"/>
      <c r="G724" s="6"/>
    </row>
    <row r="725" spans="2:7" x14ac:dyDescent="0.3">
      <c r="B725" s="6"/>
      <c r="C725" s="6"/>
      <c r="D725" s="6"/>
      <c r="E725" s="6"/>
      <c r="F725" s="6"/>
      <c r="G725" s="6"/>
    </row>
    <row r="726" spans="2:7" x14ac:dyDescent="0.3">
      <c r="B726" s="6"/>
      <c r="C726" s="6"/>
      <c r="D726" s="6"/>
      <c r="E726" s="6"/>
      <c r="F726" s="6"/>
      <c r="G726" s="6"/>
    </row>
    <row r="727" spans="2:7" x14ac:dyDescent="0.3">
      <c r="B727" s="6"/>
      <c r="C727" s="6"/>
      <c r="D727" s="6"/>
      <c r="E727" s="6"/>
      <c r="F727" s="6"/>
      <c r="G727" s="6"/>
    </row>
    <row r="728" spans="2:7" x14ac:dyDescent="0.3">
      <c r="B728" s="6"/>
      <c r="C728" s="6"/>
      <c r="D728" s="6"/>
      <c r="E728" s="6"/>
      <c r="F728" s="6"/>
      <c r="G728" s="6"/>
    </row>
    <row r="729" spans="2:7" x14ac:dyDescent="0.3">
      <c r="B729" s="6"/>
      <c r="C729" s="6"/>
      <c r="D729" s="6"/>
      <c r="E729" s="6"/>
      <c r="F729" s="6"/>
      <c r="G729" s="6"/>
    </row>
    <row r="730" spans="2:7" x14ac:dyDescent="0.3">
      <c r="B730" s="6"/>
      <c r="C730" s="6"/>
      <c r="D730" s="6"/>
      <c r="E730" s="6"/>
      <c r="F730" s="6"/>
      <c r="G730" s="6"/>
    </row>
    <row r="731" spans="2:7" x14ac:dyDescent="0.3">
      <c r="B731" s="6"/>
      <c r="C731" s="6"/>
      <c r="D731" s="6"/>
      <c r="E731" s="6"/>
      <c r="F731" s="6"/>
      <c r="G731" s="6"/>
    </row>
    <row r="732" spans="2:7" x14ac:dyDescent="0.3">
      <c r="B732" s="6"/>
      <c r="C732" s="6"/>
      <c r="D732" s="6"/>
      <c r="E732" s="6"/>
      <c r="F732" s="6"/>
      <c r="G732" s="6"/>
    </row>
    <row r="733" spans="2:7" x14ac:dyDescent="0.3">
      <c r="B733" s="6"/>
      <c r="C733" s="6"/>
      <c r="D733" s="6"/>
      <c r="E733" s="6"/>
      <c r="F733" s="6"/>
      <c r="G733" s="6"/>
    </row>
    <row r="734" spans="2:7" x14ac:dyDescent="0.3">
      <c r="B734" s="6"/>
      <c r="C734" s="6"/>
      <c r="D734" s="6"/>
      <c r="E734" s="6"/>
      <c r="F734" s="6"/>
      <c r="G734" s="6"/>
    </row>
    <row r="735" spans="2:7" x14ac:dyDescent="0.3">
      <c r="B735" s="6"/>
      <c r="C735" s="6"/>
      <c r="D735" s="6"/>
      <c r="E735" s="6"/>
      <c r="F735" s="6"/>
      <c r="G735" s="6"/>
    </row>
    <row r="736" spans="2:7" x14ac:dyDescent="0.3">
      <c r="B736" s="6"/>
      <c r="C736" s="6"/>
      <c r="D736" s="6"/>
      <c r="E736" s="6"/>
      <c r="F736" s="6"/>
      <c r="G736" s="6"/>
    </row>
    <row r="737" spans="2:7" x14ac:dyDescent="0.3">
      <c r="B737" s="6"/>
      <c r="C737" s="6"/>
      <c r="D737" s="6"/>
      <c r="E737" s="6"/>
      <c r="F737" s="6"/>
      <c r="G737" s="6"/>
    </row>
    <row r="738" spans="2:7" x14ac:dyDescent="0.3">
      <c r="B738" s="6"/>
      <c r="C738" s="6"/>
      <c r="D738" s="6"/>
      <c r="E738" s="6"/>
      <c r="F738" s="6"/>
      <c r="G738" s="6"/>
    </row>
    <row r="739" spans="2:7" x14ac:dyDescent="0.3">
      <c r="B739" s="6"/>
      <c r="C739" s="6"/>
      <c r="D739" s="6"/>
      <c r="E739" s="6"/>
      <c r="F739" s="6"/>
      <c r="G739" s="6"/>
    </row>
    <row r="741" spans="2:7" x14ac:dyDescent="0.3">
      <c r="B741" s="5"/>
    </row>
    <row r="742" spans="2:7" x14ac:dyDescent="0.3">
      <c r="B742" s="5"/>
    </row>
    <row r="743" spans="2:7" x14ac:dyDescent="0.3">
      <c r="B743" s="10"/>
      <c r="C743" s="10"/>
    </row>
    <row r="744" spans="2:7" x14ac:dyDescent="0.3">
      <c r="B744" s="6"/>
      <c r="C744" s="6"/>
    </row>
    <row r="745" spans="2:7" x14ac:dyDescent="0.3">
      <c r="B745" s="6"/>
      <c r="C745" s="6"/>
    </row>
    <row r="746" spans="2:7" x14ac:dyDescent="0.3">
      <c r="B746" s="6"/>
      <c r="C746" s="6"/>
    </row>
    <row r="747" spans="2:7" x14ac:dyDescent="0.3">
      <c r="B747" s="6"/>
      <c r="C747" s="6"/>
    </row>
    <row r="748" spans="2:7" x14ac:dyDescent="0.3">
      <c r="B748" s="6"/>
      <c r="C748" s="6"/>
    </row>
    <row r="749" spans="2:7" x14ac:dyDescent="0.3">
      <c r="B749" s="6"/>
      <c r="C749" s="6"/>
    </row>
    <row r="750" spans="2:7" x14ac:dyDescent="0.3">
      <c r="B750" s="6"/>
      <c r="C750" s="6"/>
    </row>
    <row r="752" spans="2:7" x14ac:dyDescent="0.3">
      <c r="B752" s="5"/>
    </row>
    <row r="753" spans="2:3" x14ac:dyDescent="0.3">
      <c r="B753" s="5"/>
    </row>
    <row r="754" spans="2:3" x14ac:dyDescent="0.3">
      <c r="B754" s="13"/>
      <c r="C754" s="10"/>
    </row>
    <row r="755" spans="2:3" x14ac:dyDescent="0.3">
      <c r="B755" s="6"/>
      <c r="C755" s="6"/>
    </row>
    <row r="756" spans="2:3" x14ac:dyDescent="0.3">
      <c r="B756" s="6"/>
      <c r="C756" s="6"/>
    </row>
    <row r="757" spans="2:3" x14ac:dyDescent="0.3">
      <c r="B757" s="6"/>
      <c r="C757" s="6"/>
    </row>
    <row r="758" spans="2:3" x14ac:dyDescent="0.3">
      <c r="B758" s="6"/>
      <c r="C758" s="6"/>
    </row>
    <row r="759" spans="2:3" x14ac:dyDescent="0.3">
      <c r="B759" s="6"/>
      <c r="C759" s="6"/>
    </row>
    <row r="760" spans="2:3" x14ac:dyDescent="0.3">
      <c r="B760" s="6"/>
      <c r="C760" s="6"/>
    </row>
    <row r="762" spans="2:3" x14ac:dyDescent="0.3">
      <c r="B762" s="5"/>
    </row>
    <row r="763" spans="2:3" x14ac:dyDescent="0.3">
      <c r="B763" s="5"/>
    </row>
    <row r="764" spans="2:3" x14ac:dyDescent="0.3">
      <c r="B764" s="13"/>
      <c r="C764" s="13"/>
    </row>
    <row r="765" spans="2:3" x14ac:dyDescent="0.3">
      <c r="B765" s="6"/>
      <c r="C765" s="6"/>
    </row>
    <row r="766" spans="2:3" x14ac:dyDescent="0.3">
      <c r="B766" s="6"/>
      <c r="C766" s="6"/>
    </row>
    <row r="767" spans="2:3" x14ac:dyDescent="0.3">
      <c r="B767" s="6"/>
      <c r="C767" s="6"/>
    </row>
    <row r="768" spans="2:3" x14ac:dyDescent="0.3">
      <c r="B768" s="6"/>
      <c r="C768" s="6"/>
    </row>
    <row r="769" spans="2:4" x14ac:dyDescent="0.3">
      <c r="B769" s="6"/>
      <c r="C769" s="6"/>
    </row>
    <row r="771" spans="2:4" x14ac:dyDescent="0.3">
      <c r="B771" s="5"/>
    </row>
    <row r="772" spans="2:4" x14ac:dyDescent="0.3">
      <c r="B772" s="5"/>
    </row>
    <row r="773" spans="2:4" x14ac:dyDescent="0.3">
      <c r="B773" s="13"/>
      <c r="C773" s="13"/>
      <c r="D773" s="13"/>
    </row>
    <row r="774" spans="2:4" x14ac:dyDescent="0.3">
      <c r="B774" s="6"/>
      <c r="C774" s="6"/>
      <c r="D774" s="6"/>
    </row>
    <row r="775" spans="2:4" x14ac:dyDescent="0.3">
      <c r="B775" s="6"/>
      <c r="C775" s="6"/>
      <c r="D775" s="6"/>
    </row>
    <row r="776" spans="2:4" x14ac:dyDescent="0.3">
      <c r="B776" s="6"/>
      <c r="C776" s="6"/>
      <c r="D776" s="6"/>
    </row>
    <row r="778" spans="2:4" x14ac:dyDescent="0.3">
      <c r="B778" s="5"/>
    </row>
    <row r="779" spans="2:4" x14ac:dyDescent="0.3">
      <c r="B779" s="5"/>
    </row>
    <row r="780" spans="2:4" x14ac:dyDescent="0.3">
      <c r="B780" s="13"/>
      <c r="C780" s="13"/>
    </row>
    <row r="781" spans="2:4" x14ac:dyDescent="0.3">
      <c r="B781" s="6"/>
      <c r="C781" s="6"/>
    </row>
    <row r="782" spans="2:4" x14ac:dyDescent="0.3">
      <c r="B782" s="6"/>
      <c r="C782" s="12"/>
    </row>
    <row r="783" spans="2:4" x14ac:dyDescent="0.3">
      <c r="B783" s="6"/>
      <c r="C783" s="12"/>
    </row>
    <row r="785" spans="2:3" x14ac:dyDescent="0.3">
      <c r="B785" s="5"/>
      <c r="C785" s="5"/>
    </row>
    <row r="786" spans="2:3" x14ac:dyDescent="0.3">
      <c r="B786" s="5"/>
      <c r="C786" s="5"/>
    </row>
    <row r="787" spans="2:3" ht="37.5" customHeight="1" x14ac:dyDescent="0.3">
      <c r="B787" s="13"/>
      <c r="C787" s="13"/>
    </row>
    <row r="788" spans="2:3" x14ac:dyDescent="0.3">
      <c r="B788" s="6"/>
      <c r="C788" s="12"/>
    </row>
    <row r="790" spans="2:3" x14ac:dyDescent="0.3">
      <c r="B790" s="2"/>
      <c r="C790" s="2"/>
    </row>
    <row r="792" spans="2:3" x14ac:dyDescent="0.3">
      <c r="B792" s="5"/>
    </row>
    <row r="793" spans="2:3" x14ac:dyDescent="0.3">
      <c r="B793" s="5"/>
    </row>
    <row r="794" spans="2:3" x14ac:dyDescent="0.3">
      <c r="B794" s="13"/>
      <c r="C794" s="13"/>
    </row>
    <row r="795" spans="2:3" x14ac:dyDescent="0.3">
      <c r="B795" s="7"/>
      <c r="C795" s="12"/>
    </row>
    <row r="796" spans="2:3" x14ac:dyDescent="0.3">
      <c r="B796" s="7"/>
      <c r="C796" s="6"/>
    </row>
    <row r="797" spans="2:3" x14ac:dyDescent="0.3">
      <c r="B797" s="7"/>
      <c r="C797" s="6"/>
    </row>
    <row r="798" spans="2:3" x14ac:dyDescent="0.3">
      <c r="B798" s="7"/>
      <c r="C798" s="6"/>
    </row>
    <row r="799" spans="2:3" x14ac:dyDescent="0.3">
      <c r="B799" s="7"/>
      <c r="C799" s="6"/>
    </row>
    <row r="800" spans="2:3" x14ac:dyDescent="0.3">
      <c r="B800" s="7"/>
      <c r="C800" s="12"/>
    </row>
    <row r="801" spans="2:3" x14ac:dyDescent="0.3">
      <c r="B801" s="7"/>
      <c r="C801" s="12"/>
    </row>
    <row r="802" spans="2:3" x14ac:dyDescent="0.3">
      <c r="B802" s="7"/>
      <c r="C802" s="12"/>
    </row>
    <row r="804" spans="2:3" x14ac:dyDescent="0.3">
      <c r="B804" s="5"/>
    </row>
    <row r="805" spans="2:3" x14ac:dyDescent="0.3">
      <c r="B805" s="5"/>
    </row>
    <row r="806" spans="2:3" ht="22.5" customHeight="1" x14ac:dyDescent="0.3">
      <c r="B806" s="13"/>
      <c r="C806" s="13"/>
    </row>
    <row r="807" spans="2:3" x14ac:dyDescent="0.3">
      <c r="B807" s="6"/>
      <c r="C807" s="12"/>
    </row>
    <row r="808" spans="2:3" x14ac:dyDescent="0.3">
      <c r="B808" s="6"/>
      <c r="C808" s="6"/>
    </row>
    <row r="809" spans="2:3" x14ac:dyDescent="0.3">
      <c r="B809" s="6"/>
      <c r="C809" s="6"/>
    </row>
    <row r="810" spans="2:3" x14ac:dyDescent="0.3">
      <c r="B810" s="6"/>
      <c r="C810" s="6"/>
    </row>
    <row r="811" spans="2:3" x14ac:dyDescent="0.3">
      <c r="B811" s="6"/>
      <c r="C811" s="6"/>
    </row>
    <row r="813" spans="2:3" x14ac:dyDescent="0.3">
      <c r="B813" s="5"/>
    </row>
    <row r="814" spans="2:3" x14ac:dyDescent="0.3">
      <c r="B814" s="5"/>
    </row>
    <row r="815" spans="2:3" x14ac:dyDescent="0.3">
      <c r="B815" s="13"/>
      <c r="C815" s="13"/>
    </row>
    <row r="816" spans="2:3" x14ac:dyDescent="0.3">
      <c r="B816" s="6"/>
      <c r="C816" s="12"/>
    </row>
    <row r="817" spans="2:5" x14ac:dyDescent="0.3">
      <c r="B817" s="6"/>
      <c r="C817" s="6"/>
    </row>
    <row r="818" spans="2:5" x14ac:dyDescent="0.3">
      <c r="B818" s="6"/>
      <c r="C818" s="6"/>
    </row>
    <row r="819" spans="2:5" x14ac:dyDescent="0.3">
      <c r="B819" s="6"/>
      <c r="C819" s="6"/>
    </row>
    <row r="820" spans="2:5" x14ac:dyDescent="0.3">
      <c r="B820" s="6"/>
      <c r="C820" s="6"/>
    </row>
    <row r="822" spans="2:5" x14ac:dyDescent="0.3">
      <c r="B822" s="5"/>
    </row>
    <row r="823" spans="2:5" x14ac:dyDescent="0.3">
      <c r="B823" s="5"/>
    </row>
    <row r="824" spans="2:5" ht="39" customHeight="1" x14ac:dyDescent="0.3">
      <c r="B824" s="13"/>
      <c r="C824" s="13"/>
      <c r="D824" s="13"/>
      <c r="E824" s="13"/>
    </row>
    <row r="825" spans="2:5" x14ac:dyDescent="0.3">
      <c r="B825" s="6"/>
      <c r="C825" s="12"/>
      <c r="D825" s="6"/>
      <c r="E825" s="12"/>
    </row>
    <row r="826" spans="2:5" x14ac:dyDescent="0.3">
      <c r="B826" s="6"/>
      <c r="C826" s="6"/>
      <c r="D826" s="6"/>
      <c r="E826" s="6"/>
    </row>
    <row r="827" spans="2:5" x14ac:dyDescent="0.3">
      <c r="B827" s="6"/>
      <c r="C827" s="6"/>
      <c r="D827" s="6"/>
      <c r="E827" s="6"/>
    </row>
    <row r="828" spans="2:5" x14ac:dyDescent="0.3">
      <c r="B828" s="6"/>
      <c r="C828" s="12"/>
      <c r="D828" s="6"/>
      <c r="E828" s="12"/>
    </row>
    <row r="829" spans="2:5" x14ac:dyDescent="0.3">
      <c r="B829" s="6"/>
      <c r="C829" s="12"/>
      <c r="D829" s="6"/>
      <c r="E829" s="12"/>
    </row>
    <row r="830" spans="2:5" x14ac:dyDescent="0.3">
      <c r="B830" s="6"/>
      <c r="C830" s="12"/>
      <c r="D830" s="6"/>
      <c r="E830" s="12"/>
    </row>
    <row r="831" spans="2:5" x14ac:dyDescent="0.3">
      <c r="B831" s="6"/>
      <c r="C831" s="12"/>
      <c r="D831" s="6"/>
      <c r="E831" s="12"/>
    </row>
    <row r="832" spans="2:5" x14ac:dyDescent="0.3">
      <c r="B832" s="6"/>
      <c r="C832" s="12"/>
      <c r="D832" s="6"/>
      <c r="E832" s="12"/>
    </row>
    <row r="833" spans="2:5" x14ac:dyDescent="0.3">
      <c r="B833" s="6"/>
      <c r="C833" s="12"/>
      <c r="D833" s="6"/>
      <c r="E833" s="12"/>
    </row>
    <row r="834" spans="2:5" x14ac:dyDescent="0.3">
      <c r="B834" s="6"/>
      <c r="C834" s="12"/>
      <c r="D834" s="6"/>
      <c r="E834" s="12"/>
    </row>
    <row r="835" spans="2:5" x14ac:dyDescent="0.3">
      <c r="B835" s="6"/>
      <c r="C835" s="12"/>
      <c r="D835" s="6"/>
      <c r="E835" s="12"/>
    </row>
    <row r="836" spans="2:5" x14ac:dyDescent="0.3">
      <c r="B836" s="6"/>
      <c r="C836" s="12"/>
      <c r="D836" s="6"/>
      <c r="E836" s="12"/>
    </row>
    <row r="837" spans="2:5" x14ac:dyDescent="0.3">
      <c r="B837" s="6"/>
      <c r="C837" s="12"/>
      <c r="D837" s="6"/>
      <c r="E837" s="12"/>
    </row>
    <row r="838" spans="2:5" x14ac:dyDescent="0.3">
      <c r="B838" s="6"/>
      <c r="C838" s="12"/>
      <c r="D838" s="6"/>
      <c r="E838" s="12"/>
    </row>
    <row r="839" spans="2:5" x14ac:dyDescent="0.3">
      <c r="B839" s="6"/>
      <c r="C839" s="12"/>
      <c r="D839" s="6"/>
      <c r="E839" s="12"/>
    </row>
    <row r="840" spans="2:5" x14ac:dyDescent="0.3">
      <c r="B840" s="6"/>
      <c r="C840" s="12"/>
      <c r="D840" s="6"/>
      <c r="E840" s="12"/>
    </row>
    <row r="841" spans="2:5" x14ac:dyDescent="0.3">
      <c r="B841" s="6"/>
      <c r="C841" s="12"/>
      <c r="D841" s="6"/>
      <c r="E841" s="12"/>
    </row>
    <row r="842" spans="2:5" x14ac:dyDescent="0.3">
      <c r="B842" s="6"/>
      <c r="C842" s="12"/>
      <c r="D842" s="6"/>
      <c r="E842" s="12"/>
    </row>
    <row r="843" spans="2:5" x14ac:dyDescent="0.3">
      <c r="B843" s="6"/>
      <c r="C843" s="12"/>
      <c r="D843" s="6"/>
      <c r="E843" s="12"/>
    </row>
    <row r="845" spans="2:5" x14ac:dyDescent="0.3">
      <c r="B845" s="5"/>
    </row>
    <row r="846" spans="2:5" x14ac:dyDescent="0.3">
      <c r="B846" s="5"/>
    </row>
    <row r="847" spans="2:5" x14ac:dyDescent="0.3">
      <c r="B847" s="13"/>
      <c r="C847" s="13"/>
      <c r="D847" s="13"/>
      <c r="E847" s="13"/>
    </row>
    <row r="848" spans="2:5" x14ac:dyDescent="0.3">
      <c r="B848" s="6"/>
      <c r="C848" s="12"/>
      <c r="D848" s="6"/>
      <c r="E848" s="12"/>
    </row>
    <row r="849" spans="2:5" x14ac:dyDescent="0.3">
      <c r="B849" s="6"/>
      <c r="C849" s="6"/>
      <c r="D849" s="6"/>
      <c r="E849" s="6"/>
    </row>
    <row r="850" spans="2:5" x14ac:dyDescent="0.3">
      <c r="B850" s="6"/>
      <c r="C850" s="6"/>
      <c r="D850" s="6"/>
      <c r="E850" s="6"/>
    </row>
    <row r="851" spans="2:5" x14ac:dyDescent="0.3">
      <c r="B851" s="6"/>
      <c r="C851" s="12"/>
      <c r="D851" s="6"/>
      <c r="E851" s="12"/>
    </row>
    <row r="852" spans="2:5" x14ac:dyDescent="0.3">
      <c r="B852" s="6"/>
      <c r="C852" s="12"/>
      <c r="D852" s="6"/>
      <c r="E852" s="12"/>
    </row>
    <row r="853" spans="2:5" x14ac:dyDescent="0.3">
      <c r="B853" s="6"/>
      <c r="C853" s="12"/>
      <c r="D853" s="6"/>
      <c r="E853" s="12"/>
    </row>
    <row r="854" spans="2:5" x14ac:dyDescent="0.3">
      <c r="B854" s="6"/>
      <c r="C854" s="12"/>
      <c r="D854" s="6"/>
      <c r="E854" s="12"/>
    </row>
    <row r="855" spans="2:5" x14ac:dyDescent="0.3">
      <c r="B855" s="6"/>
      <c r="C855" s="12"/>
      <c r="D855" s="6"/>
      <c r="E855" s="12"/>
    </row>
    <row r="856" spans="2:5" x14ac:dyDescent="0.3">
      <c r="B856" s="6"/>
      <c r="C856" s="12"/>
      <c r="D856" s="6"/>
      <c r="E856" s="12"/>
    </row>
    <row r="857" spans="2:5" x14ac:dyDescent="0.3">
      <c r="B857" s="6"/>
      <c r="C857" s="12"/>
      <c r="D857" s="6"/>
      <c r="E857" s="12"/>
    </row>
    <row r="858" spans="2:5" x14ac:dyDescent="0.3">
      <c r="B858" s="6"/>
      <c r="C858" s="12"/>
      <c r="D858" s="6"/>
      <c r="E858" s="12"/>
    </row>
    <row r="859" spans="2:5" x14ac:dyDescent="0.3">
      <c r="B859" s="6"/>
      <c r="C859" s="12"/>
      <c r="D859" s="6"/>
      <c r="E859" s="12"/>
    </row>
    <row r="861" spans="2:5" x14ac:dyDescent="0.3">
      <c r="B861" s="5"/>
    </row>
    <row r="862" spans="2:5" x14ac:dyDescent="0.3">
      <c r="B862" s="5"/>
    </row>
    <row r="863" spans="2:5" x14ac:dyDescent="0.3">
      <c r="B863" s="13"/>
      <c r="C863" s="13"/>
      <c r="D863" s="13"/>
      <c r="E863" s="13"/>
    </row>
    <row r="864" spans="2:5" x14ac:dyDescent="0.3">
      <c r="B864" s="6"/>
      <c r="C864" s="12"/>
      <c r="D864" s="6"/>
      <c r="E864" s="12"/>
    </row>
    <row r="865" spans="2:5" x14ac:dyDescent="0.3">
      <c r="B865" s="6"/>
      <c r="C865" s="6"/>
      <c r="D865" s="6"/>
      <c r="E865" s="6"/>
    </row>
    <row r="866" spans="2:5" x14ac:dyDescent="0.3">
      <c r="B866" s="6"/>
      <c r="C866" s="6"/>
      <c r="D866" s="6"/>
      <c r="E866" s="6"/>
    </row>
    <row r="867" spans="2:5" x14ac:dyDescent="0.3">
      <c r="B867" s="6"/>
      <c r="C867" s="12"/>
      <c r="D867" s="6"/>
      <c r="E867" s="12"/>
    </row>
    <row r="868" spans="2:5" x14ac:dyDescent="0.3">
      <c r="B868" s="6"/>
      <c r="C868" s="12"/>
      <c r="D868" s="6"/>
      <c r="E868" s="12"/>
    </row>
    <row r="869" spans="2:5" x14ac:dyDescent="0.3">
      <c r="B869" s="6"/>
      <c r="C869" s="12"/>
      <c r="D869" s="6"/>
      <c r="E869" s="12"/>
    </row>
    <row r="870" spans="2:5" x14ac:dyDescent="0.3">
      <c r="B870" s="6"/>
      <c r="C870" s="12"/>
      <c r="D870" s="6"/>
      <c r="E870" s="12"/>
    </row>
    <row r="871" spans="2:5" x14ac:dyDescent="0.3">
      <c r="B871" s="6"/>
      <c r="C871" s="12"/>
      <c r="D871" s="6"/>
      <c r="E871" s="12"/>
    </row>
    <row r="872" spans="2:5" x14ac:dyDescent="0.3">
      <c r="B872" s="6"/>
      <c r="C872" s="12"/>
      <c r="D872" s="6"/>
      <c r="E872" s="12"/>
    </row>
    <row r="873" spans="2:5" x14ac:dyDescent="0.3">
      <c r="B873" s="6"/>
      <c r="C873" s="12"/>
      <c r="D873" s="6"/>
      <c r="E873" s="12"/>
    </row>
    <row r="874" spans="2:5" x14ac:dyDescent="0.3">
      <c r="B874" s="6"/>
      <c r="C874" s="12"/>
      <c r="D874" s="6"/>
      <c r="E874" s="12"/>
    </row>
    <row r="875" spans="2:5" x14ac:dyDescent="0.3">
      <c r="B875" s="6"/>
      <c r="C875" s="12"/>
      <c r="D875" s="6"/>
      <c r="E875" s="12"/>
    </row>
    <row r="877" spans="2:5" x14ac:dyDescent="0.3">
      <c r="B877" s="5"/>
    </row>
    <row r="878" spans="2:5" x14ac:dyDescent="0.3">
      <c r="B878" s="5"/>
    </row>
    <row r="879" spans="2:5" x14ac:dyDescent="0.3">
      <c r="B879" s="13"/>
      <c r="C879" s="13"/>
      <c r="D879" s="13"/>
      <c r="E879" s="13"/>
    </row>
    <row r="880" spans="2:5" x14ac:dyDescent="0.3">
      <c r="B880" s="6"/>
      <c r="C880" s="12"/>
      <c r="D880" s="6"/>
      <c r="E880" s="12"/>
    </row>
    <row r="881" spans="2:5" x14ac:dyDescent="0.3">
      <c r="B881" s="6"/>
      <c r="C881" s="6"/>
      <c r="D881" s="6"/>
      <c r="E881" s="6"/>
    </row>
    <row r="882" spans="2:5" x14ac:dyDescent="0.3">
      <c r="B882" s="6"/>
      <c r="C882" s="6"/>
      <c r="D882" s="6"/>
      <c r="E882" s="6"/>
    </row>
    <row r="883" spans="2:5" x14ac:dyDescent="0.3">
      <c r="B883" s="6"/>
      <c r="C883" s="12"/>
      <c r="D883" s="6"/>
      <c r="E883" s="12"/>
    </row>
    <row r="884" spans="2:5" x14ac:dyDescent="0.3">
      <c r="B884" s="6"/>
      <c r="C884" s="12"/>
      <c r="D884" s="6"/>
      <c r="E884" s="12"/>
    </row>
    <row r="885" spans="2:5" x14ac:dyDescent="0.3">
      <c r="B885" s="6"/>
      <c r="C885" s="12"/>
      <c r="D885" s="6"/>
      <c r="E885" s="12"/>
    </row>
    <row r="886" spans="2:5" x14ac:dyDescent="0.3">
      <c r="B886" s="6"/>
      <c r="C886" s="12"/>
      <c r="D886" s="6"/>
      <c r="E886" s="12"/>
    </row>
    <row r="887" spans="2:5" x14ac:dyDescent="0.3">
      <c r="B887" s="6"/>
      <c r="C887" s="12"/>
      <c r="D887" s="6"/>
      <c r="E887" s="12"/>
    </row>
    <row r="888" spans="2:5" x14ac:dyDescent="0.3">
      <c r="B888" s="6"/>
      <c r="C888" s="12"/>
      <c r="D888" s="6"/>
      <c r="E888" s="12"/>
    </row>
    <row r="889" spans="2:5" x14ac:dyDescent="0.3">
      <c r="B889" s="6"/>
      <c r="C889" s="12"/>
      <c r="D889" s="6"/>
      <c r="E889" s="12"/>
    </row>
    <row r="890" spans="2:5" x14ac:dyDescent="0.3">
      <c r="B890" s="6"/>
      <c r="C890" s="12"/>
      <c r="D890" s="6"/>
      <c r="E890" s="12"/>
    </row>
    <row r="892" spans="2:5" x14ac:dyDescent="0.3">
      <c r="B892" s="5"/>
    </row>
    <row r="893" spans="2:5" x14ac:dyDescent="0.3">
      <c r="B893" s="5"/>
    </row>
    <row r="894" spans="2:5" x14ac:dyDescent="0.3">
      <c r="B894" s="13"/>
      <c r="C894" s="13"/>
      <c r="D894" s="13"/>
      <c r="E894" s="13"/>
    </row>
    <row r="895" spans="2:5" x14ac:dyDescent="0.3">
      <c r="B895" s="6"/>
      <c r="C895" s="12"/>
      <c r="D895" s="6"/>
      <c r="E895" s="12"/>
    </row>
    <row r="896" spans="2:5" x14ac:dyDescent="0.3">
      <c r="B896" s="6"/>
      <c r="C896" s="6"/>
      <c r="D896" s="6"/>
      <c r="E896" s="6"/>
    </row>
    <row r="897" spans="2:5" x14ac:dyDescent="0.3">
      <c r="B897" s="6"/>
      <c r="C897" s="6"/>
      <c r="D897" s="6"/>
      <c r="E897" s="6"/>
    </row>
    <row r="898" spans="2:5" x14ac:dyDescent="0.3">
      <c r="B898" s="6"/>
      <c r="C898" s="12"/>
      <c r="D898" s="6"/>
      <c r="E898" s="12"/>
    </row>
    <row r="899" spans="2:5" x14ac:dyDescent="0.3">
      <c r="B899" s="6"/>
      <c r="C899" s="12"/>
      <c r="D899" s="6"/>
      <c r="E899" s="12"/>
    </row>
    <row r="900" spans="2:5" x14ac:dyDescent="0.3">
      <c r="B900" s="6"/>
      <c r="C900" s="12"/>
      <c r="D900" s="6"/>
      <c r="E900" s="12"/>
    </row>
    <row r="901" spans="2:5" x14ac:dyDescent="0.3">
      <c r="B901" s="6"/>
      <c r="C901" s="12"/>
      <c r="D901" s="6"/>
      <c r="E901" s="12"/>
    </row>
    <row r="902" spans="2:5" x14ac:dyDescent="0.3">
      <c r="B902" s="6"/>
      <c r="C902" s="12"/>
      <c r="D902" s="6"/>
      <c r="E902" s="12"/>
    </row>
    <row r="903" spans="2:5" x14ac:dyDescent="0.3">
      <c r="B903" s="6"/>
      <c r="C903" s="12"/>
      <c r="D903" s="6"/>
      <c r="E903" s="12"/>
    </row>
    <row r="904" spans="2:5" x14ac:dyDescent="0.3">
      <c r="B904" s="6"/>
      <c r="C904" s="12"/>
      <c r="D904" s="6"/>
      <c r="E904" s="12"/>
    </row>
    <row r="905" spans="2:5" x14ac:dyDescent="0.3">
      <c r="B905" s="6"/>
      <c r="C905" s="12"/>
      <c r="D905" s="6"/>
      <c r="E905" s="12"/>
    </row>
    <row r="907" spans="2:5" x14ac:dyDescent="0.3">
      <c r="B907" s="5"/>
    </row>
    <row r="908" spans="2:5" x14ac:dyDescent="0.3">
      <c r="B908" s="5"/>
    </row>
    <row r="909" spans="2:5" x14ac:dyDescent="0.3">
      <c r="B909" s="13"/>
      <c r="C909" s="13"/>
      <c r="D909" s="13"/>
    </row>
    <row r="910" spans="2:5" x14ac:dyDescent="0.3">
      <c r="B910" s="6"/>
      <c r="C910" s="12"/>
      <c r="D910" s="6"/>
    </row>
    <row r="911" spans="2:5" x14ac:dyDescent="0.3">
      <c r="B911" s="6"/>
      <c r="C911" s="6"/>
      <c r="D911" s="6"/>
    </row>
    <row r="912" spans="2:5" x14ac:dyDescent="0.3">
      <c r="B912" s="6"/>
      <c r="C912" s="6"/>
      <c r="D912" s="6"/>
    </row>
    <row r="913" spans="2:4" x14ac:dyDescent="0.3">
      <c r="B913" s="6"/>
      <c r="C913" s="12"/>
      <c r="D913" s="6"/>
    </row>
    <row r="914" spans="2:4" x14ac:dyDescent="0.3">
      <c r="B914" s="6"/>
      <c r="C914" s="12"/>
      <c r="D914" s="6"/>
    </row>
    <row r="915" spans="2:4" x14ac:dyDescent="0.3">
      <c r="B915" s="6"/>
      <c r="C915" s="12"/>
      <c r="D915" s="6"/>
    </row>
    <row r="916" spans="2:4" x14ac:dyDescent="0.3">
      <c r="B916" s="6"/>
      <c r="C916" s="12"/>
      <c r="D916" s="6"/>
    </row>
    <row r="917" spans="2:4" x14ac:dyDescent="0.3">
      <c r="B917" s="6"/>
      <c r="C917" s="12"/>
      <c r="D917" s="6"/>
    </row>
    <row r="918" spans="2:4" x14ac:dyDescent="0.3">
      <c r="B918" s="6"/>
      <c r="C918" s="12"/>
      <c r="D918" s="6"/>
    </row>
    <row r="919" spans="2:4" x14ac:dyDescent="0.3">
      <c r="B919" s="6"/>
      <c r="C919" s="12"/>
      <c r="D919" s="6"/>
    </row>
    <row r="920" spans="2:4" x14ac:dyDescent="0.3">
      <c r="B920" s="6"/>
      <c r="C920" s="12"/>
      <c r="D920" s="6"/>
    </row>
    <row r="921" spans="2:4" x14ac:dyDescent="0.3">
      <c r="B921" s="6"/>
      <c r="C921" s="12"/>
      <c r="D921" s="6"/>
    </row>
    <row r="922" spans="2:4" x14ac:dyDescent="0.3">
      <c r="B922" s="6"/>
      <c r="C922" s="6"/>
      <c r="D922" s="6"/>
    </row>
    <row r="923" spans="2:4" x14ac:dyDescent="0.3">
      <c r="B923" s="6"/>
      <c r="C923" s="6"/>
      <c r="D923" s="6"/>
    </row>
    <row r="924" spans="2:4" x14ac:dyDescent="0.3">
      <c r="B924" s="6"/>
      <c r="C924" s="12"/>
      <c r="D924" s="6"/>
    </row>
    <row r="925" spans="2:4" x14ac:dyDescent="0.3">
      <c r="B925" s="6"/>
      <c r="C925" s="12"/>
      <c r="D925" s="6"/>
    </row>
    <row r="926" spans="2:4" x14ac:dyDescent="0.3">
      <c r="B926" s="6"/>
      <c r="C926" s="12"/>
      <c r="D926" s="6"/>
    </row>
    <row r="927" spans="2:4" x14ac:dyDescent="0.3">
      <c r="B927" s="6"/>
      <c r="C927" s="12"/>
      <c r="D927" s="6"/>
    </row>
    <row r="929" spans="2:4" x14ac:dyDescent="0.3">
      <c r="B929" s="5"/>
    </row>
    <row r="930" spans="2:4" x14ac:dyDescent="0.3">
      <c r="B930" s="5"/>
    </row>
    <row r="931" spans="2:4" x14ac:dyDescent="0.3">
      <c r="B931" s="13"/>
      <c r="C931" s="13"/>
      <c r="D931" s="13"/>
    </row>
    <row r="932" spans="2:4" x14ac:dyDescent="0.3">
      <c r="B932" s="6"/>
      <c r="C932" s="12"/>
      <c r="D932" s="6"/>
    </row>
    <row r="933" spans="2:4" x14ac:dyDescent="0.3">
      <c r="B933" s="6"/>
      <c r="C933" s="6"/>
      <c r="D933" s="6"/>
    </row>
    <row r="934" spans="2:4" x14ac:dyDescent="0.3">
      <c r="B934" s="6"/>
      <c r="C934" s="6"/>
      <c r="D934" s="6"/>
    </row>
    <row r="935" spans="2:4" x14ac:dyDescent="0.3">
      <c r="B935" s="6"/>
      <c r="C935" s="12"/>
      <c r="D935" s="6"/>
    </row>
    <row r="936" spans="2:4" x14ac:dyDescent="0.3">
      <c r="B936" s="6"/>
      <c r="C936" s="12"/>
      <c r="D936" s="6"/>
    </row>
    <row r="937" spans="2:4" x14ac:dyDescent="0.3">
      <c r="B937" s="6"/>
      <c r="C937" s="12"/>
      <c r="D937" s="6"/>
    </row>
    <row r="939" spans="2:4" x14ac:dyDescent="0.3">
      <c r="B939" s="5"/>
    </row>
    <row r="940" spans="2:4" x14ac:dyDescent="0.3">
      <c r="B940" s="5"/>
    </row>
    <row r="941" spans="2:4" x14ac:dyDescent="0.3">
      <c r="B941" s="13"/>
      <c r="C941" s="13"/>
    </row>
    <row r="942" spans="2:4" x14ac:dyDescent="0.3">
      <c r="B942" s="7"/>
      <c r="C942" s="12"/>
    </row>
    <row r="943" spans="2:4" x14ac:dyDescent="0.3">
      <c r="B943" s="7"/>
      <c r="C943" s="6"/>
    </row>
    <row r="944" spans="2:4" x14ac:dyDescent="0.3">
      <c r="B944" s="7"/>
      <c r="C944" s="6"/>
    </row>
    <row r="945" spans="2:3" x14ac:dyDescent="0.3">
      <c r="B945" s="7"/>
      <c r="C945" s="12"/>
    </row>
    <row r="946" spans="2:3" x14ac:dyDescent="0.3">
      <c r="B946" s="7"/>
      <c r="C946" s="12"/>
    </row>
    <row r="947" spans="2:3" x14ac:dyDescent="0.3">
      <c r="B947" s="7"/>
      <c r="C947" s="12"/>
    </row>
    <row r="948" spans="2:3" x14ac:dyDescent="0.3">
      <c r="B948" s="7"/>
      <c r="C948" s="6"/>
    </row>
    <row r="949" spans="2:3" x14ac:dyDescent="0.3">
      <c r="B949" s="7"/>
      <c r="C949" s="6"/>
    </row>
  </sheetData>
  <sheetProtection algorithmName="SHA-512" hashValue="RrWRQiQ39TejaUMsANPR3TZ8D3hGv8JGu15mT8ItU0mAOvPwAgWOtLpl9wx6bWdHPqd20gDyQYAg1XI5VmwwFg==" saltValue="sRuRqruEGY6vFnnCr0QxSA==" spinCount="100000" sheet="1" objects="1" scenarios="1" autoFilter="0"/>
  <pageMargins left="0.7" right="0.7" top="0.75" bottom="0.75" header="0.3" footer="0.3"/>
  <drawing r:id="rId1"/>
  <tableParts count="4">
    <tablePart r:id="rId2"/>
    <tablePart r:id="rId3"/>
    <tablePart r:id="rId4"/>
    <tablePart r:id="rId5"/>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41">
    <tabColor theme="7"/>
  </sheetPr>
  <dimension ref="A1:W949"/>
  <sheetViews>
    <sheetView showGridLines="0" zoomScaleNormal="100" workbookViewId="0">
      <selection activeCell="F59" sqref="F59"/>
    </sheetView>
  </sheetViews>
  <sheetFormatPr defaultRowHeight="14" x14ac:dyDescent="0.3"/>
  <cols>
    <col min="1" max="1" width="4.58203125" customWidth="1"/>
    <col min="2" max="2" width="40.58203125" customWidth="1"/>
    <col min="3" max="3" width="38.83203125" customWidth="1"/>
    <col min="4" max="4" width="42.58203125" customWidth="1"/>
    <col min="5" max="5" width="25.5" customWidth="1"/>
    <col min="6" max="9" width="19.33203125" customWidth="1"/>
    <col min="10" max="12" width="16.08203125" customWidth="1"/>
  </cols>
  <sheetData>
    <row r="1" spans="1:23" x14ac:dyDescent="0.3">
      <c r="A1" s="1"/>
      <c r="B1" s="1"/>
      <c r="C1" s="1"/>
      <c r="D1" s="1"/>
      <c r="E1" s="1"/>
      <c r="F1" s="1"/>
      <c r="G1" s="1"/>
      <c r="H1" s="1"/>
      <c r="I1" s="1"/>
      <c r="J1" s="1"/>
      <c r="K1" s="1"/>
      <c r="L1" s="1"/>
      <c r="M1" s="1"/>
      <c r="N1" s="1"/>
      <c r="O1" s="1"/>
      <c r="P1" s="1"/>
      <c r="Q1" s="1"/>
      <c r="R1" s="1"/>
      <c r="S1" s="1"/>
      <c r="T1" s="1"/>
      <c r="U1" s="1"/>
      <c r="V1" s="1"/>
      <c r="W1" s="1"/>
    </row>
    <row r="2" spans="1:23" x14ac:dyDescent="0.3">
      <c r="A2" s="1"/>
      <c r="B2" s="1"/>
      <c r="C2" s="1"/>
      <c r="D2" s="1"/>
      <c r="E2" s="1"/>
      <c r="F2" s="1"/>
      <c r="G2" s="1"/>
      <c r="H2" s="1"/>
      <c r="I2" s="1"/>
      <c r="J2" s="1"/>
      <c r="K2" s="1"/>
      <c r="L2" s="1"/>
      <c r="M2" s="1"/>
      <c r="N2" s="1"/>
      <c r="O2" s="1"/>
      <c r="P2" s="1"/>
      <c r="Q2" s="1"/>
      <c r="R2" s="1"/>
      <c r="S2" s="1"/>
      <c r="T2" s="1"/>
      <c r="U2" s="1"/>
      <c r="V2" s="1"/>
      <c r="W2" s="1"/>
    </row>
    <row r="3" spans="1:23" x14ac:dyDescent="0.3">
      <c r="A3" s="1"/>
      <c r="B3" s="1"/>
      <c r="C3" s="1"/>
      <c r="D3" s="1"/>
      <c r="E3" s="1"/>
      <c r="F3" s="1"/>
      <c r="G3" s="1"/>
      <c r="H3" s="1"/>
      <c r="I3" s="1"/>
      <c r="J3" s="1"/>
      <c r="K3" s="1"/>
      <c r="L3" s="1"/>
      <c r="M3" s="1"/>
      <c r="N3" s="1"/>
      <c r="O3" s="1"/>
      <c r="P3" s="1"/>
      <c r="Q3" s="1"/>
      <c r="R3" s="1"/>
      <c r="S3" s="1"/>
      <c r="T3" s="1"/>
      <c r="U3" s="1"/>
      <c r="V3" s="1"/>
      <c r="W3" s="1"/>
    </row>
    <row r="4" spans="1:23" x14ac:dyDescent="0.3">
      <c r="A4" s="1"/>
      <c r="B4" s="1"/>
      <c r="C4" s="1"/>
      <c r="D4" s="1"/>
      <c r="E4" s="1"/>
      <c r="F4" s="1"/>
      <c r="G4" s="1"/>
      <c r="H4" s="1"/>
      <c r="I4" s="1"/>
      <c r="J4" s="1"/>
      <c r="K4" s="1"/>
      <c r="L4" s="1"/>
      <c r="M4" s="1"/>
      <c r="N4" s="1"/>
      <c r="O4" s="1"/>
      <c r="P4" s="1"/>
      <c r="Q4" s="1"/>
      <c r="R4" s="1"/>
      <c r="S4" s="1"/>
      <c r="T4" s="1"/>
      <c r="U4" s="1"/>
      <c r="V4" s="1"/>
      <c r="W4" s="1"/>
    </row>
    <row r="5" spans="1:23" x14ac:dyDescent="0.3">
      <c r="A5" s="1"/>
      <c r="B5" s="1"/>
      <c r="C5" s="1"/>
      <c r="D5" s="1"/>
      <c r="E5" s="1"/>
      <c r="F5" s="1"/>
      <c r="G5" s="1"/>
      <c r="H5" s="1"/>
      <c r="I5" s="1"/>
      <c r="J5" s="1"/>
      <c r="K5" s="1"/>
      <c r="L5" s="1"/>
      <c r="M5" s="1"/>
      <c r="N5" s="1"/>
      <c r="O5" s="1"/>
      <c r="P5" s="1"/>
      <c r="Q5" s="1"/>
      <c r="R5" s="1"/>
      <c r="S5" s="1"/>
      <c r="T5" s="1"/>
      <c r="U5" s="1"/>
      <c r="V5" s="1"/>
      <c r="W5" s="1"/>
    </row>
    <row r="6" spans="1:23" x14ac:dyDescent="0.3">
      <c r="A6" s="1"/>
      <c r="B6" s="1"/>
      <c r="C6" s="1"/>
      <c r="D6" s="1"/>
      <c r="E6" s="1"/>
      <c r="F6" s="1"/>
      <c r="G6" s="1"/>
      <c r="H6" s="1"/>
      <c r="I6" s="1"/>
      <c r="J6" s="1"/>
      <c r="K6" s="1"/>
      <c r="L6" s="1"/>
      <c r="M6" s="1"/>
      <c r="N6" s="1"/>
      <c r="O6" s="1"/>
      <c r="P6" s="1"/>
      <c r="Q6" s="1"/>
      <c r="R6" s="1"/>
      <c r="S6" s="1"/>
      <c r="T6" s="1"/>
      <c r="U6" s="1"/>
      <c r="V6" s="1"/>
      <c r="W6" s="1"/>
    </row>
    <row r="7" spans="1:23" s="22" customFormat="1" x14ac:dyDescent="0.3"/>
    <row r="8" spans="1:23" s="22" customFormat="1" x14ac:dyDescent="0.3"/>
    <row r="9" spans="1:23" s="22" customFormat="1" x14ac:dyDescent="0.3">
      <c r="B9" s="719" t="s">
        <v>2241</v>
      </c>
      <c r="C9" s="719" t="s">
        <v>2242</v>
      </c>
    </row>
    <row r="10" spans="1:23" s="22" customFormat="1" x14ac:dyDescent="0.3"/>
    <row r="11" spans="1:23" s="22" customFormat="1" x14ac:dyDescent="0.3">
      <c r="B11" s="22" t="s">
        <v>2243</v>
      </c>
    </row>
    <row r="12" spans="1:23" s="22" customFormat="1" x14ac:dyDescent="0.3">
      <c r="B12" s="22" t="s">
        <v>2244</v>
      </c>
    </row>
    <row r="13" spans="1:23" s="22" customFormat="1" x14ac:dyDescent="0.3">
      <c r="B13" s="708" t="s">
        <v>2245</v>
      </c>
      <c r="C13" s="708" t="s">
        <v>497</v>
      </c>
    </row>
    <row r="14" spans="1:23" s="22" customFormat="1" x14ac:dyDescent="0.3">
      <c r="B14" s="723" t="s">
        <v>2246</v>
      </c>
      <c r="C14" s="736">
        <v>0.4</v>
      </c>
      <c r="E14" s="32"/>
      <c r="F14" s="32"/>
      <c r="G14" s="32"/>
      <c r="H14" s="32"/>
      <c r="I14" s="32"/>
    </row>
    <row r="15" spans="1:23" s="22" customFormat="1" x14ac:dyDescent="0.3">
      <c r="B15" s="723" t="s">
        <v>2247</v>
      </c>
      <c r="C15" s="736">
        <v>0.6</v>
      </c>
      <c r="E15" s="32"/>
      <c r="F15" s="32"/>
      <c r="G15" s="32"/>
      <c r="H15" s="32"/>
      <c r="I15" s="32"/>
    </row>
    <row r="16" spans="1:23" s="22" customFormat="1" x14ac:dyDescent="0.3">
      <c r="B16" s="723" t="s">
        <v>2248</v>
      </c>
      <c r="C16" s="736">
        <v>0.9</v>
      </c>
      <c r="E16" s="32"/>
      <c r="F16" s="32"/>
      <c r="G16" s="32"/>
      <c r="H16" s="32"/>
      <c r="I16" s="32"/>
    </row>
    <row r="17" spans="2:9" s="22" customFormat="1" x14ac:dyDescent="0.3">
      <c r="B17" s="723" t="s">
        <v>2249</v>
      </c>
      <c r="C17" s="736">
        <v>1.3</v>
      </c>
      <c r="E17" s="32"/>
      <c r="F17" s="32"/>
      <c r="G17" s="32"/>
      <c r="H17" s="32"/>
      <c r="I17" s="32"/>
    </row>
    <row r="18" spans="2:9" s="22" customFormat="1" x14ac:dyDescent="0.3">
      <c r="B18" s="723" t="s">
        <v>2250</v>
      </c>
      <c r="C18" s="736">
        <v>1.3</v>
      </c>
      <c r="E18" s="32"/>
      <c r="F18" s="32"/>
      <c r="G18" s="32"/>
      <c r="H18" s="32"/>
      <c r="I18" s="32"/>
    </row>
    <row r="19" spans="2:9" s="22" customFormat="1" x14ac:dyDescent="0.3">
      <c r="E19" s="32"/>
      <c r="F19" s="32"/>
      <c r="G19" s="32"/>
      <c r="H19" s="32"/>
      <c r="I19" s="32"/>
    </row>
    <row r="20" spans="2:9" s="22" customFormat="1" x14ac:dyDescent="0.3">
      <c r="B20" s="719" t="s">
        <v>2251</v>
      </c>
      <c r="C20" s="719" t="s">
        <v>2252</v>
      </c>
      <c r="E20" s="32"/>
      <c r="F20" s="32"/>
      <c r="G20" s="32"/>
      <c r="H20" s="32"/>
      <c r="I20" s="32"/>
    </row>
    <row r="21" spans="2:9" s="22" customFormat="1" x14ac:dyDescent="0.3">
      <c r="E21" s="32"/>
      <c r="F21" s="32"/>
      <c r="G21" s="32"/>
      <c r="H21" s="32"/>
      <c r="I21" s="32"/>
    </row>
    <row r="22" spans="2:9" s="22" customFormat="1" x14ac:dyDescent="0.3">
      <c r="B22" s="22" t="s">
        <v>2253</v>
      </c>
      <c r="E22" s="32"/>
      <c r="F22" s="32"/>
      <c r="G22" s="32"/>
      <c r="H22" s="32"/>
      <c r="I22" s="32"/>
    </row>
    <row r="23" spans="2:9" s="22" customFormat="1" x14ac:dyDescent="0.3">
      <c r="B23" s="22" t="s">
        <v>2254</v>
      </c>
      <c r="E23" s="32"/>
      <c r="F23" s="32"/>
      <c r="G23" s="32"/>
      <c r="H23" s="32"/>
      <c r="I23" s="32"/>
    </row>
    <row r="24" spans="2:9" s="22" customFormat="1" x14ac:dyDescent="0.3">
      <c r="B24" s="708" t="s">
        <v>2255</v>
      </c>
      <c r="C24" s="708" t="s">
        <v>497</v>
      </c>
      <c r="E24" s="32"/>
      <c r="F24" s="32"/>
      <c r="G24" s="32"/>
      <c r="H24" s="32"/>
      <c r="I24" s="32"/>
    </row>
    <row r="25" spans="2:9" s="22" customFormat="1" x14ac:dyDescent="0.3">
      <c r="B25" s="723" t="s">
        <v>2256</v>
      </c>
      <c r="C25" s="736">
        <v>1</v>
      </c>
      <c r="E25" s="32"/>
      <c r="F25" s="32"/>
      <c r="G25" s="32"/>
      <c r="H25" s="32"/>
      <c r="I25" s="32"/>
    </row>
    <row r="26" spans="2:9" s="22" customFormat="1" x14ac:dyDescent="0.3">
      <c r="B26" s="723" t="s">
        <v>2257</v>
      </c>
      <c r="C26" s="736">
        <v>1</v>
      </c>
    </row>
    <row r="27" spans="2:9" s="22" customFormat="1" x14ac:dyDescent="0.3">
      <c r="B27" s="723" t="s">
        <v>2258</v>
      </c>
      <c r="C27" s="736">
        <v>1.5</v>
      </c>
    </row>
    <row r="28" spans="2:9" s="22" customFormat="1" x14ac:dyDescent="0.3">
      <c r="B28" s="723" t="s">
        <v>2259</v>
      </c>
      <c r="C28" s="736">
        <v>1.5</v>
      </c>
    </row>
    <row r="29" spans="2:9" s="22" customFormat="1" x14ac:dyDescent="0.3">
      <c r="B29" s="723" t="s">
        <v>2260</v>
      </c>
      <c r="C29" s="736">
        <v>2</v>
      </c>
    </row>
    <row r="30" spans="2:9" s="22" customFormat="1" x14ac:dyDescent="0.3">
      <c r="E30" s="32"/>
      <c r="F30" s="32"/>
      <c r="G30" s="32"/>
      <c r="H30" s="32"/>
      <c r="I30" s="32"/>
    </row>
    <row r="31" spans="2:9" s="22" customFormat="1" x14ac:dyDescent="0.3">
      <c r="B31" s="22" t="s">
        <v>2261</v>
      </c>
      <c r="E31" s="32"/>
      <c r="F31" s="32"/>
      <c r="G31" s="32"/>
      <c r="H31" s="32"/>
      <c r="I31" s="32"/>
    </row>
    <row r="32" spans="2:9" s="22" customFormat="1" x14ac:dyDescent="0.3">
      <c r="B32" s="22" t="s">
        <v>2262</v>
      </c>
      <c r="E32" s="32"/>
      <c r="F32" s="32"/>
      <c r="G32" s="32"/>
      <c r="H32" s="32"/>
      <c r="I32" s="32"/>
    </row>
    <row r="33" spans="2:9" s="22" customFormat="1" x14ac:dyDescent="0.3">
      <c r="B33" s="708" t="s">
        <v>2255</v>
      </c>
      <c r="C33" s="708" t="s">
        <v>497</v>
      </c>
      <c r="E33" s="32"/>
      <c r="F33" s="32"/>
      <c r="G33" s="32"/>
      <c r="H33" s="32"/>
      <c r="I33" s="32"/>
    </row>
    <row r="34" spans="2:9" s="22" customFormat="1" x14ac:dyDescent="0.3">
      <c r="B34" s="723" t="s">
        <v>2263</v>
      </c>
      <c r="C34" s="736">
        <v>1</v>
      </c>
      <c r="E34" s="32"/>
      <c r="F34" s="32"/>
      <c r="G34" s="32"/>
      <c r="H34" s="32"/>
      <c r="I34" s="32"/>
    </row>
    <row r="35" spans="2:9" s="22" customFormat="1" x14ac:dyDescent="0.3">
      <c r="B35" s="723" t="s">
        <v>2264</v>
      </c>
      <c r="C35" s="736">
        <v>1.1000000000000001</v>
      </c>
      <c r="E35" s="32"/>
      <c r="F35" s="32"/>
      <c r="G35" s="32"/>
      <c r="H35" s="32"/>
      <c r="I35" s="32"/>
    </row>
    <row r="36" spans="2:9" s="22" customFormat="1" x14ac:dyDescent="0.3">
      <c r="B36" s="723" t="s">
        <v>2265</v>
      </c>
      <c r="C36" s="736">
        <v>1.5</v>
      </c>
      <c r="E36" s="32"/>
      <c r="F36" s="32"/>
      <c r="G36" s="32"/>
      <c r="H36" s="32"/>
      <c r="I36" s="32"/>
    </row>
    <row r="37" spans="2:9" s="22" customFormat="1" x14ac:dyDescent="0.3">
      <c r="B37" s="723" t="s">
        <v>2266</v>
      </c>
      <c r="C37" s="736">
        <v>1.7</v>
      </c>
      <c r="E37" s="32"/>
      <c r="F37" s="32"/>
      <c r="G37" s="32"/>
      <c r="H37" s="32"/>
      <c r="I37" s="32"/>
    </row>
    <row r="38" spans="2:9" s="22" customFormat="1" x14ac:dyDescent="0.3">
      <c r="E38" s="32"/>
      <c r="F38" s="32"/>
      <c r="G38" s="32"/>
      <c r="H38" s="32"/>
      <c r="I38" s="32"/>
    </row>
    <row r="39" spans="2:9" s="22" customFormat="1" x14ac:dyDescent="0.3">
      <c r="B39" s="22" t="s">
        <v>2267</v>
      </c>
      <c r="E39" s="32"/>
      <c r="F39" s="32"/>
      <c r="G39" s="32"/>
      <c r="H39" s="32"/>
      <c r="I39" s="32"/>
    </row>
    <row r="40" spans="2:9" s="22" customFormat="1" x14ac:dyDescent="0.3">
      <c r="B40" s="22" t="s">
        <v>2268</v>
      </c>
      <c r="E40" s="32"/>
      <c r="F40" s="32"/>
      <c r="G40" s="32"/>
      <c r="H40" s="32"/>
      <c r="I40" s="32"/>
    </row>
    <row r="41" spans="2:9" s="22" customFormat="1" x14ac:dyDescent="0.3">
      <c r="B41" s="708" t="s">
        <v>2255</v>
      </c>
      <c r="C41" s="708" t="s">
        <v>497</v>
      </c>
      <c r="E41" s="32"/>
      <c r="F41" s="32"/>
      <c r="G41" s="32"/>
      <c r="H41" s="32"/>
      <c r="I41" s="32"/>
    </row>
    <row r="42" spans="2:9" s="22" customFormat="1" x14ac:dyDescent="0.3">
      <c r="B42" s="723" t="s">
        <v>2269</v>
      </c>
      <c r="C42" s="736">
        <v>1</v>
      </c>
      <c r="E42" s="32"/>
      <c r="F42" s="32"/>
      <c r="G42" s="32"/>
      <c r="H42" s="32"/>
      <c r="I42" s="32"/>
    </row>
    <row r="43" spans="2:9" s="22" customFormat="1" x14ac:dyDescent="0.3">
      <c r="B43" s="723" t="s">
        <v>2270</v>
      </c>
      <c r="C43" s="736">
        <v>1.3</v>
      </c>
      <c r="E43" s="32"/>
      <c r="F43" s="32"/>
      <c r="G43" s="32"/>
      <c r="H43" s="32"/>
      <c r="I43" s="32"/>
    </row>
    <row r="44" spans="2:9" s="22" customFormat="1" x14ac:dyDescent="0.3">
      <c r="B44" s="723" t="s">
        <v>2271</v>
      </c>
      <c r="C44" s="736">
        <v>1.5</v>
      </c>
      <c r="E44" s="32"/>
      <c r="F44" s="32"/>
      <c r="G44" s="32"/>
      <c r="H44" s="32"/>
      <c r="I44" s="32"/>
    </row>
    <row r="45" spans="2:9" s="22" customFormat="1" x14ac:dyDescent="0.3">
      <c r="E45" s="32"/>
      <c r="F45" s="32"/>
      <c r="G45" s="32"/>
      <c r="H45" s="32"/>
      <c r="I45" s="32"/>
    </row>
    <row r="46" spans="2:9" s="22" customFormat="1" x14ac:dyDescent="0.3"/>
    <row r="47" spans="2:9" s="22" customFormat="1" x14ac:dyDescent="0.3"/>
    <row r="48" spans="2:9" s="22" customFormat="1" x14ac:dyDescent="0.3"/>
    <row r="49" spans="5:9" s="22" customFormat="1" x14ac:dyDescent="0.3"/>
    <row r="50" spans="5:9" s="22" customFormat="1" x14ac:dyDescent="0.3">
      <c r="E50" s="32"/>
      <c r="F50" s="32"/>
      <c r="G50" s="32"/>
      <c r="H50" s="32"/>
    </row>
    <row r="51" spans="5:9" s="22" customFormat="1" x14ac:dyDescent="0.3">
      <c r="E51" s="32"/>
      <c r="F51" s="32"/>
      <c r="G51" s="32"/>
      <c r="H51" s="32"/>
    </row>
    <row r="52" spans="5:9" s="22" customFormat="1" x14ac:dyDescent="0.3">
      <c r="E52" s="32"/>
      <c r="F52" s="32"/>
      <c r="G52" s="32"/>
      <c r="H52" s="32"/>
    </row>
    <row r="53" spans="5:9" s="22" customFormat="1" x14ac:dyDescent="0.3">
      <c r="E53" s="32"/>
      <c r="F53" s="32"/>
      <c r="G53" s="32"/>
      <c r="H53" s="32"/>
    </row>
    <row r="54" spans="5:9" s="22" customFormat="1" x14ac:dyDescent="0.3">
      <c r="E54" s="32"/>
      <c r="F54" s="32"/>
      <c r="G54" s="32"/>
      <c r="H54" s="32"/>
    </row>
    <row r="55" spans="5:9" s="22" customFormat="1" x14ac:dyDescent="0.3">
      <c r="E55" s="32"/>
      <c r="F55" s="32"/>
      <c r="G55" s="32"/>
      <c r="H55" s="32"/>
    </row>
    <row r="56" spans="5:9" s="22" customFormat="1" x14ac:dyDescent="0.3">
      <c r="E56" s="32"/>
      <c r="F56" s="32"/>
      <c r="G56" s="32"/>
      <c r="H56" s="32"/>
    </row>
    <row r="57" spans="5:9" s="22" customFormat="1" x14ac:dyDescent="0.3"/>
    <row r="58" spans="5:9" s="22" customFormat="1" x14ac:dyDescent="0.3"/>
    <row r="59" spans="5:9" s="22" customFormat="1" x14ac:dyDescent="0.3"/>
    <row r="60" spans="5:9" s="22" customFormat="1" x14ac:dyDescent="0.3"/>
    <row r="61" spans="5:9" s="22" customFormat="1" x14ac:dyDescent="0.3">
      <c r="E61" s="32"/>
      <c r="F61" s="32"/>
      <c r="G61" s="32"/>
      <c r="H61" s="32"/>
      <c r="I61" s="32"/>
    </row>
    <row r="62" spans="5:9" s="22" customFormat="1" x14ac:dyDescent="0.3">
      <c r="E62" s="32"/>
      <c r="F62" s="32"/>
      <c r="G62" s="32"/>
      <c r="H62" s="32"/>
      <c r="I62" s="32"/>
    </row>
    <row r="63" spans="5:9" s="22" customFormat="1" x14ac:dyDescent="0.3">
      <c r="E63" s="32"/>
      <c r="F63" s="32"/>
      <c r="G63" s="32"/>
      <c r="H63" s="32"/>
      <c r="I63" s="32"/>
    </row>
    <row r="64" spans="5:9" s="22" customFormat="1" x14ac:dyDescent="0.3">
      <c r="E64" s="32"/>
      <c r="F64" s="32"/>
      <c r="G64" s="32"/>
      <c r="H64" s="32"/>
      <c r="I64" s="32"/>
    </row>
    <row r="65" spans="5:9" s="22" customFormat="1" x14ac:dyDescent="0.3">
      <c r="E65" s="32"/>
      <c r="F65" s="32"/>
      <c r="G65" s="32"/>
      <c r="H65" s="32"/>
      <c r="I65" s="32"/>
    </row>
    <row r="66" spans="5:9" s="22" customFormat="1" x14ac:dyDescent="0.3">
      <c r="E66" s="32"/>
      <c r="F66" s="32"/>
      <c r="G66" s="32"/>
      <c r="H66" s="32"/>
      <c r="I66" s="32"/>
    </row>
    <row r="67" spans="5:9" s="22" customFormat="1" x14ac:dyDescent="0.3">
      <c r="E67" s="32"/>
      <c r="F67" s="32"/>
      <c r="G67" s="32"/>
      <c r="H67" s="32"/>
      <c r="I67" s="32"/>
    </row>
    <row r="68" spans="5:9" s="22" customFormat="1" x14ac:dyDescent="0.3">
      <c r="E68" s="32"/>
      <c r="F68" s="32"/>
      <c r="G68" s="32"/>
      <c r="H68" s="32"/>
      <c r="I68" s="32"/>
    </row>
    <row r="69" spans="5:9" s="22" customFormat="1" x14ac:dyDescent="0.3">
      <c r="E69" s="32"/>
      <c r="F69" s="32"/>
      <c r="G69" s="32"/>
      <c r="H69" s="32"/>
      <c r="I69" s="32"/>
    </row>
    <row r="70" spans="5:9" s="22" customFormat="1" x14ac:dyDescent="0.3">
      <c r="E70" s="32"/>
      <c r="F70" s="32"/>
      <c r="G70" s="32"/>
      <c r="H70" s="32"/>
      <c r="I70" s="32"/>
    </row>
    <row r="71" spans="5:9" s="22" customFormat="1" x14ac:dyDescent="0.3">
      <c r="E71" s="32"/>
      <c r="F71" s="32"/>
      <c r="G71" s="32"/>
      <c r="H71" s="32"/>
      <c r="I71" s="32"/>
    </row>
    <row r="72" spans="5:9" s="22" customFormat="1" x14ac:dyDescent="0.3">
      <c r="E72" s="32"/>
      <c r="F72" s="32"/>
      <c r="G72" s="32"/>
      <c r="H72" s="32"/>
      <c r="I72" s="32"/>
    </row>
    <row r="73" spans="5:9" s="22" customFormat="1" x14ac:dyDescent="0.3">
      <c r="E73" s="32"/>
      <c r="F73" s="32"/>
      <c r="G73" s="32"/>
      <c r="H73" s="32"/>
      <c r="I73" s="32"/>
    </row>
    <row r="74" spans="5:9" s="22" customFormat="1" x14ac:dyDescent="0.3">
      <c r="E74" s="32"/>
      <c r="F74" s="32"/>
      <c r="G74" s="32"/>
      <c r="H74" s="32"/>
      <c r="I74" s="32"/>
    </row>
    <row r="75" spans="5:9" s="22" customFormat="1" x14ac:dyDescent="0.3">
      <c r="E75" s="32"/>
      <c r="F75" s="32"/>
      <c r="G75" s="32"/>
      <c r="H75" s="32"/>
      <c r="I75" s="32"/>
    </row>
    <row r="76" spans="5:9" s="22" customFormat="1" x14ac:dyDescent="0.3">
      <c r="E76" s="32"/>
      <c r="F76" s="32"/>
      <c r="G76" s="32"/>
      <c r="H76" s="32"/>
      <c r="I76" s="32"/>
    </row>
    <row r="77" spans="5:9" s="22" customFormat="1" x14ac:dyDescent="0.3">
      <c r="E77" s="32"/>
      <c r="F77" s="32"/>
      <c r="G77" s="32"/>
      <c r="H77" s="32"/>
      <c r="I77" s="32"/>
    </row>
    <row r="78" spans="5:9" s="22" customFormat="1" x14ac:dyDescent="0.3">
      <c r="E78" s="32"/>
      <c r="F78" s="32"/>
      <c r="G78" s="32"/>
      <c r="H78" s="32"/>
      <c r="I78" s="32"/>
    </row>
    <row r="79" spans="5:9" s="22" customFormat="1" x14ac:dyDescent="0.3">
      <c r="E79" s="32"/>
      <c r="F79" s="32"/>
      <c r="G79" s="32"/>
      <c r="H79" s="32"/>
      <c r="I79" s="32"/>
    </row>
    <row r="80" spans="5:9" s="22" customFormat="1" x14ac:dyDescent="0.3">
      <c r="E80" s="32"/>
      <c r="F80" s="32"/>
      <c r="G80" s="32"/>
      <c r="H80" s="32"/>
      <c r="I80" s="32"/>
    </row>
    <row r="81" spans="5:6" s="22" customFormat="1" x14ac:dyDescent="0.3"/>
    <row r="82" spans="5:6" s="22" customFormat="1" x14ac:dyDescent="0.3"/>
    <row r="83" spans="5:6" s="22" customFormat="1" x14ac:dyDescent="0.3"/>
    <row r="84" spans="5:6" s="22" customFormat="1" x14ac:dyDescent="0.3"/>
    <row r="85" spans="5:6" s="22" customFormat="1" x14ac:dyDescent="0.3">
      <c r="E85" s="32"/>
      <c r="F85" s="32"/>
    </row>
    <row r="86" spans="5:6" s="22" customFormat="1" x14ac:dyDescent="0.3">
      <c r="E86" s="32"/>
      <c r="F86" s="32"/>
    </row>
    <row r="87" spans="5:6" s="22" customFormat="1" x14ac:dyDescent="0.3">
      <c r="E87" s="32"/>
      <c r="F87" s="32"/>
    </row>
    <row r="88" spans="5:6" s="22" customFormat="1" x14ac:dyDescent="0.3">
      <c r="E88" s="32"/>
      <c r="F88" s="32"/>
    </row>
    <row r="89" spans="5:6" s="22" customFormat="1" x14ac:dyDescent="0.3">
      <c r="E89" s="32"/>
      <c r="F89" s="32"/>
    </row>
    <row r="90" spans="5:6" s="22" customFormat="1" x14ac:dyDescent="0.3">
      <c r="E90" s="32"/>
      <c r="F90" s="32"/>
    </row>
    <row r="91" spans="5:6" s="22" customFormat="1" x14ac:dyDescent="0.3">
      <c r="E91" s="32"/>
      <c r="F91" s="32"/>
    </row>
    <row r="92" spans="5:6" s="22" customFormat="1" x14ac:dyDescent="0.3">
      <c r="E92" s="32"/>
      <c r="F92" s="32"/>
    </row>
    <row r="93" spans="5:6" s="22" customFormat="1" x14ac:dyDescent="0.3">
      <c r="E93" s="32"/>
      <c r="F93" s="32"/>
    </row>
    <row r="94" spans="5:6" s="22" customFormat="1" x14ac:dyDescent="0.3"/>
    <row r="95" spans="5:6" s="22" customFormat="1" x14ac:dyDescent="0.3">
      <c r="E95" s="32"/>
      <c r="F95" s="32"/>
    </row>
    <row r="96" spans="5:6" s="22" customFormat="1" x14ac:dyDescent="0.3">
      <c r="E96" s="32"/>
      <c r="F96" s="32"/>
    </row>
    <row r="97" spans="5:6" s="22" customFormat="1" x14ac:dyDescent="0.3">
      <c r="E97" s="32"/>
      <c r="F97" s="32"/>
    </row>
    <row r="98" spans="5:6" s="22" customFormat="1" x14ac:dyDescent="0.3">
      <c r="E98" s="32"/>
      <c r="F98" s="32"/>
    </row>
    <row r="99" spans="5:6" s="22" customFormat="1" x14ac:dyDescent="0.3">
      <c r="E99" s="32"/>
      <c r="F99" s="32"/>
    </row>
    <row r="100" spans="5:6" s="22" customFormat="1" x14ac:dyDescent="0.3">
      <c r="E100" s="32"/>
      <c r="F100" s="32"/>
    </row>
    <row r="101" spans="5:6" s="22" customFormat="1" x14ac:dyDescent="0.3"/>
    <row r="102" spans="5:6" s="22" customFormat="1" x14ac:dyDescent="0.3">
      <c r="E102" s="32"/>
      <c r="F102" s="32"/>
    </row>
    <row r="103" spans="5:6" s="22" customFormat="1" x14ac:dyDescent="0.3"/>
    <row r="104" spans="5:6" s="22" customFormat="1" x14ac:dyDescent="0.3"/>
    <row r="105" spans="5:6" s="22" customFormat="1" x14ac:dyDescent="0.3"/>
    <row r="106" spans="5:6" s="22" customFormat="1" x14ac:dyDescent="0.3"/>
    <row r="107" spans="5:6" s="22" customFormat="1" x14ac:dyDescent="0.3">
      <c r="E107" s="32"/>
      <c r="F107" s="32"/>
    </row>
    <row r="108" spans="5:6" s="22" customFormat="1" x14ac:dyDescent="0.3">
      <c r="E108" s="32"/>
      <c r="F108" s="32"/>
    </row>
    <row r="109" spans="5:6" s="22" customFormat="1" x14ac:dyDescent="0.3">
      <c r="E109" s="32"/>
      <c r="F109" s="32"/>
    </row>
    <row r="110" spans="5:6" s="22" customFormat="1" x14ac:dyDescent="0.3">
      <c r="E110" s="32"/>
      <c r="F110" s="32"/>
    </row>
    <row r="111" spans="5:6" s="22" customFormat="1" x14ac:dyDescent="0.3">
      <c r="E111" s="32"/>
      <c r="F111" s="32"/>
    </row>
    <row r="112" spans="5:6" s="22" customFormat="1" x14ac:dyDescent="0.3">
      <c r="E112" s="32"/>
      <c r="F112" s="32"/>
    </row>
    <row r="113" spans="5:11" s="22" customFormat="1" x14ac:dyDescent="0.3"/>
    <row r="114" spans="5:11" s="22" customFormat="1" x14ac:dyDescent="0.3">
      <c r="E114" s="32"/>
      <c r="F114" s="32"/>
    </row>
    <row r="115" spans="5:11" s="22" customFormat="1" x14ac:dyDescent="0.3"/>
    <row r="116" spans="5:11" s="22" customFormat="1" x14ac:dyDescent="0.3"/>
    <row r="117" spans="5:11" s="22" customFormat="1" x14ac:dyDescent="0.3"/>
    <row r="118" spans="5:11" s="22" customFormat="1" x14ac:dyDescent="0.3"/>
    <row r="119" spans="5:11" s="22" customFormat="1" x14ac:dyDescent="0.3">
      <c r="E119" s="32"/>
      <c r="F119" s="32"/>
      <c r="J119" s="32"/>
      <c r="K119" s="32"/>
    </row>
    <row r="120" spans="5:11" s="22" customFormat="1" x14ac:dyDescent="0.3">
      <c r="E120" s="32"/>
      <c r="F120" s="32"/>
      <c r="J120" s="32"/>
      <c r="K120" s="32"/>
    </row>
    <row r="121" spans="5:11" s="22" customFormat="1" x14ac:dyDescent="0.3">
      <c r="E121" s="32"/>
      <c r="F121" s="32"/>
      <c r="J121" s="32"/>
      <c r="K121" s="32"/>
    </row>
    <row r="122" spans="5:11" s="22" customFormat="1" x14ac:dyDescent="0.3">
      <c r="E122" s="32"/>
      <c r="F122" s="32"/>
      <c r="J122" s="32"/>
      <c r="K122" s="32"/>
    </row>
    <row r="123" spans="5:11" s="22" customFormat="1" x14ac:dyDescent="0.3">
      <c r="E123" s="32"/>
      <c r="F123" s="32"/>
      <c r="J123" s="32"/>
      <c r="K123" s="32"/>
    </row>
    <row r="124" spans="5:11" s="22" customFormat="1" x14ac:dyDescent="0.3">
      <c r="E124" s="32"/>
      <c r="F124" s="32"/>
      <c r="J124" s="32"/>
      <c r="K124" s="32"/>
    </row>
    <row r="125" spans="5:11" s="22" customFormat="1" x14ac:dyDescent="0.3">
      <c r="E125" s="32"/>
      <c r="F125" s="32"/>
      <c r="J125" s="32"/>
      <c r="K125" s="32"/>
    </row>
    <row r="126" spans="5:11" s="22" customFormat="1" x14ac:dyDescent="0.3">
      <c r="E126" s="32"/>
      <c r="F126" s="32"/>
      <c r="J126" s="32"/>
      <c r="K126" s="32"/>
    </row>
    <row r="127" spans="5:11" s="22" customFormat="1" x14ac:dyDescent="0.3">
      <c r="E127" s="32"/>
      <c r="F127" s="32"/>
      <c r="J127" s="32"/>
      <c r="K127" s="32"/>
    </row>
    <row r="128" spans="5:11" s="22" customFormat="1" x14ac:dyDescent="0.3">
      <c r="E128" s="32"/>
      <c r="F128" s="32"/>
      <c r="J128" s="32"/>
      <c r="K128" s="32"/>
    </row>
    <row r="129" spans="5:11" s="22" customFormat="1" x14ac:dyDescent="0.3">
      <c r="E129" s="32"/>
      <c r="F129" s="32"/>
      <c r="J129" s="32"/>
      <c r="K129" s="32"/>
    </row>
    <row r="130" spans="5:11" s="22" customFormat="1" x14ac:dyDescent="0.3"/>
    <row r="131" spans="5:11" s="22" customFormat="1" x14ac:dyDescent="0.3"/>
    <row r="132" spans="5:11" s="22" customFormat="1" x14ac:dyDescent="0.3"/>
    <row r="133" spans="5:11" s="22" customFormat="1" x14ac:dyDescent="0.3"/>
    <row r="134" spans="5:11" s="22" customFormat="1" x14ac:dyDescent="0.3">
      <c r="E134" s="32"/>
      <c r="F134" s="32"/>
      <c r="J134" s="32"/>
      <c r="K134" s="32"/>
    </row>
    <row r="135" spans="5:11" s="22" customFormat="1" x14ac:dyDescent="0.3">
      <c r="E135" s="32"/>
      <c r="F135" s="32"/>
      <c r="J135" s="32"/>
      <c r="K135" s="32"/>
    </row>
    <row r="136" spans="5:11" s="22" customFormat="1" x14ac:dyDescent="0.3">
      <c r="E136" s="32"/>
      <c r="F136" s="32"/>
      <c r="J136" s="32"/>
      <c r="K136" s="32"/>
    </row>
    <row r="137" spans="5:11" s="22" customFormat="1" x14ac:dyDescent="0.3">
      <c r="E137" s="32"/>
      <c r="F137" s="32"/>
      <c r="J137" s="32"/>
      <c r="K137" s="32"/>
    </row>
    <row r="138" spans="5:11" s="22" customFormat="1" x14ac:dyDescent="0.3">
      <c r="E138" s="32"/>
      <c r="F138" s="32"/>
      <c r="J138" s="32"/>
      <c r="K138" s="32"/>
    </row>
    <row r="139" spans="5:11" s="22" customFormat="1" x14ac:dyDescent="0.3">
      <c r="E139" s="32"/>
      <c r="F139" s="32"/>
      <c r="J139" s="32"/>
      <c r="K139" s="32"/>
    </row>
    <row r="140" spans="5:11" s="22" customFormat="1" x14ac:dyDescent="0.3">
      <c r="E140" s="32"/>
      <c r="F140" s="32"/>
      <c r="J140" s="32"/>
      <c r="K140" s="32"/>
    </row>
    <row r="141" spans="5:11" s="22" customFormat="1" x14ac:dyDescent="0.3">
      <c r="E141" s="32"/>
      <c r="F141" s="32"/>
      <c r="J141" s="32"/>
      <c r="K141" s="32"/>
    </row>
    <row r="142" spans="5:11" s="22" customFormat="1" x14ac:dyDescent="0.3">
      <c r="E142" s="32"/>
      <c r="F142" s="32"/>
      <c r="J142" s="32"/>
      <c r="K142" s="32"/>
    </row>
    <row r="143" spans="5:11" s="22" customFormat="1" x14ac:dyDescent="0.3">
      <c r="E143" s="32"/>
      <c r="F143" s="32"/>
      <c r="J143" s="32"/>
      <c r="K143" s="32"/>
    </row>
    <row r="144" spans="5:11" s="22" customFormat="1" x14ac:dyDescent="0.3">
      <c r="E144" s="32"/>
      <c r="F144" s="32"/>
      <c r="J144" s="32"/>
      <c r="K144" s="32"/>
    </row>
    <row r="145" spans="4:11" s="22" customFormat="1" x14ac:dyDescent="0.3"/>
    <row r="146" spans="4:11" s="22" customFormat="1" x14ac:dyDescent="0.3">
      <c r="E146" s="32"/>
      <c r="F146" s="32"/>
      <c r="J146" s="32"/>
      <c r="K146" s="32"/>
    </row>
    <row r="147" spans="4:11" s="22" customFormat="1" x14ac:dyDescent="0.3">
      <c r="E147" s="32"/>
      <c r="F147" s="32"/>
      <c r="J147" s="32"/>
      <c r="K147" s="32"/>
    </row>
    <row r="148" spans="4:11" s="22" customFormat="1" x14ac:dyDescent="0.3"/>
    <row r="149" spans="4:11" s="22" customFormat="1" x14ac:dyDescent="0.3"/>
    <row r="150" spans="4:11" s="22" customFormat="1" x14ac:dyDescent="0.3"/>
    <row r="151" spans="4:11" s="22" customFormat="1" x14ac:dyDescent="0.3"/>
    <row r="152" spans="4:11" s="22" customFormat="1" x14ac:dyDescent="0.3">
      <c r="D152" s="32"/>
      <c r="E152" s="32"/>
      <c r="F152" s="32"/>
      <c r="G152" s="32"/>
    </row>
    <row r="153" spans="4:11" s="22" customFormat="1" x14ac:dyDescent="0.3">
      <c r="D153" s="32"/>
      <c r="E153" s="32"/>
      <c r="F153" s="32"/>
      <c r="G153" s="32"/>
    </row>
    <row r="154" spans="4:11" s="22" customFormat="1" x14ac:dyDescent="0.3"/>
    <row r="155" spans="4:11" s="22" customFormat="1" x14ac:dyDescent="0.3"/>
    <row r="156" spans="4:11" s="22" customFormat="1" x14ac:dyDescent="0.3"/>
    <row r="157" spans="4:11" s="22" customFormat="1" x14ac:dyDescent="0.3"/>
    <row r="158" spans="4:11" s="22" customFormat="1" x14ac:dyDescent="0.3">
      <c r="D158" s="32"/>
      <c r="E158" s="32"/>
      <c r="F158" s="32"/>
      <c r="G158" s="32"/>
    </row>
    <row r="159" spans="4:11" s="22" customFormat="1" x14ac:dyDescent="0.3">
      <c r="D159" s="32"/>
      <c r="E159" s="32"/>
      <c r="F159" s="32"/>
      <c r="G159" s="32"/>
    </row>
    <row r="160" spans="4:11" s="22" customFormat="1" x14ac:dyDescent="0.3"/>
    <row r="161" spans="4:7" s="22" customFormat="1" x14ac:dyDescent="0.3"/>
    <row r="162" spans="4:7" s="22" customFormat="1" x14ac:dyDescent="0.3"/>
    <row r="163" spans="4:7" s="22" customFormat="1" x14ac:dyDescent="0.3"/>
    <row r="164" spans="4:7" s="22" customFormat="1" x14ac:dyDescent="0.3">
      <c r="D164" s="32"/>
      <c r="E164" s="32"/>
      <c r="F164" s="32"/>
      <c r="G164" s="32"/>
    </row>
    <row r="165" spans="4:7" s="22" customFormat="1" x14ac:dyDescent="0.3">
      <c r="D165" s="32"/>
      <c r="E165" s="32"/>
      <c r="F165" s="32"/>
      <c r="G165" s="32"/>
    </row>
    <row r="166" spans="4:7" s="22" customFormat="1" x14ac:dyDescent="0.3"/>
    <row r="167" spans="4:7" s="22" customFormat="1" x14ac:dyDescent="0.3"/>
    <row r="168" spans="4:7" s="22" customFormat="1" x14ac:dyDescent="0.3"/>
    <row r="169" spans="4:7" s="22" customFormat="1" x14ac:dyDescent="0.3"/>
    <row r="170" spans="4:7" s="22" customFormat="1" x14ac:dyDescent="0.3">
      <c r="D170" s="32"/>
      <c r="E170" s="32"/>
      <c r="F170" s="32"/>
      <c r="G170" s="32"/>
    </row>
    <row r="171" spans="4:7" s="22" customFormat="1" x14ac:dyDescent="0.3">
      <c r="D171" s="32"/>
      <c r="E171" s="32"/>
      <c r="F171" s="32"/>
      <c r="G171" s="32"/>
    </row>
    <row r="172" spans="4:7" s="22" customFormat="1" x14ac:dyDescent="0.3"/>
    <row r="173" spans="4:7" s="22" customFormat="1" x14ac:dyDescent="0.3"/>
    <row r="174" spans="4:7" s="22" customFormat="1" x14ac:dyDescent="0.3"/>
    <row r="175" spans="4:7" s="22" customFormat="1" x14ac:dyDescent="0.3"/>
    <row r="176" spans="4:7" s="22" customFormat="1" x14ac:dyDescent="0.3"/>
    <row r="177" spans="2:2" s="22" customFormat="1" x14ac:dyDescent="0.3"/>
    <row r="178" spans="2:2" s="22" customFormat="1" x14ac:dyDescent="0.3"/>
    <row r="179" spans="2:2" s="22" customFormat="1" x14ac:dyDescent="0.3"/>
    <row r="180" spans="2:2" s="22" customFormat="1" x14ac:dyDescent="0.3"/>
    <row r="181" spans="2:2" s="22" customFormat="1" x14ac:dyDescent="0.3"/>
    <row r="182" spans="2:2" s="22" customFormat="1" x14ac:dyDescent="0.3"/>
    <row r="183" spans="2:2" s="22" customFormat="1" x14ac:dyDescent="0.3"/>
    <row r="185" spans="2:2" x14ac:dyDescent="0.3">
      <c r="B185" s="5"/>
    </row>
    <row r="186" spans="2:2" x14ac:dyDescent="0.3">
      <c r="B186" s="5"/>
    </row>
    <row r="191" spans="2:2" x14ac:dyDescent="0.3">
      <c r="B191" s="5"/>
    </row>
    <row r="192" spans="2:2" x14ac:dyDescent="0.3">
      <c r="B192" s="5"/>
    </row>
    <row r="197" spans="2:3" x14ac:dyDescent="0.3">
      <c r="B197" s="5"/>
    </row>
    <row r="198" spans="2:3" x14ac:dyDescent="0.3">
      <c r="B198" s="5"/>
    </row>
    <row r="203" spans="2:3" x14ac:dyDescent="0.3">
      <c r="B203" s="5"/>
    </row>
    <row r="204" spans="2:3" x14ac:dyDescent="0.3">
      <c r="B204" s="5"/>
    </row>
    <row r="205" spans="2:3" x14ac:dyDescent="0.3">
      <c r="B205" s="8"/>
      <c r="C205" s="6"/>
    </row>
    <row r="217" spans="2:4" x14ac:dyDescent="0.3">
      <c r="B217" s="5"/>
    </row>
    <row r="218" spans="2:4" x14ac:dyDescent="0.3">
      <c r="B218" s="5"/>
    </row>
    <row r="219" spans="2:4" ht="37.5" customHeight="1" x14ac:dyDescent="0.3">
      <c r="B219" s="8"/>
      <c r="C219" s="8"/>
      <c r="D219" s="8"/>
    </row>
    <row r="220" spans="2:4" x14ac:dyDescent="0.3">
      <c r="D220" s="8"/>
    </row>
    <row r="221" spans="2:4" x14ac:dyDescent="0.3">
      <c r="D221" s="8"/>
    </row>
    <row r="222" spans="2:4" x14ac:dyDescent="0.3">
      <c r="D222" s="8"/>
    </row>
    <row r="223" spans="2:4" x14ac:dyDescent="0.3">
      <c r="D223" s="8"/>
    </row>
    <row r="224" spans="2:4" x14ac:dyDescent="0.3">
      <c r="D224" s="8"/>
    </row>
    <row r="225" spans="2:4" x14ac:dyDescent="0.3">
      <c r="D225" s="8"/>
    </row>
    <row r="226" spans="2:4" x14ac:dyDescent="0.3">
      <c r="D226" s="8"/>
    </row>
    <row r="227" spans="2:4" x14ac:dyDescent="0.3">
      <c r="D227" s="8"/>
    </row>
    <row r="228" spans="2:4" x14ac:dyDescent="0.3">
      <c r="D228" s="8"/>
    </row>
    <row r="229" spans="2:4" x14ac:dyDescent="0.3">
      <c r="D229" s="8"/>
    </row>
    <row r="230" spans="2:4" x14ac:dyDescent="0.3">
      <c r="D230" s="8"/>
    </row>
    <row r="232" spans="2:4" x14ac:dyDescent="0.3">
      <c r="B232" s="5"/>
    </row>
    <row r="233" spans="2:4" x14ac:dyDescent="0.3">
      <c r="B233" s="5"/>
    </row>
    <row r="234" spans="2:4" ht="55.5" customHeight="1" x14ac:dyDescent="0.3">
      <c r="B234" s="8"/>
      <c r="C234" s="8"/>
      <c r="D234" s="9"/>
    </row>
    <row r="235" spans="2:4" x14ac:dyDescent="0.3">
      <c r="D235" s="8"/>
    </row>
    <row r="236" spans="2:4" x14ac:dyDescent="0.3">
      <c r="D236" s="8"/>
    </row>
    <row r="237" spans="2:4" x14ac:dyDescent="0.3">
      <c r="D237" s="8"/>
    </row>
    <row r="238" spans="2:4" x14ac:dyDescent="0.3">
      <c r="D238" s="8"/>
    </row>
    <row r="239" spans="2:4" x14ac:dyDescent="0.3">
      <c r="D239" s="8"/>
    </row>
    <row r="240" spans="2:4" x14ac:dyDescent="0.3">
      <c r="C240" s="6"/>
      <c r="D240" s="8"/>
    </row>
    <row r="241" spans="2:4" x14ac:dyDescent="0.3">
      <c r="C241" s="6"/>
      <c r="D241" s="8"/>
    </row>
    <row r="242" spans="2:4" x14ac:dyDescent="0.3">
      <c r="C242" s="6"/>
      <c r="D242" s="8"/>
    </row>
    <row r="243" spans="2:4" x14ac:dyDescent="0.3">
      <c r="C243" s="6"/>
      <c r="D243" s="8"/>
    </row>
    <row r="244" spans="2:4" x14ac:dyDescent="0.3">
      <c r="C244" s="6"/>
      <c r="D244" s="8"/>
    </row>
    <row r="245" spans="2:4" x14ac:dyDescent="0.3">
      <c r="C245" s="6"/>
      <c r="D245" s="8"/>
    </row>
    <row r="247" spans="2:4" x14ac:dyDescent="0.3">
      <c r="B247" s="5"/>
    </row>
    <row r="248" spans="2:4" x14ac:dyDescent="0.3">
      <c r="B248" s="5"/>
    </row>
    <row r="249" spans="2:4" x14ac:dyDescent="0.3">
      <c r="B249" s="8"/>
      <c r="C249" s="8"/>
    </row>
    <row r="250" spans="2:4" x14ac:dyDescent="0.3">
      <c r="B250" s="7"/>
    </row>
    <row r="251" spans="2:4" x14ac:dyDescent="0.3">
      <c r="B251" s="7"/>
    </row>
    <row r="252" spans="2:4" x14ac:dyDescent="0.3">
      <c r="B252" s="7"/>
    </row>
    <row r="253" spans="2:4" x14ac:dyDescent="0.3">
      <c r="B253" s="7"/>
    </row>
    <row r="254" spans="2:4" x14ac:dyDescent="0.3">
      <c r="B254" s="7"/>
    </row>
    <row r="255" spans="2:4" x14ac:dyDescent="0.3">
      <c r="B255" s="7"/>
    </row>
    <row r="256" spans="2:4" x14ac:dyDescent="0.3">
      <c r="B256" s="7"/>
    </row>
    <row r="257" spans="2:12" x14ac:dyDescent="0.3">
      <c r="B257" s="7"/>
    </row>
    <row r="258" spans="2:12" x14ac:dyDescent="0.3">
      <c r="B258" s="7"/>
    </row>
    <row r="260" spans="2:12" x14ac:dyDescent="0.3">
      <c r="B260" s="5"/>
    </row>
    <row r="261" spans="2:12" x14ac:dyDescent="0.3">
      <c r="B261" s="5"/>
    </row>
    <row r="262" spans="2:12" x14ac:dyDescent="0.3">
      <c r="B262" s="10"/>
      <c r="C262" s="10"/>
      <c r="D262" s="10"/>
      <c r="E262" s="10"/>
      <c r="F262" s="10"/>
      <c r="G262" s="10"/>
      <c r="H262" s="10"/>
      <c r="I262" s="10"/>
      <c r="J262" s="10"/>
      <c r="K262" s="10"/>
      <c r="L262" s="10"/>
    </row>
    <row r="263" spans="2:12" x14ac:dyDescent="0.3">
      <c r="B263" s="10"/>
      <c r="C263" s="10"/>
      <c r="D263" s="11"/>
      <c r="E263" s="11"/>
      <c r="F263" s="11"/>
      <c r="G263" s="11"/>
      <c r="H263" s="11"/>
      <c r="I263" s="11"/>
      <c r="J263" s="11"/>
      <c r="K263" s="11"/>
      <c r="L263" s="11"/>
    </row>
    <row r="264" spans="2:12" x14ac:dyDescent="0.3">
      <c r="D264" s="6"/>
      <c r="E264" s="6"/>
      <c r="F264" s="6"/>
      <c r="G264" s="6"/>
      <c r="H264" s="6"/>
      <c r="I264" s="6"/>
      <c r="J264" s="6"/>
      <c r="K264" s="6"/>
      <c r="L264" s="6"/>
    </row>
    <row r="265" spans="2:12" x14ac:dyDescent="0.3">
      <c r="D265" s="6"/>
      <c r="E265" s="6"/>
      <c r="F265" s="6"/>
      <c r="G265" s="6"/>
      <c r="H265" s="6"/>
      <c r="I265" s="6"/>
      <c r="J265" s="6"/>
      <c r="K265" s="6"/>
      <c r="L265" s="6"/>
    </row>
    <row r="266" spans="2:12" x14ac:dyDescent="0.3">
      <c r="D266" s="6"/>
      <c r="E266" s="6"/>
      <c r="F266" s="6"/>
      <c r="G266" s="6"/>
      <c r="H266" s="6"/>
      <c r="I266" s="6"/>
      <c r="J266" s="6"/>
      <c r="K266" s="6"/>
      <c r="L266" s="6"/>
    </row>
    <row r="267" spans="2:12" x14ac:dyDescent="0.3">
      <c r="D267" s="6"/>
      <c r="E267" s="6"/>
      <c r="F267" s="6"/>
      <c r="G267" s="6"/>
      <c r="H267" s="6"/>
      <c r="I267" s="6"/>
      <c r="J267" s="6"/>
      <c r="K267" s="6"/>
      <c r="L267" s="6"/>
    </row>
    <row r="268" spans="2:12" x14ac:dyDescent="0.3">
      <c r="D268" s="6"/>
      <c r="E268" s="6"/>
      <c r="F268" s="6"/>
      <c r="G268" s="6"/>
      <c r="H268" s="6"/>
      <c r="I268" s="6"/>
      <c r="J268" s="6"/>
      <c r="K268" s="6"/>
      <c r="L268" s="6"/>
    </row>
    <row r="269" spans="2:12" x14ac:dyDescent="0.3">
      <c r="D269" s="6"/>
      <c r="E269" s="6"/>
      <c r="F269" s="6"/>
      <c r="G269" s="6"/>
      <c r="H269" s="6"/>
      <c r="I269" s="6"/>
      <c r="J269" s="6"/>
      <c r="K269" s="6"/>
      <c r="L269" s="6"/>
    </row>
    <row r="270" spans="2:12" x14ac:dyDescent="0.3">
      <c r="D270" s="6"/>
      <c r="E270" s="6"/>
      <c r="F270" s="6"/>
      <c r="G270" s="6"/>
      <c r="H270" s="6"/>
      <c r="I270" s="6"/>
      <c r="J270" s="6"/>
      <c r="K270" s="6"/>
      <c r="L270" s="6"/>
    </row>
    <row r="272" spans="2:12" x14ac:dyDescent="0.3">
      <c r="B272" s="5"/>
    </row>
    <row r="273" spans="2:10" x14ac:dyDescent="0.3">
      <c r="B273" s="5"/>
    </row>
    <row r="274" spans="2:10" x14ac:dyDescent="0.3">
      <c r="B274" s="8"/>
      <c r="C274" s="8"/>
      <c r="D274" s="8"/>
      <c r="E274" s="8"/>
      <c r="F274" s="8"/>
      <c r="G274" s="8"/>
      <c r="H274" s="8"/>
      <c r="I274" s="8"/>
      <c r="J274" s="8"/>
    </row>
    <row r="275" spans="2:10" x14ac:dyDescent="0.3">
      <c r="B275" s="7"/>
      <c r="C275" s="6"/>
      <c r="D275" s="6"/>
      <c r="E275" s="6"/>
      <c r="F275" s="6"/>
      <c r="G275" s="6"/>
      <c r="H275" s="6"/>
      <c r="I275" s="6"/>
      <c r="J275" s="6"/>
    </row>
    <row r="276" spans="2:10" x14ac:dyDescent="0.3">
      <c r="B276" s="7"/>
      <c r="C276" s="6"/>
      <c r="D276" s="6"/>
      <c r="E276" s="6"/>
      <c r="F276" s="6"/>
      <c r="G276" s="6"/>
      <c r="H276" s="6"/>
      <c r="I276" s="6"/>
      <c r="J276" s="6"/>
    </row>
    <row r="277" spans="2:10" x14ac:dyDescent="0.3">
      <c r="B277" s="7"/>
      <c r="C277" s="6"/>
      <c r="D277" s="6"/>
      <c r="E277" s="6"/>
      <c r="F277" s="6"/>
      <c r="G277" s="6"/>
      <c r="H277" s="6"/>
      <c r="I277" s="6"/>
      <c r="J277" s="6"/>
    </row>
    <row r="278" spans="2:10" x14ac:dyDescent="0.3">
      <c r="B278" s="7"/>
      <c r="C278" s="6"/>
      <c r="D278" s="6"/>
      <c r="E278" s="6"/>
      <c r="F278" s="6"/>
      <c r="G278" s="6"/>
      <c r="H278" s="6"/>
      <c r="I278" s="6"/>
      <c r="J278" s="6"/>
    </row>
    <row r="279" spans="2:10" x14ac:dyDescent="0.3">
      <c r="B279" s="7"/>
      <c r="C279" s="6"/>
      <c r="D279" s="6"/>
      <c r="E279" s="6"/>
      <c r="F279" s="6"/>
      <c r="G279" s="6"/>
      <c r="H279" s="6"/>
      <c r="I279" s="6"/>
      <c r="J279" s="6"/>
    </row>
    <row r="280" spans="2:10" x14ac:dyDescent="0.3">
      <c r="B280" s="7"/>
      <c r="C280" s="6"/>
      <c r="D280" s="6"/>
      <c r="E280" s="6"/>
      <c r="F280" s="6"/>
      <c r="G280" s="6"/>
      <c r="H280" s="6"/>
      <c r="I280" s="6"/>
      <c r="J280" s="6"/>
    </row>
    <row r="281" spans="2:10" x14ac:dyDescent="0.3">
      <c r="B281" s="7"/>
      <c r="C281" s="6"/>
      <c r="D281" s="6"/>
      <c r="E281" s="6"/>
      <c r="F281" s="6"/>
      <c r="G281" s="6"/>
      <c r="H281" s="6"/>
      <c r="I281" s="6"/>
      <c r="J281" s="6"/>
    </row>
    <row r="282" spans="2:10" x14ac:dyDescent="0.3">
      <c r="B282" s="7"/>
      <c r="C282" s="6"/>
      <c r="D282" s="6"/>
      <c r="E282" s="6"/>
      <c r="F282" s="6"/>
      <c r="G282" s="6"/>
      <c r="H282" s="6"/>
      <c r="I282" s="6"/>
      <c r="J282" s="6"/>
    </row>
    <row r="283" spans="2:10" x14ac:dyDescent="0.3">
      <c r="B283" s="7"/>
      <c r="C283" s="6"/>
      <c r="D283" s="6"/>
      <c r="E283" s="6"/>
      <c r="F283" s="6"/>
      <c r="G283" s="6"/>
      <c r="H283" s="6"/>
      <c r="I283" s="6"/>
      <c r="J283" s="6"/>
    </row>
    <row r="284" spans="2:10" x14ac:dyDescent="0.3">
      <c r="B284" s="15"/>
      <c r="C284" s="12"/>
      <c r="D284" s="12"/>
      <c r="E284" s="12"/>
      <c r="F284" s="12"/>
      <c r="G284" s="12"/>
      <c r="H284" s="12"/>
      <c r="I284" s="12"/>
      <c r="J284" s="12"/>
    </row>
    <row r="285" spans="2:10" x14ac:dyDescent="0.3">
      <c r="B285" s="7"/>
      <c r="C285" s="6"/>
      <c r="D285" s="6"/>
      <c r="E285" s="6"/>
      <c r="F285" s="6"/>
      <c r="G285" s="6"/>
      <c r="H285" s="6"/>
      <c r="I285" s="6"/>
      <c r="J285" s="6"/>
    </row>
    <row r="287" spans="2:10" x14ac:dyDescent="0.3">
      <c r="B287" s="2"/>
      <c r="C287" s="2"/>
    </row>
    <row r="289" spans="2:7" x14ac:dyDescent="0.3">
      <c r="B289" s="5"/>
    </row>
    <row r="290" spans="2:7" x14ac:dyDescent="0.3">
      <c r="B290" s="5"/>
    </row>
    <row r="291" spans="2:7" ht="39.75" customHeight="1" x14ac:dyDescent="0.3">
      <c r="B291" s="8"/>
      <c r="C291" s="8"/>
      <c r="D291" s="8"/>
    </row>
    <row r="292" spans="2:7" x14ac:dyDescent="0.3">
      <c r="B292" s="6"/>
      <c r="C292" s="6"/>
      <c r="D292" s="6"/>
    </row>
    <row r="293" spans="2:7" x14ac:dyDescent="0.3">
      <c r="B293" s="6"/>
      <c r="C293" s="6"/>
      <c r="D293" s="6"/>
    </row>
    <row r="294" spans="2:7" x14ac:dyDescent="0.3">
      <c r="B294" s="6"/>
      <c r="C294" s="6"/>
      <c r="D294" s="6"/>
    </row>
    <row r="296" spans="2:7" x14ac:dyDescent="0.3">
      <c r="B296" s="2"/>
      <c r="C296" s="2"/>
    </row>
    <row r="298" spans="2:7" x14ac:dyDescent="0.3">
      <c r="B298" s="5"/>
    </row>
    <row r="299" spans="2:7" x14ac:dyDescent="0.3">
      <c r="B299" s="5"/>
    </row>
    <row r="300" spans="2:7" x14ac:dyDescent="0.3">
      <c r="B300" s="10"/>
      <c r="C300" s="10"/>
      <c r="D300" s="10"/>
      <c r="E300" s="10"/>
      <c r="F300" s="10"/>
      <c r="G300" s="10"/>
    </row>
    <row r="301" spans="2:7" x14ac:dyDescent="0.3">
      <c r="B301" s="10"/>
      <c r="C301" s="10"/>
      <c r="D301" s="10"/>
      <c r="E301" s="10"/>
      <c r="F301" s="10"/>
      <c r="G301" s="10"/>
    </row>
    <row r="302" spans="2:7" x14ac:dyDescent="0.3">
      <c r="B302" s="6"/>
      <c r="C302" s="6"/>
      <c r="D302" s="6"/>
      <c r="E302" s="6"/>
      <c r="F302" s="6"/>
      <c r="G302" s="6"/>
    </row>
    <row r="303" spans="2:7" x14ac:dyDescent="0.3">
      <c r="B303" s="6"/>
      <c r="C303" s="6"/>
      <c r="D303" s="6"/>
      <c r="E303" s="6"/>
      <c r="F303" s="6"/>
      <c r="G303" s="6"/>
    </row>
    <row r="304" spans="2:7" x14ac:dyDescent="0.3">
      <c r="B304" s="6"/>
      <c r="C304" s="6"/>
      <c r="D304" s="6"/>
      <c r="E304" s="6"/>
      <c r="F304" s="6"/>
      <c r="G304" s="6"/>
    </row>
    <row r="305" spans="2:7" x14ac:dyDescent="0.3">
      <c r="B305" s="6"/>
      <c r="C305" s="6"/>
      <c r="D305" s="6"/>
      <c r="E305" s="6"/>
      <c r="F305" s="6"/>
      <c r="G305" s="6"/>
    </row>
    <row r="306" spans="2:7" x14ac:dyDescent="0.3">
      <c r="B306" s="6"/>
      <c r="C306" s="6"/>
      <c r="D306" s="6"/>
      <c r="E306" s="6"/>
      <c r="F306" s="6"/>
      <c r="G306" s="6"/>
    </row>
    <row r="307" spans="2:7" x14ac:dyDescent="0.3">
      <c r="B307" s="6"/>
      <c r="C307" s="6"/>
      <c r="D307" s="6"/>
      <c r="E307" s="6"/>
      <c r="F307" s="6"/>
      <c r="G307" s="6"/>
    </row>
    <row r="308" spans="2:7" x14ac:dyDescent="0.3">
      <c r="B308" s="6"/>
      <c r="C308" s="6"/>
      <c r="D308" s="6"/>
      <c r="E308" s="6"/>
      <c r="F308" s="6"/>
      <c r="G308" s="6"/>
    </row>
    <row r="309" spans="2:7" x14ac:dyDescent="0.3">
      <c r="B309" s="6"/>
      <c r="C309" s="6"/>
      <c r="D309" s="6"/>
      <c r="E309" s="6"/>
      <c r="F309" s="6"/>
      <c r="G309" s="6"/>
    </row>
    <row r="310" spans="2:7" x14ac:dyDescent="0.3">
      <c r="B310" s="6"/>
      <c r="C310" s="6"/>
      <c r="D310" s="6"/>
      <c r="E310" s="6"/>
      <c r="F310" s="6"/>
      <c r="G310" s="6"/>
    </row>
    <row r="311" spans="2:7" x14ac:dyDescent="0.3">
      <c r="B311" s="6"/>
      <c r="C311" s="6"/>
      <c r="D311" s="6"/>
      <c r="E311" s="6"/>
      <c r="F311" s="6"/>
      <c r="G311" s="6"/>
    </row>
    <row r="312" spans="2:7" x14ac:dyDescent="0.3">
      <c r="B312" s="6"/>
      <c r="C312" s="6"/>
      <c r="D312" s="6"/>
      <c r="E312" s="6"/>
      <c r="F312" s="6"/>
      <c r="G312" s="6"/>
    </row>
    <row r="313" spans="2:7" x14ac:dyDescent="0.3">
      <c r="B313" s="6"/>
      <c r="C313" s="6"/>
      <c r="D313" s="6"/>
      <c r="E313" s="6"/>
      <c r="F313" s="6"/>
      <c r="G313" s="6"/>
    </row>
    <row r="314" spans="2:7" x14ac:dyDescent="0.3">
      <c r="B314" s="6"/>
      <c r="C314" s="6"/>
      <c r="D314" s="6"/>
      <c r="E314" s="6"/>
      <c r="F314" s="6"/>
      <c r="G314" s="6"/>
    </row>
    <row r="315" spans="2:7" x14ac:dyDescent="0.3">
      <c r="B315" s="6"/>
      <c r="C315" s="6"/>
      <c r="D315" s="6"/>
      <c r="E315" s="6"/>
      <c r="F315" s="6"/>
      <c r="G315" s="6"/>
    </row>
    <row r="316" spans="2:7" x14ac:dyDescent="0.3">
      <c r="B316" s="6"/>
      <c r="C316" s="6"/>
      <c r="D316" s="6"/>
      <c r="E316" s="6"/>
      <c r="F316" s="6"/>
      <c r="G316" s="6"/>
    </row>
    <row r="317" spans="2:7" x14ac:dyDescent="0.3">
      <c r="B317" s="6"/>
      <c r="C317" s="6"/>
      <c r="D317" s="6"/>
      <c r="E317" s="6"/>
      <c r="F317" s="6"/>
      <c r="G317" s="6"/>
    </row>
    <row r="318" spans="2:7" x14ac:dyDescent="0.3">
      <c r="B318" s="6"/>
      <c r="C318" s="6"/>
      <c r="D318" s="6"/>
      <c r="E318" s="6"/>
      <c r="F318" s="6"/>
      <c r="G318" s="6"/>
    </row>
    <row r="319" spans="2:7" x14ac:dyDescent="0.3">
      <c r="B319" s="6"/>
      <c r="C319" s="6"/>
      <c r="D319" s="6"/>
      <c r="E319" s="6"/>
      <c r="F319" s="6"/>
      <c r="G319" s="6"/>
    </row>
    <row r="320" spans="2:7" x14ac:dyDescent="0.3">
      <c r="B320" s="6"/>
      <c r="C320" s="6"/>
      <c r="D320" s="6"/>
      <c r="E320" s="6"/>
      <c r="F320" s="6"/>
      <c r="G320" s="6"/>
    </row>
    <row r="321" spans="2:7" x14ac:dyDescent="0.3">
      <c r="B321" s="6"/>
      <c r="C321" s="6"/>
      <c r="D321" s="6"/>
      <c r="E321" s="6"/>
      <c r="F321" s="6"/>
      <c r="G321" s="6"/>
    </row>
    <row r="322" spans="2:7" x14ac:dyDescent="0.3">
      <c r="B322" s="6"/>
      <c r="C322" s="6"/>
      <c r="D322" s="6"/>
      <c r="E322" s="6"/>
      <c r="F322" s="6"/>
      <c r="G322" s="6"/>
    </row>
    <row r="323" spans="2:7" x14ac:dyDescent="0.3">
      <c r="B323" s="6"/>
      <c r="C323" s="6"/>
      <c r="D323" s="6"/>
      <c r="E323" s="6"/>
      <c r="F323" s="6"/>
      <c r="G323" s="6"/>
    </row>
    <row r="324" spans="2:7" x14ac:dyDescent="0.3">
      <c r="B324" s="6"/>
      <c r="C324" s="6"/>
      <c r="D324" s="6"/>
      <c r="E324" s="6"/>
      <c r="F324" s="6"/>
      <c r="G324" s="6"/>
    </row>
    <row r="325" spans="2:7" x14ac:dyDescent="0.3">
      <c r="B325" s="6"/>
      <c r="C325" s="6"/>
      <c r="D325" s="6"/>
      <c r="E325" s="6"/>
      <c r="F325" s="6"/>
      <c r="G325" s="6"/>
    </row>
    <row r="326" spans="2:7" x14ac:dyDescent="0.3">
      <c r="B326" s="6"/>
      <c r="C326" s="6"/>
      <c r="D326" s="6"/>
      <c r="E326" s="6"/>
      <c r="F326" s="6"/>
      <c r="G326" s="6"/>
    </row>
    <row r="327" spans="2:7" x14ac:dyDescent="0.3">
      <c r="B327" s="6"/>
      <c r="C327" s="6"/>
      <c r="D327" s="6"/>
      <c r="E327" s="6"/>
      <c r="F327" s="6"/>
      <c r="G327" s="6"/>
    </row>
    <row r="328" spans="2:7" x14ac:dyDescent="0.3">
      <c r="B328" s="6"/>
      <c r="C328" s="6"/>
      <c r="D328" s="6"/>
      <c r="E328" s="6"/>
      <c r="F328" s="6"/>
      <c r="G328" s="6"/>
    </row>
    <row r="329" spans="2:7" x14ac:dyDescent="0.3">
      <c r="B329" s="6"/>
      <c r="C329" s="6"/>
      <c r="D329" s="6"/>
      <c r="E329" s="6"/>
      <c r="F329" s="6"/>
      <c r="G329" s="6"/>
    </row>
    <row r="330" spans="2:7" x14ac:dyDescent="0.3">
      <c r="B330" s="6"/>
      <c r="C330" s="6"/>
      <c r="D330" s="6"/>
      <c r="E330" s="6"/>
      <c r="F330" s="6"/>
      <c r="G330" s="6"/>
    </row>
    <row r="331" spans="2:7" x14ac:dyDescent="0.3">
      <c r="B331" s="6"/>
      <c r="C331" s="6"/>
      <c r="D331" s="6"/>
      <c r="E331" s="6"/>
      <c r="F331" s="6"/>
      <c r="G331" s="6"/>
    </row>
    <row r="332" spans="2:7" x14ac:dyDescent="0.3">
      <c r="B332" s="6"/>
      <c r="C332" s="6"/>
      <c r="D332" s="6"/>
      <c r="E332" s="6"/>
      <c r="F332" s="6"/>
      <c r="G332" s="6"/>
    </row>
    <row r="333" spans="2:7" x14ac:dyDescent="0.3">
      <c r="B333" s="6"/>
      <c r="C333" s="6"/>
      <c r="D333" s="6"/>
      <c r="E333" s="6"/>
      <c r="F333" s="6"/>
      <c r="G333" s="6"/>
    </row>
    <row r="334" spans="2:7" x14ac:dyDescent="0.3">
      <c r="B334" s="6"/>
      <c r="C334" s="6"/>
      <c r="D334" s="6"/>
      <c r="E334" s="6"/>
      <c r="F334" s="6"/>
      <c r="G334" s="6"/>
    </row>
    <row r="335" spans="2:7" x14ac:dyDescent="0.3">
      <c r="B335" s="6"/>
      <c r="C335" s="6"/>
      <c r="D335" s="6"/>
      <c r="E335" s="6"/>
      <c r="F335" s="6"/>
      <c r="G335" s="6"/>
    </row>
    <row r="336" spans="2:7" x14ac:dyDescent="0.3">
      <c r="B336" s="6"/>
      <c r="C336" s="6"/>
      <c r="D336" s="6"/>
      <c r="E336" s="6"/>
      <c r="F336" s="6"/>
      <c r="G336" s="6"/>
    </row>
    <row r="337" spans="2:7" x14ac:dyDescent="0.3">
      <c r="B337" s="6"/>
      <c r="C337" s="6"/>
      <c r="D337" s="6"/>
      <c r="E337" s="6"/>
      <c r="F337" s="6"/>
      <c r="G337" s="6"/>
    </row>
    <row r="338" spans="2:7" x14ac:dyDescent="0.3">
      <c r="B338" s="6"/>
      <c r="C338" s="6"/>
      <c r="D338" s="6"/>
      <c r="E338" s="6"/>
      <c r="F338" s="6"/>
      <c r="G338" s="6"/>
    </row>
    <row r="339" spans="2:7" x14ac:dyDescent="0.3">
      <c r="B339" s="6"/>
      <c r="C339" s="6"/>
      <c r="D339" s="6"/>
      <c r="E339" s="6"/>
      <c r="F339" s="6"/>
      <c r="G339" s="6"/>
    </row>
    <row r="340" spans="2:7" x14ac:dyDescent="0.3">
      <c r="B340" s="6"/>
      <c r="C340" s="6"/>
      <c r="D340" s="6"/>
      <c r="E340" s="6"/>
      <c r="F340" s="6"/>
      <c r="G340" s="6"/>
    </row>
    <row r="341" spans="2:7" x14ac:dyDescent="0.3">
      <c r="B341" s="6"/>
      <c r="C341" s="6"/>
      <c r="D341" s="6"/>
      <c r="E341" s="6"/>
      <c r="F341" s="6"/>
      <c r="G341" s="6"/>
    </row>
    <row r="342" spans="2:7" x14ac:dyDescent="0.3">
      <c r="B342" s="6"/>
      <c r="C342" s="6"/>
      <c r="D342" s="6"/>
      <c r="E342" s="6"/>
      <c r="F342" s="6"/>
      <c r="G342" s="6"/>
    </row>
    <row r="343" spans="2:7" x14ac:dyDescent="0.3">
      <c r="B343" s="6"/>
      <c r="C343" s="6"/>
      <c r="D343" s="6"/>
      <c r="E343" s="6"/>
      <c r="F343" s="6"/>
      <c r="G343" s="6"/>
    </row>
    <row r="344" spans="2:7" x14ac:dyDescent="0.3">
      <c r="B344" s="6"/>
      <c r="C344" s="6"/>
      <c r="D344" s="6"/>
      <c r="E344" s="6"/>
      <c r="F344" s="6"/>
      <c r="G344" s="6"/>
    </row>
    <row r="345" spans="2:7" x14ac:dyDescent="0.3">
      <c r="B345" s="6"/>
      <c r="C345" s="6"/>
      <c r="D345" s="6"/>
      <c r="E345" s="6"/>
      <c r="F345" s="6"/>
      <c r="G345" s="6"/>
    </row>
    <row r="346" spans="2:7" x14ac:dyDescent="0.3">
      <c r="B346" s="6"/>
      <c r="C346" s="6"/>
      <c r="D346" s="6"/>
      <c r="E346" s="6"/>
      <c r="F346" s="6"/>
      <c r="G346" s="6"/>
    </row>
    <row r="348" spans="2:7" x14ac:dyDescent="0.3">
      <c r="B348" s="5"/>
    </row>
    <row r="349" spans="2:7" x14ac:dyDescent="0.3">
      <c r="B349" s="5"/>
    </row>
    <row r="350" spans="2:7" x14ac:dyDescent="0.3">
      <c r="B350" s="10"/>
      <c r="C350" s="10"/>
      <c r="D350" s="10"/>
      <c r="E350" s="10"/>
      <c r="F350" s="10"/>
      <c r="G350" s="10"/>
    </row>
    <row r="351" spans="2:7" x14ac:dyDescent="0.3">
      <c r="B351" s="10"/>
      <c r="C351" s="10"/>
      <c r="D351" s="10"/>
      <c r="E351" s="10"/>
      <c r="F351" s="10"/>
      <c r="G351" s="10"/>
    </row>
    <row r="352" spans="2:7" x14ac:dyDescent="0.3">
      <c r="B352" s="6"/>
      <c r="C352" s="6"/>
      <c r="D352" s="6"/>
      <c r="E352" s="6"/>
      <c r="F352" s="6"/>
      <c r="G352" s="6"/>
    </row>
    <row r="353" spans="2:7" x14ac:dyDescent="0.3">
      <c r="B353" s="6"/>
      <c r="C353" s="6"/>
      <c r="D353" s="6"/>
      <c r="E353" s="6"/>
      <c r="F353" s="6"/>
      <c r="G353" s="6"/>
    </row>
    <row r="354" spans="2:7" x14ac:dyDescent="0.3">
      <c r="B354" s="6"/>
      <c r="C354" s="6"/>
      <c r="D354" s="6"/>
      <c r="E354" s="6"/>
      <c r="F354" s="6"/>
      <c r="G354" s="6"/>
    </row>
    <row r="355" spans="2:7" x14ac:dyDescent="0.3">
      <c r="B355" s="6"/>
      <c r="C355" s="6"/>
      <c r="D355" s="6"/>
      <c r="E355" s="6"/>
      <c r="F355" s="6"/>
      <c r="G355" s="6"/>
    </row>
    <row r="356" spans="2:7" x14ac:dyDescent="0.3">
      <c r="B356" s="6"/>
      <c r="C356" s="6"/>
      <c r="D356" s="6"/>
      <c r="E356" s="6"/>
      <c r="F356" s="6"/>
      <c r="G356" s="6"/>
    </row>
    <row r="357" spans="2:7" x14ac:dyDescent="0.3">
      <c r="B357" s="6"/>
      <c r="C357" s="6"/>
      <c r="D357" s="6"/>
      <c r="E357" s="6"/>
      <c r="F357" s="6"/>
      <c r="G357" s="6"/>
    </row>
    <row r="358" spans="2:7" x14ac:dyDescent="0.3">
      <c r="B358" s="6"/>
      <c r="C358" s="6"/>
      <c r="D358" s="6"/>
      <c r="E358" s="6"/>
      <c r="F358" s="6"/>
      <c r="G358" s="6"/>
    </row>
    <row r="359" spans="2:7" x14ac:dyDescent="0.3">
      <c r="B359" s="6"/>
      <c r="C359" s="6"/>
      <c r="D359" s="6"/>
      <c r="E359" s="6"/>
      <c r="F359" s="6"/>
      <c r="G359" s="6"/>
    </row>
    <row r="360" spans="2:7" x14ac:dyDescent="0.3">
      <c r="B360" s="6"/>
      <c r="C360" s="6"/>
      <c r="D360" s="6"/>
      <c r="E360" s="6"/>
      <c r="F360" s="6"/>
      <c r="G360" s="6"/>
    </row>
    <row r="361" spans="2:7" x14ac:dyDescent="0.3">
      <c r="B361" s="6"/>
      <c r="C361" s="6"/>
      <c r="D361" s="6"/>
      <c r="E361" s="6"/>
      <c r="F361" s="6"/>
      <c r="G361" s="6"/>
    </row>
    <row r="362" spans="2:7" x14ac:dyDescent="0.3">
      <c r="B362" s="6"/>
      <c r="C362" s="6"/>
      <c r="D362" s="6"/>
      <c r="E362" s="6"/>
      <c r="F362" s="6"/>
      <c r="G362" s="6"/>
    </row>
    <row r="363" spans="2:7" x14ac:dyDescent="0.3">
      <c r="B363" s="6"/>
      <c r="C363" s="6"/>
      <c r="D363" s="6"/>
      <c r="E363" s="6"/>
      <c r="F363" s="6"/>
      <c r="G363" s="6"/>
    </row>
    <row r="364" spans="2:7" x14ac:dyDescent="0.3">
      <c r="B364" s="6"/>
      <c r="C364" s="6"/>
      <c r="D364" s="6"/>
      <c r="E364" s="6"/>
      <c r="F364" s="6"/>
      <c r="G364" s="6"/>
    </row>
    <row r="365" spans="2:7" x14ac:dyDescent="0.3">
      <c r="B365" s="6"/>
      <c r="C365" s="6"/>
      <c r="D365" s="6"/>
      <c r="E365" s="6"/>
      <c r="F365" s="6"/>
      <c r="G365" s="6"/>
    </row>
    <row r="366" spans="2:7" x14ac:dyDescent="0.3">
      <c r="B366" s="6"/>
      <c r="C366" s="6"/>
      <c r="D366" s="6"/>
      <c r="E366" s="6"/>
      <c r="F366" s="6"/>
      <c r="G366" s="6"/>
    </row>
    <row r="367" spans="2:7" x14ac:dyDescent="0.3">
      <c r="B367" s="6"/>
      <c r="C367" s="6"/>
      <c r="D367" s="6"/>
      <c r="E367" s="6"/>
      <c r="F367" s="6"/>
      <c r="G367" s="6"/>
    </row>
    <row r="368" spans="2:7" x14ac:dyDescent="0.3">
      <c r="B368" s="6"/>
      <c r="C368" s="6"/>
      <c r="D368" s="6"/>
      <c r="E368" s="6"/>
      <c r="F368" s="6"/>
      <c r="G368" s="6"/>
    </row>
    <row r="369" spans="2:7" x14ac:dyDescent="0.3">
      <c r="B369" s="6"/>
      <c r="C369" s="6"/>
      <c r="D369" s="6"/>
      <c r="E369" s="6"/>
      <c r="F369" s="6"/>
      <c r="G369" s="6"/>
    </row>
    <row r="370" spans="2:7" x14ac:dyDescent="0.3">
      <c r="B370" s="6"/>
      <c r="C370" s="6"/>
      <c r="D370" s="6"/>
      <c r="E370" s="6"/>
      <c r="F370" s="6"/>
      <c r="G370" s="6"/>
    </row>
    <row r="371" spans="2:7" x14ac:dyDescent="0.3">
      <c r="B371" s="6"/>
      <c r="C371" s="6"/>
      <c r="D371" s="6"/>
      <c r="E371" s="6"/>
      <c r="F371" s="6"/>
      <c r="G371" s="6"/>
    </row>
    <row r="372" spans="2:7" x14ac:dyDescent="0.3">
      <c r="B372" s="6"/>
      <c r="C372" s="6"/>
      <c r="D372" s="6"/>
      <c r="E372" s="6"/>
      <c r="F372" s="6"/>
      <c r="G372" s="6"/>
    </row>
    <row r="373" spans="2:7" x14ac:dyDescent="0.3">
      <c r="B373" s="6"/>
      <c r="C373" s="6"/>
      <c r="D373" s="6"/>
      <c r="E373" s="6"/>
      <c r="F373" s="6"/>
      <c r="G373" s="6"/>
    </row>
    <row r="374" spans="2:7" x14ac:dyDescent="0.3">
      <c r="B374" s="6"/>
      <c r="C374" s="6"/>
      <c r="D374" s="6"/>
      <c r="E374" s="6"/>
      <c r="F374" s="6"/>
      <c r="G374" s="6"/>
    </row>
    <row r="375" spans="2:7" x14ac:dyDescent="0.3">
      <c r="B375" s="6"/>
      <c r="C375" s="6"/>
      <c r="D375" s="6"/>
      <c r="E375" s="6"/>
      <c r="F375" s="6"/>
      <c r="G375" s="6"/>
    </row>
    <row r="376" spans="2:7" x14ac:dyDescent="0.3">
      <c r="B376" s="6"/>
      <c r="C376" s="6"/>
      <c r="D376" s="6"/>
      <c r="E376" s="6"/>
      <c r="F376" s="6"/>
      <c r="G376" s="6"/>
    </row>
    <row r="377" spans="2:7" x14ac:dyDescent="0.3">
      <c r="B377" s="6"/>
      <c r="C377" s="6"/>
      <c r="D377" s="6"/>
      <c r="E377" s="6"/>
      <c r="F377" s="6"/>
      <c r="G377" s="6"/>
    </row>
    <row r="378" spans="2:7" x14ac:dyDescent="0.3">
      <c r="B378" s="6"/>
      <c r="C378" s="6"/>
      <c r="D378" s="6"/>
      <c r="E378" s="6"/>
      <c r="F378" s="6"/>
      <c r="G378" s="6"/>
    </row>
    <row r="379" spans="2:7" x14ac:dyDescent="0.3">
      <c r="B379" s="6"/>
      <c r="C379" s="6"/>
      <c r="D379" s="6"/>
      <c r="E379" s="6"/>
      <c r="F379" s="6"/>
      <c r="G379" s="6"/>
    </row>
    <row r="380" spans="2:7" x14ac:dyDescent="0.3">
      <c r="B380" s="6"/>
      <c r="C380" s="6"/>
      <c r="D380" s="6"/>
      <c r="E380" s="6"/>
      <c r="F380" s="6"/>
      <c r="G380" s="6"/>
    </row>
    <row r="381" spans="2:7" x14ac:dyDescent="0.3">
      <c r="B381" s="6"/>
      <c r="C381" s="6"/>
      <c r="D381" s="6"/>
      <c r="E381" s="6"/>
      <c r="F381" s="6"/>
      <c r="G381" s="6"/>
    </row>
    <row r="382" spans="2:7" x14ac:dyDescent="0.3">
      <c r="B382" s="6"/>
      <c r="C382" s="6"/>
      <c r="D382" s="6"/>
      <c r="E382" s="6"/>
      <c r="F382" s="6"/>
      <c r="G382" s="6"/>
    </row>
    <row r="383" spans="2:7" x14ac:dyDescent="0.3">
      <c r="B383" s="6"/>
      <c r="C383" s="6"/>
      <c r="D383" s="6"/>
      <c r="E383" s="6"/>
      <c r="F383" s="6"/>
      <c r="G383" s="6"/>
    </row>
    <row r="384" spans="2:7" x14ac:dyDescent="0.3">
      <c r="B384" s="6"/>
      <c r="C384" s="6"/>
      <c r="D384" s="6"/>
      <c r="E384" s="6"/>
      <c r="F384" s="6"/>
      <c r="G384" s="6"/>
    </row>
    <row r="385" spans="2:7" x14ac:dyDescent="0.3">
      <c r="B385" s="6"/>
      <c r="C385" s="6"/>
      <c r="D385" s="6"/>
      <c r="E385" s="6"/>
      <c r="F385" s="6"/>
      <c r="G385" s="6"/>
    </row>
    <row r="386" spans="2:7" x14ac:dyDescent="0.3">
      <c r="B386" s="6"/>
      <c r="C386" s="6"/>
      <c r="D386" s="6"/>
      <c r="E386" s="6"/>
      <c r="F386" s="6"/>
      <c r="G386" s="6"/>
    </row>
    <row r="387" spans="2:7" x14ac:dyDescent="0.3">
      <c r="B387" s="6"/>
      <c r="C387" s="6"/>
      <c r="D387" s="6"/>
      <c r="E387" s="6"/>
      <c r="F387" s="6"/>
      <c r="G387" s="6"/>
    </row>
    <row r="388" spans="2:7" x14ac:dyDescent="0.3">
      <c r="B388" s="6"/>
      <c r="C388" s="6"/>
      <c r="D388" s="6"/>
      <c r="E388" s="6"/>
      <c r="F388" s="6"/>
      <c r="G388" s="6"/>
    </row>
    <row r="389" spans="2:7" x14ac:dyDescent="0.3">
      <c r="B389" s="6"/>
      <c r="C389" s="6"/>
      <c r="D389" s="6"/>
      <c r="E389" s="6"/>
      <c r="F389" s="6"/>
      <c r="G389" s="6"/>
    </row>
    <row r="390" spans="2:7" x14ac:dyDescent="0.3">
      <c r="B390" s="6"/>
      <c r="C390" s="6"/>
      <c r="D390" s="6"/>
      <c r="E390" s="6"/>
      <c r="F390" s="6"/>
      <c r="G390" s="6"/>
    </row>
    <row r="391" spans="2:7" x14ac:dyDescent="0.3">
      <c r="B391" s="6"/>
      <c r="C391" s="6"/>
      <c r="D391" s="6"/>
      <c r="E391" s="6"/>
      <c r="F391" s="6"/>
      <c r="G391" s="6"/>
    </row>
    <row r="392" spans="2:7" x14ac:dyDescent="0.3">
      <c r="B392" s="6"/>
      <c r="C392" s="6"/>
      <c r="D392" s="6"/>
      <c r="E392" s="6"/>
      <c r="F392" s="6"/>
      <c r="G392" s="6"/>
    </row>
    <row r="393" spans="2:7" x14ac:dyDescent="0.3">
      <c r="B393" s="6"/>
      <c r="C393" s="6"/>
      <c r="D393" s="6"/>
      <c r="E393" s="6"/>
      <c r="F393" s="6"/>
      <c r="G393" s="6"/>
    </row>
    <row r="394" spans="2:7" x14ac:dyDescent="0.3">
      <c r="B394" s="6"/>
      <c r="C394" s="6"/>
      <c r="D394" s="6"/>
      <c r="E394" s="6"/>
      <c r="F394" s="6"/>
      <c r="G394" s="6"/>
    </row>
    <row r="395" spans="2:7" x14ac:dyDescent="0.3">
      <c r="B395" s="6"/>
      <c r="C395" s="6"/>
      <c r="D395" s="6"/>
      <c r="E395" s="6"/>
      <c r="F395" s="6"/>
      <c r="G395" s="6"/>
    </row>
    <row r="396" spans="2:7" x14ac:dyDescent="0.3">
      <c r="B396" s="6"/>
      <c r="C396" s="6"/>
      <c r="D396" s="6"/>
      <c r="E396" s="6"/>
      <c r="F396" s="6"/>
      <c r="G396" s="6"/>
    </row>
    <row r="398" spans="2:7" x14ac:dyDescent="0.3">
      <c r="B398" s="5"/>
    </row>
    <row r="399" spans="2:7" x14ac:dyDescent="0.3">
      <c r="B399" s="5"/>
    </row>
    <row r="400" spans="2:7" x14ac:dyDescent="0.3">
      <c r="B400" s="10"/>
      <c r="C400" s="10"/>
      <c r="D400" s="10"/>
      <c r="E400" s="10"/>
      <c r="F400" s="10"/>
      <c r="G400" s="10"/>
    </row>
    <row r="401" spans="2:7" x14ac:dyDescent="0.3">
      <c r="B401" s="10"/>
      <c r="C401" s="10"/>
      <c r="D401" s="10"/>
      <c r="E401" s="10"/>
      <c r="F401" s="10"/>
      <c r="G401" s="10"/>
    </row>
    <row r="402" spans="2:7" x14ac:dyDescent="0.3">
      <c r="B402" s="6"/>
      <c r="C402" s="6"/>
      <c r="D402" s="6"/>
      <c r="E402" s="6"/>
      <c r="F402" s="6"/>
      <c r="G402" s="6"/>
    </row>
    <row r="403" spans="2:7" x14ac:dyDescent="0.3">
      <c r="B403" s="6"/>
      <c r="C403" s="6"/>
      <c r="D403" s="6"/>
      <c r="E403" s="6"/>
      <c r="F403" s="6"/>
      <c r="G403" s="6"/>
    </row>
    <row r="404" spans="2:7" x14ac:dyDescent="0.3">
      <c r="B404" s="6"/>
      <c r="C404" s="6"/>
      <c r="D404" s="6"/>
      <c r="E404" s="6"/>
      <c r="F404" s="6"/>
      <c r="G404" s="6"/>
    </row>
    <row r="405" spans="2:7" x14ac:dyDescent="0.3">
      <c r="B405" s="6"/>
      <c r="C405" s="6"/>
      <c r="D405" s="6"/>
      <c r="E405" s="6"/>
      <c r="F405" s="6"/>
      <c r="G405" s="6"/>
    </row>
    <row r="406" spans="2:7" x14ac:dyDescent="0.3">
      <c r="B406" s="6"/>
      <c r="C406" s="6"/>
      <c r="D406" s="6"/>
      <c r="E406" s="6"/>
      <c r="F406" s="6"/>
      <c r="G406" s="6"/>
    </row>
    <row r="407" spans="2:7" x14ac:dyDescent="0.3">
      <c r="B407" s="6"/>
      <c r="C407" s="6"/>
      <c r="D407" s="6"/>
      <c r="E407" s="6"/>
      <c r="F407" s="6"/>
      <c r="G407" s="6"/>
    </row>
    <row r="408" spans="2:7" x14ac:dyDescent="0.3">
      <c r="B408" s="6"/>
      <c r="C408" s="6"/>
      <c r="D408" s="6"/>
      <c r="E408" s="6"/>
      <c r="F408" s="6"/>
      <c r="G408" s="6"/>
    </row>
    <row r="409" spans="2:7" x14ac:dyDescent="0.3">
      <c r="B409" s="6"/>
      <c r="C409" s="6"/>
      <c r="D409" s="6"/>
      <c r="E409" s="6"/>
      <c r="F409" s="6"/>
      <c r="G409" s="6"/>
    </row>
    <row r="410" spans="2:7" x14ac:dyDescent="0.3">
      <c r="B410" s="6"/>
      <c r="C410" s="6"/>
      <c r="D410" s="6"/>
      <c r="E410" s="6"/>
      <c r="F410" s="6"/>
      <c r="G410" s="6"/>
    </row>
    <row r="411" spans="2:7" x14ac:dyDescent="0.3">
      <c r="B411" s="6"/>
      <c r="C411" s="6"/>
      <c r="D411" s="6"/>
      <c r="E411" s="6"/>
      <c r="F411" s="6"/>
      <c r="G411" s="6"/>
    </row>
    <row r="412" spans="2:7" x14ac:dyDescent="0.3">
      <c r="B412" s="6"/>
      <c r="C412" s="6"/>
      <c r="D412" s="6"/>
      <c r="E412" s="6"/>
      <c r="F412" s="6"/>
      <c r="G412" s="6"/>
    </row>
    <row r="413" spans="2:7" x14ac:dyDescent="0.3">
      <c r="B413" s="6"/>
      <c r="C413" s="6"/>
      <c r="D413" s="6"/>
      <c r="E413" s="6"/>
      <c r="F413" s="6"/>
      <c r="G413" s="6"/>
    </row>
    <row r="414" spans="2:7" x14ac:dyDescent="0.3">
      <c r="B414" s="6"/>
      <c r="C414" s="6"/>
      <c r="D414" s="6"/>
      <c r="E414" s="6"/>
      <c r="F414" s="6"/>
      <c r="G414" s="6"/>
    </row>
    <row r="415" spans="2:7" x14ac:dyDescent="0.3">
      <c r="B415" s="6"/>
      <c r="C415" s="6"/>
      <c r="D415" s="6"/>
      <c r="E415" s="6"/>
      <c r="F415" s="6"/>
      <c r="G415" s="6"/>
    </row>
    <row r="416" spans="2:7" x14ac:dyDescent="0.3">
      <c r="B416" s="6"/>
      <c r="C416" s="6"/>
      <c r="D416" s="6"/>
      <c r="E416" s="6"/>
      <c r="F416" s="6"/>
      <c r="G416" s="6"/>
    </row>
    <row r="417" spans="2:7" x14ac:dyDescent="0.3">
      <c r="B417" s="6"/>
      <c r="C417" s="6"/>
      <c r="D417" s="6"/>
      <c r="E417" s="6"/>
      <c r="F417" s="6"/>
      <c r="G417" s="6"/>
    </row>
    <row r="418" spans="2:7" x14ac:dyDescent="0.3">
      <c r="B418" s="6"/>
      <c r="C418" s="6"/>
      <c r="D418" s="6"/>
      <c r="E418" s="6"/>
      <c r="F418" s="6"/>
      <c r="G418" s="6"/>
    </row>
    <row r="419" spans="2:7" x14ac:dyDescent="0.3">
      <c r="B419" s="6"/>
      <c r="C419" s="6"/>
      <c r="D419" s="6"/>
      <c r="E419" s="6"/>
      <c r="F419" s="6"/>
      <c r="G419" s="6"/>
    </row>
    <row r="420" spans="2:7" x14ac:dyDescent="0.3">
      <c r="B420" s="6"/>
      <c r="C420" s="6"/>
      <c r="D420" s="6"/>
      <c r="E420" s="6"/>
      <c r="F420" s="6"/>
      <c r="G420" s="6"/>
    </row>
    <row r="421" spans="2:7" x14ac:dyDescent="0.3">
      <c r="B421" s="6"/>
      <c r="C421" s="6"/>
      <c r="D421" s="6"/>
      <c r="E421" s="6"/>
      <c r="F421" s="6"/>
      <c r="G421" s="6"/>
    </row>
    <row r="422" spans="2:7" x14ac:dyDescent="0.3">
      <c r="B422" s="6"/>
      <c r="C422" s="6"/>
      <c r="D422" s="6"/>
      <c r="E422" s="6"/>
      <c r="F422" s="6"/>
      <c r="G422" s="6"/>
    </row>
    <row r="423" spans="2:7" x14ac:dyDescent="0.3">
      <c r="B423" s="6"/>
      <c r="C423" s="6"/>
      <c r="D423" s="6"/>
      <c r="E423" s="6"/>
      <c r="F423" s="6"/>
      <c r="G423" s="6"/>
    </row>
    <row r="424" spans="2:7" x14ac:dyDescent="0.3">
      <c r="B424" s="6"/>
      <c r="C424" s="6"/>
      <c r="D424" s="6"/>
      <c r="E424" s="6"/>
      <c r="F424" s="6"/>
      <c r="G424" s="6"/>
    </row>
    <row r="425" spans="2:7" x14ac:dyDescent="0.3">
      <c r="B425" s="6"/>
      <c r="C425" s="6"/>
      <c r="D425" s="6"/>
      <c r="E425" s="6"/>
      <c r="F425" s="6"/>
      <c r="G425" s="6"/>
    </row>
    <row r="427" spans="2:7" x14ac:dyDescent="0.3">
      <c r="B427" s="5"/>
    </row>
    <row r="428" spans="2:7" x14ac:dyDescent="0.3">
      <c r="B428" s="5"/>
    </row>
    <row r="429" spans="2:7" x14ac:dyDescent="0.3">
      <c r="B429" s="10"/>
      <c r="C429" s="10"/>
      <c r="D429" s="10"/>
      <c r="E429" s="10"/>
      <c r="F429" s="10"/>
      <c r="G429" s="10"/>
    </row>
    <row r="430" spans="2:7" x14ac:dyDescent="0.3">
      <c r="B430" s="10"/>
      <c r="C430" s="10"/>
      <c r="D430" s="10"/>
      <c r="E430" s="10"/>
      <c r="F430" s="10"/>
      <c r="G430" s="10"/>
    </row>
    <row r="431" spans="2:7" x14ac:dyDescent="0.3">
      <c r="B431" s="6"/>
      <c r="C431" s="6"/>
      <c r="D431" s="6"/>
      <c r="E431" s="6"/>
      <c r="F431" s="6"/>
      <c r="G431" s="6"/>
    </row>
    <row r="432" spans="2:7" x14ac:dyDescent="0.3">
      <c r="B432" s="6"/>
      <c r="C432" s="6"/>
      <c r="D432" s="6"/>
      <c r="E432" s="6"/>
      <c r="F432" s="6"/>
      <c r="G432" s="6"/>
    </row>
    <row r="433" spans="2:7" x14ac:dyDescent="0.3">
      <c r="B433" s="6"/>
      <c r="C433" s="6"/>
      <c r="D433" s="6"/>
      <c r="E433" s="6"/>
      <c r="F433" s="6"/>
      <c r="G433" s="6"/>
    </row>
    <row r="434" spans="2:7" x14ac:dyDescent="0.3">
      <c r="B434" s="6"/>
      <c r="C434" s="6"/>
      <c r="D434" s="6"/>
      <c r="E434" s="6"/>
      <c r="F434" s="6"/>
      <c r="G434" s="6"/>
    </row>
    <row r="435" spans="2:7" x14ac:dyDescent="0.3">
      <c r="B435" s="6"/>
      <c r="C435" s="6"/>
      <c r="D435" s="6"/>
      <c r="E435" s="6"/>
      <c r="F435" s="6"/>
      <c r="G435" s="6"/>
    </row>
    <row r="436" spans="2:7" x14ac:dyDescent="0.3">
      <c r="B436" s="6"/>
      <c r="C436" s="6"/>
      <c r="D436" s="6"/>
      <c r="E436" s="6"/>
      <c r="F436" s="6"/>
      <c r="G436" s="6"/>
    </row>
    <row r="437" spans="2:7" x14ac:dyDescent="0.3">
      <c r="B437" s="6"/>
      <c r="C437" s="6"/>
      <c r="D437" s="6"/>
      <c r="E437" s="6"/>
      <c r="F437" s="6"/>
      <c r="G437" s="6"/>
    </row>
    <row r="438" spans="2:7" x14ac:dyDescent="0.3">
      <c r="B438" s="6"/>
      <c r="C438" s="6"/>
      <c r="D438" s="6"/>
      <c r="E438" s="6"/>
      <c r="F438" s="6"/>
      <c r="G438" s="6"/>
    </row>
    <row r="439" spans="2:7" x14ac:dyDescent="0.3">
      <c r="B439" s="6"/>
      <c r="C439" s="6"/>
      <c r="D439" s="6"/>
      <c r="E439" s="6"/>
      <c r="F439" s="6"/>
      <c r="G439" s="6"/>
    </row>
    <row r="440" spans="2:7" x14ac:dyDescent="0.3">
      <c r="B440" s="6"/>
      <c r="C440" s="6"/>
      <c r="D440" s="6"/>
      <c r="E440" s="6"/>
      <c r="F440" s="6"/>
      <c r="G440" s="6"/>
    </row>
    <row r="441" spans="2:7" x14ac:dyDescent="0.3">
      <c r="B441" s="6"/>
      <c r="C441" s="6"/>
      <c r="D441" s="6"/>
      <c r="E441" s="6"/>
      <c r="F441" s="6"/>
      <c r="G441" s="6"/>
    </row>
    <row r="442" spans="2:7" x14ac:dyDescent="0.3">
      <c r="B442" s="6"/>
      <c r="C442" s="6"/>
      <c r="D442" s="6"/>
      <c r="E442" s="6"/>
      <c r="F442" s="6"/>
      <c r="G442" s="6"/>
    </row>
    <row r="443" spans="2:7" x14ac:dyDescent="0.3">
      <c r="B443" s="6"/>
      <c r="C443" s="6"/>
      <c r="D443" s="6"/>
      <c r="E443" s="6"/>
      <c r="F443" s="6"/>
      <c r="G443" s="6"/>
    </row>
    <row r="444" spans="2:7" x14ac:dyDescent="0.3">
      <c r="B444" s="6"/>
      <c r="C444" s="6"/>
      <c r="D444" s="6"/>
      <c r="E444" s="6"/>
      <c r="F444" s="6"/>
      <c r="G444" s="6"/>
    </row>
    <row r="445" spans="2:7" x14ac:dyDescent="0.3">
      <c r="B445" s="6"/>
      <c r="C445" s="6"/>
      <c r="D445" s="6"/>
      <c r="E445" s="6"/>
      <c r="F445" s="6"/>
      <c r="G445" s="6"/>
    </row>
    <row r="446" spans="2:7" x14ac:dyDescent="0.3">
      <c r="B446" s="6"/>
      <c r="C446" s="6"/>
      <c r="D446" s="6"/>
      <c r="E446" s="6"/>
      <c r="F446" s="6"/>
      <c r="G446" s="6"/>
    </row>
    <row r="447" spans="2:7" x14ac:dyDescent="0.3">
      <c r="B447" s="6"/>
      <c r="C447" s="6"/>
      <c r="D447" s="6"/>
      <c r="E447" s="6"/>
      <c r="F447" s="6"/>
      <c r="G447" s="6"/>
    </row>
    <row r="448" spans="2:7" x14ac:dyDescent="0.3">
      <c r="B448" s="6"/>
      <c r="C448" s="6"/>
      <c r="D448" s="6"/>
      <c r="E448" s="6"/>
      <c r="F448" s="6"/>
      <c r="G448" s="6"/>
    </row>
    <row r="449" spans="2:7" x14ac:dyDescent="0.3">
      <c r="B449" s="6"/>
      <c r="C449" s="6"/>
      <c r="D449" s="6"/>
      <c r="E449" s="6"/>
      <c r="F449" s="6"/>
      <c r="G449" s="6"/>
    </row>
    <row r="450" spans="2:7" x14ac:dyDescent="0.3">
      <c r="B450" s="6"/>
      <c r="C450" s="6"/>
      <c r="D450" s="6"/>
      <c r="E450" s="6"/>
      <c r="F450" s="6"/>
      <c r="G450" s="6"/>
    </row>
    <row r="451" spans="2:7" x14ac:dyDescent="0.3">
      <c r="B451" s="6"/>
      <c r="C451" s="6"/>
      <c r="D451" s="6"/>
      <c r="E451" s="6"/>
      <c r="F451" s="6"/>
      <c r="G451" s="6"/>
    </row>
    <row r="452" spans="2:7" x14ac:dyDescent="0.3">
      <c r="B452" s="6"/>
      <c r="C452" s="6"/>
      <c r="D452" s="6"/>
      <c r="E452" s="6"/>
      <c r="F452" s="6"/>
      <c r="G452" s="6"/>
    </row>
    <row r="453" spans="2:7" x14ac:dyDescent="0.3">
      <c r="B453" s="6"/>
      <c r="C453" s="6"/>
      <c r="D453" s="6"/>
      <c r="E453" s="6"/>
      <c r="F453" s="6"/>
      <c r="G453" s="6"/>
    </row>
    <row r="454" spans="2:7" x14ac:dyDescent="0.3">
      <c r="B454" s="6"/>
      <c r="C454" s="6"/>
      <c r="D454" s="6"/>
      <c r="E454" s="6"/>
      <c r="F454" s="6"/>
      <c r="G454" s="6"/>
    </row>
    <row r="456" spans="2:7" x14ac:dyDescent="0.3">
      <c r="B456" s="5"/>
    </row>
    <row r="457" spans="2:7" x14ac:dyDescent="0.3">
      <c r="B457" s="5"/>
    </row>
    <row r="458" spans="2:7" x14ac:dyDescent="0.3">
      <c r="B458" s="10"/>
      <c r="C458" s="10"/>
    </row>
    <row r="459" spans="2:7" x14ac:dyDescent="0.3">
      <c r="B459" s="6"/>
      <c r="C459" s="6"/>
    </row>
    <row r="461" spans="2:7" x14ac:dyDescent="0.3">
      <c r="B461" s="5"/>
    </row>
    <row r="462" spans="2:7" x14ac:dyDescent="0.3">
      <c r="B462" s="5"/>
    </row>
    <row r="463" spans="2:7" x14ac:dyDescent="0.3">
      <c r="B463" s="10"/>
      <c r="C463" s="10"/>
      <c r="D463" s="10"/>
      <c r="E463" s="10"/>
      <c r="F463" s="10"/>
      <c r="G463" s="10"/>
    </row>
    <row r="464" spans="2:7" x14ac:dyDescent="0.3">
      <c r="B464" s="10"/>
      <c r="C464" s="10"/>
      <c r="D464" s="10"/>
      <c r="E464" s="10"/>
      <c r="F464" s="10"/>
      <c r="G464" s="10"/>
    </row>
    <row r="465" spans="2:7" x14ac:dyDescent="0.3">
      <c r="B465" s="6"/>
      <c r="C465" s="6"/>
      <c r="D465" s="6"/>
      <c r="E465" s="6"/>
      <c r="F465" s="6"/>
      <c r="G465" s="6"/>
    </row>
    <row r="466" spans="2:7" x14ac:dyDescent="0.3">
      <c r="B466" s="6"/>
      <c r="C466" s="6"/>
      <c r="D466" s="6"/>
      <c r="E466" s="6"/>
      <c r="F466" s="6"/>
      <c r="G466" s="6"/>
    </row>
    <row r="467" spans="2:7" x14ac:dyDescent="0.3">
      <c r="B467" s="6"/>
      <c r="C467" s="6"/>
      <c r="D467" s="6"/>
      <c r="E467" s="6"/>
      <c r="F467" s="6"/>
      <c r="G467" s="6"/>
    </row>
    <row r="468" spans="2:7" x14ac:dyDescent="0.3">
      <c r="B468" s="6"/>
      <c r="C468" s="6"/>
      <c r="D468" s="6"/>
      <c r="E468" s="6"/>
      <c r="F468" s="6"/>
      <c r="G468" s="6"/>
    </row>
    <row r="469" spans="2:7" x14ac:dyDescent="0.3">
      <c r="B469" s="6"/>
      <c r="C469" s="6"/>
      <c r="D469" s="6"/>
      <c r="E469" s="6"/>
      <c r="F469" s="6"/>
      <c r="G469" s="6"/>
    </row>
    <row r="470" spans="2:7" x14ac:dyDescent="0.3">
      <c r="B470" s="6"/>
      <c r="C470" s="6"/>
      <c r="D470" s="6"/>
      <c r="E470" s="6"/>
      <c r="F470" s="6"/>
      <c r="G470" s="6"/>
    </row>
    <row r="471" spans="2:7" x14ac:dyDescent="0.3">
      <c r="B471" s="6"/>
      <c r="C471" s="6"/>
      <c r="D471" s="6"/>
      <c r="E471" s="6"/>
      <c r="F471" s="6"/>
      <c r="G471" s="6"/>
    </row>
    <row r="472" spans="2:7" x14ac:dyDescent="0.3">
      <c r="B472" s="6"/>
      <c r="C472" s="6"/>
      <c r="D472" s="6"/>
      <c r="E472" s="6"/>
      <c r="F472" s="6"/>
      <c r="G472" s="6"/>
    </row>
    <row r="473" spans="2:7" x14ac:dyDescent="0.3">
      <c r="B473" s="6"/>
      <c r="C473" s="6"/>
      <c r="D473" s="6"/>
      <c r="E473" s="6"/>
      <c r="F473" s="6"/>
      <c r="G473" s="6"/>
    </row>
    <row r="474" spans="2:7" x14ac:dyDescent="0.3">
      <c r="B474" s="6"/>
      <c r="C474" s="6"/>
      <c r="D474" s="6"/>
      <c r="E474" s="6"/>
      <c r="F474" s="6"/>
      <c r="G474" s="6"/>
    </row>
    <row r="475" spans="2:7" x14ac:dyDescent="0.3">
      <c r="B475" s="6"/>
      <c r="C475" s="6"/>
      <c r="D475" s="6"/>
      <c r="E475" s="6"/>
      <c r="F475" s="6"/>
      <c r="G475" s="6"/>
    </row>
    <row r="476" spans="2:7" x14ac:dyDescent="0.3">
      <c r="B476" s="6"/>
      <c r="C476" s="6"/>
      <c r="D476" s="6"/>
      <c r="E476" s="6"/>
      <c r="F476" s="6"/>
      <c r="G476" s="6"/>
    </row>
    <row r="477" spans="2:7" x14ac:dyDescent="0.3">
      <c r="B477" s="6"/>
      <c r="C477" s="6"/>
      <c r="D477" s="6"/>
      <c r="E477" s="6"/>
      <c r="F477" s="6"/>
      <c r="G477" s="6"/>
    </row>
    <row r="478" spans="2:7" x14ac:dyDescent="0.3">
      <c r="B478" s="6"/>
      <c r="C478" s="6"/>
      <c r="D478" s="6"/>
      <c r="E478" s="6"/>
      <c r="F478" s="6"/>
      <c r="G478" s="6"/>
    </row>
    <row r="479" spans="2:7" x14ac:dyDescent="0.3">
      <c r="B479" s="6"/>
      <c r="C479" s="6"/>
      <c r="D479" s="6"/>
      <c r="E479" s="6"/>
      <c r="F479" s="6"/>
      <c r="G479" s="6"/>
    </row>
    <row r="480" spans="2:7" x14ac:dyDescent="0.3">
      <c r="B480" s="6"/>
      <c r="C480" s="6"/>
      <c r="D480" s="6"/>
      <c r="E480" s="6"/>
      <c r="F480" s="6"/>
      <c r="G480" s="6"/>
    </row>
    <row r="481" spans="2:7" x14ac:dyDescent="0.3">
      <c r="B481" s="6"/>
      <c r="C481" s="6"/>
      <c r="D481" s="6"/>
      <c r="E481" s="6"/>
      <c r="F481" s="6"/>
      <c r="G481" s="6"/>
    </row>
    <row r="482" spans="2:7" x14ac:dyDescent="0.3">
      <c r="B482" s="6"/>
      <c r="C482" s="6"/>
      <c r="D482" s="6"/>
      <c r="E482" s="6"/>
      <c r="F482" s="6"/>
      <c r="G482" s="6"/>
    </row>
    <row r="483" spans="2:7" x14ac:dyDescent="0.3">
      <c r="B483" s="6"/>
      <c r="C483" s="6"/>
      <c r="D483" s="6"/>
      <c r="E483" s="6"/>
      <c r="F483" s="6"/>
      <c r="G483" s="6"/>
    </row>
    <row r="484" spans="2:7" x14ac:dyDescent="0.3">
      <c r="B484" s="6"/>
      <c r="C484" s="6"/>
      <c r="D484" s="6"/>
      <c r="E484" s="6"/>
      <c r="F484" s="6"/>
      <c r="G484" s="6"/>
    </row>
    <row r="485" spans="2:7" x14ac:dyDescent="0.3">
      <c r="B485" s="6"/>
      <c r="C485" s="6"/>
      <c r="D485" s="6"/>
      <c r="E485" s="6"/>
      <c r="F485" s="6"/>
      <c r="G485" s="6"/>
    </row>
    <row r="486" spans="2:7" x14ac:dyDescent="0.3">
      <c r="B486" s="6"/>
      <c r="C486" s="6"/>
      <c r="D486" s="6"/>
      <c r="E486" s="6"/>
      <c r="F486" s="6"/>
      <c r="G486" s="6"/>
    </row>
    <row r="487" spans="2:7" x14ac:dyDescent="0.3">
      <c r="B487" s="6"/>
      <c r="C487" s="6"/>
      <c r="D487" s="6"/>
      <c r="E487" s="6"/>
      <c r="F487" s="6"/>
      <c r="G487" s="6"/>
    </row>
    <row r="488" spans="2:7" x14ac:dyDescent="0.3">
      <c r="B488" s="6"/>
      <c r="C488" s="6"/>
      <c r="D488" s="6"/>
      <c r="E488" s="6"/>
      <c r="F488" s="6"/>
      <c r="G488" s="6"/>
    </row>
    <row r="489" spans="2:7" x14ac:dyDescent="0.3">
      <c r="B489" s="6"/>
      <c r="C489" s="6"/>
      <c r="D489" s="6"/>
      <c r="E489" s="6"/>
      <c r="F489" s="6"/>
      <c r="G489" s="6"/>
    </row>
    <row r="490" spans="2:7" x14ac:dyDescent="0.3">
      <c r="B490" s="6"/>
      <c r="C490" s="6"/>
      <c r="D490" s="6"/>
      <c r="E490" s="6"/>
      <c r="F490" s="6"/>
      <c r="G490" s="6"/>
    </row>
    <row r="491" spans="2:7" x14ac:dyDescent="0.3">
      <c r="B491" s="6"/>
      <c r="C491" s="6"/>
      <c r="D491" s="6"/>
      <c r="E491" s="6"/>
      <c r="F491" s="6"/>
      <c r="G491" s="6"/>
    </row>
    <row r="492" spans="2:7" x14ac:dyDescent="0.3">
      <c r="B492" s="6"/>
      <c r="C492" s="6"/>
      <c r="D492" s="6"/>
      <c r="E492" s="6"/>
      <c r="F492" s="6"/>
      <c r="G492" s="6"/>
    </row>
    <row r="493" spans="2:7" x14ac:dyDescent="0.3">
      <c r="B493" s="6"/>
      <c r="C493" s="6"/>
      <c r="D493" s="6"/>
      <c r="E493" s="6"/>
      <c r="F493" s="6"/>
      <c r="G493" s="6"/>
    </row>
    <row r="494" spans="2:7" x14ac:dyDescent="0.3">
      <c r="B494" s="6"/>
      <c r="C494" s="6"/>
      <c r="D494" s="6"/>
      <c r="E494" s="6"/>
      <c r="F494" s="6"/>
      <c r="G494" s="6"/>
    </row>
    <row r="495" spans="2:7" x14ac:dyDescent="0.3">
      <c r="B495" s="6"/>
      <c r="C495" s="6"/>
      <c r="D495" s="6"/>
      <c r="E495" s="6"/>
      <c r="F495" s="6"/>
      <c r="G495" s="6"/>
    </row>
    <row r="496" spans="2:7" x14ac:dyDescent="0.3">
      <c r="B496" s="6"/>
      <c r="C496" s="6"/>
      <c r="D496" s="6"/>
      <c r="E496" s="6"/>
      <c r="F496" s="6"/>
      <c r="G496" s="6"/>
    </row>
    <row r="497" spans="2:7" x14ac:dyDescent="0.3">
      <c r="B497" s="6"/>
      <c r="C497" s="6"/>
      <c r="D497" s="6"/>
      <c r="E497" s="6"/>
      <c r="F497" s="6"/>
      <c r="G497" s="6"/>
    </row>
    <row r="498" spans="2:7" x14ac:dyDescent="0.3">
      <c r="B498" s="6"/>
      <c r="C498" s="6"/>
      <c r="D498" s="6"/>
      <c r="E498" s="6"/>
      <c r="F498" s="6"/>
      <c r="G498" s="6"/>
    </row>
    <row r="499" spans="2:7" x14ac:dyDescent="0.3">
      <c r="B499" s="6"/>
      <c r="C499" s="6"/>
      <c r="D499" s="6"/>
      <c r="E499" s="6"/>
      <c r="F499" s="6"/>
      <c r="G499" s="6"/>
    </row>
    <row r="500" spans="2:7" x14ac:dyDescent="0.3">
      <c r="B500" s="6"/>
      <c r="C500" s="6"/>
      <c r="D500" s="6"/>
      <c r="E500" s="6"/>
      <c r="F500" s="6"/>
      <c r="G500" s="6"/>
    </row>
    <row r="501" spans="2:7" x14ac:dyDescent="0.3">
      <c r="B501" s="6"/>
      <c r="C501" s="6"/>
      <c r="D501" s="6"/>
      <c r="E501" s="6"/>
      <c r="F501" s="6"/>
      <c r="G501" s="6"/>
    </row>
    <row r="502" spans="2:7" x14ac:dyDescent="0.3">
      <c r="B502" s="6"/>
      <c r="C502" s="6"/>
      <c r="D502" s="6"/>
      <c r="E502" s="6"/>
      <c r="F502" s="6"/>
      <c r="G502" s="6"/>
    </row>
    <row r="503" spans="2:7" x14ac:dyDescent="0.3">
      <c r="B503" s="6"/>
      <c r="C503" s="6"/>
      <c r="D503" s="6"/>
      <c r="E503" s="6"/>
      <c r="F503" s="6"/>
      <c r="G503" s="6"/>
    </row>
    <row r="504" spans="2:7" x14ac:dyDescent="0.3">
      <c r="B504" s="6"/>
      <c r="C504" s="6"/>
      <c r="D504" s="6"/>
      <c r="E504" s="6"/>
      <c r="F504" s="6"/>
      <c r="G504" s="6"/>
    </row>
    <row r="505" spans="2:7" x14ac:dyDescent="0.3">
      <c r="B505" s="6"/>
      <c r="C505" s="6"/>
      <c r="D505" s="6"/>
      <c r="E505" s="6"/>
      <c r="F505" s="6"/>
      <c r="G505" s="6"/>
    </row>
    <row r="506" spans="2:7" x14ac:dyDescent="0.3">
      <c r="B506" s="6"/>
      <c r="C506" s="6"/>
      <c r="D506" s="6"/>
      <c r="E506" s="6"/>
      <c r="F506" s="6"/>
      <c r="G506" s="6"/>
    </row>
    <row r="507" spans="2:7" x14ac:dyDescent="0.3">
      <c r="B507" s="6"/>
      <c r="C507" s="6"/>
      <c r="D507" s="6"/>
      <c r="E507" s="6"/>
      <c r="F507" s="6"/>
      <c r="G507" s="6"/>
    </row>
    <row r="508" spans="2:7" x14ac:dyDescent="0.3">
      <c r="B508" s="6"/>
      <c r="C508" s="6"/>
      <c r="D508" s="6"/>
      <c r="E508" s="6"/>
      <c r="F508" s="6"/>
      <c r="G508" s="6"/>
    </row>
    <row r="509" spans="2:7" x14ac:dyDescent="0.3">
      <c r="B509" s="6"/>
      <c r="C509" s="6"/>
      <c r="D509" s="6"/>
      <c r="E509" s="6"/>
      <c r="F509" s="6"/>
      <c r="G509" s="6"/>
    </row>
    <row r="511" spans="2:7" x14ac:dyDescent="0.3">
      <c r="B511" s="5"/>
    </row>
    <row r="512" spans="2:7" x14ac:dyDescent="0.3">
      <c r="B512" s="5"/>
    </row>
    <row r="513" spans="2:7" x14ac:dyDescent="0.3">
      <c r="B513" s="10"/>
      <c r="C513" s="10"/>
      <c r="D513" s="10"/>
      <c r="E513" s="10"/>
      <c r="F513" s="10"/>
      <c r="G513" s="10"/>
    </row>
    <row r="514" spans="2:7" x14ac:dyDescent="0.3">
      <c r="B514" s="10"/>
      <c r="C514" s="10"/>
      <c r="D514" s="10"/>
      <c r="E514" s="10"/>
      <c r="F514" s="10"/>
      <c r="G514" s="10"/>
    </row>
    <row r="515" spans="2:7" x14ac:dyDescent="0.3">
      <c r="B515" s="6"/>
      <c r="C515" s="6"/>
      <c r="D515" s="6"/>
      <c r="E515" s="6"/>
      <c r="F515" s="6"/>
      <c r="G515" s="6"/>
    </row>
    <row r="516" spans="2:7" x14ac:dyDescent="0.3">
      <c r="B516" s="6"/>
      <c r="C516" s="6"/>
      <c r="D516" s="6"/>
      <c r="E516" s="6"/>
      <c r="F516" s="6"/>
      <c r="G516" s="6"/>
    </row>
    <row r="517" spans="2:7" x14ac:dyDescent="0.3">
      <c r="B517" s="6"/>
      <c r="C517" s="6"/>
      <c r="D517" s="6"/>
      <c r="E517" s="6"/>
      <c r="F517" s="6"/>
      <c r="G517" s="6"/>
    </row>
    <row r="518" spans="2:7" x14ac:dyDescent="0.3">
      <c r="B518" s="6"/>
      <c r="C518" s="6"/>
      <c r="D518" s="6"/>
      <c r="E518" s="6"/>
      <c r="F518" s="6"/>
      <c r="G518" s="6"/>
    </row>
    <row r="519" spans="2:7" x14ac:dyDescent="0.3">
      <c r="B519" s="6"/>
      <c r="C519" s="6"/>
      <c r="D519" s="6"/>
      <c r="E519" s="6"/>
      <c r="F519" s="6"/>
      <c r="G519" s="6"/>
    </row>
    <row r="520" spans="2:7" x14ac:dyDescent="0.3">
      <c r="B520" s="6"/>
      <c r="C520" s="6"/>
      <c r="D520" s="6"/>
      <c r="E520" s="6"/>
      <c r="F520" s="6"/>
      <c r="G520" s="6"/>
    </row>
    <row r="521" spans="2:7" x14ac:dyDescent="0.3">
      <c r="B521" s="6"/>
      <c r="C521" s="6"/>
      <c r="D521" s="6"/>
      <c r="E521" s="6"/>
      <c r="F521" s="6"/>
      <c r="G521" s="6"/>
    </row>
    <row r="522" spans="2:7" x14ac:dyDescent="0.3">
      <c r="B522" s="6"/>
      <c r="C522" s="6"/>
      <c r="D522" s="6"/>
      <c r="E522" s="6"/>
      <c r="F522" s="6"/>
      <c r="G522" s="6"/>
    </row>
    <row r="523" spans="2:7" x14ac:dyDescent="0.3">
      <c r="B523" s="6"/>
      <c r="C523" s="6"/>
      <c r="D523" s="6"/>
      <c r="E523" s="6"/>
      <c r="F523" s="6"/>
      <c r="G523" s="6"/>
    </row>
    <row r="524" spans="2:7" x14ac:dyDescent="0.3">
      <c r="B524" s="6"/>
      <c r="C524" s="6"/>
      <c r="D524" s="6"/>
      <c r="E524" s="6"/>
      <c r="F524" s="6"/>
      <c r="G524" s="6"/>
    </row>
    <row r="525" spans="2:7" x14ac:dyDescent="0.3">
      <c r="B525" s="6"/>
      <c r="C525" s="6"/>
      <c r="D525" s="6"/>
      <c r="E525" s="6"/>
      <c r="F525" s="6"/>
      <c r="G525" s="6"/>
    </row>
    <row r="526" spans="2:7" x14ac:dyDescent="0.3">
      <c r="B526" s="6"/>
      <c r="C526" s="6"/>
      <c r="D526" s="6"/>
      <c r="E526" s="6"/>
      <c r="F526" s="6"/>
      <c r="G526" s="6"/>
    </row>
    <row r="527" spans="2:7" x14ac:dyDescent="0.3">
      <c r="B527" s="6"/>
      <c r="C527" s="6"/>
      <c r="D527" s="6"/>
      <c r="E527" s="6"/>
      <c r="F527" s="6"/>
      <c r="G527" s="6"/>
    </row>
    <row r="528" spans="2:7" x14ac:dyDescent="0.3">
      <c r="B528" s="6"/>
      <c r="C528" s="6"/>
      <c r="D528" s="6"/>
      <c r="E528" s="6"/>
      <c r="F528" s="6"/>
      <c r="G528" s="6"/>
    </row>
    <row r="529" spans="2:7" x14ac:dyDescent="0.3">
      <c r="B529" s="6"/>
      <c r="C529" s="6"/>
      <c r="D529" s="6"/>
      <c r="E529" s="6"/>
      <c r="F529" s="6"/>
      <c r="G529" s="6"/>
    </row>
    <row r="530" spans="2:7" x14ac:dyDescent="0.3">
      <c r="B530" s="6"/>
      <c r="C530" s="6"/>
      <c r="D530" s="6"/>
      <c r="E530" s="6"/>
      <c r="F530" s="6"/>
      <c r="G530" s="6"/>
    </row>
    <row r="531" spans="2:7" x14ac:dyDescent="0.3">
      <c r="B531" s="6"/>
      <c r="C531" s="6"/>
      <c r="D531" s="6"/>
      <c r="E531" s="6"/>
      <c r="F531" s="6"/>
      <c r="G531" s="6"/>
    </row>
    <row r="532" spans="2:7" x14ac:dyDescent="0.3">
      <c r="B532" s="6"/>
      <c r="C532" s="6"/>
      <c r="D532" s="6"/>
      <c r="E532" s="6"/>
      <c r="F532" s="6"/>
      <c r="G532" s="6"/>
    </row>
    <row r="533" spans="2:7" x14ac:dyDescent="0.3">
      <c r="B533" s="6"/>
      <c r="C533" s="6"/>
      <c r="D533" s="6"/>
      <c r="E533" s="6"/>
      <c r="F533" s="6"/>
      <c r="G533" s="6"/>
    </row>
    <row r="534" spans="2:7" x14ac:dyDescent="0.3">
      <c r="B534" s="6"/>
      <c r="C534" s="6"/>
      <c r="D534" s="6"/>
      <c r="E534" s="6"/>
      <c r="F534" s="6"/>
      <c r="G534" s="6"/>
    </row>
    <row r="535" spans="2:7" x14ac:dyDescent="0.3">
      <c r="B535" s="6"/>
      <c r="C535" s="6"/>
      <c r="D535" s="6"/>
      <c r="E535" s="6"/>
      <c r="F535" s="6"/>
      <c r="G535" s="6"/>
    </row>
    <row r="537" spans="2:7" x14ac:dyDescent="0.3">
      <c r="B537" s="5"/>
    </row>
    <row r="538" spans="2:7" x14ac:dyDescent="0.3">
      <c r="B538" s="5"/>
    </row>
    <row r="539" spans="2:7" x14ac:dyDescent="0.3">
      <c r="B539" s="10"/>
      <c r="C539" s="10"/>
      <c r="D539" s="10"/>
      <c r="E539" s="10"/>
      <c r="F539" s="10"/>
      <c r="G539" s="10"/>
    </row>
    <row r="540" spans="2:7" x14ac:dyDescent="0.3">
      <c r="B540" s="10"/>
      <c r="C540" s="10"/>
      <c r="D540" s="10"/>
      <c r="E540" s="10"/>
      <c r="F540" s="10"/>
      <c r="G540" s="10"/>
    </row>
    <row r="541" spans="2:7" x14ac:dyDescent="0.3">
      <c r="B541" s="6"/>
      <c r="C541" s="6"/>
      <c r="D541" s="6"/>
      <c r="E541" s="6"/>
      <c r="F541" s="6"/>
      <c r="G541" s="6"/>
    </row>
    <row r="542" spans="2:7" x14ac:dyDescent="0.3">
      <c r="B542" s="6"/>
      <c r="C542" s="6"/>
      <c r="D542" s="6"/>
      <c r="E542" s="6"/>
      <c r="F542" s="6"/>
      <c r="G542" s="6"/>
    </row>
    <row r="543" spans="2:7" x14ac:dyDescent="0.3">
      <c r="B543" s="6"/>
      <c r="C543" s="6"/>
      <c r="D543" s="6"/>
      <c r="E543" s="6"/>
      <c r="F543" s="6"/>
      <c r="G543" s="6"/>
    </row>
    <row r="544" spans="2:7" x14ac:dyDescent="0.3">
      <c r="B544" s="6"/>
      <c r="C544" s="6"/>
      <c r="D544" s="6"/>
      <c r="E544" s="6"/>
      <c r="F544" s="6"/>
      <c r="G544" s="6"/>
    </row>
    <row r="545" spans="2:7" x14ac:dyDescent="0.3">
      <c r="B545" s="6"/>
      <c r="C545" s="6"/>
      <c r="D545" s="6"/>
      <c r="E545" s="6"/>
      <c r="F545" s="6"/>
      <c r="G545" s="6"/>
    </row>
    <row r="546" spans="2:7" x14ac:dyDescent="0.3">
      <c r="B546" s="6"/>
      <c r="C546" s="6"/>
      <c r="D546" s="6"/>
      <c r="E546" s="6"/>
      <c r="F546" s="6"/>
      <c r="G546" s="6"/>
    </row>
    <row r="547" spans="2:7" x14ac:dyDescent="0.3">
      <c r="B547" s="6"/>
      <c r="C547" s="6"/>
      <c r="D547" s="6"/>
      <c r="E547" s="6"/>
      <c r="F547" s="6"/>
      <c r="G547" s="6"/>
    </row>
    <row r="548" spans="2:7" x14ac:dyDescent="0.3">
      <c r="B548" s="6"/>
      <c r="C548" s="6"/>
      <c r="D548" s="6"/>
      <c r="E548" s="6"/>
      <c r="F548" s="6"/>
      <c r="G548" s="6"/>
    </row>
    <row r="549" spans="2:7" x14ac:dyDescent="0.3">
      <c r="B549" s="6"/>
      <c r="C549" s="6"/>
      <c r="D549" s="6"/>
      <c r="E549" s="6"/>
      <c r="F549" s="6"/>
      <c r="G549" s="6"/>
    </row>
    <row r="550" spans="2:7" x14ac:dyDescent="0.3">
      <c r="B550" s="6"/>
      <c r="C550" s="6"/>
      <c r="D550" s="6"/>
      <c r="E550" s="6"/>
      <c r="F550" s="6"/>
      <c r="G550" s="6"/>
    </row>
    <row r="551" spans="2:7" x14ac:dyDescent="0.3">
      <c r="B551" s="6"/>
      <c r="C551" s="6"/>
      <c r="D551" s="6"/>
      <c r="E551" s="6"/>
      <c r="F551" s="6"/>
      <c r="G551" s="6"/>
    </row>
    <row r="552" spans="2:7" x14ac:dyDescent="0.3">
      <c r="B552" s="6"/>
      <c r="C552" s="6"/>
      <c r="D552" s="6"/>
      <c r="E552" s="6"/>
      <c r="F552" s="6"/>
      <c r="G552" s="6"/>
    </row>
    <row r="553" spans="2:7" x14ac:dyDescent="0.3">
      <c r="B553" s="6"/>
      <c r="C553" s="6"/>
      <c r="D553" s="6"/>
      <c r="E553" s="6"/>
      <c r="F553" s="6"/>
      <c r="G553" s="6"/>
    </row>
    <row r="554" spans="2:7" x14ac:dyDescent="0.3">
      <c r="B554" s="6"/>
      <c r="C554" s="6"/>
      <c r="D554" s="6"/>
      <c r="E554" s="6"/>
      <c r="F554" s="6"/>
      <c r="G554" s="6"/>
    </row>
    <row r="555" spans="2:7" x14ac:dyDescent="0.3">
      <c r="B555" s="6"/>
      <c r="C555" s="6"/>
      <c r="D555" s="6"/>
      <c r="E555" s="6"/>
      <c r="F555" s="6"/>
      <c r="G555" s="6"/>
    </row>
    <row r="556" spans="2:7" x14ac:dyDescent="0.3">
      <c r="B556" s="6"/>
      <c r="C556" s="6"/>
      <c r="D556" s="6"/>
      <c r="E556" s="6"/>
      <c r="F556" s="6"/>
      <c r="G556" s="6"/>
    </row>
    <row r="557" spans="2:7" x14ac:dyDescent="0.3">
      <c r="B557" s="6"/>
      <c r="C557" s="6"/>
      <c r="D557" s="6"/>
      <c r="E557" s="6"/>
      <c r="F557" s="6"/>
      <c r="G557" s="6"/>
    </row>
    <row r="558" spans="2:7" x14ac:dyDescent="0.3">
      <c r="B558" s="6"/>
      <c r="C558" s="6"/>
      <c r="D558" s="6"/>
      <c r="E558" s="6"/>
      <c r="F558" s="6"/>
      <c r="G558" s="6"/>
    </row>
    <row r="559" spans="2:7" x14ac:dyDescent="0.3">
      <c r="B559" s="6"/>
      <c r="C559" s="6"/>
      <c r="D559" s="6"/>
      <c r="E559" s="6"/>
      <c r="F559" s="6"/>
      <c r="G559" s="6"/>
    </row>
    <row r="560" spans="2:7" x14ac:dyDescent="0.3">
      <c r="B560" s="6"/>
      <c r="C560" s="6"/>
      <c r="D560" s="6"/>
      <c r="E560" s="6"/>
      <c r="F560" s="6"/>
      <c r="G560" s="6"/>
    </row>
    <row r="561" spans="2:7" x14ac:dyDescent="0.3">
      <c r="B561" s="6"/>
      <c r="C561" s="6"/>
      <c r="D561" s="6"/>
      <c r="E561" s="6"/>
      <c r="F561" s="6"/>
      <c r="G561" s="6"/>
    </row>
    <row r="562" spans="2:7" x14ac:dyDescent="0.3">
      <c r="B562" s="6"/>
      <c r="C562" s="6"/>
      <c r="D562" s="6"/>
      <c r="E562" s="6"/>
      <c r="F562" s="6"/>
      <c r="G562" s="6"/>
    </row>
    <row r="563" spans="2:7" x14ac:dyDescent="0.3">
      <c r="B563" s="6"/>
      <c r="C563" s="6"/>
      <c r="D563" s="6"/>
      <c r="E563" s="6"/>
      <c r="F563" s="6"/>
      <c r="G563" s="6"/>
    </row>
    <row r="564" spans="2:7" x14ac:dyDescent="0.3">
      <c r="B564" s="6"/>
      <c r="C564" s="6"/>
      <c r="D564" s="6"/>
      <c r="E564" s="6"/>
      <c r="F564" s="6"/>
      <c r="G564" s="6"/>
    </row>
    <row r="566" spans="2:7" x14ac:dyDescent="0.3">
      <c r="B566" s="5"/>
    </row>
    <row r="567" spans="2:7" x14ac:dyDescent="0.3">
      <c r="B567" s="5"/>
    </row>
    <row r="568" spans="2:7" x14ac:dyDescent="0.3">
      <c r="B568" s="10"/>
      <c r="C568" s="10"/>
      <c r="D568" s="10"/>
      <c r="E568" s="10"/>
      <c r="F568" s="10"/>
      <c r="G568" s="10"/>
    </row>
    <row r="569" spans="2:7" x14ac:dyDescent="0.3">
      <c r="B569" s="10"/>
      <c r="C569" s="10"/>
      <c r="D569" s="10"/>
      <c r="E569" s="10"/>
      <c r="F569" s="10"/>
      <c r="G569" s="10"/>
    </row>
    <row r="570" spans="2:7" x14ac:dyDescent="0.3">
      <c r="B570" s="6"/>
      <c r="C570" s="6"/>
      <c r="D570" s="6"/>
      <c r="E570" s="6"/>
      <c r="F570" s="6"/>
      <c r="G570" s="6"/>
    </row>
    <row r="571" spans="2:7" x14ac:dyDescent="0.3">
      <c r="B571" s="6"/>
      <c r="C571" s="6"/>
      <c r="D571" s="6"/>
      <c r="E571" s="6"/>
      <c r="F571" s="6"/>
      <c r="G571" s="6"/>
    </row>
    <row r="572" spans="2:7" x14ac:dyDescent="0.3">
      <c r="B572" s="6"/>
      <c r="C572" s="6"/>
      <c r="D572" s="6"/>
      <c r="E572" s="6"/>
      <c r="F572" s="6"/>
      <c r="G572" s="6"/>
    </row>
    <row r="573" spans="2:7" x14ac:dyDescent="0.3">
      <c r="B573" s="6"/>
      <c r="C573" s="6"/>
      <c r="D573" s="6"/>
      <c r="E573" s="6"/>
      <c r="F573" s="6"/>
      <c r="G573" s="6"/>
    </row>
    <row r="574" spans="2:7" x14ac:dyDescent="0.3">
      <c r="B574" s="6"/>
      <c r="C574" s="6"/>
      <c r="D574" s="6"/>
      <c r="E574" s="6"/>
      <c r="F574" s="6"/>
      <c r="G574" s="6"/>
    </row>
    <row r="575" spans="2:7" x14ac:dyDescent="0.3">
      <c r="B575" s="6"/>
      <c r="C575" s="6"/>
      <c r="D575" s="6"/>
      <c r="E575" s="6"/>
      <c r="F575" s="6"/>
      <c r="G575" s="6"/>
    </row>
    <row r="576" spans="2:7" x14ac:dyDescent="0.3">
      <c r="B576" s="6"/>
      <c r="C576" s="6"/>
      <c r="D576" s="6"/>
      <c r="E576" s="6"/>
      <c r="F576" s="6"/>
      <c r="G576" s="6"/>
    </row>
    <row r="577" spans="2:7" x14ac:dyDescent="0.3">
      <c r="B577" s="6"/>
      <c r="C577" s="6"/>
      <c r="D577" s="6"/>
      <c r="E577" s="6"/>
      <c r="F577" s="6"/>
      <c r="G577" s="6"/>
    </row>
    <row r="578" spans="2:7" x14ac:dyDescent="0.3">
      <c r="B578" s="6"/>
      <c r="C578" s="6"/>
      <c r="D578" s="6"/>
      <c r="E578" s="6"/>
      <c r="F578" s="6"/>
      <c r="G578" s="6"/>
    </row>
    <row r="579" spans="2:7" x14ac:dyDescent="0.3">
      <c r="B579" s="6"/>
      <c r="C579" s="6"/>
      <c r="D579" s="6"/>
      <c r="E579" s="6"/>
      <c r="F579" s="6"/>
      <c r="G579" s="6"/>
    </row>
    <row r="580" spans="2:7" x14ac:dyDescent="0.3">
      <c r="B580" s="6"/>
      <c r="C580" s="6"/>
      <c r="D580" s="6"/>
      <c r="E580" s="6"/>
      <c r="F580" s="6"/>
      <c r="G580" s="6"/>
    </row>
    <row r="581" spans="2:7" x14ac:dyDescent="0.3">
      <c r="B581" s="6"/>
      <c r="C581" s="6"/>
      <c r="D581" s="6"/>
      <c r="E581" s="6"/>
      <c r="F581" s="6"/>
      <c r="G581" s="6"/>
    </row>
    <row r="582" spans="2:7" x14ac:dyDescent="0.3">
      <c r="B582" s="6"/>
      <c r="C582" s="6"/>
      <c r="D582" s="6"/>
      <c r="E582" s="6"/>
      <c r="F582" s="6"/>
      <c r="G582" s="6"/>
    </row>
    <row r="583" spans="2:7" x14ac:dyDescent="0.3">
      <c r="B583" s="6"/>
      <c r="C583" s="6"/>
      <c r="D583" s="6"/>
      <c r="E583" s="6"/>
      <c r="F583" s="6"/>
      <c r="G583" s="6"/>
    </row>
    <row r="584" spans="2:7" x14ac:dyDescent="0.3">
      <c r="B584" s="6"/>
      <c r="C584" s="6"/>
      <c r="D584" s="6"/>
      <c r="E584" s="6"/>
      <c r="F584" s="6"/>
      <c r="G584" s="6"/>
    </row>
    <row r="585" spans="2:7" x14ac:dyDescent="0.3">
      <c r="B585" s="6"/>
      <c r="C585" s="6"/>
      <c r="D585" s="6"/>
      <c r="E585" s="6"/>
      <c r="F585" s="6"/>
      <c r="G585" s="6"/>
    </row>
    <row r="586" spans="2:7" x14ac:dyDescent="0.3">
      <c r="B586" s="6"/>
      <c r="C586" s="6"/>
      <c r="D586" s="6"/>
      <c r="E586" s="6"/>
      <c r="F586" s="6"/>
      <c r="G586" s="6"/>
    </row>
    <row r="587" spans="2:7" x14ac:dyDescent="0.3">
      <c r="B587" s="6"/>
      <c r="C587" s="6"/>
      <c r="D587" s="6"/>
      <c r="E587" s="6"/>
      <c r="F587" s="6"/>
      <c r="G587" s="6"/>
    </row>
    <row r="588" spans="2:7" x14ac:dyDescent="0.3">
      <c r="B588" s="6"/>
      <c r="C588" s="6"/>
      <c r="D588" s="6"/>
      <c r="E588" s="6"/>
      <c r="F588" s="6"/>
      <c r="G588" s="6"/>
    </row>
    <row r="589" spans="2:7" x14ac:dyDescent="0.3">
      <c r="B589" s="6"/>
      <c r="C589" s="6"/>
      <c r="D589" s="6"/>
      <c r="E589" s="6"/>
      <c r="F589" s="6"/>
      <c r="G589" s="6"/>
    </row>
    <row r="590" spans="2:7" x14ac:dyDescent="0.3">
      <c r="B590" s="6"/>
      <c r="C590" s="6"/>
      <c r="D590" s="6"/>
      <c r="E590" s="6"/>
      <c r="F590" s="6"/>
      <c r="G590" s="6"/>
    </row>
    <row r="592" spans="2:7" x14ac:dyDescent="0.3">
      <c r="B592" s="5"/>
    </row>
    <row r="593" spans="2:7" x14ac:dyDescent="0.3">
      <c r="B593" s="5"/>
    </row>
    <row r="594" spans="2:7" x14ac:dyDescent="0.3">
      <c r="B594" s="10"/>
      <c r="C594" s="10"/>
      <c r="D594" s="10"/>
      <c r="E594" s="10"/>
      <c r="F594" s="10"/>
      <c r="G594" s="10"/>
    </row>
    <row r="595" spans="2:7" x14ac:dyDescent="0.3">
      <c r="B595" s="10"/>
      <c r="C595" s="10"/>
      <c r="D595" s="10"/>
      <c r="E595" s="10"/>
      <c r="F595" s="10"/>
      <c r="G595" s="10"/>
    </row>
    <row r="596" spans="2:7" x14ac:dyDescent="0.3">
      <c r="B596" s="6"/>
      <c r="C596" s="6"/>
      <c r="D596" s="6"/>
      <c r="E596" s="6"/>
      <c r="F596" s="6"/>
      <c r="G596" s="6"/>
    </row>
    <row r="597" spans="2:7" x14ac:dyDescent="0.3">
      <c r="B597" s="6"/>
      <c r="C597" s="6"/>
      <c r="D597" s="6"/>
      <c r="E597" s="6"/>
      <c r="F597" s="6"/>
      <c r="G597" s="6"/>
    </row>
    <row r="598" spans="2:7" x14ac:dyDescent="0.3">
      <c r="B598" s="6"/>
      <c r="C598" s="6"/>
      <c r="D598" s="6"/>
      <c r="E598" s="6"/>
      <c r="F598" s="6"/>
      <c r="G598" s="6"/>
    </row>
    <row r="599" spans="2:7" x14ac:dyDescent="0.3">
      <c r="B599" s="6"/>
      <c r="C599" s="6"/>
      <c r="D599" s="6"/>
      <c r="E599" s="6"/>
      <c r="F599" s="6"/>
      <c r="G599" s="6"/>
    </row>
    <row r="600" spans="2:7" x14ac:dyDescent="0.3">
      <c r="B600" s="6"/>
      <c r="C600" s="6"/>
      <c r="D600" s="6"/>
      <c r="E600" s="6"/>
      <c r="F600" s="6"/>
      <c r="G600" s="6"/>
    </row>
    <row r="601" spans="2:7" x14ac:dyDescent="0.3">
      <c r="B601" s="6"/>
      <c r="C601" s="6"/>
      <c r="D601" s="6"/>
      <c r="E601" s="6"/>
      <c r="F601" s="6"/>
      <c r="G601" s="6"/>
    </row>
    <row r="602" spans="2:7" x14ac:dyDescent="0.3">
      <c r="B602" s="6"/>
      <c r="C602" s="6"/>
      <c r="D602" s="6"/>
      <c r="E602" s="6"/>
      <c r="F602" s="6"/>
      <c r="G602" s="6"/>
    </row>
    <row r="603" spans="2:7" x14ac:dyDescent="0.3">
      <c r="B603" s="6"/>
      <c r="C603" s="6"/>
      <c r="D603" s="6"/>
      <c r="E603" s="6"/>
      <c r="F603" s="6"/>
      <c r="G603" s="6"/>
    </row>
    <row r="604" spans="2:7" x14ac:dyDescent="0.3">
      <c r="B604" s="6"/>
      <c r="C604" s="6"/>
      <c r="D604" s="6"/>
      <c r="E604" s="6"/>
      <c r="F604" s="6"/>
      <c r="G604" s="6"/>
    </row>
    <row r="605" spans="2:7" x14ac:dyDescent="0.3">
      <c r="B605" s="6"/>
      <c r="C605" s="6"/>
      <c r="D605" s="6"/>
      <c r="E605" s="6"/>
      <c r="F605" s="6"/>
      <c r="G605" s="6"/>
    </row>
    <row r="606" spans="2:7" x14ac:dyDescent="0.3">
      <c r="B606" s="6"/>
      <c r="C606" s="6"/>
      <c r="D606" s="6"/>
      <c r="E606" s="6"/>
      <c r="F606" s="6"/>
      <c r="G606" s="6"/>
    </row>
    <row r="607" spans="2:7" x14ac:dyDescent="0.3">
      <c r="B607" s="6"/>
      <c r="C607" s="6"/>
      <c r="D607" s="6"/>
      <c r="E607" s="6"/>
      <c r="F607" s="6"/>
      <c r="G607" s="6"/>
    </row>
    <row r="608" spans="2:7" x14ac:dyDescent="0.3">
      <c r="B608" s="6"/>
      <c r="C608" s="6"/>
      <c r="D608" s="6"/>
      <c r="E608" s="6"/>
      <c r="F608" s="6"/>
      <c r="G608" s="6"/>
    </row>
    <row r="609" spans="2:7" x14ac:dyDescent="0.3">
      <c r="B609" s="6"/>
      <c r="C609" s="6"/>
      <c r="D609" s="6"/>
      <c r="E609" s="6"/>
      <c r="F609" s="6"/>
      <c r="G609" s="6"/>
    </row>
    <row r="610" spans="2:7" x14ac:dyDescent="0.3">
      <c r="B610" s="6"/>
      <c r="C610" s="6"/>
      <c r="D610" s="6"/>
      <c r="E610" s="6"/>
      <c r="F610" s="6"/>
      <c r="G610" s="6"/>
    </row>
    <row r="611" spans="2:7" x14ac:dyDescent="0.3">
      <c r="B611" s="6"/>
      <c r="C611" s="6"/>
      <c r="D611" s="6"/>
      <c r="E611" s="6"/>
      <c r="F611" s="6"/>
      <c r="G611" s="6"/>
    </row>
    <row r="612" spans="2:7" x14ac:dyDescent="0.3">
      <c r="B612" s="6"/>
      <c r="C612" s="6"/>
      <c r="D612" s="6"/>
      <c r="E612" s="6"/>
      <c r="F612" s="6"/>
      <c r="G612" s="6"/>
    </row>
    <row r="613" spans="2:7" x14ac:dyDescent="0.3">
      <c r="B613" s="6"/>
      <c r="C613" s="6"/>
      <c r="D613" s="6"/>
      <c r="E613" s="6"/>
      <c r="F613" s="6"/>
      <c r="G613" s="6"/>
    </row>
    <row r="614" spans="2:7" x14ac:dyDescent="0.3">
      <c r="B614" s="6"/>
      <c r="C614" s="6"/>
      <c r="D614" s="6"/>
      <c r="E614" s="6"/>
      <c r="F614" s="6"/>
      <c r="G614" s="6"/>
    </row>
    <row r="615" spans="2:7" x14ac:dyDescent="0.3">
      <c r="B615" s="6"/>
      <c r="C615" s="6"/>
      <c r="D615" s="6"/>
      <c r="E615" s="6"/>
      <c r="F615" s="6"/>
      <c r="G615" s="6"/>
    </row>
    <row r="616" spans="2:7" x14ac:dyDescent="0.3">
      <c r="B616" s="6"/>
      <c r="C616" s="6"/>
      <c r="D616" s="6"/>
      <c r="E616" s="6"/>
      <c r="F616" s="6"/>
      <c r="G616" s="6"/>
    </row>
    <row r="618" spans="2:7" x14ac:dyDescent="0.3">
      <c r="B618" s="5"/>
    </row>
    <row r="619" spans="2:7" x14ac:dyDescent="0.3">
      <c r="B619" s="5"/>
    </row>
    <row r="620" spans="2:7" x14ac:dyDescent="0.3">
      <c r="B620" s="10"/>
      <c r="C620" s="10"/>
      <c r="D620" s="10"/>
      <c r="E620" s="10"/>
      <c r="F620" s="10"/>
      <c r="G620" s="10"/>
    </row>
    <row r="621" spans="2:7" x14ac:dyDescent="0.3">
      <c r="B621" s="10"/>
      <c r="C621" s="10"/>
      <c r="D621" s="10"/>
      <c r="E621" s="10"/>
      <c r="F621" s="10"/>
      <c r="G621" s="10"/>
    </row>
    <row r="622" spans="2:7" x14ac:dyDescent="0.3">
      <c r="B622" s="6"/>
      <c r="C622" s="6"/>
      <c r="D622" s="6"/>
      <c r="E622" s="6"/>
      <c r="F622" s="6"/>
      <c r="G622" s="6"/>
    </row>
    <row r="623" spans="2:7" x14ac:dyDescent="0.3">
      <c r="B623" s="6"/>
      <c r="C623" s="6"/>
      <c r="D623" s="6"/>
      <c r="E623" s="6"/>
      <c r="F623" s="6"/>
      <c r="G623" s="6"/>
    </row>
    <row r="624" spans="2:7" x14ac:dyDescent="0.3">
      <c r="B624" s="6"/>
      <c r="C624" s="6"/>
      <c r="D624" s="6"/>
      <c r="E624" s="6"/>
      <c r="F624" s="6"/>
      <c r="G624" s="6"/>
    </row>
    <row r="625" spans="2:7" x14ac:dyDescent="0.3">
      <c r="B625" s="6"/>
      <c r="C625" s="6"/>
      <c r="D625" s="6"/>
      <c r="E625" s="6"/>
      <c r="F625" s="6"/>
      <c r="G625" s="6"/>
    </row>
    <row r="626" spans="2:7" x14ac:dyDescent="0.3">
      <c r="B626" s="6"/>
      <c r="C626" s="6"/>
      <c r="D626" s="6"/>
      <c r="E626" s="6"/>
      <c r="F626" s="6"/>
      <c r="G626" s="6"/>
    </row>
    <row r="627" spans="2:7" x14ac:dyDescent="0.3">
      <c r="B627" s="6"/>
      <c r="C627" s="6"/>
      <c r="D627" s="6"/>
      <c r="E627" s="6"/>
      <c r="F627" s="6"/>
      <c r="G627" s="6"/>
    </row>
    <row r="628" spans="2:7" x14ac:dyDescent="0.3">
      <c r="B628" s="6"/>
      <c r="C628" s="6"/>
      <c r="D628" s="6"/>
      <c r="E628" s="6"/>
      <c r="F628" s="6"/>
      <c r="G628" s="6"/>
    </row>
    <row r="629" spans="2:7" x14ac:dyDescent="0.3">
      <c r="B629" s="6"/>
      <c r="C629" s="6"/>
      <c r="D629" s="6"/>
      <c r="E629" s="6"/>
      <c r="F629" s="6"/>
      <c r="G629" s="6"/>
    </row>
    <row r="630" spans="2:7" x14ac:dyDescent="0.3">
      <c r="B630" s="6"/>
      <c r="C630" s="6"/>
      <c r="D630" s="6"/>
      <c r="E630" s="6"/>
      <c r="F630" s="6"/>
      <c r="G630" s="6"/>
    </row>
    <row r="631" spans="2:7" x14ac:dyDescent="0.3">
      <c r="B631" s="6"/>
      <c r="C631" s="6"/>
      <c r="D631" s="6"/>
      <c r="E631" s="6"/>
      <c r="F631" s="6"/>
      <c r="G631" s="6"/>
    </row>
    <row r="632" spans="2:7" x14ac:dyDescent="0.3">
      <c r="B632" s="6"/>
      <c r="C632" s="6"/>
      <c r="D632" s="6"/>
      <c r="E632" s="6"/>
      <c r="F632" s="6"/>
      <c r="G632" s="6"/>
    </row>
    <row r="633" spans="2:7" x14ac:dyDescent="0.3">
      <c r="B633" s="6"/>
      <c r="C633" s="6"/>
      <c r="D633" s="6"/>
      <c r="E633" s="6"/>
      <c r="F633" s="6"/>
      <c r="G633" s="6"/>
    </row>
    <row r="634" spans="2:7" x14ac:dyDescent="0.3">
      <c r="B634" s="6"/>
      <c r="C634" s="6"/>
      <c r="D634" s="6"/>
      <c r="E634" s="6"/>
      <c r="F634" s="6"/>
      <c r="G634" s="6"/>
    </row>
    <row r="635" spans="2:7" x14ac:dyDescent="0.3">
      <c r="B635" s="6"/>
      <c r="C635" s="6"/>
      <c r="D635" s="6"/>
      <c r="E635" s="6"/>
      <c r="F635" s="6"/>
      <c r="G635" s="6"/>
    </row>
    <row r="636" spans="2:7" x14ac:dyDescent="0.3">
      <c r="B636" s="6"/>
      <c r="C636" s="6"/>
      <c r="D636" s="6"/>
      <c r="E636" s="6"/>
      <c r="F636" s="6"/>
      <c r="G636" s="6"/>
    </row>
    <row r="637" spans="2:7" x14ac:dyDescent="0.3">
      <c r="B637" s="6"/>
      <c r="C637" s="6"/>
      <c r="D637" s="6"/>
      <c r="E637" s="6"/>
      <c r="F637" s="6"/>
      <c r="G637" s="6"/>
    </row>
    <row r="638" spans="2:7" x14ac:dyDescent="0.3">
      <c r="B638" s="6"/>
      <c r="C638" s="6"/>
      <c r="D638" s="6"/>
      <c r="E638" s="6"/>
      <c r="F638" s="6"/>
      <c r="G638" s="6"/>
    </row>
    <row r="639" spans="2:7" x14ac:dyDescent="0.3">
      <c r="B639" s="6"/>
      <c r="C639" s="6"/>
      <c r="D639" s="6"/>
      <c r="E639" s="6"/>
      <c r="F639" s="6"/>
      <c r="G639" s="6"/>
    </row>
    <row r="640" spans="2:7" x14ac:dyDescent="0.3">
      <c r="B640" s="6"/>
      <c r="C640" s="6"/>
      <c r="D640" s="6"/>
      <c r="E640" s="6"/>
      <c r="F640" s="6"/>
      <c r="G640" s="6"/>
    </row>
    <row r="641" spans="2:7" x14ac:dyDescent="0.3">
      <c r="B641" s="6"/>
      <c r="C641" s="6"/>
      <c r="D641" s="6"/>
      <c r="E641" s="6"/>
      <c r="F641" s="6"/>
      <c r="G641" s="6"/>
    </row>
    <row r="643" spans="2:7" x14ac:dyDescent="0.3">
      <c r="B643" s="5"/>
    </row>
    <row r="644" spans="2:7" x14ac:dyDescent="0.3">
      <c r="B644" s="5"/>
    </row>
    <row r="645" spans="2:7" x14ac:dyDescent="0.3">
      <c r="B645" s="10"/>
      <c r="C645" s="10"/>
      <c r="D645" s="10"/>
      <c r="E645" s="10"/>
      <c r="F645" s="10"/>
      <c r="G645" s="10"/>
    </row>
    <row r="646" spans="2:7" x14ac:dyDescent="0.3">
      <c r="B646" s="10"/>
      <c r="C646" s="10"/>
      <c r="D646" s="10"/>
      <c r="E646" s="10"/>
      <c r="F646" s="10"/>
      <c r="G646" s="10"/>
    </row>
    <row r="647" spans="2:7" x14ac:dyDescent="0.3">
      <c r="B647" s="6"/>
      <c r="C647" s="6"/>
      <c r="D647" s="6"/>
      <c r="E647" s="6"/>
      <c r="F647" s="6"/>
      <c r="G647" s="6"/>
    </row>
    <row r="648" spans="2:7" x14ac:dyDescent="0.3">
      <c r="B648" s="6"/>
      <c r="C648" s="6"/>
      <c r="D648" s="6"/>
      <c r="E648" s="6"/>
      <c r="F648" s="6"/>
      <c r="G648" s="6"/>
    </row>
    <row r="649" spans="2:7" x14ac:dyDescent="0.3">
      <c r="B649" s="6"/>
      <c r="C649" s="6"/>
      <c r="D649" s="6"/>
      <c r="E649" s="6"/>
      <c r="F649" s="6"/>
      <c r="G649" s="6"/>
    </row>
    <row r="650" spans="2:7" x14ac:dyDescent="0.3">
      <c r="B650" s="6"/>
      <c r="C650" s="6"/>
      <c r="D650" s="6"/>
      <c r="E650" s="6"/>
      <c r="F650" s="6"/>
      <c r="G650" s="6"/>
    </row>
    <row r="651" spans="2:7" x14ac:dyDescent="0.3">
      <c r="B651" s="6"/>
      <c r="C651" s="6"/>
      <c r="D651" s="6"/>
      <c r="E651" s="6"/>
      <c r="F651" s="6"/>
      <c r="G651" s="6"/>
    </row>
    <row r="652" spans="2:7" x14ac:dyDescent="0.3">
      <c r="B652" s="6"/>
      <c r="C652" s="6"/>
      <c r="D652" s="6"/>
      <c r="E652" s="6"/>
      <c r="F652" s="6"/>
      <c r="G652" s="6"/>
    </row>
    <row r="653" spans="2:7" x14ac:dyDescent="0.3">
      <c r="B653" s="6"/>
      <c r="C653" s="6"/>
      <c r="D653" s="6"/>
      <c r="E653" s="6"/>
      <c r="F653" s="6"/>
      <c r="G653" s="6"/>
    </row>
    <row r="654" spans="2:7" x14ac:dyDescent="0.3">
      <c r="B654" s="6"/>
      <c r="C654" s="6"/>
      <c r="D654" s="6"/>
      <c r="E654" s="6"/>
      <c r="F654" s="6"/>
      <c r="G654" s="6"/>
    </row>
    <row r="655" spans="2:7" x14ac:dyDescent="0.3">
      <c r="B655" s="6"/>
      <c r="C655" s="6"/>
      <c r="D655" s="6"/>
      <c r="E655" s="6"/>
      <c r="F655" s="6"/>
      <c r="G655" s="6"/>
    </row>
    <row r="656" spans="2:7" x14ac:dyDescent="0.3">
      <c r="B656" s="6"/>
      <c r="C656" s="6"/>
      <c r="D656" s="6"/>
      <c r="E656" s="6"/>
      <c r="F656" s="6"/>
      <c r="G656" s="6"/>
    </row>
    <row r="657" spans="2:7" x14ac:dyDescent="0.3">
      <c r="B657" s="6"/>
      <c r="C657" s="6"/>
      <c r="D657" s="6"/>
      <c r="E657" s="6"/>
      <c r="F657" s="6"/>
      <c r="G657" s="6"/>
    </row>
    <row r="658" spans="2:7" x14ac:dyDescent="0.3">
      <c r="B658" s="6"/>
      <c r="C658" s="6"/>
      <c r="D658" s="6"/>
      <c r="E658" s="6"/>
      <c r="F658" s="6"/>
      <c r="G658" s="6"/>
    </row>
    <row r="659" spans="2:7" x14ac:dyDescent="0.3">
      <c r="B659" s="6"/>
      <c r="C659" s="6"/>
      <c r="D659" s="6"/>
      <c r="E659" s="6"/>
      <c r="F659" s="6"/>
      <c r="G659" s="6"/>
    </row>
    <row r="660" spans="2:7" x14ac:dyDescent="0.3">
      <c r="B660" s="6"/>
      <c r="C660" s="6"/>
      <c r="D660" s="6"/>
      <c r="E660" s="6"/>
      <c r="F660" s="6"/>
      <c r="G660" s="6"/>
    </row>
    <row r="661" spans="2:7" x14ac:dyDescent="0.3">
      <c r="B661" s="6"/>
      <c r="C661" s="6"/>
      <c r="D661" s="6"/>
      <c r="E661" s="6"/>
      <c r="F661" s="6"/>
      <c r="G661" s="6"/>
    </row>
    <row r="662" spans="2:7" x14ac:dyDescent="0.3">
      <c r="B662" s="6"/>
      <c r="C662" s="6"/>
      <c r="D662" s="6"/>
      <c r="E662" s="6"/>
      <c r="F662" s="6"/>
      <c r="G662" s="6"/>
    </row>
    <row r="663" spans="2:7" x14ac:dyDescent="0.3">
      <c r="B663" s="6"/>
      <c r="C663" s="6"/>
      <c r="D663" s="6"/>
      <c r="E663" s="6"/>
      <c r="F663" s="6"/>
      <c r="G663" s="6"/>
    </row>
    <row r="664" spans="2:7" x14ac:dyDescent="0.3">
      <c r="B664" s="6"/>
      <c r="C664" s="6"/>
      <c r="D664" s="6"/>
      <c r="E664" s="6"/>
      <c r="F664" s="6"/>
      <c r="G664" s="6"/>
    </row>
    <row r="665" spans="2:7" x14ac:dyDescent="0.3">
      <c r="B665" s="6"/>
      <c r="C665" s="6"/>
      <c r="D665" s="6"/>
      <c r="E665" s="6"/>
      <c r="F665" s="6"/>
      <c r="G665" s="6"/>
    </row>
    <row r="666" spans="2:7" x14ac:dyDescent="0.3">
      <c r="B666" s="6"/>
      <c r="C666" s="6"/>
      <c r="D666" s="6"/>
      <c r="E666" s="6"/>
      <c r="F666" s="6"/>
      <c r="G666" s="6"/>
    </row>
    <row r="667" spans="2:7" x14ac:dyDescent="0.3">
      <c r="B667" s="6"/>
      <c r="C667" s="6"/>
      <c r="D667" s="6"/>
      <c r="E667" s="6"/>
      <c r="F667" s="6"/>
      <c r="G667" s="6"/>
    </row>
    <row r="668" spans="2:7" x14ac:dyDescent="0.3">
      <c r="B668" s="6"/>
      <c r="C668" s="6"/>
      <c r="D668" s="6"/>
      <c r="E668" s="6"/>
      <c r="F668" s="6"/>
      <c r="G668" s="6"/>
    </row>
    <row r="669" spans="2:7" x14ac:dyDescent="0.3">
      <c r="B669" s="6"/>
      <c r="C669" s="6"/>
      <c r="D669" s="6"/>
      <c r="E669" s="6"/>
      <c r="F669" s="6"/>
      <c r="G669" s="6"/>
    </row>
    <row r="670" spans="2:7" x14ac:dyDescent="0.3">
      <c r="B670" s="6"/>
      <c r="C670" s="6"/>
      <c r="D670" s="6"/>
      <c r="E670" s="6"/>
      <c r="F670" s="6"/>
      <c r="G670" s="6"/>
    </row>
    <row r="672" spans="2:7" x14ac:dyDescent="0.3">
      <c r="B672" s="5"/>
    </row>
    <row r="673" spans="2:7" x14ac:dyDescent="0.3">
      <c r="B673" s="5"/>
    </row>
    <row r="674" spans="2:7" x14ac:dyDescent="0.3">
      <c r="B674" s="10"/>
      <c r="C674" s="10"/>
      <c r="D674" s="10"/>
      <c r="E674" s="10"/>
      <c r="F674" s="10"/>
      <c r="G674" s="10"/>
    </row>
    <row r="675" spans="2:7" x14ac:dyDescent="0.3">
      <c r="B675" s="10"/>
      <c r="C675" s="10"/>
      <c r="D675" s="10"/>
      <c r="E675" s="10"/>
      <c r="F675" s="10"/>
      <c r="G675" s="10"/>
    </row>
    <row r="676" spans="2:7" x14ac:dyDescent="0.3">
      <c r="B676" s="6"/>
      <c r="C676" s="6"/>
      <c r="D676" s="6"/>
      <c r="E676" s="6"/>
      <c r="F676" s="6"/>
      <c r="G676" s="6"/>
    </row>
    <row r="677" spans="2:7" x14ac:dyDescent="0.3">
      <c r="B677" s="6"/>
      <c r="C677" s="6"/>
      <c r="D677" s="6"/>
      <c r="E677" s="6"/>
      <c r="F677" s="6"/>
      <c r="G677" s="6"/>
    </row>
    <row r="678" spans="2:7" x14ac:dyDescent="0.3">
      <c r="B678" s="6"/>
      <c r="C678" s="6"/>
      <c r="D678" s="6"/>
      <c r="E678" s="6"/>
      <c r="F678" s="6"/>
      <c r="G678" s="6"/>
    </row>
    <row r="679" spans="2:7" x14ac:dyDescent="0.3">
      <c r="B679" s="6"/>
      <c r="C679" s="6"/>
      <c r="D679" s="6"/>
      <c r="E679" s="6"/>
      <c r="F679" s="6"/>
      <c r="G679" s="6"/>
    </row>
    <row r="680" spans="2:7" x14ac:dyDescent="0.3">
      <c r="B680" s="6"/>
      <c r="C680" s="6"/>
      <c r="D680" s="6"/>
      <c r="E680" s="6"/>
      <c r="F680" s="6"/>
      <c r="G680" s="6"/>
    </row>
    <row r="681" spans="2:7" x14ac:dyDescent="0.3">
      <c r="B681" s="6"/>
      <c r="C681" s="6"/>
      <c r="D681" s="6"/>
      <c r="E681" s="6"/>
      <c r="F681" s="6"/>
      <c r="G681" s="6"/>
    </row>
    <row r="682" spans="2:7" x14ac:dyDescent="0.3">
      <c r="B682" s="6"/>
      <c r="C682" s="6"/>
      <c r="D682" s="6"/>
      <c r="E682" s="6"/>
      <c r="F682" s="6"/>
      <c r="G682" s="6"/>
    </row>
    <row r="683" spans="2:7" x14ac:dyDescent="0.3">
      <c r="B683" s="6"/>
      <c r="C683" s="6"/>
      <c r="D683" s="6"/>
      <c r="E683" s="6"/>
      <c r="F683" s="6"/>
      <c r="G683" s="6"/>
    </row>
    <row r="684" spans="2:7" x14ac:dyDescent="0.3">
      <c r="B684" s="6"/>
      <c r="C684" s="6"/>
      <c r="D684" s="6"/>
      <c r="E684" s="6"/>
      <c r="F684" s="6"/>
      <c r="G684" s="6"/>
    </row>
    <row r="685" spans="2:7" x14ac:dyDescent="0.3">
      <c r="B685" s="6"/>
      <c r="C685" s="6"/>
      <c r="D685" s="6"/>
      <c r="E685" s="6"/>
      <c r="F685" s="6"/>
      <c r="G685" s="6"/>
    </row>
    <row r="686" spans="2:7" x14ac:dyDescent="0.3">
      <c r="B686" s="6"/>
      <c r="C686" s="6"/>
      <c r="D686" s="6"/>
      <c r="E686" s="6"/>
      <c r="F686" s="6"/>
      <c r="G686" s="6"/>
    </row>
    <row r="687" spans="2:7" x14ac:dyDescent="0.3">
      <c r="B687" s="6"/>
      <c r="C687" s="6"/>
      <c r="D687" s="6"/>
      <c r="E687" s="6"/>
      <c r="F687" s="6"/>
      <c r="G687" s="6"/>
    </row>
    <row r="688" spans="2:7" x14ac:dyDescent="0.3">
      <c r="B688" s="6"/>
      <c r="C688" s="6"/>
      <c r="D688" s="6"/>
      <c r="E688" s="6"/>
      <c r="F688" s="6"/>
      <c r="G688" s="6"/>
    </row>
    <row r="689" spans="2:7" x14ac:dyDescent="0.3">
      <c r="B689" s="6"/>
      <c r="C689" s="6"/>
      <c r="D689" s="6"/>
      <c r="E689" s="6"/>
      <c r="F689" s="6"/>
      <c r="G689" s="6"/>
    </row>
    <row r="690" spans="2:7" x14ac:dyDescent="0.3">
      <c r="B690" s="6"/>
      <c r="C690" s="6"/>
      <c r="D690" s="6"/>
      <c r="E690" s="6"/>
      <c r="F690" s="6"/>
      <c r="G690" s="6"/>
    </row>
    <row r="691" spans="2:7" x14ac:dyDescent="0.3">
      <c r="B691" s="6"/>
      <c r="C691" s="6"/>
      <c r="D691" s="6"/>
      <c r="E691" s="6"/>
      <c r="F691" s="6"/>
      <c r="G691" s="6"/>
    </row>
    <row r="692" spans="2:7" x14ac:dyDescent="0.3">
      <c r="B692" s="6"/>
      <c r="C692" s="6"/>
      <c r="D692" s="6"/>
      <c r="E692" s="6"/>
      <c r="F692" s="6"/>
      <c r="G692" s="6"/>
    </row>
    <row r="693" spans="2:7" x14ac:dyDescent="0.3">
      <c r="B693" s="6"/>
      <c r="C693" s="6"/>
      <c r="D693" s="6"/>
      <c r="E693" s="6"/>
      <c r="F693" s="6"/>
      <c r="G693" s="6"/>
    </row>
    <row r="694" spans="2:7" x14ac:dyDescent="0.3">
      <c r="B694" s="6"/>
      <c r="C694" s="6"/>
      <c r="D694" s="6"/>
      <c r="E694" s="6"/>
      <c r="F694" s="6"/>
      <c r="G694" s="6"/>
    </row>
    <row r="695" spans="2:7" x14ac:dyDescent="0.3">
      <c r="B695" s="6"/>
      <c r="C695" s="6"/>
      <c r="D695" s="6"/>
      <c r="E695" s="6"/>
      <c r="F695" s="6"/>
      <c r="G695" s="6"/>
    </row>
    <row r="696" spans="2:7" x14ac:dyDescent="0.3">
      <c r="B696" s="6"/>
      <c r="C696" s="6"/>
      <c r="D696" s="6"/>
      <c r="E696" s="6"/>
      <c r="F696" s="6"/>
      <c r="G696" s="6"/>
    </row>
    <row r="697" spans="2:7" x14ac:dyDescent="0.3">
      <c r="B697" s="6"/>
      <c r="C697" s="6"/>
      <c r="D697" s="6"/>
      <c r="E697" s="6"/>
      <c r="F697" s="6"/>
      <c r="G697" s="6"/>
    </row>
    <row r="698" spans="2:7" x14ac:dyDescent="0.3">
      <c r="B698" s="6"/>
      <c r="C698" s="6"/>
      <c r="D698" s="6"/>
      <c r="E698" s="6"/>
      <c r="F698" s="6"/>
      <c r="G698" s="6"/>
    </row>
    <row r="699" spans="2:7" x14ac:dyDescent="0.3">
      <c r="B699" s="6"/>
      <c r="C699" s="6"/>
      <c r="D699" s="6"/>
      <c r="E699" s="6"/>
      <c r="F699" s="6"/>
      <c r="G699" s="6"/>
    </row>
    <row r="701" spans="2:7" x14ac:dyDescent="0.3">
      <c r="B701" s="5"/>
    </row>
    <row r="702" spans="2:7" x14ac:dyDescent="0.3">
      <c r="B702" s="5"/>
    </row>
    <row r="703" spans="2:7" x14ac:dyDescent="0.3">
      <c r="B703" s="10"/>
      <c r="C703" s="10"/>
      <c r="D703" s="10"/>
      <c r="E703" s="10"/>
      <c r="F703" s="10"/>
      <c r="G703" s="10"/>
    </row>
    <row r="704" spans="2:7" x14ac:dyDescent="0.3">
      <c r="B704" s="10"/>
      <c r="C704" s="10"/>
      <c r="D704" s="10"/>
      <c r="E704" s="10"/>
      <c r="F704" s="10"/>
      <c r="G704" s="10"/>
    </row>
    <row r="705" spans="2:7" x14ac:dyDescent="0.3">
      <c r="B705" s="6"/>
      <c r="C705" s="6"/>
      <c r="D705" s="6"/>
      <c r="E705" s="6"/>
      <c r="F705" s="6"/>
      <c r="G705" s="6"/>
    </row>
    <row r="706" spans="2:7" x14ac:dyDescent="0.3">
      <c r="B706" s="6"/>
      <c r="C706" s="6"/>
      <c r="D706" s="6"/>
      <c r="E706" s="6"/>
      <c r="F706" s="6"/>
      <c r="G706" s="6"/>
    </row>
    <row r="707" spans="2:7" x14ac:dyDescent="0.3">
      <c r="B707" s="6"/>
      <c r="C707" s="6"/>
      <c r="D707" s="6"/>
      <c r="E707" s="6"/>
      <c r="F707" s="6"/>
      <c r="G707" s="6"/>
    </row>
    <row r="708" spans="2:7" x14ac:dyDescent="0.3">
      <c r="B708" s="6"/>
      <c r="C708" s="6"/>
      <c r="D708" s="6"/>
      <c r="E708" s="6"/>
      <c r="F708" s="6"/>
      <c r="G708" s="6"/>
    </row>
    <row r="709" spans="2:7" x14ac:dyDescent="0.3">
      <c r="B709" s="6"/>
      <c r="C709" s="6"/>
      <c r="D709" s="6"/>
      <c r="E709" s="6"/>
      <c r="F709" s="6"/>
      <c r="G709" s="6"/>
    </row>
    <row r="710" spans="2:7" x14ac:dyDescent="0.3">
      <c r="B710" s="6"/>
      <c r="C710" s="6"/>
      <c r="D710" s="6"/>
      <c r="E710" s="6"/>
      <c r="F710" s="6"/>
      <c r="G710" s="6"/>
    </row>
    <row r="712" spans="2:7" x14ac:dyDescent="0.3">
      <c r="B712" s="5"/>
    </row>
    <row r="713" spans="2:7" x14ac:dyDescent="0.3">
      <c r="B713" s="5"/>
    </row>
    <row r="714" spans="2:7" x14ac:dyDescent="0.3">
      <c r="B714" s="10"/>
      <c r="C714" s="10"/>
      <c r="D714" s="10"/>
      <c r="E714" s="10"/>
      <c r="F714" s="10"/>
      <c r="G714" s="10"/>
    </row>
    <row r="715" spans="2:7" x14ac:dyDescent="0.3">
      <c r="B715" s="10"/>
      <c r="C715" s="10"/>
      <c r="D715" s="10"/>
      <c r="E715" s="10"/>
      <c r="F715" s="10"/>
      <c r="G715" s="10"/>
    </row>
    <row r="716" spans="2:7" x14ac:dyDescent="0.3">
      <c r="B716" s="6"/>
      <c r="C716" s="6"/>
      <c r="D716" s="6"/>
      <c r="E716" s="6"/>
      <c r="F716" s="6"/>
      <c r="G716" s="6"/>
    </row>
    <row r="717" spans="2:7" x14ac:dyDescent="0.3">
      <c r="B717" s="6"/>
      <c r="C717" s="6"/>
      <c r="D717" s="6"/>
      <c r="E717" s="6"/>
      <c r="F717" s="6"/>
      <c r="G717" s="6"/>
    </row>
    <row r="718" spans="2:7" x14ac:dyDescent="0.3">
      <c r="B718" s="6"/>
      <c r="C718" s="6"/>
      <c r="D718" s="6"/>
      <c r="E718" s="6"/>
      <c r="F718" s="6"/>
      <c r="G718" s="6"/>
    </row>
    <row r="719" spans="2:7" x14ac:dyDescent="0.3">
      <c r="B719" s="6"/>
      <c r="C719" s="6"/>
      <c r="D719" s="6"/>
      <c r="E719" s="6"/>
      <c r="F719" s="6"/>
      <c r="G719" s="6"/>
    </row>
    <row r="720" spans="2:7" x14ac:dyDescent="0.3">
      <c r="B720" s="6"/>
      <c r="C720" s="6"/>
      <c r="D720" s="6"/>
      <c r="E720" s="6"/>
      <c r="F720" s="6"/>
      <c r="G720" s="6"/>
    </row>
    <row r="721" spans="2:7" x14ac:dyDescent="0.3">
      <c r="B721" s="6"/>
      <c r="C721" s="6"/>
      <c r="D721" s="6"/>
      <c r="E721" s="6"/>
      <c r="F721" s="6"/>
      <c r="G721" s="6"/>
    </row>
    <row r="722" spans="2:7" x14ac:dyDescent="0.3">
      <c r="B722" s="6"/>
      <c r="C722" s="6"/>
      <c r="D722" s="6"/>
      <c r="E722" s="6"/>
      <c r="F722" s="6"/>
      <c r="G722" s="6"/>
    </row>
    <row r="723" spans="2:7" x14ac:dyDescent="0.3">
      <c r="B723" s="6"/>
      <c r="C723" s="6"/>
      <c r="D723" s="6"/>
      <c r="E723" s="6"/>
      <c r="F723" s="6"/>
      <c r="G723" s="6"/>
    </row>
    <row r="724" spans="2:7" x14ac:dyDescent="0.3">
      <c r="B724" s="6"/>
      <c r="C724" s="6"/>
      <c r="D724" s="6"/>
      <c r="E724" s="6"/>
      <c r="F724" s="6"/>
      <c r="G724" s="6"/>
    </row>
    <row r="725" spans="2:7" x14ac:dyDescent="0.3">
      <c r="B725" s="6"/>
      <c r="C725" s="6"/>
      <c r="D725" s="6"/>
      <c r="E725" s="6"/>
      <c r="F725" s="6"/>
      <c r="G725" s="6"/>
    </row>
    <row r="726" spans="2:7" x14ac:dyDescent="0.3">
      <c r="B726" s="6"/>
      <c r="C726" s="6"/>
      <c r="D726" s="6"/>
      <c r="E726" s="6"/>
      <c r="F726" s="6"/>
      <c r="G726" s="6"/>
    </row>
    <row r="727" spans="2:7" x14ac:dyDescent="0.3">
      <c r="B727" s="6"/>
      <c r="C727" s="6"/>
      <c r="D727" s="6"/>
      <c r="E727" s="6"/>
      <c r="F727" s="6"/>
      <c r="G727" s="6"/>
    </row>
    <row r="728" spans="2:7" x14ac:dyDescent="0.3">
      <c r="B728" s="6"/>
      <c r="C728" s="6"/>
      <c r="D728" s="6"/>
      <c r="E728" s="6"/>
      <c r="F728" s="6"/>
      <c r="G728" s="6"/>
    </row>
    <row r="729" spans="2:7" x14ac:dyDescent="0.3">
      <c r="B729" s="6"/>
      <c r="C729" s="6"/>
      <c r="D729" s="6"/>
      <c r="E729" s="6"/>
      <c r="F729" s="6"/>
      <c r="G729" s="6"/>
    </row>
    <row r="730" spans="2:7" x14ac:dyDescent="0.3">
      <c r="B730" s="6"/>
      <c r="C730" s="6"/>
      <c r="D730" s="6"/>
      <c r="E730" s="6"/>
      <c r="F730" s="6"/>
      <c r="G730" s="6"/>
    </row>
    <row r="731" spans="2:7" x14ac:dyDescent="0.3">
      <c r="B731" s="6"/>
      <c r="C731" s="6"/>
      <c r="D731" s="6"/>
      <c r="E731" s="6"/>
      <c r="F731" s="6"/>
      <c r="G731" s="6"/>
    </row>
    <row r="732" spans="2:7" x14ac:dyDescent="0.3">
      <c r="B732" s="6"/>
      <c r="C732" s="6"/>
      <c r="D732" s="6"/>
      <c r="E732" s="6"/>
      <c r="F732" s="6"/>
      <c r="G732" s="6"/>
    </row>
    <row r="733" spans="2:7" x14ac:dyDescent="0.3">
      <c r="B733" s="6"/>
      <c r="C733" s="6"/>
      <c r="D733" s="6"/>
      <c r="E733" s="6"/>
      <c r="F733" s="6"/>
      <c r="G733" s="6"/>
    </row>
    <row r="734" spans="2:7" x14ac:dyDescent="0.3">
      <c r="B734" s="6"/>
      <c r="C734" s="6"/>
      <c r="D734" s="6"/>
      <c r="E734" s="6"/>
      <c r="F734" s="6"/>
      <c r="G734" s="6"/>
    </row>
    <row r="735" spans="2:7" x14ac:dyDescent="0.3">
      <c r="B735" s="6"/>
      <c r="C735" s="6"/>
      <c r="D735" s="6"/>
      <c r="E735" s="6"/>
      <c r="F735" s="6"/>
      <c r="G735" s="6"/>
    </row>
    <row r="736" spans="2:7" x14ac:dyDescent="0.3">
      <c r="B736" s="6"/>
      <c r="C736" s="6"/>
      <c r="D736" s="6"/>
      <c r="E736" s="6"/>
      <c r="F736" s="6"/>
      <c r="G736" s="6"/>
    </row>
    <row r="737" spans="2:7" x14ac:dyDescent="0.3">
      <c r="B737" s="6"/>
      <c r="C737" s="6"/>
      <c r="D737" s="6"/>
      <c r="E737" s="6"/>
      <c r="F737" s="6"/>
      <c r="G737" s="6"/>
    </row>
    <row r="738" spans="2:7" x14ac:dyDescent="0.3">
      <c r="B738" s="6"/>
      <c r="C738" s="6"/>
      <c r="D738" s="6"/>
      <c r="E738" s="6"/>
      <c r="F738" s="6"/>
      <c r="G738" s="6"/>
    </row>
    <row r="739" spans="2:7" x14ac:dyDescent="0.3">
      <c r="B739" s="6"/>
      <c r="C739" s="6"/>
      <c r="D739" s="6"/>
      <c r="E739" s="6"/>
      <c r="F739" s="6"/>
      <c r="G739" s="6"/>
    </row>
    <row r="741" spans="2:7" x14ac:dyDescent="0.3">
      <c r="B741" s="5"/>
    </row>
    <row r="742" spans="2:7" x14ac:dyDescent="0.3">
      <c r="B742" s="5"/>
    </row>
    <row r="743" spans="2:7" x14ac:dyDescent="0.3">
      <c r="B743" s="10"/>
      <c r="C743" s="10"/>
    </row>
    <row r="744" spans="2:7" x14ac:dyDescent="0.3">
      <c r="B744" s="6"/>
      <c r="C744" s="6"/>
    </row>
    <row r="745" spans="2:7" x14ac:dyDescent="0.3">
      <c r="B745" s="6"/>
      <c r="C745" s="6"/>
    </row>
    <row r="746" spans="2:7" x14ac:dyDescent="0.3">
      <c r="B746" s="6"/>
      <c r="C746" s="6"/>
    </row>
    <row r="747" spans="2:7" x14ac:dyDescent="0.3">
      <c r="B747" s="6"/>
      <c r="C747" s="6"/>
    </row>
    <row r="748" spans="2:7" x14ac:dyDescent="0.3">
      <c r="B748" s="6"/>
      <c r="C748" s="6"/>
    </row>
    <row r="749" spans="2:7" x14ac:dyDescent="0.3">
      <c r="B749" s="6"/>
      <c r="C749" s="6"/>
    </row>
    <row r="750" spans="2:7" x14ac:dyDescent="0.3">
      <c r="B750" s="6"/>
      <c r="C750" s="6"/>
    </row>
    <row r="752" spans="2:7" x14ac:dyDescent="0.3">
      <c r="B752" s="5"/>
    </row>
    <row r="753" spans="2:3" x14ac:dyDescent="0.3">
      <c r="B753" s="5"/>
    </row>
    <row r="754" spans="2:3" x14ac:dyDescent="0.3">
      <c r="B754" s="13"/>
      <c r="C754" s="10"/>
    </row>
    <row r="755" spans="2:3" x14ac:dyDescent="0.3">
      <c r="B755" s="6"/>
      <c r="C755" s="6"/>
    </row>
    <row r="756" spans="2:3" x14ac:dyDescent="0.3">
      <c r="B756" s="6"/>
      <c r="C756" s="6"/>
    </row>
    <row r="757" spans="2:3" x14ac:dyDescent="0.3">
      <c r="B757" s="6"/>
      <c r="C757" s="6"/>
    </row>
    <row r="758" spans="2:3" x14ac:dyDescent="0.3">
      <c r="B758" s="6"/>
      <c r="C758" s="6"/>
    </row>
    <row r="759" spans="2:3" x14ac:dyDescent="0.3">
      <c r="B759" s="6"/>
      <c r="C759" s="6"/>
    </row>
    <row r="760" spans="2:3" x14ac:dyDescent="0.3">
      <c r="B760" s="6"/>
      <c r="C760" s="6"/>
    </row>
    <row r="762" spans="2:3" x14ac:dyDescent="0.3">
      <c r="B762" s="5"/>
    </row>
    <row r="763" spans="2:3" x14ac:dyDescent="0.3">
      <c r="B763" s="5"/>
    </row>
    <row r="764" spans="2:3" x14ac:dyDescent="0.3">
      <c r="B764" s="13"/>
      <c r="C764" s="13"/>
    </row>
    <row r="765" spans="2:3" x14ac:dyDescent="0.3">
      <c r="B765" s="6"/>
      <c r="C765" s="6"/>
    </row>
    <row r="766" spans="2:3" x14ac:dyDescent="0.3">
      <c r="B766" s="6"/>
      <c r="C766" s="6"/>
    </row>
    <row r="767" spans="2:3" x14ac:dyDescent="0.3">
      <c r="B767" s="6"/>
      <c r="C767" s="6"/>
    </row>
    <row r="768" spans="2:3" x14ac:dyDescent="0.3">
      <c r="B768" s="6"/>
      <c r="C768" s="6"/>
    </row>
    <row r="769" spans="2:4" x14ac:dyDescent="0.3">
      <c r="B769" s="6"/>
      <c r="C769" s="6"/>
    </row>
    <row r="771" spans="2:4" x14ac:dyDescent="0.3">
      <c r="B771" s="5"/>
    </row>
    <row r="772" spans="2:4" x14ac:dyDescent="0.3">
      <c r="B772" s="5"/>
    </row>
    <row r="773" spans="2:4" x14ac:dyDescent="0.3">
      <c r="B773" s="13"/>
      <c r="C773" s="13"/>
      <c r="D773" s="13"/>
    </row>
    <row r="774" spans="2:4" x14ac:dyDescent="0.3">
      <c r="B774" s="6"/>
      <c r="C774" s="6"/>
      <c r="D774" s="6"/>
    </row>
    <row r="775" spans="2:4" x14ac:dyDescent="0.3">
      <c r="B775" s="6"/>
      <c r="C775" s="6"/>
      <c r="D775" s="6"/>
    </row>
    <row r="776" spans="2:4" x14ac:dyDescent="0.3">
      <c r="B776" s="6"/>
      <c r="C776" s="6"/>
      <c r="D776" s="6"/>
    </row>
    <row r="778" spans="2:4" x14ac:dyDescent="0.3">
      <c r="B778" s="5"/>
    </row>
    <row r="779" spans="2:4" x14ac:dyDescent="0.3">
      <c r="B779" s="5"/>
    </row>
    <row r="780" spans="2:4" x14ac:dyDescent="0.3">
      <c r="B780" s="13"/>
      <c r="C780" s="13"/>
    </row>
    <row r="781" spans="2:4" x14ac:dyDescent="0.3">
      <c r="B781" s="6"/>
      <c r="C781" s="6"/>
    </row>
    <row r="782" spans="2:4" x14ac:dyDescent="0.3">
      <c r="B782" s="6"/>
      <c r="C782" s="12"/>
    </row>
    <row r="783" spans="2:4" x14ac:dyDescent="0.3">
      <c r="B783" s="6"/>
      <c r="C783" s="12"/>
    </row>
    <row r="785" spans="2:3" x14ac:dyDescent="0.3">
      <c r="B785" s="5"/>
      <c r="C785" s="5"/>
    </row>
    <row r="786" spans="2:3" x14ac:dyDescent="0.3">
      <c r="B786" s="5"/>
      <c r="C786" s="5"/>
    </row>
    <row r="787" spans="2:3" ht="37.5" customHeight="1" x14ac:dyDescent="0.3">
      <c r="B787" s="13"/>
      <c r="C787" s="13"/>
    </row>
    <row r="788" spans="2:3" x14ac:dyDescent="0.3">
      <c r="B788" s="6"/>
      <c r="C788" s="12"/>
    </row>
    <row r="790" spans="2:3" x14ac:dyDescent="0.3">
      <c r="B790" s="2"/>
      <c r="C790" s="2"/>
    </row>
    <row r="792" spans="2:3" x14ac:dyDescent="0.3">
      <c r="B792" s="5"/>
    </row>
    <row r="793" spans="2:3" x14ac:dyDescent="0.3">
      <c r="B793" s="5"/>
    </row>
    <row r="794" spans="2:3" x14ac:dyDescent="0.3">
      <c r="B794" s="13"/>
      <c r="C794" s="13"/>
    </row>
    <row r="795" spans="2:3" x14ac:dyDescent="0.3">
      <c r="B795" s="7"/>
      <c r="C795" s="12"/>
    </row>
    <row r="796" spans="2:3" x14ac:dyDescent="0.3">
      <c r="B796" s="7"/>
      <c r="C796" s="6"/>
    </row>
    <row r="797" spans="2:3" x14ac:dyDescent="0.3">
      <c r="B797" s="7"/>
      <c r="C797" s="6"/>
    </row>
    <row r="798" spans="2:3" x14ac:dyDescent="0.3">
      <c r="B798" s="7"/>
      <c r="C798" s="6"/>
    </row>
    <row r="799" spans="2:3" x14ac:dyDescent="0.3">
      <c r="B799" s="7"/>
      <c r="C799" s="6"/>
    </row>
    <row r="800" spans="2:3" x14ac:dyDescent="0.3">
      <c r="B800" s="7"/>
      <c r="C800" s="12"/>
    </row>
    <row r="801" spans="2:3" x14ac:dyDescent="0.3">
      <c r="B801" s="7"/>
      <c r="C801" s="12"/>
    </row>
    <row r="802" spans="2:3" x14ac:dyDescent="0.3">
      <c r="B802" s="7"/>
      <c r="C802" s="12"/>
    </row>
    <row r="804" spans="2:3" x14ac:dyDescent="0.3">
      <c r="B804" s="5"/>
    </row>
    <row r="805" spans="2:3" x14ac:dyDescent="0.3">
      <c r="B805" s="5"/>
    </row>
    <row r="806" spans="2:3" ht="22.5" customHeight="1" x14ac:dyDescent="0.3">
      <c r="B806" s="13"/>
      <c r="C806" s="13"/>
    </row>
    <row r="807" spans="2:3" x14ac:dyDescent="0.3">
      <c r="B807" s="6"/>
      <c r="C807" s="12"/>
    </row>
    <row r="808" spans="2:3" x14ac:dyDescent="0.3">
      <c r="B808" s="6"/>
      <c r="C808" s="6"/>
    </row>
    <row r="809" spans="2:3" x14ac:dyDescent="0.3">
      <c r="B809" s="6"/>
      <c r="C809" s="6"/>
    </row>
    <row r="810" spans="2:3" x14ac:dyDescent="0.3">
      <c r="B810" s="6"/>
      <c r="C810" s="6"/>
    </row>
    <row r="811" spans="2:3" x14ac:dyDescent="0.3">
      <c r="B811" s="6"/>
      <c r="C811" s="6"/>
    </row>
    <row r="813" spans="2:3" x14ac:dyDescent="0.3">
      <c r="B813" s="5"/>
    </row>
    <row r="814" spans="2:3" x14ac:dyDescent="0.3">
      <c r="B814" s="5"/>
    </row>
    <row r="815" spans="2:3" x14ac:dyDescent="0.3">
      <c r="B815" s="13"/>
      <c r="C815" s="13"/>
    </row>
    <row r="816" spans="2:3" x14ac:dyDescent="0.3">
      <c r="B816" s="6"/>
      <c r="C816" s="12"/>
    </row>
    <row r="817" spans="2:5" x14ac:dyDescent="0.3">
      <c r="B817" s="6"/>
      <c r="C817" s="6"/>
    </row>
    <row r="818" spans="2:5" x14ac:dyDescent="0.3">
      <c r="B818" s="6"/>
      <c r="C818" s="6"/>
    </row>
    <row r="819" spans="2:5" x14ac:dyDescent="0.3">
      <c r="B819" s="6"/>
      <c r="C819" s="6"/>
    </row>
    <row r="820" spans="2:5" x14ac:dyDescent="0.3">
      <c r="B820" s="6"/>
      <c r="C820" s="6"/>
    </row>
    <row r="822" spans="2:5" x14ac:dyDescent="0.3">
      <c r="B822" s="5"/>
    </row>
    <row r="823" spans="2:5" x14ac:dyDescent="0.3">
      <c r="B823" s="5"/>
    </row>
    <row r="824" spans="2:5" ht="39" customHeight="1" x14ac:dyDescent="0.3">
      <c r="B824" s="13"/>
      <c r="C824" s="13"/>
      <c r="D824" s="13"/>
      <c r="E824" s="13"/>
    </row>
    <row r="825" spans="2:5" x14ac:dyDescent="0.3">
      <c r="B825" s="6"/>
      <c r="C825" s="12"/>
      <c r="D825" s="6"/>
      <c r="E825" s="12"/>
    </row>
    <row r="826" spans="2:5" x14ac:dyDescent="0.3">
      <c r="B826" s="6"/>
      <c r="C826" s="6"/>
      <c r="D826" s="6"/>
      <c r="E826" s="6"/>
    </row>
    <row r="827" spans="2:5" x14ac:dyDescent="0.3">
      <c r="B827" s="6"/>
      <c r="C827" s="6"/>
      <c r="D827" s="6"/>
      <c r="E827" s="6"/>
    </row>
    <row r="828" spans="2:5" x14ac:dyDescent="0.3">
      <c r="B828" s="6"/>
      <c r="C828" s="12"/>
      <c r="D828" s="6"/>
      <c r="E828" s="12"/>
    </row>
    <row r="829" spans="2:5" x14ac:dyDescent="0.3">
      <c r="B829" s="6"/>
      <c r="C829" s="12"/>
      <c r="D829" s="6"/>
      <c r="E829" s="12"/>
    </row>
    <row r="830" spans="2:5" x14ac:dyDescent="0.3">
      <c r="B830" s="6"/>
      <c r="C830" s="12"/>
      <c r="D830" s="6"/>
      <c r="E830" s="12"/>
    </row>
    <row r="831" spans="2:5" x14ac:dyDescent="0.3">
      <c r="B831" s="6"/>
      <c r="C831" s="12"/>
      <c r="D831" s="6"/>
      <c r="E831" s="12"/>
    </row>
    <row r="832" spans="2:5" x14ac:dyDescent="0.3">
      <c r="B832" s="6"/>
      <c r="C832" s="12"/>
      <c r="D832" s="6"/>
      <c r="E832" s="12"/>
    </row>
    <row r="833" spans="2:5" x14ac:dyDescent="0.3">
      <c r="B833" s="6"/>
      <c r="C833" s="12"/>
      <c r="D833" s="6"/>
      <c r="E833" s="12"/>
    </row>
    <row r="834" spans="2:5" x14ac:dyDescent="0.3">
      <c r="B834" s="6"/>
      <c r="C834" s="12"/>
      <c r="D834" s="6"/>
      <c r="E834" s="12"/>
    </row>
    <row r="835" spans="2:5" x14ac:dyDescent="0.3">
      <c r="B835" s="6"/>
      <c r="C835" s="12"/>
      <c r="D835" s="6"/>
      <c r="E835" s="12"/>
    </row>
    <row r="836" spans="2:5" x14ac:dyDescent="0.3">
      <c r="B836" s="6"/>
      <c r="C836" s="12"/>
      <c r="D836" s="6"/>
      <c r="E836" s="12"/>
    </row>
    <row r="837" spans="2:5" x14ac:dyDescent="0.3">
      <c r="B837" s="6"/>
      <c r="C837" s="12"/>
      <c r="D837" s="6"/>
      <c r="E837" s="12"/>
    </row>
    <row r="838" spans="2:5" x14ac:dyDescent="0.3">
      <c r="B838" s="6"/>
      <c r="C838" s="12"/>
      <c r="D838" s="6"/>
      <c r="E838" s="12"/>
    </row>
    <row r="839" spans="2:5" x14ac:dyDescent="0.3">
      <c r="B839" s="6"/>
      <c r="C839" s="12"/>
      <c r="D839" s="6"/>
      <c r="E839" s="12"/>
    </row>
    <row r="840" spans="2:5" x14ac:dyDescent="0.3">
      <c r="B840" s="6"/>
      <c r="C840" s="12"/>
      <c r="D840" s="6"/>
      <c r="E840" s="12"/>
    </row>
    <row r="841" spans="2:5" x14ac:dyDescent="0.3">
      <c r="B841" s="6"/>
      <c r="C841" s="12"/>
      <c r="D841" s="6"/>
      <c r="E841" s="12"/>
    </row>
    <row r="842" spans="2:5" x14ac:dyDescent="0.3">
      <c r="B842" s="6"/>
      <c r="C842" s="12"/>
      <c r="D842" s="6"/>
      <c r="E842" s="12"/>
    </row>
    <row r="843" spans="2:5" x14ac:dyDescent="0.3">
      <c r="B843" s="6"/>
      <c r="C843" s="12"/>
      <c r="D843" s="6"/>
      <c r="E843" s="12"/>
    </row>
    <row r="845" spans="2:5" x14ac:dyDescent="0.3">
      <c r="B845" s="5"/>
    </row>
    <row r="846" spans="2:5" x14ac:dyDescent="0.3">
      <c r="B846" s="5"/>
    </row>
    <row r="847" spans="2:5" x14ac:dyDescent="0.3">
      <c r="B847" s="13"/>
      <c r="C847" s="13"/>
      <c r="D847" s="13"/>
      <c r="E847" s="13"/>
    </row>
    <row r="848" spans="2:5" x14ac:dyDescent="0.3">
      <c r="B848" s="6"/>
      <c r="C848" s="12"/>
      <c r="D848" s="6"/>
      <c r="E848" s="12"/>
    </row>
    <row r="849" spans="2:5" x14ac:dyDescent="0.3">
      <c r="B849" s="6"/>
      <c r="C849" s="6"/>
      <c r="D849" s="6"/>
      <c r="E849" s="6"/>
    </row>
    <row r="850" spans="2:5" x14ac:dyDescent="0.3">
      <c r="B850" s="6"/>
      <c r="C850" s="6"/>
      <c r="D850" s="6"/>
      <c r="E850" s="6"/>
    </row>
    <row r="851" spans="2:5" x14ac:dyDescent="0.3">
      <c r="B851" s="6"/>
      <c r="C851" s="12"/>
      <c r="D851" s="6"/>
      <c r="E851" s="12"/>
    </row>
    <row r="852" spans="2:5" x14ac:dyDescent="0.3">
      <c r="B852" s="6"/>
      <c r="C852" s="12"/>
      <c r="D852" s="6"/>
      <c r="E852" s="12"/>
    </row>
    <row r="853" spans="2:5" x14ac:dyDescent="0.3">
      <c r="B853" s="6"/>
      <c r="C853" s="12"/>
      <c r="D853" s="6"/>
      <c r="E853" s="12"/>
    </row>
    <row r="854" spans="2:5" x14ac:dyDescent="0.3">
      <c r="B854" s="6"/>
      <c r="C854" s="12"/>
      <c r="D854" s="6"/>
      <c r="E854" s="12"/>
    </row>
    <row r="855" spans="2:5" x14ac:dyDescent="0.3">
      <c r="B855" s="6"/>
      <c r="C855" s="12"/>
      <c r="D855" s="6"/>
      <c r="E855" s="12"/>
    </row>
    <row r="856" spans="2:5" x14ac:dyDescent="0.3">
      <c r="B856" s="6"/>
      <c r="C856" s="12"/>
      <c r="D856" s="6"/>
      <c r="E856" s="12"/>
    </row>
    <row r="857" spans="2:5" x14ac:dyDescent="0.3">
      <c r="B857" s="6"/>
      <c r="C857" s="12"/>
      <c r="D857" s="6"/>
      <c r="E857" s="12"/>
    </row>
    <row r="858" spans="2:5" x14ac:dyDescent="0.3">
      <c r="B858" s="6"/>
      <c r="C858" s="12"/>
      <c r="D858" s="6"/>
      <c r="E858" s="12"/>
    </row>
    <row r="859" spans="2:5" x14ac:dyDescent="0.3">
      <c r="B859" s="6"/>
      <c r="C859" s="12"/>
      <c r="D859" s="6"/>
      <c r="E859" s="12"/>
    </row>
    <row r="861" spans="2:5" x14ac:dyDescent="0.3">
      <c r="B861" s="5"/>
    </row>
    <row r="862" spans="2:5" x14ac:dyDescent="0.3">
      <c r="B862" s="5"/>
    </row>
    <row r="863" spans="2:5" x14ac:dyDescent="0.3">
      <c r="B863" s="13"/>
      <c r="C863" s="13"/>
      <c r="D863" s="13"/>
      <c r="E863" s="13"/>
    </row>
    <row r="864" spans="2:5" x14ac:dyDescent="0.3">
      <c r="B864" s="6"/>
      <c r="C864" s="12"/>
      <c r="D864" s="6"/>
      <c r="E864" s="12"/>
    </row>
    <row r="865" spans="2:5" x14ac:dyDescent="0.3">
      <c r="B865" s="6"/>
      <c r="C865" s="6"/>
      <c r="D865" s="6"/>
      <c r="E865" s="6"/>
    </row>
    <row r="866" spans="2:5" x14ac:dyDescent="0.3">
      <c r="B866" s="6"/>
      <c r="C866" s="6"/>
      <c r="D866" s="6"/>
      <c r="E866" s="6"/>
    </row>
    <row r="867" spans="2:5" x14ac:dyDescent="0.3">
      <c r="B867" s="6"/>
      <c r="C867" s="12"/>
      <c r="D867" s="6"/>
      <c r="E867" s="12"/>
    </row>
    <row r="868" spans="2:5" x14ac:dyDescent="0.3">
      <c r="B868" s="6"/>
      <c r="C868" s="12"/>
      <c r="D868" s="6"/>
      <c r="E868" s="12"/>
    </row>
    <row r="869" spans="2:5" x14ac:dyDescent="0.3">
      <c r="B869" s="6"/>
      <c r="C869" s="12"/>
      <c r="D869" s="6"/>
      <c r="E869" s="12"/>
    </row>
    <row r="870" spans="2:5" x14ac:dyDescent="0.3">
      <c r="B870" s="6"/>
      <c r="C870" s="12"/>
      <c r="D870" s="6"/>
      <c r="E870" s="12"/>
    </row>
    <row r="871" spans="2:5" x14ac:dyDescent="0.3">
      <c r="B871" s="6"/>
      <c r="C871" s="12"/>
      <c r="D871" s="6"/>
      <c r="E871" s="12"/>
    </row>
    <row r="872" spans="2:5" x14ac:dyDescent="0.3">
      <c r="B872" s="6"/>
      <c r="C872" s="12"/>
      <c r="D872" s="6"/>
      <c r="E872" s="12"/>
    </row>
    <row r="873" spans="2:5" x14ac:dyDescent="0.3">
      <c r="B873" s="6"/>
      <c r="C873" s="12"/>
      <c r="D873" s="6"/>
      <c r="E873" s="12"/>
    </row>
    <row r="874" spans="2:5" x14ac:dyDescent="0.3">
      <c r="B874" s="6"/>
      <c r="C874" s="12"/>
      <c r="D874" s="6"/>
      <c r="E874" s="12"/>
    </row>
    <row r="875" spans="2:5" x14ac:dyDescent="0.3">
      <c r="B875" s="6"/>
      <c r="C875" s="12"/>
      <c r="D875" s="6"/>
      <c r="E875" s="12"/>
    </row>
    <row r="877" spans="2:5" x14ac:dyDescent="0.3">
      <c r="B877" s="5"/>
    </row>
    <row r="878" spans="2:5" x14ac:dyDescent="0.3">
      <c r="B878" s="5"/>
    </row>
    <row r="879" spans="2:5" x14ac:dyDescent="0.3">
      <c r="B879" s="13"/>
      <c r="C879" s="13"/>
      <c r="D879" s="13"/>
      <c r="E879" s="13"/>
    </row>
    <row r="880" spans="2:5" x14ac:dyDescent="0.3">
      <c r="B880" s="6"/>
      <c r="C880" s="12"/>
      <c r="D880" s="6"/>
      <c r="E880" s="12"/>
    </row>
    <row r="881" spans="2:5" x14ac:dyDescent="0.3">
      <c r="B881" s="6"/>
      <c r="C881" s="6"/>
      <c r="D881" s="6"/>
      <c r="E881" s="6"/>
    </row>
    <row r="882" spans="2:5" x14ac:dyDescent="0.3">
      <c r="B882" s="6"/>
      <c r="C882" s="6"/>
      <c r="D882" s="6"/>
      <c r="E882" s="6"/>
    </row>
    <row r="883" spans="2:5" x14ac:dyDescent="0.3">
      <c r="B883" s="6"/>
      <c r="C883" s="12"/>
      <c r="D883" s="6"/>
      <c r="E883" s="12"/>
    </row>
    <row r="884" spans="2:5" x14ac:dyDescent="0.3">
      <c r="B884" s="6"/>
      <c r="C884" s="12"/>
      <c r="D884" s="6"/>
      <c r="E884" s="12"/>
    </row>
    <row r="885" spans="2:5" x14ac:dyDescent="0.3">
      <c r="B885" s="6"/>
      <c r="C885" s="12"/>
      <c r="D885" s="6"/>
      <c r="E885" s="12"/>
    </row>
    <row r="886" spans="2:5" x14ac:dyDescent="0.3">
      <c r="B886" s="6"/>
      <c r="C886" s="12"/>
      <c r="D886" s="6"/>
      <c r="E886" s="12"/>
    </row>
    <row r="887" spans="2:5" x14ac:dyDescent="0.3">
      <c r="B887" s="6"/>
      <c r="C887" s="12"/>
      <c r="D887" s="6"/>
      <c r="E887" s="12"/>
    </row>
    <row r="888" spans="2:5" x14ac:dyDescent="0.3">
      <c r="B888" s="6"/>
      <c r="C888" s="12"/>
      <c r="D888" s="6"/>
      <c r="E888" s="12"/>
    </row>
    <row r="889" spans="2:5" x14ac:dyDescent="0.3">
      <c r="B889" s="6"/>
      <c r="C889" s="12"/>
      <c r="D889" s="6"/>
      <c r="E889" s="12"/>
    </row>
    <row r="890" spans="2:5" x14ac:dyDescent="0.3">
      <c r="B890" s="6"/>
      <c r="C890" s="12"/>
      <c r="D890" s="6"/>
      <c r="E890" s="12"/>
    </row>
    <row r="892" spans="2:5" x14ac:dyDescent="0.3">
      <c r="B892" s="5"/>
    </row>
    <row r="893" spans="2:5" x14ac:dyDescent="0.3">
      <c r="B893" s="5"/>
    </row>
    <row r="894" spans="2:5" x14ac:dyDescent="0.3">
      <c r="B894" s="13"/>
      <c r="C894" s="13"/>
      <c r="D894" s="13"/>
      <c r="E894" s="13"/>
    </row>
    <row r="895" spans="2:5" x14ac:dyDescent="0.3">
      <c r="B895" s="6"/>
      <c r="C895" s="12"/>
      <c r="D895" s="6"/>
      <c r="E895" s="12"/>
    </row>
    <row r="896" spans="2:5" x14ac:dyDescent="0.3">
      <c r="B896" s="6"/>
      <c r="C896" s="6"/>
      <c r="D896" s="6"/>
      <c r="E896" s="6"/>
    </row>
    <row r="897" spans="2:5" x14ac:dyDescent="0.3">
      <c r="B897" s="6"/>
      <c r="C897" s="6"/>
      <c r="D897" s="6"/>
      <c r="E897" s="6"/>
    </row>
    <row r="898" spans="2:5" x14ac:dyDescent="0.3">
      <c r="B898" s="6"/>
      <c r="C898" s="12"/>
      <c r="D898" s="6"/>
      <c r="E898" s="12"/>
    </row>
    <row r="899" spans="2:5" x14ac:dyDescent="0.3">
      <c r="B899" s="6"/>
      <c r="C899" s="12"/>
      <c r="D899" s="6"/>
      <c r="E899" s="12"/>
    </row>
    <row r="900" spans="2:5" x14ac:dyDescent="0.3">
      <c r="B900" s="6"/>
      <c r="C900" s="12"/>
      <c r="D900" s="6"/>
      <c r="E900" s="12"/>
    </row>
    <row r="901" spans="2:5" x14ac:dyDescent="0.3">
      <c r="B901" s="6"/>
      <c r="C901" s="12"/>
      <c r="D901" s="6"/>
      <c r="E901" s="12"/>
    </row>
    <row r="902" spans="2:5" x14ac:dyDescent="0.3">
      <c r="B902" s="6"/>
      <c r="C902" s="12"/>
      <c r="D902" s="6"/>
      <c r="E902" s="12"/>
    </row>
    <row r="903" spans="2:5" x14ac:dyDescent="0.3">
      <c r="B903" s="6"/>
      <c r="C903" s="12"/>
      <c r="D903" s="6"/>
      <c r="E903" s="12"/>
    </row>
    <row r="904" spans="2:5" x14ac:dyDescent="0.3">
      <c r="B904" s="6"/>
      <c r="C904" s="12"/>
      <c r="D904" s="6"/>
      <c r="E904" s="12"/>
    </row>
    <row r="905" spans="2:5" x14ac:dyDescent="0.3">
      <c r="B905" s="6"/>
      <c r="C905" s="12"/>
      <c r="D905" s="6"/>
      <c r="E905" s="12"/>
    </row>
    <row r="907" spans="2:5" x14ac:dyDescent="0.3">
      <c r="B907" s="5"/>
    </row>
    <row r="908" spans="2:5" x14ac:dyDescent="0.3">
      <c r="B908" s="5"/>
    </row>
    <row r="909" spans="2:5" x14ac:dyDescent="0.3">
      <c r="B909" s="13"/>
      <c r="C909" s="13"/>
      <c r="D909" s="13"/>
    </row>
    <row r="910" spans="2:5" x14ac:dyDescent="0.3">
      <c r="B910" s="6"/>
      <c r="C910" s="12"/>
      <c r="D910" s="6"/>
    </row>
    <row r="911" spans="2:5" x14ac:dyDescent="0.3">
      <c r="B911" s="6"/>
      <c r="C911" s="6"/>
      <c r="D911" s="6"/>
    </row>
    <row r="912" spans="2:5" x14ac:dyDescent="0.3">
      <c r="B912" s="6"/>
      <c r="C912" s="6"/>
      <c r="D912" s="6"/>
    </row>
    <row r="913" spans="2:4" x14ac:dyDescent="0.3">
      <c r="B913" s="6"/>
      <c r="C913" s="12"/>
      <c r="D913" s="6"/>
    </row>
    <row r="914" spans="2:4" x14ac:dyDescent="0.3">
      <c r="B914" s="6"/>
      <c r="C914" s="12"/>
      <c r="D914" s="6"/>
    </row>
    <row r="915" spans="2:4" x14ac:dyDescent="0.3">
      <c r="B915" s="6"/>
      <c r="C915" s="12"/>
      <c r="D915" s="6"/>
    </row>
    <row r="916" spans="2:4" x14ac:dyDescent="0.3">
      <c r="B916" s="6"/>
      <c r="C916" s="12"/>
      <c r="D916" s="6"/>
    </row>
    <row r="917" spans="2:4" x14ac:dyDescent="0.3">
      <c r="B917" s="6"/>
      <c r="C917" s="12"/>
      <c r="D917" s="6"/>
    </row>
    <row r="918" spans="2:4" x14ac:dyDescent="0.3">
      <c r="B918" s="6"/>
      <c r="C918" s="12"/>
      <c r="D918" s="6"/>
    </row>
    <row r="919" spans="2:4" x14ac:dyDescent="0.3">
      <c r="B919" s="6"/>
      <c r="C919" s="12"/>
      <c r="D919" s="6"/>
    </row>
    <row r="920" spans="2:4" x14ac:dyDescent="0.3">
      <c r="B920" s="6"/>
      <c r="C920" s="12"/>
      <c r="D920" s="6"/>
    </row>
    <row r="921" spans="2:4" x14ac:dyDescent="0.3">
      <c r="B921" s="6"/>
      <c r="C921" s="12"/>
      <c r="D921" s="6"/>
    </row>
    <row r="922" spans="2:4" x14ac:dyDescent="0.3">
      <c r="B922" s="6"/>
      <c r="C922" s="6"/>
      <c r="D922" s="6"/>
    </row>
    <row r="923" spans="2:4" x14ac:dyDescent="0.3">
      <c r="B923" s="6"/>
      <c r="C923" s="6"/>
      <c r="D923" s="6"/>
    </row>
    <row r="924" spans="2:4" x14ac:dyDescent="0.3">
      <c r="B924" s="6"/>
      <c r="C924" s="12"/>
      <c r="D924" s="6"/>
    </row>
    <row r="925" spans="2:4" x14ac:dyDescent="0.3">
      <c r="B925" s="6"/>
      <c r="C925" s="12"/>
      <c r="D925" s="6"/>
    </row>
    <row r="926" spans="2:4" x14ac:dyDescent="0.3">
      <c r="B926" s="6"/>
      <c r="C926" s="12"/>
      <c r="D926" s="6"/>
    </row>
    <row r="927" spans="2:4" x14ac:dyDescent="0.3">
      <c r="B927" s="6"/>
      <c r="C927" s="12"/>
      <c r="D927" s="6"/>
    </row>
    <row r="929" spans="2:4" x14ac:dyDescent="0.3">
      <c r="B929" s="5"/>
    </row>
    <row r="930" spans="2:4" x14ac:dyDescent="0.3">
      <c r="B930" s="5"/>
    </row>
    <row r="931" spans="2:4" x14ac:dyDescent="0.3">
      <c r="B931" s="13"/>
      <c r="C931" s="13"/>
      <c r="D931" s="13"/>
    </row>
    <row r="932" spans="2:4" x14ac:dyDescent="0.3">
      <c r="B932" s="6"/>
      <c r="C932" s="12"/>
      <c r="D932" s="6"/>
    </row>
    <row r="933" spans="2:4" x14ac:dyDescent="0.3">
      <c r="B933" s="6"/>
      <c r="C933" s="6"/>
      <c r="D933" s="6"/>
    </row>
    <row r="934" spans="2:4" x14ac:dyDescent="0.3">
      <c r="B934" s="6"/>
      <c r="C934" s="6"/>
      <c r="D934" s="6"/>
    </row>
    <row r="935" spans="2:4" x14ac:dyDescent="0.3">
      <c r="B935" s="6"/>
      <c r="C935" s="12"/>
      <c r="D935" s="6"/>
    </row>
    <row r="936" spans="2:4" x14ac:dyDescent="0.3">
      <c r="B936" s="6"/>
      <c r="C936" s="12"/>
      <c r="D936" s="6"/>
    </row>
    <row r="937" spans="2:4" x14ac:dyDescent="0.3">
      <c r="B937" s="6"/>
      <c r="C937" s="12"/>
      <c r="D937" s="6"/>
    </row>
    <row r="939" spans="2:4" x14ac:dyDescent="0.3">
      <c r="B939" s="5"/>
    </row>
    <row r="940" spans="2:4" x14ac:dyDescent="0.3">
      <c r="B940" s="5"/>
    </row>
    <row r="941" spans="2:4" x14ac:dyDescent="0.3">
      <c r="B941" s="13"/>
      <c r="C941" s="13"/>
    </row>
    <row r="942" spans="2:4" x14ac:dyDescent="0.3">
      <c r="B942" s="7"/>
      <c r="C942" s="12"/>
    </row>
    <row r="943" spans="2:4" x14ac:dyDescent="0.3">
      <c r="B943" s="7"/>
      <c r="C943" s="6"/>
    </row>
    <row r="944" spans="2:4" x14ac:dyDescent="0.3">
      <c r="B944" s="7"/>
      <c r="C944" s="6"/>
    </row>
    <row r="945" spans="2:3" x14ac:dyDescent="0.3">
      <c r="B945" s="7"/>
      <c r="C945" s="12"/>
    </row>
    <row r="946" spans="2:3" x14ac:dyDescent="0.3">
      <c r="B946" s="7"/>
      <c r="C946" s="12"/>
    </row>
    <row r="947" spans="2:3" x14ac:dyDescent="0.3">
      <c r="B947" s="7"/>
      <c r="C947" s="12"/>
    </row>
    <row r="948" spans="2:3" x14ac:dyDescent="0.3">
      <c r="B948" s="7"/>
      <c r="C948" s="6"/>
    </row>
    <row r="949" spans="2:3" x14ac:dyDescent="0.3">
      <c r="B949" s="7"/>
      <c r="C949" s="6"/>
    </row>
  </sheetData>
  <sheetProtection algorithmName="SHA-512" hashValue="s4RRSzrtO7qiTbMuBHOhwxWAQqnP/vC4BMbnU65A2LxbCCOs+tZXFBaOsvkAuEZA9L98qvdlpXx4cjLdRHUTYQ==" saltValue="GUeSPq+ZgyVCSd9BYSuUvA==" spinCount="100000" sheet="1" objects="1" scenarios="1" autoFilter="0"/>
  <hyperlinks>
    <hyperlink ref="C13" location="_bookmark1082" display="_bookmark1082" xr:uid="{00000000-0004-0000-3600-000000000000}"/>
    <hyperlink ref="C24" location="_bookmark1082" display="_bookmark1082" xr:uid="{00000000-0004-0000-3600-000001000000}"/>
    <hyperlink ref="C33" location="_bookmark1082" display="_bookmark1082" xr:uid="{00000000-0004-0000-3600-000002000000}"/>
    <hyperlink ref="C41" location="_bookmark1082" display="_bookmark1082" xr:uid="{00000000-0004-0000-3600-000003000000}"/>
  </hyperlinks>
  <pageMargins left="0.7" right="0.7" top="0.75" bottom="0.75" header="0.3" footer="0.3"/>
  <drawing r:id="rId1"/>
  <tableParts count="4">
    <tablePart r:id="rId2"/>
    <tablePart r:id="rId3"/>
    <tablePart r:id="rId4"/>
    <tablePart r:id="rId5"/>
  </tableParts>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7">
    <pageSetUpPr fitToPage="1"/>
  </sheetPr>
  <dimension ref="A1:AE48"/>
  <sheetViews>
    <sheetView showGridLines="0" showRowColHeaders="0" topLeftCell="B1" zoomScale="70" zoomScaleNormal="70" workbookViewId="0">
      <selection activeCell="L52" sqref="L52"/>
    </sheetView>
  </sheetViews>
  <sheetFormatPr defaultColWidth="7.58203125" defaultRowHeight="12.5" x14ac:dyDescent="0.25"/>
  <cols>
    <col min="1" max="1" width="7.58203125" style="168"/>
    <col min="2" max="2" width="9.33203125" style="168" customWidth="1"/>
    <col min="3" max="3" width="22.58203125" style="168" customWidth="1"/>
    <col min="4" max="4" width="6.08203125" style="168" customWidth="1"/>
    <col min="5" max="11" width="7.58203125" style="168"/>
    <col min="12" max="12" width="12.33203125" style="168" customWidth="1"/>
    <col min="13" max="13" width="12" style="168" customWidth="1"/>
    <col min="14" max="14" width="23.33203125" style="168" customWidth="1"/>
    <col min="15" max="15" width="7.58203125" style="168"/>
    <col min="16" max="17" width="4.33203125" style="168" hidden="1" customWidth="1"/>
    <col min="18" max="18" width="31.08203125" style="168" hidden="1" customWidth="1"/>
    <col min="19" max="19" width="6" style="168" hidden="1" customWidth="1"/>
    <col min="20" max="20" width="7.58203125" style="168" hidden="1" customWidth="1"/>
    <col min="21" max="21" width="35.58203125" style="168" hidden="1" customWidth="1"/>
    <col min="22" max="22" width="27.58203125" style="168" hidden="1" customWidth="1"/>
    <col min="23" max="23" width="10.08203125" style="168" hidden="1" customWidth="1"/>
    <col min="24" max="24" width="26.58203125" style="168" hidden="1" customWidth="1"/>
    <col min="25" max="25" width="6.08203125" style="168" hidden="1" customWidth="1"/>
    <col min="26" max="26" width="7.58203125" style="168" hidden="1" customWidth="1"/>
    <col min="27" max="27" width="4.33203125" style="168" hidden="1" customWidth="1"/>
    <col min="28" max="28" width="4" style="168" hidden="1" customWidth="1"/>
    <col min="29" max="29" width="31.58203125" style="168" hidden="1" customWidth="1"/>
    <col min="30" max="30" width="6.33203125" style="168" hidden="1" customWidth="1"/>
    <col min="31" max="31" width="8.5" style="168" hidden="1" customWidth="1"/>
    <col min="32" max="32" width="7.58203125" style="168" customWidth="1"/>
    <col min="33" max="16384" width="7.58203125" style="168"/>
  </cols>
  <sheetData>
    <row r="1" spans="1:31" ht="33.65" customHeight="1" x14ac:dyDescent="0.3">
      <c r="A1" s="140"/>
      <c r="B1" s="140"/>
      <c r="C1" s="140"/>
      <c r="D1" s="140"/>
      <c r="E1" s="140"/>
      <c r="F1" s="140"/>
      <c r="G1" s="140"/>
      <c r="H1" s="140"/>
      <c r="I1" s="140"/>
      <c r="J1" s="140"/>
      <c r="K1" s="140"/>
      <c r="L1" s="140"/>
      <c r="M1" s="140"/>
      <c r="N1" s="140"/>
      <c r="O1" s="140"/>
      <c r="P1" s="390" t="s">
        <v>2272</v>
      </c>
      <c r="Q1" s="390"/>
    </row>
    <row r="2" spans="1:31" ht="33.65" customHeight="1" x14ac:dyDescent="0.3">
      <c r="A2" s="140"/>
      <c r="B2" s="140"/>
      <c r="C2" s="140"/>
      <c r="D2" s="140"/>
      <c r="E2" s="140"/>
      <c r="F2" s="140"/>
      <c r="G2" s="140"/>
      <c r="H2" s="140"/>
      <c r="I2" s="140"/>
      <c r="J2" s="140"/>
      <c r="K2" s="140"/>
      <c r="L2" s="140"/>
      <c r="M2" s="140"/>
      <c r="N2" s="140"/>
      <c r="O2" s="140"/>
      <c r="P2" s="583" t="s">
        <v>2273</v>
      </c>
      <c r="Q2" s="583"/>
    </row>
    <row r="3" spans="1:31" ht="33.65" customHeight="1" x14ac:dyDescent="0.3">
      <c r="A3" s="140"/>
      <c r="B3" s="140"/>
      <c r="C3" s="140"/>
      <c r="D3" s="140"/>
      <c r="E3" s="140"/>
      <c r="F3" s="140"/>
      <c r="G3" s="140"/>
      <c r="H3" s="140"/>
      <c r="I3" s="140"/>
      <c r="J3" s="140"/>
      <c r="K3" s="140"/>
      <c r="L3" s="140"/>
      <c r="M3" s="140"/>
      <c r="N3" s="140"/>
      <c r="O3" s="140"/>
      <c r="P3" s="583" t="s">
        <v>2274</v>
      </c>
      <c r="Q3" s="583"/>
    </row>
    <row r="4" spans="1:31" ht="33.65" customHeight="1" x14ac:dyDescent="0.3">
      <c r="A4" s="140"/>
      <c r="B4" s="140"/>
      <c r="C4" s="140"/>
      <c r="D4" s="140"/>
      <c r="E4" s="140"/>
      <c r="F4" s="140"/>
      <c r="G4" s="140"/>
      <c r="H4" s="140"/>
      <c r="I4" s="140"/>
      <c r="J4" s="140"/>
      <c r="K4" s="140"/>
      <c r="L4" s="140"/>
      <c r="M4" s="140"/>
      <c r="N4" s="140"/>
      <c r="O4" s="140"/>
      <c r="P4" s="583" t="s">
        <v>2275</v>
      </c>
      <c r="Q4" s="583"/>
    </row>
    <row r="5" spans="1:31" ht="33.65" customHeight="1" x14ac:dyDescent="0.3">
      <c r="A5" s="140"/>
      <c r="B5" s="140"/>
      <c r="C5" s="140"/>
      <c r="D5" s="1777" t="s">
        <v>2276</v>
      </c>
      <c r="E5" s="1777"/>
      <c r="F5" s="1777"/>
      <c r="G5" s="1777"/>
      <c r="H5" s="1777"/>
      <c r="I5" s="1777"/>
      <c r="J5" s="1777"/>
      <c r="K5" s="1777"/>
      <c r="L5" s="1777"/>
      <c r="M5" s="140"/>
      <c r="N5" s="140"/>
      <c r="O5" s="140"/>
      <c r="P5" s="583" t="s">
        <v>2277</v>
      </c>
      <c r="Q5" s="583"/>
    </row>
    <row r="6" spans="1:31" ht="20.149999999999999" customHeight="1" x14ac:dyDescent="0.3">
      <c r="A6" s="1778" t="s">
        <v>1696</v>
      </c>
      <c r="B6" s="1778"/>
      <c r="C6" s="1778"/>
      <c r="D6" s="1778"/>
      <c r="E6" s="1778"/>
      <c r="F6" s="1778"/>
      <c r="G6" s="1778"/>
      <c r="H6" s="1778"/>
      <c r="I6" s="1778"/>
      <c r="J6" s="1778"/>
      <c r="K6" s="1778"/>
      <c r="L6" s="1778"/>
      <c r="M6" s="1778"/>
      <c r="N6" s="1778"/>
      <c r="O6" s="1778"/>
      <c r="P6" s="583" t="s">
        <v>2278</v>
      </c>
      <c r="Q6" s="583"/>
    </row>
    <row r="7" spans="1:31" ht="20.149999999999999" customHeight="1" x14ac:dyDescent="0.25">
      <c r="A7" s="1778"/>
      <c r="B7" s="1778"/>
      <c r="C7" s="1778"/>
      <c r="D7" s="1778"/>
      <c r="E7" s="1778"/>
      <c r="F7" s="1778"/>
      <c r="G7" s="1778"/>
      <c r="H7" s="1778"/>
      <c r="I7" s="1778"/>
      <c r="J7" s="1778"/>
      <c r="K7" s="1778"/>
      <c r="L7" s="1778"/>
      <c r="M7" s="1778"/>
      <c r="N7" s="1778"/>
      <c r="O7" s="1778"/>
    </row>
    <row r="8" spans="1:31" x14ac:dyDescent="0.25">
      <c r="A8" s="140"/>
      <c r="B8" s="140"/>
      <c r="C8" s="140"/>
      <c r="D8" s="140"/>
      <c r="E8" s="140"/>
      <c r="F8" s="140"/>
      <c r="G8" s="140"/>
      <c r="H8" s="140"/>
      <c r="I8" s="140"/>
      <c r="J8" s="140"/>
      <c r="K8" s="140"/>
      <c r="L8" s="140"/>
      <c r="M8" s="140"/>
      <c r="N8" s="140"/>
      <c r="O8" s="140"/>
    </row>
    <row r="9" spans="1:31" ht="12.75" customHeight="1" x14ac:dyDescent="0.25">
      <c r="A9" s="140"/>
      <c r="B9" s="140"/>
      <c r="C9" s="1779" t="s">
        <v>2279</v>
      </c>
      <c r="D9" s="1780" t="s">
        <v>1702</v>
      </c>
      <c r="E9" s="1780"/>
      <c r="F9" s="1780"/>
      <c r="G9" s="1780"/>
      <c r="H9" s="1780"/>
      <c r="I9" s="1780"/>
      <c r="J9" s="1780"/>
      <c r="K9" s="1780"/>
      <c r="L9" s="1781"/>
      <c r="M9" s="1781"/>
      <c r="N9" s="1782" t="s">
        <v>2280</v>
      </c>
      <c r="O9" s="140"/>
      <c r="V9" s="168" t="s">
        <v>2281</v>
      </c>
      <c r="W9" s="168" t="b">
        <f>OR(W11="Class 1",W11="Class 10a")</f>
        <v>1</v>
      </c>
    </row>
    <row r="10" spans="1:31" ht="13" thickBot="1" x14ac:dyDescent="0.3">
      <c r="A10" s="140"/>
      <c r="B10" s="140"/>
      <c r="C10" s="1779"/>
      <c r="D10" s="1780"/>
      <c r="E10" s="1780"/>
      <c r="F10" s="1780"/>
      <c r="G10" s="1780"/>
      <c r="H10" s="1780"/>
      <c r="I10" s="1780"/>
      <c r="J10" s="1780"/>
      <c r="K10" s="1780"/>
      <c r="L10" s="1781"/>
      <c r="M10" s="1781"/>
      <c r="N10" s="1782"/>
      <c r="O10" s="140"/>
      <c r="P10" s="168" t="s">
        <v>2282</v>
      </c>
      <c r="V10" s="1514" t="s">
        <v>2283</v>
      </c>
      <c r="W10" s="1515"/>
      <c r="X10" s="1514" t="s">
        <v>2284</v>
      </c>
      <c r="Y10" s="1516"/>
      <c r="AA10" s="168" t="s">
        <v>2285</v>
      </c>
    </row>
    <row r="11" spans="1:31" ht="51" customHeight="1" x14ac:dyDescent="0.25">
      <c r="A11" s="140"/>
      <c r="B11" s="140"/>
      <c r="C11" s="1779"/>
      <c r="D11" s="1780"/>
      <c r="E11" s="1780"/>
      <c r="F11" s="1780"/>
      <c r="G11" s="1780"/>
      <c r="H11" s="1780"/>
      <c r="I11" s="1780"/>
      <c r="J11" s="1780"/>
      <c r="K11" s="1780"/>
      <c r="L11" s="1781"/>
      <c r="M11" s="1781"/>
      <c r="N11" s="1782"/>
      <c r="O11" s="140"/>
      <c r="P11" s="395"/>
      <c r="Q11" s="945"/>
      <c r="R11" s="1235" t="s">
        <v>2286</v>
      </c>
      <c r="S11" s="1235" t="s">
        <v>1299</v>
      </c>
      <c r="T11" s="1236" t="s">
        <v>2287</v>
      </c>
      <c r="V11" s="682" t="s">
        <v>2288</v>
      </c>
      <c r="W11" s="568" t="str">
        <f>ClassificationTwo</f>
        <v>Class 1</v>
      </c>
      <c r="X11" s="682" t="s">
        <v>2288</v>
      </c>
      <c r="Y11" s="689" t="e">
        <f>ClassificationOne</f>
        <v>#NAME?</v>
      </c>
      <c r="AA11" s="395"/>
      <c r="AB11" s="945"/>
      <c r="AC11" s="1235" t="s">
        <v>2286</v>
      </c>
      <c r="AD11" s="1235" t="s">
        <v>1299</v>
      </c>
      <c r="AE11" s="1236" t="s">
        <v>2287</v>
      </c>
    </row>
    <row r="12" spans="1:31" ht="33" customHeight="1" x14ac:dyDescent="0.3">
      <c r="A12" s="140"/>
      <c r="B12" s="140"/>
      <c r="C12" s="1771" t="s">
        <v>2289</v>
      </c>
      <c r="D12" s="1773" t="s">
        <v>2290</v>
      </c>
      <c r="E12" s="1775" t="s">
        <v>2291</v>
      </c>
      <c r="F12" s="1775"/>
      <c r="G12" s="1775"/>
      <c r="H12" s="1775"/>
      <c r="I12" s="1775"/>
      <c r="J12" s="1775"/>
      <c r="K12" s="1775"/>
      <c r="L12" s="1775"/>
      <c r="M12" s="1775"/>
      <c r="N12" s="1776">
        <v>0.7</v>
      </c>
      <c r="O12" s="140"/>
      <c r="P12" s="683">
        <v>1</v>
      </c>
      <c r="Q12" s="684" t="s">
        <v>2292</v>
      </c>
      <c r="R12" s="685" t="s">
        <v>2293</v>
      </c>
      <c r="S12" s="686">
        <v>0.4</v>
      </c>
      <c r="T12" s="687" t="b">
        <v>1</v>
      </c>
      <c r="U12" s="583"/>
      <c r="V12" s="688" t="str">
        <f>IF($W$9,$AC$12,IF(W11="Class 6",$R$12,"a)NA for this Class"))</f>
        <v>a)Lighting timer (corridor)</v>
      </c>
      <c r="W12" s="568"/>
      <c r="X12" s="688" t="e">
        <f>IF(Y11="Class 6",$R$12,"a)NA for this Class")</f>
        <v>#NAME?</v>
      </c>
      <c r="Y12" s="689"/>
      <c r="AA12" s="683">
        <v>1</v>
      </c>
      <c r="AB12" s="684" t="s">
        <v>2292</v>
      </c>
      <c r="AC12" s="685" t="s">
        <v>2294</v>
      </c>
      <c r="AD12" s="686">
        <v>0.7</v>
      </c>
      <c r="AE12" s="687" t="b">
        <v>1</v>
      </c>
    </row>
    <row r="13" spans="1:31" ht="22.5" customHeight="1" x14ac:dyDescent="0.25">
      <c r="A13" s="140"/>
      <c r="B13" s="140"/>
      <c r="C13" s="1772"/>
      <c r="D13" s="1774"/>
      <c r="E13" s="1775"/>
      <c r="F13" s="1775"/>
      <c r="G13" s="1775"/>
      <c r="H13" s="1775"/>
      <c r="I13" s="1775"/>
      <c r="J13" s="1775"/>
      <c r="K13" s="1775"/>
      <c r="L13" s="1775"/>
      <c r="M13" s="1775"/>
      <c r="N13" s="1776"/>
      <c r="O13" s="140"/>
      <c r="P13" s="683">
        <v>2</v>
      </c>
      <c r="Q13" s="684" t="s">
        <v>2295</v>
      </c>
      <c r="R13" s="685" t="s">
        <v>2296</v>
      </c>
      <c r="S13" s="686">
        <v>0.6</v>
      </c>
      <c r="T13" s="687" t="b">
        <v>1</v>
      </c>
      <c r="V13" s="688" t="str">
        <f t="shared" ref="V13:V19" si="0">IF($W$9,$AC13,$R13)</f>
        <v>b)Motion detector</v>
      </c>
      <c r="W13" s="568"/>
      <c r="X13" s="688" t="str">
        <f>$R$13</f>
        <v>b)Motion detector</v>
      </c>
      <c r="Y13" s="689"/>
      <c r="AA13" s="683">
        <v>2</v>
      </c>
      <c r="AB13" s="684" t="s">
        <v>2295</v>
      </c>
      <c r="AC13" s="685" t="s">
        <v>2296</v>
      </c>
      <c r="AD13" s="686">
        <v>0.9</v>
      </c>
      <c r="AE13" s="687" t="b">
        <v>1</v>
      </c>
    </row>
    <row r="14" spans="1:31" ht="17.5" x14ac:dyDescent="0.25">
      <c r="A14" s="140"/>
      <c r="B14" s="140"/>
      <c r="C14" s="1771" t="s">
        <v>2297</v>
      </c>
      <c r="D14" s="1788" t="s">
        <v>2298</v>
      </c>
      <c r="E14" s="1791" t="s">
        <v>2299</v>
      </c>
      <c r="F14" s="1791"/>
      <c r="G14" s="1791"/>
      <c r="H14" s="1791"/>
      <c r="I14" s="1791"/>
      <c r="J14" s="1791"/>
      <c r="K14" s="1791"/>
      <c r="L14" s="1791"/>
      <c r="M14" s="1791"/>
      <c r="N14" s="1784">
        <v>0.9</v>
      </c>
      <c r="O14" s="140"/>
      <c r="P14" s="683">
        <v>3</v>
      </c>
      <c r="Q14" s="684" t="s">
        <v>2300</v>
      </c>
      <c r="R14" s="685" t="s">
        <v>2301</v>
      </c>
      <c r="S14" s="686">
        <v>0.7</v>
      </c>
      <c r="T14" s="687" t="b">
        <v>1</v>
      </c>
      <c r="V14" s="688" t="str">
        <f t="shared" si="0"/>
        <v>c)Motion detector</v>
      </c>
      <c r="W14" s="568"/>
      <c r="X14" s="688" t="str">
        <f>$R$14</f>
        <v>c)Motion detector</v>
      </c>
      <c r="Y14" s="689"/>
      <c r="AA14" s="683">
        <v>3</v>
      </c>
      <c r="AB14" s="684" t="s">
        <v>2300</v>
      </c>
      <c r="AC14" s="685" t="s">
        <v>2301</v>
      </c>
      <c r="AD14" s="686">
        <v>0.7</v>
      </c>
      <c r="AE14" s="687" t="b">
        <v>1</v>
      </c>
    </row>
    <row r="15" spans="1:31" ht="57.75" customHeight="1" x14ac:dyDescent="0.25">
      <c r="A15" s="140"/>
      <c r="B15" s="140"/>
      <c r="C15" s="1771"/>
      <c r="D15" s="1789"/>
      <c r="E15" s="1792" t="s">
        <v>2302</v>
      </c>
      <c r="F15" s="1792"/>
      <c r="G15" s="1792"/>
      <c r="H15" s="1792"/>
      <c r="I15" s="1792"/>
      <c r="J15" s="1792"/>
      <c r="K15" s="1792"/>
      <c r="L15" s="1792"/>
      <c r="M15" s="1792"/>
      <c r="N15" s="1784"/>
      <c r="O15" s="140"/>
      <c r="P15" s="683">
        <v>4</v>
      </c>
      <c r="Q15" s="684" t="s">
        <v>2303</v>
      </c>
      <c r="R15" s="685" t="s">
        <v>2304</v>
      </c>
      <c r="S15" s="686">
        <v>0.85</v>
      </c>
      <c r="T15" s="687" t="b">
        <v>0</v>
      </c>
      <c r="V15" s="688" t="str">
        <f t="shared" si="0"/>
        <v>d)Motion detector</v>
      </c>
      <c r="W15" s="568"/>
      <c r="X15" s="688" t="str">
        <f>$R$15</f>
        <v>d)Programmable dimming system</v>
      </c>
      <c r="Y15" s="689"/>
      <c r="AA15" s="683">
        <v>4</v>
      </c>
      <c r="AB15" s="684" t="s">
        <v>2303</v>
      </c>
      <c r="AC15" s="685" t="s">
        <v>2305</v>
      </c>
      <c r="AD15" s="686">
        <v>0.55000000000000004</v>
      </c>
      <c r="AE15" s="687" t="b">
        <v>1</v>
      </c>
    </row>
    <row r="16" spans="1:31" ht="36.75" customHeight="1" x14ac:dyDescent="0.3">
      <c r="A16" s="140"/>
      <c r="B16" s="140"/>
      <c r="C16" s="1771"/>
      <c r="D16" s="1790"/>
      <c r="E16" s="1793" t="s">
        <v>2306</v>
      </c>
      <c r="F16" s="1793"/>
      <c r="G16" s="1793"/>
      <c r="H16" s="1793"/>
      <c r="I16" s="1793"/>
      <c r="J16" s="1793"/>
      <c r="K16" s="1793"/>
      <c r="L16" s="1793"/>
      <c r="M16" s="1793"/>
      <c r="N16" s="1784"/>
      <c r="O16" s="140"/>
      <c r="P16" s="683">
        <v>5</v>
      </c>
      <c r="Q16" s="684" t="s">
        <v>2307</v>
      </c>
      <c r="R16" s="685" t="s">
        <v>2308</v>
      </c>
      <c r="S16" s="686">
        <v>0.5</v>
      </c>
      <c r="T16" s="687" t="b">
        <v>0</v>
      </c>
      <c r="U16" s="583"/>
      <c r="V16" s="688" t="str">
        <f t="shared" si="0"/>
        <v>e)Manual dimming system</v>
      </c>
      <c r="W16" s="568"/>
      <c r="X16" s="688" t="str">
        <f>$R$16</f>
        <v>e)Fixed dimming</v>
      </c>
      <c r="Y16" s="689"/>
      <c r="AA16" s="683">
        <v>5</v>
      </c>
      <c r="AB16" s="684" t="s">
        <v>2307</v>
      </c>
      <c r="AC16" s="685" t="s">
        <v>2309</v>
      </c>
      <c r="AD16" s="686">
        <v>0.85</v>
      </c>
      <c r="AE16" s="687" t="b">
        <v>1</v>
      </c>
    </row>
    <row r="17" spans="1:31" ht="12.75" customHeight="1" x14ac:dyDescent="0.25">
      <c r="A17" s="140"/>
      <c r="B17" s="140"/>
      <c r="C17" s="1771"/>
      <c r="D17" s="1794" t="s">
        <v>2310</v>
      </c>
      <c r="E17" s="1783" t="s">
        <v>2311</v>
      </c>
      <c r="F17" s="1775"/>
      <c r="G17" s="1775"/>
      <c r="H17" s="1775"/>
      <c r="I17" s="1775"/>
      <c r="J17" s="1775"/>
      <c r="K17" s="1775"/>
      <c r="L17" s="1775"/>
      <c r="M17" s="1775"/>
      <c r="N17" s="1784">
        <v>0.7</v>
      </c>
      <c r="O17" s="140"/>
      <c r="P17" s="683">
        <v>6</v>
      </c>
      <c r="Q17" s="684" t="s">
        <v>2312</v>
      </c>
      <c r="R17" s="685" t="s">
        <v>2313</v>
      </c>
      <c r="S17" s="686">
        <v>0.85</v>
      </c>
      <c r="T17" s="687" t="b">
        <v>1</v>
      </c>
      <c r="V17" s="688" t="str">
        <f t="shared" si="0"/>
        <v>f)Programmable dimming system</v>
      </c>
      <c r="W17" s="568"/>
      <c r="X17" s="688" t="str">
        <f>$R$17</f>
        <v>f)Lumen depreciation dimming</v>
      </c>
      <c r="Y17" s="689"/>
      <c r="AA17" s="683">
        <v>6</v>
      </c>
      <c r="AB17" s="684" t="s">
        <v>2312</v>
      </c>
      <c r="AC17" s="685" t="s">
        <v>2314</v>
      </c>
      <c r="AD17" s="686">
        <v>0.85</v>
      </c>
      <c r="AE17" s="687" t="b">
        <v>1</v>
      </c>
    </row>
    <row r="18" spans="1:31" x14ac:dyDescent="0.25">
      <c r="A18" s="140"/>
      <c r="B18" s="140"/>
      <c r="C18" s="1772"/>
      <c r="D18" s="1794"/>
      <c r="E18" s="1775"/>
      <c r="F18" s="1775"/>
      <c r="G18" s="1775"/>
      <c r="H18" s="1775"/>
      <c r="I18" s="1775"/>
      <c r="J18" s="1775"/>
      <c r="K18" s="1775"/>
      <c r="L18" s="1775"/>
      <c r="M18" s="1775"/>
      <c r="N18" s="1784"/>
      <c r="O18" s="140"/>
      <c r="P18" s="683">
        <v>7</v>
      </c>
      <c r="Q18" s="684" t="s">
        <v>2315</v>
      </c>
      <c r="R18" s="685" t="s">
        <v>2316</v>
      </c>
      <c r="S18" s="686">
        <v>0.4</v>
      </c>
      <c r="T18" s="687" t="b">
        <v>1</v>
      </c>
      <c r="V18" s="688" t="str">
        <f t="shared" si="0"/>
        <v>g)Dynamic dimming system (fluoros)</v>
      </c>
      <c r="W18" s="568"/>
      <c r="X18" s="688" t="str">
        <f>$R$18</f>
        <v>g)Two stage sensor</v>
      </c>
      <c r="Y18" s="689"/>
      <c r="AA18" s="683">
        <v>7</v>
      </c>
      <c r="AB18" s="684" t="s">
        <v>2315</v>
      </c>
      <c r="AC18" s="685" t="s">
        <v>2317</v>
      </c>
      <c r="AD18" s="686">
        <v>0.9</v>
      </c>
      <c r="AE18" s="687" t="b">
        <v>1</v>
      </c>
    </row>
    <row r="19" spans="1:31" ht="12.75" customHeight="1" x14ac:dyDescent="0.3">
      <c r="A19" s="140"/>
      <c r="B19" s="140"/>
      <c r="C19" s="1772"/>
      <c r="D19" s="1794" t="s">
        <v>2318</v>
      </c>
      <c r="E19" s="1783" t="s">
        <v>2319</v>
      </c>
      <c r="F19" s="1775"/>
      <c r="G19" s="1775"/>
      <c r="H19" s="1775"/>
      <c r="I19" s="1775"/>
      <c r="J19" s="1775"/>
      <c r="K19" s="1775"/>
      <c r="L19" s="1775"/>
      <c r="M19" s="1775"/>
      <c r="N19" s="1784">
        <v>0.55000000000000004</v>
      </c>
      <c r="O19" s="140"/>
      <c r="P19" s="683">
        <v>8</v>
      </c>
      <c r="Q19" s="684" t="s">
        <v>2320</v>
      </c>
      <c r="R19" s="685" t="s">
        <v>2321</v>
      </c>
      <c r="S19" s="686">
        <v>0.7</v>
      </c>
      <c r="T19" s="687" t="b">
        <v>1</v>
      </c>
      <c r="U19" s="583"/>
      <c r="V19" s="688" t="str">
        <f t="shared" si="0"/>
        <v>h)Dynamic dimming system (discharge)</v>
      </c>
      <c r="W19" s="568"/>
      <c r="X19" s="688" t="str">
        <f>$R$19</f>
        <v>h)Two stage sensor</v>
      </c>
      <c r="Y19" s="689"/>
      <c r="AA19" s="683">
        <v>8</v>
      </c>
      <c r="AB19" s="684" t="s">
        <v>2320</v>
      </c>
      <c r="AC19" s="685" t="s">
        <v>2322</v>
      </c>
      <c r="AD19" s="686">
        <v>0.8</v>
      </c>
      <c r="AE19" s="687" t="b">
        <v>1</v>
      </c>
    </row>
    <row r="20" spans="1:31" ht="25.5" customHeight="1" x14ac:dyDescent="0.3">
      <c r="A20" s="140"/>
      <c r="B20" s="140"/>
      <c r="C20" s="1772"/>
      <c r="D20" s="1786"/>
      <c r="E20" s="1775"/>
      <c r="F20" s="1775"/>
      <c r="G20" s="1775"/>
      <c r="H20" s="1775"/>
      <c r="I20" s="1775"/>
      <c r="J20" s="1775"/>
      <c r="K20" s="1775"/>
      <c r="L20" s="1775"/>
      <c r="M20" s="1775"/>
      <c r="N20" s="1784"/>
      <c r="O20" s="140"/>
      <c r="P20" s="683">
        <v>9</v>
      </c>
      <c r="Q20" s="684" t="s">
        <v>2323</v>
      </c>
      <c r="R20" s="685" t="s">
        <v>2324</v>
      </c>
      <c r="S20" s="686">
        <v>0.5</v>
      </c>
      <c r="T20" s="687" t="b">
        <v>1</v>
      </c>
      <c r="U20" s="583"/>
      <c r="V20" s="688" t="str">
        <f>IF(W9,AC20,IF(COUNTIF(Class_5_to_9b_List,W$11)&gt;0,$R20,"i)NA for this Class"))</f>
        <v>i)Additional lumen depreciation factor</v>
      </c>
      <c r="W20" s="568"/>
      <c r="X20" s="688" t="str">
        <f>IF(COUNTIF(Class_5_to_9b_List,Y$11)&gt;0,$R20,"i)NA for this Class")</f>
        <v>i)NA for this Class</v>
      </c>
      <c r="Y20" s="689"/>
      <c r="AA20" s="683">
        <v>9</v>
      </c>
      <c r="AB20" s="684" t="s">
        <v>2323</v>
      </c>
      <c r="AC20" s="690" t="s">
        <v>2325</v>
      </c>
      <c r="AD20" s="686"/>
      <c r="AE20" s="691" t="b">
        <v>0</v>
      </c>
    </row>
    <row r="21" spans="1:31" ht="26.25" customHeight="1" x14ac:dyDescent="0.3">
      <c r="A21" s="140"/>
      <c r="B21" s="140"/>
      <c r="C21" s="1771" t="s">
        <v>2326</v>
      </c>
      <c r="D21" s="1785" t="s">
        <v>2327</v>
      </c>
      <c r="E21" s="1783" t="s">
        <v>2328</v>
      </c>
      <c r="F21" s="1775"/>
      <c r="G21" s="1775"/>
      <c r="H21" s="1775"/>
      <c r="I21" s="1775"/>
      <c r="J21" s="1775"/>
      <c r="K21" s="1775"/>
      <c r="L21" s="1775"/>
      <c r="M21" s="1775"/>
      <c r="N21" s="1787">
        <v>0.85</v>
      </c>
      <c r="O21" s="140"/>
      <c r="P21" s="683">
        <v>10</v>
      </c>
      <c r="Q21" s="684" t="s">
        <v>2329</v>
      </c>
      <c r="R21" s="690" t="s">
        <v>2330</v>
      </c>
      <c r="S21" s="686">
        <v>0.75</v>
      </c>
      <c r="T21" s="691" t="b">
        <v>1</v>
      </c>
      <c r="U21" s="583"/>
      <c r="V21" s="688" t="str">
        <f>IF(W9,AC21,IF(COUNTIF(Class_3_9a_9c_List,W$11)&gt;0,$R$21,"j)NA for this Class"))</f>
        <v>j)Fixed dimming</v>
      </c>
      <c r="W21" s="568"/>
      <c r="X21" s="688" t="str">
        <f>IF(COUNTIF(Class_3_9a_9c_List,Y$11)&gt;0,$R$21,"j)NA for this Class")</f>
        <v>j)NA for this Class</v>
      </c>
      <c r="Y21" s="689"/>
      <c r="AA21" s="683">
        <v>10</v>
      </c>
      <c r="AB21" s="684" t="s">
        <v>2329</v>
      </c>
      <c r="AC21" s="690" t="s">
        <v>2331</v>
      </c>
      <c r="AD21" s="686"/>
      <c r="AE21" s="691" t="b">
        <v>0</v>
      </c>
    </row>
    <row r="22" spans="1:31" ht="33.75" customHeight="1" x14ac:dyDescent="0.3">
      <c r="A22" s="140"/>
      <c r="B22" s="140"/>
      <c r="C22" s="1771"/>
      <c r="D22" s="1786"/>
      <c r="E22" s="1775"/>
      <c r="F22" s="1775"/>
      <c r="G22" s="1775"/>
      <c r="H22" s="1775"/>
      <c r="I22" s="1775"/>
      <c r="J22" s="1775"/>
      <c r="K22" s="1775"/>
      <c r="L22" s="1775"/>
      <c r="M22" s="1775"/>
      <c r="N22" s="1787"/>
      <c r="O22" s="140"/>
      <c r="P22" s="683">
        <v>11</v>
      </c>
      <c r="Q22" s="684" t="s">
        <v>2332</v>
      </c>
      <c r="R22" s="690" t="s">
        <v>2333</v>
      </c>
      <c r="S22" s="686">
        <v>0.6</v>
      </c>
      <c r="T22" s="691" t="b">
        <v>1</v>
      </c>
      <c r="U22" s="583"/>
      <c r="V22" s="688" t="str">
        <f>IF(W9,AC22,IF(COUNTIF(Class_5_to_9b_List,W$11)&gt;0,$R$22,"k)NA for this Class"))</f>
        <v>k)Daylight sensor and dynamic lighting</v>
      </c>
      <c r="W22" s="568"/>
      <c r="X22" s="688" t="str">
        <f>IF(COUNTIF(Class_5_to_9b_List,Y$11)&gt;0,$R$22,"k)NA for this Class")</f>
        <v>k)NA for this Class</v>
      </c>
      <c r="Y22" s="689"/>
      <c r="AA22" s="683">
        <v>11</v>
      </c>
      <c r="AB22" s="684" t="s">
        <v>2332</v>
      </c>
      <c r="AC22" s="685" t="s">
        <v>2333</v>
      </c>
      <c r="AD22" s="686">
        <v>0.5</v>
      </c>
      <c r="AE22" s="687" t="b">
        <v>1</v>
      </c>
    </row>
    <row r="23" spans="1:31" ht="54" x14ac:dyDescent="0.4">
      <c r="A23" s="140"/>
      <c r="B23" s="140"/>
      <c r="C23" s="1521" t="s">
        <v>2334</v>
      </c>
      <c r="D23" s="1519" t="s">
        <v>2335</v>
      </c>
      <c r="E23" s="1783" t="s">
        <v>2336</v>
      </c>
      <c r="F23" s="1783"/>
      <c r="G23" s="1783"/>
      <c r="H23" s="1783"/>
      <c r="I23" s="1783"/>
      <c r="J23" s="1783"/>
      <c r="K23" s="1783"/>
      <c r="L23" s="1783"/>
      <c r="M23" s="1783"/>
      <c r="N23" s="1520">
        <v>0.85</v>
      </c>
      <c r="O23" s="140"/>
      <c r="P23" s="683">
        <v>12</v>
      </c>
      <c r="Q23" s="684" t="s">
        <v>2337</v>
      </c>
      <c r="R23" s="685" t="s">
        <v>2338</v>
      </c>
      <c r="S23" s="686">
        <v>0.8</v>
      </c>
      <c r="T23" s="687" t="b">
        <v>1</v>
      </c>
      <c r="V23" s="688" t="str">
        <f>IF(W9,AC23,IF(COUNTIF(Class_3_9a_9c_List,W$11)&gt;0,$R$23,"l)NA for this Class"))</f>
        <v>l)Daylight sensor and dynamic lighting</v>
      </c>
      <c r="W23" s="568"/>
      <c r="X23" s="688" t="str">
        <f>IF(COUNTIF(Class_3_9a_9c_List,Y$11)&gt;0,$R$23,"l)NA for this Class")</f>
        <v>l)NA for this Class</v>
      </c>
      <c r="Y23" s="689"/>
      <c r="AA23" s="683">
        <v>12</v>
      </c>
      <c r="AB23" s="684" t="s">
        <v>2337</v>
      </c>
      <c r="AC23" s="685" t="s">
        <v>2338</v>
      </c>
      <c r="AD23" s="686">
        <v>0.6</v>
      </c>
      <c r="AE23" s="687" t="b">
        <v>1</v>
      </c>
    </row>
    <row r="24" spans="1:31" ht="40.5" customHeight="1" thickBot="1" x14ac:dyDescent="0.3">
      <c r="A24" s="140"/>
      <c r="B24" s="140"/>
      <c r="C24" s="1771" t="s">
        <v>2339</v>
      </c>
      <c r="D24" s="1788" t="s">
        <v>2340</v>
      </c>
      <c r="E24" s="1797" t="s">
        <v>2341</v>
      </c>
      <c r="F24" s="1797"/>
      <c r="G24" s="1797"/>
      <c r="H24" s="1797"/>
      <c r="I24" s="1797"/>
      <c r="J24" s="1797"/>
      <c r="K24" s="1797"/>
      <c r="L24" s="1797"/>
      <c r="M24" s="1797"/>
      <c r="N24" s="1800" t="s">
        <v>2342</v>
      </c>
      <c r="O24" s="140"/>
      <c r="P24" s="1237">
        <v>13</v>
      </c>
      <c r="Q24" s="692"/>
      <c r="R24" s="693">
        <v>0</v>
      </c>
      <c r="S24" s="694"/>
      <c r="T24" s="695" t="b">
        <v>0</v>
      </c>
      <c r="U24" s="168" t="s">
        <v>2343</v>
      </c>
      <c r="V24" s="1238"/>
      <c r="W24" s="1239"/>
      <c r="X24" s="1238"/>
      <c r="Y24" s="1240"/>
      <c r="AA24" s="1237">
        <v>13</v>
      </c>
      <c r="AB24" s="692"/>
      <c r="AC24" s="693">
        <v>0</v>
      </c>
      <c r="AD24" s="694"/>
      <c r="AE24" s="695" t="b">
        <v>1</v>
      </c>
    </row>
    <row r="25" spans="1:31" ht="28" customHeight="1" x14ac:dyDescent="0.25">
      <c r="A25" s="140"/>
      <c r="B25" s="140"/>
      <c r="C25" s="1771"/>
      <c r="D25" s="1789"/>
      <c r="E25" s="1798"/>
      <c r="F25" s="1798"/>
      <c r="G25" s="1798"/>
      <c r="H25" s="1798"/>
      <c r="I25" s="1798"/>
      <c r="J25" s="1798"/>
      <c r="K25" s="1798"/>
      <c r="L25" s="1798"/>
      <c r="M25" s="1798"/>
      <c r="N25" s="1800"/>
      <c r="O25" s="140"/>
      <c r="P25" s="168" t="s">
        <v>2344</v>
      </c>
      <c r="R25" s="696"/>
      <c r="V25" s="568"/>
      <c r="W25" s="568"/>
      <c r="X25" s="568"/>
      <c r="Y25" s="568"/>
    </row>
    <row r="26" spans="1:31" ht="42" customHeight="1" x14ac:dyDescent="0.25">
      <c r="A26" s="140"/>
      <c r="B26" s="140"/>
      <c r="C26" s="1771"/>
      <c r="D26" s="1790"/>
      <c r="E26" s="1799"/>
      <c r="F26" s="1799"/>
      <c r="G26" s="1799"/>
      <c r="H26" s="1799"/>
      <c r="I26" s="1799"/>
      <c r="J26" s="1799"/>
      <c r="K26" s="1799"/>
      <c r="L26" s="1799"/>
      <c r="M26" s="1799"/>
      <c r="N26" s="1800"/>
      <c r="O26" s="140"/>
      <c r="P26" s="1523"/>
      <c r="Q26" s="1524"/>
      <c r="R26" s="1524" t="s">
        <v>2286</v>
      </c>
      <c r="S26" s="1525" t="s">
        <v>1299</v>
      </c>
      <c r="V26" s="568" t="s">
        <v>2345</v>
      </c>
      <c r="W26" s="568"/>
      <c r="X26" s="568"/>
      <c r="Y26" s="568"/>
    </row>
    <row r="27" spans="1:31" ht="38.25" customHeight="1" x14ac:dyDescent="0.25">
      <c r="A27" s="140"/>
      <c r="B27" s="140"/>
      <c r="C27" s="1771"/>
      <c r="D27" s="1788" t="s">
        <v>2346</v>
      </c>
      <c r="E27" s="1791" t="s">
        <v>2347</v>
      </c>
      <c r="F27" s="1791"/>
      <c r="G27" s="1791"/>
      <c r="H27" s="1791"/>
      <c r="I27" s="1791"/>
      <c r="J27" s="1791"/>
      <c r="K27" s="1791"/>
      <c r="L27" s="1791"/>
      <c r="M27" s="1791"/>
      <c r="N27" s="1800" t="s">
        <v>2348</v>
      </c>
      <c r="O27" s="140"/>
      <c r="P27" s="697">
        <v>1</v>
      </c>
      <c r="Q27" s="168" t="s">
        <v>2292</v>
      </c>
      <c r="R27" s="168" t="s">
        <v>2349</v>
      </c>
      <c r="S27" s="698">
        <v>0.9</v>
      </c>
      <c r="V27" s="1526" t="s">
        <v>2350</v>
      </c>
      <c r="W27" s="1527"/>
      <c r="X27" s="1528" t="s">
        <v>2351</v>
      </c>
      <c r="Y27" s="201"/>
    </row>
    <row r="28" spans="1:31" ht="38.25" customHeight="1" x14ac:dyDescent="0.25">
      <c r="A28" s="140"/>
      <c r="B28" s="140"/>
      <c r="C28" s="1771"/>
      <c r="D28" s="1789"/>
      <c r="E28" s="1801"/>
      <c r="F28" s="1801"/>
      <c r="G28" s="1801"/>
      <c r="H28" s="1801"/>
      <c r="I28" s="1801"/>
      <c r="J28" s="1801"/>
      <c r="K28" s="1801"/>
      <c r="L28" s="1801"/>
      <c r="M28" s="1801"/>
      <c r="N28" s="1800"/>
      <c r="O28" s="140"/>
      <c r="P28" s="697">
        <v>2</v>
      </c>
      <c r="Q28" s="168" t="s">
        <v>2295</v>
      </c>
      <c r="R28" s="168" t="s">
        <v>2352</v>
      </c>
      <c r="S28" s="698">
        <v>0.8</v>
      </c>
      <c r="V28" s="946" t="s">
        <v>2353</v>
      </c>
      <c r="W28" s="201"/>
      <c r="X28" s="699" t="s">
        <v>2354</v>
      </c>
      <c r="Y28" s="201"/>
    </row>
    <row r="29" spans="1:31" ht="26.25" customHeight="1" x14ac:dyDescent="0.25">
      <c r="A29" s="140"/>
      <c r="B29" s="140"/>
      <c r="C29" s="1771"/>
      <c r="D29" s="1790"/>
      <c r="E29" s="1802"/>
      <c r="F29" s="1802"/>
      <c r="G29" s="1802"/>
      <c r="H29" s="1802"/>
      <c r="I29" s="1802"/>
      <c r="J29" s="1802"/>
      <c r="K29" s="1802"/>
      <c r="L29" s="1802"/>
      <c r="M29" s="1802"/>
      <c r="N29" s="1800"/>
      <c r="O29" s="140"/>
      <c r="P29" s="697">
        <v>3</v>
      </c>
      <c r="Q29" s="168" t="s">
        <v>2300</v>
      </c>
      <c r="R29" s="168" t="s">
        <v>2355</v>
      </c>
      <c r="S29" s="698">
        <v>1.1000000000000001</v>
      </c>
      <c r="V29" s="946" t="s">
        <v>2356</v>
      </c>
      <c r="W29" s="201"/>
      <c r="X29" s="699" t="s">
        <v>2357</v>
      </c>
      <c r="Y29" s="201"/>
    </row>
    <row r="30" spans="1:31" ht="26.25" customHeight="1" x14ac:dyDescent="0.25">
      <c r="A30" s="140"/>
      <c r="B30" s="140"/>
      <c r="C30" s="1771"/>
      <c r="D30" s="1788" t="s">
        <v>2358</v>
      </c>
      <c r="E30" s="1791" t="s">
        <v>2359</v>
      </c>
      <c r="F30" s="1791"/>
      <c r="G30" s="1791"/>
      <c r="H30" s="1791"/>
      <c r="I30" s="1791"/>
      <c r="J30" s="1791"/>
      <c r="K30" s="1791"/>
      <c r="L30" s="1791"/>
      <c r="M30" s="1791"/>
      <c r="N30" s="1800" t="s">
        <v>2360</v>
      </c>
      <c r="O30" s="140"/>
      <c r="P30" s="1241">
        <v>4</v>
      </c>
      <c r="Q30" s="931" t="s">
        <v>2303</v>
      </c>
      <c r="R30" s="931">
        <v>0</v>
      </c>
      <c r="S30" s="932"/>
      <c r="V30" s="946" t="s">
        <v>2361</v>
      </c>
      <c r="X30" s="699" t="s">
        <v>2362</v>
      </c>
    </row>
    <row r="31" spans="1:31" x14ac:dyDescent="0.25">
      <c r="A31" s="140"/>
      <c r="B31" s="140"/>
      <c r="C31" s="1771"/>
      <c r="D31" s="1789"/>
      <c r="E31" s="1801"/>
      <c r="F31" s="1801"/>
      <c r="G31" s="1801"/>
      <c r="H31" s="1801"/>
      <c r="I31" s="1801"/>
      <c r="J31" s="1801"/>
      <c r="K31" s="1801"/>
      <c r="L31" s="1801"/>
      <c r="M31" s="1801"/>
      <c r="N31" s="1776"/>
      <c r="O31" s="140"/>
      <c r="V31" s="946" t="s">
        <v>2363</v>
      </c>
      <c r="X31" s="698"/>
    </row>
    <row r="32" spans="1:31" ht="13.5" customHeight="1" x14ac:dyDescent="0.25">
      <c r="A32" s="140"/>
      <c r="B32" s="140"/>
      <c r="C32" s="1771"/>
      <c r="D32" s="1789"/>
      <c r="E32" s="1801"/>
      <c r="F32" s="1801"/>
      <c r="G32" s="1801"/>
      <c r="H32" s="1801"/>
      <c r="I32" s="1801"/>
      <c r="J32" s="1801"/>
      <c r="K32" s="1801"/>
      <c r="L32" s="1801"/>
      <c r="M32" s="1801"/>
      <c r="N32" s="1776"/>
      <c r="O32" s="140"/>
      <c r="V32" s="946" t="s">
        <v>2362</v>
      </c>
      <c r="X32" s="698"/>
    </row>
    <row r="33" spans="1:31" ht="38.25" customHeight="1" x14ac:dyDescent="0.25">
      <c r="A33" s="140"/>
      <c r="B33" s="140"/>
      <c r="C33" s="1771"/>
      <c r="D33" s="1790"/>
      <c r="E33" s="1802"/>
      <c r="F33" s="1802"/>
      <c r="G33" s="1802"/>
      <c r="H33" s="1802"/>
      <c r="I33" s="1802"/>
      <c r="J33" s="1802"/>
      <c r="K33" s="1802"/>
      <c r="L33" s="1802"/>
      <c r="M33" s="1802"/>
      <c r="N33" s="1776"/>
      <c r="O33" s="140"/>
      <c r="V33" s="947" t="s">
        <v>2364</v>
      </c>
      <c r="W33" s="931"/>
      <c r="X33" s="932"/>
    </row>
    <row r="34" spans="1:31" ht="82.5" customHeight="1" x14ac:dyDescent="0.25">
      <c r="A34" s="140"/>
      <c r="B34" s="140"/>
      <c r="C34" s="1517" t="s">
        <v>2365</v>
      </c>
      <c r="D34" s="1529" t="s">
        <v>2366</v>
      </c>
      <c r="E34" s="1783" t="s">
        <v>2367</v>
      </c>
      <c r="F34" s="1775"/>
      <c r="G34" s="1775"/>
      <c r="H34" s="1775"/>
      <c r="I34" s="1775"/>
      <c r="J34" s="1775"/>
      <c r="K34" s="1775"/>
      <c r="L34" s="1775"/>
      <c r="M34" s="1775"/>
      <c r="N34" s="1522" t="s">
        <v>2368</v>
      </c>
      <c r="O34" s="140"/>
    </row>
    <row r="35" spans="1:31" ht="54.75" customHeight="1" x14ac:dyDescent="0.25">
      <c r="A35" s="140"/>
      <c r="B35" s="140"/>
      <c r="C35" s="1771" t="s">
        <v>2369</v>
      </c>
      <c r="D35" s="1519" t="s">
        <v>2370</v>
      </c>
      <c r="E35" s="1783" t="s">
        <v>2371</v>
      </c>
      <c r="F35" s="1786"/>
      <c r="G35" s="1786"/>
      <c r="H35" s="1786"/>
      <c r="I35" s="1786"/>
      <c r="J35" s="1786"/>
      <c r="K35" s="1786"/>
      <c r="L35" s="1786"/>
      <c r="M35" s="1786"/>
      <c r="N35" s="1520">
        <v>0.5</v>
      </c>
      <c r="O35" s="140"/>
    </row>
    <row r="36" spans="1:31" ht="174" customHeight="1" x14ac:dyDescent="0.25">
      <c r="A36" s="140"/>
      <c r="B36" s="140"/>
      <c r="C36" s="1771"/>
      <c r="D36" s="1518" t="s">
        <v>2372</v>
      </c>
      <c r="E36" s="1803" t="s">
        <v>2373</v>
      </c>
      <c r="F36" s="1786"/>
      <c r="G36" s="1786"/>
      <c r="H36" s="1786"/>
      <c r="I36" s="1786"/>
      <c r="J36" s="1786"/>
      <c r="K36" s="1786"/>
      <c r="L36" s="1786"/>
      <c r="M36" s="1786"/>
      <c r="N36" s="1520">
        <v>0.6</v>
      </c>
      <c r="O36" s="140"/>
    </row>
    <row r="37" spans="1:31" ht="26.25" customHeight="1" x14ac:dyDescent="0.4">
      <c r="A37" s="140"/>
      <c r="B37" s="140"/>
      <c r="C37" s="1530"/>
      <c r="D37" s="1531"/>
      <c r="E37" s="1532"/>
      <c r="F37" s="1532"/>
      <c r="G37" s="1532"/>
      <c r="H37" s="1532"/>
      <c r="I37" s="1532"/>
      <c r="J37" s="1532"/>
      <c r="K37" s="1532"/>
      <c r="L37" s="1532"/>
      <c r="M37" s="1532"/>
      <c r="N37" s="1533"/>
      <c r="O37" s="140"/>
    </row>
    <row r="38" spans="1:31" ht="18" x14ac:dyDescent="0.4">
      <c r="A38" s="140"/>
      <c r="B38" s="140"/>
      <c r="C38" s="700"/>
      <c r="D38" s="701" t="s">
        <v>2374</v>
      </c>
      <c r="E38" s="702"/>
      <c r="F38" s="702"/>
      <c r="G38" s="702"/>
      <c r="H38" s="702"/>
      <c r="I38" s="702"/>
      <c r="J38" s="702"/>
      <c r="K38" s="702"/>
      <c r="L38" s="702"/>
      <c r="M38" s="702"/>
      <c r="N38" s="703"/>
      <c r="O38" s="140"/>
    </row>
    <row r="39" spans="1:31" ht="39.75" customHeight="1" x14ac:dyDescent="0.4">
      <c r="A39" s="140"/>
      <c r="B39" s="140"/>
      <c r="C39" s="948"/>
      <c r="D39" s="704" t="s">
        <v>2375</v>
      </c>
      <c r="E39" s="1795" t="s">
        <v>2376</v>
      </c>
      <c r="F39" s="1795"/>
      <c r="G39" s="1795"/>
      <c r="H39" s="1795"/>
      <c r="I39" s="1795"/>
      <c r="J39" s="1795"/>
      <c r="K39" s="1795"/>
      <c r="L39" s="1795"/>
      <c r="M39" s="1795"/>
      <c r="N39" s="1796"/>
      <c r="O39" s="140"/>
    </row>
    <row r="40" spans="1:31" ht="42.75" customHeight="1" x14ac:dyDescent="0.4">
      <c r="A40" s="140"/>
      <c r="B40" s="140"/>
      <c r="C40" s="948"/>
      <c r="D40" s="704" t="s">
        <v>2377</v>
      </c>
      <c r="E40" s="1795" t="s">
        <v>2378</v>
      </c>
      <c r="F40" s="1795"/>
      <c r="G40" s="1795"/>
      <c r="H40" s="1795"/>
      <c r="I40" s="1795"/>
      <c r="J40" s="1795"/>
      <c r="K40" s="1795"/>
      <c r="L40" s="1795"/>
      <c r="M40" s="1795"/>
      <c r="N40" s="1796"/>
      <c r="O40" s="140"/>
    </row>
    <row r="41" spans="1:31" ht="60" customHeight="1" x14ac:dyDescent="0.4">
      <c r="A41" s="140"/>
      <c r="B41" s="140"/>
      <c r="C41" s="948"/>
      <c r="D41" s="704" t="s">
        <v>2379</v>
      </c>
      <c r="E41" s="1795" t="s">
        <v>2380</v>
      </c>
      <c r="F41" s="1795"/>
      <c r="G41" s="1795"/>
      <c r="H41" s="1795"/>
      <c r="I41" s="1795"/>
      <c r="J41" s="1795"/>
      <c r="K41" s="1795"/>
      <c r="L41" s="1795"/>
      <c r="M41" s="1795"/>
      <c r="N41" s="1796"/>
      <c r="O41" s="140"/>
    </row>
    <row r="42" spans="1:31" ht="42.75" customHeight="1" x14ac:dyDescent="0.4">
      <c r="A42" s="140"/>
      <c r="B42" s="140"/>
      <c r="C42" s="948"/>
      <c r="D42" s="704" t="s">
        <v>2381</v>
      </c>
      <c r="E42" s="1795" t="s">
        <v>2382</v>
      </c>
      <c r="F42" s="1795"/>
      <c r="G42" s="1795"/>
      <c r="H42" s="1795"/>
      <c r="I42" s="1795"/>
      <c r="J42" s="1795"/>
      <c r="K42" s="1795"/>
      <c r="L42" s="1795"/>
      <c r="M42" s="1795"/>
      <c r="N42" s="1796"/>
      <c r="O42" s="140"/>
    </row>
    <row r="43" spans="1:31" ht="51.75" customHeight="1" x14ac:dyDescent="0.25">
      <c r="A43" s="140"/>
      <c r="B43" s="140"/>
      <c r="C43" s="949"/>
      <c r="D43" s="704" t="s">
        <v>2383</v>
      </c>
      <c r="E43" s="1795" t="s">
        <v>2384</v>
      </c>
      <c r="F43" s="1795"/>
      <c r="G43" s="1795"/>
      <c r="H43" s="1795"/>
      <c r="I43" s="1795"/>
      <c r="J43" s="1795"/>
      <c r="K43" s="1795"/>
      <c r="L43" s="1795"/>
      <c r="M43" s="1795"/>
      <c r="N43" s="1796"/>
      <c r="O43" s="140"/>
    </row>
    <row r="44" spans="1:31" ht="18" x14ac:dyDescent="0.4">
      <c r="A44" s="140"/>
      <c r="B44" s="140"/>
      <c r="C44" s="950"/>
      <c r="D44" s="1242"/>
      <c r="E44" s="1243"/>
      <c r="F44" s="1243"/>
      <c r="G44" s="1243"/>
      <c r="H44" s="1243"/>
      <c r="I44" s="1243"/>
      <c r="J44" s="1243"/>
      <c r="K44" s="1243"/>
      <c r="L44" s="1243"/>
      <c r="M44" s="1243"/>
      <c r="N44" s="1244"/>
      <c r="O44" s="140"/>
      <c r="X44" s="461"/>
      <c r="Y44" s="461"/>
      <c r="AA44" s="461"/>
      <c r="AB44" s="461"/>
      <c r="AC44" s="461"/>
      <c r="AD44" s="461"/>
      <c r="AE44" s="461"/>
    </row>
    <row r="45" spans="1:31" s="461" customFormat="1" ht="33.75" customHeight="1" x14ac:dyDescent="0.25">
      <c r="A45" s="705"/>
      <c r="B45" s="705"/>
      <c r="C45" s="140"/>
      <c r="D45" s="140"/>
      <c r="E45" s="140"/>
      <c r="F45" s="140"/>
      <c r="G45" s="140"/>
      <c r="H45" s="140"/>
      <c r="I45" s="140"/>
      <c r="J45" s="140"/>
      <c r="K45" s="140"/>
      <c r="L45" s="140"/>
      <c r="M45" s="140"/>
      <c r="N45" s="140"/>
      <c r="O45" s="705"/>
      <c r="U45" s="168"/>
      <c r="V45" s="168"/>
      <c r="W45" s="168"/>
      <c r="X45" s="168"/>
      <c r="Y45" s="168"/>
      <c r="AA45" s="168"/>
      <c r="AB45" s="168"/>
      <c r="AC45" s="168"/>
      <c r="AD45" s="168"/>
      <c r="AE45" s="168"/>
    </row>
    <row r="46" spans="1:31" ht="25.5" customHeight="1" x14ac:dyDescent="0.25">
      <c r="A46" s="140"/>
      <c r="B46" s="140"/>
      <c r="C46" s="140"/>
      <c r="D46" s="140"/>
      <c r="E46" s="140"/>
      <c r="F46" s="140"/>
      <c r="G46" s="140"/>
      <c r="H46" s="140"/>
      <c r="I46" s="140"/>
      <c r="J46" s="140"/>
      <c r="K46" s="140"/>
      <c r="L46" s="140"/>
      <c r="M46" s="140"/>
      <c r="N46" s="140"/>
      <c r="O46" s="575"/>
      <c r="P46" s="508"/>
      <c r="Q46" s="508"/>
      <c r="R46" s="508"/>
      <c r="S46" s="508"/>
    </row>
    <row r="47" spans="1:31" ht="38.25" customHeight="1" x14ac:dyDescent="0.25">
      <c r="A47" s="140"/>
      <c r="B47" s="140"/>
      <c r="C47" s="1804"/>
      <c r="D47" s="1804"/>
      <c r="E47" s="1804"/>
      <c r="F47" s="1804"/>
      <c r="G47" s="1804"/>
      <c r="H47" s="1804"/>
      <c r="I47" s="1804"/>
      <c r="J47" s="1804"/>
      <c r="K47" s="1804"/>
      <c r="L47" s="140"/>
      <c r="M47" s="140"/>
      <c r="N47" s="140"/>
      <c r="O47" s="140"/>
    </row>
    <row r="48" spans="1:31" ht="38.25" customHeight="1" x14ac:dyDescent="0.25">
      <c r="A48" s="140"/>
      <c r="B48" s="140"/>
      <c r="C48" s="140"/>
      <c r="D48" s="140"/>
      <c r="E48" s="140"/>
      <c r="F48" s="140"/>
      <c r="G48" s="140"/>
      <c r="H48" s="140"/>
      <c r="I48" s="140"/>
      <c r="J48" s="140"/>
      <c r="K48" s="140"/>
      <c r="L48" s="140"/>
      <c r="M48" s="140"/>
      <c r="N48" s="140"/>
      <c r="O48" s="140"/>
    </row>
  </sheetData>
  <sheetProtection algorithmName="SHA-512" hashValue="mbvm2AWOtyzeXsaok1bQzvw+3kHj+yzj75k4LYVa5gnZg78glszUa22QKwznoKCrLbjaRydqE5VzSMeyZuDhSQ==" saltValue="b1d3oWNfpX82MkI2ZLK40A==" spinCount="100000" sheet="1" objects="1" scenarios="1" selectLockedCells="1" autoFilter="0"/>
  <mergeCells count="46">
    <mergeCell ref="E40:N40"/>
    <mergeCell ref="E41:N41"/>
    <mergeCell ref="E42:N42"/>
    <mergeCell ref="E43:N43"/>
    <mergeCell ref="C47:K47"/>
    <mergeCell ref="E39:N39"/>
    <mergeCell ref="E23:M23"/>
    <mergeCell ref="C24:C33"/>
    <mergeCell ref="D24:D26"/>
    <mergeCell ref="E24:M26"/>
    <mergeCell ref="N24:N26"/>
    <mergeCell ref="D27:D29"/>
    <mergeCell ref="E27:M29"/>
    <mergeCell ref="N27:N29"/>
    <mergeCell ref="D30:D33"/>
    <mergeCell ref="E30:M33"/>
    <mergeCell ref="N30:N33"/>
    <mergeCell ref="E34:M34"/>
    <mergeCell ref="C35:C36"/>
    <mergeCell ref="E35:M35"/>
    <mergeCell ref="E36:M36"/>
    <mergeCell ref="E19:M20"/>
    <mergeCell ref="N19:N20"/>
    <mergeCell ref="C21:C22"/>
    <mergeCell ref="D21:D22"/>
    <mergeCell ref="E21:M22"/>
    <mergeCell ref="N21:N22"/>
    <mergeCell ref="C14:C20"/>
    <mergeCell ref="D14:D16"/>
    <mergeCell ref="E14:M14"/>
    <mergeCell ref="N14:N16"/>
    <mergeCell ref="E15:M15"/>
    <mergeCell ref="E16:M16"/>
    <mergeCell ref="D17:D18"/>
    <mergeCell ref="E17:M18"/>
    <mergeCell ref="N17:N18"/>
    <mergeCell ref="D19:D20"/>
    <mergeCell ref="C12:C13"/>
    <mergeCell ref="D12:D13"/>
    <mergeCell ref="E12:M13"/>
    <mergeCell ref="N12:N13"/>
    <mergeCell ref="D5:L5"/>
    <mergeCell ref="A6:O7"/>
    <mergeCell ref="C9:C11"/>
    <mergeCell ref="D9:M11"/>
    <mergeCell ref="N9:N11"/>
  </mergeCells>
  <pageMargins left="0.25" right="0.25" top="0.75" bottom="0.75" header="0.3" footer="0.3"/>
  <pageSetup paperSize="9" scale="44" orientation="portrait"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A686D-F82C-4C56-A248-BE0613C3B89A}">
  <sheetPr codeName="Sheet48">
    <outlinePr summaryBelow="0" summaryRight="0" showOutlineSymbols="0"/>
    <pageSetUpPr autoPageBreaks="0" fitToPage="1"/>
  </sheetPr>
  <dimension ref="A1:M237"/>
  <sheetViews>
    <sheetView showGridLines="0" topLeftCell="A54" zoomScale="85" zoomScaleNormal="85" workbookViewId="0">
      <selection activeCell="P81" sqref="P81"/>
    </sheetView>
  </sheetViews>
  <sheetFormatPr defaultColWidth="8.33203125" defaultRowHeight="17.5" x14ac:dyDescent="0.35"/>
  <cols>
    <col min="1" max="2" width="1.58203125" style="579" customWidth="1"/>
    <col min="3" max="3" width="5.75" style="579" customWidth="1"/>
    <col min="4" max="4" width="0.75" style="579" customWidth="1"/>
    <col min="5" max="5" width="129.83203125" style="579" customWidth="1"/>
    <col min="6" max="6" width="5" style="579" customWidth="1"/>
    <col min="7" max="7" width="8.33203125" style="579"/>
    <col min="8" max="9" width="8.33203125" style="579" customWidth="1"/>
    <col min="10" max="16384" width="8.33203125" style="579"/>
  </cols>
  <sheetData>
    <row r="1" spans="1:13" ht="127.5" customHeight="1" collapsed="1" x14ac:dyDescent="0.35">
      <c r="A1" s="995"/>
      <c r="B1" s="995"/>
      <c r="C1" s="995"/>
      <c r="D1" s="995"/>
      <c r="E1" s="995"/>
      <c r="F1" s="1074"/>
      <c r="G1" s="1074"/>
      <c r="H1" s="1074"/>
      <c r="I1" s="1074"/>
      <c r="J1" s="1074"/>
      <c r="K1" s="1074"/>
      <c r="L1" s="1074"/>
      <c r="M1" s="1074"/>
    </row>
    <row r="2" spans="1:13" ht="40.4" customHeight="1" x14ac:dyDescent="0.35">
      <c r="A2" s="1556"/>
      <c r="B2" s="1556"/>
      <c r="C2" s="1556"/>
      <c r="D2" s="1556"/>
      <c r="E2" s="1556"/>
      <c r="F2" s="1074"/>
      <c r="G2" s="1074"/>
      <c r="H2" s="1074"/>
      <c r="I2" s="1074"/>
      <c r="J2" s="1074"/>
      <c r="K2" s="1074"/>
      <c r="L2" s="1074"/>
      <c r="M2" s="1074"/>
    </row>
    <row r="3" spans="1:13" ht="18" x14ac:dyDescent="0.4">
      <c r="D3" s="996"/>
    </row>
    <row r="5" spans="1:13" ht="18" x14ac:dyDescent="0.4">
      <c r="C5" s="1134" t="s">
        <v>736</v>
      </c>
      <c r="D5" s="1134"/>
      <c r="E5" s="1135"/>
    </row>
    <row r="6" spans="1:13" ht="18" x14ac:dyDescent="0.4">
      <c r="C6" s="996"/>
      <c r="D6" s="996"/>
    </row>
    <row r="7" spans="1:13" ht="18" x14ac:dyDescent="0.4">
      <c r="D7" s="996" t="s">
        <v>737</v>
      </c>
      <c r="E7" s="1077"/>
    </row>
    <row r="8" spans="1:13" ht="43" customHeight="1" x14ac:dyDescent="0.35">
      <c r="C8" s="997">
        <f>IF(AND(ISBLANK(D8),ISBLANK(E8)=FALSE),MAX(C$7:C7)+1,"")</f>
        <v>1</v>
      </c>
      <c r="D8" s="998"/>
      <c r="E8" s="1076" t="s">
        <v>738</v>
      </c>
      <c r="G8" s="1000"/>
    </row>
    <row r="9" spans="1:13" ht="43" customHeight="1" x14ac:dyDescent="0.35">
      <c r="C9" s="997">
        <f>IF(AND(ISBLANK(D9),ISBLANK(E9)=FALSE),MAX(C$7:C8)+1,"")</f>
        <v>2</v>
      </c>
      <c r="D9" s="997"/>
      <c r="E9" s="1076" t="s">
        <v>739</v>
      </c>
    </row>
    <row r="10" spans="1:13" ht="43" customHeight="1" x14ac:dyDescent="0.35">
      <c r="C10" s="997">
        <f>IF(AND(ISBLANK(D10),ISBLANK(E10)=FALSE),MAX(C$7:C9)+1,"")</f>
        <v>3</v>
      </c>
      <c r="D10" s="997"/>
      <c r="E10" s="1076" t="s">
        <v>740</v>
      </c>
    </row>
    <row r="11" spans="1:13" ht="18" x14ac:dyDescent="0.4">
      <c r="C11" s="997" t="str">
        <f>IF(AND(ISBLANK(D11),ISBLANK(E11)=FALSE),MAX(C$7:C10)+1,"")</f>
        <v/>
      </c>
      <c r="D11" s="996" t="s">
        <v>741</v>
      </c>
      <c r="E11" s="1077"/>
    </row>
    <row r="12" spans="1:13" ht="21.65" customHeight="1" x14ac:dyDescent="0.35">
      <c r="C12" s="997">
        <f>IF(AND(ISBLANK(D12),ISBLANK(E12)=FALSE),MAX(C$7:C11)+1,"")</f>
        <v>4</v>
      </c>
      <c r="D12" s="998"/>
      <c r="E12" s="1076" t="s">
        <v>742</v>
      </c>
    </row>
    <row r="13" spans="1:13" ht="64.400000000000006" customHeight="1" x14ac:dyDescent="0.35">
      <c r="C13" s="997">
        <f>IF(AND(ISBLANK(D13),ISBLANK(E13)=FALSE),MAX(C$7:C12)+1,"")</f>
        <v>5</v>
      </c>
      <c r="D13" s="998"/>
      <c r="E13" s="1076" t="s">
        <v>743</v>
      </c>
      <c r="G13" s="1000"/>
    </row>
    <row r="14" spans="1:13" ht="18" x14ac:dyDescent="0.4">
      <c r="C14" s="997" t="str">
        <f>IF(AND(ISBLANK(D14),ISBLANK(E14)=FALSE),MAX(C$7:C13)+1,"")</f>
        <v/>
      </c>
      <c r="D14" s="996" t="s">
        <v>744</v>
      </c>
      <c r="E14" s="1077"/>
    </row>
    <row r="15" spans="1:13" ht="43" customHeight="1" x14ac:dyDescent="0.35">
      <c r="C15" s="997">
        <f>IF(AND(ISBLANK(D15),ISBLANK(E15)=FALSE),MAX(C$7:C14)+1,"")</f>
        <v>6</v>
      </c>
      <c r="D15" s="998"/>
      <c r="E15" s="1076" t="s">
        <v>745</v>
      </c>
    </row>
    <row r="16" spans="1:13" ht="43" customHeight="1" x14ac:dyDescent="0.35">
      <c r="C16" s="997">
        <f>IF(AND(ISBLANK(D16),ISBLANK(E16)=FALSE),MAX(C$7:C15)+1,"")</f>
        <v>7</v>
      </c>
      <c r="D16" s="998"/>
      <c r="E16" s="1076" t="s">
        <v>746</v>
      </c>
    </row>
    <row r="17" spans="3:5" ht="98.9" customHeight="1" x14ac:dyDescent="0.35">
      <c r="C17" s="997">
        <f>IF(AND(ISBLANK(D17),ISBLANK(E17)=FALSE),MAX(C$7:C16)+1,"")</f>
        <v>8</v>
      </c>
      <c r="D17" s="998"/>
      <c r="E17" s="1076" t="s">
        <v>747</v>
      </c>
    </row>
    <row r="18" spans="3:5" ht="64.400000000000006" customHeight="1" x14ac:dyDescent="0.35">
      <c r="C18" s="997">
        <f>IF(AND(ISBLANK(D18),ISBLANK(E18)=FALSE),MAX(C$7:C17)+1,"")</f>
        <v>9</v>
      </c>
      <c r="D18" s="1001"/>
      <c r="E18" s="1076" t="s">
        <v>748</v>
      </c>
    </row>
    <row r="19" spans="3:5" ht="18" customHeight="1" x14ac:dyDescent="0.35">
      <c r="C19" s="997"/>
      <c r="D19" s="1001"/>
      <c r="E19" s="1002" t="s">
        <v>101</v>
      </c>
    </row>
    <row r="20" spans="3:5" ht="18" x14ac:dyDescent="0.4">
      <c r="C20" s="997"/>
      <c r="D20" s="996"/>
    </row>
    <row r="21" spans="3:5" ht="18" x14ac:dyDescent="0.4">
      <c r="C21" s="997"/>
      <c r="D21" s="996"/>
    </row>
    <row r="22" spans="3:5" ht="18" x14ac:dyDescent="0.4">
      <c r="C22" s="997"/>
      <c r="D22" s="996"/>
    </row>
    <row r="23" spans="3:5" ht="18" x14ac:dyDescent="0.4">
      <c r="C23" s="997"/>
      <c r="D23" s="996"/>
    </row>
    <row r="24" spans="3:5" ht="18" x14ac:dyDescent="0.4">
      <c r="C24" s="997"/>
      <c r="D24" s="996"/>
    </row>
    <row r="25" spans="3:5" ht="18" x14ac:dyDescent="0.4">
      <c r="C25" s="997"/>
      <c r="D25" s="996"/>
    </row>
    <row r="26" spans="3:5" ht="18" x14ac:dyDescent="0.4">
      <c r="C26" s="997"/>
      <c r="D26" s="996"/>
    </row>
    <row r="27" spans="3:5" ht="18" x14ac:dyDescent="0.4">
      <c r="C27" s="997"/>
      <c r="D27" s="996"/>
    </row>
    <row r="28" spans="3:5" ht="18" x14ac:dyDescent="0.4">
      <c r="C28" s="997"/>
      <c r="D28" s="996"/>
    </row>
    <row r="29" spans="3:5" ht="18" x14ac:dyDescent="0.4">
      <c r="C29" s="997"/>
      <c r="D29" s="996"/>
    </row>
    <row r="30" spans="3:5" ht="18" x14ac:dyDescent="0.4">
      <c r="C30" s="997"/>
      <c r="D30" s="996"/>
    </row>
    <row r="31" spans="3:5" ht="18" x14ac:dyDescent="0.4">
      <c r="C31" s="997"/>
      <c r="D31" s="996"/>
    </row>
    <row r="32" spans="3:5" ht="18" x14ac:dyDescent="0.4">
      <c r="C32" s="997"/>
      <c r="D32" s="996"/>
    </row>
    <row r="33" spans="3:5" ht="18" x14ac:dyDescent="0.4">
      <c r="C33" s="997"/>
      <c r="D33" s="996"/>
    </row>
    <row r="34" spans="3:5" ht="18" x14ac:dyDescent="0.4">
      <c r="C34" s="997"/>
      <c r="D34" s="996"/>
    </row>
    <row r="35" spans="3:5" ht="18" x14ac:dyDescent="0.4">
      <c r="C35" s="997"/>
      <c r="D35" s="996"/>
    </row>
    <row r="36" spans="3:5" ht="18" x14ac:dyDescent="0.4">
      <c r="C36" s="997"/>
      <c r="D36" s="996"/>
    </row>
    <row r="37" spans="3:5" ht="18" x14ac:dyDescent="0.4">
      <c r="C37" s="997"/>
      <c r="D37" s="996"/>
    </row>
    <row r="38" spans="3:5" ht="18" x14ac:dyDescent="0.4">
      <c r="C38" s="997"/>
      <c r="D38" s="996"/>
    </row>
    <row r="39" spans="3:5" ht="18" x14ac:dyDescent="0.4">
      <c r="C39" s="997"/>
      <c r="D39" s="996"/>
    </row>
    <row r="40" spans="3:5" ht="18" x14ac:dyDescent="0.4">
      <c r="C40" s="997"/>
      <c r="D40" s="996"/>
    </row>
    <row r="41" spans="3:5" ht="18" x14ac:dyDescent="0.4">
      <c r="C41" s="997"/>
      <c r="D41" s="996"/>
    </row>
    <row r="42" spans="3:5" ht="18" x14ac:dyDescent="0.4">
      <c r="C42" s="997"/>
      <c r="D42" s="996"/>
    </row>
    <row r="43" spans="3:5" ht="18" x14ac:dyDescent="0.4">
      <c r="C43" s="997"/>
      <c r="D43" s="996"/>
    </row>
    <row r="44" spans="3:5" ht="18" x14ac:dyDescent="0.4">
      <c r="C44" s="997"/>
      <c r="D44" s="996"/>
    </row>
    <row r="45" spans="3:5" ht="18" x14ac:dyDescent="0.4">
      <c r="C45" s="997"/>
      <c r="D45" s="996"/>
    </row>
    <row r="46" spans="3:5" ht="18" x14ac:dyDescent="0.4">
      <c r="C46" s="997"/>
      <c r="D46" s="996"/>
    </row>
    <row r="47" spans="3:5" ht="18" x14ac:dyDescent="0.4">
      <c r="C47" s="997" t="str">
        <f>IF(AND(ISBLANK(D47),ISBLANK(E47)=FALSE),MAX(C$7:C18)+1,"")</f>
        <v/>
      </c>
      <c r="D47" s="996" t="s">
        <v>749</v>
      </c>
    </row>
    <row r="48" spans="3:5" ht="43" customHeight="1" x14ac:dyDescent="0.35">
      <c r="C48" s="997">
        <f>IF(AND(ISBLANK(D48),ISBLANK(E48)=FALSE),MAX(C$7:C47)+1,"")</f>
        <v>10</v>
      </c>
      <c r="D48" s="998"/>
      <c r="E48" s="999" t="s">
        <v>750</v>
      </c>
    </row>
    <row r="49" spans="3:5" ht="43" customHeight="1" x14ac:dyDescent="0.35">
      <c r="C49" s="997">
        <f>IF(AND(ISBLANK(D49),ISBLANK(E49)=FALSE),MAX(C$7:C48)+1,"")</f>
        <v>11</v>
      </c>
      <c r="D49" s="998"/>
      <c r="E49" s="999" t="s">
        <v>751</v>
      </c>
    </row>
    <row r="50" spans="3:5" ht="43" customHeight="1" x14ac:dyDescent="0.35">
      <c r="C50" s="997">
        <f>IF(AND(ISBLANK(D50),ISBLANK(E50)=FALSE),MAX(C$7:C49)+1,"")</f>
        <v>12</v>
      </c>
      <c r="D50" s="998"/>
      <c r="E50" s="999" t="s">
        <v>752</v>
      </c>
    </row>
    <row r="51" spans="3:5" ht="43" customHeight="1" x14ac:dyDescent="0.35">
      <c r="C51" s="997">
        <f>IF(AND(ISBLANK(D51),ISBLANK(E51)=FALSE),MAX(C$7:C50)+1,"")</f>
        <v>13</v>
      </c>
      <c r="D51" s="998"/>
      <c r="E51" s="999" t="s">
        <v>753</v>
      </c>
    </row>
    <row r="52" spans="3:5" ht="43" customHeight="1" x14ac:dyDescent="0.35">
      <c r="C52" s="997">
        <f>IF(AND(ISBLANK(D52),ISBLANK(E52)=FALSE),MAX(C$7:C51)+1,"")</f>
        <v>14</v>
      </c>
      <c r="D52" s="998"/>
      <c r="E52" s="999" t="s">
        <v>754</v>
      </c>
    </row>
    <row r="53" spans="3:5" ht="43" customHeight="1" x14ac:dyDescent="0.35">
      <c r="C53" s="997">
        <f>IF(AND(ISBLANK(D53),ISBLANK(E53)=FALSE),MAX(C$7:C52)+1,"")</f>
        <v>15</v>
      </c>
      <c r="D53" s="998"/>
      <c r="E53" s="999" t="s">
        <v>755</v>
      </c>
    </row>
    <row r="54" spans="3:5" ht="43" customHeight="1" x14ac:dyDescent="0.35">
      <c r="C54" s="997">
        <f>IF(AND(ISBLANK(D54),ISBLANK(E54)=FALSE),MAX(C$7:C53)+1,"")</f>
        <v>16</v>
      </c>
      <c r="D54" s="998"/>
      <c r="E54" s="999" t="s">
        <v>756</v>
      </c>
    </row>
    <row r="55" spans="3:5" ht="18" customHeight="1" x14ac:dyDescent="0.35">
      <c r="C55" s="997"/>
      <c r="D55" s="998"/>
      <c r="E55" s="1002" t="s">
        <v>102</v>
      </c>
    </row>
    <row r="56" spans="3:5" ht="18" customHeight="1" x14ac:dyDescent="0.35">
      <c r="C56" s="997"/>
      <c r="D56" s="998"/>
      <c r="E56" s="999"/>
    </row>
    <row r="57" spans="3:5" ht="18" customHeight="1" x14ac:dyDescent="0.35">
      <c r="C57" s="997"/>
      <c r="D57" s="998"/>
      <c r="E57" s="999"/>
    </row>
    <row r="58" spans="3:5" ht="18" customHeight="1" x14ac:dyDescent="0.35">
      <c r="C58" s="997"/>
      <c r="D58" s="998"/>
      <c r="E58" s="999"/>
    </row>
    <row r="59" spans="3:5" ht="18" customHeight="1" x14ac:dyDescent="0.35">
      <c r="C59" s="997"/>
      <c r="D59" s="998"/>
      <c r="E59" s="999"/>
    </row>
    <row r="60" spans="3:5" ht="18" customHeight="1" x14ac:dyDescent="0.35">
      <c r="C60" s="997"/>
      <c r="D60" s="998"/>
      <c r="E60" s="999"/>
    </row>
    <row r="61" spans="3:5" ht="18" customHeight="1" x14ac:dyDescent="0.35">
      <c r="C61" s="997"/>
      <c r="D61" s="998"/>
      <c r="E61" s="999"/>
    </row>
    <row r="62" spans="3:5" ht="18" customHeight="1" x14ac:dyDescent="0.35">
      <c r="C62" s="997"/>
      <c r="D62" s="998"/>
      <c r="E62" s="999"/>
    </row>
    <row r="63" spans="3:5" ht="18" customHeight="1" x14ac:dyDescent="0.35">
      <c r="C63" s="997"/>
      <c r="D63" s="998"/>
      <c r="E63" s="999"/>
    </row>
    <row r="64" spans="3:5" ht="18" customHeight="1" x14ac:dyDescent="0.35">
      <c r="C64" s="997"/>
      <c r="D64" s="998"/>
      <c r="E64" s="999"/>
    </row>
    <row r="65" spans="3:5" ht="18" customHeight="1" x14ac:dyDescent="0.35">
      <c r="C65" s="997"/>
      <c r="D65" s="998"/>
      <c r="E65" s="999"/>
    </row>
    <row r="66" spans="3:5" ht="18" customHeight="1" x14ac:dyDescent="0.35">
      <c r="C66" s="997"/>
      <c r="D66" s="998"/>
      <c r="E66" s="999"/>
    </row>
    <row r="67" spans="3:5" ht="18" customHeight="1" x14ac:dyDescent="0.35">
      <c r="C67" s="997"/>
      <c r="D67" s="998"/>
      <c r="E67" s="999"/>
    </row>
    <row r="68" spans="3:5" ht="18" customHeight="1" x14ac:dyDescent="0.35">
      <c r="C68" s="997"/>
      <c r="D68" s="998"/>
      <c r="E68" s="999"/>
    </row>
    <row r="69" spans="3:5" ht="18" customHeight="1" x14ac:dyDescent="0.35">
      <c r="C69" s="997"/>
      <c r="D69" s="998"/>
      <c r="E69" s="999"/>
    </row>
    <row r="70" spans="3:5" ht="18" customHeight="1" x14ac:dyDescent="0.35">
      <c r="C70" s="997"/>
      <c r="D70" s="998"/>
      <c r="E70" s="999"/>
    </row>
    <row r="71" spans="3:5" ht="18" customHeight="1" x14ac:dyDescent="0.35">
      <c r="C71" s="997"/>
      <c r="D71" s="998"/>
      <c r="E71" s="999"/>
    </row>
    <row r="72" spans="3:5" ht="18" customHeight="1" x14ac:dyDescent="0.35">
      <c r="C72" s="997"/>
      <c r="D72" s="998"/>
      <c r="E72" s="999"/>
    </row>
    <row r="73" spans="3:5" ht="18" customHeight="1" x14ac:dyDescent="0.35">
      <c r="C73" s="997"/>
      <c r="D73" s="998"/>
      <c r="E73" s="999"/>
    </row>
    <row r="74" spans="3:5" ht="18" customHeight="1" x14ac:dyDescent="0.35">
      <c r="C74" s="997"/>
      <c r="D74" s="998"/>
      <c r="E74" s="999"/>
    </row>
    <row r="75" spans="3:5" ht="18" customHeight="1" x14ac:dyDescent="0.35">
      <c r="C75" s="997"/>
      <c r="D75" s="998"/>
      <c r="E75" s="999"/>
    </row>
    <row r="76" spans="3:5" ht="18" customHeight="1" x14ac:dyDescent="0.35">
      <c r="C76" s="997"/>
      <c r="D76" s="998"/>
      <c r="E76" s="999"/>
    </row>
    <row r="77" spans="3:5" ht="18" customHeight="1" x14ac:dyDescent="0.35">
      <c r="C77" s="997"/>
      <c r="D77" s="998"/>
      <c r="E77" s="999"/>
    </row>
    <row r="78" spans="3:5" ht="18" customHeight="1" x14ac:dyDescent="0.35">
      <c r="C78" s="997"/>
      <c r="D78" s="998"/>
      <c r="E78" s="999"/>
    </row>
    <row r="79" spans="3:5" ht="18" customHeight="1" x14ac:dyDescent="0.35">
      <c r="C79" s="997"/>
      <c r="D79" s="998"/>
      <c r="E79" s="999"/>
    </row>
    <row r="80" spans="3:5" ht="18" customHeight="1" x14ac:dyDescent="0.35">
      <c r="C80" s="997"/>
      <c r="D80" s="998"/>
      <c r="E80" s="999"/>
    </row>
    <row r="81" spans="3:5" ht="18" customHeight="1" x14ac:dyDescent="0.35">
      <c r="C81" s="997"/>
      <c r="D81" s="998"/>
      <c r="E81" s="999"/>
    </row>
    <row r="82" spans="3:5" ht="18" customHeight="1" x14ac:dyDescent="0.35">
      <c r="C82" s="997"/>
      <c r="D82" s="998"/>
      <c r="E82" s="999"/>
    </row>
    <row r="83" spans="3:5" ht="18" customHeight="1" x14ac:dyDescent="0.35">
      <c r="C83" s="997"/>
      <c r="D83" s="998"/>
      <c r="E83" s="999"/>
    </row>
    <row r="84" spans="3:5" ht="18" customHeight="1" x14ac:dyDescent="0.35">
      <c r="C84" s="997"/>
      <c r="D84" s="998"/>
      <c r="E84" s="999"/>
    </row>
    <row r="85" spans="3:5" ht="18" customHeight="1" x14ac:dyDescent="0.35">
      <c r="C85" s="997"/>
      <c r="D85" s="998"/>
      <c r="E85" s="999"/>
    </row>
    <row r="86" spans="3:5" ht="18" x14ac:dyDescent="0.4">
      <c r="C86" s="997" t="str">
        <f>IF(AND(ISBLANK(D86),ISBLANK(E86)=FALSE),MAX(C$7:C54)+1,"")</f>
        <v/>
      </c>
      <c r="D86" s="996" t="s">
        <v>757</v>
      </c>
    </row>
    <row r="87" spans="3:5" ht="21.65" customHeight="1" x14ac:dyDescent="0.35">
      <c r="C87" s="997">
        <f>IF(AND(ISBLANK(D87),ISBLANK(E87)=FALSE),MAX(C$7:C86)+1,"")</f>
        <v>17</v>
      </c>
      <c r="D87" s="998"/>
      <c r="E87" s="999" t="s">
        <v>758</v>
      </c>
    </row>
    <row r="88" spans="3:5" ht="21.65" customHeight="1" x14ac:dyDescent="0.35">
      <c r="C88" s="997">
        <f>IF(AND(ISBLANK(D88),ISBLANK(E88)=FALSE),MAX(C$7:C87)+1,"")</f>
        <v>18</v>
      </c>
      <c r="D88" s="998"/>
      <c r="E88" s="999" t="s">
        <v>759</v>
      </c>
    </row>
    <row r="89" spans="3:5" ht="43" customHeight="1" x14ac:dyDescent="0.35">
      <c r="C89" s="997">
        <f>IF(AND(ISBLANK(D89),ISBLANK(E89)=FALSE),MAX(C$7:C88)+1,"")</f>
        <v>19</v>
      </c>
      <c r="D89" s="998"/>
      <c r="E89" s="999" t="s">
        <v>760</v>
      </c>
    </row>
    <row r="90" spans="3:5" ht="43" customHeight="1" x14ac:dyDescent="0.35">
      <c r="C90" s="997">
        <f>IF(AND(ISBLANK(D90),ISBLANK(E90)=FALSE),MAX(C$7:C89)+1,"")</f>
        <v>20</v>
      </c>
      <c r="D90" s="998"/>
      <c r="E90" s="999" t="s">
        <v>761</v>
      </c>
    </row>
    <row r="91" spans="3:5" ht="60.75" customHeight="1" x14ac:dyDescent="0.35">
      <c r="C91" s="997">
        <f>IF(AND(ISBLANK(D91),ISBLANK(E91)=FALSE),MAX(C$7:C90)+1,"")</f>
        <v>21</v>
      </c>
      <c r="D91" s="998"/>
      <c r="E91" s="999" t="s">
        <v>762</v>
      </c>
    </row>
    <row r="92" spans="3:5" ht="59.25" customHeight="1" x14ac:dyDescent="0.35">
      <c r="C92" s="997">
        <f>IF(AND(ISBLANK(D92),ISBLANK(E92)=FALSE),MAX(C$7:C91)+1,"")</f>
        <v>22</v>
      </c>
      <c r="D92" s="998"/>
      <c r="E92" s="1002" t="s">
        <v>763</v>
      </c>
    </row>
    <row r="93" spans="3:5" ht="18" customHeight="1" x14ac:dyDescent="0.35">
      <c r="C93" s="997"/>
      <c r="D93" s="998"/>
      <c r="E93" s="1002"/>
    </row>
    <row r="94" spans="3:5" ht="18" customHeight="1" x14ac:dyDescent="0.35">
      <c r="C94" s="997"/>
      <c r="D94" s="998"/>
      <c r="E94" s="1002" t="s">
        <v>764</v>
      </c>
    </row>
    <row r="95" spans="3:5" ht="18" customHeight="1" x14ac:dyDescent="0.35">
      <c r="C95" s="997"/>
      <c r="D95" s="998"/>
      <c r="E95" s="1002"/>
    </row>
    <row r="96" spans="3:5" ht="18" customHeight="1" x14ac:dyDescent="0.35">
      <c r="C96" s="997"/>
      <c r="D96" s="998"/>
      <c r="E96" s="1002"/>
    </row>
    <row r="97" spans="3:5" ht="18" customHeight="1" x14ac:dyDescent="0.35">
      <c r="C97" s="997"/>
      <c r="D97" s="998"/>
      <c r="E97" s="1002"/>
    </row>
    <row r="98" spans="3:5" ht="18" customHeight="1" x14ac:dyDescent="0.35">
      <c r="C98" s="997"/>
      <c r="D98" s="998"/>
      <c r="E98" s="1002"/>
    </row>
    <row r="99" spans="3:5" ht="18" customHeight="1" x14ac:dyDescent="0.35">
      <c r="C99" s="997"/>
      <c r="D99" s="998"/>
      <c r="E99" s="1002"/>
    </row>
    <row r="100" spans="3:5" ht="18" customHeight="1" x14ac:dyDescent="0.35">
      <c r="C100" s="997"/>
      <c r="D100" s="998"/>
      <c r="E100" s="1002"/>
    </row>
    <row r="101" spans="3:5" ht="18" customHeight="1" x14ac:dyDescent="0.35">
      <c r="C101" s="997"/>
      <c r="D101" s="998"/>
      <c r="E101" s="1002"/>
    </row>
    <row r="102" spans="3:5" ht="18" customHeight="1" x14ac:dyDescent="0.35">
      <c r="C102" s="997"/>
      <c r="D102" s="998"/>
      <c r="E102" s="1002"/>
    </row>
    <row r="103" spans="3:5" ht="18" customHeight="1" x14ac:dyDescent="0.35">
      <c r="C103" s="997"/>
      <c r="D103" s="998"/>
      <c r="E103" s="1002"/>
    </row>
    <row r="104" spans="3:5" ht="18" customHeight="1" x14ac:dyDescent="0.35">
      <c r="C104" s="997"/>
      <c r="D104" s="998"/>
      <c r="E104" s="1002"/>
    </row>
    <row r="105" spans="3:5" ht="18" customHeight="1" x14ac:dyDescent="0.35">
      <c r="C105" s="997"/>
      <c r="D105" s="998"/>
      <c r="E105" s="1002"/>
    </row>
    <row r="106" spans="3:5" ht="18" customHeight="1" x14ac:dyDescent="0.35">
      <c r="C106" s="997"/>
      <c r="D106" s="998"/>
      <c r="E106" s="1002"/>
    </row>
    <row r="107" spans="3:5" ht="18" customHeight="1" x14ac:dyDescent="0.35">
      <c r="C107" s="997"/>
      <c r="D107" s="998"/>
      <c r="E107" s="1002"/>
    </row>
    <row r="108" spans="3:5" ht="18" customHeight="1" x14ac:dyDescent="0.35">
      <c r="C108" s="997"/>
      <c r="D108" s="998"/>
      <c r="E108" s="1002"/>
    </row>
    <row r="109" spans="3:5" ht="18" customHeight="1" x14ac:dyDescent="0.35">
      <c r="C109" s="997"/>
      <c r="D109" s="998"/>
      <c r="E109" s="1002"/>
    </row>
    <row r="110" spans="3:5" ht="18" customHeight="1" x14ac:dyDescent="0.35">
      <c r="C110" s="997"/>
      <c r="D110" s="998"/>
      <c r="E110" s="1002"/>
    </row>
    <row r="111" spans="3:5" ht="18" customHeight="1" x14ac:dyDescent="0.35">
      <c r="C111" s="997"/>
      <c r="D111" s="998"/>
      <c r="E111" s="1002"/>
    </row>
    <row r="112" spans="3:5" ht="18" customHeight="1" x14ac:dyDescent="0.35">
      <c r="C112" s="997"/>
      <c r="D112" s="998"/>
      <c r="E112" s="1002"/>
    </row>
    <row r="113" spans="3:5" ht="18" customHeight="1" x14ac:dyDescent="0.35">
      <c r="C113" s="997"/>
      <c r="D113" s="998"/>
      <c r="E113" s="1002"/>
    </row>
    <row r="114" spans="3:5" ht="18" customHeight="1" x14ac:dyDescent="0.35">
      <c r="C114" s="997"/>
      <c r="D114" s="998"/>
      <c r="E114" s="1002"/>
    </row>
    <row r="115" spans="3:5" ht="18" customHeight="1" x14ac:dyDescent="0.35">
      <c r="C115" s="997"/>
      <c r="D115" s="998"/>
      <c r="E115" s="1002"/>
    </row>
    <row r="116" spans="3:5" ht="18" customHeight="1" x14ac:dyDescent="0.35">
      <c r="C116" s="997"/>
      <c r="D116" s="998"/>
      <c r="E116" s="1002"/>
    </row>
    <row r="117" spans="3:5" ht="18" customHeight="1" x14ac:dyDescent="0.35">
      <c r="C117" s="997"/>
      <c r="D117" s="998"/>
      <c r="E117" s="1002"/>
    </row>
    <row r="118" spans="3:5" ht="18" customHeight="1" x14ac:dyDescent="0.35">
      <c r="C118" s="997"/>
      <c r="D118" s="998"/>
      <c r="E118" s="1002"/>
    </row>
    <row r="119" spans="3:5" ht="18" customHeight="1" x14ac:dyDescent="0.35">
      <c r="C119" s="997"/>
      <c r="D119" s="998"/>
      <c r="E119" s="1002"/>
    </row>
    <row r="120" spans="3:5" ht="18" x14ac:dyDescent="0.4">
      <c r="C120" s="997" t="str">
        <f>IF(AND(ISBLANK(D120),ISBLANK(E120)=FALSE),MAX(C$7:C92)+1,"")</f>
        <v/>
      </c>
      <c r="D120" s="996" t="s">
        <v>765</v>
      </c>
    </row>
    <row r="121" spans="3:5" ht="21.65" customHeight="1" x14ac:dyDescent="0.35">
      <c r="C121" s="997">
        <f>IF(AND(ISBLANK(D121),ISBLANK(E121)=FALSE),MAX(C$7:C120)+1,"")</f>
        <v>23</v>
      </c>
      <c r="D121" s="998"/>
      <c r="E121" s="999" t="s">
        <v>766</v>
      </c>
    </row>
    <row r="122" spans="3:5" ht="64.400000000000006" customHeight="1" x14ac:dyDescent="0.35">
      <c r="C122" s="997">
        <f>IF(AND(ISBLANK(D122),ISBLANK(E122)=FALSE),MAX(C$7:C121)+1,"")</f>
        <v>24</v>
      </c>
      <c r="D122" s="998"/>
      <c r="E122" s="999" t="s">
        <v>767</v>
      </c>
    </row>
    <row r="123" spans="3:5" x14ac:dyDescent="0.35">
      <c r="C123" s="997">
        <f>IF(AND(ISBLANK(D123),ISBLANK(E123)=FALSE),MAX(C$7:C122)+1,"")</f>
        <v>25</v>
      </c>
      <c r="D123" s="998"/>
      <c r="E123" s="999" t="s">
        <v>768</v>
      </c>
    </row>
    <row r="124" spans="3:5" ht="21.65" customHeight="1" x14ac:dyDescent="0.35">
      <c r="C124" s="997">
        <f>IF(AND(ISBLANK(D124),ISBLANK(E124)=FALSE),MAX(C$7:C123)+1,"")</f>
        <v>26</v>
      </c>
      <c r="D124" s="998"/>
      <c r="E124" s="999" t="s">
        <v>769</v>
      </c>
    </row>
    <row r="125" spans="3:5" s="168" customFormat="1" ht="18" customHeight="1" x14ac:dyDescent="0.25">
      <c r="E125" s="508"/>
    </row>
    <row r="126" spans="3:5" s="168" customFormat="1" ht="18" x14ac:dyDescent="0.4">
      <c r="C126" s="1134" t="s">
        <v>770</v>
      </c>
      <c r="D126" s="1134"/>
      <c r="E126" s="1135"/>
    </row>
    <row r="127" spans="3:5" s="168" customFormat="1" ht="18" x14ac:dyDescent="0.4">
      <c r="C127" s="996"/>
      <c r="D127" s="996"/>
      <c r="E127" s="579"/>
    </row>
    <row r="128" spans="3:5" s="168" customFormat="1" ht="18" x14ac:dyDescent="0.4">
      <c r="C128" s="579"/>
      <c r="D128" s="996" t="s">
        <v>771</v>
      </c>
      <c r="E128" s="579"/>
    </row>
    <row r="129" spans="3:8" s="168" customFormat="1" ht="21.65" customHeight="1" x14ac:dyDescent="0.4">
      <c r="C129" s="997">
        <f>IF(AND(ISBLANK(D129),ISBLANK(E129)=FALSE),MAX(C$7:C128)+1,"")</f>
        <v>27</v>
      </c>
      <c r="D129" s="998"/>
      <c r="E129" s="999" t="s">
        <v>772</v>
      </c>
      <c r="H129" s="1014"/>
    </row>
    <row r="130" spans="3:8" s="168" customFormat="1" ht="21.65" customHeight="1" x14ac:dyDescent="0.25">
      <c r="C130" s="997">
        <f>IF(AND(ISBLANK(D130),ISBLANK(E130)=FALSE),MAX(C$7:C129)+1,"")</f>
        <v>28</v>
      </c>
      <c r="D130" s="997"/>
      <c r="E130" s="999" t="s">
        <v>773</v>
      </c>
    </row>
    <row r="131" spans="3:8" s="168" customFormat="1" ht="21.65" customHeight="1" x14ac:dyDescent="0.25">
      <c r="C131" s="997">
        <f>IF(AND(ISBLANK(D131),ISBLANK(E131)=FALSE),MAX(C$7:C130)+1,"")</f>
        <v>29</v>
      </c>
      <c r="D131" s="997"/>
      <c r="E131" s="999" t="s">
        <v>774</v>
      </c>
    </row>
    <row r="132" spans="3:8" s="168" customFormat="1" ht="43" customHeight="1" x14ac:dyDescent="0.25">
      <c r="C132" s="997">
        <f>IF(AND(ISBLANK(D132),ISBLANK(E132)=FALSE),MAX(C$7:C131)+1,"")</f>
        <v>30</v>
      </c>
      <c r="E132" s="999" t="s">
        <v>775</v>
      </c>
    </row>
    <row r="133" spans="3:8" s="168" customFormat="1" ht="43" customHeight="1" x14ac:dyDescent="0.25">
      <c r="C133" s="997">
        <f>IF(AND(ISBLANK(D133),ISBLANK(E133)=FALSE),MAX(C$7:C132)+1,"")</f>
        <v>31</v>
      </c>
      <c r="E133" s="999" t="s">
        <v>776</v>
      </c>
    </row>
    <row r="134" spans="3:8" s="168" customFormat="1" ht="21.65" customHeight="1" x14ac:dyDescent="0.25">
      <c r="C134" s="997">
        <f>IF(AND(ISBLANK(D134),ISBLANK(E134)=FALSE),MAX(C$7:C133)+1,"")</f>
        <v>32</v>
      </c>
      <c r="E134" s="999" t="s">
        <v>777</v>
      </c>
    </row>
    <row r="135" spans="3:8" s="1009" customFormat="1" ht="64.400000000000006" customHeight="1" x14ac:dyDescent="0.35">
      <c r="C135" s="1010"/>
      <c r="E135" s="1011" t="s">
        <v>778</v>
      </c>
    </row>
    <row r="136" spans="3:8" s="1009" customFormat="1" ht="43" customHeight="1" x14ac:dyDescent="0.35">
      <c r="C136" s="1010"/>
      <c r="E136" s="1011" t="s">
        <v>779</v>
      </c>
    </row>
    <row r="137" spans="3:8" s="168" customFormat="1" ht="21.65" customHeight="1" x14ac:dyDescent="0.25">
      <c r="C137" s="997">
        <f>IF(AND(ISBLANK(D137),ISBLANK(E137)=FALSE),MAX(C$7:C136)+1,"")</f>
        <v>33</v>
      </c>
      <c r="E137" s="999" t="s">
        <v>780</v>
      </c>
    </row>
    <row r="138" spans="3:8" s="168" customFormat="1" ht="43" customHeight="1" x14ac:dyDescent="0.25">
      <c r="C138" s="997"/>
      <c r="E138" s="1011" t="s">
        <v>781</v>
      </c>
    </row>
    <row r="139" spans="3:8" s="168" customFormat="1" ht="21.65" customHeight="1" x14ac:dyDescent="0.25">
      <c r="C139" s="997">
        <f>IF(AND(ISBLANK(D139),ISBLANK(E139)=FALSE),MAX(C$7:C138)+1,"")</f>
        <v>34</v>
      </c>
      <c r="E139" s="999" t="s">
        <v>782</v>
      </c>
    </row>
    <row r="140" spans="3:8" s="168" customFormat="1" ht="43" customHeight="1" x14ac:dyDescent="0.25">
      <c r="C140" s="997"/>
      <c r="E140" s="1011" t="s">
        <v>783</v>
      </c>
    </row>
    <row r="141" spans="3:8" s="168" customFormat="1" ht="21.65" customHeight="1" x14ac:dyDescent="0.25">
      <c r="C141" s="997">
        <f>IF(AND(ISBLANK(D141),ISBLANK(E141)=FALSE),MAX(C$7:C140)+1,"")</f>
        <v>35</v>
      </c>
      <c r="E141" s="999" t="s">
        <v>784</v>
      </c>
    </row>
    <row r="142" spans="3:8" s="168" customFormat="1" ht="107.25" customHeight="1" x14ac:dyDescent="0.25">
      <c r="C142" s="997"/>
      <c r="E142" s="1011" t="s">
        <v>785</v>
      </c>
    </row>
    <row r="143" spans="3:8" s="168" customFormat="1" ht="21.65" customHeight="1" x14ac:dyDescent="0.25">
      <c r="C143" s="997">
        <f>IF(AND(ISBLANK(D143),ISBLANK(E143)=FALSE),MAX(C$7:C142)+1,"")</f>
        <v>36</v>
      </c>
      <c r="E143" s="999" t="s">
        <v>786</v>
      </c>
    </row>
    <row r="144" spans="3:8" s="168" customFormat="1" ht="73.400000000000006" customHeight="1" x14ac:dyDescent="0.25">
      <c r="C144" s="997"/>
      <c r="E144" s="1011" t="s">
        <v>787</v>
      </c>
    </row>
    <row r="145" spans="3:5" s="168" customFormat="1" ht="21.65" customHeight="1" x14ac:dyDescent="0.25">
      <c r="C145" s="997">
        <f>IF(AND(ISBLANK(D145),ISBLANK(E145)=FALSE),MAX(C$7:C144)+1,"")</f>
        <v>37</v>
      </c>
      <c r="E145" s="999" t="s">
        <v>788</v>
      </c>
    </row>
    <row r="146" spans="3:5" s="168" customFormat="1" ht="118" customHeight="1" x14ac:dyDescent="0.25">
      <c r="C146" s="997"/>
      <c r="E146" s="1011" t="s">
        <v>789</v>
      </c>
    </row>
    <row r="147" spans="3:5" s="168" customFormat="1" ht="21.65" customHeight="1" x14ac:dyDescent="0.25">
      <c r="C147" s="997">
        <f>IF(AND(ISBLANK(D147),ISBLANK(E147)=FALSE),MAX(C$7:C146)+1,"")</f>
        <v>38</v>
      </c>
      <c r="E147" s="999" t="s">
        <v>790</v>
      </c>
    </row>
    <row r="148" spans="3:5" s="168" customFormat="1" ht="43" customHeight="1" x14ac:dyDescent="0.25">
      <c r="C148" s="997"/>
      <c r="E148" s="1011" t="s">
        <v>791</v>
      </c>
    </row>
    <row r="149" spans="3:5" s="168" customFormat="1" ht="21.65" customHeight="1" x14ac:dyDescent="0.25">
      <c r="C149" s="997">
        <f>IF(AND(ISBLANK(D149),ISBLANK(E149)=FALSE),MAX(C$7:C148)+1,"")</f>
        <v>39</v>
      </c>
      <c r="E149" s="999" t="s">
        <v>792</v>
      </c>
    </row>
    <row r="150" spans="3:5" s="168" customFormat="1" ht="21.65" customHeight="1" x14ac:dyDescent="0.25">
      <c r="C150" s="997"/>
      <c r="E150" s="1011" t="s">
        <v>793</v>
      </c>
    </row>
    <row r="151" spans="3:5" s="168" customFormat="1" ht="43" customHeight="1" x14ac:dyDescent="0.25">
      <c r="C151" s="997"/>
      <c r="E151" s="1011" t="s">
        <v>794</v>
      </c>
    </row>
    <row r="152" spans="3:5" s="168" customFormat="1" ht="21.65" customHeight="1" x14ac:dyDescent="0.25">
      <c r="C152" s="997">
        <f>IF(AND(ISBLANK(D152),ISBLANK(E152)=FALSE),MAX(C$7:C151)+1,"")</f>
        <v>40</v>
      </c>
      <c r="E152" s="999" t="s">
        <v>795</v>
      </c>
    </row>
    <row r="153" spans="3:5" s="168" customFormat="1" ht="64.400000000000006" customHeight="1" x14ac:dyDescent="0.25">
      <c r="C153" s="997"/>
      <c r="E153" s="1011" t="s">
        <v>796</v>
      </c>
    </row>
    <row r="154" spans="3:5" s="168" customFormat="1" ht="21.65" customHeight="1" x14ac:dyDescent="0.25">
      <c r="C154" s="997">
        <f>IF(AND(ISBLANK(D154),ISBLANK(E154)=FALSE),MAX(C$7:C153)+1,"")</f>
        <v>41</v>
      </c>
      <c r="E154" s="999" t="s">
        <v>797</v>
      </c>
    </row>
    <row r="155" spans="3:5" s="168" customFormat="1" ht="21.65" customHeight="1" x14ac:dyDescent="0.25">
      <c r="C155" s="997"/>
      <c r="E155" s="1011" t="s">
        <v>798</v>
      </c>
    </row>
    <row r="156" spans="3:5" s="168" customFormat="1" ht="21.65" customHeight="1" x14ac:dyDescent="0.25">
      <c r="C156" s="997"/>
      <c r="E156" s="1011" t="s">
        <v>799</v>
      </c>
    </row>
    <row r="157" spans="3:5" s="168" customFormat="1" ht="21.65" customHeight="1" x14ac:dyDescent="0.25">
      <c r="C157" s="997">
        <f>IF(AND(ISBLANK(D157),ISBLANK(E157)=FALSE),MAX(C$7:C156)+1,"")</f>
        <v>42</v>
      </c>
      <c r="E157" s="999" t="s">
        <v>800</v>
      </c>
    </row>
    <row r="158" spans="3:5" s="168" customFormat="1" ht="21.65" customHeight="1" x14ac:dyDescent="0.25">
      <c r="C158" s="997"/>
      <c r="E158" s="1011" t="s">
        <v>801</v>
      </c>
    </row>
    <row r="159" spans="3:5" s="168" customFormat="1" ht="43" customHeight="1" x14ac:dyDescent="0.25">
      <c r="C159" s="997"/>
      <c r="E159" s="1011" t="s">
        <v>802</v>
      </c>
    </row>
    <row r="160" spans="3:5" s="168" customFormat="1" ht="21.65" customHeight="1" x14ac:dyDescent="0.25">
      <c r="C160" s="997"/>
      <c r="E160" s="1012" t="s">
        <v>803</v>
      </c>
    </row>
    <row r="161" spans="5:5" s="168" customFormat="1" ht="12.5" x14ac:dyDescent="0.25">
      <c r="E161" s="508"/>
    </row>
    <row r="162" spans="5:5" s="168" customFormat="1" ht="12.5" x14ac:dyDescent="0.25">
      <c r="E162" s="508"/>
    </row>
    <row r="163" spans="5:5" s="168" customFormat="1" ht="12.5" x14ac:dyDescent="0.25">
      <c r="E163" s="508"/>
    </row>
    <row r="164" spans="5:5" s="168" customFormat="1" ht="12.5" x14ac:dyDescent="0.25">
      <c r="E164" s="508"/>
    </row>
    <row r="165" spans="5:5" s="168" customFormat="1" ht="12.5" x14ac:dyDescent="0.25">
      <c r="E165" s="508"/>
    </row>
    <row r="166" spans="5:5" s="168" customFormat="1" ht="12.5" x14ac:dyDescent="0.25">
      <c r="E166" s="508"/>
    </row>
    <row r="167" spans="5:5" s="168" customFormat="1" ht="12.5" x14ac:dyDescent="0.25">
      <c r="E167" s="508"/>
    </row>
    <row r="168" spans="5:5" s="168" customFormat="1" ht="12.5" x14ac:dyDescent="0.25">
      <c r="E168" s="508"/>
    </row>
    <row r="169" spans="5:5" s="168" customFormat="1" ht="12.5" x14ac:dyDescent="0.25">
      <c r="E169" s="508"/>
    </row>
    <row r="170" spans="5:5" s="168" customFormat="1" ht="12.5" x14ac:dyDescent="0.25">
      <c r="E170" s="508"/>
    </row>
    <row r="171" spans="5:5" s="168" customFormat="1" ht="12.5" x14ac:dyDescent="0.25">
      <c r="E171" s="508"/>
    </row>
    <row r="172" spans="5:5" s="168" customFormat="1" ht="12.5" x14ac:dyDescent="0.25">
      <c r="E172" s="508"/>
    </row>
    <row r="173" spans="5:5" s="168" customFormat="1" ht="12.5" x14ac:dyDescent="0.25">
      <c r="E173" s="508"/>
    </row>
    <row r="174" spans="5:5" s="168" customFormat="1" ht="12.5" x14ac:dyDescent="0.25">
      <c r="E174" s="508"/>
    </row>
    <row r="175" spans="5:5" s="168" customFormat="1" ht="12.5" x14ac:dyDescent="0.25">
      <c r="E175" s="508"/>
    </row>
    <row r="176" spans="5:5" s="168" customFormat="1" ht="12.5" x14ac:dyDescent="0.25">
      <c r="E176" s="508"/>
    </row>
    <row r="177" spans="3:5" s="168" customFormat="1" ht="21.65" customHeight="1" x14ac:dyDescent="0.25">
      <c r="C177" s="997">
        <f>IF(AND(ISBLANK(D177),ISBLANK(E177)=FALSE),MAX(C$7:C176)+1,"")</f>
        <v>43</v>
      </c>
      <c r="E177" s="999" t="s">
        <v>804</v>
      </c>
    </row>
    <row r="178" spans="3:5" s="168" customFormat="1" ht="34" customHeight="1" x14ac:dyDescent="0.25">
      <c r="E178" s="1011" t="s">
        <v>805</v>
      </c>
    </row>
    <row r="179" spans="3:5" s="168" customFormat="1" ht="15.5" x14ac:dyDescent="0.35">
      <c r="E179" s="1013" t="s">
        <v>806</v>
      </c>
    </row>
    <row r="180" spans="3:5" ht="18" customHeight="1" x14ac:dyDescent="0.35">
      <c r="C180" s="997" t="str">
        <f>IF(AND(ISBLANK(D180),ISBLANK(E180)=FALSE),MAX(C$7:C124)+1,"")</f>
        <v/>
      </c>
      <c r="D180" s="1003"/>
      <c r="E180" s="1003"/>
    </row>
    <row r="181" spans="3:5" ht="18" x14ac:dyDescent="0.4">
      <c r="D181" s="996" t="s">
        <v>807</v>
      </c>
      <c r="E181" s="996"/>
    </row>
    <row r="182" spans="3:5" ht="18" x14ac:dyDescent="0.4">
      <c r="D182" s="996"/>
      <c r="E182" s="996"/>
    </row>
    <row r="183" spans="3:5" ht="18" x14ac:dyDescent="0.4">
      <c r="D183" s="996"/>
      <c r="E183" s="579" t="s">
        <v>808</v>
      </c>
    </row>
    <row r="184" spans="3:5" x14ac:dyDescent="0.35">
      <c r="D184" s="1004" t="s">
        <v>809</v>
      </c>
      <c r="E184" s="999" t="s">
        <v>810</v>
      </c>
    </row>
    <row r="185" spans="3:5" ht="18" x14ac:dyDescent="0.4">
      <c r="D185" s="996"/>
      <c r="E185" s="996"/>
    </row>
    <row r="186" spans="3:5" ht="18" x14ac:dyDescent="0.4">
      <c r="D186" s="579" t="s">
        <v>811</v>
      </c>
      <c r="E186" s="996"/>
    </row>
    <row r="187" spans="3:5" x14ac:dyDescent="0.35">
      <c r="D187" s="1004" t="s">
        <v>809</v>
      </c>
      <c r="E187" s="999" t="s">
        <v>812</v>
      </c>
    </row>
    <row r="188" spans="3:5" ht="18" x14ac:dyDescent="0.4">
      <c r="D188" s="996"/>
      <c r="E188" s="996"/>
    </row>
    <row r="189" spans="3:5" ht="18" x14ac:dyDescent="0.4">
      <c r="D189" s="579" t="s">
        <v>813</v>
      </c>
      <c r="E189" s="996"/>
    </row>
    <row r="190" spans="3:5" x14ac:dyDescent="0.35">
      <c r="D190" s="1004" t="s">
        <v>809</v>
      </c>
      <c r="E190" s="999" t="s">
        <v>814</v>
      </c>
    </row>
    <row r="191" spans="3:5" ht="18" x14ac:dyDescent="0.4">
      <c r="D191" s="996"/>
      <c r="E191" s="996"/>
    </row>
    <row r="192" spans="3:5" ht="18" x14ac:dyDescent="0.4">
      <c r="D192" s="579" t="s">
        <v>815</v>
      </c>
      <c r="E192" s="996"/>
    </row>
    <row r="193" spans="3:5" x14ac:dyDescent="0.35">
      <c r="D193" s="1004" t="s">
        <v>809</v>
      </c>
      <c r="E193" s="999" t="s">
        <v>816</v>
      </c>
    </row>
    <row r="194" spans="3:5" x14ac:dyDescent="0.35">
      <c r="D194" s="1004" t="s">
        <v>809</v>
      </c>
      <c r="E194" s="1005" t="s">
        <v>817</v>
      </c>
    </row>
    <row r="195" spans="3:5" x14ac:dyDescent="0.35">
      <c r="D195" s="1004"/>
      <c r="E195" s="1005"/>
    </row>
    <row r="196" spans="3:5" ht="18" x14ac:dyDescent="0.4">
      <c r="D196" s="579" t="s">
        <v>818</v>
      </c>
      <c r="E196" s="996"/>
    </row>
    <row r="197" spans="3:5" x14ac:dyDescent="0.35">
      <c r="D197" s="1004" t="s">
        <v>809</v>
      </c>
      <c r="E197" s="999" t="s">
        <v>819</v>
      </c>
    </row>
    <row r="198" spans="3:5" ht="35" x14ac:dyDescent="0.35">
      <c r="D198" s="1004" t="s">
        <v>809</v>
      </c>
      <c r="E198" s="1005" t="s">
        <v>820</v>
      </c>
    </row>
    <row r="199" spans="3:5" ht="18" x14ac:dyDescent="0.35">
      <c r="D199" s="1006"/>
      <c r="E199" s="1005"/>
    </row>
    <row r="200" spans="3:5" ht="18" x14ac:dyDescent="0.4">
      <c r="D200" s="579" t="s">
        <v>821</v>
      </c>
      <c r="E200" s="996"/>
    </row>
    <row r="201" spans="3:5" ht="35" x14ac:dyDescent="0.35">
      <c r="D201" s="1004" t="s">
        <v>809</v>
      </c>
      <c r="E201" s="1005" t="s">
        <v>822</v>
      </c>
    </row>
    <row r="202" spans="3:5" ht="18" x14ac:dyDescent="0.4">
      <c r="D202" s="996"/>
      <c r="E202" s="996"/>
    </row>
    <row r="203" spans="3:5" ht="18" x14ac:dyDescent="0.4">
      <c r="D203" s="579" t="s">
        <v>823</v>
      </c>
      <c r="E203" s="996"/>
    </row>
    <row r="204" spans="3:5" x14ac:dyDescent="0.35">
      <c r="C204" s="1001"/>
      <c r="D204" s="1004" t="s">
        <v>809</v>
      </c>
      <c r="E204" s="1005" t="s">
        <v>824</v>
      </c>
    </row>
    <row r="205" spans="3:5" x14ac:dyDescent="0.35">
      <c r="D205" s="1007" t="s">
        <v>809</v>
      </c>
      <c r="E205" s="579" t="s">
        <v>825</v>
      </c>
    </row>
    <row r="206" spans="3:5" x14ac:dyDescent="0.35">
      <c r="D206" s="1007" t="s">
        <v>809</v>
      </c>
      <c r="E206" s="579" t="s">
        <v>826</v>
      </c>
    </row>
    <row r="207" spans="3:5" ht="18" x14ac:dyDescent="0.4">
      <c r="D207" s="996"/>
      <c r="E207" s="996"/>
    </row>
    <row r="208" spans="3:5" ht="18" x14ac:dyDescent="0.4">
      <c r="D208" s="579" t="s">
        <v>827</v>
      </c>
      <c r="E208" s="996"/>
    </row>
    <row r="209" spans="3:5" x14ac:dyDescent="0.35">
      <c r="D209" s="1007" t="s">
        <v>809</v>
      </c>
      <c r="E209" s="579" t="s">
        <v>828</v>
      </c>
    </row>
    <row r="210" spans="3:5" ht="18" x14ac:dyDescent="0.4">
      <c r="D210" s="996"/>
      <c r="E210" s="996"/>
    </row>
    <row r="211" spans="3:5" ht="18" x14ac:dyDescent="0.4">
      <c r="D211" s="579" t="s">
        <v>829</v>
      </c>
      <c r="E211" s="996"/>
    </row>
    <row r="212" spans="3:5" x14ac:dyDescent="0.35">
      <c r="D212" s="1007" t="s">
        <v>809</v>
      </c>
      <c r="E212" s="579" t="s">
        <v>830</v>
      </c>
    </row>
    <row r="213" spans="3:5" x14ac:dyDescent="0.35">
      <c r="D213" s="1007"/>
      <c r="E213" s="1008" t="s">
        <v>831</v>
      </c>
    </row>
    <row r="214" spans="3:5" x14ac:dyDescent="0.35">
      <c r="D214" s="1007"/>
    </row>
    <row r="215" spans="3:5" ht="18" x14ac:dyDescent="0.4">
      <c r="D215" s="579" t="s">
        <v>832</v>
      </c>
      <c r="E215" s="996"/>
    </row>
    <row r="216" spans="3:5" x14ac:dyDescent="0.35">
      <c r="D216" s="1007" t="s">
        <v>809</v>
      </c>
      <c r="E216" s="579" t="s">
        <v>833</v>
      </c>
    </row>
    <row r="217" spans="3:5" ht="18" x14ac:dyDescent="0.4">
      <c r="D217" s="996"/>
      <c r="E217" s="996"/>
    </row>
    <row r="218" spans="3:5" ht="18" x14ac:dyDescent="0.4">
      <c r="D218" s="579" t="s">
        <v>834</v>
      </c>
      <c r="E218" s="996"/>
    </row>
    <row r="219" spans="3:5" x14ac:dyDescent="0.35">
      <c r="D219" s="1007" t="s">
        <v>809</v>
      </c>
      <c r="E219" s="579" t="s">
        <v>835</v>
      </c>
    </row>
    <row r="220" spans="3:5" ht="18" x14ac:dyDescent="0.4">
      <c r="C220" s="996"/>
      <c r="D220" s="1007" t="s">
        <v>809</v>
      </c>
      <c r="E220" s="579" t="s">
        <v>836</v>
      </c>
    </row>
    <row r="221" spans="3:5" ht="18" x14ac:dyDescent="0.4">
      <c r="D221" s="996"/>
      <c r="E221" s="996"/>
    </row>
    <row r="222" spans="3:5" ht="18" x14ac:dyDescent="0.4">
      <c r="D222" s="579" t="s">
        <v>837</v>
      </c>
      <c r="E222" s="996"/>
    </row>
    <row r="223" spans="3:5" x14ac:dyDescent="0.35">
      <c r="D223" s="1007" t="s">
        <v>809</v>
      </c>
      <c r="E223" s="579" t="s">
        <v>838</v>
      </c>
    </row>
    <row r="224" spans="3:5" x14ac:dyDescent="0.35">
      <c r="D224" s="1007" t="s">
        <v>809</v>
      </c>
      <c r="E224" s="579" t="s">
        <v>839</v>
      </c>
    </row>
    <row r="225" spans="3:5" x14ac:dyDescent="0.35">
      <c r="D225" s="1007" t="s">
        <v>809</v>
      </c>
      <c r="E225" s="579" t="s">
        <v>840</v>
      </c>
    </row>
    <row r="226" spans="3:5" x14ac:dyDescent="0.35">
      <c r="D226" s="1007" t="s">
        <v>809</v>
      </c>
      <c r="E226" s="579" t="s">
        <v>841</v>
      </c>
    </row>
    <row r="227" spans="3:5" x14ac:dyDescent="0.35">
      <c r="D227" s="1007" t="s">
        <v>809</v>
      </c>
      <c r="E227" s="579" t="s">
        <v>842</v>
      </c>
    </row>
    <row r="228" spans="3:5" x14ac:dyDescent="0.35">
      <c r="D228" s="1007" t="s">
        <v>809</v>
      </c>
      <c r="E228" s="579" t="s">
        <v>843</v>
      </c>
    </row>
    <row r="229" spans="3:5" x14ac:dyDescent="0.35">
      <c r="D229" s="1007"/>
    </row>
    <row r="230" spans="3:5" ht="18" x14ac:dyDescent="0.4">
      <c r="D230" s="579" t="s">
        <v>844</v>
      </c>
      <c r="E230" s="996"/>
    </row>
    <row r="231" spans="3:5" x14ac:dyDescent="0.35">
      <c r="D231" s="1007" t="s">
        <v>809</v>
      </c>
      <c r="E231" s="579" t="s">
        <v>845</v>
      </c>
    </row>
    <row r="232" spans="3:5" x14ac:dyDescent="0.35">
      <c r="D232" s="1007" t="s">
        <v>809</v>
      </c>
      <c r="E232" s="579" t="s">
        <v>846</v>
      </c>
    </row>
    <row r="233" spans="3:5" x14ac:dyDescent="0.35">
      <c r="D233" s="1007" t="s">
        <v>809</v>
      </c>
      <c r="E233" s="579" t="s">
        <v>847</v>
      </c>
    </row>
    <row r="235" spans="3:5" x14ac:dyDescent="0.35">
      <c r="D235" s="579" t="s">
        <v>848</v>
      </c>
    </row>
    <row r="236" spans="3:5" x14ac:dyDescent="0.35">
      <c r="D236" s="1007" t="s">
        <v>809</v>
      </c>
      <c r="E236" s="579" t="s">
        <v>849</v>
      </c>
    </row>
    <row r="237" spans="3:5" x14ac:dyDescent="0.35">
      <c r="C237" s="997" t="str">
        <f>IF(AND(ISBLANK(D237),ISBLANK(E237)=FALSE),MAX(C$7:C236)+1,"")</f>
        <v/>
      </c>
      <c r="D237" s="1003"/>
      <c r="E237" s="1003"/>
    </row>
  </sheetData>
  <sheetProtection selectLockedCells="1" autoFilter="0"/>
  <dataConsolidate/>
  <mergeCells count="1">
    <mergeCell ref="A2:E2"/>
  </mergeCells>
  <printOptions horizontalCentered="1"/>
  <pageMargins left="0.23622047244094491" right="0.23622047244094491" top="0.74803149606299213" bottom="0.74803149606299213" header="0.31496062992125984" footer="0.31496062992125984"/>
  <pageSetup paperSize="9" scale="58" fitToHeight="2" orientation="portrait" r:id="rId1"/>
  <headerFooter alignWithMargins="0">
    <oddHeader>&amp;L&amp;"Arial,Italic"ABCB Glazing Calculator • Help sheet&amp;R&amp;"Arial,Italic"printed &amp;D</oddHeader>
    <oddFooter>&amp;L&amp;"Inter,Italic"&amp;F&amp;R&amp;"Inter,Italic"page &amp;P of &amp;N</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3" filterMode="1">
    <tabColor theme="4"/>
    <outlinePr showOutlineSymbols="0"/>
    <pageSetUpPr autoPageBreaks="0" fitToPage="1"/>
  </sheetPr>
  <dimension ref="A1:ED205"/>
  <sheetViews>
    <sheetView showGridLines="0" zoomScale="70" zoomScaleNormal="70" workbookViewId="0">
      <selection activeCell="F7" sqref="F7"/>
    </sheetView>
  </sheetViews>
  <sheetFormatPr defaultColWidth="7.58203125" defaultRowHeight="13" x14ac:dyDescent="0.3"/>
  <cols>
    <col min="1" max="1" width="1.5" style="140" customWidth="1"/>
    <col min="2" max="2" width="2.08203125" style="140" customWidth="1"/>
    <col min="3" max="4" width="11.58203125" style="140" customWidth="1"/>
    <col min="5" max="5" width="18.58203125" style="140" customWidth="1"/>
    <col min="6" max="10" width="11.58203125" style="140" customWidth="1"/>
    <col min="11" max="11" width="23.58203125" style="140" customWidth="1"/>
    <col min="12" max="12" width="22.08203125" style="140" customWidth="1"/>
    <col min="13" max="13" width="11.58203125" style="140" customWidth="1"/>
    <col min="14" max="14" width="20.5" style="140" customWidth="1"/>
    <col min="15" max="21" width="11.58203125" style="140" customWidth="1"/>
    <col min="22" max="22" width="17.08203125" style="140" customWidth="1"/>
    <col min="23" max="23" width="18.5" style="140" customWidth="1"/>
    <col min="24" max="24" width="15" style="140" customWidth="1"/>
    <col min="25" max="25" width="17" style="140" customWidth="1"/>
    <col min="26" max="26" width="9.08203125" style="140" customWidth="1"/>
    <col min="27" max="54" width="11.58203125" style="338" hidden="1" customWidth="1"/>
    <col min="55" max="55" width="47.08203125" style="338" hidden="1" customWidth="1"/>
    <col min="56" max="77" width="11.58203125" style="338" hidden="1" customWidth="1"/>
    <col min="78" max="78" width="30.58203125" style="338" hidden="1" customWidth="1"/>
    <col min="79" max="98" width="11.58203125" style="338" hidden="1" customWidth="1"/>
    <col min="99" max="101" width="8.08203125" style="338" hidden="1" customWidth="1"/>
    <col min="102" max="102" width="16.58203125" style="338" hidden="1" customWidth="1"/>
    <col min="103" max="107" width="8.08203125" style="338" hidden="1" customWidth="1"/>
    <col min="108" max="108" width="14.08203125" style="338" hidden="1" customWidth="1"/>
    <col min="109" max="131" width="8.08203125" style="338" hidden="1" customWidth="1"/>
    <col min="132" max="132" width="8" style="147" hidden="1" customWidth="1"/>
    <col min="133" max="134" width="7.58203125" style="147" hidden="1" customWidth="1"/>
    <col min="135" max="16384" width="7.58203125" style="140"/>
  </cols>
  <sheetData>
    <row r="1" spans="1:131" ht="25" x14ac:dyDescent="0.5">
      <c r="A1" s="139"/>
      <c r="B1" s="869"/>
      <c r="C1" s="870"/>
      <c r="D1" s="870"/>
      <c r="E1" s="870"/>
      <c r="F1" s="871"/>
      <c r="G1" s="871"/>
      <c r="H1" s="871"/>
      <c r="I1" s="871"/>
      <c r="J1" s="871"/>
      <c r="K1" s="871"/>
      <c r="L1" s="871"/>
      <c r="M1" s="871"/>
      <c r="N1" s="871"/>
      <c r="O1" s="871"/>
      <c r="P1" s="871"/>
      <c r="Q1" s="871"/>
      <c r="R1" s="871"/>
      <c r="S1" s="871"/>
      <c r="T1" s="871"/>
      <c r="U1" s="871"/>
      <c r="V1" s="871"/>
      <c r="W1" s="871"/>
      <c r="X1" s="871"/>
      <c r="Y1" s="871"/>
      <c r="AA1" s="141"/>
      <c r="AB1" s="141" t="s">
        <v>850</v>
      </c>
      <c r="AC1" s="141"/>
      <c r="AD1" s="142" t="s">
        <v>851</v>
      </c>
      <c r="AE1" s="142"/>
      <c r="AF1" s="142"/>
      <c r="AG1" s="141"/>
      <c r="AH1" s="143" t="s">
        <v>852</v>
      </c>
      <c r="AI1" s="144" t="e">
        <f>ROUND(AreaA/(AreaA+AreaB),2)</f>
        <v>#DIV/0!</v>
      </c>
      <c r="AJ1" s="143" t="s">
        <v>853</v>
      </c>
      <c r="AK1" s="144" t="e">
        <f>ROUND(AreaB/(AreaA+AreaB),2)</f>
        <v>#DIV/0!</v>
      </c>
      <c r="AL1" s="145" t="s">
        <v>854</v>
      </c>
      <c r="AM1" s="141"/>
      <c r="AN1" s="141"/>
      <c r="AO1" s="141"/>
      <c r="AP1" s="141"/>
      <c r="AQ1" s="141"/>
      <c r="AR1" s="141"/>
      <c r="AS1" s="141"/>
      <c r="AT1" s="141"/>
      <c r="AU1" s="141"/>
      <c r="AV1" s="141"/>
      <c r="AW1" s="141"/>
      <c r="AX1" s="141"/>
      <c r="AY1" s="141"/>
      <c r="AZ1" s="141"/>
      <c r="BA1" s="141"/>
      <c r="BB1" s="141"/>
      <c r="BC1" s="141"/>
      <c r="BD1" s="141"/>
      <c r="BE1" s="141"/>
      <c r="BF1" s="141"/>
      <c r="BG1" s="141"/>
      <c r="BH1" s="141"/>
      <c r="BI1" s="141"/>
      <c r="BJ1" s="141"/>
      <c r="BK1" s="141"/>
      <c r="BL1" s="141"/>
      <c r="BM1" s="141"/>
      <c r="BN1" s="141"/>
      <c r="BO1" s="141"/>
      <c r="BP1" s="141"/>
      <c r="BQ1" s="141"/>
      <c r="BR1" s="141"/>
      <c r="BS1" s="141"/>
      <c r="BT1" s="141"/>
      <c r="BU1" s="141"/>
      <c r="BV1" s="141"/>
      <c r="BW1" s="141"/>
      <c r="BX1" s="141"/>
      <c r="BY1" s="141"/>
      <c r="BZ1" s="141"/>
      <c r="CA1" s="141"/>
      <c r="CB1" s="141"/>
      <c r="CC1" s="146" t="s">
        <v>855</v>
      </c>
      <c r="CD1" s="141"/>
      <c r="CE1" s="141"/>
      <c r="CF1" s="141"/>
      <c r="CG1" s="141"/>
      <c r="CH1" s="141"/>
      <c r="CI1" s="141"/>
      <c r="CJ1" s="141"/>
      <c r="CK1" s="141"/>
      <c r="CL1" s="141"/>
      <c r="CM1" s="141"/>
      <c r="CN1" s="141"/>
      <c r="CO1" s="141"/>
      <c r="CP1" s="141"/>
      <c r="CQ1" s="141"/>
      <c r="CR1" s="141"/>
      <c r="CS1" s="141"/>
      <c r="CT1" s="141"/>
      <c r="CU1" s="141"/>
      <c r="CV1" s="141"/>
      <c r="CW1" s="141"/>
      <c r="CX1" s="141"/>
      <c r="CY1" s="141"/>
      <c r="CZ1" s="141"/>
      <c r="DA1" s="141"/>
      <c r="DB1" s="141"/>
      <c r="DC1" s="141"/>
      <c r="DD1" s="141"/>
      <c r="DE1" s="141"/>
      <c r="DF1" s="141"/>
      <c r="DG1" s="141"/>
      <c r="DH1" s="141"/>
      <c r="DI1" s="141"/>
      <c r="DJ1" s="141"/>
      <c r="DK1" s="141"/>
      <c r="DL1" s="141"/>
      <c r="DM1" s="141"/>
      <c r="DN1" s="141"/>
      <c r="DO1" s="141"/>
      <c r="DP1" s="141"/>
      <c r="DQ1" s="141"/>
      <c r="DR1" s="141"/>
      <c r="DS1" s="141"/>
      <c r="DT1" s="141"/>
      <c r="DU1" s="141"/>
      <c r="DV1" s="141"/>
      <c r="DW1" s="141"/>
      <c r="DX1" s="141"/>
      <c r="DY1" s="141"/>
      <c r="DZ1" s="141"/>
      <c r="EA1" s="141"/>
    </row>
    <row r="2" spans="1:131" ht="84" customHeight="1" x14ac:dyDescent="0.3">
      <c r="A2" s="567"/>
      <c r="B2" s="567"/>
      <c r="C2" s="567"/>
      <c r="D2" s="567"/>
      <c r="E2" s="567"/>
      <c r="F2" s="567"/>
      <c r="G2" s="567"/>
      <c r="H2" s="567"/>
      <c r="I2" s="567"/>
      <c r="J2" s="567"/>
      <c r="K2" s="567"/>
      <c r="L2" s="567"/>
      <c r="M2" s="567"/>
      <c r="N2" s="567"/>
      <c r="O2" s="567"/>
      <c r="P2" s="567"/>
      <c r="Q2" s="567"/>
      <c r="R2" s="567"/>
      <c r="S2" s="567"/>
      <c r="T2" s="567"/>
      <c r="U2" s="567"/>
      <c r="V2" s="567"/>
      <c r="W2" s="567"/>
      <c r="X2" s="567"/>
      <c r="Y2" s="567"/>
      <c r="Z2" s="148"/>
      <c r="AA2" s="141"/>
      <c r="AB2" s="141">
        <f>SUMIF(K20:K99,"=Upper",U20:U99)</f>
        <v>0</v>
      </c>
      <c r="AC2" s="141"/>
      <c r="AD2" s="141"/>
      <c r="AE2" s="141"/>
      <c r="AF2" s="141"/>
      <c r="AG2" s="141"/>
      <c r="AH2" s="149" t="s">
        <v>856</v>
      </c>
      <c r="AI2" s="141"/>
      <c r="AJ2" s="149" t="s">
        <v>857</v>
      </c>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c r="BR2" s="141"/>
      <c r="BS2" s="141"/>
      <c r="BT2" s="141"/>
      <c r="BU2" s="141"/>
      <c r="BV2" s="141"/>
      <c r="BW2" s="141"/>
      <c r="BX2" s="141"/>
      <c r="BY2" s="141"/>
      <c r="BZ2" s="141"/>
      <c r="CA2" s="141"/>
      <c r="CB2" s="141"/>
      <c r="CC2" s="141"/>
      <c r="CD2" s="141"/>
      <c r="CE2" s="141"/>
      <c r="CF2" s="141"/>
      <c r="CG2" s="141"/>
      <c r="CH2" s="141"/>
      <c r="CI2" s="141"/>
      <c r="CJ2" s="141"/>
      <c r="CK2" s="141"/>
      <c r="CL2" s="141"/>
      <c r="CM2" s="141"/>
      <c r="CN2" s="141"/>
      <c r="CO2" s="141"/>
      <c r="CP2" s="141"/>
      <c r="CQ2" s="141"/>
      <c r="CR2" s="141"/>
      <c r="CS2" s="141"/>
      <c r="CT2" s="141"/>
      <c r="CU2" s="141"/>
      <c r="CV2" s="141"/>
      <c r="CW2" s="141"/>
      <c r="CX2" s="141"/>
      <c r="CY2" s="141"/>
      <c r="CZ2" s="141"/>
      <c r="DA2" s="141"/>
      <c r="DB2" s="141"/>
      <c r="DC2" s="141"/>
      <c r="DD2" s="141"/>
      <c r="DE2" s="141"/>
      <c r="DF2" s="141"/>
      <c r="DG2" s="141"/>
      <c r="DH2" s="141"/>
      <c r="DI2" s="141"/>
      <c r="DJ2" s="141"/>
      <c r="DK2" s="141"/>
      <c r="DL2" s="141"/>
      <c r="DM2" s="141"/>
      <c r="DN2" s="141"/>
      <c r="DO2" s="141"/>
      <c r="DP2" s="141"/>
      <c r="DQ2" s="141"/>
      <c r="DR2" s="141"/>
      <c r="DS2" s="141"/>
      <c r="DT2" s="141"/>
      <c r="DU2" s="141"/>
      <c r="DV2" s="141"/>
      <c r="DW2" s="141"/>
      <c r="DX2" s="141"/>
      <c r="DY2" s="141"/>
      <c r="DZ2" s="141"/>
      <c r="EA2" s="141"/>
    </row>
    <row r="3" spans="1:131" ht="44.25" customHeight="1" thickBot="1" x14ac:dyDescent="0.55000000000000004">
      <c r="A3" s="150"/>
      <c r="B3" s="150"/>
      <c r="C3" s="150"/>
      <c r="D3" s="150"/>
      <c r="E3" s="150"/>
      <c r="F3" s="150"/>
      <c r="G3" s="150"/>
      <c r="H3" s="150"/>
      <c r="I3" s="150"/>
      <c r="J3" s="150"/>
      <c r="K3" s="150"/>
      <c r="L3" s="150"/>
      <c r="M3" s="150"/>
      <c r="N3" s="150"/>
      <c r="O3" s="150"/>
      <c r="P3" s="150"/>
      <c r="Q3" s="150"/>
      <c r="R3" s="150"/>
      <c r="S3" s="150"/>
      <c r="T3" s="151" t="str">
        <f>IF(AND(F138=FALSE,NoZoneTableActive=FALSE),"Climate zone","Enter Climate Zone on the Homepage")</f>
        <v>Climate zone</v>
      </c>
      <c r="U3" s="150"/>
      <c r="V3" s="1565" t="str">
        <f>IF(COUNT(F7:F11)&gt;1,"FLOOR WEIGHTED ","")&amp;"Constants:"</f>
        <v>Constants:</v>
      </c>
      <c r="W3" s="1565"/>
      <c r="X3" s="151" t="s">
        <v>858</v>
      </c>
      <c r="Y3" s="152" t="s">
        <v>859</v>
      </c>
      <c r="Z3" s="150"/>
      <c r="AA3" s="141"/>
      <c r="AB3" s="141"/>
      <c r="AC3" s="141"/>
      <c r="AD3" s="141"/>
      <c r="AE3" s="141"/>
      <c r="AF3" s="141"/>
      <c r="AG3" s="141"/>
      <c r="AH3" s="153" t="s">
        <v>860</v>
      </c>
      <c r="AI3" s="153" t="s">
        <v>861</v>
      </c>
      <c r="AJ3" s="153" t="s">
        <v>862</v>
      </c>
      <c r="AK3" s="153" t="s">
        <v>863</v>
      </c>
      <c r="AL3" s="154" t="s">
        <v>864</v>
      </c>
      <c r="AM3" s="141"/>
      <c r="AN3" s="141"/>
      <c r="AO3" s="141"/>
      <c r="AP3" s="141"/>
      <c r="AQ3" s="141"/>
      <c r="AR3" s="141"/>
      <c r="AS3" s="141"/>
      <c r="AT3" s="141"/>
      <c r="AU3" s="141"/>
      <c r="AV3" s="141"/>
      <c r="AW3" s="141"/>
      <c r="AX3" s="141"/>
      <c r="AY3" s="141"/>
      <c r="AZ3" s="141"/>
      <c r="BA3" s="141"/>
      <c r="BB3" s="141"/>
      <c r="BC3" s="141"/>
      <c r="BD3" s="141"/>
      <c r="BE3" s="141"/>
      <c r="BF3" s="141"/>
      <c r="BG3" s="141"/>
      <c r="BH3" s="141"/>
      <c r="BI3" s="141"/>
      <c r="BJ3" s="141"/>
      <c r="BK3" s="141"/>
      <c r="BL3" s="141"/>
      <c r="BM3" s="141"/>
      <c r="BN3" s="141"/>
      <c r="BO3" s="141"/>
      <c r="BP3" s="141"/>
      <c r="BQ3" s="141"/>
      <c r="BR3" s="141"/>
      <c r="BS3" s="141"/>
      <c r="BT3" s="141"/>
      <c r="BU3" s="141"/>
      <c r="BV3" s="141"/>
      <c r="BW3" s="141"/>
      <c r="BX3" s="141"/>
      <c r="BY3" s="141"/>
      <c r="BZ3" s="141"/>
      <c r="CA3" s="141"/>
      <c r="CB3" s="141"/>
      <c r="CC3" s="155" t="s">
        <v>865</v>
      </c>
      <c r="CD3" s="155" t="s">
        <v>866</v>
      </c>
      <c r="CE3" s="141"/>
      <c r="CF3" s="141"/>
      <c r="CG3" s="141"/>
      <c r="CH3" s="141"/>
      <c r="CI3" s="141"/>
      <c r="CJ3" s="156"/>
      <c r="CK3" s="141"/>
      <c r="CL3" s="141"/>
      <c r="CM3" s="141"/>
      <c r="CN3" s="141"/>
      <c r="CO3" s="141"/>
      <c r="CP3" s="141"/>
      <c r="CQ3" s="141"/>
      <c r="CR3" s="141"/>
      <c r="CS3" s="141"/>
      <c r="CT3" s="141"/>
      <c r="CU3" s="141"/>
      <c r="CV3" s="141"/>
      <c r="CW3" s="141"/>
      <c r="CX3" s="141"/>
      <c r="CY3" s="141"/>
      <c r="CZ3" s="141"/>
      <c r="DA3" s="141"/>
      <c r="DB3" s="141"/>
      <c r="DC3" s="141"/>
      <c r="DD3" s="141"/>
      <c r="DE3" s="141"/>
      <c r="DF3" s="141"/>
      <c r="DG3" s="141"/>
      <c r="DH3" s="141"/>
      <c r="DI3" s="141"/>
      <c r="DJ3" s="141"/>
      <c r="DK3" s="141"/>
      <c r="DL3" s="141"/>
      <c r="DM3" s="141"/>
      <c r="DN3" s="141"/>
      <c r="DO3" s="141"/>
      <c r="DP3" s="141"/>
      <c r="DQ3" s="141"/>
      <c r="DR3" s="141"/>
      <c r="DS3" s="141"/>
      <c r="DT3" s="141"/>
      <c r="DU3" s="141"/>
      <c r="DV3" s="141"/>
      <c r="DW3" s="141"/>
      <c r="DX3" s="141"/>
      <c r="DY3" s="141"/>
      <c r="DZ3" s="141"/>
      <c r="EA3" s="141"/>
    </row>
    <row r="4" spans="1:131" ht="18.5" thickBot="1" x14ac:dyDescent="0.4">
      <c r="A4" s="150"/>
      <c r="B4" s="1566">
        <f>Home!H17</f>
        <v>0</v>
      </c>
      <c r="C4" s="1567"/>
      <c r="D4" s="1567"/>
      <c r="E4" s="1567"/>
      <c r="F4" s="1567"/>
      <c r="G4" s="1567"/>
      <c r="H4" s="1568"/>
      <c r="I4" s="150"/>
      <c r="J4" s="150"/>
      <c r="K4" s="150"/>
      <c r="L4" s="150"/>
      <c r="M4" s="150"/>
      <c r="N4" s="150"/>
      <c r="O4" s="150"/>
      <c r="P4" s="150"/>
      <c r="Q4" s="150"/>
      <c r="R4" s="150"/>
      <c r="S4" s="157"/>
      <c r="T4" s="872">
        <f>Selection_ClimateZone</f>
        <v>5</v>
      </c>
      <c r="U4" s="150"/>
      <c r="V4" s="150"/>
      <c r="W4" s="158"/>
      <c r="X4" s="1308" t="e">
        <f>IF(Zone=1,"N/A",CuWeighted)</f>
        <v>#DIV/0!</v>
      </c>
      <c r="Y4" s="159" t="e">
        <f>CshgcWeighted</f>
        <v>#DIV/0!</v>
      </c>
      <c r="Z4" s="150"/>
      <c r="AA4" s="141"/>
      <c r="AB4" s="141"/>
      <c r="AC4" s="141"/>
      <c r="AD4" s="141"/>
      <c r="AE4" s="141"/>
      <c r="AF4" s="141"/>
      <c r="AG4" s="160" t="s">
        <v>867</v>
      </c>
      <c r="AH4" s="161">
        <f>IF(AND(Zone&gt;0,ActiveA=TRUE),INDEX(ConstantsA,1,Zone_Col,1),0)</f>
        <v>0</v>
      </c>
      <c r="AI4" s="162">
        <f>IF(AND(Zone&gt;0,ActiveA=TRUE),INDEX(ConstantsA,2,Zone_Col,1),0)</f>
        <v>0</v>
      </c>
      <c r="AJ4" s="163">
        <f>IF(AND(Zone&gt;0,ActiveB=TRUE),INDEX(ConstantsB,1,Zone_Col,1),0)</f>
        <v>0</v>
      </c>
      <c r="AK4" s="164">
        <f>IF(AND(Zone&gt;0,ActiveB=TRUE),INDEX(ConstantsB,2,Zone_Col,1),0)</f>
        <v>0</v>
      </c>
      <c r="AL4" s="145" t="s">
        <v>868</v>
      </c>
      <c r="AM4" s="154" t="s">
        <v>869</v>
      </c>
      <c r="AN4" s="141"/>
      <c r="AO4" s="141"/>
      <c r="AP4" s="141"/>
      <c r="AQ4" s="141"/>
      <c r="AR4" s="141"/>
      <c r="AS4" s="141"/>
      <c r="AT4" s="141"/>
      <c r="AU4" s="141"/>
      <c r="AV4" s="141"/>
      <c r="AW4" s="141"/>
      <c r="AX4" s="141"/>
      <c r="AY4" s="141"/>
      <c r="AZ4" s="141"/>
      <c r="BA4" s="165">
        <f t="array" ref="BA4">COUNT(IF(BA20:BA99&gt;0,IF(AI20:AI99=FALSE,BA20:BA99)))+UpperInputsIssues</f>
        <v>0</v>
      </c>
      <c r="BB4" s="145" t="s">
        <v>870</v>
      </c>
      <c r="BC4" s="145"/>
      <c r="BD4" s="141"/>
      <c r="BE4" s="141"/>
      <c r="BF4" s="141"/>
      <c r="BG4" s="141"/>
      <c r="BH4" s="141"/>
      <c r="BI4" s="141"/>
      <c r="BJ4" s="141"/>
      <c r="BK4" s="141"/>
      <c r="BL4" s="141"/>
      <c r="BM4" s="141"/>
      <c r="BN4" s="141"/>
      <c r="BO4" s="141"/>
      <c r="BP4" s="141"/>
      <c r="BQ4" s="141"/>
      <c r="BR4" s="141"/>
      <c r="BS4" s="141"/>
      <c r="BT4" s="141"/>
      <c r="BU4" s="141"/>
      <c r="BV4" s="141"/>
      <c r="BW4" s="141"/>
      <c r="BX4" s="141"/>
      <c r="BY4" s="141"/>
      <c r="BZ4" s="141"/>
      <c r="CA4" s="141"/>
      <c r="CB4" s="141"/>
      <c r="CC4" s="166">
        <f>IF(ConductanceAccess=0,0,SUMIF(AI20:AI99,"=true",CC20:CC99)/ConductanceAccess)</f>
        <v>0</v>
      </c>
      <c r="CD4" s="166">
        <f>SUMIF(AI20:AI99,"=true",CD20:CD99)</f>
        <v>0</v>
      </c>
      <c r="CE4" s="167" t="s">
        <v>871</v>
      </c>
      <c r="CF4" s="141"/>
      <c r="CG4" s="141"/>
      <c r="CH4" s="141"/>
      <c r="CI4" s="141"/>
      <c r="CJ4" s="156"/>
      <c r="CK4" s="141"/>
      <c r="CL4" s="141"/>
      <c r="CM4" s="141"/>
      <c r="CN4" s="141"/>
      <c r="CO4" s="141"/>
      <c r="CP4" s="141"/>
      <c r="CQ4" s="141"/>
      <c r="CR4" s="141"/>
      <c r="CS4" s="141"/>
      <c r="CT4" s="141"/>
      <c r="CU4" s="141"/>
      <c r="CV4" s="141"/>
      <c r="CW4" s="141"/>
      <c r="CX4" s="141"/>
      <c r="CY4" s="141"/>
      <c r="CZ4" s="141"/>
      <c r="DA4" s="141"/>
      <c r="DB4" s="141"/>
      <c r="DC4" s="141"/>
      <c r="DD4" s="141"/>
      <c r="DE4" s="141"/>
      <c r="DF4" s="141"/>
      <c r="DG4" s="141"/>
      <c r="DH4" s="141"/>
      <c r="DI4" s="141"/>
      <c r="DJ4" s="141"/>
      <c r="DK4" s="141"/>
      <c r="DL4" s="141"/>
      <c r="DM4" s="141"/>
      <c r="DN4" s="141"/>
      <c r="DO4" s="141"/>
      <c r="DP4" s="141"/>
      <c r="DQ4" s="141"/>
      <c r="DR4" s="141"/>
      <c r="DS4" s="141"/>
      <c r="DT4" s="141"/>
      <c r="DU4" s="141"/>
      <c r="DV4" s="141"/>
      <c r="DW4" s="141"/>
      <c r="DX4" s="141"/>
      <c r="DY4" s="141"/>
      <c r="DZ4" s="141"/>
      <c r="EA4" s="141"/>
    </row>
    <row r="5" spans="1:131" s="168" customFormat="1" ht="13.5" hidden="1" customHeight="1" thickBot="1" x14ac:dyDescent="0.35">
      <c r="B5" s="169"/>
      <c r="C5" s="170"/>
      <c r="D5" s="170"/>
      <c r="E5" s="170"/>
      <c r="F5" s="170"/>
      <c r="G5" s="170"/>
      <c r="H5" s="170"/>
      <c r="I5" s="170"/>
      <c r="J5" s="170"/>
      <c r="K5" s="170"/>
      <c r="L5" s="170"/>
      <c r="M5" s="170"/>
      <c r="N5" s="170"/>
      <c r="O5" s="170"/>
      <c r="P5" s="170"/>
      <c r="Q5" s="170"/>
      <c r="R5" s="170"/>
      <c r="S5" s="171"/>
      <c r="T5" s="172"/>
      <c r="W5" s="173"/>
      <c r="X5" s="174"/>
      <c r="Y5" s="174"/>
      <c r="AA5" s="175"/>
      <c r="AB5" s="175"/>
      <c r="AC5" s="175"/>
      <c r="AD5" s="175"/>
      <c r="AE5" s="175"/>
      <c r="AF5" s="175"/>
      <c r="AG5" s="175"/>
      <c r="AH5" s="175"/>
      <c r="AI5" s="175"/>
      <c r="AJ5" s="175"/>
      <c r="AK5" s="175"/>
      <c r="AL5" s="176"/>
      <c r="AM5" s="177"/>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c r="BN5" s="175"/>
      <c r="BO5" s="175"/>
      <c r="BP5" s="175"/>
      <c r="BQ5" s="175"/>
      <c r="BR5" s="175"/>
      <c r="BS5" s="175"/>
      <c r="BT5" s="175"/>
      <c r="BU5" s="175"/>
      <c r="BV5" s="175"/>
      <c r="BW5" s="175"/>
      <c r="BX5" s="175"/>
      <c r="BY5" s="175"/>
      <c r="BZ5" s="175"/>
      <c r="CA5" s="175"/>
      <c r="CB5" s="175"/>
      <c r="CC5" s="175"/>
      <c r="CD5" s="175"/>
      <c r="CE5" s="175"/>
      <c r="CF5" s="175"/>
      <c r="CG5" s="175"/>
      <c r="CH5" s="175"/>
      <c r="CI5" s="175"/>
      <c r="CJ5" s="175"/>
      <c r="CK5" s="175"/>
      <c r="CL5" s="175"/>
      <c r="CM5" s="175"/>
      <c r="CN5" s="175"/>
      <c r="CO5" s="175"/>
      <c r="CP5" s="175"/>
      <c r="CQ5" s="175"/>
      <c r="CR5" s="175"/>
      <c r="CS5" s="175"/>
      <c r="CT5" s="175"/>
      <c r="CU5" s="175"/>
      <c r="CV5" s="175"/>
      <c r="CW5" s="175"/>
      <c r="CX5" s="175"/>
      <c r="CY5" s="175"/>
      <c r="CZ5" s="175"/>
      <c r="DA5" s="175"/>
      <c r="DB5" s="175"/>
      <c r="DC5" s="175"/>
      <c r="DD5" s="175"/>
      <c r="DE5" s="175"/>
      <c r="DF5" s="175"/>
      <c r="DG5" s="175"/>
      <c r="DH5" s="175"/>
      <c r="DI5" s="175"/>
      <c r="DJ5" s="175"/>
      <c r="DK5" s="175"/>
      <c r="DL5" s="175"/>
      <c r="DM5" s="175"/>
      <c r="DN5" s="175"/>
      <c r="DO5" s="175"/>
      <c r="DP5" s="175"/>
      <c r="DQ5" s="175"/>
      <c r="DR5" s="175"/>
      <c r="DS5" s="175"/>
      <c r="DT5" s="175"/>
      <c r="DU5" s="175"/>
      <c r="DV5" s="175"/>
      <c r="DW5" s="175"/>
      <c r="DX5" s="175"/>
      <c r="DY5" s="175"/>
      <c r="DZ5" s="175"/>
      <c r="EA5" s="175"/>
    </row>
    <row r="6" spans="1:131" ht="22.75" customHeight="1" thickBot="1" x14ac:dyDescent="0.45">
      <c r="A6" s="150"/>
      <c r="B6" s="150"/>
      <c r="C6" s="178"/>
      <c r="D6" s="150"/>
      <c r="E6" s="179" t="s">
        <v>872</v>
      </c>
      <c r="F6" s="180" t="str">
        <f>IF(AND(EmptyA=FALSE,F147=FALSE),"     Area","ENTER AREA(S) BELOW")</f>
        <v>ENTER AREA(S) BELOW</v>
      </c>
      <c r="G6" s="179"/>
      <c r="H6" s="150"/>
      <c r="I6" s="150"/>
      <c r="J6" s="179" t="s">
        <v>780</v>
      </c>
      <c r="K6" s="764" t="str">
        <f>IF(Selection_Storeys="Single storey dwelling","One",IF(Selection_Storeys="Two storey dwelling","Two storey dwelling",""))</f>
        <v>One</v>
      </c>
      <c r="L6" s="150"/>
      <c r="M6" s="150"/>
      <c r="N6" s="150"/>
      <c r="O6" s="1569" t="str">
        <f>IF(Zone=5,"Are internal walls brick and external walls brick cavity?","")</f>
        <v>Are internal walls brick and external walls brick cavity?</v>
      </c>
      <c r="P6" s="1569"/>
      <c r="Q6" s="1569"/>
      <c r="R6" s="1569"/>
      <c r="S6" s="1569"/>
      <c r="T6" s="1570"/>
      <c r="U6" s="1570"/>
      <c r="V6" s="150"/>
      <c r="W6" s="181" t="str">
        <f>IF(UpperInputsFlagged&gt;0,"",IF(WallConcession=NoWallConcession,"","ADJUSTED CONSTANT"))</f>
        <v/>
      </c>
      <c r="X6" s="182" t="str">
        <f>IF(UpperInputsFlagged&gt;0,"",IF(S5=0,0,X3*(1-S5)))</f>
        <v/>
      </c>
      <c r="Y6" s="183" t="str">
        <f>IF(OR(ISBLANK(WallConcession),UpperInputsFlagged&gt;0),"",INDEX(I181:I192,MATCH(WallConcession,F181:F192,0),1))</f>
        <v/>
      </c>
      <c r="Z6" s="150"/>
      <c r="AA6" s="141"/>
      <c r="AB6" s="141"/>
      <c r="AC6" s="141"/>
      <c r="AD6" s="141"/>
      <c r="AE6" s="141"/>
      <c r="AF6" s="141"/>
      <c r="AG6" s="160" t="s">
        <v>873</v>
      </c>
      <c r="AH6" s="184">
        <v>1</v>
      </c>
      <c r="AI6" s="185" t="s">
        <v>874</v>
      </c>
      <c r="AJ6" s="141"/>
      <c r="AK6" s="141"/>
      <c r="AL6" s="141"/>
      <c r="AM6" s="141"/>
      <c r="AN6" s="141"/>
      <c r="AO6" s="141"/>
      <c r="AP6" s="141"/>
      <c r="AQ6" s="141"/>
      <c r="AR6" s="141"/>
      <c r="AS6" s="141"/>
      <c r="AT6" s="141"/>
      <c r="AU6" s="141"/>
      <c r="AV6" s="141"/>
      <c r="AW6" s="141"/>
      <c r="AX6" s="141"/>
      <c r="AY6" s="141"/>
      <c r="AZ6" s="141"/>
      <c r="BA6" s="141"/>
      <c r="BB6" s="141"/>
      <c r="BC6" s="141"/>
      <c r="BD6" s="141"/>
      <c r="BE6" s="141"/>
      <c r="BF6" s="141"/>
      <c r="BG6" s="141"/>
      <c r="BH6" s="141"/>
      <c r="BI6" s="141"/>
      <c r="BJ6" s="141"/>
      <c r="BK6" s="141"/>
      <c r="BL6" s="141"/>
      <c r="BM6" s="141"/>
      <c r="BN6" s="141"/>
      <c r="BO6" s="141"/>
      <c r="BP6" s="141"/>
      <c r="BQ6" s="141"/>
      <c r="BR6" s="141"/>
      <c r="BS6" s="141"/>
      <c r="BT6" s="141"/>
      <c r="BU6" s="141"/>
      <c r="BV6" s="141"/>
      <c r="BW6" s="141"/>
      <c r="BX6" s="141"/>
      <c r="BY6" s="141"/>
      <c r="BZ6" s="141"/>
      <c r="CA6" s="141"/>
      <c r="CB6" s="141"/>
      <c r="CC6" s="166" t="e">
        <f>AllowedCond-CC4</f>
        <v>#DIV/0!</v>
      </c>
      <c r="CD6" s="166" t="e">
        <f>AllowedSHG-CD4</f>
        <v>#DIV/0!</v>
      </c>
      <c r="CE6" s="186" t="s">
        <v>875</v>
      </c>
      <c r="CF6" s="141"/>
      <c r="CG6" s="141"/>
      <c r="CH6" s="141"/>
      <c r="CI6" s="141"/>
      <c r="CJ6" s="187" t="s">
        <v>876</v>
      </c>
      <c r="CK6" s="141"/>
      <c r="CL6" s="141"/>
      <c r="CM6" s="141"/>
      <c r="CN6" s="141"/>
      <c r="CO6" s="141"/>
      <c r="CP6" s="141"/>
      <c r="CQ6" s="141"/>
      <c r="CR6" s="141"/>
      <c r="CS6" s="141"/>
      <c r="CT6" s="141"/>
      <c r="CU6" s="141"/>
      <c r="CV6" s="141"/>
      <c r="CW6" s="141"/>
      <c r="CX6" s="141"/>
      <c r="CY6" s="141"/>
      <c r="CZ6" s="141"/>
      <c r="DA6" s="141"/>
      <c r="DB6" s="141"/>
      <c r="DC6" s="141"/>
      <c r="DD6" s="141"/>
      <c r="DE6" s="141"/>
      <c r="DF6" s="141"/>
      <c r="DG6" s="141"/>
      <c r="DH6" s="141"/>
      <c r="DI6" s="141"/>
      <c r="DJ6" s="141"/>
      <c r="DK6" s="141"/>
      <c r="DL6" s="141"/>
      <c r="DM6" s="141"/>
      <c r="DN6" s="141"/>
      <c r="DO6" s="141"/>
      <c r="DP6" s="141"/>
      <c r="DQ6" s="141"/>
      <c r="DR6" s="141"/>
      <c r="DS6" s="141"/>
      <c r="DT6" s="141"/>
      <c r="DU6" s="141"/>
      <c r="DV6" s="141"/>
      <c r="DW6" s="141"/>
      <c r="DX6" s="141"/>
      <c r="DY6" s="141"/>
      <c r="DZ6" s="141"/>
      <c r="EA6" s="141"/>
    </row>
    <row r="7" spans="1:131" ht="41.25" customHeight="1" thickBot="1" x14ac:dyDescent="0.45">
      <c r="A7" s="150"/>
      <c r="B7" s="150"/>
      <c r="C7" s="178"/>
      <c r="D7" s="150"/>
      <c r="E7" s="188" t="s">
        <v>877</v>
      </c>
      <c r="F7" s="873"/>
      <c r="G7" s="189"/>
      <c r="H7" s="150"/>
      <c r="I7" s="1571" t="str">
        <f>IF(AND(AllInputsOK=TRUE,OR(AND(AA8=0,AreaB&gt;0),AND(AreaA&gt;0,AA7=0),AND(F12&gt;0,AA12=0))),"Warning: This dwelling has floor areas entered without any corresponding windows. Please confirm this is correct","")</f>
        <v/>
      </c>
      <c r="J7" s="1571"/>
      <c r="K7" s="1571"/>
      <c r="L7" s="1571"/>
      <c r="M7" s="1571"/>
      <c r="N7" s="1571"/>
      <c r="O7" s="150"/>
      <c r="P7" s="150"/>
      <c r="Q7" s="150"/>
      <c r="R7" s="150"/>
      <c r="S7" s="150"/>
      <c r="T7" s="190"/>
      <c r="U7" s="191"/>
      <c r="V7" s="150"/>
      <c r="W7" s="189"/>
      <c r="X7" s="182"/>
      <c r="Y7" s="183"/>
      <c r="Z7" s="150"/>
      <c r="AA7" s="141">
        <f>COUNTIF(K$20:K$99,"=Ground: Direct")</f>
        <v>0</v>
      </c>
      <c r="AB7" s="141"/>
      <c r="AC7" s="141"/>
      <c r="AD7" s="141"/>
      <c r="AE7" s="141"/>
      <c r="AF7" s="141"/>
      <c r="AG7" s="160"/>
      <c r="AH7" s="184"/>
      <c r="AI7" s="185"/>
      <c r="AJ7" s="141"/>
      <c r="AK7" s="141"/>
      <c r="AL7" s="141"/>
      <c r="AM7" s="141"/>
      <c r="AN7" s="141"/>
      <c r="AO7" s="141"/>
      <c r="AP7" s="141"/>
      <c r="AQ7" s="141"/>
      <c r="AR7" s="141"/>
      <c r="AS7" s="141"/>
      <c r="AT7" s="141"/>
      <c r="AU7" s="141"/>
      <c r="AV7" s="141"/>
      <c r="AW7" s="141"/>
      <c r="AX7" s="141"/>
      <c r="AY7" s="141"/>
      <c r="AZ7" s="141"/>
      <c r="BA7" s="141"/>
      <c r="BB7" s="141"/>
      <c r="BC7" s="141"/>
      <c r="BD7" s="141"/>
      <c r="BE7" s="141"/>
      <c r="BF7" s="141"/>
      <c r="BG7" s="141"/>
      <c r="BH7" s="141"/>
      <c r="BI7" s="141"/>
      <c r="BJ7" s="141"/>
      <c r="BK7" s="141"/>
      <c r="BL7" s="141"/>
      <c r="BM7" s="141"/>
      <c r="BN7" s="141"/>
      <c r="BO7" s="141"/>
      <c r="BP7" s="141"/>
      <c r="BQ7" s="141"/>
      <c r="BR7" s="141"/>
      <c r="BS7" s="141"/>
      <c r="BT7" s="141"/>
      <c r="BU7" s="141"/>
      <c r="BV7" s="141"/>
      <c r="BW7" s="141"/>
      <c r="BX7" s="141"/>
      <c r="BY7" s="141"/>
      <c r="BZ7" s="141"/>
      <c r="CA7" s="141"/>
      <c r="CB7" s="141"/>
      <c r="CC7" s="166"/>
      <c r="CD7" s="166"/>
      <c r="CE7" s="186"/>
      <c r="CF7" s="141"/>
      <c r="CG7" s="141"/>
      <c r="CH7" s="141"/>
      <c r="CI7" s="141"/>
      <c r="CJ7" s="187"/>
      <c r="CK7" s="141"/>
      <c r="CL7" s="141"/>
      <c r="CM7" s="141"/>
      <c r="CN7" s="141"/>
      <c r="CO7" s="141"/>
      <c r="CP7" s="141"/>
      <c r="CQ7" s="141"/>
      <c r="CR7" s="141"/>
      <c r="CS7" s="141"/>
      <c r="CT7" s="141"/>
      <c r="CU7" s="141"/>
      <c r="CV7" s="141"/>
      <c r="CW7" s="141"/>
      <c r="CX7" s="141"/>
      <c r="CY7" s="141"/>
      <c r="CZ7" s="141"/>
      <c r="DA7" s="141"/>
      <c r="DB7" s="141"/>
      <c r="DC7" s="141"/>
      <c r="DD7" s="141"/>
      <c r="DE7" s="141"/>
      <c r="DF7" s="141"/>
      <c r="DG7" s="141"/>
      <c r="DH7" s="141"/>
      <c r="DI7" s="141"/>
      <c r="DJ7" s="141"/>
      <c r="DK7" s="141"/>
      <c r="DL7" s="141"/>
      <c r="DM7" s="141"/>
      <c r="DN7" s="141"/>
      <c r="DO7" s="141"/>
      <c r="DP7" s="141"/>
      <c r="DQ7" s="141"/>
      <c r="DR7" s="141"/>
      <c r="DS7" s="141"/>
      <c r="DT7" s="141"/>
      <c r="DU7" s="141"/>
      <c r="DV7" s="141"/>
      <c r="DW7" s="141"/>
      <c r="DX7" s="141"/>
      <c r="DY7" s="141"/>
      <c r="DZ7" s="141"/>
      <c r="EA7" s="141"/>
    </row>
    <row r="8" spans="1:131" ht="40.5" customHeight="1" thickBot="1" x14ac:dyDescent="0.45">
      <c r="A8" s="150"/>
      <c r="B8" s="192" t="s">
        <v>878</v>
      </c>
      <c r="C8" s="178"/>
      <c r="D8" s="189"/>
      <c r="E8" s="188" t="s">
        <v>879</v>
      </c>
      <c r="F8" s="873"/>
      <c r="G8" s="189"/>
      <c r="H8" s="189"/>
      <c r="O8" s="1581"/>
      <c r="P8" s="1581"/>
      <c r="Q8" s="1581"/>
      <c r="R8" s="1581"/>
      <c r="S8" s="1581"/>
      <c r="T8" s="1581"/>
      <c r="U8" s="1581"/>
      <c r="V8" s="1581"/>
      <c r="W8" s="189" t="str">
        <f>IF(UpperInputsFlagged&gt;0,"",IF(WallConcession=NoWallConcession,"","ADJUSTED CONSTANT"))</f>
        <v/>
      </c>
      <c r="X8" s="182" t="str">
        <f>IF(UpperInputsFlagged&gt;0,"",IF(S6=0,0,X4*(1-S6)))</f>
        <v/>
      </c>
      <c r="Y8" s="182" t="str">
        <f>IF(UpperInputsFlagged&gt;0,"",IF(Y6=0,0,Y4*(1-Y6)))</f>
        <v/>
      </c>
      <c r="Z8" s="150"/>
      <c r="AA8" s="141">
        <f>COUNTIF(K$20:K$99,"=Ground: Suspended")</f>
        <v>0</v>
      </c>
      <c r="AB8" s="141"/>
      <c r="AC8" s="141"/>
      <c r="AD8" s="141"/>
      <c r="AE8" s="141"/>
      <c r="AF8" s="141"/>
      <c r="AG8" s="160" t="s">
        <v>880</v>
      </c>
      <c r="AH8" s="193" t="e">
        <f ca="1">INDEX(ConstantsA,2,Zone,2)-INDEX(ConstantsA,2,Zone,1)</f>
        <v>#DIV/0!</v>
      </c>
      <c r="AI8" s="194" t="e">
        <f ca="1">IF(SuffixAir="High",INDEX(ConstantsA,2,Zone,2),CshgcA+(MultipleAir-1)*DifferenceA)</f>
        <v>#DIV/0!</v>
      </c>
      <c r="AJ8" s="195" t="e">
        <f ca="1">INDEX(ConstantsB,2,Zone,2)-INDEX(ConstantsB,2,Zone,1)</f>
        <v>#DIV/0!</v>
      </c>
      <c r="AK8" s="194" t="e">
        <f ca="1">IF(SuffixAir="High",INDEX(ConstantsB,2,Zone,2),CshgcB+(MultipleAir-1)*DifferenceB)</f>
        <v>#DIV/0!</v>
      </c>
      <c r="AL8" s="145" t="s">
        <v>881</v>
      </c>
      <c r="AM8" s="141"/>
      <c r="AN8" s="141"/>
      <c r="AO8" s="141"/>
      <c r="AP8" s="141"/>
      <c r="AQ8" s="141"/>
      <c r="AR8" s="141"/>
      <c r="AS8" s="141"/>
      <c r="AT8" s="141"/>
      <c r="AU8" s="141"/>
      <c r="AV8" s="141"/>
      <c r="AW8" s="141"/>
      <c r="AX8" s="141"/>
      <c r="AY8" s="141"/>
      <c r="AZ8" s="141"/>
      <c r="BA8" s="196" t="s">
        <v>882</v>
      </c>
      <c r="BB8" s="141"/>
      <c r="BC8" s="141"/>
      <c r="BD8" s="141"/>
      <c r="BE8" s="141"/>
      <c r="BF8" s="141"/>
      <c r="BG8" s="141"/>
      <c r="BH8" s="141"/>
      <c r="BI8" s="141"/>
      <c r="BJ8" s="141"/>
      <c r="BK8" s="141"/>
      <c r="BL8" s="141"/>
      <c r="BM8" s="141"/>
      <c r="BN8" s="141"/>
      <c r="BO8" s="141"/>
      <c r="BP8" s="141"/>
      <c r="BQ8" s="141"/>
      <c r="BR8" s="141"/>
      <c r="BS8" s="141"/>
      <c r="BT8" s="141"/>
      <c r="BU8" s="141"/>
      <c r="BV8" s="141"/>
      <c r="BW8" s="141"/>
      <c r="BX8" s="141"/>
      <c r="BY8" s="141"/>
      <c r="BZ8" s="141"/>
      <c r="CA8" s="141"/>
      <c r="CB8" s="141"/>
      <c r="CC8" s="197" t="e">
        <f>IF(OR(CC4/AllowedCond&lt;0.01,CC4/AllowedCond&gt;1),ROUNDUP(CC4/AllowedCond,2),CC4/AllowedCond)</f>
        <v>#DIV/0!</v>
      </c>
      <c r="CD8" s="197" t="e">
        <f>IF(OR(CD4/AllowedSHG&lt;0.01,CD4/AllowedSHG&gt;1),ROUNDUP(CD4/AllowedSHG,2),CD4/AllowedSHG)</f>
        <v>#DIV/0!</v>
      </c>
      <c r="CE8" s="186" t="s">
        <v>883</v>
      </c>
      <c r="CF8" s="141"/>
      <c r="CG8" s="141"/>
      <c r="CH8" s="141"/>
      <c r="CI8" s="141"/>
      <c r="CJ8" s="154" t="s">
        <v>884</v>
      </c>
      <c r="CK8" s="141"/>
      <c r="CL8" s="141"/>
      <c r="CM8" s="141"/>
      <c r="CN8" s="141"/>
      <c r="CO8" s="141"/>
      <c r="CP8" s="141"/>
      <c r="CQ8" s="141"/>
      <c r="CR8" s="141"/>
      <c r="CS8" s="141"/>
      <c r="CT8" s="141"/>
      <c r="CU8" s="141"/>
      <c r="CV8" s="141"/>
      <c r="CW8" s="141"/>
      <c r="CX8" s="141"/>
      <c r="CY8" s="141"/>
      <c r="CZ8" s="141"/>
      <c r="DA8" s="141"/>
      <c r="DB8" s="141"/>
      <c r="DC8" s="141"/>
      <c r="DD8" s="141"/>
      <c r="DE8" s="141"/>
      <c r="DF8" s="141"/>
      <c r="DG8" s="141"/>
      <c r="DH8" s="141"/>
      <c r="DI8" s="141"/>
      <c r="DJ8" s="141"/>
      <c r="DK8" s="141"/>
      <c r="DL8" s="141"/>
      <c r="DM8" s="141"/>
      <c r="DN8" s="141"/>
      <c r="DO8" s="141"/>
      <c r="DP8" s="141"/>
      <c r="DQ8" s="141"/>
      <c r="DR8" s="141"/>
      <c r="DS8" s="141"/>
      <c r="DT8" s="141"/>
      <c r="DU8" s="141"/>
      <c r="DV8" s="141"/>
      <c r="DW8" s="141"/>
      <c r="DX8" s="141"/>
      <c r="DY8" s="141"/>
      <c r="DZ8" s="141"/>
      <c r="EA8" s="141"/>
    </row>
    <row r="9" spans="1:131" s="168" customFormat="1" ht="18.5" hidden="1" thickBot="1" x14ac:dyDescent="0.45">
      <c r="B9" s="172"/>
      <c r="C9" s="198"/>
      <c r="D9" s="198"/>
      <c r="E9" s="199"/>
      <c r="F9" s="763"/>
      <c r="G9" s="189"/>
      <c r="H9" s="200"/>
      <c r="I9" s="200"/>
      <c r="J9" s="201"/>
      <c r="K9" s="200"/>
      <c r="L9" s="200"/>
      <c r="M9" s="200"/>
      <c r="N9" s="200"/>
      <c r="O9" s="1582" t="str">
        <f>IF(AND(AreaA=0,AA8&lt;&gt;0),"Windows entered with Ground: Direct, but floor area entered. Invalid","")</f>
        <v/>
      </c>
      <c r="P9" s="1582"/>
      <c r="Q9" s="1582"/>
      <c r="R9" s="1582"/>
      <c r="S9" s="1582"/>
      <c r="T9" s="1582"/>
      <c r="U9" s="1582"/>
      <c r="V9" s="1582"/>
      <c r="W9" s="202"/>
      <c r="X9" s="203"/>
      <c r="Y9" s="203"/>
      <c r="AA9" s="175"/>
      <c r="AB9" s="175"/>
      <c r="AC9" s="175"/>
      <c r="AD9" s="175"/>
      <c r="AE9" s="175"/>
      <c r="AF9" s="175"/>
      <c r="AG9" s="204"/>
      <c r="AH9" s="204"/>
      <c r="AI9" s="204"/>
      <c r="AJ9" s="204"/>
      <c r="AK9" s="204"/>
      <c r="AL9" s="176"/>
      <c r="AM9" s="175"/>
      <c r="AN9" s="175"/>
      <c r="AO9" s="175"/>
      <c r="AP9" s="175"/>
      <c r="AQ9" s="175"/>
      <c r="AR9" s="175"/>
      <c r="AS9" s="175"/>
      <c r="AT9" s="175"/>
      <c r="AU9" s="175"/>
      <c r="AV9" s="175"/>
      <c r="AW9" s="175"/>
      <c r="AX9" s="175"/>
      <c r="AY9" s="175"/>
      <c r="AZ9" s="175"/>
      <c r="BA9" s="205"/>
      <c r="BB9" s="175"/>
      <c r="BC9" s="175"/>
      <c r="BD9" s="175"/>
      <c r="BE9" s="175"/>
      <c r="BF9" s="175"/>
      <c r="BG9" s="175"/>
      <c r="BH9" s="175"/>
      <c r="BI9" s="175"/>
      <c r="BJ9" s="175"/>
      <c r="BK9" s="175"/>
      <c r="BL9" s="175"/>
      <c r="BM9" s="175"/>
      <c r="BN9" s="175"/>
      <c r="BO9" s="175"/>
      <c r="BP9" s="175"/>
      <c r="BQ9" s="175"/>
      <c r="BR9" s="175"/>
      <c r="BS9" s="175"/>
      <c r="BT9" s="175"/>
      <c r="BU9" s="175"/>
      <c r="BV9" s="175"/>
      <c r="BW9" s="175"/>
      <c r="BX9" s="175"/>
      <c r="BY9" s="175"/>
      <c r="BZ9" s="175"/>
      <c r="CA9" s="175"/>
      <c r="CB9" s="175"/>
      <c r="CC9" s="175"/>
      <c r="CD9" s="175"/>
      <c r="CE9" s="206"/>
      <c r="CF9" s="175"/>
      <c r="CG9" s="175"/>
      <c r="CH9" s="175"/>
      <c r="CI9" s="175"/>
      <c r="CJ9" s="177"/>
      <c r="CK9" s="175"/>
      <c r="CL9" s="175"/>
      <c r="CM9" s="175"/>
      <c r="CN9" s="175"/>
      <c r="CO9" s="175"/>
      <c r="CP9" s="175"/>
      <c r="CQ9" s="175"/>
      <c r="CR9" s="175"/>
      <c r="CS9" s="175"/>
      <c r="CT9" s="175"/>
      <c r="CU9" s="175"/>
      <c r="CV9" s="175"/>
      <c r="CW9" s="175"/>
      <c r="CX9" s="175"/>
      <c r="CY9" s="175"/>
      <c r="CZ9" s="175"/>
      <c r="DA9" s="175"/>
      <c r="DB9" s="175"/>
      <c r="DC9" s="175"/>
      <c r="DD9" s="175"/>
      <c r="DE9" s="175"/>
      <c r="DF9" s="175"/>
      <c r="DG9" s="175"/>
      <c r="DH9" s="175"/>
      <c r="DI9" s="175"/>
      <c r="DJ9" s="175"/>
      <c r="DK9" s="175"/>
      <c r="DL9" s="175"/>
      <c r="DM9" s="175"/>
      <c r="DN9" s="175"/>
      <c r="DO9" s="175"/>
      <c r="DP9" s="175"/>
      <c r="DQ9" s="175"/>
      <c r="DR9" s="175"/>
      <c r="DS9" s="175"/>
      <c r="DT9" s="175"/>
      <c r="DU9" s="175"/>
      <c r="DV9" s="175"/>
      <c r="DW9" s="175"/>
      <c r="DX9" s="175"/>
      <c r="DY9" s="175"/>
      <c r="DZ9" s="175"/>
      <c r="EA9" s="175"/>
    </row>
    <row r="10" spans="1:131" s="168" customFormat="1" ht="18.5" hidden="1" thickBot="1" x14ac:dyDescent="0.45">
      <c r="B10" s="207" t="s">
        <v>205</v>
      </c>
      <c r="C10" s="198"/>
      <c r="D10" s="198"/>
      <c r="E10" s="199"/>
      <c r="F10" s="763"/>
      <c r="G10" s="189"/>
      <c r="H10" s="200"/>
      <c r="I10" s="200"/>
      <c r="J10" s="201"/>
      <c r="K10" s="200"/>
      <c r="L10" s="200"/>
      <c r="M10" s="200"/>
      <c r="N10" s="200"/>
      <c r="O10" s="1582" t="str">
        <f>IF(AND(AreaA=0,AA9&lt;&gt;0),"Windows entered with Ground: Direct, but floor area entered. Invalid","")</f>
        <v/>
      </c>
      <c r="P10" s="1582"/>
      <c r="Q10" s="1582"/>
      <c r="R10" s="1582"/>
      <c r="S10" s="1582"/>
      <c r="T10" s="1582"/>
      <c r="U10" s="1582"/>
      <c r="V10" s="1582"/>
      <c r="W10" s="202"/>
      <c r="X10" s="203"/>
      <c r="Y10" s="203"/>
      <c r="AA10" s="175"/>
      <c r="AB10" s="175"/>
      <c r="AC10" s="175"/>
      <c r="AD10" s="175"/>
      <c r="AE10" s="175"/>
      <c r="AF10" s="175"/>
      <c r="AG10" s="204"/>
      <c r="AH10" s="204"/>
      <c r="AI10" s="204"/>
      <c r="AJ10" s="204"/>
      <c r="AK10" s="204"/>
      <c r="AL10" s="176"/>
      <c r="AM10" s="175"/>
      <c r="AN10" s="175"/>
      <c r="AO10" s="175"/>
      <c r="AP10" s="175"/>
      <c r="AQ10" s="175"/>
      <c r="AR10" s="175"/>
      <c r="AS10" s="175"/>
      <c r="AT10" s="175"/>
      <c r="AU10" s="175"/>
      <c r="AV10" s="175"/>
      <c r="AW10" s="175"/>
      <c r="AX10" s="175"/>
      <c r="AY10" s="175"/>
      <c r="AZ10" s="175"/>
      <c r="BA10" s="205"/>
      <c r="BB10" s="175"/>
      <c r="BC10" s="175"/>
      <c r="BD10" s="175"/>
      <c r="BE10" s="175"/>
      <c r="BF10" s="175"/>
      <c r="BG10" s="175"/>
      <c r="BH10" s="175"/>
      <c r="BI10" s="175"/>
      <c r="BJ10" s="175"/>
      <c r="BK10" s="175"/>
      <c r="BL10" s="175"/>
      <c r="BM10" s="175"/>
      <c r="BN10" s="175">
        <f>MATCH($BI20,Projections,1)</f>
        <v>1</v>
      </c>
      <c r="BO10" s="175" t="s">
        <v>885</v>
      </c>
      <c r="BP10" s="175"/>
      <c r="BQ10" s="175"/>
      <c r="BR10" s="175"/>
      <c r="BS10" s="175"/>
      <c r="BT10" s="175"/>
      <c r="BU10" s="175"/>
      <c r="BV10" s="175"/>
      <c r="BW10" s="175"/>
      <c r="BX10" s="175"/>
      <c r="BY10" s="175"/>
      <c r="BZ10" s="175"/>
      <c r="CA10" s="175"/>
      <c r="CB10" s="175"/>
      <c r="CC10" s="175"/>
      <c r="CD10" s="175"/>
      <c r="CE10" s="206"/>
      <c r="CF10" s="175"/>
      <c r="CG10" s="175"/>
      <c r="CH10" s="175"/>
      <c r="CI10" s="175"/>
      <c r="CJ10" s="177"/>
      <c r="CK10" s="175"/>
      <c r="CL10" s="175"/>
      <c r="CM10" s="175"/>
      <c r="CN10" s="175"/>
      <c r="CO10" s="175"/>
      <c r="CP10" s="175"/>
      <c r="CQ10" s="175"/>
      <c r="CR10" s="175"/>
      <c r="CS10" s="175"/>
      <c r="CT10" s="175"/>
      <c r="CU10" s="175"/>
      <c r="CV10" s="175"/>
      <c r="CW10" s="175"/>
      <c r="CX10" s="175"/>
      <c r="CY10" s="175"/>
      <c r="CZ10" s="175"/>
      <c r="DA10" s="175"/>
      <c r="DB10" s="175"/>
      <c r="DC10" s="175"/>
      <c r="DD10" s="175"/>
      <c r="DE10" s="175"/>
      <c r="DF10" s="175"/>
      <c r="DG10" s="175"/>
      <c r="DH10" s="175"/>
      <c r="DI10" s="175"/>
      <c r="DJ10" s="175"/>
      <c r="DK10" s="175"/>
      <c r="DL10" s="175"/>
      <c r="DM10" s="175"/>
      <c r="DN10" s="175"/>
      <c r="DO10" s="175"/>
      <c r="DP10" s="175"/>
      <c r="DQ10" s="175"/>
      <c r="DR10" s="175"/>
      <c r="DS10" s="175"/>
      <c r="DT10" s="175"/>
      <c r="DU10" s="175"/>
      <c r="DV10" s="175"/>
      <c r="DW10" s="175"/>
      <c r="DX10" s="175"/>
      <c r="DY10" s="175"/>
      <c r="DZ10" s="175"/>
      <c r="EA10" s="175"/>
    </row>
    <row r="11" spans="1:131" s="168" customFormat="1" ht="18.5" hidden="1" thickBot="1" x14ac:dyDescent="0.45">
      <c r="B11" s="207" t="s">
        <v>886</v>
      </c>
      <c r="C11" s="198"/>
      <c r="D11" s="198"/>
      <c r="E11" s="199"/>
      <c r="F11" s="763"/>
      <c r="G11" s="189"/>
      <c r="H11" s="200"/>
      <c r="I11" s="200"/>
      <c r="J11" s="201"/>
      <c r="K11" s="200"/>
      <c r="L11" s="200"/>
      <c r="M11" s="200"/>
      <c r="N11" s="200"/>
      <c r="O11" s="1582" t="str">
        <f>IF(AND(AreaA=0,AA10&lt;&gt;0),"Windows entered with Ground: Direct, but floor area entered. Invalid","")</f>
        <v/>
      </c>
      <c r="P11" s="1582"/>
      <c r="Q11" s="1582"/>
      <c r="R11" s="1582"/>
      <c r="S11" s="1582"/>
      <c r="T11" s="1582"/>
      <c r="U11" s="1582"/>
      <c r="V11" s="1582"/>
      <c r="W11" s="202"/>
      <c r="X11" s="203"/>
      <c r="Y11" s="203"/>
      <c r="AA11" s="175"/>
      <c r="AB11" s="175"/>
      <c r="AC11" s="175"/>
      <c r="AD11" s="175"/>
      <c r="AE11" s="175"/>
      <c r="AF11" s="175"/>
      <c r="AG11" s="204"/>
      <c r="AH11" s="204" t="e">
        <f>Slab_or_Timb</f>
        <v>#DIV/0!</v>
      </c>
      <c r="AI11" s="204"/>
      <c r="AJ11" s="204"/>
      <c r="AK11" s="204"/>
      <c r="AL11" s="176"/>
      <c r="AM11" s="175" t="s">
        <v>887</v>
      </c>
      <c r="AN11" s="175" t="s">
        <v>888</v>
      </c>
      <c r="AO11" s="175"/>
      <c r="AP11" s="175"/>
      <c r="AQ11" s="175"/>
      <c r="AR11" s="175"/>
      <c r="AS11" s="175"/>
      <c r="AT11" s="175"/>
      <c r="AU11" s="175"/>
      <c r="AV11" s="175"/>
      <c r="AW11" s="175"/>
      <c r="AX11" s="175"/>
      <c r="AY11" s="175"/>
      <c r="AZ11" s="175"/>
      <c r="BA11" s="205"/>
      <c r="BB11" s="175"/>
      <c r="BC11" s="175"/>
      <c r="BD11" s="175"/>
      <c r="BE11" s="175"/>
      <c r="BF11" s="175"/>
      <c r="BG11" s="175"/>
      <c r="BH11" s="175"/>
      <c r="BI11" s="175"/>
      <c r="BJ11" s="175"/>
      <c r="BK11" s="175"/>
      <c r="BL11" s="175"/>
      <c r="BM11" s="175"/>
      <c r="BN11" s="175" t="e">
        <f>MATCH($BM20,Directions,0)</f>
        <v>#N/A</v>
      </c>
      <c r="BO11" s="175" t="s">
        <v>889</v>
      </c>
      <c r="BP11" s="175"/>
      <c r="BQ11" s="175"/>
      <c r="BR11" s="175"/>
      <c r="BS11" s="175"/>
      <c r="BT11" s="175"/>
      <c r="BU11" s="175"/>
      <c r="BV11" s="175"/>
      <c r="BW11" s="175"/>
      <c r="BX11" s="175"/>
      <c r="BY11" s="175"/>
      <c r="BZ11" s="175"/>
      <c r="CA11" s="175"/>
      <c r="CB11" s="175"/>
      <c r="CC11" s="175"/>
      <c r="CD11" s="175"/>
      <c r="CE11" s="206"/>
      <c r="CF11" s="175"/>
      <c r="CG11" s="175"/>
      <c r="CH11" s="175"/>
      <c r="CI11" s="175"/>
      <c r="CJ11" s="177"/>
      <c r="CK11" s="175"/>
      <c r="CL11" s="175"/>
      <c r="CM11" s="175"/>
      <c r="CN11" s="175"/>
      <c r="CO11" s="175"/>
      <c r="CP11" s="175"/>
      <c r="CQ11" s="175"/>
      <c r="CR11" s="175"/>
      <c r="CS11" s="175"/>
      <c r="CT11" s="175"/>
      <c r="CU11" s="175"/>
      <c r="CV11" s="175" t="s">
        <v>890</v>
      </c>
      <c r="CW11" s="175"/>
      <c r="CX11" s="175"/>
      <c r="CY11" s="175"/>
      <c r="CZ11" s="175"/>
      <c r="DA11" s="175"/>
      <c r="DB11" s="175"/>
      <c r="DC11" s="175"/>
      <c r="DD11" s="175"/>
      <c r="DE11" s="175"/>
      <c r="DF11" s="175"/>
      <c r="DG11" s="175"/>
      <c r="DH11" s="175"/>
      <c r="DI11" s="175"/>
      <c r="DJ11" s="175"/>
      <c r="DK11" s="175"/>
      <c r="DL11" s="175"/>
      <c r="DM11" s="175"/>
      <c r="DN11" s="175"/>
      <c r="DO11" s="175"/>
      <c r="DP11" s="175"/>
      <c r="DQ11" s="175"/>
      <c r="DR11" s="175"/>
      <c r="DS11" s="175"/>
      <c r="DT11" s="175"/>
      <c r="DU11" s="175"/>
      <c r="DV11" s="175"/>
      <c r="DW11" s="175"/>
      <c r="DX11" s="175"/>
      <c r="DY11" s="175"/>
      <c r="DZ11" s="175"/>
      <c r="EA11" s="175"/>
    </row>
    <row r="12" spans="1:131" ht="40" customHeight="1" thickBot="1" x14ac:dyDescent="0.55000000000000004">
      <c r="A12" s="150"/>
      <c r="B12" s="180"/>
      <c r="C12" s="150"/>
      <c r="D12" s="150"/>
      <c r="E12" s="179" t="s">
        <v>891</v>
      </c>
      <c r="F12" s="873"/>
      <c r="G12" s="189"/>
      <c r="H12" s="150"/>
      <c r="I12" s="208"/>
      <c r="J12" s="209" t="s">
        <v>892</v>
      </c>
      <c r="K12" s="209"/>
      <c r="L12" s="208"/>
      <c r="M12" s="208"/>
      <c r="N12" s="208"/>
      <c r="O12" s="1581"/>
      <c r="P12" s="1581"/>
      <c r="Q12" s="1581"/>
      <c r="R12" s="1581"/>
      <c r="S12" s="1581"/>
      <c r="T12" s="1581"/>
      <c r="U12" s="1581"/>
      <c r="V12" s="1581"/>
      <c r="W12" s="1583" t="s">
        <v>893</v>
      </c>
      <c r="X12" s="150" t="s">
        <v>894</v>
      </c>
      <c r="Y12" s="210" t="s">
        <v>895</v>
      </c>
      <c r="Z12" s="150"/>
      <c r="AA12" s="141">
        <f>COUNTIF(K$20:K$99,"=Upper")</f>
        <v>0</v>
      </c>
      <c r="AB12" s="211" t="str">
        <f>IF(Zone=1,"x Area","(only)")</f>
        <v>(only)</v>
      </c>
      <c r="AC12" s="145" t="s">
        <v>896</v>
      </c>
      <c r="AD12" s="212"/>
      <c r="AE12" s="212"/>
      <c r="AF12" s="212"/>
      <c r="AG12" s="141"/>
      <c r="AH12" s="213" t="e">
        <f>IF(AH11="Slab",CuA,CuB)</f>
        <v>#DIV/0!</v>
      </c>
      <c r="AI12" s="214" t="e">
        <f>IF(AH11="Slab",CshgcA,CshgcB)</f>
        <v>#DIV/0!</v>
      </c>
      <c r="AJ12" s="145" t="s">
        <v>897</v>
      </c>
      <c r="AK12" s="145"/>
      <c r="AL12" s="215"/>
      <c r="AM12" s="141" t="s">
        <v>898</v>
      </c>
      <c r="AN12" s="141" t="s">
        <v>899</v>
      </c>
      <c r="AO12" s="141"/>
      <c r="AP12" s="141"/>
      <c r="AQ12" s="141"/>
      <c r="AR12" s="141"/>
      <c r="AS12" s="141"/>
      <c r="AT12" s="141"/>
      <c r="AU12" s="141"/>
      <c r="AV12" s="141"/>
      <c r="AW12" s="141"/>
      <c r="AX12" s="141"/>
      <c r="AY12" s="141"/>
      <c r="AZ12" s="141"/>
      <c r="BA12" s="216" t="b">
        <f>BA4=0</f>
        <v>1</v>
      </c>
      <c r="BB12" s="217"/>
      <c r="BC12" s="217"/>
      <c r="BD12" s="141"/>
      <c r="BE12" s="141"/>
      <c r="BF12" s="141"/>
      <c r="BG12" s="141"/>
      <c r="BH12" s="141"/>
      <c r="BI12" s="141"/>
      <c r="BJ12" s="141"/>
      <c r="BK12" s="141"/>
      <c r="BL12" s="141"/>
      <c r="BM12" s="141"/>
      <c r="BN12" s="141"/>
      <c r="BO12" s="141"/>
      <c r="BP12" s="141"/>
      <c r="BQ12" s="141"/>
      <c r="BR12" s="141"/>
      <c r="BS12" s="141"/>
      <c r="BT12" s="141"/>
      <c r="BU12" s="141"/>
      <c r="BV12" s="141"/>
      <c r="BW12" s="141"/>
      <c r="BX12" s="141"/>
      <c r="BY12" s="141"/>
      <c r="BZ12" s="141"/>
      <c r="CA12" s="141"/>
      <c r="CB12" s="141"/>
      <c r="CC12" s="874" t="e">
        <f>IF(CC6&lt;0,COUNTIF(AI20:AI99,"true"),0)</f>
        <v>#DIV/0!</v>
      </c>
      <c r="CD12" s="874" t="e">
        <f>IF(Zone=8,0,IF(CD6&lt;0,COUNTIF(AI20:AI99,"true"),0))</f>
        <v>#DIV/0!</v>
      </c>
      <c r="CE12" s="186" t="s">
        <v>900</v>
      </c>
      <c r="CF12" s="141"/>
      <c r="CG12" s="141"/>
      <c r="CH12" s="141"/>
      <c r="CI12" s="141"/>
      <c r="CJ12" s="218" t="s">
        <v>901</v>
      </c>
      <c r="CK12" s="141"/>
      <c r="CL12" s="141"/>
      <c r="CM12" s="141"/>
      <c r="CN12" s="141"/>
      <c r="CO12" s="141"/>
      <c r="CP12" s="141"/>
      <c r="CQ12" s="141"/>
      <c r="CR12" s="141"/>
      <c r="CS12" s="141"/>
      <c r="CT12" s="141"/>
      <c r="CU12" s="141" t="s">
        <v>902</v>
      </c>
      <c r="CV12" s="141" t="s">
        <v>903</v>
      </c>
      <c r="CW12" s="141" t="s">
        <v>904</v>
      </c>
      <c r="CX12" s="141"/>
      <c r="CY12" s="141"/>
      <c r="CZ12" s="141"/>
      <c r="DA12" s="141"/>
      <c r="DB12" s="141"/>
      <c r="DC12" s="141"/>
      <c r="DD12" s="141"/>
      <c r="DE12" s="141"/>
      <c r="DF12" s="141"/>
      <c r="DG12" s="141"/>
      <c r="DH12" s="141"/>
      <c r="DI12" s="141"/>
      <c r="DJ12" s="141"/>
      <c r="DK12" s="141"/>
      <c r="DL12" s="141"/>
      <c r="DM12" s="141"/>
      <c r="DN12" s="141"/>
      <c r="DO12" s="141"/>
      <c r="DP12" s="141"/>
      <c r="DQ12" s="141"/>
      <c r="DR12" s="141"/>
      <c r="DS12" s="141"/>
      <c r="DT12" s="141"/>
      <c r="DU12" s="141"/>
      <c r="DV12" s="141"/>
      <c r="DW12" s="141"/>
      <c r="DX12" s="141"/>
      <c r="DY12" s="141"/>
      <c r="DZ12" s="141"/>
      <c r="EA12" s="141"/>
    </row>
    <row r="13" spans="1:131" ht="18" x14ac:dyDescent="0.4">
      <c r="A13" s="150"/>
      <c r="B13" s="192" t="s">
        <v>205</v>
      </c>
      <c r="C13" s="178"/>
      <c r="D13" s="150"/>
      <c r="E13" s="189" t="str">
        <f>IF(AreaA+AreaB&gt;0,"Area of dwelling ","")</f>
        <v/>
      </c>
      <c r="F13" s="219">
        <f>AreaA+AreaB+F12</f>
        <v>0</v>
      </c>
      <c r="G13" s="150"/>
      <c r="H13" s="220" t="str">
        <f>H153</f>
        <v/>
      </c>
      <c r="I13" s="150"/>
      <c r="J13" s="150"/>
      <c r="K13" s="150"/>
      <c r="L13" s="150"/>
      <c r="M13" s="150"/>
      <c r="N13" s="150"/>
      <c r="O13" s="1581"/>
      <c r="P13" s="1581"/>
      <c r="Q13" s="1581"/>
      <c r="R13" s="1581"/>
      <c r="S13" s="1581"/>
      <c r="T13" s="1581"/>
      <c r="U13" s="1581"/>
      <c r="V13" s="1581"/>
      <c r="W13" s="1583"/>
      <c r="X13" s="1309" t="str">
        <f>IF(Zone=1,"N/A",IF(UpperInputsFlagged&gt;0,"",AllowedCond))</f>
        <v/>
      </c>
      <c r="Y13" s="1310" t="str">
        <f>IF(UpperInputsFlagged&gt;0,"",AllowedSHG)</f>
        <v/>
      </c>
      <c r="Z13" s="150"/>
      <c r="AA13" s="141"/>
      <c r="AB13" s="141"/>
      <c r="AC13" s="141"/>
      <c r="AD13" s="141"/>
      <c r="AE13" s="141"/>
      <c r="AF13" s="141"/>
      <c r="AG13" s="160" t="s">
        <v>905</v>
      </c>
      <c r="AH13" s="221" t="e">
        <f>ROUND(CuWeighted*IF(Zone=1,AreaAll,1),1)</f>
        <v>#DIV/0!</v>
      </c>
      <c r="AI13" s="222" t="e">
        <f>ROUND(CshgcWeighted*AreaAll,1)</f>
        <v>#DIV/0!</v>
      </c>
      <c r="AJ13" s="145" t="s">
        <v>906</v>
      </c>
      <c r="AK13" s="145"/>
      <c r="AL13" s="141"/>
      <c r="AM13" s="223" t="e">
        <f>IF(Zone=1,"",TEXT(CC4/AllowedCond,IF(CC4/AllowedCond&lt;0.005,"0.0%","0.0%")))</f>
        <v>#DIV/0!</v>
      </c>
      <c r="AN13" s="223" t="e">
        <f>TEXT(CD4/AllowedSHG,IF(CD4/AllowedSHG&lt;0.005,"0.0%","0.0%"))</f>
        <v>#DIV/0!</v>
      </c>
      <c r="AO13" s="141"/>
      <c r="AP13" s="141"/>
      <c r="AQ13" s="141"/>
      <c r="AR13" s="141"/>
      <c r="AS13" s="141"/>
      <c r="AT13" s="141"/>
      <c r="AU13" s="141"/>
      <c r="AV13" s="141"/>
      <c r="AW13" s="141"/>
      <c r="AX13" s="141"/>
      <c r="AY13" s="141"/>
      <c r="AZ13" s="141"/>
      <c r="BA13" s="141"/>
      <c r="BB13" s="141"/>
      <c r="BC13" s="141"/>
      <c r="BD13" s="141"/>
      <c r="BE13" s="141"/>
      <c r="BF13" s="141"/>
      <c r="BG13" s="141"/>
      <c r="BH13" s="141"/>
      <c r="BI13" s="141"/>
      <c r="BJ13" s="141"/>
      <c r="BK13" s="141"/>
      <c r="BL13" s="141"/>
      <c r="BM13" s="141"/>
      <c r="BN13" s="141"/>
      <c r="BO13" s="141"/>
      <c r="BP13" s="141"/>
      <c r="BQ13" s="141"/>
      <c r="BR13" s="141"/>
      <c r="BS13" s="141"/>
      <c r="BT13" s="141"/>
      <c r="BU13" s="141"/>
      <c r="BV13" s="141"/>
      <c r="BW13" s="141"/>
      <c r="BX13" s="141"/>
      <c r="BY13" s="141"/>
      <c r="BZ13" s="141"/>
      <c r="CA13" s="141"/>
      <c r="CB13" s="141"/>
      <c r="CC13" s="224" t="b">
        <f>IF(ISERR(FailedCondA),FALSE,AND(RowsActive&gt;0,RowsActive=RowsOK,DudTableInputs=0,FailedCondA=0))</f>
        <v>0</v>
      </c>
      <c r="CD13" s="224" t="b">
        <f>IF(ISERR(FailedSHG),FALSE,AND(RowsActive&gt;0,RowsActive=RowsOK,DudTableInputs=0,FailedSHGA=0))</f>
        <v>0</v>
      </c>
      <c r="CE13" s="154" t="s">
        <v>907</v>
      </c>
      <c r="CF13" s="141"/>
      <c r="CG13" s="141"/>
      <c r="CH13" s="141"/>
      <c r="CI13" s="141"/>
      <c r="CJ13" s="156"/>
      <c r="CK13" s="156"/>
      <c r="CL13" s="141"/>
      <c r="CM13" s="141"/>
      <c r="CN13" s="141"/>
      <c r="CO13" s="141"/>
      <c r="CP13" s="154" t="s">
        <v>908</v>
      </c>
      <c r="CQ13" s="141"/>
      <c r="CR13" s="141"/>
      <c r="CS13" s="141"/>
      <c r="CT13" s="141"/>
      <c r="CU13" s="141">
        <f>Zone</f>
        <v>5</v>
      </c>
      <c r="CV13" s="141">
        <f>IF(CU13&lt;&gt;5,Zone,IF(CU13=5,IF(CU14=" BC","5 BC",Zone)))</f>
        <v>5</v>
      </c>
      <c r="CW13" s="141">
        <f>VLOOKUP(Zone_Lookup,DD124:DE132,2)</f>
        <v>5</v>
      </c>
      <c r="CX13" s="154" t="s">
        <v>909</v>
      </c>
      <c r="CY13" s="141"/>
      <c r="CZ13" s="141"/>
      <c r="DA13" s="141"/>
      <c r="DB13" s="141"/>
      <c r="DC13" s="141"/>
      <c r="DD13" s="141"/>
      <c r="DE13" s="141"/>
      <c r="DF13" s="141"/>
      <c r="DG13" s="141"/>
      <c r="DH13" s="141"/>
      <c r="DI13" s="141"/>
      <c r="DJ13" s="141"/>
      <c r="DK13" s="141"/>
      <c r="DL13" s="141"/>
      <c r="DM13" s="141"/>
      <c r="DN13" s="141"/>
      <c r="DO13" s="141"/>
      <c r="DP13" s="141"/>
      <c r="DQ13" s="141"/>
      <c r="DR13" s="141"/>
      <c r="DS13" s="141"/>
      <c r="DT13" s="141"/>
      <c r="DU13" s="141"/>
      <c r="DV13" s="141"/>
      <c r="DW13" s="141"/>
      <c r="DX13" s="141"/>
      <c r="DY13" s="141"/>
      <c r="DZ13" s="141"/>
      <c r="EA13" s="141"/>
    </row>
    <row r="14" spans="1:131" ht="17.5" x14ac:dyDescent="0.35">
      <c r="A14" s="150"/>
      <c r="B14" s="225"/>
      <c r="C14" s="150"/>
      <c r="D14" s="150"/>
      <c r="E14" s="226" t="str">
        <f>IF(GlazingAreaAll=0,"","Area of glazing ")</f>
        <v/>
      </c>
      <c r="F14" s="227">
        <f>GlazingAreaAll</f>
        <v>0</v>
      </c>
      <c r="G14" s="228" t="str">
        <f>IF(GlazingAreaAll=0,"",IF(OR(ActiveA=TRUE,ActiveB=TRUE),"("&amp;TEXT(GlazingAreaAll/AreaAll,"0%")&amp;" of floor area)",""))</f>
        <v/>
      </c>
      <c r="H14" s="150"/>
      <c r="I14" s="150"/>
      <c r="J14" s="150"/>
      <c r="K14" s="150"/>
      <c r="L14" s="150"/>
      <c r="M14" s="150"/>
      <c r="N14" s="150"/>
      <c r="O14" s="150"/>
      <c r="P14" s="150"/>
      <c r="Q14" s="150"/>
      <c r="R14" s="150"/>
      <c r="S14" s="150"/>
      <c r="T14" s="150"/>
      <c r="U14" s="150"/>
      <c r="V14" s="150"/>
      <c r="W14" s="150"/>
      <c r="X14" s="150"/>
      <c r="Y14" s="150"/>
      <c r="Z14" s="150"/>
      <c r="AA14" s="141"/>
      <c r="AB14" s="141"/>
      <c r="AC14" s="141"/>
      <c r="AD14" s="141"/>
      <c r="AE14" s="141"/>
      <c r="AF14" s="141"/>
      <c r="AG14" s="141"/>
      <c r="AH14" s="141"/>
      <c r="AI14" s="196" t="s">
        <v>910</v>
      </c>
      <c r="AJ14" s="141"/>
      <c r="AK14" s="141"/>
      <c r="AL14" s="141"/>
      <c r="AM14" s="196" t="s">
        <v>911</v>
      </c>
      <c r="AN14" s="141"/>
      <c r="AO14" s="186"/>
      <c r="AP14" s="186"/>
      <c r="AQ14" s="186" t="s">
        <v>912</v>
      </c>
      <c r="AR14" s="196" t="s">
        <v>913</v>
      </c>
      <c r="AS14" s="145"/>
      <c r="AT14" s="141"/>
      <c r="AU14" s="141"/>
      <c r="AV14" s="196" t="s">
        <v>914</v>
      </c>
      <c r="AW14" s="145"/>
      <c r="AX14" s="141"/>
      <c r="AY14" s="196" t="s">
        <v>915</v>
      </c>
      <c r="AZ14" s="141"/>
      <c r="BA14" s="196" t="s">
        <v>916</v>
      </c>
      <c r="BB14" s="229"/>
      <c r="BC14" s="229"/>
      <c r="BD14" s="141"/>
      <c r="BE14" s="141"/>
      <c r="BF14" s="141"/>
      <c r="BG14" s="145" t="s">
        <v>917</v>
      </c>
      <c r="BH14" s="141"/>
      <c r="BI14" s="141"/>
      <c r="BJ14" s="141"/>
      <c r="BK14" s="141"/>
      <c r="BL14" s="141"/>
      <c r="BM14" s="141"/>
      <c r="BN14" s="141"/>
      <c r="BO14" s="141"/>
      <c r="BP14" s="141"/>
      <c r="BQ14" s="141"/>
      <c r="BR14" s="141"/>
      <c r="BS14" s="141"/>
      <c r="BT14" s="141"/>
      <c r="BU14" s="141"/>
      <c r="BV14" s="141"/>
      <c r="BW14" s="141"/>
      <c r="BX14" s="141"/>
      <c r="BY14" s="141"/>
      <c r="BZ14" s="141"/>
      <c r="CA14" s="141"/>
      <c r="CB14" s="141"/>
      <c r="CC14" s="160" t="s">
        <v>918</v>
      </c>
      <c r="CD14" s="218" t="s">
        <v>919</v>
      </c>
      <c r="CE14" s="141"/>
      <c r="CF14" s="141"/>
      <c r="CG14" s="141"/>
      <c r="CH14" s="141"/>
      <c r="CI14" s="141"/>
      <c r="CJ14" s="156"/>
      <c r="CK14" s="156"/>
      <c r="CL14" s="141"/>
      <c r="CM14" s="141"/>
      <c r="CN14" s="141"/>
      <c r="CO14" s="141"/>
      <c r="CP14" s="141" t="e">
        <f>IF(AreaA/(AreaA+F8)&gt;=0.5,"Slab","Timber")</f>
        <v>#DIV/0!</v>
      </c>
      <c r="CQ14" s="141"/>
      <c r="CR14" s="141"/>
      <c r="CS14" s="141">
        <f>BC_in_Z5</f>
        <v>0</v>
      </c>
      <c r="CT14" s="141"/>
      <c r="CU14" s="141" t="str">
        <f>IF(CS14="yes, full brick house"," BC","")</f>
        <v/>
      </c>
      <c r="CV14" s="141"/>
      <c r="CW14" s="141"/>
      <c r="CX14" s="141"/>
      <c r="CY14" s="141"/>
      <c r="CZ14" s="141"/>
      <c r="DA14" s="141"/>
      <c r="DB14" s="141"/>
      <c r="DC14" s="141"/>
      <c r="DD14" s="141"/>
      <c r="DE14" s="141"/>
      <c r="DF14" s="141"/>
      <c r="DG14" s="141"/>
      <c r="DH14" s="141"/>
      <c r="DI14" s="141"/>
      <c r="DJ14" s="141"/>
      <c r="DK14" s="141"/>
      <c r="DL14" s="141"/>
      <c r="DM14" s="141"/>
      <c r="DN14" s="141"/>
      <c r="DO14" s="141"/>
      <c r="DP14" s="141"/>
      <c r="DQ14" s="141"/>
      <c r="DR14" s="141"/>
      <c r="DS14" s="141"/>
      <c r="DT14" s="141"/>
      <c r="DU14" s="141"/>
      <c r="DV14" s="141"/>
      <c r="DW14" s="141"/>
      <c r="DX14" s="141"/>
      <c r="DY14" s="141"/>
      <c r="DZ14" s="141"/>
      <c r="EA14" s="141"/>
    </row>
    <row r="15" spans="1:131" ht="25.5" x14ac:dyDescent="0.55000000000000004">
      <c r="A15" s="150"/>
      <c r="B15" s="150" t="s">
        <v>920</v>
      </c>
      <c r="C15" s="150"/>
      <c r="D15" s="150"/>
      <c r="E15" s="150"/>
      <c r="F15" s="762">
        <v>5</v>
      </c>
      <c r="G15" s="228" t="str">
        <f>IF(RowsPreferred&gt;RowsAvailable,"Not possible - maximum number available is "&amp;RowsAvailable,IF(RowsPreferred&lt;MAX(1,LastActive),"Too few - rows with calculation data will be hidden",IF(RowsPreferred&lt;&gt;RowsDisplayed,"Click arrow beside 'ID'. Select only '"&amp;RowsPreferred&amp;"' on the drop-down list","(as currently displayed)")))</f>
        <v>(as currently displayed)</v>
      </c>
      <c r="H15" s="150"/>
      <c r="I15" s="150"/>
      <c r="J15" s="150"/>
      <c r="K15" s="150"/>
      <c r="L15" s="150"/>
      <c r="M15" s="150"/>
      <c r="N15" s="150"/>
      <c r="O15" s="150"/>
      <c r="P15" s="150"/>
      <c r="Q15" s="230"/>
      <c r="R15" s="150"/>
      <c r="S15" s="150"/>
      <c r="T15" s="150"/>
      <c r="U15" s="150"/>
      <c r="V15" s="150"/>
      <c r="W15" s="150"/>
      <c r="X15" s="150"/>
      <c r="Y15" s="150"/>
      <c r="Z15" s="150"/>
      <c r="AA15" s="141"/>
      <c r="AB15" s="231" t="s">
        <v>921</v>
      </c>
      <c r="AC15" s="141"/>
      <c r="AD15" s="141"/>
      <c r="AE15" s="141"/>
      <c r="AF15" s="141"/>
      <c r="AG15" s="141"/>
      <c r="AH15" s="141"/>
      <c r="AI15" s="232">
        <f>ROUND(SUMIF(AI20:AI99,TRUE,AreaUsed),1)</f>
        <v>0</v>
      </c>
      <c r="AJ15" s="145"/>
      <c r="AK15" s="145"/>
      <c r="AL15" s="141"/>
      <c r="AM15" s="165">
        <f>SUM(AM18:AN18)</f>
        <v>0</v>
      </c>
      <c r="AN15" s="141"/>
      <c r="AO15" s="141"/>
      <c r="AP15" s="141"/>
      <c r="AQ15" s="233">
        <f>SUM(AP18:AQ18)</f>
        <v>0</v>
      </c>
      <c r="AR15" s="233">
        <f>SUM(AR18:AU18)</f>
        <v>0</v>
      </c>
      <c r="AS15" s="141"/>
      <c r="AT15" s="141"/>
      <c r="AU15" s="141"/>
      <c r="AV15" s="165">
        <f>SUM(AV18:AX18)</f>
        <v>0</v>
      </c>
      <c r="AW15" s="141"/>
      <c r="AX15" s="141"/>
      <c r="AY15" s="165">
        <f>SUM(NoSector,DudSize,DudPerformance,DudShading,Dudfactors)</f>
        <v>0</v>
      </c>
      <c r="AZ15" s="141"/>
      <c r="BA15" s="234" t="b">
        <f>AND(RowsActive&gt;0,DudTableInputs=0,InputIssues=0,ConductanceAccess&gt;0,FACT_AFF=0)</f>
        <v>0</v>
      </c>
      <c r="BB15" s="235" t="s">
        <v>922</v>
      </c>
      <c r="BC15" s="235"/>
      <c r="BD15" s="141"/>
      <c r="BE15" s="141"/>
      <c r="BF15" s="141"/>
      <c r="BG15" s="165">
        <f>SUMIF(AI20:AI99,FALSE,AJ20:AJ99)</f>
        <v>0</v>
      </c>
      <c r="BH15" s="141"/>
      <c r="BI15" s="141"/>
      <c r="BJ15" s="141"/>
      <c r="BK15" s="141"/>
      <c r="BL15" s="141"/>
      <c r="BM15" s="141"/>
      <c r="BN15" s="141" t="e">
        <f>INDEX(ExposuresSummer,MATCH($BI20,Projections,1),MATCH($BM20,Directions,0),Zone_Col)</f>
        <v>#N/A</v>
      </c>
      <c r="BO15" s="141">
        <f>IF(AND($AY20=TRUE,Zone=0),10,IF(OR($BM20=0,$BM20=FALSE),0,IF(Slab_or_Timb="Slab",INDEX(ExposuresSummer,MATCH($BJ20,Projections,1),MATCH($BM20,Directions,0),Zone_Col),INDEX(ExposuresSummerTimber,MATCH($BJ20,Projections,1),MATCH($BM20,Directions,0),Zone_Col))))</f>
        <v>0</v>
      </c>
      <c r="BP15" s="141"/>
      <c r="BQ15" s="141"/>
      <c r="BR15" s="141"/>
      <c r="BS15" s="141"/>
      <c r="BT15" s="141"/>
      <c r="BU15" s="141"/>
      <c r="BV15" s="141"/>
      <c r="BW15" s="141">
        <f>IF(AND($AY20=TRUE,Zone=0),10,IF(OR($BM20=0,$BM20=FALSE),0,IF(Slab_or_Timb="Slab",INDEX(ExposuresWinter,MATCH($BI20,Projections,1),MATCH($BM20,Directions,0),Zone_Col),INDEX(ExposuresWinterTimber,MATCH($BI20,Projections,1),MATCH($BM20,Directions,0),Zone_Col))))</f>
        <v>0</v>
      </c>
      <c r="BX15" s="141">
        <f>IF(AND($AY20=TRUE,Zone=0),10,IF(OR($BM20=0,$BM20=FALSE),0,IF(Slab_or_Timb="Slab",INDEX(ExposuresWinter,MATCH($BJ20,Projections,1),MATCH($BM20,Directions,0),Zone_Col),INDEX(ExposuresWinterTimber,MATCH($BJ20,Projections,1),MATCH($BM20,Directions,0),Zone_Col))))</f>
        <v>0</v>
      </c>
      <c r="BY15" s="141"/>
      <c r="BZ15" s="141" t="s">
        <v>923</v>
      </c>
      <c r="CA15" s="141"/>
      <c r="CB15" s="141"/>
      <c r="CC15" s="141"/>
      <c r="CD15" s="141"/>
      <c r="CE15" s="141"/>
      <c r="CF15" s="141"/>
      <c r="CG15" s="141"/>
      <c r="CH15" s="141"/>
      <c r="CI15" s="141"/>
      <c r="CJ15" s="141"/>
      <c r="CK15" s="141"/>
      <c r="CL15" s="141"/>
      <c r="CM15" s="141"/>
      <c r="CN15" s="141"/>
      <c r="CO15" s="141"/>
      <c r="CP15" s="154" t="s">
        <v>924</v>
      </c>
      <c r="CQ15" s="141"/>
      <c r="CR15" s="141"/>
      <c r="CS15" s="141"/>
      <c r="CT15" s="141"/>
      <c r="CU15" s="141"/>
      <c r="CV15" s="141"/>
      <c r="CW15" s="141"/>
      <c r="CX15" s="141"/>
      <c r="CY15" s="141"/>
      <c r="CZ15" s="141"/>
      <c r="DA15" s="141"/>
      <c r="DB15" s="141"/>
      <c r="DC15" s="141"/>
      <c r="DD15" s="141"/>
      <c r="DE15" s="141"/>
      <c r="DF15" s="141"/>
      <c r="DG15" s="141"/>
      <c r="DH15" s="141"/>
      <c r="DI15" s="141"/>
      <c r="DJ15" s="141"/>
      <c r="DK15" s="141"/>
      <c r="DL15" s="141"/>
      <c r="DM15" s="141"/>
      <c r="DN15" s="141"/>
      <c r="DO15" s="141"/>
      <c r="DP15" s="141"/>
      <c r="DQ15" s="141"/>
      <c r="DR15" s="141"/>
      <c r="DS15" s="141"/>
      <c r="DT15" s="141"/>
      <c r="DU15" s="141"/>
      <c r="DV15" s="141"/>
      <c r="DW15" s="141"/>
      <c r="DX15" s="141"/>
      <c r="DY15" s="141"/>
      <c r="DZ15" s="141"/>
      <c r="EA15" s="141"/>
    </row>
    <row r="16" spans="1:131" ht="36.75" customHeight="1" thickBot="1" x14ac:dyDescent="0.4">
      <c r="A16" s="150"/>
      <c r="B16" s="150"/>
      <c r="C16" s="150"/>
      <c r="D16" s="150"/>
      <c r="E16" s="150"/>
      <c r="F16" s="150"/>
      <c r="G16" s="150"/>
      <c r="H16" s="150"/>
      <c r="I16" s="150"/>
      <c r="J16" s="236"/>
      <c r="K16" s="236"/>
      <c r="L16" s="236"/>
      <c r="M16" s="236"/>
      <c r="N16" s="236"/>
      <c r="O16" s="150"/>
      <c r="P16" s="150"/>
      <c r="Q16" s="150"/>
      <c r="R16" s="150"/>
      <c r="S16" s="150"/>
      <c r="T16" s="150"/>
      <c r="U16" s="150"/>
      <c r="V16" s="150"/>
      <c r="W16" s="150"/>
      <c r="X16" s="150"/>
      <c r="Y16" s="150"/>
      <c r="Z16" s="150"/>
      <c r="AA16" s="141"/>
      <c r="AB16" s="141"/>
      <c r="AC16" s="141"/>
      <c r="AD16" s="141"/>
      <c r="AE16" s="141"/>
      <c r="AF16" s="141"/>
      <c r="AG16" s="1572" t="s">
        <v>925</v>
      </c>
      <c r="AH16" s="141"/>
      <c r="AI16" s="141"/>
      <c r="AJ16" s="141"/>
      <c r="AK16" s="141"/>
      <c r="AL16" s="160"/>
      <c r="AM16" s="145"/>
      <c r="AN16" s="141"/>
      <c r="AO16" s="186"/>
      <c r="AP16" s="186"/>
      <c r="AQ16" s="186"/>
      <c r="AR16" s="145"/>
      <c r="AS16" s="145"/>
      <c r="AT16" s="141"/>
      <c r="AU16" s="141"/>
      <c r="AV16" s="145"/>
      <c r="AW16" s="145"/>
      <c r="AX16" s="141"/>
      <c r="AY16" s="145"/>
      <c r="AZ16" s="141"/>
      <c r="BA16" s="141"/>
      <c r="BB16" s="141"/>
      <c r="BC16" s="141"/>
      <c r="BD16" s="141"/>
      <c r="BE16" s="141"/>
      <c r="BF16" s="141"/>
      <c r="BG16" s="218"/>
      <c r="BH16" s="141"/>
      <c r="BI16" s="141"/>
      <c r="BJ16" s="141"/>
      <c r="BK16" s="141"/>
      <c r="BL16" s="141"/>
      <c r="BM16" s="141"/>
      <c r="BN16" s="141">
        <f>IF(AND($AY20=TRUE,Zone=0),10,IF(OR($BM20=0,$BM20=FALSE),0,INDEX(ExposuresSummer,MATCH($BI20,Projections,1),MATCH($BM20,Directions,0),Zone_Col)))</f>
        <v>0</v>
      </c>
      <c r="BO16" s="141">
        <f>IF(AND($AY20=TRUE,Zone=0),10,IF(OR($BM20=0,$BM20=FALSE),0,INDEX(ExposuresSummer,MATCH($BJ20,Projections,1),MATCH($BM20,Directions,0),Zone_Col)))</f>
        <v>0</v>
      </c>
      <c r="BP16" s="141"/>
      <c r="BQ16" s="237"/>
      <c r="BR16" s="237"/>
      <c r="BS16" s="237"/>
      <c r="BT16" s="237"/>
      <c r="BU16" s="237"/>
      <c r="BV16" s="237"/>
      <c r="BW16" s="237"/>
      <c r="BX16" s="237"/>
      <c r="BY16" s="237"/>
      <c r="BZ16" s="237"/>
      <c r="CA16" s="237"/>
      <c r="CB16" s="237"/>
      <c r="CC16" s="237"/>
      <c r="CD16" s="237"/>
      <c r="CE16" s="237"/>
      <c r="CF16" s="141"/>
      <c r="CG16" s="141"/>
      <c r="CH16" s="141"/>
      <c r="CI16" s="141"/>
      <c r="CJ16" s="141"/>
      <c r="CK16" s="141"/>
      <c r="CL16" s="141"/>
      <c r="CM16" s="141"/>
      <c r="CN16" s="141"/>
      <c r="CO16" s="141"/>
      <c r="CP16" s="154" t="s">
        <v>926</v>
      </c>
      <c r="CQ16" s="141"/>
      <c r="CR16" s="141"/>
      <c r="CS16" s="141"/>
      <c r="CT16" s="141"/>
      <c r="CU16" s="141"/>
      <c r="CV16" s="141"/>
      <c r="CW16" s="141">
        <f>HLOOKUP($CV$13,S_Slab_Fact,2)</f>
        <v>0.45</v>
      </c>
      <c r="CX16" s="141"/>
      <c r="CY16" s="141"/>
      <c r="CZ16" s="141"/>
      <c r="DA16" s="141"/>
      <c r="DB16" s="141"/>
      <c r="DC16" s="141"/>
      <c r="DD16" s="141"/>
      <c r="DE16" s="141"/>
      <c r="DF16" s="141"/>
      <c r="DG16" s="141"/>
      <c r="DH16" s="141"/>
      <c r="DI16" s="141"/>
      <c r="DJ16" s="141"/>
      <c r="DK16" s="141"/>
      <c r="DL16" s="141"/>
      <c r="DM16" s="141"/>
      <c r="DN16" s="141"/>
      <c r="DO16" s="141"/>
      <c r="DP16" s="141"/>
      <c r="DQ16" s="141"/>
      <c r="DR16" s="141"/>
      <c r="DS16" s="141"/>
      <c r="DT16" s="141"/>
      <c r="DU16" s="141"/>
      <c r="DV16" s="141"/>
      <c r="DW16" s="141"/>
      <c r="DX16" s="141"/>
      <c r="DY16" s="141"/>
      <c r="DZ16" s="141"/>
      <c r="EA16" s="141"/>
    </row>
    <row r="17" spans="1:131" ht="18" x14ac:dyDescent="0.35">
      <c r="A17" s="150"/>
      <c r="B17" s="875" t="str">
        <f>IF(AND(TopInputsOK=TRUE,TableEntries&gt;=RowsActive),"ENTER GLAZING DETAILS IN THIS TABLE. Input above and arrow at 'ID' alters number of rows.","Glazing elements, orientation sector, size and performance characteristics")</f>
        <v>Glazing elements, orientation sector, size and performance characteristics</v>
      </c>
      <c r="C17" s="876"/>
      <c r="D17" s="876"/>
      <c r="E17" s="876"/>
      <c r="F17" s="877"/>
      <c r="G17" s="877"/>
      <c r="H17" s="877"/>
      <c r="I17" s="877"/>
      <c r="J17" s="877"/>
      <c r="K17" s="877"/>
      <c r="L17" s="877"/>
      <c r="M17" s="877"/>
      <c r="N17" s="877"/>
      <c r="O17" s="877"/>
      <c r="P17" s="878"/>
      <c r="Q17" s="879" t="s">
        <v>927</v>
      </c>
      <c r="R17" s="878"/>
      <c r="S17" s="879" t="s">
        <v>928</v>
      </c>
      <c r="T17" s="879"/>
      <c r="U17" s="880"/>
      <c r="V17" s="1573" t="s">
        <v>792</v>
      </c>
      <c r="W17" s="1574"/>
      <c r="X17" s="1573" t="s">
        <v>929</v>
      </c>
      <c r="Y17" s="1575"/>
      <c r="Z17" s="150"/>
      <c r="AA17" s="141"/>
      <c r="AB17" s="218" t="s">
        <v>930</v>
      </c>
      <c r="AC17" s="141"/>
      <c r="AD17" s="141"/>
      <c r="AE17" s="141"/>
      <c r="AF17" s="141"/>
      <c r="AG17" s="1572"/>
      <c r="AH17" s="160" t="s">
        <v>931</v>
      </c>
      <c r="AI17" s="145" t="s">
        <v>932</v>
      </c>
      <c r="AJ17" s="218" t="s">
        <v>933</v>
      </c>
      <c r="AK17" s="218"/>
      <c r="AL17" s="160" t="s">
        <v>934</v>
      </c>
      <c r="AM17" s="1311" t="s">
        <v>935</v>
      </c>
      <c r="AN17" s="1312"/>
      <c r="AO17" s="1313"/>
      <c r="AP17" s="1312"/>
      <c r="AQ17" s="1312"/>
      <c r="AR17" s="1311" t="str">
        <f>O18</f>
        <v>Performance</v>
      </c>
      <c r="AS17" s="1314"/>
      <c r="AT17" s="1313"/>
      <c r="AU17" s="1312"/>
      <c r="AV17" s="1311" t="str">
        <f>Q17</f>
        <v>Shading</v>
      </c>
      <c r="AW17" s="1314"/>
      <c r="AX17" s="1313"/>
      <c r="AY17" s="145" t="s">
        <v>936</v>
      </c>
      <c r="AZ17" s="141"/>
      <c r="BA17" s="196" t="s">
        <v>937</v>
      </c>
      <c r="BB17" s="141"/>
      <c r="BC17" s="141"/>
      <c r="BD17" s="238"/>
      <c r="BE17" s="141"/>
      <c r="BF17" s="141"/>
      <c r="BG17" s="218" t="s">
        <v>938</v>
      </c>
      <c r="BH17" s="141"/>
      <c r="BI17" s="239" t="s">
        <v>939</v>
      </c>
      <c r="BJ17" s="141"/>
      <c r="BK17" s="141"/>
      <c r="BL17" s="141"/>
      <c r="BM17" s="141"/>
      <c r="BN17" s="141"/>
      <c r="BO17" s="141"/>
      <c r="BP17" s="141"/>
      <c r="BQ17" s="141"/>
      <c r="BR17" s="141"/>
      <c r="BS17" s="141"/>
      <c r="BT17" s="141"/>
      <c r="BU17" s="141"/>
      <c r="BV17" s="141"/>
      <c r="BW17" s="141"/>
      <c r="BX17" s="141"/>
      <c r="BY17" s="141"/>
      <c r="BZ17" s="141"/>
      <c r="CA17" s="141"/>
      <c r="CB17" s="141"/>
      <c r="CC17" s="240">
        <f>CC4*ConductanceAccess</f>
        <v>0</v>
      </c>
      <c r="CD17" s="229" t="e">
        <f>CC17/ConductanceAccess</f>
        <v>#DIV/0!</v>
      </c>
      <c r="CE17" s="223" t="e">
        <f>CD17/AllowanceCuA</f>
        <v>#DIV/0!</v>
      </c>
      <c r="CF17" s="141"/>
      <c r="CG17" s="141"/>
      <c r="CH17" s="141"/>
      <c r="CI17" s="141"/>
      <c r="CJ17" s="141"/>
      <c r="CK17" s="141"/>
      <c r="CL17" s="141"/>
      <c r="CM17" s="141"/>
      <c r="CN17" s="141"/>
      <c r="CO17" s="141"/>
      <c r="CP17" s="141"/>
      <c r="CQ17" s="141"/>
      <c r="CR17" s="141"/>
      <c r="CS17" s="141"/>
      <c r="CT17" s="141"/>
      <c r="CU17" s="241" t="e">
        <f t="shared" ref="CU17:CV17" si="0">CT101</f>
        <v>#DIV/0!</v>
      </c>
      <c r="CV17" s="241" t="str">
        <f t="shared" si="0"/>
        <v>Openable Area %</v>
      </c>
      <c r="CW17" s="242"/>
      <c r="CX17" s="141"/>
      <c r="CY17" s="141"/>
      <c r="CZ17" s="141"/>
      <c r="DA17" s="141"/>
      <c r="DB17" s="141"/>
      <c r="DC17" s="141"/>
      <c r="DD17" s="141"/>
      <c r="DE17" s="141"/>
      <c r="DF17" s="141"/>
      <c r="DG17" s="141"/>
      <c r="DH17" s="141"/>
      <c r="DI17" s="141"/>
      <c r="DJ17" s="141"/>
      <c r="DK17" s="141"/>
      <c r="DL17" s="141"/>
      <c r="DM17" s="141"/>
      <c r="DN17" s="141"/>
      <c r="DO17" s="141"/>
      <c r="DP17" s="141"/>
      <c r="DQ17" s="141"/>
      <c r="DR17" s="141"/>
      <c r="DS17" s="141"/>
      <c r="DT17" s="141"/>
      <c r="DU17" s="141"/>
      <c r="DV17" s="141"/>
      <c r="DW17" s="141"/>
      <c r="DX17" s="141"/>
      <c r="DY17" s="141"/>
      <c r="DZ17" s="141"/>
      <c r="EA17" s="141"/>
    </row>
    <row r="18" spans="1:131" ht="36.5" thickBot="1" x14ac:dyDescent="0.45">
      <c r="A18" s="150"/>
      <c r="B18" s="773" t="s">
        <v>940</v>
      </c>
      <c r="C18" s="774"/>
      <c r="D18" s="775"/>
      <c r="E18" s="1315"/>
      <c r="F18" s="1316" t="s">
        <v>941</v>
      </c>
      <c r="G18" s="1576" t="s">
        <v>935</v>
      </c>
      <c r="H18" s="1563"/>
      <c r="I18" s="1577"/>
      <c r="J18" s="1576" t="s">
        <v>942</v>
      </c>
      <c r="K18" s="1563"/>
      <c r="L18" s="1563"/>
      <c r="M18" s="1563"/>
      <c r="N18" s="1577"/>
      <c r="O18" s="776" t="s">
        <v>65</v>
      </c>
      <c r="P18" s="881"/>
      <c r="Q18" s="776" t="s">
        <v>943</v>
      </c>
      <c r="R18" s="881"/>
      <c r="S18" s="776" t="s">
        <v>944</v>
      </c>
      <c r="T18" s="1317"/>
      <c r="U18" s="882" t="s">
        <v>935</v>
      </c>
      <c r="V18" s="1578" t="str">
        <f>IFERROR(IF(Zone=1,"Conduction / Solar gain Not Required","Conduction / Solar gain "&amp;IF(AllInputsOK=FALSE,"",IF(FailedConductance=0," - PASSED "," - FAILED "))&amp;Cu_achieved),"")</f>
        <v/>
      </c>
      <c r="W18" s="1579"/>
      <c r="X18" s="1578" t="str">
        <f>IFERROR(IF(Zone=8,"no requirement in Climate 8","Solar heat gain "&amp;IF(AllInputsOK=FALSE,"",IF(FailedSHG=0," - PASSED "," - FAILED "))&amp;C_shgc_achieved),"")</f>
        <v/>
      </c>
      <c r="Y18" s="1580"/>
      <c r="Z18" s="150"/>
      <c r="AA18" s="141"/>
      <c r="AB18" s="243">
        <f t="array" ref="AB18">MAX(IF(AI20:AI99=TRUE,Rows))</f>
        <v>0</v>
      </c>
      <c r="AC18" s="141"/>
      <c r="AD18" s="141"/>
      <c r="AE18" s="141"/>
      <c r="AF18" s="141"/>
      <c r="AG18" s="1572"/>
      <c r="AH18" s="1136">
        <f>SUM(AH20:AH99)</f>
        <v>0</v>
      </c>
      <c r="AI18" s="1137">
        <f>COUNTIF(AI20:AI99,TRUE)</f>
        <v>0</v>
      </c>
      <c r="AJ18" s="1136">
        <f>COUNTIF(AJ20:AJ99,"&gt;0")</f>
        <v>0</v>
      </c>
      <c r="AK18" s="1137">
        <f t="shared" ref="AK18:AX18" si="1">COUNTIF(AK20:AK99,TRUE)</f>
        <v>0</v>
      </c>
      <c r="AL18" s="1138">
        <f>COUNTIF(AL20:AL99,TRUE)</f>
        <v>0</v>
      </c>
      <c r="AM18" s="1139">
        <f t="shared" si="1"/>
        <v>0</v>
      </c>
      <c r="AN18" s="1140">
        <f t="shared" si="1"/>
        <v>0</v>
      </c>
      <c r="AO18" s="1141"/>
      <c r="AP18" s="1142">
        <f>COUNTIF(AP20:AP99,TRUE)</f>
        <v>0</v>
      </c>
      <c r="AQ18" s="1142">
        <f>COUNTIF(AQ20:AQ99,TRUE)</f>
        <v>0</v>
      </c>
      <c r="AR18" s="1142">
        <f>COUNTIF(AR20:AR99,TRUE)</f>
        <v>0</v>
      </c>
      <c r="AS18" s="1143"/>
      <c r="AT18" s="1144">
        <f t="shared" si="1"/>
        <v>0</v>
      </c>
      <c r="AU18" s="1144">
        <f t="shared" si="1"/>
        <v>0</v>
      </c>
      <c r="AV18" s="1139">
        <f>COUNTIF(AV20:AV99,TRUE)</f>
        <v>0</v>
      </c>
      <c r="AW18" s="1140">
        <f t="shared" si="1"/>
        <v>0</v>
      </c>
      <c r="AX18" s="1145">
        <f t="shared" si="1"/>
        <v>0</v>
      </c>
      <c r="AY18" s="244">
        <f>COUNTIF(AY20:AY99,TRUE)</f>
        <v>0</v>
      </c>
      <c r="AZ18" s="141"/>
      <c r="BA18" s="165">
        <f>SUM(BA20:BA99)+UpperInputsIssues</f>
        <v>0</v>
      </c>
      <c r="BB18" s="145"/>
      <c r="BC18" s="145"/>
      <c r="BD18" s="238"/>
      <c r="BE18" s="245"/>
      <c r="BF18" s="245"/>
      <c r="BG18" s="165">
        <f>COUNTIF(BG20:BG99,TRUE)</f>
        <v>0</v>
      </c>
      <c r="BH18" s="141"/>
      <c r="BI18" s="239" t="s">
        <v>945</v>
      </c>
      <c r="BJ18" s="141"/>
      <c r="BK18" s="141"/>
      <c r="BL18" s="141"/>
      <c r="BM18" s="141"/>
      <c r="BN18" s="141"/>
      <c r="BO18" s="141"/>
      <c r="BP18" s="141"/>
      <c r="BQ18" s="141"/>
      <c r="BR18" s="141"/>
      <c r="BS18" s="239" t="s">
        <v>946</v>
      </c>
      <c r="BT18" s="141"/>
      <c r="BU18" s="141"/>
      <c r="BV18" s="141"/>
      <c r="BW18" s="239" t="s">
        <v>947</v>
      </c>
      <c r="BX18" s="141"/>
      <c r="BY18" s="141"/>
      <c r="BZ18" s="141"/>
      <c r="CA18" s="246">
        <f>IF(Zone=1,1,SUM(CA20:CA99))</f>
        <v>0</v>
      </c>
      <c r="CB18" s="141"/>
      <c r="CC18" s="239" t="s">
        <v>948</v>
      </c>
      <c r="CD18" s="247"/>
      <c r="CE18" s="141"/>
      <c r="CF18" s="141"/>
      <c r="CG18" s="141"/>
      <c r="CH18" s="141"/>
      <c r="CI18" s="141"/>
      <c r="CJ18" s="141"/>
      <c r="CK18" s="141"/>
      <c r="CL18" s="248" t="s">
        <v>949</v>
      </c>
      <c r="CM18" s="248" t="s">
        <v>950</v>
      </c>
      <c r="CN18" s="249" t="s">
        <v>951</v>
      </c>
      <c r="CO18" s="249"/>
      <c r="CP18" s="239" t="s">
        <v>952</v>
      </c>
      <c r="CQ18" s="141"/>
      <c r="CR18" s="141"/>
      <c r="CS18" s="141"/>
      <c r="CT18" s="141"/>
      <c r="CU18" s="141"/>
      <c r="CV18" s="141"/>
      <c r="CW18" s="239" t="s">
        <v>953</v>
      </c>
      <c r="CX18" s="141"/>
      <c r="CY18" s="141"/>
      <c r="CZ18" s="141"/>
      <c r="DA18" s="141"/>
      <c r="DB18" s="141"/>
      <c r="DC18" s="141"/>
      <c r="DD18" s="141"/>
      <c r="DE18" s="141"/>
      <c r="DF18" s="141"/>
      <c r="DG18" s="239" t="s">
        <v>954</v>
      </c>
      <c r="DH18" s="141"/>
      <c r="DI18" s="141"/>
      <c r="DJ18" s="141"/>
      <c r="DK18" s="141"/>
      <c r="DL18" s="141"/>
      <c r="DM18" s="141"/>
      <c r="DN18" s="141"/>
      <c r="DO18" s="239" t="s">
        <v>955</v>
      </c>
      <c r="DP18" s="141"/>
      <c r="DQ18" s="141"/>
      <c r="DR18" s="141"/>
      <c r="DS18" s="141"/>
      <c r="DT18" s="141"/>
      <c r="DU18" s="141"/>
      <c r="DV18" s="141"/>
      <c r="DW18" s="141"/>
      <c r="DX18" s="141"/>
      <c r="DY18" s="141"/>
      <c r="DZ18" s="141"/>
      <c r="EA18" s="141"/>
    </row>
    <row r="19" spans="1:131" ht="100.5" customHeight="1" thickTop="1" thickBot="1" x14ac:dyDescent="0.45">
      <c r="A19" s="150"/>
      <c r="B19" s="777" t="str">
        <f>IF(RowsDisplayed=RowsPreferred,"","     rows")</f>
        <v/>
      </c>
      <c r="C19" s="1318" t="s">
        <v>956</v>
      </c>
      <c r="D19" s="1563" t="s">
        <v>957</v>
      </c>
      <c r="E19" s="1564"/>
      <c r="F19" s="1316" t="s">
        <v>62</v>
      </c>
      <c r="G19" s="1316" t="s">
        <v>958</v>
      </c>
      <c r="H19" s="1316" t="s">
        <v>959</v>
      </c>
      <c r="I19" s="1316" t="s">
        <v>960</v>
      </c>
      <c r="J19" s="1316" t="s">
        <v>961</v>
      </c>
      <c r="K19" s="1316" t="s">
        <v>962</v>
      </c>
      <c r="L19" s="1316" t="s">
        <v>963</v>
      </c>
      <c r="M19" s="1316" t="s">
        <v>964</v>
      </c>
      <c r="N19" s="1316" t="s">
        <v>965</v>
      </c>
      <c r="O19" s="1316" t="s">
        <v>966</v>
      </c>
      <c r="P19" s="1316" t="s">
        <v>967</v>
      </c>
      <c r="Q19" s="1316" t="s">
        <v>968</v>
      </c>
      <c r="R19" s="1316" t="s">
        <v>969</v>
      </c>
      <c r="S19" s="1316" t="s">
        <v>970</v>
      </c>
      <c r="T19" s="1319" t="s">
        <v>971</v>
      </c>
      <c r="U19" s="1316" t="s">
        <v>972</v>
      </c>
      <c r="V19" s="1316" t="s">
        <v>973</v>
      </c>
      <c r="W19" s="1316" t="s">
        <v>974</v>
      </c>
      <c r="X19" s="1316" t="s">
        <v>975</v>
      </c>
      <c r="Y19" s="772" t="s">
        <v>976</v>
      </c>
      <c r="Z19" s="150"/>
      <c r="AA19" s="141"/>
      <c r="AB19" s="250" t="s">
        <v>885</v>
      </c>
      <c r="AC19" s="250" t="s">
        <v>977</v>
      </c>
      <c r="AD19" s="251" t="s">
        <v>978</v>
      </c>
      <c r="AE19" s="252"/>
      <c r="AF19" s="252"/>
      <c r="AG19" s="141">
        <f>SUM(AG20:AG99)</f>
        <v>0</v>
      </c>
      <c r="AH19" s="883" t="s">
        <v>979</v>
      </c>
      <c r="AI19" s="883" t="s">
        <v>980</v>
      </c>
      <c r="AJ19" s="883" t="s">
        <v>981</v>
      </c>
      <c r="AK19" s="884" t="s">
        <v>982</v>
      </c>
      <c r="AL19" s="885" t="s">
        <v>983</v>
      </c>
      <c r="AM19" s="885" t="s">
        <v>984</v>
      </c>
      <c r="AN19" s="886" t="s">
        <v>985</v>
      </c>
      <c r="AO19" s="887" t="s">
        <v>986</v>
      </c>
      <c r="AP19" s="885" t="s">
        <v>987</v>
      </c>
      <c r="AQ19" s="885" t="s">
        <v>988</v>
      </c>
      <c r="AR19" s="885" t="s">
        <v>989</v>
      </c>
      <c r="AS19" s="885" t="s">
        <v>990</v>
      </c>
      <c r="AT19" s="885" t="s">
        <v>991</v>
      </c>
      <c r="AU19" s="888" t="s">
        <v>992</v>
      </c>
      <c r="AV19" s="888" t="s">
        <v>993</v>
      </c>
      <c r="AW19" s="885" t="s">
        <v>994</v>
      </c>
      <c r="AX19" s="888" t="s">
        <v>995</v>
      </c>
      <c r="AY19" s="883" t="s">
        <v>996</v>
      </c>
      <c r="AZ19" s="883" t="s">
        <v>997</v>
      </c>
      <c r="BA19" s="883" t="s">
        <v>998</v>
      </c>
      <c r="BB19" s="883" t="s">
        <v>999</v>
      </c>
      <c r="BC19" s="883" t="s">
        <v>1000</v>
      </c>
      <c r="BD19" s="889" t="s">
        <v>1001</v>
      </c>
      <c r="BE19" s="890" t="s">
        <v>1002</v>
      </c>
      <c r="BF19" s="890" t="s">
        <v>1003</v>
      </c>
      <c r="BG19" s="888" t="s">
        <v>1004</v>
      </c>
      <c r="BH19" s="141" t="s">
        <v>1005</v>
      </c>
      <c r="BI19" s="891" t="s">
        <v>1006</v>
      </c>
      <c r="BJ19" s="892" t="s">
        <v>1007</v>
      </c>
      <c r="BK19" s="892" t="s">
        <v>1008</v>
      </c>
      <c r="BL19" s="892" t="s">
        <v>1009</v>
      </c>
      <c r="BM19" s="892" t="s">
        <v>1010</v>
      </c>
      <c r="BN19" s="892" t="s">
        <v>1011</v>
      </c>
      <c r="BO19" s="892" t="s">
        <v>1012</v>
      </c>
      <c r="BP19" s="892" t="s">
        <v>1013</v>
      </c>
      <c r="BQ19" s="893" t="s">
        <v>1014</v>
      </c>
      <c r="BR19" s="141" t="s">
        <v>1015</v>
      </c>
      <c r="BS19" s="253" t="s">
        <v>1006</v>
      </c>
      <c r="BT19" s="253" t="s">
        <v>1007</v>
      </c>
      <c r="BU19" s="253" t="s">
        <v>1008</v>
      </c>
      <c r="BV19" s="253" t="s">
        <v>1009</v>
      </c>
      <c r="BW19" s="891" t="s">
        <v>1016</v>
      </c>
      <c r="BX19" s="892" t="s">
        <v>1017</v>
      </c>
      <c r="BY19" s="892" t="s">
        <v>1018</v>
      </c>
      <c r="BZ19" s="892" t="s">
        <v>1019</v>
      </c>
      <c r="CA19" s="893" t="s">
        <v>1020</v>
      </c>
      <c r="CB19" s="141" t="s">
        <v>1021</v>
      </c>
      <c r="CC19" s="891" t="s">
        <v>1022</v>
      </c>
      <c r="CD19" s="892" t="s">
        <v>1023</v>
      </c>
      <c r="CE19" s="894" t="s">
        <v>1024</v>
      </c>
      <c r="CF19" s="892" t="s">
        <v>1025</v>
      </c>
      <c r="CG19" s="895" t="s">
        <v>1026</v>
      </c>
      <c r="CH19" s="895" t="s">
        <v>1027</v>
      </c>
      <c r="CI19" s="892" t="s">
        <v>1028</v>
      </c>
      <c r="CJ19" s="893" t="s">
        <v>1029</v>
      </c>
      <c r="CK19" s="141" t="s">
        <v>1030</v>
      </c>
      <c r="CL19" s="141" t="s">
        <v>1031</v>
      </c>
      <c r="CM19" s="254" t="s">
        <v>1032</v>
      </c>
      <c r="CN19" s="141"/>
      <c r="CO19" s="141"/>
      <c r="CP19" s="893" t="s">
        <v>1033</v>
      </c>
      <c r="CQ19" s="893" t="s">
        <v>1034</v>
      </c>
      <c r="CR19" s="893" t="s">
        <v>1035</v>
      </c>
      <c r="CS19" s="253" t="s">
        <v>1036</v>
      </c>
      <c r="CT19" s="893" t="s">
        <v>1037</v>
      </c>
      <c r="CU19" s="893" t="s">
        <v>1038</v>
      </c>
      <c r="CV19" s="141"/>
      <c r="CW19" s="893" t="s">
        <v>1039</v>
      </c>
      <c r="CX19" s="893" t="s">
        <v>1040</v>
      </c>
      <c r="CY19" s="893" t="s">
        <v>1041</v>
      </c>
      <c r="CZ19" s="893" t="s">
        <v>1042</v>
      </c>
      <c r="DA19" s="893" t="s">
        <v>1043</v>
      </c>
      <c r="DB19" s="893" t="s">
        <v>1044</v>
      </c>
      <c r="DC19" s="893" t="s">
        <v>1045</v>
      </c>
      <c r="DD19" s="141"/>
      <c r="DE19" s="893" t="s">
        <v>1046</v>
      </c>
      <c r="DF19" s="893" t="s">
        <v>1047</v>
      </c>
      <c r="DG19" s="893" t="s">
        <v>1048</v>
      </c>
      <c r="DH19" s="893" t="s">
        <v>1049</v>
      </c>
      <c r="DI19" s="893" t="s">
        <v>1050</v>
      </c>
      <c r="DJ19" s="893" t="s">
        <v>1051</v>
      </c>
      <c r="DK19" s="141"/>
      <c r="DL19" s="141"/>
      <c r="DM19" s="141"/>
      <c r="DN19" s="893" t="s">
        <v>1052</v>
      </c>
      <c r="DO19" s="893" t="s">
        <v>1053</v>
      </c>
      <c r="DP19" s="893" t="s">
        <v>1054</v>
      </c>
      <c r="DQ19" s="893" t="s">
        <v>1055</v>
      </c>
      <c r="DR19" s="893" t="s">
        <v>1056</v>
      </c>
      <c r="DS19" s="893" t="s">
        <v>1057</v>
      </c>
      <c r="DT19" s="893" t="s">
        <v>1058</v>
      </c>
      <c r="DU19" s="893" t="s">
        <v>1059</v>
      </c>
      <c r="DV19" s="141"/>
      <c r="DW19" s="254" t="s">
        <v>1060</v>
      </c>
      <c r="DX19" s="254" t="s">
        <v>1061</v>
      </c>
      <c r="DY19" s="254" t="s">
        <v>1062</v>
      </c>
      <c r="DZ19" s="254" t="s">
        <v>1063</v>
      </c>
      <c r="EA19" s="254" t="s">
        <v>965</v>
      </c>
    </row>
    <row r="20" spans="1:131" ht="18.5" thickBot="1" x14ac:dyDescent="0.45">
      <c r="A20" s="150"/>
      <c r="B20" s="255">
        <f>AC20</f>
        <v>5</v>
      </c>
      <c r="C20" s="1146">
        <v>1</v>
      </c>
      <c r="D20" s="1557"/>
      <c r="E20" s="1562"/>
      <c r="F20" s="951"/>
      <c r="G20" s="1101"/>
      <c r="H20" s="952"/>
      <c r="I20" s="1320"/>
      <c r="J20" s="1321"/>
      <c r="K20" s="1322"/>
      <c r="L20" s="1322"/>
      <c r="M20" s="1322"/>
      <c r="N20" s="1323"/>
      <c r="O20" s="953"/>
      <c r="P20" s="954"/>
      <c r="Q20" s="955"/>
      <c r="R20" s="956"/>
      <c r="S20" s="256" t="str">
        <f>IF(AND(AY20=TRUE,AZ20=TRUE,InputIssues=0),IF(Q20="device",2,IF(BD20=FALSE,1,0.5)*Q20/R20),"")</f>
        <v/>
      </c>
      <c r="T20" s="257" t="str">
        <f>IF(AND(AY20=TRUE,InputIssues=0),IF(T$19=F$165,BQ20,IF(T$19=G$165,BZ20,BZ20/BQ20)),"")</f>
        <v/>
      </c>
      <c r="U20" s="258">
        <f>IF(InputIssues=0,MAX(G20*H20,I20),0)</f>
        <v>0</v>
      </c>
      <c r="V20" s="259" t="str">
        <f t="shared" ref="V20:V51" si="2">IF(AllInputsOK=FALSE,"",CL20)</f>
        <v/>
      </c>
      <c r="W20" s="260" t="str">
        <f t="shared" ref="W20:W51" si="3">IF(AllInputsOK=FALSE,"",CK20)</f>
        <v/>
      </c>
      <c r="X20" s="261">
        <f t="shared" ref="X20:X99" si="4">IF(AND(AllInputsOK=FALSE,CD20&gt;0),"",CD20)</f>
        <v>0</v>
      </c>
      <c r="Y20" s="262" t="str">
        <f t="shared" ref="Y20:Y51" si="5">IF(AllInputsOK=FALSE,"",CJ20)</f>
        <v/>
      </c>
      <c r="Z20" s="150"/>
      <c r="AA20" s="141"/>
      <c r="AB20" s="141">
        <v>1</v>
      </c>
      <c r="AC20" s="245">
        <f t="shared" ref="AC20:AC58" si="6">IF(AND(RowsPreferred&lt;LastActive,LastActive&gt;=AB20),LastActive,IF(RowsPreferred&gt;=AB20,RowsPreferred,"-"))</f>
        <v>5</v>
      </c>
      <c r="AD20" s="245">
        <f>IF(AI20=TRUE,1,0)</f>
        <v>0</v>
      </c>
      <c r="AE20" s="245">
        <f>COUNTA(J20:N20)</f>
        <v>0</v>
      </c>
      <c r="AF20" s="245" t="b">
        <f>ISBLANK(U20)</f>
        <v>0</v>
      </c>
      <c r="AG20" s="263">
        <f>IF(U20&gt;0,(IF(COUNTA(J20:N20)=5,0,1)),0)</f>
        <v>0</v>
      </c>
      <c r="AH20" s="896">
        <f t="shared" ref="AH20:AH83" si="7">COUNTA(D20:R20)</f>
        <v>0</v>
      </c>
      <c r="AI20" s="897">
        <f>IF(SUM(AH20:AH$99)=0,0,F20&gt;0)</f>
        <v>0</v>
      </c>
      <c r="AJ20" s="896">
        <f t="shared" ref="AJ20:AJ83" si="8">COUNTA(G20:R20)</f>
        <v>0</v>
      </c>
      <c r="AK20" s="897">
        <f>IF(SUM(AH20:AH$99)=0,0,AND(AI20=FALSE,AJ20=0,SUM(AJ20:AJ$99)&gt;0))</f>
        <v>0</v>
      </c>
      <c r="AL20" s="897">
        <f t="shared" ref="AL20:AL83" si="9">IF(AH20=0,0,AND(AI20=FALSE,AJ20&gt;0))</f>
        <v>0</v>
      </c>
      <c r="AM20" s="898">
        <f t="shared" ref="AM20:AM83" si="10">IF(AH20=0,0,AND(AN20&lt;&gt;TRUE,COUNTIF(AR20:AX20,TRUE)=0,G20=0,Q20&lt;&gt;"device",R20&gt;0))</f>
        <v>0</v>
      </c>
      <c r="AN20" s="898">
        <f t="shared" ref="AN20:AN83" si="11">IF(AH20=0,0,AND(AI20=TRUE,G20*H20=0,I20=0))</f>
        <v>0</v>
      </c>
      <c r="AO20" s="264">
        <f t="shared" ref="AO20:AO83" si="12">IF(H20=0,0,G20*H20&lt;I20)</f>
        <v>0</v>
      </c>
      <c r="AP20" s="264">
        <f t="shared" ref="AP20:AP51" si="13">IF(AH20=0,0,AND(AI20=TRUE,OR(AND(K20="Ground: direct",AreaA=0),AND(K20="Ground: suspended",AreaB=0),AND(K20="upper",$F$12=0))))</f>
        <v>0</v>
      </c>
      <c r="AQ20" s="264">
        <f>IF(AH20=0,0,AND(AI20=TRUE,OR(J20="",K20="",L20="",M20="",N20="")))</f>
        <v>0</v>
      </c>
      <c r="AR20" s="898">
        <f t="shared" ref="AR20:AR83" si="14">IF(AH20=0,0,AND(AI20=TRUE,AN20=FALSE,ISBLANK(O20)))</f>
        <v>0</v>
      </c>
      <c r="AS20" s="898" t="str">
        <f>IF(AND(AR20=TRUE,AT20=TRUE),AS$19,"")</f>
        <v/>
      </c>
      <c r="AT20" s="898">
        <f t="shared" ref="AT20:AT83" si="15">IF(AH20=0,0,AND(AI20=TRUE,AN20=FALSE,ISBLANK(P20)))</f>
        <v>0</v>
      </c>
      <c r="AU20" s="898">
        <f>IF(AT20=FALSE,P20&gt;0.7,)</f>
        <v>0</v>
      </c>
      <c r="AV20" s="898">
        <f t="shared" ref="AV20:AV83" si="16">IF(AH20=0,0,AND(AR20=FALSE,AT20=FALSE,OR(Q20&lt;0,AND(ISTEXT(Q20),Q20&lt;&gt;"device"))))</f>
        <v>0</v>
      </c>
      <c r="AW20" s="898">
        <f t="shared" ref="AW20:AW83" si="17">IF(AH20=0,0,AND(AI20=TRUE,AN20=FALSE,AR20=FALSE,AT20=FALSE,AV20=FALSE,Q20&gt;0,Q20&lt;&gt;"device",R20=0))</f>
        <v>0</v>
      </c>
      <c r="AX20" s="898">
        <f t="shared" ref="AX20:AX83" si="18">IF(AH20=0,0,AND(AI20=TRUE,AN20=FALSE,AR20=FALSE,AT20=FALSE,R20&gt;0,OR(Q20=0,Q20="device")))</f>
        <v>0</v>
      </c>
      <c r="AY20" s="897">
        <f>IF(AND(AH20=0,AK20&lt;&gt;TRUE),0,AND(AI20=TRUE,COUNTIF(AK20:AN20,TRUE)=0,COUNTIF(AP20:AX20,TRUE)=0))</f>
        <v>0</v>
      </c>
      <c r="AZ20" s="897">
        <f t="shared" ref="AZ20:AZ83" si="19">IF(AH20=0,0,AND(Q20&gt;0,AY20=TRUE))</f>
        <v>0</v>
      </c>
      <c r="BA20" s="896">
        <f>IF(AND(AH20=0,AK20&lt;&gt;TRUE),0,COUNTIF(AL20:AN20,TRUE)+COUNTIF(AP20:AX20,TRUE))</f>
        <v>0</v>
      </c>
      <c r="BB20" s="899" t="str">
        <f>IF(BA20&gt;0,"Input "&amp;IF(AI20=TRUE,"alert","issue")&amp;IF(BA20=1,": ","s: "),"")&amp;BC20</f>
        <v/>
      </c>
      <c r="BC20" s="899" t="str">
        <f>IF(AK20=TRUE,AK$19,"")&amp;IF(AL20=TRUE,AL$19&amp;" (but "&amp;AJ20&amp;" input"&amp;IF(AJ20=1,") ","s) "),"")&amp;IF(AM20=TRUE,AM$19&amp;" ","")&amp;IF(AN20=TRUE,AN$19&amp;" ","")&amp;IF(AP20=TRUE,AP$19&amp;" ","")&amp;IF(AR20=TRUE,AR$19&amp;", ","")&amp;AS20&amp;IF(AT20=TRUE,AT$19&amp;", ","")&amp;IF(AQ20=TRUE,AQ$19,"")&amp;IF(OR(AM20=TRUE,AN20=TRUE,AQ20=TRUE,AR20=TRUE,AT20=TRUE)," needed","")&amp;IF(AV20=TRUE,AV$19&amp;" ","")&amp;IF(AU20=TRUE,AU$19&amp;" ","")&amp;IF(AW20=TRUE,AW$19&amp;" ","")&amp;IF(AX20=TRUE,IF(Q20="device","shading H not needed if device used",AX$19),"")</f>
        <v/>
      </c>
      <c r="BD20" s="897">
        <f t="shared" ref="BD20:BD83" si="20">IF(AH20=0,0,AND(G20&gt;0,R20-G20&gt;0.5))</f>
        <v>0</v>
      </c>
      <c r="BE20" s="897">
        <f t="shared" ref="BE20:BE83" si="21">IF(AH20=0,0,AND(ISNUMBER(S20),S20&gt;2))</f>
        <v>0</v>
      </c>
      <c r="BF20" s="897">
        <f t="shared" ref="BF20:BF83" si="22">IF(AH20=0,0,AND(AI20=TRUE,COUNT(G20:I20)=3,G20*H20&lt;&gt;I20))</f>
        <v>0</v>
      </c>
      <c r="BG20" s="897" t="b">
        <f t="shared" ref="BG20:BG51" si="23">AND(UpperInputsAlerts=0,DudTableInputs=0,COUNTIF(CG20:CH20,TRUE)&lt;&gt;0)</f>
        <v>0</v>
      </c>
      <c r="BH20" s="265" t="str">
        <f t="shared" ref="BH20:BH83" si="24">IFERROR((R20-G20)/Q20,"")</f>
        <v/>
      </c>
      <c r="BI20" s="266">
        <f t="shared" ref="BI20:BI51" si="25">IF(S20="",0,INDEX(Projections,MATCH(S20,Projections,1),1))</f>
        <v>0</v>
      </c>
      <c r="BJ20" s="267">
        <f t="shared" ref="BJ20:BJ51" si="26">IF(S20="",0,IF(BI20=2,2,INDEX(Projections,MATCH(S20,Projections,1)+1,1)))</f>
        <v>0</v>
      </c>
      <c r="BK20" s="267">
        <f>BJ20-BI20</f>
        <v>0</v>
      </c>
      <c r="BL20" s="268">
        <f t="shared" ref="BL20:BL83" si="27">IF(OR(S20="",BK20=0),0,(S20-BI20)/BK20)</f>
        <v>0</v>
      </c>
      <c r="BM20" s="269">
        <f t="shared" ref="BM20:BM83" si="28">IF(OR(AH20=0,AY20&lt;&gt;TRUE),0,F20)</f>
        <v>0</v>
      </c>
      <c r="BN20" s="267">
        <f t="shared" ref="BN20:BN51" si="29">IF(AND($AY20=TRUE,Zone=0),10,IF(OR($BM20=0,$BM20=FALSE),0,IF(Slab_or_Timb="Slab",INDEX(ExposuresSummer,MATCH($BI20,Projections,1),MATCH($BM20,Directions,0),Zone_Col),INDEX(ExposuresSummerTimber,MATCH($BI20,Projections,1),MATCH($BM20,Directions,0),Zone_Col))))</f>
        <v>0</v>
      </c>
      <c r="BO20" s="267">
        <f t="shared" ref="BO20:BO51" si="30">IF(AND($AY20=TRUE,Zone=0),10,IF(OR($BM20=0,$BM20=FALSE),0,IF(Slab_or_Timb="Slab",INDEX(ExposuresSummer,MATCH($BJ20,Projections,1),MATCH($BM20,Directions,0),Zone_Col),INDEX(ExposuresSummerTimber,MATCH($BJ20,Projections,1),MATCH($BM20,Directions,0),Zone_Col))))</f>
        <v>0</v>
      </c>
      <c r="BP20" s="267">
        <f>BN20-BO20</f>
        <v>0</v>
      </c>
      <c r="BQ20" s="270">
        <f t="shared" ref="BQ20:BQ83" si="31">(BN20-BP20*$BL20)*DB20</f>
        <v>0</v>
      </c>
      <c r="BR20" s="247" t="e">
        <f t="shared" ref="BR20:BR51" si="32">BQ20/DB20</f>
        <v>#DIV/0!</v>
      </c>
      <c r="BS20" s="266">
        <f>IF($Q20="device",0,BI20)</f>
        <v>0</v>
      </c>
      <c r="BT20" s="266">
        <f t="shared" ref="BT20:BV35" si="33">IF($Q20="device",0,BJ20)</f>
        <v>0</v>
      </c>
      <c r="BU20" s="266">
        <f t="shared" si="33"/>
        <v>0</v>
      </c>
      <c r="BV20" s="266">
        <f t="shared" si="33"/>
        <v>0</v>
      </c>
      <c r="BW20" s="266">
        <f t="shared" ref="BW20:BW51" si="34">IF(AND($AY20=TRUE,Zone=0),10,IF(OR($BM20=0,$BM20=FALSE),0,IF(Slab_or_Timb="Slab",INDEX(ExposuresWinter,MATCH($BS20,Projections,1),MATCH($BM20,Directions,0),Zone_Col),INDEX(ExposuresWinterTimber,MATCH($BS20,Projections,1),MATCH($BM20,Directions,0),Zone_Col))))</f>
        <v>0</v>
      </c>
      <c r="BX20" s="267">
        <f t="shared" ref="BX20:BX51" si="35">IF(AND($AY20=TRUE,Zone=0),10,IF(OR($BM20=0,$BM20=FALSE),0,IF(Slab_or_Timb="Slab",INDEX(ExposuresWinter,MATCH($BT20,Projections,1),MATCH($BM20,Directions,0),Zone_Col),INDEX(ExposuresWinterTimber,MATCH($BT20,Projections,1),MATCH($BM20,Directions,0),Zone_Col))))</f>
        <v>0</v>
      </c>
      <c r="BY20" s="267">
        <f>BW20-BX20</f>
        <v>0</v>
      </c>
      <c r="BZ20" s="267">
        <f>(BW20-BY20*$BV20)*DU20</f>
        <v>0</v>
      </c>
      <c r="CA20" s="270">
        <f t="shared" ref="CA20:CA83" si="36">IF(P20&gt;0.7,U20*0.7*BZ20,U20*P20*BZ20)</f>
        <v>0</v>
      </c>
      <c r="CB20" s="271" t="e">
        <f t="shared" ref="CB20:CB51" si="37">IF(Zone=1,"N/A",CA20/SUM(CA$20:CA$99))</f>
        <v>#DIV/0!</v>
      </c>
      <c r="CC20" s="266" t="e">
        <f t="shared" ref="CC20:CC83" si="38">(IF(AY20=TRUE,IF(U20="",0,U20)*O20,0))*DJ20</f>
        <v>#DIV/0!</v>
      </c>
      <c r="CD20" s="267">
        <f t="shared" ref="CD20:CD83" si="39">IF(P20&gt;0.7,0.7*IF(U20="",0,U20)*BQ20,P20*IF(U20="",0,U20)*BQ20)</f>
        <v>0</v>
      </c>
      <c r="CE20" s="272">
        <f>IFERROR(IF(AY20&lt;&gt;TRUE,0,CC20/CC$17),"")</f>
        <v>0</v>
      </c>
      <c r="CF20" s="272">
        <f t="shared" ref="CF20:CF83" si="40">IF(AY20&lt;&gt;TRUE,0,CD20/CD$4)</f>
        <v>0</v>
      </c>
      <c r="CG20" s="273" t="e">
        <f t="shared" ref="CG20:CG83" si="41">IF(SUM(CC20:CD20)=0,0,AND(AI20=TRUE,CC$6&lt;0))</f>
        <v>#DIV/0!</v>
      </c>
      <c r="CH20" s="273" t="e">
        <f t="shared" ref="CH20:CH51" si="42">IF(Zone=8,"FALSE",IF(SUM(CC20:CD20)=0,0,AND(AI20=TRUE,CD$6&lt;0)))</f>
        <v>#DIV/0!</v>
      </c>
      <c r="CI20" s="274" t="e">
        <f>IF(SUM(CC20:CD20)=0,"",TEXT(CE20,IF(CE20&lt;0.005,"0.0%","0%"))&amp;" of "&amp;TEXT(CC$8,"0%"))</f>
        <v>#DIV/0!</v>
      </c>
      <c r="CJ20" s="275" t="e">
        <f t="shared" ref="CJ20:CJ51" si="43">IF(SUM(CC20:CD20)=0,"",IF(Zone=8,"not required",TEXT(CF20,IF(CF20&lt;0.005,"0.0%","0%"))&amp;" of "&amp;TEXT(CD$8,"0%")))</f>
        <v>#DIV/0!</v>
      </c>
      <c r="CK20" s="141" t="e">
        <f>IF(CB20&gt;0,TEXT(CB20,IF(CB20&lt;0.005,"0.0%","0%")),"")</f>
        <v>#DIV/0!</v>
      </c>
      <c r="CL20" s="141" t="str">
        <f t="shared" ref="CL20:CL51" si="44">IF(Zone=1,"N/A",IF(CE20&gt;0,TEXT(CE20,IF(CE20&lt;0.005,"0.0%","0%")),""))</f>
        <v/>
      </c>
      <c r="CM20" s="276" t="e">
        <f>(SUM(CC$20:CC$99)-CC20)/(SUM(CA$20:CA$99)-CA20)</f>
        <v>#DIV/0!</v>
      </c>
      <c r="CN20" s="277" t="e">
        <f>$CD$17-CM20</f>
        <v>#DIV/0!</v>
      </c>
      <c r="CO20" s="277">
        <f>IFERROR(CC20/CA20,0)</f>
        <v>0</v>
      </c>
      <c r="CP20" s="141">
        <f t="shared" ref="CP20:CP83" si="45">IF(G20&lt;1.5,1,2)</f>
        <v>1</v>
      </c>
      <c r="CQ20" s="141">
        <f t="shared" ref="CQ20:CQ83" si="46">IF(H20&lt;=1.2,1,IF(H20&lt;2.7,2,IF(H20&gt;=2.7,3,"input")))</f>
        <v>1</v>
      </c>
      <c r="CR20" s="141" t="str">
        <f t="shared" ref="CR20:CR51" si="47">IFERROR(IF(G20&lt;=1.5,VLOOKUP(N20,Win_Open_less_1.5,CQ20+2,1),VLOOKUP(N20,Win_Open_more_1.5,CQ20+2,1)),"")</f>
        <v/>
      </c>
      <c r="CS20" s="141">
        <f t="shared" ref="CS20:CS83" si="48">IF(CR20=0,0,IF(CR20="",N20,CR20))</f>
        <v>0</v>
      </c>
      <c r="CT20" s="278">
        <f t="shared" ref="CT20:CT83" si="49">CS20*U20</f>
        <v>0</v>
      </c>
      <c r="CU20" s="141" t="str">
        <f t="shared" ref="CU20:CU83" si="50">IF(CT20&gt;0.9*U20,"error","OK")</f>
        <v>OK</v>
      </c>
      <c r="CV20" s="223">
        <f t="shared" ref="CV20:CV83" si="51">IF(N20="",0.05,IF($CU$17&lt;=0.05,0.05,IFERROR(CT20/U20,"")))</f>
        <v>0.05</v>
      </c>
      <c r="CW20" s="278" t="e">
        <f t="shared" ref="CW20:CW51" si="52">IF(Slab_or_Timb="Slab",IF(J20&lt;&gt;"Other",HLOOKUP($CV$13,S_Slab_Fact,2),1),IF(J20&lt;&gt;"Other",HLOOKUP($CV$13,S_Timb_Fact,2),1))</f>
        <v>#DIV/0!</v>
      </c>
      <c r="CX20" s="278" t="e">
        <f t="shared" ref="CX20:CX51" si="53">IF(Slab_or_Timb="Slab",IF($M20="Dark",HLOOKUP($CV$13,S_Slab_Fact,4),1),IF($M20="Dark",HLOOKUP($CV$13,S_Timb_Fact,4),1))</f>
        <v>#DIV/0!</v>
      </c>
      <c r="CY20" s="278" t="e">
        <f t="shared" ref="CY20:CY51" si="54">IF(Slab_or_Timb="Slab",IF($M20="Medium",HLOOKUP($CV$13,S_Slab_Fact,5),1),IF($M20="Medium",HLOOKUP($CV$13,S_Timb_Fact,5),1))</f>
        <v>#DIV/0!</v>
      </c>
      <c r="CZ20" s="278" t="e">
        <f t="shared" ref="CZ20:CZ51" si="55">IF(Slab_or_Timb="Slab",IF($M20="Light",HLOOKUP($CV$13,S_Slab_Fact,6),1),IF($M20="Light",HLOOKUP($CV$13,S_Timb_Fact,6),1))</f>
        <v>#DIV/0!</v>
      </c>
      <c r="DA20" s="278">
        <f t="shared" ref="DA20:DA51" si="56">IFERROR(IF(Slab_or_Timb="Slab",IF($DC20="Hard",HLOOKUP($CV$13,S_Slab_Fact,7),1),1),1)</f>
        <v>1</v>
      </c>
      <c r="DB20" s="278">
        <f t="shared" ref="DB20:DB83" si="57">IF(U20=0,0,CW20*CX20*CY20*CZ20*DA20)</f>
        <v>0</v>
      </c>
      <c r="DC20" s="141" t="str">
        <f t="shared" ref="DC20:DC51" si="58">IF(AND(K20="Ground: Direct",J20&lt;&gt;"Utility"),VLOOKUP(L20,Hard_Floor,2),"Soft")</f>
        <v>Soft</v>
      </c>
      <c r="DD20" s="141"/>
      <c r="DE20" s="141">
        <f t="shared" ref="DE20:DE51" si="59">IFERROR(VLOOKUP(F20,Orient_Num,2),0)</f>
        <v>0</v>
      </c>
      <c r="DF20" s="278" t="e">
        <f t="shared" ref="DF20:DF51" si="60">IF(Slab_or_Timb="Slab",IFERROR(HLOOKUP(DE20,OC_Fact_Slab,Zone_Col+1),0),IFERROR(HLOOKUP(DE20,OC_Fact_Timb,Zone_Col+1),0))</f>
        <v>#DIV/0!</v>
      </c>
      <c r="DG20" s="278" t="e">
        <f t="shared" ref="DG20:DG51" si="61">IF(Slab_or_Timb="Slab",IF(J20&lt;&gt;"Other",HLOOKUP($CV$13,W_Slab_Fact,4),1),IF(J20&lt;&gt;"Other",HLOOKUP($CV$13,W_Timb_Fact,4),1))</f>
        <v>#DIV/0!</v>
      </c>
      <c r="DH20" s="278" t="e">
        <f t="shared" ref="DH20:DH51" si="62">IF(Slab_or_Timb="Slab",IF(J20&lt;&gt;"Other",HLOOKUP($CV$13,W_Slab_Fact,2),1),IF(J20&lt;&gt;"Other",HLOOKUP($CV$13,W_Timb_Fact,2),1))</f>
        <v>#DIV/0!</v>
      </c>
      <c r="DI20" s="278" t="e">
        <f t="shared" ref="DI20:DI51" si="63">IF(Slab_or_Timb="Slab",IF(K20="Upper",HLOOKUP($CV$13,W_Slab_Fact,3),1),IF(K20="Upper",HLOOKUP($CV$13,W_Timb_Fact,3),1))</f>
        <v>#DIV/0!</v>
      </c>
      <c r="DJ20" s="278" t="e">
        <f>DF20*DG20*DH20*DI20</f>
        <v>#DIV/0!</v>
      </c>
      <c r="DK20" s="141"/>
      <c r="DL20" s="141"/>
      <c r="DM20" s="141"/>
      <c r="DN20" s="141">
        <f t="shared" ref="DN20:DN51" si="64">IFERROR(IF(Slab_or_Timb="Slab",IF($DC20="Hard",HLOOKUP($CV$13,W_Slab_Fact,9),1),1),1)</f>
        <v>1</v>
      </c>
      <c r="DO20" s="278" t="e">
        <f t="shared" ref="DO20:DO51" si="65">IF(Slab_or_Timb="Slab",IF($M20="Dark",HLOOKUP($CV$13,W_Slab_Fact,6),1),IF($M20="Dark",HLOOKUP($CV$13,W_Timb_Fact,6),1))</f>
        <v>#DIV/0!</v>
      </c>
      <c r="DP20" s="278" t="e">
        <f t="shared" ref="DP20:DP51" si="66">IF(Slab_or_Timb="Slab",IF($M20="Medium",HLOOKUP($CV$13,W_Slab_Fact,7),1),IF($M20="Medium",HLOOKUP($CV$13,W_Timb_Fact,7),1))</f>
        <v>#DIV/0!</v>
      </c>
      <c r="DQ20" s="278" t="e">
        <f t="shared" ref="DQ20:DQ51" si="67">IF(Slab_or_Timb="Slab",IF($M20="Light",HLOOKUP($CV$13,W_Slab_Fact,8),1),IF($M20="Light",HLOOKUP($CV$13,W_Timb_Fact,8),1))</f>
        <v>#DIV/0!</v>
      </c>
      <c r="DR20" s="278" t="e">
        <f t="shared" ref="DR20:DR51" si="68">IF(Slab_or_Timb="Slab",IF(J20&lt;&gt;"Other",HLOOKUP($CV$13,W_Slab_Fact,5),1),IF(J20&lt;&gt;"Other",HLOOKUP($CV$13,W_Timb_Fact,5),1))</f>
        <v>#DIV/0!</v>
      </c>
      <c r="DS20" s="278" t="e">
        <f t="shared" ref="DS20:DS51" si="69">IF(Slab_or_Timb="Slab",IF(J20&lt;&gt;"Other",HLOOKUP($CV$13,W_Slab_Fact,2),1),IF(J20&lt;&gt;"Other",HLOOKUP($CV$13,W_Timb_Fact,2),1))</f>
        <v>#DIV/0!</v>
      </c>
      <c r="DT20" s="278" t="e">
        <f t="shared" ref="DT20:DT51" si="70">IF(Slab_or_Timb="Slab",IF(K20="Upper",HLOOKUP($CV$13,W_Slab_Fact,3),1),IF(K20="Upper",HLOOKUP($CV$13,W_Timb_Fact,3),1))</f>
        <v>#DIV/0!</v>
      </c>
      <c r="DU20" s="278">
        <f t="shared" ref="DU20:DU83" si="71">IF(U20=0,0,DN20*DO20*DP20*DQ20*DR20*DS20*DT20)</f>
        <v>0</v>
      </c>
      <c r="DV20" s="141"/>
      <c r="DW20" s="141" t="b">
        <f t="shared" ref="DW20:EA51" si="72">ISBLANK(J20)</f>
        <v>1</v>
      </c>
      <c r="DX20" s="141" t="b">
        <f t="shared" si="72"/>
        <v>1</v>
      </c>
      <c r="DY20" s="141" t="b">
        <f t="shared" si="72"/>
        <v>1</v>
      </c>
      <c r="DZ20" s="141" t="b">
        <f t="shared" si="72"/>
        <v>1</v>
      </c>
      <c r="EA20" s="141" t="b">
        <f t="shared" si="72"/>
        <v>1</v>
      </c>
    </row>
    <row r="21" spans="1:131" ht="18.5" thickBot="1" x14ac:dyDescent="0.45">
      <c r="A21" s="150"/>
      <c r="B21" s="255">
        <f t="shared" ref="B21:B99" si="73">AC21</f>
        <v>5</v>
      </c>
      <c r="C21" s="279">
        <v>2</v>
      </c>
      <c r="D21" s="1557"/>
      <c r="E21" s="1562"/>
      <c r="F21" s="951"/>
      <c r="G21" s="1101"/>
      <c r="H21" s="952"/>
      <c r="I21" s="1324"/>
      <c r="J21" s="1325"/>
      <c r="K21" s="1326"/>
      <c r="L21" s="1326"/>
      <c r="M21" s="1326"/>
      <c r="N21" s="1327"/>
      <c r="O21" s="957"/>
      <c r="P21" s="958"/>
      <c r="Q21" s="959"/>
      <c r="R21" s="960"/>
      <c r="S21" s="280" t="str">
        <f t="shared" ref="S21:S51" si="74">IF(AND(AY21=TRUE,AZ21=TRUE,InputIssues=0),IF(Q21="device",2,IF(BD21=FALSE,1,0.5)*Q21/R21),"")</f>
        <v/>
      </c>
      <c r="T21" s="281" t="str">
        <f t="shared" ref="T21:T51" si="75">IF(AND(AY21=TRUE,InputIssues=0),IF(T$19=F$165,BQ21,IF(T$19=G$165,BZ21,BZ21/BQ21)),"")</f>
        <v/>
      </c>
      <c r="U21" s="282">
        <f t="shared" ref="U21:U51" si="76">IF(InputIssues=0,MAX(G21*H21,I21),0)</f>
        <v>0</v>
      </c>
      <c r="V21" s="259" t="str">
        <f t="shared" si="2"/>
        <v/>
      </c>
      <c r="W21" s="260" t="str">
        <f t="shared" si="3"/>
        <v/>
      </c>
      <c r="X21" s="283">
        <f t="shared" si="4"/>
        <v>0</v>
      </c>
      <c r="Y21" s="284" t="str">
        <f t="shared" si="5"/>
        <v/>
      </c>
      <c r="Z21" s="150"/>
      <c r="AA21" s="141"/>
      <c r="AB21" s="141">
        <v>2</v>
      </c>
      <c r="AC21" s="245">
        <f t="shared" si="6"/>
        <v>5</v>
      </c>
      <c r="AD21" s="245">
        <f t="shared" ref="AD21:AD84" si="77">IF(AI21=TRUE,1,0)</f>
        <v>0</v>
      </c>
      <c r="AE21" s="245">
        <f t="shared" ref="AE21:AE84" si="78">COUNTA(J21:N21)</f>
        <v>0</v>
      </c>
      <c r="AF21" s="245"/>
      <c r="AG21" s="263">
        <f t="shared" ref="AG21:AG84" si="79">IF(U21&gt;0,(IF(COUNTA(J21:N21)=5,0,1)),0)</f>
        <v>0</v>
      </c>
      <c r="AH21" s="1328">
        <f>COUNTA(D21:R21)</f>
        <v>0</v>
      </c>
      <c r="AI21" s="1329">
        <f>IF(SUM(AH21:AH$99)=0,0,F21&gt;0)</f>
        <v>0</v>
      </c>
      <c r="AJ21" s="1328">
        <f t="shared" si="8"/>
        <v>0</v>
      </c>
      <c r="AK21" s="1329">
        <f>IF(SUM(AH21:AH$99)=0,0,AND(AI21=FALSE,AJ21=0,SUM(AJ21:AJ$99)&gt;0))</f>
        <v>0</v>
      </c>
      <c r="AL21" s="1329">
        <f t="shared" si="9"/>
        <v>0</v>
      </c>
      <c r="AM21" s="1329">
        <f t="shared" si="10"/>
        <v>0</v>
      </c>
      <c r="AN21" s="1330">
        <f t="shared" si="11"/>
        <v>0</v>
      </c>
      <c r="AO21" s="1330">
        <f t="shared" si="12"/>
        <v>0</v>
      </c>
      <c r="AP21" s="264">
        <f t="shared" si="13"/>
        <v>0</v>
      </c>
      <c r="AQ21" s="264">
        <f t="shared" ref="AQ21:AQ84" si="80">IF(AH21=0,0,AND(AI21=TRUE,OR(J21="",K21="",L21="",M21="",N21="")))</f>
        <v>0</v>
      </c>
      <c r="AR21" s="1329">
        <f t="shared" si="14"/>
        <v>0</v>
      </c>
      <c r="AS21" s="1329" t="str">
        <f t="shared" ref="AS21:AS84" si="81">IF(AND(AR21=TRUE,AT21=TRUE),AS$19,"")</f>
        <v/>
      </c>
      <c r="AT21" s="1329">
        <f t="shared" si="15"/>
        <v>0</v>
      </c>
      <c r="AU21" s="898">
        <f t="shared" ref="AU21:AU84" si="82">IF(AT21=FALSE,P21&gt;0.7,)</f>
        <v>0</v>
      </c>
      <c r="AV21" s="1329">
        <f t="shared" si="16"/>
        <v>0</v>
      </c>
      <c r="AW21" s="1329">
        <f t="shared" si="17"/>
        <v>0</v>
      </c>
      <c r="AX21" s="1329">
        <f t="shared" si="18"/>
        <v>0</v>
      </c>
      <c r="AY21" s="897">
        <f t="shared" ref="AY21:AY84" si="83">IF(AND(AH21=0,AK21&lt;&gt;TRUE),0,AND(AI21=TRUE,COUNTIF(AK21:AN21,TRUE)=0,COUNTIF(AP21:AX21,TRUE)=0))</f>
        <v>0</v>
      </c>
      <c r="AZ21" s="1329">
        <f t="shared" si="19"/>
        <v>0</v>
      </c>
      <c r="BA21" s="896">
        <f t="shared" ref="BA21:BA84" si="84">IF(AND(AH21=0,AK21&lt;&gt;TRUE),0,COUNTIF(AL21:AN21,TRUE)+COUNTIF(AP21:AX21,TRUE))</f>
        <v>0</v>
      </c>
      <c r="BB21" s="899" t="str">
        <f t="shared" ref="BB21:BB84" si="85">IF(BA21&gt;0,"Input "&amp;IF(AI21=TRUE,"alert","issue")&amp;IF(BA21=1,": ","s: "),"")&amp;BC21</f>
        <v/>
      </c>
      <c r="BC21" s="899" t="str">
        <f t="shared" ref="BC21:BC84" si="86">IF(AK21=TRUE,AK$19,"")&amp;IF(AL21=TRUE,AL$19&amp;" (but "&amp;AJ21&amp;" input"&amp;IF(AJ21=1,") ","s) "),"")&amp;IF(AM21=TRUE,AM$19&amp;" ","")&amp;IF(AN21=TRUE,AN$19&amp;" ","")&amp;IF(AP21=TRUE,AP$19&amp;" ","")&amp;IF(AR21=TRUE,AR$19&amp;", ","")&amp;AS21&amp;IF(AT21=TRUE,AT$19&amp;", ","")&amp;IF(AQ21=TRUE,AQ$19,"")&amp;IF(OR(AM21=TRUE,AN21=TRUE,AQ21=TRUE,AR21=TRUE,AT21=TRUE)," needed","")&amp;IF(AV21=TRUE,AV$19&amp;" ","")&amp;IF(AU21=TRUE,AU$19&amp;" ","")&amp;IF(AW21=TRUE,AW$19&amp;" ","")&amp;IF(AX21=TRUE,IF(Q21="device","shading H not needed if device used",AX$19),"")</f>
        <v/>
      </c>
      <c r="BD21" s="1329">
        <f t="shared" si="20"/>
        <v>0</v>
      </c>
      <c r="BE21" s="1329">
        <f t="shared" si="21"/>
        <v>0</v>
      </c>
      <c r="BF21" s="1329">
        <f t="shared" si="22"/>
        <v>0</v>
      </c>
      <c r="BG21" s="1331" t="b">
        <f t="shared" si="23"/>
        <v>0</v>
      </c>
      <c r="BH21" s="265" t="str">
        <f t="shared" si="24"/>
        <v/>
      </c>
      <c r="BI21" s="1332">
        <f t="shared" si="25"/>
        <v>0</v>
      </c>
      <c r="BJ21" s="1333">
        <f t="shared" si="26"/>
        <v>0</v>
      </c>
      <c r="BK21" s="1333">
        <f t="shared" ref="BK21:BK99" si="87">BJ21-BI21</f>
        <v>0</v>
      </c>
      <c r="BL21" s="268">
        <f t="shared" si="27"/>
        <v>0</v>
      </c>
      <c r="BM21" s="1334">
        <f t="shared" si="28"/>
        <v>0</v>
      </c>
      <c r="BN21" s="267">
        <f t="shared" si="29"/>
        <v>0</v>
      </c>
      <c r="BO21" s="267">
        <f t="shared" si="30"/>
        <v>0</v>
      </c>
      <c r="BP21" s="1333">
        <f t="shared" ref="BP21:BP99" si="88">BN21-BO21</f>
        <v>0</v>
      </c>
      <c r="BQ21" s="270">
        <f t="shared" si="31"/>
        <v>0</v>
      </c>
      <c r="BR21" s="247" t="e">
        <f t="shared" si="32"/>
        <v>#DIV/0!</v>
      </c>
      <c r="BS21" s="1332">
        <f>IF($Q21="device",0,BI21)</f>
        <v>0</v>
      </c>
      <c r="BT21" s="1333">
        <f t="shared" si="33"/>
        <v>0</v>
      </c>
      <c r="BU21" s="1333">
        <f t="shared" si="33"/>
        <v>0</v>
      </c>
      <c r="BV21" s="268">
        <f t="shared" si="33"/>
        <v>0</v>
      </c>
      <c r="BW21" s="266">
        <f t="shared" si="34"/>
        <v>0</v>
      </c>
      <c r="BX21" s="267">
        <f t="shared" si="35"/>
        <v>0</v>
      </c>
      <c r="BY21" s="1333">
        <f t="shared" ref="BY21:BY99" si="89">BW21-BX21</f>
        <v>0</v>
      </c>
      <c r="BZ21" s="267">
        <f t="shared" ref="BZ21:BZ84" si="90">(BW21-BY21*$BV21)*DU21</f>
        <v>0</v>
      </c>
      <c r="CA21" s="270">
        <f t="shared" si="36"/>
        <v>0</v>
      </c>
      <c r="CB21" s="271" t="e">
        <f t="shared" si="37"/>
        <v>#DIV/0!</v>
      </c>
      <c r="CC21" s="266" t="e">
        <f t="shared" si="38"/>
        <v>#DIV/0!</v>
      </c>
      <c r="CD21" s="267">
        <f t="shared" si="39"/>
        <v>0</v>
      </c>
      <c r="CE21" s="272">
        <f t="shared" ref="CE21:CE84" si="91">IF(AY21&lt;&gt;TRUE,0,CC21/CC$17)</f>
        <v>0</v>
      </c>
      <c r="CF21" s="272">
        <f t="shared" si="40"/>
        <v>0</v>
      </c>
      <c r="CG21" s="273" t="e">
        <f t="shared" si="41"/>
        <v>#DIV/0!</v>
      </c>
      <c r="CH21" s="273" t="e">
        <f t="shared" si="42"/>
        <v>#DIV/0!</v>
      </c>
      <c r="CI21" s="274" t="e">
        <f t="shared" ref="CI21:CI99" si="92">IF(SUM(CC21:CD21)=0,"",TEXT(CE21,IF(CE21&lt;0.005,"0.0%","0%"))&amp;" of "&amp;TEXT(CC$8,"0%"))</f>
        <v>#DIV/0!</v>
      </c>
      <c r="CJ21" s="275" t="e">
        <f t="shared" si="43"/>
        <v>#DIV/0!</v>
      </c>
      <c r="CK21" s="141" t="e">
        <f t="shared" ref="CK21:CK84" si="93">IF(CB21&gt;0,TEXT(CB21,IF(CB21&lt;0.005,"0.0%","0%")),"")</f>
        <v>#DIV/0!</v>
      </c>
      <c r="CL21" s="141" t="str">
        <f t="shared" si="44"/>
        <v/>
      </c>
      <c r="CM21" s="276" t="e">
        <f t="shared" ref="CM21:CM84" si="94">(SUM(CC$20:CC$99)-CC21)/(SUM(CA$20:CA$99)-CA21)</f>
        <v>#DIV/0!</v>
      </c>
      <c r="CN21" s="277" t="e">
        <f t="shared" ref="CN21:CN84" si="95">$CD$17-CM21</f>
        <v>#DIV/0!</v>
      </c>
      <c r="CO21" s="277">
        <f t="shared" ref="CO21:CO84" si="96">IFERROR(CC21/CA21,0)</f>
        <v>0</v>
      </c>
      <c r="CP21" s="141">
        <f t="shared" si="45"/>
        <v>1</v>
      </c>
      <c r="CQ21" s="141">
        <f t="shared" si="46"/>
        <v>1</v>
      </c>
      <c r="CR21" s="141" t="str">
        <f t="shared" si="47"/>
        <v/>
      </c>
      <c r="CS21" s="141">
        <f t="shared" si="48"/>
        <v>0</v>
      </c>
      <c r="CT21" s="278">
        <f t="shared" si="49"/>
        <v>0</v>
      </c>
      <c r="CU21" s="141" t="str">
        <f t="shared" si="50"/>
        <v>OK</v>
      </c>
      <c r="CV21" s="223">
        <f t="shared" si="51"/>
        <v>0.05</v>
      </c>
      <c r="CW21" s="278" t="e">
        <f t="shared" si="52"/>
        <v>#DIV/0!</v>
      </c>
      <c r="CX21" s="278" t="e">
        <f t="shared" si="53"/>
        <v>#DIV/0!</v>
      </c>
      <c r="CY21" s="278" t="e">
        <f t="shared" si="54"/>
        <v>#DIV/0!</v>
      </c>
      <c r="CZ21" s="278" t="e">
        <f t="shared" si="55"/>
        <v>#DIV/0!</v>
      </c>
      <c r="DA21" s="278">
        <f t="shared" si="56"/>
        <v>1</v>
      </c>
      <c r="DB21" s="278">
        <f t="shared" si="57"/>
        <v>0</v>
      </c>
      <c r="DC21" s="141" t="str">
        <f t="shared" si="58"/>
        <v>Soft</v>
      </c>
      <c r="DD21" s="141"/>
      <c r="DE21" s="141">
        <f t="shared" si="59"/>
        <v>0</v>
      </c>
      <c r="DF21" s="278" t="e">
        <f t="shared" si="60"/>
        <v>#DIV/0!</v>
      </c>
      <c r="DG21" s="278" t="e">
        <f t="shared" si="61"/>
        <v>#DIV/0!</v>
      </c>
      <c r="DH21" s="278" t="e">
        <f t="shared" si="62"/>
        <v>#DIV/0!</v>
      </c>
      <c r="DI21" s="278" t="e">
        <f t="shared" si="63"/>
        <v>#DIV/0!</v>
      </c>
      <c r="DJ21" s="278" t="e">
        <f t="shared" ref="DJ21:DJ84" si="97">DF21*DG21*DH21*DI21</f>
        <v>#DIV/0!</v>
      </c>
      <c r="DK21" s="141"/>
      <c r="DL21" s="141"/>
      <c r="DM21" s="141"/>
      <c r="DN21" s="141">
        <f t="shared" si="64"/>
        <v>1</v>
      </c>
      <c r="DO21" s="278" t="e">
        <f t="shared" si="65"/>
        <v>#DIV/0!</v>
      </c>
      <c r="DP21" s="278" t="e">
        <f t="shared" si="66"/>
        <v>#DIV/0!</v>
      </c>
      <c r="DQ21" s="278" t="e">
        <f t="shared" si="67"/>
        <v>#DIV/0!</v>
      </c>
      <c r="DR21" s="278" t="e">
        <f t="shared" si="68"/>
        <v>#DIV/0!</v>
      </c>
      <c r="DS21" s="278" t="e">
        <f t="shared" si="69"/>
        <v>#DIV/0!</v>
      </c>
      <c r="DT21" s="278" t="e">
        <f t="shared" si="70"/>
        <v>#DIV/0!</v>
      </c>
      <c r="DU21" s="278">
        <f t="shared" si="71"/>
        <v>0</v>
      </c>
      <c r="DV21" s="141"/>
      <c r="DW21" s="141" t="b">
        <f t="shared" si="72"/>
        <v>1</v>
      </c>
      <c r="DX21" s="141" t="b">
        <f t="shared" si="72"/>
        <v>1</v>
      </c>
      <c r="DY21" s="141" t="b">
        <f t="shared" si="72"/>
        <v>1</v>
      </c>
      <c r="DZ21" s="141" t="b">
        <f t="shared" si="72"/>
        <v>1</v>
      </c>
      <c r="EA21" s="141" t="b">
        <f t="shared" si="72"/>
        <v>1</v>
      </c>
    </row>
    <row r="22" spans="1:131" ht="18.5" thickBot="1" x14ac:dyDescent="0.45">
      <c r="A22" s="150"/>
      <c r="B22" s="255">
        <f t="shared" si="73"/>
        <v>5</v>
      </c>
      <c r="C22" s="279">
        <v>3</v>
      </c>
      <c r="D22" s="1557"/>
      <c r="E22" s="1562"/>
      <c r="F22" s="951"/>
      <c r="G22" s="1101"/>
      <c r="H22" s="952"/>
      <c r="I22" s="961"/>
      <c r="J22" s="962"/>
      <c r="K22" s="963"/>
      <c r="L22" s="963"/>
      <c r="M22" s="963"/>
      <c r="N22" s="964"/>
      <c r="O22" s="957"/>
      <c r="P22" s="958"/>
      <c r="Q22" s="959"/>
      <c r="R22" s="960"/>
      <c r="S22" s="280" t="str">
        <f t="shared" si="74"/>
        <v/>
      </c>
      <c r="T22" s="281" t="str">
        <f t="shared" si="75"/>
        <v/>
      </c>
      <c r="U22" s="282">
        <f t="shared" si="76"/>
        <v>0</v>
      </c>
      <c r="V22" s="259" t="str">
        <f t="shared" si="2"/>
        <v/>
      </c>
      <c r="W22" s="260" t="str">
        <f t="shared" si="3"/>
        <v/>
      </c>
      <c r="X22" s="283">
        <f t="shared" si="4"/>
        <v>0</v>
      </c>
      <c r="Y22" s="284" t="str">
        <f t="shared" si="5"/>
        <v/>
      </c>
      <c r="Z22" s="150"/>
      <c r="AA22" s="141"/>
      <c r="AB22" s="141">
        <v>3</v>
      </c>
      <c r="AC22" s="245">
        <f t="shared" si="6"/>
        <v>5</v>
      </c>
      <c r="AD22" s="245">
        <f t="shared" si="77"/>
        <v>0</v>
      </c>
      <c r="AE22" s="245">
        <f t="shared" si="78"/>
        <v>0</v>
      </c>
      <c r="AF22" s="245"/>
      <c r="AG22" s="263">
        <f t="shared" si="79"/>
        <v>0</v>
      </c>
      <c r="AH22" s="1328">
        <f t="shared" si="7"/>
        <v>0</v>
      </c>
      <c r="AI22" s="1329">
        <f>IF(SUM(AH22:AH$99)=0,0,F22&gt;0)</f>
        <v>0</v>
      </c>
      <c r="AJ22" s="1328">
        <f t="shared" si="8"/>
        <v>0</v>
      </c>
      <c r="AK22" s="1329">
        <f>IF(SUM(AH22:AH$99)=0,0,AND(AI22=FALSE,AJ22=0,SUM(AJ22:AJ$99)&gt;0))</f>
        <v>0</v>
      </c>
      <c r="AL22" s="1329">
        <f t="shared" si="9"/>
        <v>0</v>
      </c>
      <c r="AM22" s="1329">
        <f t="shared" si="10"/>
        <v>0</v>
      </c>
      <c r="AN22" s="1330">
        <f t="shared" si="11"/>
        <v>0</v>
      </c>
      <c r="AO22" s="1330">
        <f t="shared" si="12"/>
        <v>0</v>
      </c>
      <c r="AP22" s="264">
        <f t="shared" si="13"/>
        <v>0</v>
      </c>
      <c r="AQ22" s="264">
        <f t="shared" si="80"/>
        <v>0</v>
      </c>
      <c r="AR22" s="1329">
        <f t="shared" si="14"/>
        <v>0</v>
      </c>
      <c r="AS22" s="1329" t="str">
        <f t="shared" si="81"/>
        <v/>
      </c>
      <c r="AT22" s="1329">
        <f t="shared" si="15"/>
        <v>0</v>
      </c>
      <c r="AU22" s="898">
        <f t="shared" si="82"/>
        <v>0</v>
      </c>
      <c r="AV22" s="1329">
        <f t="shared" si="16"/>
        <v>0</v>
      </c>
      <c r="AW22" s="1329">
        <f t="shared" si="17"/>
        <v>0</v>
      </c>
      <c r="AX22" s="1329">
        <f t="shared" si="18"/>
        <v>0</v>
      </c>
      <c r="AY22" s="897">
        <f t="shared" si="83"/>
        <v>0</v>
      </c>
      <c r="AZ22" s="1329">
        <f t="shared" si="19"/>
        <v>0</v>
      </c>
      <c r="BA22" s="896">
        <f t="shared" si="84"/>
        <v>0</v>
      </c>
      <c r="BB22" s="899" t="str">
        <f t="shared" si="85"/>
        <v/>
      </c>
      <c r="BC22" s="899" t="str">
        <f t="shared" si="86"/>
        <v/>
      </c>
      <c r="BD22" s="1329">
        <f t="shared" si="20"/>
        <v>0</v>
      </c>
      <c r="BE22" s="1329">
        <f t="shared" si="21"/>
        <v>0</v>
      </c>
      <c r="BF22" s="1329">
        <f t="shared" si="22"/>
        <v>0</v>
      </c>
      <c r="BG22" s="1331" t="b">
        <f t="shared" si="23"/>
        <v>0</v>
      </c>
      <c r="BH22" s="265" t="str">
        <f t="shared" si="24"/>
        <v/>
      </c>
      <c r="BI22" s="1332">
        <f t="shared" si="25"/>
        <v>0</v>
      </c>
      <c r="BJ22" s="1333">
        <f t="shared" si="26"/>
        <v>0</v>
      </c>
      <c r="BK22" s="1333">
        <f t="shared" si="87"/>
        <v>0</v>
      </c>
      <c r="BL22" s="1335">
        <f t="shared" si="27"/>
        <v>0</v>
      </c>
      <c r="BM22" s="1334">
        <f t="shared" si="28"/>
        <v>0</v>
      </c>
      <c r="BN22" s="267">
        <f t="shared" si="29"/>
        <v>0</v>
      </c>
      <c r="BO22" s="267">
        <f t="shared" si="30"/>
        <v>0</v>
      </c>
      <c r="BP22" s="1333">
        <f t="shared" si="88"/>
        <v>0</v>
      </c>
      <c r="BQ22" s="270">
        <f t="shared" si="31"/>
        <v>0</v>
      </c>
      <c r="BR22" s="247" t="e">
        <f t="shared" si="32"/>
        <v>#DIV/0!</v>
      </c>
      <c r="BS22" s="1332">
        <f t="shared" ref="BS22:BV85" si="98">IF($Q22="device",0,BI22)</f>
        <v>0</v>
      </c>
      <c r="BT22" s="1333">
        <f t="shared" si="33"/>
        <v>0</v>
      </c>
      <c r="BU22" s="1333">
        <f t="shared" si="33"/>
        <v>0</v>
      </c>
      <c r="BV22" s="268">
        <f t="shared" si="33"/>
        <v>0</v>
      </c>
      <c r="BW22" s="266">
        <f t="shared" si="34"/>
        <v>0</v>
      </c>
      <c r="BX22" s="267">
        <f t="shared" si="35"/>
        <v>0</v>
      </c>
      <c r="BY22" s="1333">
        <f t="shared" si="89"/>
        <v>0</v>
      </c>
      <c r="BZ22" s="267">
        <f t="shared" si="90"/>
        <v>0</v>
      </c>
      <c r="CA22" s="270">
        <f t="shared" si="36"/>
        <v>0</v>
      </c>
      <c r="CB22" s="271" t="e">
        <f t="shared" si="37"/>
        <v>#DIV/0!</v>
      </c>
      <c r="CC22" s="266" t="e">
        <f t="shared" si="38"/>
        <v>#DIV/0!</v>
      </c>
      <c r="CD22" s="267">
        <f t="shared" si="39"/>
        <v>0</v>
      </c>
      <c r="CE22" s="272">
        <f t="shared" si="91"/>
        <v>0</v>
      </c>
      <c r="CF22" s="272">
        <f t="shared" si="40"/>
        <v>0</v>
      </c>
      <c r="CG22" s="273" t="e">
        <f t="shared" si="41"/>
        <v>#DIV/0!</v>
      </c>
      <c r="CH22" s="273" t="e">
        <f t="shared" si="42"/>
        <v>#DIV/0!</v>
      </c>
      <c r="CI22" s="274" t="e">
        <f t="shared" si="92"/>
        <v>#DIV/0!</v>
      </c>
      <c r="CJ22" s="275" t="e">
        <f t="shared" si="43"/>
        <v>#DIV/0!</v>
      </c>
      <c r="CK22" s="141" t="e">
        <f t="shared" si="93"/>
        <v>#DIV/0!</v>
      </c>
      <c r="CL22" s="141" t="str">
        <f t="shared" si="44"/>
        <v/>
      </c>
      <c r="CM22" s="276" t="e">
        <f t="shared" si="94"/>
        <v>#DIV/0!</v>
      </c>
      <c r="CN22" s="277" t="e">
        <f t="shared" si="95"/>
        <v>#DIV/0!</v>
      </c>
      <c r="CO22" s="277">
        <f t="shared" si="96"/>
        <v>0</v>
      </c>
      <c r="CP22" s="141">
        <f t="shared" si="45"/>
        <v>1</v>
      </c>
      <c r="CQ22" s="141">
        <f t="shared" si="46"/>
        <v>1</v>
      </c>
      <c r="CR22" s="141" t="str">
        <f t="shared" si="47"/>
        <v/>
      </c>
      <c r="CS22" s="141">
        <f t="shared" si="48"/>
        <v>0</v>
      </c>
      <c r="CT22" s="278">
        <f t="shared" si="49"/>
        <v>0</v>
      </c>
      <c r="CU22" s="141" t="str">
        <f t="shared" si="50"/>
        <v>OK</v>
      </c>
      <c r="CV22" s="223">
        <f t="shared" si="51"/>
        <v>0.05</v>
      </c>
      <c r="CW22" s="278" t="e">
        <f t="shared" si="52"/>
        <v>#DIV/0!</v>
      </c>
      <c r="CX22" s="278" t="e">
        <f t="shared" si="53"/>
        <v>#DIV/0!</v>
      </c>
      <c r="CY22" s="278" t="e">
        <f t="shared" si="54"/>
        <v>#DIV/0!</v>
      </c>
      <c r="CZ22" s="278" t="e">
        <f t="shared" si="55"/>
        <v>#DIV/0!</v>
      </c>
      <c r="DA22" s="278">
        <f t="shared" si="56"/>
        <v>1</v>
      </c>
      <c r="DB22" s="278">
        <f t="shared" si="57"/>
        <v>0</v>
      </c>
      <c r="DC22" s="141" t="str">
        <f t="shared" si="58"/>
        <v>Soft</v>
      </c>
      <c r="DD22" s="141"/>
      <c r="DE22" s="141">
        <f t="shared" si="59"/>
        <v>0</v>
      </c>
      <c r="DF22" s="278" t="e">
        <f t="shared" si="60"/>
        <v>#DIV/0!</v>
      </c>
      <c r="DG22" s="278" t="e">
        <f t="shared" si="61"/>
        <v>#DIV/0!</v>
      </c>
      <c r="DH22" s="278" t="e">
        <f t="shared" si="62"/>
        <v>#DIV/0!</v>
      </c>
      <c r="DI22" s="278" t="e">
        <f t="shared" si="63"/>
        <v>#DIV/0!</v>
      </c>
      <c r="DJ22" s="278" t="e">
        <f t="shared" si="97"/>
        <v>#DIV/0!</v>
      </c>
      <c r="DK22" s="141"/>
      <c r="DL22" s="141"/>
      <c r="DM22" s="141"/>
      <c r="DN22" s="141">
        <f t="shared" si="64"/>
        <v>1</v>
      </c>
      <c r="DO22" s="278" t="e">
        <f t="shared" si="65"/>
        <v>#DIV/0!</v>
      </c>
      <c r="DP22" s="278" t="e">
        <f t="shared" si="66"/>
        <v>#DIV/0!</v>
      </c>
      <c r="DQ22" s="278" t="e">
        <f t="shared" si="67"/>
        <v>#DIV/0!</v>
      </c>
      <c r="DR22" s="278" t="e">
        <f t="shared" si="68"/>
        <v>#DIV/0!</v>
      </c>
      <c r="DS22" s="278" t="e">
        <f t="shared" si="69"/>
        <v>#DIV/0!</v>
      </c>
      <c r="DT22" s="278" t="e">
        <f t="shared" si="70"/>
        <v>#DIV/0!</v>
      </c>
      <c r="DU22" s="278">
        <f t="shared" si="71"/>
        <v>0</v>
      </c>
      <c r="DV22" s="141"/>
      <c r="DW22" s="141" t="b">
        <f t="shared" si="72"/>
        <v>1</v>
      </c>
      <c r="DX22" s="141" t="b">
        <f t="shared" si="72"/>
        <v>1</v>
      </c>
      <c r="DY22" s="141" t="b">
        <f t="shared" si="72"/>
        <v>1</v>
      </c>
      <c r="DZ22" s="141" t="b">
        <f t="shared" si="72"/>
        <v>1</v>
      </c>
      <c r="EA22" s="141" t="b">
        <f t="shared" si="72"/>
        <v>1</v>
      </c>
    </row>
    <row r="23" spans="1:131" ht="18.5" thickBot="1" x14ac:dyDescent="0.45">
      <c r="A23" s="150"/>
      <c r="B23" s="255">
        <f t="shared" si="73"/>
        <v>5</v>
      </c>
      <c r="C23" s="279">
        <v>4</v>
      </c>
      <c r="D23" s="1557"/>
      <c r="E23" s="1562"/>
      <c r="F23" s="951"/>
      <c r="G23" s="1101"/>
      <c r="H23" s="952"/>
      <c r="I23" s="965"/>
      <c r="J23" s="1325"/>
      <c r="K23" s="1326"/>
      <c r="L23" s="1326"/>
      <c r="M23" s="1326"/>
      <c r="N23" s="1327"/>
      <c r="O23" s="957"/>
      <c r="P23" s="958"/>
      <c r="Q23" s="959"/>
      <c r="R23" s="966"/>
      <c r="S23" s="280" t="str">
        <f t="shared" si="74"/>
        <v/>
      </c>
      <c r="T23" s="281" t="str">
        <f t="shared" si="75"/>
        <v/>
      </c>
      <c r="U23" s="282">
        <f t="shared" si="76"/>
        <v>0</v>
      </c>
      <c r="V23" s="259" t="str">
        <f t="shared" si="2"/>
        <v/>
      </c>
      <c r="W23" s="260" t="str">
        <f t="shared" si="3"/>
        <v/>
      </c>
      <c r="X23" s="283">
        <f t="shared" si="4"/>
        <v>0</v>
      </c>
      <c r="Y23" s="284" t="str">
        <f t="shared" si="5"/>
        <v/>
      </c>
      <c r="Z23" s="150"/>
      <c r="AA23" s="141"/>
      <c r="AB23" s="141">
        <v>4</v>
      </c>
      <c r="AC23" s="245">
        <f t="shared" si="6"/>
        <v>5</v>
      </c>
      <c r="AD23" s="245">
        <f t="shared" si="77"/>
        <v>0</v>
      </c>
      <c r="AE23" s="245">
        <f t="shared" si="78"/>
        <v>0</v>
      </c>
      <c r="AF23" s="245"/>
      <c r="AG23" s="263">
        <f t="shared" si="79"/>
        <v>0</v>
      </c>
      <c r="AH23" s="1328">
        <f t="shared" si="7"/>
        <v>0</v>
      </c>
      <c r="AI23" s="1329">
        <f>IF(SUM(AH23:AH$99)=0,0,F23&gt;0)</f>
        <v>0</v>
      </c>
      <c r="AJ23" s="1328">
        <f t="shared" si="8"/>
        <v>0</v>
      </c>
      <c r="AK23" s="1329">
        <f>IF(SUM(AH23:AH$99)=0,0,AND(AI23=FALSE,AJ23=0,SUM(AJ23:AJ$99)&gt;0))</f>
        <v>0</v>
      </c>
      <c r="AL23" s="1329">
        <f t="shared" si="9"/>
        <v>0</v>
      </c>
      <c r="AM23" s="1329">
        <f t="shared" si="10"/>
        <v>0</v>
      </c>
      <c r="AN23" s="1330">
        <f t="shared" si="11"/>
        <v>0</v>
      </c>
      <c r="AO23" s="1330">
        <f t="shared" si="12"/>
        <v>0</v>
      </c>
      <c r="AP23" s="264">
        <f t="shared" si="13"/>
        <v>0</v>
      </c>
      <c r="AQ23" s="264">
        <f t="shared" si="80"/>
        <v>0</v>
      </c>
      <c r="AR23" s="1329">
        <f t="shared" si="14"/>
        <v>0</v>
      </c>
      <c r="AS23" s="1329" t="str">
        <f t="shared" si="81"/>
        <v/>
      </c>
      <c r="AT23" s="1329">
        <f t="shared" si="15"/>
        <v>0</v>
      </c>
      <c r="AU23" s="898">
        <f t="shared" si="82"/>
        <v>0</v>
      </c>
      <c r="AV23" s="1329">
        <f t="shared" si="16"/>
        <v>0</v>
      </c>
      <c r="AW23" s="1329">
        <f t="shared" si="17"/>
        <v>0</v>
      </c>
      <c r="AX23" s="1329">
        <f t="shared" si="18"/>
        <v>0</v>
      </c>
      <c r="AY23" s="897">
        <f t="shared" si="83"/>
        <v>0</v>
      </c>
      <c r="AZ23" s="1329">
        <f t="shared" si="19"/>
        <v>0</v>
      </c>
      <c r="BA23" s="896">
        <f t="shared" si="84"/>
        <v>0</v>
      </c>
      <c r="BB23" s="899" t="str">
        <f t="shared" si="85"/>
        <v/>
      </c>
      <c r="BC23" s="899" t="str">
        <f t="shared" si="86"/>
        <v/>
      </c>
      <c r="BD23" s="1329">
        <f t="shared" si="20"/>
        <v>0</v>
      </c>
      <c r="BE23" s="1329">
        <f t="shared" si="21"/>
        <v>0</v>
      </c>
      <c r="BF23" s="1329">
        <f t="shared" si="22"/>
        <v>0</v>
      </c>
      <c r="BG23" s="1331" t="b">
        <f t="shared" si="23"/>
        <v>0</v>
      </c>
      <c r="BH23" s="265" t="str">
        <f t="shared" si="24"/>
        <v/>
      </c>
      <c r="BI23" s="1332">
        <f t="shared" si="25"/>
        <v>0</v>
      </c>
      <c r="BJ23" s="1333">
        <f t="shared" si="26"/>
        <v>0</v>
      </c>
      <c r="BK23" s="1333">
        <f t="shared" si="87"/>
        <v>0</v>
      </c>
      <c r="BL23" s="1335">
        <f t="shared" si="27"/>
        <v>0</v>
      </c>
      <c r="BM23" s="1334">
        <f t="shared" si="28"/>
        <v>0</v>
      </c>
      <c r="BN23" s="267">
        <f t="shared" si="29"/>
        <v>0</v>
      </c>
      <c r="BO23" s="267">
        <f t="shared" si="30"/>
        <v>0</v>
      </c>
      <c r="BP23" s="1333">
        <f t="shared" si="88"/>
        <v>0</v>
      </c>
      <c r="BQ23" s="270">
        <f t="shared" si="31"/>
        <v>0</v>
      </c>
      <c r="BR23" s="247" t="e">
        <f t="shared" si="32"/>
        <v>#DIV/0!</v>
      </c>
      <c r="BS23" s="1332">
        <f t="shared" si="98"/>
        <v>0</v>
      </c>
      <c r="BT23" s="1333">
        <f t="shared" si="33"/>
        <v>0</v>
      </c>
      <c r="BU23" s="1333">
        <f t="shared" si="33"/>
        <v>0</v>
      </c>
      <c r="BV23" s="268">
        <f t="shared" si="33"/>
        <v>0</v>
      </c>
      <c r="BW23" s="266">
        <f t="shared" si="34"/>
        <v>0</v>
      </c>
      <c r="BX23" s="267">
        <f t="shared" si="35"/>
        <v>0</v>
      </c>
      <c r="BY23" s="1333">
        <f t="shared" si="89"/>
        <v>0</v>
      </c>
      <c r="BZ23" s="267">
        <f t="shared" si="90"/>
        <v>0</v>
      </c>
      <c r="CA23" s="270">
        <f t="shared" si="36"/>
        <v>0</v>
      </c>
      <c r="CB23" s="271" t="e">
        <f t="shared" si="37"/>
        <v>#DIV/0!</v>
      </c>
      <c r="CC23" s="266" t="e">
        <f t="shared" si="38"/>
        <v>#DIV/0!</v>
      </c>
      <c r="CD23" s="267">
        <f t="shared" si="39"/>
        <v>0</v>
      </c>
      <c r="CE23" s="272">
        <f t="shared" si="91"/>
        <v>0</v>
      </c>
      <c r="CF23" s="272">
        <f t="shared" si="40"/>
        <v>0</v>
      </c>
      <c r="CG23" s="273" t="e">
        <f t="shared" si="41"/>
        <v>#DIV/0!</v>
      </c>
      <c r="CH23" s="273" t="e">
        <f t="shared" si="42"/>
        <v>#DIV/0!</v>
      </c>
      <c r="CI23" s="274" t="e">
        <f t="shared" si="92"/>
        <v>#DIV/0!</v>
      </c>
      <c r="CJ23" s="275" t="e">
        <f t="shared" si="43"/>
        <v>#DIV/0!</v>
      </c>
      <c r="CK23" s="141" t="e">
        <f t="shared" si="93"/>
        <v>#DIV/0!</v>
      </c>
      <c r="CL23" s="141" t="str">
        <f t="shared" si="44"/>
        <v/>
      </c>
      <c r="CM23" s="276" t="e">
        <f t="shared" si="94"/>
        <v>#DIV/0!</v>
      </c>
      <c r="CN23" s="277" t="e">
        <f t="shared" si="95"/>
        <v>#DIV/0!</v>
      </c>
      <c r="CO23" s="277">
        <f t="shared" si="96"/>
        <v>0</v>
      </c>
      <c r="CP23" s="141">
        <f t="shared" si="45"/>
        <v>1</v>
      </c>
      <c r="CQ23" s="141">
        <f t="shared" si="46"/>
        <v>1</v>
      </c>
      <c r="CR23" s="141" t="str">
        <f t="shared" si="47"/>
        <v/>
      </c>
      <c r="CS23" s="141">
        <f t="shared" si="48"/>
        <v>0</v>
      </c>
      <c r="CT23" s="278">
        <f t="shared" si="49"/>
        <v>0</v>
      </c>
      <c r="CU23" s="141" t="str">
        <f t="shared" si="50"/>
        <v>OK</v>
      </c>
      <c r="CV23" s="223">
        <f t="shared" si="51"/>
        <v>0.05</v>
      </c>
      <c r="CW23" s="278" t="e">
        <f t="shared" si="52"/>
        <v>#DIV/0!</v>
      </c>
      <c r="CX23" s="278" t="e">
        <f t="shared" si="53"/>
        <v>#DIV/0!</v>
      </c>
      <c r="CY23" s="278" t="e">
        <f t="shared" si="54"/>
        <v>#DIV/0!</v>
      </c>
      <c r="CZ23" s="278" t="e">
        <f t="shared" si="55"/>
        <v>#DIV/0!</v>
      </c>
      <c r="DA23" s="278">
        <f t="shared" si="56"/>
        <v>1</v>
      </c>
      <c r="DB23" s="278">
        <f t="shared" si="57"/>
        <v>0</v>
      </c>
      <c r="DC23" s="141" t="str">
        <f t="shared" si="58"/>
        <v>Soft</v>
      </c>
      <c r="DD23" s="141"/>
      <c r="DE23" s="141">
        <f t="shared" si="59"/>
        <v>0</v>
      </c>
      <c r="DF23" s="278" t="e">
        <f t="shared" si="60"/>
        <v>#DIV/0!</v>
      </c>
      <c r="DG23" s="278" t="e">
        <f t="shared" si="61"/>
        <v>#DIV/0!</v>
      </c>
      <c r="DH23" s="278" t="e">
        <f t="shared" si="62"/>
        <v>#DIV/0!</v>
      </c>
      <c r="DI23" s="278" t="e">
        <f t="shared" si="63"/>
        <v>#DIV/0!</v>
      </c>
      <c r="DJ23" s="278" t="e">
        <f t="shared" si="97"/>
        <v>#DIV/0!</v>
      </c>
      <c r="DK23" s="141"/>
      <c r="DL23" s="141"/>
      <c r="DM23" s="141"/>
      <c r="DN23" s="141">
        <f t="shared" si="64"/>
        <v>1</v>
      </c>
      <c r="DO23" s="278" t="e">
        <f t="shared" si="65"/>
        <v>#DIV/0!</v>
      </c>
      <c r="DP23" s="278" t="e">
        <f t="shared" si="66"/>
        <v>#DIV/0!</v>
      </c>
      <c r="DQ23" s="278" t="e">
        <f t="shared" si="67"/>
        <v>#DIV/0!</v>
      </c>
      <c r="DR23" s="278" t="e">
        <f t="shared" si="68"/>
        <v>#DIV/0!</v>
      </c>
      <c r="DS23" s="278" t="e">
        <f t="shared" si="69"/>
        <v>#DIV/0!</v>
      </c>
      <c r="DT23" s="278" t="e">
        <f t="shared" si="70"/>
        <v>#DIV/0!</v>
      </c>
      <c r="DU23" s="278">
        <f t="shared" si="71"/>
        <v>0</v>
      </c>
      <c r="DV23" s="141"/>
      <c r="DW23" s="141" t="b">
        <f t="shared" si="72"/>
        <v>1</v>
      </c>
      <c r="DX23" s="141" t="b">
        <f t="shared" si="72"/>
        <v>1</v>
      </c>
      <c r="DY23" s="141" t="b">
        <f t="shared" si="72"/>
        <v>1</v>
      </c>
      <c r="DZ23" s="141" t="b">
        <f t="shared" si="72"/>
        <v>1</v>
      </c>
      <c r="EA23" s="141" t="b">
        <f t="shared" si="72"/>
        <v>1</v>
      </c>
    </row>
    <row r="24" spans="1:131" ht="18.5" thickBot="1" x14ac:dyDescent="0.45">
      <c r="A24" s="150"/>
      <c r="B24" s="255">
        <f t="shared" si="73"/>
        <v>5</v>
      </c>
      <c r="C24" s="279">
        <v>5</v>
      </c>
      <c r="D24" s="1557"/>
      <c r="E24" s="1562"/>
      <c r="F24" s="951"/>
      <c r="G24" s="1101"/>
      <c r="H24" s="952"/>
      <c r="I24" s="965"/>
      <c r="J24" s="1325"/>
      <c r="K24" s="1326"/>
      <c r="L24" s="1326"/>
      <c r="M24" s="1326"/>
      <c r="N24" s="1327"/>
      <c r="O24" s="957"/>
      <c r="P24" s="958"/>
      <c r="Q24" s="959"/>
      <c r="R24" s="966"/>
      <c r="S24" s="280" t="str">
        <f t="shared" si="74"/>
        <v/>
      </c>
      <c r="T24" s="281" t="str">
        <f t="shared" si="75"/>
        <v/>
      </c>
      <c r="U24" s="282">
        <f t="shared" si="76"/>
        <v>0</v>
      </c>
      <c r="V24" s="259" t="str">
        <f t="shared" si="2"/>
        <v/>
      </c>
      <c r="W24" s="260" t="str">
        <f t="shared" si="3"/>
        <v/>
      </c>
      <c r="X24" s="283">
        <f t="shared" si="4"/>
        <v>0</v>
      </c>
      <c r="Y24" s="284" t="str">
        <f t="shared" si="5"/>
        <v/>
      </c>
      <c r="Z24" s="150"/>
      <c r="AA24" s="141"/>
      <c r="AB24" s="141">
        <v>5</v>
      </c>
      <c r="AC24" s="245">
        <f t="shared" si="6"/>
        <v>5</v>
      </c>
      <c r="AD24" s="245">
        <f t="shared" si="77"/>
        <v>0</v>
      </c>
      <c r="AE24" s="245">
        <f t="shared" si="78"/>
        <v>0</v>
      </c>
      <c r="AF24" s="245"/>
      <c r="AG24" s="263">
        <f t="shared" si="79"/>
        <v>0</v>
      </c>
      <c r="AH24" s="1328">
        <f t="shared" si="7"/>
        <v>0</v>
      </c>
      <c r="AI24" s="1329">
        <f>IF(SUM(AH24:AH$99)=0,0,F24&gt;0)</f>
        <v>0</v>
      </c>
      <c r="AJ24" s="1328">
        <f t="shared" si="8"/>
        <v>0</v>
      </c>
      <c r="AK24" s="1329">
        <f>IF(SUM(AH24:AH$99)=0,0,AND(AI24=FALSE,AJ24=0,SUM(AJ24:AJ$99)&gt;0))</f>
        <v>0</v>
      </c>
      <c r="AL24" s="1329">
        <f t="shared" si="9"/>
        <v>0</v>
      </c>
      <c r="AM24" s="1329">
        <f t="shared" si="10"/>
        <v>0</v>
      </c>
      <c r="AN24" s="1330">
        <f t="shared" si="11"/>
        <v>0</v>
      </c>
      <c r="AO24" s="1330">
        <f t="shared" si="12"/>
        <v>0</v>
      </c>
      <c r="AP24" s="264">
        <f t="shared" si="13"/>
        <v>0</v>
      </c>
      <c r="AQ24" s="264">
        <f t="shared" si="80"/>
        <v>0</v>
      </c>
      <c r="AR24" s="1329">
        <f t="shared" si="14"/>
        <v>0</v>
      </c>
      <c r="AS24" s="1329" t="str">
        <f t="shared" si="81"/>
        <v/>
      </c>
      <c r="AT24" s="1329">
        <f t="shared" si="15"/>
        <v>0</v>
      </c>
      <c r="AU24" s="898">
        <f t="shared" si="82"/>
        <v>0</v>
      </c>
      <c r="AV24" s="1329">
        <f t="shared" si="16"/>
        <v>0</v>
      </c>
      <c r="AW24" s="1329">
        <f t="shared" si="17"/>
        <v>0</v>
      </c>
      <c r="AX24" s="1329">
        <f t="shared" si="18"/>
        <v>0</v>
      </c>
      <c r="AY24" s="897">
        <f t="shared" si="83"/>
        <v>0</v>
      </c>
      <c r="AZ24" s="1329">
        <f t="shared" si="19"/>
        <v>0</v>
      </c>
      <c r="BA24" s="896">
        <f t="shared" si="84"/>
        <v>0</v>
      </c>
      <c r="BB24" s="899" t="str">
        <f t="shared" si="85"/>
        <v/>
      </c>
      <c r="BC24" s="899" t="str">
        <f t="shared" si="86"/>
        <v/>
      </c>
      <c r="BD24" s="1329">
        <f t="shared" si="20"/>
        <v>0</v>
      </c>
      <c r="BE24" s="1329">
        <f t="shared" si="21"/>
        <v>0</v>
      </c>
      <c r="BF24" s="1329">
        <f t="shared" si="22"/>
        <v>0</v>
      </c>
      <c r="BG24" s="1331" t="b">
        <f t="shared" si="23"/>
        <v>0</v>
      </c>
      <c r="BH24" s="265" t="str">
        <f t="shared" si="24"/>
        <v/>
      </c>
      <c r="BI24" s="1332">
        <f t="shared" si="25"/>
        <v>0</v>
      </c>
      <c r="BJ24" s="1333">
        <f t="shared" si="26"/>
        <v>0</v>
      </c>
      <c r="BK24" s="1333">
        <f t="shared" si="87"/>
        <v>0</v>
      </c>
      <c r="BL24" s="1335">
        <f t="shared" si="27"/>
        <v>0</v>
      </c>
      <c r="BM24" s="1334">
        <f t="shared" si="28"/>
        <v>0</v>
      </c>
      <c r="BN24" s="267">
        <f t="shared" si="29"/>
        <v>0</v>
      </c>
      <c r="BO24" s="267">
        <f t="shared" si="30"/>
        <v>0</v>
      </c>
      <c r="BP24" s="1333">
        <f t="shared" si="88"/>
        <v>0</v>
      </c>
      <c r="BQ24" s="270">
        <f t="shared" si="31"/>
        <v>0</v>
      </c>
      <c r="BR24" s="247" t="e">
        <f t="shared" si="32"/>
        <v>#DIV/0!</v>
      </c>
      <c r="BS24" s="1332">
        <f t="shared" si="98"/>
        <v>0</v>
      </c>
      <c r="BT24" s="1333">
        <f t="shared" si="33"/>
        <v>0</v>
      </c>
      <c r="BU24" s="1333">
        <f t="shared" si="33"/>
        <v>0</v>
      </c>
      <c r="BV24" s="268">
        <f t="shared" si="33"/>
        <v>0</v>
      </c>
      <c r="BW24" s="266">
        <f t="shared" si="34"/>
        <v>0</v>
      </c>
      <c r="BX24" s="267">
        <f t="shared" si="35"/>
        <v>0</v>
      </c>
      <c r="BY24" s="1333">
        <f t="shared" si="89"/>
        <v>0</v>
      </c>
      <c r="BZ24" s="267">
        <f t="shared" si="90"/>
        <v>0</v>
      </c>
      <c r="CA24" s="270">
        <f t="shared" si="36"/>
        <v>0</v>
      </c>
      <c r="CB24" s="271" t="e">
        <f t="shared" si="37"/>
        <v>#DIV/0!</v>
      </c>
      <c r="CC24" s="266" t="e">
        <f t="shared" si="38"/>
        <v>#DIV/0!</v>
      </c>
      <c r="CD24" s="267">
        <f t="shared" si="39"/>
        <v>0</v>
      </c>
      <c r="CE24" s="272">
        <f t="shared" si="91"/>
        <v>0</v>
      </c>
      <c r="CF24" s="272">
        <f t="shared" si="40"/>
        <v>0</v>
      </c>
      <c r="CG24" s="273" t="e">
        <f t="shared" si="41"/>
        <v>#DIV/0!</v>
      </c>
      <c r="CH24" s="273" t="e">
        <f t="shared" si="42"/>
        <v>#DIV/0!</v>
      </c>
      <c r="CI24" s="274" t="e">
        <f t="shared" si="92"/>
        <v>#DIV/0!</v>
      </c>
      <c r="CJ24" s="275" t="e">
        <f t="shared" si="43"/>
        <v>#DIV/0!</v>
      </c>
      <c r="CK24" s="141" t="e">
        <f t="shared" si="93"/>
        <v>#DIV/0!</v>
      </c>
      <c r="CL24" s="141" t="str">
        <f t="shared" si="44"/>
        <v/>
      </c>
      <c r="CM24" s="276" t="e">
        <f t="shared" si="94"/>
        <v>#DIV/0!</v>
      </c>
      <c r="CN24" s="277" t="e">
        <f t="shared" si="95"/>
        <v>#DIV/0!</v>
      </c>
      <c r="CO24" s="277">
        <f t="shared" si="96"/>
        <v>0</v>
      </c>
      <c r="CP24" s="141">
        <f t="shared" si="45"/>
        <v>1</v>
      </c>
      <c r="CQ24" s="141">
        <f t="shared" si="46"/>
        <v>1</v>
      </c>
      <c r="CR24" s="141" t="str">
        <f t="shared" si="47"/>
        <v/>
      </c>
      <c r="CS24" s="141">
        <f t="shared" si="48"/>
        <v>0</v>
      </c>
      <c r="CT24" s="278">
        <f t="shared" si="49"/>
        <v>0</v>
      </c>
      <c r="CU24" s="141" t="str">
        <f t="shared" si="50"/>
        <v>OK</v>
      </c>
      <c r="CV24" s="223">
        <f t="shared" si="51"/>
        <v>0.05</v>
      </c>
      <c r="CW24" s="278" t="e">
        <f t="shared" si="52"/>
        <v>#DIV/0!</v>
      </c>
      <c r="CX24" s="278" t="e">
        <f t="shared" si="53"/>
        <v>#DIV/0!</v>
      </c>
      <c r="CY24" s="278" t="e">
        <f t="shared" si="54"/>
        <v>#DIV/0!</v>
      </c>
      <c r="CZ24" s="278" t="e">
        <f t="shared" si="55"/>
        <v>#DIV/0!</v>
      </c>
      <c r="DA24" s="278">
        <f t="shared" si="56"/>
        <v>1</v>
      </c>
      <c r="DB24" s="278">
        <f t="shared" si="57"/>
        <v>0</v>
      </c>
      <c r="DC24" s="141" t="str">
        <f t="shared" si="58"/>
        <v>Soft</v>
      </c>
      <c r="DD24" s="141"/>
      <c r="DE24" s="141">
        <f t="shared" si="59"/>
        <v>0</v>
      </c>
      <c r="DF24" s="278" t="e">
        <f t="shared" si="60"/>
        <v>#DIV/0!</v>
      </c>
      <c r="DG24" s="278" t="e">
        <f t="shared" si="61"/>
        <v>#DIV/0!</v>
      </c>
      <c r="DH24" s="278" t="e">
        <f t="shared" si="62"/>
        <v>#DIV/0!</v>
      </c>
      <c r="DI24" s="278" t="e">
        <f t="shared" si="63"/>
        <v>#DIV/0!</v>
      </c>
      <c r="DJ24" s="278" t="e">
        <f t="shared" si="97"/>
        <v>#DIV/0!</v>
      </c>
      <c r="DK24" s="141"/>
      <c r="DL24" s="141"/>
      <c r="DM24" s="141"/>
      <c r="DN24" s="141">
        <f t="shared" si="64"/>
        <v>1</v>
      </c>
      <c r="DO24" s="278" t="e">
        <f t="shared" si="65"/>
        <v>#DIV/0!</v>
      </c>
      <c r="DP24" s="278" t="e">
        <f t="shared" si="66"/>
        <v>#DIV/0!</v>
      </c>
      <c r="DQ24" s="278" t="e">
        <f t="shared" si="67"/>
        <v>#DIV/0!</v>
      </c>
      <c r="DR24" s="278" t="e">
        <f t="shared" si="68"/>
        <v>#DIV/0!</v>
      </c>
      <c r="DS24" s="278" t="e">
        <f t="shared" si="69"/>
        <v>#DIV/0!</v>
      </c>
      <c r="DT24" s="278" t="e">
        <f t="shared" si="70"/>
        <v>#DIV/0!</v>
      </c>
      <c r="DU24" s="278">
        <f t="shared" si="71"/>
        <v>0</v>
      </c>
      <c r="DV24" s="141"/>
      <c r="DW24" s="141" t="b">
        <f t="shared" si="72"/>
        <v>1</v>
      </c>
      <c r="DX24" s="141" t="b">
        <f t="shared" si="72"/>
        <v>1</v>
      </c>
      <c r="DY24" s="141" t="b">
        <f t="shared" si="72"/>
        <v>1</v>
      </c>
      <c r="DZ24" s="141" t="b">
        <f t="shared" si="72"/>
        <v>1</v>
      </c>
      <c r="EA24" s="141" t="b">
        <f t="shared" si="72"/>
        <v>1</v>
      </c>
    </row>
    <row r="25" spans="1:131" s="147" customFormat="1" ht="18.649999999999999" hidden="1" customHeight="1" thickBot="1" x14ac:dyDescent="0.45">
      <c r="A25" s="285"/>
      <c r="B25" s="286" t="str">
        <f t="shared" si="73"/>
        <v>-</v>
      </c>
      <c r="C25" s="287">
        <v>6</v>
      </c>
      <c r="D25" s="1557"/>
      <c r="E25" s="1562"/>
      <c r="F25" s="967"/>
      <c r="G25" s="1102"/>
      <c r="H25" s="968"/>
      <c r="I25" s="969"/>
      <c r="J25" s="1336"/>
      <c r="K25" s="1337"/>
      <c r="L25" s="1337"/>
      <c r="M25" s="1337"/>
      <c r="N25" s="1338"/>
      <c r="O25" s="970"/>
      <c r="P25" s="971"/>
      <c r="Q25" s="972"/>
      <c r="R25" s="973"/>
      <c r="S25" s="288" t="str">
        <f t="shared" si="74"/>
        <v/>
      </c>
      <c r="T25" s="289" t="str">
        <f t="shared" si="75"/>
        <v/>
      </c>
      <c r="U25" s="290">
        <f t="shared" si="76"/>
        <v>0</v>
      </c>
      <c r="V25" s="291" t="str">
        <f t="shared" si="2"/>
        <v/>
      </c>
      <c r="W25" s="292" t="str">
        <f t="shared" si="3"/>
        <v/>
      </c>
      <c r="X25" s="293">
        <f t="shared" si="4"/>
        <v>0</v>
      </c>
      <c r="Y25" s="294" t="str">
        <f t="shared" si="5"/>
        <v/>
      </c>
      <c r="Z25" s="285"/>
      <c r="AA25" s="141"/>
      <c r="AB25" s="141">
        <v>6</v>
      </c>
      <c r="AC25" s="245" t="str">
        <f t="shared" si="6"/>
        <v>-</v>
      </c>
      <c r="AD25" s="245">
        <f t="shared" si="77"/>
        <v>0</v>
      </c>
      <c r="AE25" s="245">
        <f t="shared" si="78"/>
        <v>0</v>
      </c>
      <c r="AF25" s="245"/>
      <c r="AG25" s="263">
        <f t="shared" si="79"/>
        <v>0</v>
      </c>
      <c r="AH25" s="1328">
        <f t="shared" si="7"/>
        <v>0</v>
      </c>
      <c r="AI25" s="1329">
        <f>IF(SUM(AH25:AH$99)=0,0,F25&gt;0)</f>
        <v>0</v>
      </c>
      <c r="AJ25" s="1328">
        <f t="shared" si="8"/>
        <v>0</v>
      </c>
      <c r="AK25" s="1329">
        <f>IF(SUM(AH25:AH$99)=0,0,AND(AI25=FALSE,AJ25=0,SUM(AJ25:AJ$99)&gt;0))</f>
        <v>0</v>
      </c>
      <c r="AL25" s="1329">
        <f t="shared" si="9"/>
        <v>0</v>
      </c>
      <c r="AM25" s="1329">
        <f t="shared" si="10"/>
        <v>0</v>
      </c>
      <c r="AN25" s="1330">
        <f t="shared" si="11"/>
        <v>0</v>
      </c>
      <c r="AO25" s="1330">
        <f t="shared" si="12"/>
        <v>0</v>
      </c>
      <c r="AP25" s="264">
        <f t="shared" si="13"/>
        <v>0</v>
      </c>
      <c r="AQ25" s="264">
        <f t="shared" si="80"/>
        <v>0</v>
      </c>
      <c r="AR25" s="1329">
        <f t="shared" si="14"/>
        <v>0</v>
      </c>
      <c r="AS25" s="1329" t="str">
        <f t="shared" si="81"/>
        <v/>
      </c>
      <c r="AT25" s="1329">
        <f t="shared" si="15"/>
        <v>0</v>
      </c>
      <c r="AU25" s="898">
        <f t="shared" si="82"/>
        <v>0</v>
      </c>
      <c r="AV25" s="1329">
        <f t="shared" si="16"/>
        <v>0</v>
      </c>
      <c r="AW25" s="1329">
        <f t="shared" si="17"/>
        <v>0</v>
      </c>
      <c r="AX25" s="1329">
        <f t="shared" si="18"/>
        <v>0</v>
      </c>
      <c r="AY25" s="897">
        <f t="shared" si="83"/>
        <v>0</v>
      </c>
      <c r="AZ25" s="1329">
        <f t="shared" si="19"/>
        <v>0</v>
      </c>
      <c r="BA25" s="896">
        <f t="shared" si="84"/>
        <v>0</v>
      </c>
      <c r="BB25" s="899" t="str">
        <f t="shared" si="85"/>
        <v/>
      </c>
      <c r="BC25" s="899" t="str">
        <f t="shared" si="86"/>
        <v/>
      </c>
      <c r="BD25" s="1329">
        <f t="shared" si="20"/>
        <v>0</v>
      </c>
      <c r="BE25" s="1329">
        <f t="shared" si="21"/>
        <v>0</v>
      </c>
      <c r="BF25" s="1329">
        <f t="shared" si="22"/>
        <v>0</v>
      </c>
      <c r="BG25" s="1331" t="b">
        <f t="shared" si="23"/>
        <v>0</v>
      </c>
      <c r="BH25" s="265" t="str">
        <f t="shared" si="24"/>
        <v/>
      </c>
      <c r="BI25" s="1332">
        <f t="shared" si="25"/>
        <v>0</v>
      </c>
      <c r="BJ25" s="1333">
        <f t="shared" si="26"/>
        <v>0</v>
      </c>
      <c r="BK25" s="1333">
        <f t="shared" si="87"/>
        <v>0</v>
      </c>
      <c r="BL25" s="1335">
        <f t="shared" si="27"/>
        <v>0</v>
      </c>
      <c r="BM25" s="1334">
        <f t="shared" si="28"/>
        <v>0</v>
      </c>
      <c r="BN25" s="267">
        <f t="shared" si="29"/>
        <v>0</v>
      </c>
      <c r="BO25" s="267">
        <f t="shared" si="30"/>
        <v>0</v>
      </c>
      <c r="BP25" s="1333">
        <f t="shared" si="88"/>
        <v>0</v>
      </c>
      <c r="BQ25" s="270">
        <f t="shared" si="31"/>
        <v>0</v>
      </c>
      <c r="BR25" s="247" t="e">
        <f t="shared" si="32"/>
        <v>#DIV/0!</v>
      </c>
      <c r="BS25" s="1332">
        <f t="shared" si="98"/>
        <v>0</v>
      </c>
      <c r="BT25" s="1333">
        <f t="shared" si="33"/>
        <v>0</v>
      </c>
      <c r="BU25" s="1333">
        <f t="shared" si="33"/>
        <v>0</v>
      </c>
      <c r="BV25" s="268">
        <f t="shared" si="33"/>
        <v>0</v>
      </c>
      <c r="BW25" s="266">
        <f t="shared" si="34"/>
        <v>0</v>
      </c>
      <c r="BX25" s="267">
        <f t="shared" si="35"/>
        <v>0</v>
      </c>
      <c r="BY25" s="1333">
        <f t="shared" si="89"/>
        <v>0</v>
      </c>
      <c r="BZ25" s="267">
        <f t="shared" si="90"/>
        <v>0</v>
      </c>
      <c r="CA25" s="270">
        <f t="shared" si="36"/>
        <v>0</v>
      </c>
      <c r="CB25" s="271" t="e">
        <f t="shared" si="37"/>
        <v>#DIV/0!</v>
      </c>
      <c r="CC25" s="266" t="e">
        <f t="shared" si="38"/>
        <v>#DIV/0!</v>
      </c>
      <c r="CD25" s="267">
        <f t="shared" si="39"/>
        <v>0</v>
      </c>
      <c r="CE25" s="272">
        <f t="shared" si="91"/>
        <v>0</v>
      </c>
      <c r="CF25" s="272">
        <f t="shared" si="40"/>
        <v>0</v>
      </c>
      <c r="CG25" s="273" t="e">
        <f t="shared" si="41"/>
        <v>#DIV/0!</v>
      </c>
      <c r="CH25" s="273" t="e">
        <f t="shared" si="42"/>
        <v>#DIV/0!</v>
      </c>
      <c r="CI25" s="274" t="e">
        <f t="shared" si="92"/>
        <v>#DIV/0!</v>
      </c>
      <c r="CJ25" s="275" t="e">
        <f t="shared" si="43"/>
        <v>#DIV/0!</v>
      </c>
      <c r="CK25" s="141" t="e">
        <f t="shared" si="93"/>
        <v>#DIV/0!</v>
      </c>
      <c r="CL25" s="141" t="str">
        <f t="shared" si="44"/>
        <v/>
      </c>
      <c r="CM25" s="276" t="e">
        <f t="shared" si="94"/>
        <v>#DIV/0!</v>
      </c>
      <c r="CN25" s="277" t="e">
        <f t="shared" si="95"/>
        <v>#DIV/0!</v>
      </c>
      <c r="CO25" s="277">
        <f t="shared" si="96"/>
        <v>0</v>
      </c>
      <c r="CP25" s="141">
        <f t="shared" si="45"/>
        <v>1</v>
      </c>
      <c r="CQ25" s="141">
        <f t="shared" si="46"/>
        <v>1</v>
      </c>
      <c r="CR25" s="141" t="str">
        <f t="shared" si="47"/>
        <v/>
      </c>
      <c r="CS25" s="141">
        <f t="shared" si="48"/>
        <v>0</v>
      </c>
      <c r="CT25" s="278">
        <f t="shared" si="49"/>
        <v>0</v>
      </c>
      <c r="CU25" s="141" t="str">
        <f t="shared" si="50"/>
        <v>OK</v>
      </c>
      <c r="CV25" s="223">
        <f t="shared" si="51"/>
        <v>0.05</v>
      </c>
      <c r="CW25" s="278" t="e">
        <f t="shared" si="52"/>
        <v>#DIV/0!</v>
      </c>
      <c r="CX25" s="278" t="e">
        <f t="shared" si="53"/>
        <v>#DIV/0!</v>
      </c>
      <c r="CY25" s="278" t="e">
        <f t="shared" si="54"/>
        <v>#DIV/0!</v>
      </c>
      <c r="CZ25" s="278" t="e">
        <f t="shared" si="55"/>
        <v>#DIV/0!</v>
      </c>
      <c r="DA25" s="278">
        <f t="shared" si="56"/>
        <v>1</v>
      </c>
      <c r="DB25" s="278">
        <f t="shared" si="57"/>
        <v>0</v>
      </c>
      <c r="DC25" s="141" t="str">
        <f t="shared" si="58"/>
        <v>Soft</v>
      </c>
      <c r="DD25" s="141"/>
      <c r="DE25" s="141">
        <f t="shared" si="59"/>
        <v>0</v>
      </c>
      <c r="DF25" s="278" t="e">
        <f t="shared" si="60"/>
        <v>#DIV/0!</v>
      </c>
      <c r="DG25" s="278" t="e">
        <f t="shared" si="61"/>
        <v>#DIV/0!</v>
      </c>
      <c r="DH25" s="278" t="e">
        <f t="shared" si="62"/>
        <v>#DIV/0!</v>
      </c>
      <c r="DI25" s="278" t="e">
        <f t="shared" si="63"/>
        <v>#DIV/0!</v>
      </c>
      <c r="DJ25" s="278" t="e">
        <f t="shared" si="97"/>
        <v>#DIV/0!</v>
      </c>
      <c r="DK25" s="141"/>
      <c r="DL25" s="141"/>
      <c r="DM25" s="141"/>
      <c r="DN25" s="141">
        <f t="shared" si="64"/>
        <v>1</v>
      </c>
      <c r="DO25" s="278" t="e">
        <f t="shared" si="65"/>
        <v>#DIV/0!</v>
      </c>
      <c r="DP25" s="278" t="e">
        <f t="shared" si="66"/>
        <v>#DIV/0!</v>
      </c>
      <c r="DQ25" s="278" t="e">
        <f t="shared" si="67"/>
        <v>#DIV/0!</v>
      </c>
      <c r="DR25" s="278" t="e">
        <f t="shared" si="68"/>
        <v>#DIV/0!</v>
      </c>
      <c r="DS25" s="278" t="e">
        <f t="shared" si="69"/>
        <v>#DIV/0!</v>
      </c>
      <c r="DT25" s="278" t="e">
        <f t="shared" si="70"/>
        <v>#DIV/0!</v>
      </c>
      <c r="DU25" s="278">
        <f t="shared" si="71"/>
        <v>0</v>
      </c>
      <c r="DV25" s="141"/>
      <c r="DW25" s="141" t="b">
        <f t="shared" si="72"/>
        <v>1</v>
      </c>
      <c r="DX25" s="141" t="b">
        <f t="shared" si="72"/>
        <v>1</v>
      </c>
      <c r="DY25" s="141" t="b">
        <f t="shared" si="72"/>
        <v>1</v>
      </c>
      <c r="DZ25" s="141" t="b">
        <f t="shared" si="72"/>
        <v>1</v>
      </c>
      <c r="EA25" s="141" t="b">
        <f t="shared" si="72"/>
        <v>1</v>
      </c>
    </row>
    <row r="26" spans="1:131" s="147" customFormat="1" ht="18.649999999999999" hidden="1" customHeight="1" thickBot="1" x14ac:dyDescent="0.45">
      <c r="A26" s="285"/>
      <c r="B26" s="286" t="str">
        <f t="shared" si="73"/>
        <v>-</v>
      </c>
      <c r="C26" s="287">
        <v>7</v>
      </c>
      <c r="D26" s="1557"/>
      <c r="E26" s="1562"/>
      <c r="F26" s="967"/>
      <c r="G26" s="1102"/>
      <c r="H26" s="968"/>
      <c r="I26" s="969"/>
      <c r="J26" s="1336"/>
      <c r="K26" s="1337"/>
      <c r="L26" s="1337"/>
      <c r="M26" s="1337"/>
      <c r="N26" s="1338"/>
      <c r="O26" s="970"/>
      <c r="P26" s="971"/>
      <c r="Q26" s="972"/>
      <c r="R26" s="973"/>
      <c r="S26" s="288" t="str">
        <f t="shared" si="74"/>
        <v/>
      </c>
      <c r="T26" s="289" t="str">
        <f t="shared" si="75"/>
        <v/>
      </c>
      <c r="U26" s="290">
        <f t="shared" si="76"/>
        <v>0</v>
      </c>
      <c r="V26" s="291" t="str">
        <f t="shared" si="2"/>
        <v/>
      </c>
      <c r="W26" s="292" t="str">
        <f t="shared" si="3"/>
        <v/>
      </c>
      <c r="X26" s="293">
        <f t="shared" si="4"/>
        <v>0</v>
      </c>
      <c r="Y26" s="294" t="str">
        <f t="shared" si="5"/>
        <v/>
      </c>
      <c r="Z26" s="285"/>
      <c r="AA26" s="141"/>
      <c r="AB26" s="141">
        <v>7</v>
      </c>
      <c r="AC26" s="245" t="str">
        <f t="shared" si="6"/>
        <v>-</v>
      </c>
      <c r="AD26" s="245">
        <f t="shared" si="77"/>
        <v>0</v>
      </c>
      <c r="AE26" s="245">
        <f t="shared" si="78"/>
        <v>0</v>
      </c>
      <c r="AF26" s="245"/>
      <c r="AG26" s="263">
        <f t="shared" si="79"/>
        <v>0</v>
      </c>
      <c r="AH26" s="1328">
        <f t="shared" si="7"/>
        <v>0</v>
      </c>
      <c r="AI26" s="1329">
        <f>IF(SUM(AH26:AH$99)=0,0,F26&gt;0)</f>
        <v>0</v>
      </c>
      <c r="AJ26" s="1328">
        <f t="shared" si="8"/>
        <v>0</v>
      </c>
      <c r="AK26" s="1329">
        <f>IF(SUM(AH26:AH$99)=0,0,AND(AI26=FALSE,AJ26=0,SUM(AJ26:AJ$99)&gt;0))</f>
        <v>0</v>
      </c>
      <c r="AL26" s="1329">
        <f t="shared" si="9"/>
        <v>0</v>
      </c>
      <c r="AM26" s="1329">
        <f t="shared" si="10"/>
        <v>0</v>
      </c>
      <c r="AN26" s="1330">
        <f t="shared" si="11"/>
        <v>0</v>
      </c>
      <c r="AO26" s="1330">
        <f t="shared" si="12"/>
        <v>0</v>
      </c>
      <c r="AP26" s="264">
        <f t="shared" si="13"/>
        <v>0</v>
      </c>
      <c r="AQ26" s="264">
        <f t="shared" si="80"/>
        <v>0</v>
      </c>
      <c r="AR26" s="1329">
        <f t="shared" si="14"/>
        <v>0</v>
      </c>
      <c r="AS26" s="1329" t="str">
        <f t="shared" si="81"/>
        <v/>
      </c>
      <c r="AT26" s="1329">
        <f t="shared" si="15"/>
        <v>0</v>
      </c>
      <c r="AU26" s="898">
        <f t="shared" si="82"/>
        <v>0</v>
      </c>
      <c r="AV26" s="1329">
        <f t="shared" si="16"/>
        <v>0</v>
      </c>
      <c r="AW26" s="1329">
        <f t="shared" si="17"/>
        <v>0</v>
      </c>
      <c r="AX26" s="1329">
        <f t="shared" si="18"/>
        <v>0</v>
      </c>
      <c r="AY26" s="897">
        <f t="shared" si="83"/>
        <v>0</v>
      </c>
      <c r="AZ26" s="1329">
        <f t="shared" si="19"/>
        <v>0</v>
      </c>
      <c r="BA26" s="896">
        <f t="shared" si="84"/>
        <v>0</v>
      </c>
      <c r="BB26" s="899" t="str">
        <f t="shared" si="85"/>
        <v/>
      </c>
      <c r="BC26" s="899" t="str">
        <f t="shared" si="86"/>
        <v/>
      </c>
      <c r="BD26" s="1329">
        <f t="shared" si="20"/>
        <v>0</v>
      </c>
      <c r="BE26" s="1329">
        <f t="shared" si="21"/>
        <v>0</v>
      </c>
      <c r="BF26" s="1329">
        <f t="shared" si="22"/>
        <v>0</v>
      </c>
      <c r="BG26" s="1331" t="b">
        <f t="shared" si="23"/>
        <v>0</v>
      </c>
      <c r="BH26" s="265" t="str">
        <f t="shared" si="24"/>
        <v/>
      </c>
      <c r="BI26" s="1332">
        <f t="shared" si="25"/>
        <v>0</v>
      </c>
      <c r="BJ26" s="1333">
        <f t="shared" si="26"/>
        <v>0</v>
      </c>
      <c r="BK26" s="1333">
        <f t="shared" si="87"/>
        <v>0</v>
      </c>
      <c r="BL26" s="1335">
        <f t="shared" si="27"/>
        <v>0</v>
      </c>
      <c r="BM26" s="1334">
        <f t="shared" si="28"/>
        <v>0</v>
      </c>
      <c r="BN26" s="267">
        <f t="shared" si="29"/>
        <v>0</v>
      </c>
      <c r="BO26" s="267">
        <f t="shared" si="30"/>
        <v>0</v>
      </c>
      <c r="BP26" s="1333">
        <f t="shared" si="88"/>
        <v>0</v>
      </c>
      <c r="BQ26" s="270">
        <f t="shared" si="31"/>
        <v>0</v>
      </c>
      <c r="BR26" s="247" t="e">
        <f t="shared" si="32"/>
        <v>#DIV/0!</v>
      </c>
      <c r="BS26" s="1332">
        <f t="shared" si="98"/>
        <v>0</v>
      </c>
      <c r="BT26" s="1333">
        <f t="shared" si="33"/>
        <v>0</v>
      </c>
      <c r="BU26" s="1333">
        <f t="shared" si="33"/>
        <v>0</v>
      </c>
      <c r="BV26" s="268">
        <f t="shared" si="33"/>
        <v>0</v>
      </c>
      <c r="BW26" s="266">
        <f t="shared" si="34"/>
        <v>0</v>
      </c>
      <c r="BX26" s="267">
        <f t="shared" si="35"/>
        <v>0</v>
      </c>
      <c r="BY26" s="1333">
        <f t="shared" si="89"/>
        <v>0</v>
      </c>
      <c r="BZ26" s="267">
        <f t="shared" si="90"/>
        <v>0</v>
      </c>
      <c r="CA26" s="270">
        <f t="shared" si="36"/>
        <v>0</v>
      </c>
      <c r="CB26" s="271" t="e">
        <f t="shared" si="37"/>
        <v>#DIV/0!</v>
      </c>
      <c r="CC26" s="266" t="e">
        <f t="shared" si="38"/>
        <v>#DIV/0!</v>
      </c>
      <c r="CD26" s="267">
        <f t="shared" si="39"/>
        <v>0</v>
      </c>
      <c r="CE26" s="272">
        <f t="shared" si="91"/>
        <v>0</v>
      </c>
      <c r="CF26" s="272">
        <f t="shared" si="40"/>
        <v>0</v>
      </c>
      <c r="CG26" s="273" t="e">
        <f t="shared" si="41"/>
        <v>#DIV/0!</v>
      </c>
      <c r="CH26" s="273" t="e">
        <f t="shared" si="42"/>
        <v>#DIV/0!</v>
      </c>
      <c r="CI26" s="274" t="e">
        <f t="shared" si="92"/>
        <v>#DIV/0!</v>
      </c>
      <c r="CJ26" s="275" t="e">
        <f t="shared" si="43"/>
        <v>#DIV/0!</v>
      </c>
      <c r="CK26" s="141" t="e">
        <f t="shared" si="93"/>
        <v>#DIV/0!</v>
      </c>
      <c r="CL26" s="141" t="str">
        <f t="shared" si="44"/>
        <v/>
      </c>
      <c r="CM26" s="276" t="e">
        <f t="shared" si="94"/>
        <v>#DIV/0!</v>
      </c>
      <c r="CN26" s="277" t="e">
        <f t="shared" si="95"/>
        <v>#DIV/0!</v>
      </c>
      <c r="CO26" s="277">
        <f t="shared" si="96"/>
        <v>0</v>
      </c>
      <c r="CP26" s="141">
        <f t="shared" si="45"/>
        <v>1</v>
      </c>
      <c r="CQ26" s="141">
        <f t="shared" si="46"/>
        <v>1</v>
      </c>
      <c r="CR26" s="141" t="str">
        <f t="shared" si="47"/>
        <v/>
      </c>
      <c r="CS26" s="141">
        <f t="shared" si="48"/>
        <v>0</v>
      </c>
      <c r="CT26" s="278">
        <f t="shared" si="49"/>
        <v>0</v>
      </c>
      <c r="CU26" s="141" t="str">
        <f t="shared" si="50"/>
        <v>OK</v>
      </c>
      <c r="CV26" s="223">
        <f t="shared" si="51"/>
        <v>0.05</v>
      </c>
      <c r="CW26" s="278" t="e">
        <f t="shared" si="52"/>
        <v>#DIV/0!</v>
      </c>
      <c r="CX26" s="278" t="e">
        <f t="shared" si="53"/>
        <v>#DIV/0!</v>
      </c>
      <c r="CY26" s="278" t="e">
        <f t="shared" si="54"/>
        <v>#DIV/0!</v>
      </c>
      <c r="CZ26" s="278" t="e">
        <f t="shared" si="55"/>
        <v>#DIV/0!</v>
      </c>
      <c r="DA26" s="278">
        <f t="shared" si="56"/>
        <v>1</v>
      </c>
      <c r="DB26" s="278">
        <f t="shared" si="57"/>
        <v>0</v>
      </c>
      <c r="DC26" s="141" t="str">
        <f t="shared" si="58"/>
        <v>Soft</v>
      </c>
      <c r="DD26" s="141"/>
      <c r="DE26" s="141">
        <f t="shared" si="59"/>
        <v>0</v>
      </c>
      <c r="DF26" s="278" t="e">
        <f t="shared" si="60"/>
        <v>#DIV/0!</v>
      </c>
      <c r="DG26" s="278" t="e">
        <f t="shared" si="61"/>
        <v>#DIV/0!</v>
      </c>
      <c r="DH26" s="278" t="e">
        <f t="shared" si="62"/>
        <v>#DIV/0!</v>
      </c>
      <c r="DI26" s="278" t="e">
        <f t="shared" si="63"/>
        <v>#DIV/0!</v>
      </c>
      <c r="DJ26" s="278" t="e">
        <f t="shared" si="97"/>
        <v>#DIV/0!</v>
      </c>
      <c r="DK26" s="141"/>
      <c r="DL26" s="141"/>
      <c r="DM26" s="141"/>
      <c r="DN26" s="141">
        <f t="shared" si="64"/>
        <v>1</v>
      </c>
      <c r="DO26" s="278" t="e">
        <f t="shared" si="65"/>
        <v>#DIV/0!</v>
      </c>
      <c r="DP26" s="278" t="e">
        <f t="shared" si="66"/>
        <v>#DIV/0!</v>
      </c>
      <c r="DQ26" s="278" t="e">
        <f t="shared" si="67"/>
        <v>#DIV/0!</v>
      </c>
      <c r="DR26" s="278" t="e">
        <f t="shared" si="68"/>
        <v>#DIV/0!</v>
      </c>
      <c r="DS26" s="278" t="e">
        <f t="shared" si="69"/>
        <v>#DIV/0!</v>
      </c>
      <c r="DT26" s="278" t="e">
        <f t="shared" si="70"/>
        <v>#DIV/0!</v>
      </c>
      <c r="DU26" s="278">
        <f t="shared" si="71"/>
        <v>0</v>
      </c>
      <c r="DV26" s="141"/>
      <c r="DW26" s="141" t="b">
        <f t="shared" si="72"/>
        <v>1</v>
      </c>
      <c r="DX26" s="141" t="b">
        <f t="shared" si="72"/>
        <v>1</v>
      </c>
      <c r="DY26" s="141" t="b">
        <f t="shared" si="72"/>
        <v>1</v>
      </c>
      <c r="DZ26" s="141" t="b">
        <f t="shared" si="72"/>
        <v>1</v>
      </c>
      <c r="EA26" s="141" t="b">
        <f t="shared" si="72"/>
        <v>1</v>
      </c>
    </row>
    <row r="27" spans="1:131" s="147" customFormat="1" ht="18.649999999999999" hidden="1" customHeight="1" thickBot="1" x14ac:dyDescent="0.45">
      <c r="A27" s="285"/>
      <c r="B27" s="286" t="str">
        <f t="shared" si="73"/>
        <v>-</v>
      </c>
      <c r="C27" s="287">
        <v>8</v>
      </c>
      <c r="D27" s="1557"/>
      <c r="E27" s="1562"/>
      <c r="F27" s="967"/>
      <c r="G27" s="1102"/>
      <c r="H27" s="968"/>
      <c r="I27" s="969"/>
      <c r="J27" s="1336"/>
      <c r="K27" s="1337"/>
      <c r="L27" s="1337"/>
      <c r="M27" s="1337"/>
      <c r="N27" s="1338"/>
      <c r="O27" s="970"/>
      <c r="P27" s="971"/>
      <c r="Q27" s="972"/>
      <c r="R27" s="973"/>
      <c r="S27" s="288" t="str">
        <f t="shared" si="74"/>
        <v/>
      </c>
      <c r="T27" s="289" t="str">
        <f t="shared" si="75"/>
        <v/>
      </c>
      <c r="U27" s="290">
        <f t="shared" si="76"/>
        <v>0</v>
      </c>
      <c r="V27" s="291" t="str">
        <f t="shared" si="2"/>
        <v/>
      </c>
      <c r="W27" s="292" t="str">
        <f t="shared" si="3"/>
        <v/>
      </c>
      <c r="X27" s="293">
        <f t="shared" si="4"/>
        <v>0</v>
      </c>
      <c r="Y27" s="294" t="str">
        <f t="shared" si="5"/>
        <v/>
      </c>
      <c r="Z27" s="285"/>
      <c r="AA27" s="141"/>
      <c r="AB27" s="141">
        <v>8</v>
      </c>
      <c r="AC27" s="245" t="str">
        <f t="shared" si="6"/>
        <v>-</v>
      </c>
      <c r="AD27" s="245">
        <f t="shared" si="77"/>
        <v>0</v>
      </c>
      <c r="AE27" s="245">
        <f t="shared" si="78"/>
        <v>0</v>
      </c>
      <c r="AF27" s="245"/>
      <c r="AG27" s="263">
        <f t="shared" si="79"/>
        <v>0</v>
      </c>
      <c r="AH27" s="1328">
        <f t="shared" si="7"/>
        <v>0</v>
      </c>
      <c r="AI27" s="1329">
        <f>IF(SUM(AH27:AH$99)=0,0,F27&gt;0)</f>
        <v>0</v>
      </c>
      <c r="AJ27" s="1328">
        <f t="shared" si="8"/>
        <v>0</v>
      </c>
      <c r="AK27" s="1329">
        <f>IF(SUM(AH27:AH$99)=0,0,AND(AI27=FALSE,AJ27=0,SUM(AJ27:AJ$99)&gt;0))</f>
        <v>0</v>
      </c>
      <c r="AL27" s="1329">
        <f t="shared" si="9"/>
        <v>0</v>
      </c>
      <c r="AM27" s="1329">
        <f t="shared" si="10"/>
        <v>0</v>
      </c>
      <c r="AN27" s="1330">
        <f t="shared" si="11"/>
        <v>0</v>
      </c>
      <c r="AO27" s="1330">
        <f t="shared" si="12"/>
        <v>0</v>
      </c>
      <c r="AP27" s="264">
        <f t="shared" si="13"/>
        <v>0</v>
      </c>
      <c r="AQ27" s="264">
        <f t="shared" si="80"/>
        <v>0</v>
      </c>
      <c r="AR27" s="1329">
        <f t="shared" si="14"/>
        <v>0</v>
      </c>
      <c r="AS27" s="1329" t="str">
        <f t="shared" si="81"/>
        <v/>
      </c>
      <c r="AT27" s="1329">
        <f t="shared" si="15"/>
        <v>0</v>
      </c>
      <c r="AU27" s="898">
        <f t="shared" si="82"/>
        <v>0</v>
      </c>
      <c r="AV27" s="1329">
        <f t="shared" si="16"/>
        <v>0</v>
      </c>
      <c r="AW27" s="1329">
        <f t="shared" si="17"/>
        <v>0</v>
      </c>
      <c r="AX27" s="1329">
        <f t="shared" si="18"/>
        <v>0</v>
      </c>
      <c r="AY27" s="897">
        <f t="shared" si="83"/>
        <v>0</v>
      </c>
      <c r="AZ27" s="1329">
        <f t="shared" si="19"/>
        <v>0</v>
      </c>
      <c r="BA27" s="896">
        <f t="shared" si="84"/>
        <v>0</v>
      </c>
      <c r="BB27" s="899" t="str">
        <f t="shared" si="85"/>
        <v/>
      </c>
      <c r="BC27" s="899" t="str">
        <f t="shared" si="86"/>
        <v/>
      </c>
      <c r="BD27" s="1329">
        <f t="shared" si="20"/>
        <v>0</v>
      </c>
      <c r="BE27" s="1329">
        <f t="shared" si="21"/>
        <v>0</v>
      </c>
      <c r="BF27" s="1329">
        <f t="shared" si="22"/>
        <v>0</v>
      </c>
      <c r="BG27" s="1331" t="b">
        <f t="shared" si="23"/>
        <v>0</v>
      </c>
      <c r="BH27" s="265" t="str">
        <f t="shared" si="24"/>
        <v/>
      </c>
      <c r="BI27" s="1332">
        <f t="shared" si="25"/>
        <v>0</v>
      </c>
      <c r="BJ27" s="1333">
        <f t="shared" si="26"/>
        <v>0</v>
      </c>
      <c r="BK27" s="1333">
        <f t="shared" si="87"/>
        <v>0</v>
      </c>
      <c r="BL27" s="1335">
        <f t="shared" si="27"/>
        <v>0</v>
      </c>
      <c r="BM27" s="1334">
        <f t="shared" si="28"/>
        <v>0</v>
      </c>
      <c r="BN27" s="267">
        <f t="shared" si="29"/>
        <v>0</v>
      </c>
      <c r="BO27" s="267">
        <f t="shared" si="30"/>
        <v>0</v>
      </c>
      <c r="BP27" s="1333">
        <f t="shared" si="88"/>
        <v>0</v>
      </c>
      <c r="BQ27" s="270">
        <f t="shared" si="31"/>
        <v>0</v>
      </c>
      <c r="BR27" s="247" t="e">
        <f t="shared" si="32"/>
        <v>#DIV/0!</v>
      </c>
      <c r="BS27" s="1332">
        <f t="shared" si="98"/>
        <v>0</v>
      </c>
      <c r="BT27" s="1333">
        <f t="shared" si="33"/>
        <v>0</v>
      </c>
      <c r="BU27" s="1333">
        <f t="shared" si="33"/>
        <v>0</v>
      </c>
      <c r="BV27" s="268">
        <f t="shared" si="33"/>
        <v>0</v>
      </c>
      <c r="BW27" s="266">
        <f t="shared" si="34"/>
        <v>0</v>
      </c>
      <c r="BX27" s="267">
        <f t="shared" si="35"/>
        <v>0</v>
      </c>
      <c r="BY27" s="1333">
        <f t="shared" si="89"/>
        <v>0</v>
      </c>
      <c r="BZ27" s="267">
        <f t="shared" si="90"/>
        <v>0</v>
      </c>
      <c r="CA27" s="270">
        <f t="shared" si="36"/>
        <v>0</v>
      </c>
      <c r="CB27" s="271" t="e">
        <f t="shared" si="37"/>
        <v>#DIV/0!</v>
      </c>
      <c r="CC27" s="266" t="e">
        <f t="shared" si="38"/>
        <v>#DIV/0!</v>
      </c>
      <c r="CD27" s="267">
        <f t="shared" si="39"/>
        <v>0</v>
      </c>
      <c r="CE27" s="272">
        <f t="shared" si="91"/>
        <v>0</v>
      </c>
      <c r="CF27" s="272">
        <f t="shared" si="40"/>
        <v>0</v>
      </c>
      <c r="CG27" s="273" t="e">
        <f t="shared" si="41"/>
        <v>#DIV/0!</v>
      </c>
      <c r="CH27" s="273" t="e">
        <f t="shared" si="42"/>
        <v>#DIV/0!</v>
      </c>
      <c r="CI27" s="274" t="e">
        <f t="shared" si="92"/>
        <v>#DIV/0!</v>
      </c>
      <c r="CJ27" s="275" t="e">
        <f t="shared" si="43"/>
        <v>#DIV/0!</v>
      </c>
      <c r="CK27" s="141" t="e">
        <f t="shared" si="93"/>
        <v>#DIV/0!</v>
      </c>
      <c r="CL27" s="141" t="str">
        <f t="shared" si="44"/>
        <v/>
      </c>
      <c r="CM27" s="276" t="e">
        <f t="shared" si="94"/>
        <v>#DIV/0!</v>
      </c>
      <c r="CN27" s="277" t="e">
        <f t="shared" si="95"/>
        <v>#DIV/0!</v>
      </c>
      <c r="CO27" s="277">
        <f t="shared" si="96"/>
        <v>0</v>
      </c>
      <c r="CP27" s="141">
        <f t="shared" si="45"/>
        <v>1</v>
      </c>
      <c r="CQ27" s="141">
        <f t="shared" si="46"/>
        <v>1</v>
      </c>
      <c r="CR27" s="141" t="str">
        <f t="shared" si="47"/>
        <v/>
      </c>
      <c r="CS27" s="141">
        <f t="shared" si="48"/>
        <v>0</v>
      </c>
      <c r="CT27" s="278">
        <f t="shared" si="49"/>
        <v>0</v>
      </c>
      <c r="CU27" s="141" t="str">
        <f t="shared" si="50"/>
        <v>OK</v>
      </c>
      <c r="CV27" s="223">
        <f t="shared" si="51"/>
        <v>0.05</v>
      </c>
      <c r="CW27" s="278" t="e">
        <f t="shared" si="52"/>
        <v>#DIV/0!</v>
      </c>
      <c r="CX27" s="278" t="e">
        <f t="shared" si="53"/>
        <v>#DIV/0!</v>
      </c>
      <c r="CY27" s="278" t="e">
        <f t="shared" si="54"/>
        <v>#DIV/0!</v>
      </c>
      <c r="CZ27" s="278" t="e">
        <f t="shared" si="55"/>
        <v>#DIV/0!</v>
      </c>
      <c r="DA27" s="278">
        <f t="shared" si="56"/>
        <v>1</v>
      </c>
      <c r="DB27" s="278">
        <f t="shared" si="57"/>
        <v>0</v>
      </c>
      <c r="DC27" s="141" t="str">
        <f t="shared" si="58"/>
        <v>Soft</v>
      </c>
      <c r="DD27" s="141"/>
      <c r="DE27" s="141">
        <f t="shared" si="59"/>
        <v>0</v>
      </c>
      <c r="DF27" s="278" t="e">
        <f t="shared" si="60"/>
        <v>#DIV/0!</v>
      </c>
      <c r="DG27" s="278" t="e">
        <f t="shared" si="61"/>
        <v>#DIV/0!</v>
      </c>
      <c r="DH27" s="278" t="e">
        <f t="shared" si="62"/>
        <v>#DIV/0!</v>
      </c>
      <c r="DI27" s="278" t="e">
        <f t="shared" si="63"/>
        <v>#DIV/0!</v>
      </c>
      <c r="DJ27" s="278" t="e">
        <f t="shared" si="97"/>
        <v>#DIV/0!</v>
      </c>
      <c r="DK27" s="141"/>
      <c r="DL27" s="141"/>
      <c r="DM27" s="141"/>
      <c r="DN27" s="141">
        <f t="shared" si="64"/>
        <v>1</v>
      </c>
      <c r="DO27" s="278" t="e">
        <f t="shared" si="65"/>
        <v>#DIV/0!</v>
      </c>
      <c r="DP27" s="278" t="e">
        <f t="shared" si="66"/>
        <v>#DIV/0!</v>
      </c>
      <c r="DQ27" s="278" t="e">
        <f t="shared" si="67"/>
        <v>#DIV/0!</v>
      </c>
      <c r="DR27" s="278" t="e">
        <f t="shared" si="68"/>
        <v>#DIV/0!</v>
      </c>
      <c r="DS27" s="278" t="e">
        <f t="shared" si="69"/>
        <v>#DIV/0!</v>
      </c>
      <c r="DT27" s="278" t="e">
        <f t="shared" si="70"/>
        <v>#DIV/0!</v>
      </c>
      <c r="DU27" s="278">
        <f t="shared" si="71"/>
        <v>0</v>
      </c>
      <c r="DV27" s="141"/>
      <c r="DW27" s="141" t="b">
        <f t="shared" si="72"/>
        <v>1</v>
      </c>
      <c r="DX27" s="141" t="b">
        <f t="shared" si="72"/>
        <v>1</v>
      </c>
      <c r="DY27" s="141" t="b">
        <f t="shared" si="72"/>
        <v>1</v>
      </c>
      <c r="DZ27" s="141" t="b">
        <f t="shared" si="72"/>
        <v>1</v>
      </c>
      <c r="EA27" s="141" t="b">
        <f t="shared" si="72"/>
        <v>1</v>
      </c>
    </row>
    <row r="28" spans="1:131" s="147" customFormat="1" ht="18.649999999999999" hidden="1" customHeight="1" thickBot="1" x14ac:dyDescent="0.45">
      <c r="A28" s="285"/>
      <c r="B28" s="286" t="str">
        <f t="shared" si="73"/>
        <v>-</v>
      </c>
      <c r="C28" s="287">
        <v>9</v>
      </c>
      <c r="D28" s="1557"/>
      <c r="E28" s="1562"/>
      <c r="F28" s="967"/>
      <c r="G28" s="1102"/>
      <c r="H28" s="968"/>
      <c r="I28" s="969"/>
      <c r="J28" s="1336"/>
      <c r="K28" s="1337"/>
      <c r="L28" s="1337"/>
      <c r="M28" s="1337"/>
      <c r="N28" s="1338"/>
      <c r="O28" s="970"/>
      <c r="P28" s="971"/>
      <c r="Q28" s="972"/>
      <c r="R28" s="973"/>
      <c r="S28" s="288" t="str">
        <f t="shared" si="74"/>
        <v/>
      </c>
      <c r="T28" s="289" t="str">
        <f t="shared" si="75"/>
        <v/>
      </c>
      <c r="U28" s="290">
        <f t="shared" si="76"/>
        <v>0</v>
      </c>
      <c r="V28" s="291" t="str">
        <f t="shared" si="2"/>
        <v/>
      </c>
      <c r="W28" s="292" t="str">
        <f t="shared" si="3"/>
        <v/>
      </c>
      <c r="X28" s="293">
        <f t="shared" si="4"/>
        <v>0</v>
      </c>
      <c r="Y28" s="294" t="str">
        <f t="shared" si="5"/>
        <v/>
      </c>
      <c r="Z28" s="285"/>
      <c r="AA28" s="141"/>
      <c r="AB28" s="141">
        <v>9</v>
      </c>
      <c r="AC28" s="245" t="str">
        <f t="shared" si="6"/>
        <v>-</v>
      </c>
      <c r="AD28" s="245">
        <f t="shared" si="77"/>
        <v>0</v>
      </c>
      <c r="AE28" s="245">
        <f t="shared" si="78"/>
        <v>0</v>
      </c>
      <c r="AF28" s="245"/>
      <c r="AG28" s="263">
        <f t="shared" si="79"/>
        <v>0</v>
      </c>
      <c r="AH28" s="1328">
        <f t="shared" si="7"/>
        <v>0</v>
      </c>
      <c r="AI28" s="1329">
        <f>IF(SUM(AH28:AH$99)=0,0,F28&gt;0)</f>
        <v>0</v>
      </c>
      <c r="AJ28" s="1328">
        <f t="shared" si="8"/>
        <v>0</v>
      </c>
      <c r="AK28" s="1329">
        <f>IF(SUM(AH28:AH$99)=0,0,AND(AI28=FALSE,AJ28=0,SUM(AJ28:AJ$99)&gt;0))</f>
        <v>0</v>
      </c>
      <c r="AL28" s="1329">
        <f t="shared" si="9"/>
        <v>0</v>
      </c>
      <c r="AM28" s="1329">
        <f t="shared" si="10"/>
        <v>0</v>
      </c>
      <c r="AN28" s="1330">
        <f t="shared" si="11"/>
        <v>0</v>
      </c>
      <c r="AO28" s="1330">
        <f t="shared" si="12"/>
        <v>0</v>
      </c>
      <c r="AP28" s="264">
        <f t="shared" si="13"/>
        <v>0</v>
      </c>
      <c r="AQ28" s="264">
        <f t="shared" si="80"/>
        <v>0</v>
      </c>
      <c r="AR28" s="1329">
        <f t="shared" si="14"/>
        <v>0</v>
      </c>
      <c r="AS28" s="1329" t="str">
        <f t="shared" si="81"/>
        <v/>
      </c>
      <c r="AT28" s="1329">
        <f t="shared" si="15"/>
        <v>0</v>
      </c>
      <c r="AU28" s="898">
        <f t="shared" si="82"/>
        <v>0</v>
      </c>
      <c r="AV28" s="1329">
        <f t="shared" si="16"/>
        <v>0</v>
      </c>
      <c r="AW28" s="1329">
        <f t="shared" si="17"/>
        <v>0</v>
      </c>
      <c r="AX28" s="1329">
        <f t="shared" si="18"/>
        <v>0</v>
      </c>
      <c r="AY28" s="897">
        <f t="shared" si="83"/>
        <v>0</v>
      </c>
      <c r="AZ28" s="1329">
        <f t="shared" si="19"/>
        <v>0</v>
      </c>
      <c r="BA28" s="896">
        <f t="shared" si="84"/>
        <v>0</v>
      </c>
      <c r="BB28" s="899" t="str">
        <f t="shared" si="85"/>
        <v/>
      </c>
      <c r="BC28" s="899" t="str">
        <f t="shared" si="86"/>
        <v/>
      </c>
      <c r="BD28" s="1329">
        <f t="shared" si="20"/>
        <v>0</v>
      </c>
      <c r="BE28" s="1329">
        <f t="shared" si="21"/>
        <v>0</v>
      </c>
      <c r="BF28" s="1329">
        <f t="shared" si="22"/>
        <v>0</v>
      </c>
      <c r="BG28" s="1331" t="b">
        <f t="shared" si="23"/>
        <v>0</v>
      </c>
      <c r="BH28" s="265" t="str">
        <f t="shared" si="24"/>
        <v/>
      </c>
      <c r="BI28" s="1332">
        <f t="shared" si="25"/>
        <v>0</v>
      </c>
      <c r="BJ28" s="1333">
        <f t="shared" si="26"/>
        <v>0</v>
      </c>
      <c r="BK28" s="1333">
        <f t="shared" si="87"/>
        <v>0</v>
      </c>
      <c r="BL28" s="1335">
        <f t="shared" si="27"/>
        <v>0</v>
      </c>
      <c r="BM28" s="1334">
        <f t="shared" si="28"/>
        <v>0</v>
      </c>
      <c r="BN28" s="267">
        <f t="shared" si="29"/>
        <v>0</v>
      </c>
      <c r="BO28" s="267">
        <f t="shared" si="30"/>
        <v>0</v>
      </c>
      <c r="BP28" s="1333">
        <f t="shared" si="88"/>
        <v>0</v>
      </c>
      <c r="BQ28" s="270">
        <f t="shared" si="31"/>
        <v>0</v>
      </c>
      <c r="BR28" s="247" t="e">
        <f t="shared" si="32"/>
        <v>#DIV/0!</v>
      </c>
      <c r="BS28" s="1332">
        <f t="shared" si="98"/>
        <v>0</v>
      </c>
      <c r="BT28" s="1333">
        <f t="shared" si="33"/>
        <v>0</v>
      </c>
      <c r="BU28" s="1333">
        <f t="shared" si="33"/>
        <v>0</v>
      </c>
      <c r="BV28" s="268">
        <f t="shared" si="33"/>
        <v>0</v>
      </c>
      <c r="BW28" s="266">
        <f t="shared" si="34"/>
        <v>0</v>
      </c>
      <c r="BX28" s="267">
        <f t="shared" si="35"/>
        <v>0</v>
      </c>
      <c r="BY28" s="1333">
        <f t="shared" si="89"/>
        <v>0</v>
      </c>
      <c r="BZ28" s="267">
        <f t="shared" si="90"/>
        <v>0</v>
      </c>
      <c r="CA28" s="270">
        <f t="shared" si="36"/>
        <v>0</v>
      </c>
      <c r="CB28" s="271" t="e">
        <f t="shared" si="37"/>
        <v>#DIV/0!</v>
      </c>
      <c r="CC28" s="266" t="e">
        <f t="shared" si="38"/>
        <v>#DIV/0!</v>
      </c>
      <c r="CD28" s="267">
        <f t="shared" si="39"/>
        <v>0</v>
      </c>
      <c r="CE28" s="272">
        <f t="shared" si="91"/>
        <v>0</v>
      </c>
      <c r="CF28" s="272">
        <f t="shared" si="40"/>
        <v>0</v>
      </c>
      <c r="CG28" s="273" t="e">
        <f t="shared" si="41"/>
        <v>#DIV/0!</v>
      </c>
      <c r="CH28" s="273" t="e">
        <f t="shared" si="42"/>
        <v>#DIV/0!</v>
      </c>
      <c r="CI28" s="274" t="e">
        <f t="shared" si="92"/>
        <v>#DIV/0!</v>
      </c>
      <c r="CJ28" s="275" t="e">
        <f t="shared" si="43"/>
        <v>#DIV/0!</v>
      </c>
      <c r="CK28" s="141" t="e">
        <f t="shared" si="93"/>
        <v>#DIV/0!</v>
      </c>
      <c r="CL28" s="141" t="str">
        <f t="shared" si="44"/>
        <v/>
      </c>
      <c r="CM28" s="276" t="e">
        <f t="shared" si="94"/>
        <v>#DIV/0!</v>
      </c>
      <c r="CN28" s="277" t="e">
        <f t="shared" si="95"/>
        <v>#DIV/0!</v>
      </c>
      <c r="CO28" s="277">
        <f t="shared" si="96"/>
        <v>0</v>
      </c>
      <c r="CP28" s="141">
        <f t="shared" si="45"/>
        <v>1</v>
      </c>
      <c r="CQ28" s="141">
        <f t="shared" si="46"/>
        <v>1</v>
      </c>
      <c r="CR28" s="141" t="str">
        <f t="shared" si="47"/>
        <v/>
      </c>
      <c r="CS28" s="141">
        <f t="shared" si="48"/>
        <v>0</v>
      </c>
      <c r="CT28" s="278">
        <f t="shared" si="49"/>
        <v>0</v>
      </c>
      <c r="CU28" s="141" t="str">
        <f t="shared" si="50"/>
        <v>OK</v>
      </c>
      <c r="CV28" s="223">
        <f t="shared" si="51"/>
        <v>0.05</v>
      </c>
      <c r="CW28" s="278" t="e">
        <f t="shared" si="52"/>
        <v>#DIV/0!</v>
      </c>
      <c r="CX28" s="278" t="e">
        <f t="shared" si="53"/>
        <v>#DIV/0!</v>
      </c>
      <c r="CY28" s="278" t="e">
        <f t="shared" si="54"/>
        <v>#DIV/0!</v>
      </c>
      <c r="CZ28" s="278" t="e">
        <f t="shared" si="55"/>
        <v>#DIV/0!</v>
      </c>
      <c r="DA28" s="278">
        <f t="shared" si="56"/>
        <v>1</v>
      </c>
      <c r="DB28" s="278">
        <f t="shared" si="57"/>
        <v>0</v>
      </c>
      <c r="DC28" s="141" t="str">
        <f t="shared" si="58"/>
        <v>Soft</v>
      </c>
      <c r="DD28" s="141"/>
      <c r="DE28" s="141">
        <f t="shared" si="59"/>
        <v>0</v>
      </c>
      <c r="DF28" s="278" t="e">
        <f t="shared" si="60"/>
        <v>#DIV/0!</v>
      </c>
      <c r="DG28" s="278" t="e">
        <f t="shared" si="61"/>
        <v>#DIV/0!</v>
      </c>
      <c r="DH28" s="278" t="e">
        <f t="shared" si="62"/>
        <v>#DIV/0!</v>
      </c>
      <c r="DI28" s="278" t="e">
        <f t="shared" si="63"/>
        <v>#DIV/0!</v>
      </c>
      <c r="DJ28" s="278" t="e">
        <f t="shared" si="97"/>
        <v>#DIV/0!</v>
      </c>
      <c r="DK28" s="141"/>
      <c r="DL28" s="141"/>
      <c r="DM28" s="141"/>
      <c r="DN28" s="141">
        <f t="shared" si="64"/>
        <v>1</v>
      </c>
      <c r="DO28" s="278" t="e">
        <f t="shared" si="65"/>
        <v>#DIV/0!</v>
      </c>
      <c r="DP28" s="278" t="e">
        <f t="shared" si="66"/>
        <v>#DIV/0!</v>
      </c>
      <c r="DQ28" s="278" t="e">
        <f t="shared" si="67"/>
        <v>#DIV/0!</v>
      </c>
      <c r="DR28" s="278" t="e">
        <f t="shared" si="68"/>
        <v>#DIV/0!</v>
      </c>
      <c r="DS28" s="278" t="e">
        <f t="shared" si="69"/>
        <v>#DIV/0!</v>
      </c>
      <c r="DT28" s="278" t="e">
        <f t="shared" si="70"/>
        <v>#DIV/0!</v>
      </c>
      <c r="DU28" s="278">
        <f t="shared" si="71"/>
        <v>0</v>
      </c>
      <c r="DV28" s="141"/>
      <c r="DW28" s="141" t="b">
        <f t="shared" si="72"/>
        <v>1</v>
      </c>
      <c r="DX28" s="141" t="b">
        <f t="shared" si="72"/>
        <v>1</v>
      </c>
      <c r="DY28" s="141" t="b">
        <f t="shared" si="72"/>
        <v>1</v>
      </c>
      <c r="DZ28" s="141" t="b">
        <f t="shared" si="72"/>
        <v>1</v>
      </c>
      <c r="EA28" s="141" t="b">
        <f t="shared" si="72"/>
        <v>1</v>
      </c>
    </row>
    <row r="29" spans="1:131" s="147" customFormat="1" ht="18.649999999999999" hidden="1" customHeight="1" thickBot="1" x14ac:dyDescent="0.45">
      <c r="A29" s="285"/>
      <c r="B29" s="286" t="str">
        <f t="shared" si="73"/>
        <v>-</v>
      </c>
      <c r="C29" s="287">
        <v>10</v>
      </c>
      <c r="D29" s="1557"/>
      <c r="E29" s="1562"/>
      <c r="F29" s="967"/>
      <c r="G29" s="1102"/>
      <c r="H29" s="968"/>
      <c r="I29" s="969"/>
      <c r="J29" s="1336"/>
      <c r="K29" s="1337"/>
      <c r="L29" s="1337"/>
      <c r="M29" s="1337"/>
      <c r="N29" s="1338"/>
      <c r="O29" s="970"/>
      <c r="P29" s="971"/>
      <c r="Q29" s="972"/>
      <c r="R29" s="973"/>
      <c r="S29" s="288" t="str">
        <f t="shared" si="74"/>
        <v/>
      </c>
      <c r="T29" s="289" t="str">
        <f t="shared" si="75"/>
        <v/>
      </c>
      <c r="U29" s="290">
        <f t="shared" si="76"/>
        <v>0</v>
      </c>
      <c r="V29" s="291" t="str">
        <f t="shared" si="2"/>
        <v/>
      </c>
      <c r="W29" s="292" t="str">
        <f t="shared" si="3"/>
        <v/>
      </c>
      <c r="X29" s="293">
        <f t="shared" si="4"/>
        <v>0</v>
      </c>
      <c r="Y29" s="294" t="str">
        <f t="shared" si="5"/>
        <v/>
      </c>
      <c r="Z29" s="285"/>
      <c r="AA29" s="141"/>
      <c r="AB29" s="141">
        <v>10</v>
      </c>
      <c r="AC29" s="245" t="str">
        <f t="shared" si="6"/>
        <v>-</v>
      </c>
      <c r="AD29" s="245">
        <f t="shared" si="77"/>
        <v>0</v>
      </c>
      <c r="AE29" s="245">
        <f t="shared" si="78"/>
        <v>0</v>
      </c>
      <c r="AF29" s="245"/>
      <c r="AG29" s="263">
        <f t="shared" si="79"/>
        <v>0</v>
      </c>
      <c r="AH29" s="1328">
        <f t="shared" si="7"/>
        <v>0</v>
      </c>
      <c r="AI29" s="1329">
        <f>IF(SUM(AH29:AH$99)=0,0,F29&gt;0)</f>
        <v>0</v>
      </c>
      <c r="AJ29" s="1328">
        <f t="shared" si="8"/>
        <v>0</v>
      </c>
      <c r="AK29" s="1329">
        <f>IF(SUM(AH29:AH$99)=0,0,AND(AI29=FALSE,AJ29=0,SUM(AJ29:AJ$99)&gt;0))</f>
        <v>0</v>
      </c>
      <c r="AL29" s="1329">
        <f t="shared" si="9"/>
        <v>0</v>
      </c>
      <c r="AM29" s="1329">
        <f t="shared" si="10"/>
        <v>0</v>
      </c>
      <c r="AN29" s="1330">
        <f t="shared" si="11"/>
        <v>0</v>
      </c>
      <c r="AO29" s="1330">
        <f t="shared" si="12"/>
        <v>0</v>
      </c>
      <c r="AP29" s="264">
        <f t="shared" si="13"/>
        <v>0</v>
      </c>
      <c r="AQ29" s="264">
        <f t="shared" si="80"/>
        <v>0</v>
      </c>
      <c r="AR29" s="1329">
        <f t="shared" si="14"/>
        <v>0</v>
      </c>
      <c r="AS29" s="1329" t="str">
        <f t="shared" si="81"/>
        <v/>
      </c>
      <c r="AT29" s="1329">
        <f t="shared" si="15"/>
        <v>0</v>
      </c>
      <c r="AU29" s="898">
        <f t="shared" si="82"/>
        <v>0</v>
      </c>
      <c r="AV29" s="1329">
        <f t="shared" si="16"/>
        <v>0</v>
      </c>
      <c r="AW29" s="1329">
        <f t="shared" si="17"/>
        <v>0</v>
      </c>
      <c r="AX29" s="1329">
        <f t="shared" si="18"/>
        <v>0</v>
      </c>
      <c r="AY29" s="897">
        <f t="shared" si="83"/>
        <v>0</v>
      </c>
      <c r="AZ29" s="1329">
        <f t="shared" si="19"/>
        <v>0</v>
      </c>
      <c r="BA29" s="896">
        <f t="shared" si="84"/>
        <v>0</v>
      </c>
      <c r="BB29" s="899" t="str">
        <f t="shared" si="85"/>
        <v/>
      </c>
      <c r="BC29" s="899" t="str">
        <f t="shared" si="86"/>
        <v/>
      </c>
      <c r="BD29" s="1329">
        <f t="shared" si="20"/>
        <v>0</v>
      </c>
      <c r="BE29" s="1329">
        <f t="shared" si="21"/>
        <v>0</v>
      </c>
      <c r="BF29" s="1329">
        <f t="shared" si="22"/>
        <v>0</v>
      </c>
      <c r="BG29" s="1331" t="b">
        <f t="shared" si="23"/>
        <v>0</v>
      </c>
      <c r="BH29" s="265" t="str">
        <f t="shared" si="24"/>
        <v/>
      </c>
      <c r="BI29" s="1332">
        <f t="shared" si="25"/>
        <v>0</v>
      </c>
      <c r="BJ29" s="1333">
        <f t="shared" si="26"/>
        <v>0</v>
      </c>
      <c r="BK29" s="1333">
        <f t="shared" si="87"/>
        <v>0</v>
      </c>
      <c r="BL29" s="1335">
        <f t="shared" si="27"/>
        <v>0</v>
      </c>
      <c r="BM29" s="1334">
        <f t="shared" si="28"/>
        <v>0</v>
      </c>
      <c r="BN29" s="267">
        <f t="shared" si="29"/>
        <v>0</v>
      </c>
      <c r="BO29" s="267">
        <f t="shared" si="30"/>
        <v>0</v>
      </c>
      <c r="BP29" s="1333">
        <f t="shared" si="88"/>
        <v>0</v>
      </c>
      <c r="BQ29" s="270">
        <f t="shared" si="31"/>
        <v>0</v>
      </c>
      <c r="BR29" s="247" t="e">
        <f t="shared" si="32"/>
        <v>#DIV/0!</v>
      </c>
      <c r="BS29" s="1332">
        <f t="shared" si="98"/>
        <v>0</v>
      </c>
      <c r="BT29" s="1333">
        <f t="shared" si="33"/>
        <v>0</v>
      </c>
      <c r="BU29" s="1333">
        <f t="shared" si="33"/>
        <v>0</v>
      </c>
      <c r="BV29" s="268">
        <f t="shared" si="33"/>
        <v>0</v>
      </c>
      <c r="BW29" s="266">
        <f t="shared" si="34"/>
        <v>0</v>
      </c>
      <c r="BX29" s="267">
        <f t="shared" si="35"/>
        <v>0</v>
      </c>
      <c r="BY29" s="1333">
        <f t="shared" si="89"/>
        <v>0</v>
      </c>
      <c r="BZ29" s="267">
        <f t="shared" si="90"/>
        <v>0</v>
      </c>
      <c r="CA29" s="270">
        <f t="shared" si="36"/>
        <v>0</v>
      </c>
      <c r="CB29" s="271" t="e">
        <f t="shared" si="37"/>
        <v>#DIV/0!</v>
      </c>
      <c r="CC29" s="266" t="e">
        <f t="shared" si="38"/>
        <v>#DIV/0!</v>
      </c>
      <c r="CD29" s="267">
        <f t="shared" si="39"/>
        <v>0</v>
      </c>
      <c r="CE29" s="272">
        <f t="shared" si="91"/>
        <v>0</v>
      </c>
      <c r="CF29" s="272">
        <f t="shared" si="40"/>
        <v>0</v>
      </c>
      <c r="CG29" s="273" t="e">
        <f t="shared" si="41"/>
        <v>#DIV/0!</v>
      </c>
      <c r="CH29" s="273" t="e">
        <f t="shared" si="42"/>
        <v>#DIV/0!</v>
      </c>
      <c r="CI29" s="274" t="e">
        <f t="shared" si="92"/>
        <v>#DIV/0!</v>
      </c>
      <c r="CJ29" s="275" t="e">
        <f t="shared" si="43"/>
        <v>#DIV/0!</v>
      </c>
      <c r="CK29" s="141" t="e">
        <f t="shared" si="93"/>
        <v>#DIV/0!</v>
      </c>
      <c r="CL29" s="141" t="str">
        <f t="shared" si="44"/>
        <v/>
      </c>
      <c r="CM29" s="276" t="e">
        <f t="shared" si="94"/>
        <v>#DIV/0!</v>
      </c>
      <c r="CN29" s="277" t="e">
        <f t="shared" si="95"/>
        <v>#DIV/0!</v>
      </c>
      <c r="CO29" s="277">
        <f t="shared" si="96"/>
        <v>0</v>
      </c>
      <c r="CP29" s="141">
        <f t="shared" si="45"/>
        <v>1</v>
      </c>
      <c r="CQ29" s="141">
        <f t="shared" si="46"/>
        <v>1</v>
      </c>
      <c r="CR29" s="141" t="str">
        <f t="shared" si="47"/>
        <v/>
      </c>
      <c r="CS29" s="141">
        <f t="shared" si="48"/>
        <v>0</v>
      </c>
      <c r="CT29" s="278">
        <f t="shared" si="49"/>
        <v>0</v>
      </c>
      <c r="CU29" s="141" t="str">
        <f t="shared" si="50"/>
        <v>OK</v>
      </c>
      <c r="CV29" s="223">
        <f t="shared" si="51"/>
        <v>0.05</v>
      </c>
      <c r="CW29" s="278" t="e">
        <f t="shared" si="52"/>
        <v>#DIV/0!</v>
      </c>
      <c r="CX29" s="278" t="e">
        <f t="shared" si="53"/>
        <v>#DIV/0!</v>
      </c>
      <c r="CY29" s="278" t="e">
        <f t="shared" si="54"/>
        <v>#DIV/0!</v>
      </c>
      <c r="CZ29" s="278" t="e">
        <f t="shared" si="55"/>
        <v>#DIV/0!</v>
      </c>
      <c r="DA29" s="278">
        <f t="shared" si="56"/>
        <v>1</v>
      </c>
      <c r="DB29" s="278">
        <f t="shared" si="57"/>
        <v>0</v>
      </c>
      <c r="DC29" s="141" t="str">
        <f t="shared" si="58"/>
        <v>Soft</v>
      </c>
      <c r="DD29" s="141"/>
      <c r="DE29" s="141">
        <f t="shared" si="59"/>
        <v>0</v>
      </c>
      <c r="DF29" s="278" t="e">
        <f t="shared" si="60"/>
        <v>#DIV/0!</v>
      </c>
      <c r="DG29" s="278" t="e">
        <f t="shared" si="61"/>
        <v>#DIV/0!</v>
      </c>
      <c r="DH29" s="278" t="e">
        <f t="shared" si="62"/>
        <v>#DIV/0!</v>
      </c>
      <c r="DI29" s="278" t="e">
        <f t="shared" si="63"/>
        <v>#DIV/0!</v>
      </c>
      <c r="DJ29" s="278" t="e">
        <f t="shared" si="97"/>
        <v>#DIV/0!</v>
      </c>
      <c r="DK29" s="141"/>
      <c r="DL29" s="141"/>
      <c r="DM29" s="141"/>
      <c r="DN29" s="141">
        <f t="shared" si="64"/>
        <v>1</v>
      </c>
      <c r="DO29" s="278" t="e">
        <f t="shared" si="65"/>
        <v>#DIV/0!</v>
      </c>
      <c r="DP29" s="278" t="e">
        <f t="shared" si="66"/>
        <v>#DIV/0!</v>
      </c>
      <c r="DQ29" s="278" t="e">
        <f t="shared" si="67"/>
        <v>#DIV/0!</v>
      </c>
      <c r="DR29" s="278" t="e">
        <f t="shared" si="68"/>
        <v>#DIV/0!</v>
      </c>
      <c r="DS29" s="278" t="e">
        <f t="shared" si="69"/>
        <v>#DIV/0!</v>
      </c>
      <c r="DT29" s="278" t="e">
        <f t="shared" si="70"/>
        <v>#DIV/0!</v>
      </c>
      <c r="DU29" s="278">
        <f t="shared" si="71"/>
        <v>0</v>
      </c>
      <c r="DV29" s="141"/>
      <c r="DW29" s="141" t="b">
        <f t="shared" si="72"/>
        <v>1</v>
      </c>
      <c r="DX29" s="141" t="b">
        <f t="shared" si="72"/>
        <v>1</v>
      </c>
      <c r="DY29" s="141" t="b">
        <f t="shared" si="72"/>
        <v>1</v>
      </c>
      <c r="DZ29" s="141" t="b">
        <f t="shared" si="72"/>
        <v>1</v>
      </c>
      <c r="EA29" s="141" t="b">
        <f t="shared" si="72"/>
        <v>1</v>
      </c>
    </row>
    <row r="30" spans="1:131" s="147" customFormat="1" ht="18.649999999999999" hidden="1" customHeight="1" thickBot="1" x14ac:dyDescent="0.45">
      <c r="A30" s="285"/>
      <c r="B30" s="286" t="str">
        <f t="shared" si="73"/>
        <v>-</v>
      </c>
      <c r="C30" s="287">
        <v>11</v>
      </c>
      <c r="D30" s="1557"/>
      <c r="E30" s="1562"/>
      <c r="F30" s="967"/>
      <c r="G30" s="1102"/>
      <c r="H30" s="968"/>
      <c r="I30" s="969"/>
      <c r="J30" s="1336"/>
      <c r="K30" s="1337"/>
      <c r="L30" s="1337"/>
      <c r="M30" s="1337"/>
      <c r="N30" s="1338"/>
      <c r="O30" s="970"/>
      <c r="P30" s="971"/>
      <c r="Q30" s="972"/>
      <c r="R30" s="973"/>
      <c r="S30" s="288" t="str">
        <f t="shared" si="74"/>
        <v/>
      </c>
      <c r="T30" s="289" t="str">
        <f t="shared" si="75"/>
        <v/>
      </c>
      <c r="U30" s="290">
        <f t="shared" si="76"/>
        <v>0</v>
      </c>
      <c r="V30" s="291" t="str">
        <f t="shared" si="2"/>
        <v/>
      </c>
      <c r="W30" s="292" t="str">
        <f t="shared" si="3"/>
        <v/>
      </c>
      <c r="X30" s="293">
        <f t="shared" si="4"/>
        <v>0</v>
      </c>
      <c r="Y30" s="294" t="str">
        <f t="shared" si="5"/>
        <v/>
      </c>
      <c r="Z30" s="285"/>
      <c r="AA30" s="141"/>
      <c r="AB30" s="141">
        <v>11</v>
      </c>
      <c r="AC30" s="245" t="str">
        <f t="shared" si="6"/>
        <v>-</v>
      </c>
      <c r="AD30" s="245">
        <f t="shared" si="77"/>
        <v>0</v>
      </c>
      <c r="AE30" s="245">
        <f t="shared" si="78"/>
        <v>0</v>
      </c>
      <c r="AF30" s="245"/>
      <c r="AG30" s="263">
        <f t="shared" si="79"/>
        <v>0</v>
      </c>
      <c r="AH30" s="1328">
        <f t="shared" si="7"/>
        <v>0</v>
      </c>
      <c r="AI30" s="1329">
        <f>IF(SUM(AH30:AH$99)=0,0,F30&gt;0)</f>
        <v>0</v>
      </c>
      <c r="AJ30" s="1328">
        <f t="shared" si="8"/>
        <v>0</v>
      </c>
      <c r="AK30" s="1329">
        <f>IF(SUM(AH30:AH$99)=0,0,AND(AI30=FALSE,AJ30=0,SUM(AJ30:AJ$99)&gt;0))</f>
        <v>0</v>
      </c>
      <c r="AL30" s="1329">
        <f t="shared" si="9"/>
        <v>0</v>
      </c>
      <c r="AM30" s="1329">
        <f t="shared" si="10"/>
        <v>0</v>
      </c>
      <c r="AN30" s="1330">
        <f t="shared" si="11"/>
        <v>0</v>
      </c>
      <c r="AO30" s="1330">
        <f t="shared" si="12"/>
        <v>0</v>
      </c>
      <c r="AP30" s="264">
        <f t="shared" si="13"/>
        <v>0</v>
      </c>
      <c r="AQ30" s="264">
        <f t="shared" si="80"/>
        <v>0</v>
      </c>
      <c r="AR30" s="1329">
        <f t="shared" si="14"/>
        <v>0</v>
      </c>
      <c r="AS30" s="1329" t="str">
        <f t="shared" si="81"/>
        <v/>
      </c>
      <c r="AT30" s="1329">
        <f t="shared" si="15"/>
        <v>0</v>
      </c>
      <c r="AU30" s="898">
        <f t="shared" si="82"/>
        <v>0</v>
      </c>
      <c r="AV30" s="1329">
        <f t="shared" si="16"/>
        <v>0</v>
      </c>
      <c r="AW30" s="1329">
        <f t="shared" si="17"/>
        <v>0</v>
      </c>
      <c r="AX30" s="1329">
        <f t="shared" si="18"/>
        <v>0</v>
      </c>
      <c r="AY30" s="897">
        <f t="shared" si="83"/>
        <v>0</v>
      </c>
      <c r="AZ30" s="1329">
        <f t="shared" si="19"/>
        <v>0</v>
      </c>
      <c r="BA30" s="896">
        <f t="shared" si="84"/>
        <v>0</v>
      </c>
      <c r="BB30" s="899" t="str">
        <f t="shared" si="85"/>
        <v/>
      </c>
      <c r="BC30" s="899" t="str">
        <f t="shared" si="86"/>
        <v/>
      </c>
      <c r="BD30" s="1329">
        <f t="shared" si="20"/>
        <v>0</v>
      </c>
      <c r="BE30" s="1329">
        <f t="shared" si="21"/>
        <v>0</v>
      </c>
      <c r="BF30" s="1329">
        <f t="shared" si="22"/>
        <v>0</v>
      </c>
      <c r="BG30" s="1331" t="b">
        <f t="shared" si="23"/>
        <v>0</v>
      </c>
      <c r="BH30" s="265" t="str">
        <f t="shared" si="24"/>
        <v/>
      </c>
      <c r="BI30" s="1332">
        <f t="shared" si="25"/>
        <v>0</v>
      </c>
      <c r="BJ30" s="1333">
        <f t="shared" si="26"/>
        <v>0</v>
      </c>
      <c r="BK30" s="1333">
        <f t="shared" si="87"/>
        <v>0</v>
      </c>
      <c r="BL30" s="1335">
        <f t="shared" si="27"/>
        <v>0</v>
      </c>
      <c r="BM30" s="1334">
        <f t="shared" si="28"/>
        <v>0</v>
      </c>
      <c r="BN30" s="267">
        <f t="shared" si="29"/>
        <v>0</v>
      </c>
      <c r="BO30" s="267">
        <f t="shared" si="30"/>
        <v>0</v>
      </c>
      <c r="BP30" s="1333">
        <f t="shared" si="88"/>
        <v>0</v>
      </c>
      <c r="BQ30" s="270">
        <f t="shared" si="31"/>
        <v>0</v>
      </c>
      <c r="BR30" s="247" t="e">
        <f t="shared" si="32"/>
        <v>#DIV/0!</v>
      </c>
      <c r="BS30" s="1332">
        <f t="shared" si="98"/>
        <v>0</v>
      </c>
      <c r="BT30" s="1333">
        <f t="shared" si="33"/>
        <v>0</v>
      </c>
      <c r="BU30" s="1333">
        <f t="shared" si="33"/>
        <v>0</v>
      </c>
      <c r="BV30" s="268">
        <f t="shared" si="33"/>
        <v>0</v>
      </c>
      <c r="BW30" s="266">
        <f t="shared" si="34"/>
        <v>0</v>
      </c>
      <c r="BX30" s="267">
        <f t="shared" si="35"/>
        <v>0</v>
      </c>
      <c r="BY30" s="1333">
        <f t="shared" si="89"/>
        <v>0</v>
      </c>
      <c r="BZ30" s="267">
        <f t="shared" si="90"/>
        <v>0</v>
      </c>
      <c r="CA30" s="270">
        <f t="shared" si="36"/>
        <v>0</v>
      </c>
      <c r="CB30" s="271" t="e">
        <f t="shared" si="37"/>
        <v>#DIV/0!</v>
      </c>
      <c r="CC30" s="266" t="e">
        <f t="shared" si="38"/>
        <v>#DIV/0!</v>
      </c>
      <c r="CD30" s="267">
        <f t="shared" si="39"/>
        <v>0</v>
      </c>
      <c r="CE30" s="272">
        <f t="shared" si="91"/>
        <v>0</v>
      </c>
      <c r="CF30" s="272">
        <f t="shared" si="40"/>
        <v>0</v>
      </c>
      <c r="CG30" s="273" t="e">
        <f t="shared" si="41"/>
        <v>#DIV/0!</v>
      </c>
      <c r="CH30" s="273" t="e">
        <f t="shared" si="42"/>
        <v>#DIV/0!</v>
      </c>
      <c r="CI30" s="274" t="e">
        <f t="shared" si="92"/>
        <v>#DIV/0!</v>
      </c>
      <c r="CJ30" s="275" t="e">
        <f t="shared" si="43"/>
        <v>#DIV/0!</v>
      </c>
      <c r="CK30" s="141" t="e">
        <f t="shared" si="93"/>
        <v>#DIV/0!</v>
      </c>
      <c r="CL30" s="141" t="str">
        <f t="shared" si="44"/>
        <v/>
      </c>
      <c r="CM30" s="276" t="e">
        <f t="shared" si="94"/>
        <v>#DIV/0!</v>
      </c>
      <c r="CN30" s="277" t="e">
        <f t="shared" si="95"/>
        <v>#DIV/0!</v>
      </c>
      <c r="CO30" s="277">
        <f t="shared" si="96"/>
        <v>0</v>
      </c>
      <c r="CP30" s="141">
        <f t="shared" si="45"/>
        <v>1</v>
      </c>
      <c r="CQ30" s="141">
        <f t="shared" si="46"/>
        <v>1</v>
      </c>
      <c r="CR30" s="141" t="str">
        <f t="shared" si="47"/>
        <v/>
      </c>
      <c r="CS30" s="141">
        <f t="shared" si="48"/>
        <v>0</v>
      </c>
      <c r="CT30" s="278">
        <f t="shared" si="49"/>
        <v>0</v>
      </c>
      <c r="CU30" s="141" t="str">
        <f t="shared" si="50"/>
        <v>OK</v>
      </c>
      <c r="CV30" s="223">
        <f t="shared" si="51"/>
        <v>0.05</v>
      </c>
      <c r="CW30" s="278" t="e">
        <f t="shared" si="52"/>
        <v>#DIV/0!</v>
      </c>
      <c r="CX30" s="278" t="e">
        <f t="shared" si="53"/>
        <v>#DIV/0!</v>
      </c>
      <c r="CY30" s="278" t="e">
        <f t="shared" si="54"/>
        <v>#DIV/0!</v>
      </c>
      <c r="CZ30" s="278" t="e">
        <f t="shared" si="55"/>
        <v>#DIV/0!</v>
      </c>
      <c r="DA30" s="278">
        <f t="shared" si="56"/>
        <v>1</v>
      </c>
      <c r="DB30" s="278">
        <f t="shared" si="57"/>
        <v>0</v>
      </c>
      <c r="DC30" s="141" t="str">
        <f t="shared" si="58"/>
        <v>Soft</v>
      </c>
      <c r="DD30" s="141"/>
      <c r="DE30" s="141">
        <f t="shared" si="59"/>
        <v>0</v>
      </c>
      <c r="DF30" s="278" t="e">
        <f t="shared" si="60"/>
        <v>#DIV/0!</v>
      </c>
      <c r="DG30" s="278" t="e">
        <f t="shared" si="61"/>
        <v>#DIV/0!</v>
      </c>
      <c r="DH30" s="278" t="e">
        <f t="shared" si="62"/>
        <v>#DIV/0!</v>
      </c>
      <c r="DI30" s="278" t="e">
        <f t="shared" si="63"/>
        <v>#DIV/0!</v>
      </c>
      <c r="DJ30" s="278" t="e">
        <f t="shared" si="97"/>
        <v>#DIV/0!</v>
      </c>
      <c r="DK30" s="141"/>
      <c r="DL30" s="141"/>
      <c r="DM30" s="141"/>
      <c r="DN30" s="141">
        <f t="shared" si="64"/>
        <v>1</v>
      </c>
      <c r="DO30" s="278" t="e">
        <f t="shared" si="65"/>
        <v>#DIV/0!</v>
      </c>
      <c r="DP30" s="278" t="e">
        <f t="shared" si="66"/>
        <v>#DIV/0!</v>
      </c>
      <c r="DQ30" s="278" t="e">
        <f t="shared" si="67"/>
        <v>#DIV/0!</v>
      </c>
      <c r="DR30" s="278" t="e">
        <f t="shared" si="68"/>
        <v>#DIV/0!</v>
      </c>
      <c r="DS30" s="278" t="e">
        <f t="shared" si="69"/>
        <v>#DIV/0!</v>
      </c>
      <c r="DT30" s="278" t="e">
        <f t="shared" si="70"/>
        <v>#DIV/0!</v>
      </c>
      <c r="DU30" s="278">
        <f t="shared" si="71"/>
        <v>0</v>
      </c>
      <c r="DV30" s="141"/>
      <c r="DW30" s="141" t="b">
        <f t="shared" si="72"/>
        <v>1</v>
      </c>
      <c r="DX30" s="141" t="b">
        <f t="shared" si="72"/>
        <v>1</v>
      </c>
      <c r="DY30" s="141" t="b">
        <f t="shared" si="72"/>
        <v>1</v>
      </c>
      <c r="DZ30" s="141" t="b">
        <f t="shared" si="72"/>
        <v>1</v>
      </c>
      <c r="EA30" s="141" t="b">
        <f t="shared" si="72"/>
        <v>1</v>
      </c>
    </row>
    <row r="31" spans="1:131" s="147" customFormat="1" ht="18.649999999999999" hidden="1" customHeight="1" thickBot="1" x14ac:dyDescent="0.45">
      <c r="A31" s="285"/>
      <c r="B31" s="295" t="str">
        <f t="shared" si="73"/>
        <v>-</v>
      </c>
      <c r="C31" s="287">
        <v>12</v>
      </c>
      <c r="D31" s="1557"/>
      <c r="E31" s="1562"/>
      <c r="F31" s="967"/>
      <c r="G31" s="1102"/>
      <c r="H31" s="968"/>
      <c r="I31" s="969"/>
      <c r="J31" s="1336"/>
      <c r="K31" s="1337"/>
      <c r="L31" s="1337"/>
      <c r="M31" s="1337"/>
      <c r="N31" s="1338"/>
      <c r="O31" s="970"/>
      <c r="P31" s="971"/>
      <c r="Q31" s="972"/>
      <c r="R31" s="973"/>
      <c r="S31" s="288" t="str">
        <f t="shared" si="74"/>
        <v/>
      </c>
      <c r="T31" s="289" t="str">
        <f t="shared" si="75"/>
        <v/>
      </c>
      <c r="U31" s="290">
        <f t="shared" si="76"/>
        <v>0</v>
      </c>
      <c r="V31" s="291" t="str">
        <f t="shared" si="2"/>
        <v/>
      </c>
      <c r="W31" s="292" t="str">
        <f t="shared" si="3"/>
        <v/>
      </c>
      <c r="X31" s="293">
        <f t="shared" si="4"/>
        <v>0</v>
      </c>
      <c r="Y31" s="294" t="str">
        <f t="shared" si="5"/>
        <v/>
      </c>
      <c r="Z31" s="285"/>
      <c r="AA31" s="141"/>
      <c r="AB31" s="141">
        <v>12</v>
      </c>
      <c r="AC31" s="245" t="str">
        <f t="shared" si="6"/>
        <v>-</v>
      </c>
      <c r="AD31" s="245">
        <f t="shared" si="77"/>
        <v>0</v>
      </c>
      <c r="AE31" s="245">
        <f t="shared" si="78"/>
        <v>0</v>
      </c>
      <c r="AF31" s="245"/>
      <c r="AG31" s="263">
        <f t="shared" si="79"/>
        <v>0</v>
      </c>
      <c r="AH31" s="1328">
        <f t="shared" si="7"/>
        <v>0</v>
      </c>
      <c r="AI31" s="1329">
        <f>IF(SUM(AH31:AH$99)=0,0,F31&gt;0)</f>
        <v>0</v>
      </c>
      <c r="AJ31" s="1328">
        <f t="shared" si="8"/>
        <v>0</v>
      </c>
      <c r="AK31" s="1329">
        <f>IF(SUM(AH31:AH$99)=0,0,AND(AI31=FALSE,AJ31=0,SUM(AJ31:AJ$99)&gt;0))</f>
        <v>0</v>
      </c>
      <c r="AL31" s="1329">
        <f t="shared" si="9"/>
        <v>0</v>
      </c>
      <c r="AM31" s="1329">
        <f t="shared" si="10"/>
        <v>0</v>
      </c>
      <c r="AN31" s="1330">
        <f t="shared" si="11"/>
        <v>0</v>
      </c>
      <c r="AO31" s="1330">
        <f t="shared" si="12"/>
        <v>0</v>
      </c>
      <c r="AP31" s="264">
        <f t="shared" si="13"/>
        <v>0</v>
      </c>
      <c r="AQ31" s="264">
        <f t="shared" si="80"/>
        <v>0</v>
      </c>
      <c r="AR31" s="1329">
        <f t="shared" si="14"/>
        <v>0</v>
      </c>
      <c r="AS31" s="1329" t="str">
        <f t="shared" si="81"/>
        <v/>
      </c>
      <c r="AT31" s="1329">
        <f t="shared" si="15"/>
        <v>0</v>
      </c>
      <c r="AU31" s="898">
        <f t="shared" si="82"/>
        <v>0</v>
      </c>
      <c r="AV31" s="1329">
        <f t="shared" si="16"/>
        <v>0</v>
      </c>
      <c r="AW31" s="1329">
        <f t="shared" si="17"/>
        <v>0</v>
      </c>
      <c r="AX31" s="1329">
        <f t="shared" si="18"/>
        <v>0</v>
      </c>
      <c r="AY31" s="897">
        <f t="shared" si="83"/>
        <v>0</v>
      </c>
      <c r="AZ31" s="1329">
        <f t="shared" si="19"/>
        <v>0</v>
      </c>
      <c r="BA31" s="896">
        <f t="shared" si="84"/>
        <v>0</v>
      </c>
      <c r="BB31" s="899" t="str">
        <f t="shared" si="85"/>
        <v/>
      </c>
      <c r="BC31" s="899" t="str">
        <f t="shared" si="86"/>
        <v/>
      </c>
      <c r="BD31" s="1329">
        <f t="shared" si="20"/>
        <v>0</v>
      </c>
      <c r="BE31" s="1329">
        <f t="shared" si="21"/>
        <v>0</v>
      </c>
      <c r="BF31" s="1329">
        <f t="shared" si="22"/>
        <v>0</v>
      </c>
      <c r="BG31" s="1331" t="b">
        <f t="shared" si="23"/>
        <v>0</v>
      </c>
      <c r="BH31" s="265" t="str">
        <f t="shared" si="24"/>
        <v/>
      </c>
      <c r="BI31" s="1332">
        <f t="shared" si="25"/>
        <v>0</v>
      </c>
      <c r="BJ31" s="1333">
        <f t="shared" si="26"/>
        <v>0</v>
      </c>
      <c r="BK31" s="1333">
        <f t="shared" si="87"/>
        <v>0</v>
      </c>
      <c r="BL31" s="1335">
        <f t="shared" si="27"/>
        <v>0</v>
      </c>
      <c r="BM31" s="1334">
        <f t="shared" si="28"/>
        <v>0</v>
      </c>
      <c r="BN31" s="267">
        <f t="shared" si="29"/>
        <v>0</v>
      </c>
      <c r="BO31" s="267">
        <f t="shared" si="30"/>
        <v>0</v>
      </c>
      <c r="BP31" s="1333">
        <f t="shared" si="88"/>
        <v>0</v>
      </c>
      <c r="BQ31" s="270">
        <f t="shared" si="31"/>
        <v>0</v>
      </c>
      <c r="BR31" s="247" t="e">
        <f t="shared" si="32"/>
        <v>#DIV/0!</v>
      </c>
      <c r="BS31" s="1332">
        <f t="shared" si="98"/>
        <v>0</v>
      </c>
      <c r="BT31" s="1333">
        <f t="shared" si="33"/>
        <v>0</v>
      </c>
      <c r="BU31" s="1333">
        <f t="shared" si="33"/>
        <v>0</v>
      </c>
      <c r="BV31" s="268">
        <f t="shared" si="33"/>
        <v>0</v>
      </c>
      <c r="BW31" s="266">
        <f t="shared" si="34"/>
        <v>0</v>
      </c>
      <c r="BX31" s="267">
        <f t="shared" si="35"/>
        <v>0</v>
      </c>
      <c r="BY31" s="1333">
        <f t="shared" si="89"/>
        <v>0</v>
      </c>
      <c r="BZ31" s="267">
        <f t="shared" si="90"/>
        <v>0</v>
      </c>
      <c r="CA31" s="270">
        <f t="shared" si="36"/>
        <v>0</v>
      </c>
      <c r="CB31" s="271" t="e">
        <f t="shared" si="37"/>
        <v>#DIV/0!</v>
      </c>
      <c r="CC31" s="266" t="e">
        <f t="shared" si="38"/>
        <v>#DIV/0!</v>
      </c>
      <c r="CD31" s="267">
        <f t="shared" si="39"/>
        <v>0</v>
      </c>
      <c r="CE31" s="272">
        <f t="shared" si="91"/>
        <v>0</v>
      </c>
      <c r="CF31" s="272">
        <f t="shared" si="40"/>
        <v>0</v>
      </c>
      <c r="CG31" s="273" t="e">
        <f t="shared" si="41"/>
        <v>#DIV/0!</v>
      </c>
      <c r="CH31" s="273" t="e">
        <f t="shared" si="42"/>
        <v>#DIV/0!</v>
      </c>
      <c r="CI31" s="274" t="e">
        <f t="shared" si="92"/>
        <v>#DIV/0!</v>
      </c>
      <c r="CJ31" s="275" t="e">
        <f t="shared" si="43"/>
        <v>#DIV/0!</v>
      </c>
      <c r="CK31" s="141" t="e">
        <f t="shared" si="93"/>
        <v>#DIV/0!</v>
      </c>
      <c r="CL31" s="141" t="str">
        <f t="shared" si="44"/>
        <v/>
      </c>
      <c r="CM31" s="276" t="e">
        <f t="shared" si="94"/>
        <v>#DIV/0!</v>
      </c>
      <c r="CN31" s="277" t="e">
        <f t="shared" si="95"/>
        <v>#DIV/0!</v>
      </c>
      <c r="CO31" s="277">
        <f t="shared" si="96"/>
        <v>0</v>
      </c>
      <c r="CP31" s="141">
        <f t="shared" si="45"/>
        <v>1</v>
      </c>
      <c r="CQ31" s="141">
        <f t="shared" si="46"/>
        <v>1</v>
      </c>
      <c r="CR31" s="141" t="str">
        <f t="shared" si="47"/>
        <v/>
      </c>
      <c r="CS31" s="141">
        <f t="shared" si="48"/>
        <v>0</v>
      </c>
      <c r="CT31" s="278">
        <f t="shared" si="49"/>
        <v>0</v>
      </c>
      <c r="CU31" s="141" t="str">
        <f t="shared" si="50"/>
        <v>OK</v>
      </c>
      <c r="CV31" s="223">
        <f t="shared" si="51"/>
        <v>0.05</v>
      </c>
      <c r="CW31" s="278" t="e">
        <f t="shared" si="52"/>
        <v>#DIV/0!</v>
      </c>
      <c r="CX31" s="278" t="e">
        <f t="shared" si="53"/>
        <v>#DIV/0!</v>
      </c>
      <c r="CY31" s="278" t="e">
        <f t="shared" si="54"/>
        <v>#DIV/0!</v>
      </c>
      <c r="CZ31" s="278" t="e">
        <f t="shared" si="55"/>
        <v>#DIV/0!</v>
      </c>
      <c r="DA31" s="278">
        <f t="shared" si="56"/>
        <v>1</v>
      </c>
      <c r="DB31" s="278">
        <f t="shared" si="57"/>
        <v>0</v>
      </c>
      <c r="DC31" s="141" t="str">
        <f t="shared" si="58"/>
        <v>Soft</v>
      </c>
      <c r="DD31" s="141"/>
      <c r="DE31" s="141">
        <f t="shared" si="59"/>
        <v>0</v>
      </c>
      <c r="DF31" s="278" t="e">
        <f t="shared" si="60"/>
        <v>#DIV/0!</v>
      </c>
      <c r="DG31" s="278" t="e">
        <f t="shared" si="61"/>
        <v>#DIV/0!</v>
      </c>
      <c r="DH31" s="278" t="e">
        <f t="shared" si="62"/>
        <v>#DIV/0!</v>
      </c>
      <c r="DI31" s="278" t="e">
        <f t="shared" si="63"/>
        <v>#DIV/0!</v>
      </c>
      <c r="DJ31" s="278" t="e">
        <f t="shared" si="97"/>
        <v>#DIV/0!</v>
      </c>
      <c r="DK31" s="141"/>
      <c r="DL31" s="141"/>
      <c r="DM31" s="141"/>
      <c r="DN31" s="141">
        <f t="shared" si="64"/>
        <v>1</v>
      </c>
      <c r="DO31" s="278" t="e">
        <f t="shared" si="65"/>
        <v>#DIV/0!</v>
      </c>
      <c r="DP31" s="278" t="e">
        <f t="shared" si="66"/>
        <v>#DIV/0!</v>
      </c>
      <c r="DQ31" s="278" t="e">
        <f t="shared" si="67"/>
        <v>#DIV/0!</v>
      </c>
      <c r="DR31" s="278" t="e">
        <f t="shared" si="68"/>
        <v>#DIV/0!</v>
      </c>
      <c r="DS31" s="278" t="e">
        <f t="shared" si="69"/>
        <v>#DIV/0!</v>
      </c>
      <c r="DT31" s="278" t="e">
        <f t="shared" si="70"/>
        <v>#DIV/0!</v>
      </c>
      <c r="DU31" s="278">
        <f t="shared" si="71"/>
        <v>0</v>
      </c>
      <c r="DV31" s="141"/>
      <c r="DW31" s="141" t="b">
        <f t="shared" si="72"/>
        <v>1</v>
      </c>
      <c r="DX31" s="141" t="b">
        <f t="shared" si="72"/>
        <v>1</v>
      </c>
      <c r="DY31" s="141" t="b">
        <f t="shared" si="72"/>
        <v>1</v>
      </c>
      <c r="DZ31" s="141" t="b">
        <f t="shared" si="72"/>
        <v>1</v>
      </c>
      <c r="EA31" s="141" t="b">
        <f t="shared" si="72"/>
        <v>1</v>
      </c>
    </row>
    <row r="32" spans="1:131" s="147" customFormat="1" ht="18.649999999999999" hidden="1" customHeight="1" thickBot="1" x14ac:dyDescent="0.45">
      <c r="A32" s="285"/>
      <c r="B32" s="295" t="str">
        <f t="shared" si="73"/>
        <v>-</v>
      </c>
      <c r="C32" s="287">
        <v>13</v>
      </c>
      <c r="D32" s="1557"/>
      <c r="E32" s="1562"/>
      <c r="F32" s="967"/>
      <c r="G32" s="1102"/>
      <c r="H32" s="968"/>
      <c r="I32" s="969"/>
      <c r="J32" s="1336"/>
      <c r="K32" s="1337"/>
      <c r="L32" s="1337"/>
      <c r="M32" s="1337"/>
      <c r="N32" s="1338"/>
      <c r="O32" s="970"/>
      <c r="P32" s="971"/>
      <c r="Q32" s="972"/>
      <c r="R32" s="973"/>
      <c r="S32" s="288" t="str">
        <f t="shared" si="74"/>
        <v/>
      </c>
      <c r="T32" s="289" t="str">
        <f t="shared" si="75"/>
        <v/>
      </c>
      <c r="U32" s="290">
        <f t="shared" si="76"/>
        <v>0</v>
      </c>
      <c r="V32" s="291" t="str">
        <f t="shared" si="2"/>
        <v/>
      </c>
      <c r="W32" s="292" t="str">
        <f t="shared" si="3"/>
        <v/>
      </c>
      <c r="X32" s="293">
        <f t="shared" si="4"/>
        <v>0</v>
      </c>
      <c r="Y32" s="294" t="str">
        <f t="shared" si="5"/>
        <v/>
      </c>
      <c r="Z32" s="285"/>
      <c r="AA32" s="141"/>
      <c r="AB32" s="141">
        <v>13</v>
      </c>
      <c r="AC32" s="245" t="str">
        <f t="shared" si="6"/>
        <v>-</v>
      </c>
      <c r="AD32" s="245">
        <f t="shared" si="77"/>
        <v>0</v>
      </c>
      <c r="AE32" s="245">
        <f t="shared" si="78"/>
        <v>0</v>
      </c>
      <c r="AF32" s="245"/>
      <c r="AG32" s="263">
        <f t="shared" si="79"/>
        <v>0</v>
      </c>
      <c r="AH32" s="1328">
        <f t="shared" si="7"/>
        <v>0</v>
      </c>
      <c r="AI32" s="1329">
        <f>IF(SUM(AH32:AH$99)=0,0,F32&gt;0)</f>
        <v>0</v>
      </c>
      <c r="AJ32" s="1328">
        <f t="shared" si="8"/>
        <v>0</v>
      </c>
      <c r="AK32" s="1329">
        <f>IF(SUM(AH32:AH$99)=0,0,AND(AI32=FALSE,AJ32=0,SUM(AJ32:AJ$99)&gt;0))</f>
        <v>0</v>
      </c>
      <c r="AL32" s="1329">
        <f t="shared" si="9"/>
        <v>0</v>
      </c>
      <c r="AM32" s="1329">
        <f t="shared" si="10"/>
        <v>0</v>
      </c>
      <c r="AN32" s="1330">
        <f t="shared" si="11"/>
        <v>0</v>
      </c>
      <c r="AO32" s="1330">
        <f t="shared" si="12"/>
        <v>0</v>
      </c>
      <c r="AP32" s="264">
        <f t="shared" si="13"/>
        <v>0</v>
      </c>
      <c r="AQ32" s="264">
        <f t="shared" si="80"/>
        <v>0</v>
      </c>
      <c r="AR32" s="1329">
        <f t="shared" si="14"/>
        <v>0</v>
      </c>
      <c r="AS32" s="1329" t="str">
        <f t="shared" si="81"/>
        <v/>
      </c>
      <c r="AT32" s="1329">
        <f t="shared" si="15"/>
        <v>0</v>
      </c>
      <c r="AU32" s="898">
        <f t="shared" si="82"/>
        <v>0</v>
      </c>
      <c r="AV32" s="1329">
        <f t="shared" si="16"/>
        <v>0</v>
      </c>
      <c r="AW32" s="1329">
        <f t="shared" si="17"/>
        <v>0</v>
      </c>
      <c r="AX32" s="1329">
        <f t="shared" si="18"/>
        <v>0</v>
      </c>
      <c r="AY32" s="897">
        <f t="shared" si="83"/>
        <v>0</v>
      </c>
      <c r="AZ32" s="1329">
        <f t="shared" si="19"/>
        <v>0</v>
      </c>
      <c r="BA32" s="896">
        <f t="shared" si="84"/>
        <v>0</v>
      </c>
      <c r="BB32" s="899" t="str">
        <f t="shared" si="85"/>
        <v/>
      </c>
      <c r="BC32" s="899" t="str">
        <f t="shared" si="86"/>
        <v/>
      </c>
      <c r="BD32" s="1329">
        <f t="shared" si="20"/>
        <v>0</v>
      </c>
      <c r="BE32" s="1329">
        <f t="shared" si="21"/>
        <v>0</v>
      </c>
      <c r="BF32" s="1329">
        <f t="shared" si="22"/>
        <v>0</v>
      </c>
      <c r="BG32" s="1331" t="b">
        <f t="shared" si="23"/>
        <v>0</v>
      </c>
      <c r="BH32" s="265" t="str">
        <f t="shared" si="24"/>
        <v/>
      </c>
      <c r="BI32" s="1332">
        <f t="shared" si="25"/>
        <v>0</v>
      </c>
      <c r="BJ32" s="1333">
        <f t="shared" si="26"/>
        <v>0</v>
      </c>
      <c r="BK32" s="1333">
        <f t="shared" si="87"/>
        <v>0</v>
      </c>
      <c r="BL32" s="1335">
        <f t="shared" si="27"/>
        <v>0</v>
      </c>
      <c r="BM32" s="1334">
        <f t="shared" si="28"/>
        <v>0</v>
      </c>
      <c r="BN32" s="267">
        <f t="shared" si="29"/>
        <v>0</v>
      </c>
      <c r="BO32" s="267">
        <f t="shared" si="30"/>
        <v>0</v>
      </c>
      <c r="BP32" s="1333">
        <f t="shared" si="88"/>
        <v>0</v>
      </c>
      <c r="BQ32" s="270">
        <f t="shared" si="31"/>
        <v>0</v>
      </c>
      <c r="BR32" s="247" t="e">
        <f t="shared" si="32"/>
        <v>#DIV/0!</v>
      </c>
      <c r="BS32" s="1332">
        <f t="shared" si="98"/>
        <v>0</v>
      </c>
      <c r="BT32" s="1333">
        <f t="shared" si="33"/>
        <v>0</v>
      </c>
      <c r="BU32" s="1333">
        <f t="shared" si="33"/>
        <v>0</v>
      </c>
      <c r="BV32" s="268">
        <f t="shared" si="33"/>
        <v>0</v>
      </c>
      <c r="BW32" s="266">
        <f t="shared" si="34"/>
        <v>0</v>
      </c>
      <c r="BX32" s="267">
        <f t="shared" si="35"/>
        <v>0</v>
      </c>
      <c r="BY32" s="1333">
        <f t="shared" si="89"/>
        <v>0</v>
      </c>
      <c r="BZ32" s="267">
        <f t="shared" si="90"/>
        <v>0</v>
      </c>
      <c r="CA32" s="270">
        <f t="shared" si="36"/>
        <v>0</v>
      </c>
      <c r="CB32" s="271" t="e">
        <f t="shared" si="37"/>
        <v>#DIV/0!</v>
      </c>
      <c r="CC32" s="266" t="e">
        <f t="shared" si="38"/>
        <v>#DIV/0!</v>
      </c>
      <c r="CD32" s="267">
        <f t="shared" si="39"/>
        <v>0</v>
      </c>
      <c r="CE32" s="272">
        <f t="shared" si="91"/>
        <v>0</v>
      </c>
      <c r="CF32" s="272">
        <f t="shared" si="40"/>
        <v>0</v>
      </c>
      <c r="CG32" s="273" t="e">
        <f t="shared" si="41"/>
        <v>#DIV/0!</v>
      </c>
      <c r="CH32" s="273" t="e">
        <f t="shared" si="42"/>
        <v>#DIV/0!</v>
      </c>
      <c r="CI32" s="274" t="e">
        <f t="shared" si="92"/>
        <v>#DIV/0!</v>
      </c>
      <c r="CJ32" s="275" t="e">
        <f t="shared" si="43"/>
        <v>#DIV/0!</v>
      </c>
      <c r="CK32" s="141" t="e">
        <f t="shared" si="93"/>
        <v>#DIV/0!</v>
      </c>
      <c r="CL32" s="141" t="str">
        <f t="shared" si="44"/>
        <v/>
      </c>
      <c r="CM32" s="276" t="e">
        <f t="shared" si="94"/>
        <v>#DIV/0!</v>
      </c>
      <c r="CN32" s="277" t="e">
        <f t="shared" si="95"/>
        <v>#DIV/0!</v>
      </c>
      <c r="CO32" s="277">
        <f t="shared" si="96"/>
        <v>0</v>
      </c>
      <c r="CP32" s="141">
        <f t="shared" si="45"/>
        <v>1</v>
      </c>
      <c r="CQ32" s="141">
        <f t="shared" si="46"/>
        <v>1</v>
      </c>
      <c r="CR32" s="141" t="str">
        <f t="shared" si="47"/>
        <v/>
      </c>
      <c r="CS32" s="141">
        <f t="shared" si="48"/>
        <v>0</v>
      </c>
      <c r="CT32" s="278">
        <f t="shared" si="49"/>
        <v>0</v>
      </c>
      <c r="CU32" s="141" t="str">
        <f t="shared" si="50"/>
        <v>OK</v>
      </c>
      <c r="CV32" s="223">
        <f t="shared" si="51"/>
        <v>0.05</v>
      </c>
      <c r="CW32" s="278" t="e">
        <f t="shared" si="52"/>
        <v>#DIV/0!</v>
      </c>
      <c r="CX32" s="278" t="e">
        <f t="shared" si="53"/>
        <v>#DIV/0!</v>
      </c>
      <c r="CY32" s="278" t="e">
        <f t="shared" si="54"/>
        <v>#DIV/0!</v>
      </c>
      <c r="CZ32" s="278" t="e">
        <f t="shared" si="55"/>
        <v>#DIV/0!</v>
      </c>
      <c r="DA32" s="278">
        <f t="shared" si="56"/>
        <v>1</v>
      </c>
      <c r="DB32" s="278">
        <f t="shared" si="57"/>
        <v>0</v>
      </c>
      <c r="DC32" s="141" t="str">
        <f t="shared" si="58"/>
        <v>Soft</v>
      </c>
      <c r="DD32" s="141"/>
      <c r="DE32" s="141">
        <f t="shared" si="59"/>
        <v>0</v>
      </c>
      <c r="DF32" s="278" t="e">
        <f t="shared" si="60"/>
        <v>#DIV/0!</v>
      </c>
      <c r="DG32" s="278" t="e">
        <f t="shared" si="61"/>
        <v>#DIV/0!</v>
      </c>
      <c r="DH32" s="278" t="e">
        <f t="shared" si="62"/>
        <v>#DIV/0!</v>
      </c>
      <c r="DI32" s="278" t="e">
        <f t="shared" si="63"/>
        <v>#DIV/0!</v>
      </c>
      <c r="DJ32" s="278" t="e">
        <f t="shared" si="97"/>
        <v>#DIV/0!</v>
      </c>
      <c r="DK32" s="141"/>
      <c r="DL32" s="141"/>
      <c r="DM32" s="141"/>
      <c r="DN32" s="141">
        <f t="shared" si="64"/>
        <v>1</v>
      </c>
      <c r="DO32" s="278" t="e">
        <f t="shared" si="65"/>
        <v>#DIV/0!</v>
      </c>
      <c r="DP32" s="278" t="e">
        <f t="shared" si="66"/>
        <v>#DIV/0!</v>
      </c>
      <c r="DQ32" s="278" t="e">
        <f t="shared" si="67"/>
        <v>#DIV/0!</v>
      </c>
      <c r="DR32" s="278" t="e">
        <f t="shared" si="68"/>
        <v>#DIV/0!</v>
      </c>
      <c r="DS32" s="278" t="e">
        <f t="shared" si="69"/>
        <v>#DIV/0!</v>
      </c>
      <c r="DT32" s="278" t="e">
        <f t="shared" si="70"/>
        <v>#DIV/0!</v>
      </c>
      <c r="DU32" s="278">
        <f t="shared" si="71"/>
        <v>0</v>
      </c>
      <c r="DV32" s="141"/>
      <c r="DW32" s="141" t="b">
        <f t="shared" si="72"/>
        <v>1</v>
      </c>
      <c r="DX32" s="141" t="b">
        <f t="shared" si="72"/>
        <v>1</v>
      </c>
      <c r="DY32" s="141" t="b">
        <f t="shared" si="72"/>
        <v>1</v>
      </c>
      <c r="DZ32" s="141" t="b">
        <f t="shared" si="72"/>
        <v>1</v>
      </c>
      <c r="EA32" s="141" t="b">
        <f t="shared" si="72"/>
        <v>1</v>
      </c>
    </row>
    <row r="33" spans="1:132" s="147" customFormat="1" ht="18.649999999999999" hidden="1" customHeight="1" thickBot="1" x14ac:dyDescent="0.45">
      <c r="A33" s="285"/>
      <c r="B33" s="295" t="str">
        <f t="shared" si="73"/>
        <v>-</v>
      </c>
      <c r="C33" s="287">
        <v>14</v>
      </c>
      <c r="D33" s="1557"/>
      <c r="E33" s="1562"/>
      <c r="F33" s="967"/>
      <c r="G33" s="1102"/>
      <c r="H33" s="968"/>
      <c r="I33" s="969"/>
      <c r="J33" s="1336"/>
      <c r="K33" s="1337"/>
      <c r="L33" s="1337"/>
      <c r="M33" s="1337"/>
      <c r="N33" s="1338"/>
      <c r="O33" s="970"/>
      <c r="P33" s="971"/>
      <c r="Q33" s="972"/>
      <c r="R33" s="973"/>
      <c r="S33" s="288" t="str">
        <f t="shared" si="74"/>
        <v/>
      </c>
      <c r="T33" s="289" t="str">
        <f t="shared" si="75"/>
        <v/>
      </c>
      <c r="U33" s="290">
        <f t="shared" si="76"/>
        <v>0</v>
      </c>
      <c r="V33" s="291" t="str">
        <f t="shared" si="2"/>
        <v/>
      </c>
      <c r="W33" s="292" t="str">
        <f t="shared" si="3"/>
        <v/>
      </c>
      <c r="X33" s="293">
        <f t="shared" si="4"/>
        <v>0</v>
      </c>
      <c r="Y33" s="294" t="str">
        <f t="shared" si="5"/>
        <v/>
      </c>
      <c r="Z33" s="285"/>
      <c r="AA33" s="141"/>
      <c r="AB33" s="141">
        <v>14</v>
      </c>
      <c r="AC33" s="245" t="str">
        <f t="shared" si="6"/>
        <v>-</v>
      </c>
      <c r="AD33" s="245">
        <f t="shared" si="77"/>
        <v>0</v>
      </c>
      <c r="AE33" s="245">
        <f t="shared" si="78"/>
        <v>0</v>
      </c>
      <c r="AF33" s="245"/>
      <c r="AG33" s="263">
        <f t="shared" si="79"/>
        <v>0</v>
      </c>
      <c r="AH33" s="1328">
        <f t="shared" si="7"/>
        <v>0</v>
      </c>
      <c r="AI33" s="1329">
        <f>IF(SUM(AH33:AH$99)=0,0,F33&gt;0)</f>
        <v>0</v>
      </c>
      <c r="AJ33" s="1328">
        <f t="shared" si="8"/>
        <v>0</v>
      </c>
      <c r="AK33" s="1329">
        <f>IF(SUM(AH33:AH$99)=0,0,AND(AI33=FALSE,AJ33=0,SUM(AJ33:AJ$99)&gt;0))</f>
        <v>0</v>
      </c>
      <c r="AL33" s="1329">
        <f t="shared" si="9"/>
        <v>0</v>
      </c>
      <c r="AM33" s="1329">
        <f t="shared" si="10"/>
        <v>0</v>
      </c>
      <c r="AN33" s="1330">
        <f t="shared" si="11"/>
        <v>0</v>
      </c>
      <c r="AO33" s="1330">
        <f t="shared" si="12"/>
        <v>0</v>
      </c>
      <c r="AP33" s="264">
        <f t="shared" si="13"/>
        <v>0</v>
      </c>
      <c r="AQ33" s="264">
        <f t="shared" si="80"/>
        <v>0</v>
      </c>
      <c r="AR33" s="1329">
        <f t="shared" si="14"/>
        <v>0</v>
      </c>
      <c r="AS33" s="1329" t="str">
        <f t="shared" si="81"/>
        <v/>
      </c>
      <c r="AT33" s="1329">
        <f t="shared" si="15"/>
        <v>0</v>
      </c>
      <c r="AU33" s="898">
        <f t="shared" si="82"/>
        <v>0</v>
      </c>
      <c r="AV33" s="1329">
        <f t="shared" si="16"/>
        <v>0</v>
      </c>
      <c r="AW33" s="1329">
        <f t="shared" si="17"/>
        <v>0</v>
      </c>
      <c r="AX33" s="1329">
        <f t="shared" si="18"/>
        <v>0</v>
      </c>
      <c r="AY33" s="897">
        <f t="shared" si="83"/>
        <v>0</v>
      </c>
      <c r="AZ33" s="1329">
        <f t="shared" si="19"/>
        <v>0</v>
      </c>
      <c r="BA33" s="896">
        <f t="shared" si="84"/>
        <v>0</v>
      </c>
      <c r="BB33" s="899" t="str">
        <f t="shared" si="85"/>
        <v/>
      </c>
      <c r="BC33" s="899" t="str">
        <f t="shared" si="86"/>
        <v/>
      </c>
      <c r="BD33" s="1329">
        <f t="shared" si="20"/>
        <v>0</v>
      </c>
      <c r="BE33" s="1329">
        <f t="shared" si="21"/>
        <v>0</v>
      </c>
      <c r="BF33" s="1329">
        <f t="shared" si="22"/>
        <v>0</v>
      </c>
      <c r="BG33" s="1331" t="b">
        <f t="shared" si="23"/>
        <v>0</v>
      </c>
      <c r="BH33" s="265" t="str">
        <f t="shared" si="24"/>
        <v/>
      </c>
      <c r="BI33" s="1332">
        <f t="shared" si="25"/>
        <v>0</v>
      </c>
      <c r="BJ33" s="1333">
        <f t="shared" si="26"/>
        <v>0</v>
      </c>
      <c r="BK33" s="1333">
        <f t="shared" si="87"/>
        <v>0</v>
      </c>
      <c r="BL33" s="1335">
        <f t="shared" si="27"/>
        <v>0</v>
      </c>
      <c r="BM33" s="1334">
        <f t="shared" si="28"/>
        <v>0</v>
      </c>
      <c r="BN33" s="267">
        <f t="shared" si="29"/>
        <v>0</v>
      </c>
      <c r="BO33" s="267">
        <f t="shared" si="30"/>
        <v>0</v>
      </c>
      <c r="BP33" s="1333">
        <f t="shared" si="88"/>
        <v>0</v>
      </c>
      <c r="BQ33" s="270">
        <f t="shared" si="31"/>
        <v>0</v>
      </c>
      <c r="BR33" s="247" t="e">
        <f t="shared" si="32"/>
        <v>#DIV/0!</v>
      </c>
      <c r="BS33" s="1332">
        <f t="shared" si="98"/>
        <v>0</v>
      </c>
      <c r="BT33" s="1333">
        <f t="shared" si="33"/>
        <v>0</v>
      </c>
      <c r="BU33" s="1333">
        <f t="shared" si="33"/>
        <v>0</v>
      </c>
      <c r="BV33" s="268">
        <f t="shared" si="33"/>
        <v>0</v>
      </c>
      <c r="BW33" s="266">
        <f t="shared" si="34"/>
        <v>0</v>
      </c>
      <c r="BX33" s="267">
        <f t="shared" si="35"/>
        <v>0</v>
      </c>
      <c r="BY33" s="1333">
        <f t="shared" si="89"/>
        <v>0</v>
      </c>
      <c r="BZ33" s="267">
        <f t="shared" si="90"/>
        <v>0</v>
      </c>
      <c r="CA33" s="270">
        <f t="shared" si="36"/>
        <v>0</v>
      </c>
      <c r="CB33" s="271" t="e">
        <f t="shared" si="37"/>
        <v>#DIV/0!</v>
      </c>
      <c r="CC33" s="266" t="e">
        <f t="shared" si="38"/>
        <v>#DIV/0!</v>
      </c>
      <c r="CD33" s="267">
        <f t="shared" si="39"/>
        <v>0</v>
      </c>
      <c r="CE33" s="272">
        <f t="shared" si="91"/>
        <v>0</v>
      </c>
      <c r="CF33" s="272">
        <f t="shared" si="40"/>
        <v>0</v>
      </c>
      <c r="CG33" s="273" t="e">
        <f t="shared" si="41"/>
        <v>#DIV/0!</v>
      </c>
      <c r="CH33" s="273" t="e">
        <f t="shared" si="42"/>
        <v>#DIV/0!</v>
      </c>
      <c r="CI33" s="274" t="e">
        <f t="shared" si="92"/>
        <v>#DIV/0!</v>
      </c>
      <c r="CJ33" s="275" t="e">
        <f t="shared" si="43"/>
        <v>#DIV/0!</v>
      </c>
      <c r="CK33" s="141" t="e">
        <f t="shared" si="93"/>
        <v>#DIV/0!</v>
      </c>
      <c r="CL33" s="141" t="str">
        <f t="shared" si="44"/>
        <v/>
      </c>
      <c r="CM33" s="276" t="e">
        <f t="shared" si="94"/>
        <v>#DIV/0!</v>
      </c>
      <c r="CN33" s="277" t="e">
        <f t="shared" si="95"/>
        <v>#DIV/0!</v>
      </c>
      <c r="CO33" s="277">
        <f t="shared" si="96"/>
        <v>0</v>
      </c>
      <c r="CP33" s="141">
        <f t="shared" si="45"/>
        <v>1</v>
      </c>
      <c r="CQ33" s="141">
        <f t="shared" si="46"/>
        <v>1</v>
      </c>
      <c r="CR33" s="141" t="str">
        <f t="shared" si="47"/>
        <v/>
      </c>
      <c r="CS33" s="141">
        <f t="shared" si="48"/>
        <v>0</v>
      </c>
      <c r="CT33" s="278">
        <f t="shared" si="49"/>
        <v>0</v>
      </c>
      <c r="CU33" s="141" t="str">
        <f t="shared" si="50"/>
        <v>OK</v>
      </c>
      <c r="CV33" s="223">
        <f t="shared" si="51"/>
        <v>0.05</v>
      </c>
      <c r="CW33" s="278" t="e">
        <f t="shared" si="52"/>
        <v>#DIV/0!</v>
      </c>
      <c r="CX33" s="278" t="e">
        <f t="shared" si="53"/>
        <v>#DIV/0!</v>
      </c>
      <c r="CY33" s="278" t="e">
        <f t="shared" si="54"/>
        <v>#DIV/0!</v>
      </c>
      <c r="CZ33" s="278" t="e">
        <f t="shared" si="55"/>
        <v>#DIV/0!</v>
      </c>
      <c r="DA33" s="278">
        <f t="shared" si="56"/>
        <v>1</v>
      </c>
      <c r="DB33" s="278">
        <f t="shared" si="57"/>
        <v>0</v>
      </c>
      <c r="DC33" s="141" t="str">
        <f t="shared" si="58"/>
        <v>Soft</v>
      </c>
      <c r="DD33" s="141"/>
      <c r="DE33" s="141">
        <f t="shared" si="59"/>
        <v>0</v>
      </c>
      <c r="DF33" s="278" t="e">
        <f t="shared" si="60"/>
        <v>#DIV/0!</v>
      </c>
      <c r="DG33" s="278" t="e">
        <f t="shared" si="61"/>
        <v>#DIV/0!</v>
      </c>
      <c r="DH33" s="278" t="e">
        <f t="shared" si="62"/>
        <v>#DIV/0!</v>
      </c>
      <c r="DI33" s="278" t="e">
        <f t="shared" si="63"/>
        <v>#DIV/0!</v>
      </c>
      <c r="DJ33" s="278" t="e">
        <f t="shared" si="97"/>
        <v>#DIV/0!</v>
      </c>
      <c r="DK33" s="141"/>
      <c r="DL33" s="141"/>
      <c r="DM33" s="141"/>
      <c r="DN33" s="141">
        <f t="shared" si="64"/>
        <v>1</v>
      </c>
      <c r="DO33" s="278" t="e">
        <f t="shared" si="65"/>
        <v>#DIV/0!</v>
      </c>
      <c r="DP33" s="278" t="e">
        <f t="shared" si="66"/>
        <v>#DIV/0!</v>
      </c>
      <c r="DQ33" s="278" t="e">
        <f t="shared" si="67"/>
        <v>#DIV/0!</v>
      </c>
      <c r="DR33" s="278" t="e">
        <f t="shared" si="68"/>
        <v>#DIV/0!</v>
      </c>
      <c r="DS33" s="278" t="e">
        <f t="shared" si="69"/>
        <v>#DIV/0!</v>
      </c>
      <c r="DT33" s="278" t="e">
        <f t="shared" si="70"/>
        <v>#DIV/0!</v>
      </c>
      <c r="DU33" s="278">
        <f t="shared" si="71"/>
        <v>0</v>
      </c>
      <c r="DV33" s="141"/>
      <c r="DW33" s="141" t="b">
        <f t="shared" si="72"/>
        <v>1</v>
      </c>
      <c r="DX33" s="141" t="b">
        <f t="shared" si="72"/>
        <v>1</v>
      </c>
      <c r="DY33" s="141" t="b">
        <f t="shared" si="72"/>
        <v>1</v>
      </c>
      <c r="DZ33" s="141" t="b">
        <f t="shared" si="72"/>
        <v>1</v>
      </c>
      <c r="EA33" s="141" t="b">
        <f t="shared" si="72"/>
        <v>1</v>
      </c>
    </row>
    <row r="34" spans="1:132" s="147" customFormat="1" ht="18.649999999999999" hidden="1" customHeight="1" thickBot="1" x14ac:dyDescent="0.45">
      <c r="A34" s="285"/>
      <c r="B34" s="295" t="str">
        <f t="shared" si="73"/>
        <v>-</v>
      </c>
      <c r="C34" s="287">
        <v>15</v>
      </c>
      <c r="D34" s="1557"/>
      <c r="E34" s="1562"/>
      <c r="F34" s="967"/>
      <c r="G34" s="1102"/>
      <c r="H34" s="968"/>
      <c r="I34" s="969"/>
      <c r="J34" s="1336"/>
      <c r="K34" s="1337"/>
      <c r="L34" s="1337"/>
      <c r="M34" s="1337"/>
      <c r="N34" s="1338"/>
      <c r="O34" s="970"/>
      <c r="P34" s="971"/>
      <c r="Q34" s="972"/>
      <c r="R34" s="973"/>
      <c r="S34" s="288" t="str">
        <f t="shared" si="74"/>
        <v/>
      </c>
      <c r="T34" s="289" t="str">
        <f t="shared" si="75"/>
        <v/>
      </c>
      <c r="U34" s="290">
        <f t="shared" si="76"/>
        <v>0</v>
      </c>
      <c r="V34" s="291" t="str">
        <f t="shared" si="2"/>
        <v/>
      </c>
      <c r="W34" s="292" t="str">
        <f t="shared" si="3"/>
        <v/>
      </c>
      <c r="X34" s="293">
        <f t="shared" si="4"/>
        <v>0</v>
      </c>
      <c r="Y34" s="294" t="str">
        <f t="shared" si="5"/>
        <v/>
      </c>
      <c r="Z34" s="285"/>
      <c r="AA34" s="141"/>
      <c r="AB34" s="141">
        <v>15</v>
      </c>
      <c r="AC34" s="245" t="str">
        <f t="shared" si="6"/>
        <v>-</v>
      </c>
      <c r="AD34" s="245">
        <f t="shared" si="77"/>
        <v>0</v>
      </c>
      <c r="AE34" s="245">
        <f t="shared" si="78"/>
        <v>0</v>
      </c>
      <c r="AF34" s="245"/>
      <c r="AG34" s="263">
        <f t="shared" si="79"/>
        <v>0</v>
      </c>
      <c r="AH34" s="1328">
        <f t="shared" si="7"/>
        <v>0</v>
      </c>
      <c r="AI34" s="1329">
        <f>IF(SUM(AH34:AH$99)=0,0,F34&gt;0)</f>
        <v>0</v>
      </c>
      <c r="AJ34" s="1328">
        <f t="shared" si="8"/>
        <v>0</v>
      </c>
      <c r="AK34" s="1329">
        <f>IF(SUM(AH34:AH$99)=0,0,AND(AI34=FALSE,AJ34=0,SUM(AJ34:AJ$99)&gt;0))</f>
        <v>0</v>
      </c>
      <c r="AL34" s="1329">
        <f t="shared" si="9"/>
        <v>0</v>
      </c>
      <c r="AM34" s="1329">
        <f t="shared" si="10"/>
        <v>0</v>
      </c>
      <c r="AN34" s="1330">
        <f t="shared" si="11"/>
        <v>0</v>
      </c>
      <c r="AO34" s="1330">
        <f t="shared" si="12"/>
        <v>0</v>
      </c>
      <c r="AP34" s="264">
        <f t="shared" si="13"/>
        <v>0</v>
      </c>
      <c r="AQ34" s="264">
        <f t="shared" si="80"/>
        <v>0</v>
      </c>
      <c r="AR34" s="1329">
        <f t="shared" si="14"/>
        <v>0</v>
      </c>
      <c r="AS34" s="1329" t="str">
        <f t="shared" si="81"/>
        <v/>
      </c>
      <c r="AT34" s="1329">
        <f t="shared" si="15"/>
        <v>0</v>
      </c>
      <c r="AU34" s="898">
        <f t="shared" si="82"/>
        <v>0</v>
      </c>
      <c r="AV34" s="1329">
        <f t="shared" si="16"/>
        <v>0</v>
      </c>
      <c r="AW34" s="1329">
        <f t="shared" si="17"/>
        <v>0</v>
      </c>
      <c r="AX34" s="1329">
        <f t="shared" si="18"/>
        <v>0</v>
      </c>
      <c r="AY34" s="897">
        <f t="shared" si="83"/>
        <v>0</v>
      </c>
      <c r="AZ34" s="1329">
        <f t="shared" si="19"/>
        <v>0</v>
      </c>
      <c r="BA34" s="896">
        <f t="shared" si="84"/>
        <v>0</v>
      </c>
      <c r="BB34" s="899" t="str">
        <f t="shared" si="85"/>
        <v/>
      </c>
      <c r="BC34" s="899" t="str">
        <f t="shared" si="86"/>
        <v/>
      </c>
      <c r="BD34" s="1329">
        <f t="shared" si="20"/>
        <v>0</v>
      </c>
      <c r="BE34" s="1329">
        <f t="shared" si="21"/>
        <v>0</v>
      </c>
      <c r="BF34" s="1329">
        <f t="shared" si="22"/>
        <v>0</v>
      </c>
      <c r="BG34" s="1331" t="b">
        <f t="shared" si="23"/>
        <v>0</v>
      </c>
      <c r="BH34" s="265" t="str">
        <f t="shared" si="24"/>
        <v/>
      </c>
      <c r="BI34" s="1332">
        <f t="shared" si="25"/>
        <v>0</v>
      </c>
      <c r="BJ34" s="1333">
        <f t="shared" si="26"/>
        <v>0</v>
      </c>
      <c r="BK34" s="1333">
        <f t="shared" si="87"/>
        <v>0</v>
      </c>
      <c r="BL34" s="1335">
        <f t="shared" si="27"/>
        <v>0</v>
      </c>
      <c r="BM34" s="1334">
        <f t="shared" si="28"/>
        <v>0</v>
      </c>
      <c r="BN34" s="267">
        <f t="shared" si="29"/>
        <v>0</v>
      </c>
      <c r="BO34" s="267">
        <f t="shared" si="30"/>
        <v>0</v>
      </c>
      <c r="BP34" s="1333">
        <f t="shared" si="88"/>
        <v>0</v>
      </c>
      <c r="BQ34" s="270">
        <f t="shared" si="31"/>
        <v>0</v>
      </c>
      <c r="BR34" s="247" t="e">
        <f t="shared" si="32"/>
        <v>#DIV/0!</v>
      </c>
      <c r="BS34" s="1332">
        <f t="shared" si="98"/>
        <v>0</v>
      </c>
      <c r="BT34" s="1333">
        <f t="shared" si="33"/>
        <v>0</v>
      </c>
      <c r="BU34" s="1333">
        <f t="shared" si="33"/>
        <v>0</v>
      </c>
      <c r="BV34" s="268">
        <f t="shared" si="33"/>
        <v>0</v>
      </c>
      <c r="BW34" s="266">
        <f t="shared" si="34"/>
        <v>0</v>
      </c>
      <c r="BX34" s="267">
        <f t="shared" si="35"/>
        <v>0</v>
      </c>
      <c r="BY34" s="1333">
        <f t="shared" si="89"/>
        <v>0</v>
      </c>
      <c r="BZ34" s="267">
        <f t="shared" si="90"/>
        <v>0</v>
      </c>
      <c r="CA34" s="270">
        <f t="shared" si="36"/>
        <v>0</v>
      </c>
      <c r="CB34" s="271" t="e">
        <f t="shared" si="37"/>
        <v>#DIV/0!</v>
      </c>
      <c r="CC34" s="266" t="e">
        <f t="shared" si="38"/>
        <v>#DIV/0!</v>
      </c>
      <c r="CD34" s="267">
        <f t="shared" si="39"/>
        <v>0</v>
      </c>
      <c r="CE34" s="272">
        <f t="shared" si="91"/>
        <v>0</v>
      </c>
      <c r="CF34" s="272">
        <f t="shared" si="40"/>
        <v>0</v>
      </c>
      <c r="CG34" s="273" t="e">
        <f t="shared" si="41"/>
        <v>#DIV/0!</v>
      </c>
      <c r="CH34" s="273" t="e">
        <f t="shared" si="42"/>
        <v>#DIV/0!</v>
      </c>
      <c r="CI34" s="274" t="e">
        <f t="shared" si="92"/>
        <v>#DIV/0!</v>
      </c>
      <c r="CJ34" s="275" t="e">
        <f t="shared" si="43"/>
        <v>#DIV/0!</v>
      </c>
      <c r="CK34" s="141" t="e">
        <f t="shared" si="93"/>
        <v>#DIV/0!</v>
      </c>
      <c r="CL34" s="141" t="str">
        <f t="shared" si="44"/>
        <v/>
      </c>
      <c r="CM34" s="276" t="e">
        <f t="shared" si="94"/>
        <v>#DIV/0!</v>
      </c>
      <c r="CN34" s="277" t="e">
        <f t="shared" si="95"/>
        <v>#DIV/0!</v>
      </c>
      <c r="CO34" s="277">
        <f t="shared" si="96"/>
        <v>0</v>
      </c>
      <c r="CP34" s="141">
        <f t="shared" si="45"/>
        <v>1</v>
      </c>
      <c r="CQ34" s="141">
        <f t="shared" si="46"/>
        <v>1</v>
      </c>
      <c r="CR34" s="141" t="str">
        <f t="shared" si="47"/>
        <v/>
      </c>
      <c r="CS34" s="141">
        <f t="shared" si="48"/>
        <v>0</v>
      </c>
      <c r="CT34" s="278">
        <f t="shared" si="49"/>
        <v>0</v>
      </c>
      <c r="CU34" s="141" t="str">
        <f t="shared" si="50"/>
        <v>OK</v>
      </c>
      <c r="CV34" s="223">
        <f t="shared" si="51"/>
        <v>0.05</v>
      </c>
      <c r="CW34" s="278" t="e">
        <f t="shared" si="52"/>
        <v>#DIV/0!</v>
      </c>
      <c r="CX34" s="278" t="e">
        <f t="shared" si="53"/>
        <v>#DIV/0!</v>
      </c>
      <c r="CY34" s="278" t="e">
        <f t="shared" si="54"/>
        <v>#DIV/0!</v>
      </c>
      <c r="CZ34" s="278" t="e">
        <f t="shared" si="55"/>
        <v>#DIV/0!</v>
      </c>
      <c r="DA34" s="278">
        <f t="shared" si="56"/>
        <v>1</v>
      </c>
      <c r="DB34" s="278">
        <f t="shared" si="57"/>
        <v>0</v>
      </c>
      <c r="DC34" s="141" t="str">
        <f t="shared" si="58"/>
        <v>Soft</v>
      </c>
      <c r="DD34" s="141"/>
      <c r="DE34" s="141">
        <f t="shared" si="59"/>
        <v>0</v>
      </c>
      <c r="DF34" s="278" t="e">
        <f t="shared" si="60"/>
        <v>#DIV/0!</v>
      </c>
      <c r="DG34" s="278" t="e">
        <f t="shared" si="61"/>
        <v>#DIV/0!</v>
      </c>
      <c r="DH34" s="278" t="e">
        <f t="shared" si="62"/>
        <v>#DIV/0!</v>
      </c>
      <c r="DI34" s="278" t="e">
        <f t="shared" si="63"/>
        <v>#DIV/0!</v>
      </c>
      <c r="DJ34" s="278" t="e">
        <f t="shared" si="97"/>
        <v>#DIV/0!</v>
      </c>
      <c r="DK34" s="141"/>
      <c r="DL34" s="141"/>
      <c r="DM34" s="141"/>
      <c r="DN34" s="141">
        <f t="shared" si="64"/>
        <v>1</v>
      </c>
      <c r="DO34" s="278" t="e">
        <f t="shared" si="65"/>
        <v>#DIV/0!</v>
      </c>
      <c r="DP34" s="278" t="e">
        <f t="shared" si="66"/>
        <v>#DIV/0!</v>
      </c>
      <c r="DQ34" s="278" t="e">
        <f t="shared" si="67"/>
        <v>#DIV/0!</v>
      </c>
      <c r="DR34" s="278" t="e">
        <f t="shared" si="68"/>
        <v>#DIV/0!</v>
      </c>
      <c r="DS34" s="278" t="e">
        <f t="shared" si="69"/>
        <v>#DIV/0!</v>
      </c>
      <c r="DT34" s="278" t="e">
        <f t="shared" si="70"/>
        <v>#DIV/0!</v>
      </c>
      <c r="DU34" s="278">
        <f t="shared" si="71"/>
        <v>0</v>
      </c>
      <c r="DV34" s="141"/>
      <c r="DW34" s="141" t="b">
        <f t="shared" si="72"/>
        <v>1</v>
      </c>
      <c r="DX34" s="141" t="b">
        <f t="shared" si="72"/>
        <v>1</v>
      </c>
      <c r="DY34" s="141" t="b">
        <f t="shared" si="72"/>
        <v>1</v>
      </c>
      <c r="DZ34" s="141" t="b">
        <f t="shared" si="72"/>
        <v>1</v>
      </c>
      <c r="EA34" s="141" t="b">
        <f t="shared" si="72"/>
        <v>1</v>
      </c>
    </row>
    <row r="35" spans="1:132" s="140" customFormat="1" ht="18.5" hidden="1" thickBot="1" x14ac:dyDescent="0.45">
      <c r="A35" s="150"/>
      <c r="B35" s="296" t="str">
        <f t="shared" si="73"/>
        <v>-</v>
      </c>
      <c r="C35" s="279">
        <v>16</v>
      </c>
      <c r="D35" s="1557"/>
      <c r="E35" s="1562"/>
      <c r="F35" s="951"/>
      <c r="G35" s="1101"/>
      <c r="H35" s="952"/>
      <c r="I35" s="965"/>
      <c r="J35" s="1325"/>
      <c r="K35" s="1326"/>
      <c r="L35" s="1326"/>
      <c r="M35" s="1326"/>
      <c r="N35" s="1327"/>
      <c r="O35" s="974"/>
      <c r="P35" s="975"/>
      <c r="Q35" s="976"/>
      <c r="R35" s="966"/>
      <c r="S35" s="280" t="str">
        <f t="shared" si="74"/>
        <v/>
      </c>
      <c r="T35" s="281" t="str">
        <f t="shared" si="75"/>
        <v/>
      </c>
      <c r="U35" s="282">
        <f t="shared" si="76"/>
        <v>0</v>
      </c>
      <c r="V35" s="259" t="str">
        <f t="shared" si="2"/>
        <v/>
      </c>
      <c r="W35" s="260" t="str">
        <f t="shared" si="3"/>
        <v/>
      </c>
      <c r="X35" s="283">
        <f t="shared" si="4"/>
        <v>0</v>
      </c>
      <c r="Y35" s="284" t="str">
        <f t="shared" si="5"/>
        <v/>
      </c>
      <c r="Z35" s="150"/>
      <c r="AA35" s="175"/>
      <c r="AB35" s="175">
        <v>16</v>
      </c>
      <c r="AC35" s="297" t="str">
        <f t="shared" si="6"/>
        <v>-</v>
      </c>
      <c r="AD35" s="297">
        <f t="shared" si="77"/>
        <v>0</v>
      </c>
      <c r="AE35" s="297">
        <f t="shared" si="78"/>
        <v>0</v>
      </c>
      <c r="AF35" s="297"/>
      <c r="AG35" s="298">
        <f t="shared" si="79"/>
        <v>0</v>
      </c>
      <c r="AH35" s="1339">
        <f t="shared" si="7"/>
        <v>0</v>
      </c>
      <c r="AI35" s="1340">
        <f>IF(SUM(AH35:AH$99)=0,0,F35&gt;0)</f>
        <v>0</v>
      </c>
      <c r="AJ35" s="1339">
        <f t="shared" si="8"/>
        <v>0</v>
      </c>
      <c r="AK35" s="1340">
        <f>IF(SUM(AH35:AH$99)=0,0,AND(AI35=FALSE,AJ35=0,SUM(AJ35:AJ$99)&gt;0))</f>
        <v>0</v>
      </c>
      <c r="AL35" s="1340">
        <f t="shared" si="9"/>
        <v>0</v>
      </c>
      <c r="AM35" s="1340">
        <f t="shared" si="10"/>
        <v>0</v>
      </c>
      <c r="AN35" s="1341">
        <f t="shared" si="11"/>
        <v>0</v>
      </c>
      <c r="AO35" s="1341">
        <f t="shared" si="12"/>
        <v>0</v>
      </c>
      <c r="AP35" s="264">
        <f t="shared" si="13"/>
        <v>0</v>
      </c>
      <c r="AQ35" s="264">
        <f t="shared" si="80"/>
        <v>0</v>
      </c>
      <c r="AR35" s="1340">
        <f t="shared" si="14"/>
        <v>0</v>
      </c>
      <c r="AS35" s="1340" t="str">
        <f t="shared" si="81"/>
        <v/>
      </c>
      <c r="AT35" s="1340">
        <f t="shared" si="15"/>
        <v>0</v>
      </c>
      <c r="AU35" s="898">
        <f t="shared" si="82"/>
        <v>0</v>
      </c>
      <c r="AV35" s="1340">
        <f t="shared" si="16"/>
        <v>0</v>
      </c>
      <c r="AW35" s="1340">
        <f t="shared" si="17"/>
        <v>0</v>
      </c>
      <c r="AX35" s="1340">
        <f t="shared" si="18"/>
        <v>0</v>
      </c>
      <c r="AY35" s="897">
        <f t="shared" si="83"/>
        <v>0</v>
      </c>
      <c r="AZ35" s="1340">
        <f t="shared" si="19"/>
        <v>0</v>
      </c>
      <c r="BA35" s="896">
        <f t="shared" si="84"/>
        <v>0</v>
      </c>
      <c r="BB35" s="899" t="str">
        <f t="shared" si="85"/>
        <v/>
      </c>
      <c r="BC35" s="899" t="str">
        <f t="shared" si="86"/>
        <v/>
      </c>
      <c r="BD35" s="1340">
        <f t="shared" si="20"/>
        <v>0</v>
      </c>
      <c r="BE35" s="1340">
        <f t="shared" si="21"/>
        <v>0</v>
      </c>
      <c r="BF35" s="1340">
        <f t="shared" si="22"/>
        <v>0</v>
      </c>
      <c r="BG35" s="1342" t="b">
        <f t="shared" si="23"/>
        <v>0</v>
      </c>
      <c r="BH35" s="299" t="str">
        <f t="shared" si="24"/>
        <v/>
      </c>
      <c r="BI35" s="1343">
        <f t="shared" si="25"/>
        <v>0</v>
      </c>
      <c r="BJ35" s="1344">
        <f t="shared" si="26"/>
        <v>0</v>
      </c>
      <c r="BK35" s="1344">
        <f t="shared" si="87"/>
        <v>0</v>
      </c>
      <c r="BL35" s="1345">
        <f t="shared" si="27"/>
        <v>0</v>
      </c>
      <c r="BM35" s="1346">
        <f t="shared" si="28"/>
        <v>0</v>
      </c>
      <c r="BN35" s="300">
        <f t="shared" si="29"/>
        <v>0</v>
      </c>
      <c r="BO35" s="300">
        <f t="shared" si="30"/>
        <v>0</v>
      </c>
      <c r="BP35" s="1344">
        <f t="shared" si="88"/>
        <v>0</v>
      </c>
      <c r="BQ35" s="301">
        <f t="shared" si="31"/>
        <v>0</v>
      </c>
      <c r="BR35" s="302" t="e">
        <f t="shared" si="32"/>
        <v>#DIV/0!</v>
      </c>
      <c r="BS35" s="1343">
        <f t="shared" si="98"/>
        <v>0</v>
      </c>
      <c r="BT35" s="1344">
        <f t="shared" si="33"/>
        <v>0</v>
      </c>
      <c r="BU35" s="1344">
        <f t="shared" si="33"/>
        <v>0</v>
      </c>
      <c r="BV35" s="303">
        <f t="shared" si="33"/>
        <v>0</v>
      </c>
      <c r="BW35" s="304">
        <f t="shared" si="34"/>
        <v>0</v>
      </c>
      <c r="BX35" s="300">
        <f t="shared" si="35"/>
        <v>0</v>
      </c>
      <c r="BY35" s="1344">
        <f t="shared" si="89"/>
        <v>0</v>
      </c>
      <c r="BZ35" s="300">
        <f t="shared" si="90"/>
        <v>0</v>
      </c>
      <c r="CA35" s="301">
        <f t="shared" si="36"/>
        <v>0</v>
      </c>
      <c r="CB35" s="305" t="e">
        <f t="shared" si="37"/>
        <v>#DIV/0!</v>
      </c>
      <c r="CC35" s="304" t="e">
        <f t="shared" si="38"/>
        <v>#DIV/0!</v>
      </c>
      <c r="CD35" s="300">
        <f t="shared" si="39"/>
        <v>0</v>
      </c>
      <c r="CE35" s="306">
        <f t="shared" si="91"/>
        <v>0</v>
      </c>
      <c r="CF35" s="306">
        <f t="shared" si="40"/>
        <v>0</v>
      </c>
      <c r="CG35" s="307" t="e">
        <f t="shared" si="41"/>
        <v>#DIV/0!</v>
      </c>
      <c r="CH35" s="307" t="e">
        <f t="shared" si="42"/>
        <v>#DIV/0!</v>
      </c>
      <c r="CI35" s="308" t="e">
        <f t="shared" si="92"/>
        <v>#DIV/0!</v>
      </c>
      <c r="CJ35" s="309" t="e">
        <f t="shared" si="43"/>
        <v>#DIV/0!</v>
      </c>
      <c r="CK35" s="175" t="e">
        <f t="shared" si="93"/>
        <v>#DIV/0!</v>
      </c>
      <c r="CL35" s="175" t="str">
        <f t="shared" si="44"/>
        <v/>
      </c>
      <c r="CM35" s="310" t="e">
        <f t="shared" si="94"/>
        <v>#DIV/0!</v>
      </c>
      <c r="CN35" s="311" t="e">
        <f t="shared" si="95"/>
        <v>#DIV/0!</v>
      </c>
      <c r="CO35" s="311">
        <f t="shared" si="96"/>
        <v>0</v>
      </c>
      <c r="CP35" s="175">
        <f t="shared" si="45"/>
        <v>1</v>
      </c>
      <c r="CQ35" s="175">
        <f t="shared" si="46"/>
        <v>1</v>
      </c>
      <c r="CR35" s="175" t="str">
        <f t="shared" si="47"/>
        <v/>
      </c>
      <c r="CS35" s="175">
        <f t="shared" si="48"/>
        <v>0</v>
      </c>
      <c r="CT35" s="312">
        <f t="shared" si="49"/>
        <v>0</v>
      </c>
      <c r="CU35" s="175" t="str">
        <f t="shared" si="50"/>
        <v>OK</v>
      </c>
      <c r="CV35" s="313">
        <f t="shared" si="51"/>
        <v>0.05</v>
      </c>
      <c r="CW35" s="312" t="e">
        <f t="shared" si="52"/>
        <v>#DIV/0!</v>
      </c>
      <c r="CX35" s="312" t="e">
        <f t="shared" si="53"/>
        <v>#DIV/0!</v>
      </c>
      <c r="CY35" s="312" t="e">
        <f t="shared" si="54"/>
        <v>#DIV/0!</v>
      </c>
      <c r="CZ35" s="312" t="e">
        <f t="shared" si="55"/>
        <v>#DIV/0!</v>
      </c>
      <c r="DA35" s="312">
        <f t="shared" si="56"/>
        <v>1</v>
      </c>
      <c r="DB35" s="312">
        <f t="shared" si="57"/>
        <v>0</v>
      </c>
      <c r="DC35" s="175" t="str">
        <f t="shared" si="58"/>
        <v>Soft</v>
      </c>
      <c r="DD35" s="175"/>
      <c r="DE35" s="175">
        <f t="shared" si="59"/>
        <v>0</v>
      </c>
      <c r="DF35" s="312" t="e">
        <f t="shared" si="60"/>
        <v>#DIV/0!</v>
      </c>
      <c r="DG35" s="312" t="e">
        <f t="shared" si="61"/>
        <v>#DIV/0!</v>
      </c>
      <c r="DH35" s="312" t="e">
        <f t="shared" si="62"/>
        <v>#DIV/0!</v>
      </c>
      <c r="DI35" s="312" t="e">
        <f t="shared" si="63"/>
        <v>#DIV/0!</v>
      </c>
      <c r="DJ35" s="312" t="e">
        <f t="shared" si="97"/>
        <v>#DIV/0!</v>
      </c>
      <c r="DK35" s="175"/>
      <c r="DL35" s="175"/>
      <c r="DM35" s="175"/>
      <c r="DN35" s="175">
        <f t="shared" si="64"/>
        <v>1</v>
      </c>
      <c r="DO35" s="312" t="e">
        <f t="shared" si="65"/>
        <v>#DIV/0!</v>
      </c>
      <c r="DP35" s="312" t="e">
        <f t="shared" si="66"/>
        <v>#DIV/0!</v>
      </c>
      <c r="DQ35" s="312" t="e">
        <f t="shared" si="67"/>
        <v>#DIV/0!</v>
      </c>
      <c r="DR35" s="312" t="e">
        <f t="shared" si="68"/>
        <v>#DIV/0!</v>
      </c>
      <c r="DS35" s="312" t="e">
        <f t="shared" si="69"/>
        <v>#DIV/0!</v>
      </c>
      <c r="DT35" s="312" t="e">
        <f t="shared" si="70"/>
        <v>#DIV/0!</v>
      </c>
      <c r="DU35" s="312">
        <f t="shared" si="71"/>
        <v>0</v>
      </c>
      <c r="DV35" s="175"/>
      <c r="DW35" s="175" t="b">
        <f t="shared" si="72"/>
        <v>1</v>
      </c>
      <c r="DX35" s="175" t="b">
        <f t="shared" si="72"/>
        <v>1</v>
      </c>
      <c r="DY35" s="175" t="b">
        <f t="shared" si="72"/>
        <v>1</v>
      </c>
      <c r="DZ35" s="175" t="b">
        <f t="shared" si="72"/>
        <v>1</v>
      </c>
      <c r="EA35" s="175" t="b">
        <f t="shared" si="72"/>
        <v>1</v>
      </c>
      <c r="EB35" s="168"/>
    </row>
    <row r="36" spans="1:132" s="140" customFormat="1" ht="18.5" hidden="1" thickBot="1" x14ac:dyDescent="0.45">
      <c r="A36" s="150"/>
      <c r="B36" s="296" t="str">
        <f t="shared" si="73"/>
        <v>-</v>
      </c>
      <c r="C36" s="279">
        <v>17</v>
      </c>
      <c r="D36" s="1557"/>
      <c r="E36" s="1558"/>
      <c r="F36" s="951"/>
      <c r="G36" s="1101"/>
      <c r="H36" s="952"/>
      <c r="I36" s="965"/>
      <c r="J36" s="1325"/>
      <c r="K36" s="1326"/>
      <c r="L36" s="1326"/>
      <c r="M36" s="1326"/>
      <c r="N36" s="1327"/>
      <c r="O36" s="974"/>
      <c r="P36" s="975"/>
      <c r="Q36" s="976"/>
      <c r="R36" s="966"/>
      <c r="S36" s="280" t="str">
        <f t="shared" si="74"/>
        <v/>
      </c>
      <c r="T36" s="281" t="str">
        <f t="shared" si="75"/>
        <v/>
      </c>
      <c r="U36" s="282">
        <f t="shared" si="76"/>
        <v>0</v>
      </c>
      <c r="V36" s="259" t="str">
        <f t="shared" si="2"/>
        <v/>
      </c>
      <c r="W36" s="260" t="str">
        <f t="shared" si="3"/>
        <v/>
      </c>
      <c r="X36" s="283">
        <f t="shared" si="4"/>
        <v>0</v>
      </c>
      <c r="Y36" s="284" t="str">
        <f t="shared" si="5"/>
        <v/>
      </c>
      <c r="Z36" s="150"/>
      <c r="AA36" s="175"/>
      <c r="AB36" s="175">
        <v>17</v>
      </c>
      <c r="AC36" s="297" t="str">
        <f t="shared" si="6"/>
        <v>-</v>
      </c>
      <c r="AD36" s="297">
        <f t="shared" si="77"/>
        <v>0</v>
      </c>
      <c r="AE36" s="297">
        <f t="shared" si="78"/>
        <v>0</v>
      </c>
      <c r="AF36" s="297"/>
      <c r="AG36" s="298">
        <f t="shared" si="79"/>
        <v>0</v>
      </c>
      <c r="AH36" s="1339">
        <f t="shared" si="7"/>
        <v>0</v>
      </c>
      <c r="AI36" s="1340">
        <f>IF(SUM(AH36:AH$99)=0,0,F36&gt;0)</f>
        <v>0</v>
      </c>
      <c r="AJ36" s="1339">
        <f t="shared" si="8"/>
        <v>0</v>
      </c>
      <c r="AK36" s="1340">
        <f>IF(SUM(AH36:AH$99)=0,0,AND(AI36=FALSE,AJ36=0,SUM(AJ36:AJ$99)&gt;0))</f>
        <v>0</v>
      </c>
      <c r="AL36" s="1340">
        <f t="shared" si="9"/>
        <v>0</v>
      </c>
      <c r="AM36" s="1340">
        <f t="shared" si="10"/>
        <v>0</v>
      </c>
      <c r="AN36" s="1341">
        <f t="shared" si="11"/>
        <v>0</v>
      </c>
      <c r="AO36" s="1341">
        <f t="shared" si="12"/>
        <v>0</v>
      </c>
      <c r="AP36" s="264">
        <f t="shared" si="13"/>
        <v>0</v>
      </c>
      <c r="AQ36" s="264">
        <f t="shared" si="80"/>
        <v>0</v>
      </c>
      <c r="AR36" s="1340">
        <f t="shared" si="14"/>
        <v>0</v>
      </c>
      <c r="AS36" s="1340" t="str">
        <f t="shared" si="81"/>
        <v/>
      </c>
      <c r="AT36" s="1340">
        <f t="shared" si="15"/>
        <v>0</v>
      </c>
      <c r="AU36" s="898">
        <f t="shared" si="82"/>
        <v>0</v>
      </c>
      <c r="AV36" s="1340">
        <f t="shared" si="16"/>
        <v>0</v>
      </c>
      <c r="AW36" s="1340">
        <f t="shared" si="17"/>
        <v>0</v>
      </c>
      <c r="AX36" s="1340">
        <f t="shared" si="18"/>
        <v>0</v>
      </c>
      <c r="AY36" s="897">
        <f t="shared" si="83"/>
        <v>0</v>
      </c>
      <c r="AZ36" s="1340">
        <f t="shared" si="19"/>
        <v>0</v>
      </c>
      <c r="BA36" s="896">
        <f t="shared" si="84"/>
        <v>0</v>
      </c>
      <c r="BB36" s="899" t="str">
        <f t="shared" si="85"/>
        <v/>
      </c>
      <c r="BC36" s="899" t="str">
        <f t="shared" si="86"/>
        <v/>
      </c>
      <c r="BD36" s="1340">
        <f t="shared" si="20"/>
        <v>0</v>
      </c>
      <c r="BE36" s="1340">
        <f t="shared" si="21"/>
        <v>0</v>
      </c>
      <c r="BF36" s="1340">
        <f t="shared" si="22"/>
        <v>0</v>
      </c>
      <c r="BG36" s="1342" t="b">
        <f t="shared" si="23"/>
        <v>0</v>
      </c>
      <c r="BH36" s="299" t="str">
        <f t="shared" si="24"/>
        <v/>
      </c>
      <c r="BI36" s="1343">
        <f t="shared" si="25"/>
        <v>0</v>
      </c>
      <c r="BJ36" s="1344">
        <f t="shared" si="26"/>
        <v>0</v>
      </c>
      <c r="BK36" s="1344">
        <f t="shared" si="87"/>
        <v>0</v>
      </c>
      <c r="BL36" s="1345">
        <f t="shared" si="27"/>
        <v>0</v>
      </c>
      <c r="BM36" s="1346">
        <f t="shared" si="28"/>
        <v>0</v>
      </c>
      <c r="BN36" s="300">
        <f t="shared" si="29"/>
        <v>0</v>
      </c>
      <c r="BO36" s="300">
        <f t="shared" si="30"/>
        <v>0</v>
      </c>
      <c r="BP36" s="1344">
        <f t="shared" si="88"/>
        <v>0</v>
      </c>
      <c r="BQ36" s="301">
        <f t="shared" si="31"/>
        <v>0</v>
      </c>
      <c r="BR36" s="302" t="e">
        <f t="shared" si="32"/>
        <v>#DIV/0!</v>
      </c>
      <c r="BS36" s="1343">
        <f t="shared" si="98"/>
        <v>0</v>
      </c>
      <c r="BT36" s="1344">
        <f t="shared" si="98"/>
        <v>0</v>
      </c>
      <c r="BU36" s="1344">
        <f t="shared" si="98"/>
        <v>0</v>
      </c>
      <c r="BV36" s="303">
        <f t="shared" si="98"/>
        <v>0</v>
      </c>
      <c r="BW36" s="304">
        <f t="shared" si="34"/>
        <v>0</v>
      </c>
      <c r="BX36" s="300">
        <f t="shared" si="35"/>
        <v>0</v>
      </c>
      <c r="BY36" s="1344">
        <f t="shared" si="89"/>
        <v>0</v>
      </c>
      <c r="BZ36" s="300">
        <f t="shared" si="90"/>
        <v>0</v>
      </c>
      <c r="CA36" s="301">
        <f t="shared" si="36"/>
        <v>0</v>
      </c>
      <c r="CB36" s="305" t="e">
        <f t="shared" si="37"/>
        <v>#DIV/0!</v>
      </c>
      <c r="CC36" s="304" t="e">
        <f t="shared" si="38"/>
        <v>#DIV/0!</v>
      </c>
      <c r="CD36" s="300">
        <f t="shared" si="39"/>
        <v>0</v>
      </c>
      <c r="CE36" s="306">
        <f t="shared" si="91"/>
        <v>0</v>
      </c>
      <c r="CF36" s="306">
        <f t="shared" si="40"/>
        <v>0</v>
      </c>
      <c r="CG36" s="307" t="e">
        <f t="shared" si="41"/>
        <v>#DIV/0!</v>
      </c>
      <c r="CH36" s="307" t="e">
        <f t="shared" si="42"/>
        <v>#DIV/0!</v>
      </c>
      <c r="CI36" s="308" t="e">
        <f t="shared" si="92"/>
        <v>#DIV/0!</v>
      </c>
      <c r="CJ36" s="309" t="e">
        <f t="shared" si="43"/>
        <v>#DIV/0!</v>
      </c>
      <c r="CK36" s="175" t="e">
        <f t="shared" si="93"/>
        <v>#DIV/0!</v>
      </c>
      <c r="CL36" s="175" t="str">
        <f t="shared" si="44"/>
        <v/>
      </c>
      <c r="CM36" s="310" t="e">
        <f t="shared" si="94"/>
        <v>#DIV/0!</v>
      </c>
      <c r="CN36" s="311" t="e">
        <f t="shared" si="95"/>
        <v>#DIV/0!</v>
      </c>
      <c r="CO36" s="311">
        <f t="shared" si="96"/>
        <v>0</v>
      </c>
      <c r="CP36" s="175">
        <f t="shared" si="45"/>
        <v>1</v>
      </c>
      <c r="CQ36" s="175">
        <f t="shared" si="46"/>
        <v>1</v>
      </c>
      <c r="CR36" s="175" t="str">
        <f t="shared" si="47"/>
        <v/>
      </c>
      <c r="CS36" s="175">
        <f t="shared" si="48"/>
        <v>0</v>
      </c>
      <c r="CT36" s="312">
        <f t="shared" si="49"/>
        <v>0</v>
      </c>
      <c r="CU36" s="175" t="str">
        <f t="shared" si="50"/>
        <v>OK</v>
      </c>
      <c r="CV36" s="313">
        <f t="shared" si="51"/>
        <v>0.05</v>
      </c>
      <c r="CW36" s="312" t="e">
        <f t="shared" si="52"/>
        <v>#DIV/0!</v>
      </c>
      <c r="CX36" s="312" t="e">
        <f t="shared" si="53"/>
        <v>#DIV/0!</v>
      </c>
      <c r="CY36" s="312" t="e">
        <f t="shared" si="54"/>
        <v>#DIV/0!</v>
      </c>
      <c r="CZ36" s="312" t="e">
        <f t="shared" si="55"/>
        <v>#DIV/0!</v>
      </c>
      <c r="DA36" s="312">
        <f t="shared" si="56"/>
        <v>1</v>
      </c>
      <c r="DB36" s="312">
        <f t="shared" si="57"/>
        <v>0</v>
      </c>
      <c r="DC36" s="175" t="str">
        <f t="shared" si="58"/>
        <v>Soft</v>
      </c>
      <c r="DD36" s="175"/>
      <c r="DE36" s="175">
        <f t="shared" si="59"/>
        <v>0</v>
      </c>
      <c r="DF36" s="312" t="e">
        <f t="shared" si="60"/>
        <v>#DIV/0!</v>
      </c>
      <c r="DG36" s="312" t="e">
        <f t="shared" si="61"/>
        <v>#DIV/0!</v>
      </c>
      <c r="DH36" s="312" t="e">
        <f t="shared" si="62"/>
        <v>#DIV/0!</v>
      </c>
      <c r="DI36" s="312" t="e">
        <f t="shared" si="63"/>
        <v>#DIV/0!</v>
      </c>
      <c r="DJ36" s="312" t="e">
        <f t="shared" si="97"/>
        <v>#DIV/0!</v>
      </c>
      <c r="DK36" s="175"/>
      <c r="DL36" s="175"/>
      <c r="DM36" s="175"/>
      <c r="DN36" s="175">
        <f t="shared" si="64"/>
        <v>1</v>
      </c>
      <c r="DO36" s="312" t="e">
        <f t="shared" si="65"/>
        <v>#DIV/0!</v>
      </c>
      <c r="DP36" s="312" t="e">
        <f t="shared" si="66"/>
        <v>#DIV/0!</v>
      </c>
      <c r="DQ36" s="312" t="e">
        <f t="shared" si="67"/>
        <v>#DIV/0!</v>
      </c>
      <c r="DR36" s="312" t="e">
        <f t="shared" si="68"/>
        <v>#DIV/0!</v>
      </c>
      <c r="DS36" s="312" t="e">
        <f t="shared" si="69"/>
        <v>#DIV/0!</v>
      </c>
      <c r="DT36" s="312" t="e">
        <f t="shared" si="70"/>
        <v>#DIV/0!</v>
      </c>
      <c r="DU36" s="312">
        <f t="shared" si="71"/>
        <v>0</v>
      </c>
      <c r="DV36" s="175"/>
      <c r="DW36" s="175" t="b">
        <f t="shared" si="72"/>
        <v>1</v>
      </c>
      <c r="DX36" s="175" t="b">
        <f t="shared" si="72"/>
        <v>1</v>
      </c>
      <c r="DY36" s="175" t="b">
        <f t="shared" si="72"/>
        <v>1</v>
      </c>
      <c r="DZ36" s="175" t="b">
        <f t="shared" si="72"/>
        <v>1</v>
      </c>
      <c r="EA36" s="175" t="b">
        <f t="shared" si="72"/>
        <v>1</v>
      </c>
      <c r="EB36" s="168"/>
    </row>
    <row r="37" spans="1:132" s="140" customFormat="1" ht="18.5" hidden="1" thickBot="1" x14ac:dyDescent="0.45">
      <c r="A37" s="150"/>
      <c r="B37" s="296" t="str">
        <f t="shared" si="73"/>
        <v>-</v>
      </c>
      <c r="C37" s="279">
        <v>18</v>
      </c>
      <c r="D37" s="1557"/>
      <c r="E37" s="1558"/>
      <c r="F37" s="951"/>
      <c r="G37" s="1101"/>
      <c r="H37" s="952"/>
      <c r="I37" s="965"/>
      <c r="J37" s="1325"/>
      <c r="K37" s="1326"/>
      <c r="L37" s="1326"/>
      <c r="M37" s="1326"/>
      <c r="N37" s="1327"/>
      <c r="O37" s="974"/>
      <c r="P37" s="975"/>
      <c r="Q37" s="976"/>
      <c r="R37" s="966"/>
      <c r="S37" s="280" t="str">
        <f t="shared" si="74"/>
        <v/>
      </c>
      <c r="T37" s="281" t="str">
        <f t="shared" si="75"/>
        <v/>
      </c>
      <c r="U37" s="282">
        <f t="shared" si="76"/>
        <v>0</v>
      </c>
      <c r="V37" s="259" t="str">
        <f t="shared" si="2"/>
        <v/>
      </c>
      <c r="W37" s="260" t="str">
        <f t="shared" si="3"/>
        <v/>
      </c>
      <c r="X37" s="283">
        <f t="shared" si="4"/>
        <v>0</v>
      </c>
      <c r="Y37" s="284" t="str">
        <f t="shared" si="5"/>
        <v/>
      </c>
      <c r="Z37" s="150"/>
      <c r="AA37" s="175"/>
      <c r="AB37" s="175">
        <v>18</v>
      </c>
      <c r="AC37" s="297" t="str">
        <f t="shared" si="6"/>
        <v>-</v>
      </c>
      <c r="AD37" s="297">
        <f t="shared" si="77"/>
        <v>0</v>
      </c>
      <c r="AE37" s="297">
        <f t="shared" si="78"/>
        <v>0</v>
      </c>
      <c r="AF37" s="297"/>
      <c r="AG37" s="298">
        <f t="shared" si="79"/>
        <v>0</v>
      </c>
      <c r="AH37" s="1339">
        <f t="shared" si="7"/>
        <v>0</v>
      </c>
      <c r="AI37" s="1340">
        <f>IF(SUM(AH37:AH$99)=0,0,F37&gt;0)</f>
        <v>0</v>
      </c>
      <c r="AJ37" s="1339">
        <f t="shared" si="8"/>
        <v>0</v>
      </c>
      <c r="AK37" s="1340">
        <f>IF(SUM(AH37:AH$99)=0,0,AND(AI37=FALSE,AJ37=0,SUM(AJ37:AJ$99)&gt;0))</f>
        <v>0</v>
      </c>
      <c r="AL37" s="1340">
        <f t="shared" si="9"/>
        <v>0</v>
      </c>
      <c r="AM37" s="1340">
        <f t="shared" si="10"/>
        <v>0</v>
      </c>
      <c r="AN37" s="1341">
        <f t="shared" si="11"/>
        <v>0</v>
      </c>
      <c r="AO37" s="1341">
        <f t="shared" si="12"/>
        <v>0</v>
      </c>
      <c r="AP37" s="264">
        <f t="shared" si="13"/>
        <v>0</v>
      </c>
      <c r="AQ37" s="264">
        <f t="shared" si="80"/>
        <v>0</v>
      </c>
      <c r="AR37" s="1340">
        <f t="shared" si="14"/>
        <v>0</v>
      </c>
      <c r="AS37" s="1340" t="str">
        <f t="shared" si="81"/>
        <v/>
      </c>
      <c r="AT37" s="1340">
        <f t="shared" si="15"/>
        <v>0</v>
      </c>
      <c r="AU37" s="898">
        <f t="shared" si="82"/>
        <v>0</v>
      </c>
      <c r="AV37" s="1340">
        <f t="shared" si="16"/>
        <v>0</v>
      </c>
      <c r="AW37" s="1340">
        <f t="shared" si="17"/>
        <v>0</v>
      </c>
      <c r="AX37" s="1340">
        <f t="shared" si="18"/>
        <v>0</v>
      </c>
      <c r="AY37" s="897">
        <f t="shared" si="83"/>
        <v>0</v>
      </c>
      <c r="AZ37" s="1340">
        <f t="shared" si="19"/>
        <v>0</v>
      </c>
      <c r="BA37" s="896">
        <f t="shared" si="84"/>
        <v>0</v>
      </c>
      <c r="BB37" s="899" t="str">
        <f t="shared" si="85"/>
        <v/>
      </c>
      <c r="BC37" s="899" t="str">
        <f t="shared" si="86"/>
        <v/>
      </c>
      <c r="BD37" s="1340">
        <f t="shared" si="20"/>
        <v>0</v>
      </c>
      <c r="BE37" s="1340">
        <f t="shared" si="21"/>
        <v>0</v>
      </c>
      <c r="BF37" s="1340">
        <f t="shared" si="22"/>
        <v>0</v>
      </c>
      <c r="BG37" s="1342" t="b">
        <f t="shared" si="23"/>
        <v>0</v>
      </c>
      <c r="BH37" s="299" t="str">
        <f t="shared" si="24"/>
        <v/>
      </c>
      <c r="BI37" s="1343">
        <f t="shared" si="25"/>
        <v>0</v>
      </c>
      <c r="BJ37" s="1344">
        <f t="shared" si="26"/>
        <v>0</v>
      </c>
      <c r="BK37" s="1344">
        <f t="shared" si="87"/>
        <v>0</v>
      </c>
      <c r="BL37" s="1345">
        <f t="shared" si="27"/>
        <v>0</v>
      </c>
      <c r="BM37" s="1346">
        <f t="shared" si="28"/>
        <v>0</v>
      </c>
      <c r="BN37" s="300">
        <f t="shared" si="29"/>
        <v>0</v>
      </c>
      <c r="BO37" s="300">
        <f t="shared" si="30"/>
        <v>0</v>
      </c>
      <c r="BP37" s="1344">
        <f t="shared" si="88"/>
        <v>0</v>
      </c>
      <c r="BQ37" s="301">
        <f t="shared" si="31"/>
        <v>0</v>
      </c>
      <c r="BR37" s="302" t="e">
        <f t="shared" si="32"/>
        <v>#DIV/0!</v>
      </c>
      <c r="BS37" s="1343">
        <f t="shared" si="98"/>
        <v>0</v>
      </c>
      <c r="BT37" s="1344">
        <f t="shared" si="98"/>
        <v>0</v>
      </c>
      <c r="BU37" s="1344">
        <f t="shared" si="98"/>
        <v>0</v>
      </c>
      <c r="BV37" s="303">
        <f t="shared" si="98"/>
        <v>0</v>
      </c>
      <c r="BW37" s="304">
        <f t="shared" si="34"/>
        <v>0</v>
      </c>
      <c r="BX37" s="300">
        <f t="shared" si="35"/>
        <v>0</v>
      </c>
      <c r="BY37" s="1344">
        <f t="shared" si="89"/>
        <v>0</v>
      </c>
      <c r="BZ37" s="300">
        <f t="shared" si="90"/>
        <v>0</v>
      </c>
      <c r="CA37" s="301">
        <f t="shared" si="36"/>
        <v>0</v>
      </c>
      <c r="CB37" s="305" t="e">
        <f t="shared" si="37"/>
        <v>#DIV/0!</v>
      </c>
      <c r="CC37" s="304" t="e">
        <f t="shared" si="38"/>
        <v>#DIV/0!</v>
      </c>
      <c r="CD37" s="300">
        <f t="shared" si="39"/>
        <v>0</v>
      </c>
      <c r="CE37" s="306">
        <f t="shared" si="91"/>
        <v>0</v>
      </c>
      <c r="CF37" s="306">
        <f t="shared" si="40"/>
        <v>0</v>
      </c>
      <c r="CG37" s="307" t="e">
        <f t="shared" si="41"/>
        <v>#DIV/0!</v>
      </c>
      <c r="CH37" s="307" t="e">
        <f t="shared" si="42"/>
        <v>#DIV/0!</v>
      </c>
      <c r="CI37" s="308" t="e">
        <f t="shared" si="92"/>
        <v>#DIV/0!</v>
      </c>
      <c r="CJ37" s="309" t="e">
        <f t="shared" si="43"/>
        <v>#DIV/0!</v>
      </c>
      <c r="CK37" s="175" t="e">
        <f t="shared" si="93"/>
        <v>#DIV/0!</v>
      </c>
      <c r="CL37" s="175" t="str">
        <f t="shared" si="44"/>
        <v/>
      </c>
      <c r="CM37" s="310" t="e">
        <f t="shared" si="94"/>
        <v>#DIV/0!</v>
      </c>
      <c r="CN37" s="311" t="e">
        <f t="shared" si="95"/>
        <v>#DIV/0!</v>
      </c>
      <c r="CO37" s="311">
        <f t="shared" si="96"/>
        <v>0</v>
      </c>
      <c r="CP37" s="175">
        <f t="shared" si="45"/>
        <v>1</v>
      </c>
      <c r="CQ37" s="175">
        <f t="shared" si="46"/>
        <v>1</v>
      </c>
      <c r="CR37" s="175" t="str">
        <f t="shared" si="47"/>
        <v/>
      </c>
      <c r="CS37" s="175">
        <f t="shared" si="48"/>
        <v>0</v>
      </c>
      <c r="CT37" s="312">
        <f t="shared" si="49"/>
        <v>0</v>
      </c>
      <c r="CU37" s="175" t="str">
        <f t="shared" si="50"/>
        <v>OK</v>
      </c>
      <c r="CV37" s="313">
        <f t="shared" si="51"/>
        <v>0.05</v>
      </c>
      <c r="CW37" s="312" t="e">
        <f t="shared" si="52"/>
        <v>#DIV/0!</v>
      </c>
      <c r="CX37" s="312" t="e">
        <f t="shared" si="53"/>
        <v>#DIV/0!</v>
      </c>
      <c r="CY37" s="312" t="e">
        <f t="shared" si="54"/>
        <v>#DIV/0!</v>
      </c>
      <c r="CZ37" s="312" t="e">
        <f t="shared" si="55"/>
        <v>#DIV/0!</v>
      </c>
      <c r="DA37" s="312">
        <f t="shared" si="56"/>
        <v>1</v>
      </c>
      <c r="DB37" s="312">
        <f t="shared" si="57"/>
        <v>0</v>
      </c>
      <c r="DC37" s="175" t="str">
        <f t="shared" si="58"/>
        <v>Soft</v>
      </c>
      <c r="DD37" s="175"/>
      <c r="DE37" s="175">
        <f t="shared" si="59"/>
        <v>0</v>
      </c>
      <c r="DF37" s="312" t="e">
        <f t="shared" si="60"/>
        <v>#DIV/0!</v>
      </c>
      <c r="DG37" s="312" t="e">
        <f t="shared" si="61"/>
        <v>#DIV/0!</v>
      </c>
      <c r="DH37" s="312" t="e">
        <f t="shared" si="62"/>
        <v>#DIV/0!</v>
      </c>
      <c r="DI37" s="312" t="e">
        <f t="shared" si="63"/>
        <v>#DIV/0!</v>
      </c>
      <c r="DJ37" s="312" t="e">
        <f t="shared" si="97"/>
        <v>#DIV/0!</v>
      </c>
      <c r="DK37" s="175"/>
      <c r="DL37" s="175"/>
      <c r="DM37" s="175"/>
      <c r="DN37" s="175">
        <f t="shared" si="64"/>
        <v>1</v>
      </c>
      <c r="DO37" s="312" t="e">
        <f t="shared" si="65"/>
        <v>#DIV/0!</v>
      </c>
      <c r="DP37" s="312" t="e">
        <f t="shared" si="66"/>
        <v>#DIV/0!</v>
      </c>
      <c r="DQ37" s="312" t="e">
        <f t="shared" si="67"/>
        <v>#DIV/0!</v>
      </c>
      <c r="DR37" s="312" t="e">
        <f t="shared" si="68"/>
        <v>#DIV/0!</v>
      </c>
      <c r="DS37" s="312" t="e">
        <f t="shared" si="69"/>
        <v>#DIV/0!</v>
      </c>
      <c r="DT37" s="312" t="e">
        <f t="shared" si="70"/>
        <v>#DIV/0!</v>
      </c>
      <c r="DU37" s="312">
        <f t="shared" si="71"/>
        <v>0</v>
      </c>
      <c r="DV37" s="175"/>
      <c r="DW37" s="175" t="b">
        <f t="shared" si="72"/>
        <v>1</v>
      </c>
      <c r="DX37" s="175" t="b">
        <f t="shared" si="72"/>
        <v>1</v>
      </c>
      <c r="DY37" s="175" t="b">
        <f t="shared" si="72"/>
        <v>1</v>
      </c>
      <c r="DZ37" s="175" t="b">
        <f t="shared" si="72"/>
        <v>1</v>
      </c>
      <c r="EA37" s="175" t="b">
        <f t="shared" si="72"/>
        <v>1</v>
      </c>
      <c r="EB37" s="168"/>
    </row>
    <row r="38" spans="1:132" s="140" customFormat="1" ht="18.5" hidden="1" thickBot="1" x14ac:dyDescent="0.45">
      <c r="A38" s="150"/>
      <c r="B38" s="296" t="str">
        <f t="shared" si="73"/>
        <v>-</v>
      </c>
      <c r="C38" s="279">
        <v>19</v>
      </c>
      <c r="D38" s="1557"/>
      <c r="E38" s="1558"/>
      <c r="F38" s="951"/>
      <c r="G38" s="1101"/>
      <c r="H38" s="952"/>
      <c r="I38" s="965"/>
      <c r="J38" s="1325"/>
      <c r="K38" s="1326"/>
      <c r="L38" s="1326"/>
      <c r="M38" s="1326"/>
      <c r="N38" s="1327"/>
      <c r="O38" s="974"/>
      <c r="P38" s="975"/>
      <c r="Q38" s="976"/>
      <c r="R38" s="966"/>
      <c r="S38" s="280" t="str">
        <f t="shared" si="74"/>
        <v/>
      </c>
      <c r="T38" s="281" t="str">
        <f t="shared" si="75"/>
        <v/>
      </c>
      <c r="U38" s="282">
        <f t="shared" si="76"/>
        <v>0</v>
      </c>
      <c r="V38" s="259" t="str">
        <f t="shared" si="2"/>
        <v/>
      </c>
      <c r="W38" s="260" t="str">
        <f t="shared" si="3"/>
        <v/>
      </c>
      <c r="X38" s="283">
        <f t="shared" si="4"/>
        <v>0</v>
      </c>
      <c r="Y38" s="284" t="str">
        <f t="shared" si="5"/>
        <v/>
      </c>
      <c r="Z38" s="150"/>
      <c r="AA38" s="175"/>
      <c r="AB38" s="175">
        <v>19</v>
      </c>
      <c r="AC38" s="297" t="str">
        <f t="shared" si="6"/>
        <v>-</v>
      </c>
      <c r="AD38" s="297">
        <f t="shared" si="77"/>
        <v>0</v>
      </c>
      <c r="AE38" s="297">
        <f t="shared" si="78"/>
        <v>0</v>
      </c>
      <c r="AF38" s="297"/>
      <c r="AG38" s="298">
        <f t="shared" si="79"/>
        <v>0</v>
      </c>
      <c r="AH38" s="1339">
        <f t="shared" si="7"/>
        <v>0</v>
      </c>
      <c r="AI38" s="1340">
        <f>IF(SUM(AH38:AH$99)=0,0,F38&gt;0)</f>
        <v>0</v>
      </c>
      <c r="AJ38" s="1339">
        <f t="shared" si="8"/>
        <v>0</v>
      </c>
      <c r="AK38" s="1340">
        <f>IF(SUM(AH38:AH$99)=0,0,AND(AI38=FALSE,AJ38=0,SUM(AJ38:AJ$99)&gt;0))</f>
        <v>0</v>
      </c>
      <c r="AL38" s="1340">
        <f t="shared" si="9"/>
        <v>0</v>
      </c>
      <c r="AM38" s="1340">
        <f t="shared" si="10"/>
        <v>0</v>
      </c>
      <c r="AN38" s="1341">
        <f t="shared" si="11"/>
        <v>0</v>
      </c>
      <c r="AO38" s="1341">
        <f t="shared" si="12"/>
        <v>0</v>
      </c>
      <c r="AP38" s="264">
        <f t="shared" si="13"/>
        <v>0</v>
      </c>
      <c r="AQ38" s="264">
        <f t="shared" si="80"/>
        <v>0</v>
      </c>
      <c r="AR38" s="1340">
        <f t="shared" si="14"/>
        <v>0</v>
      </c>
      <c r="AS38" s="1340" t="str">
        <f t="shared" si="81"/>
        <v/>
      </c>
      <c r="AT38" s="1340">
        <f t="shared" si="15"/>
        <v>0</v>
      </c>
      <c r="AU38" s="898">
        <f t="shared" si="82"/>
        <v>0</v>
      </c>
      <c r="AV38" s="1340">
        <f t="shared" si="16"/>
        <v>0</v>
      </c>
      <c r="AW38" s="1340">
        <f t="shared" si="17"/>
        <v>0</v>
      </c>
      <c r="AX38" s="1340">
        <f t="shared" si="18"/>
        <v>0</v>
      </c>
      <c r="AY38" s="897">
        <f t="shared" si="83"/>
        <v>0</v>
      </c>
      <c r="AZ38" s="1340">
        <f t="shared" si="19"/>
        <v>0</v>
      </c>
      <c r="BA38" s="896">
        <f t="shared" si="84"/>
        <v>0</v>
      </c>
      <c r="BB38" s="899" t="str">
        <f t="shared" si="85"/>
        <v/>
      </c>
      <c r="BC38" s="899" t="str">
        <f t="shared" si="86"/>
        <v/>
      </c>
      <c r="BD38" s="1340">
        <f t="shared" si="20"/>
        <v>0</v>
      </c>
      <c r="BE38" s="1340">
        <f t="shared" si="21"/>
        <v>0</v>
      </c>
      <c r="BF38" s="1340">
        <f t="shared" si="22"/>
        <v>0</v>
      </c>
      <c r="BG38" s="1342" t="b">
        <f t="shared" si="23"/>
        <v>0</v>
      </c>
      <c r="BH38" s="299" t="str">
        <f t="shared" si="24"/>
        <v/>
      </c>
      <c r="BI38" s="1343">
        <f t="shared" si="25"/>
        <v>0</v>
      </c>
      <c r="BJ38" s="1344">
        <f t="shared" si="26"/>
        <v>0</v>
      </c>
      <c r="BK38" s="1344">
        <f t="shared" si="87"/>
        <v>0</v>
      </c>
      <c r="BL38" s="1345">
        <f t="shared" si="27"/>
        <v>0</v>
      </c>
      <c r="BM38" s="1346">
        <f t="shared" si="28"/>
        <v>0</v>
      </c>
      <c r="BN38" s="300">
        <f t="shared" si="29"/>
        <v>0</v>
      </c>
      <c r="BO38" s="300">
        <f t="shared" si="30"/>
        <v>0</v>
      </c>
      <c r="BP38" s="1344">
        <f t="shared" si="88"/>
        <v>0</v>
      </c>
      <c r="BQ38" s="301">
        <f t="shared" si="31"/>
        <v>0</v>
      </c>
      <c r="BR38" s="302" t="e">
        <f t="shared" si="32"/>
        <v>#DIV/0!</v>
      </c>
      <c r="BS38" s="1343">
        <f t="shared" si="98"/>
        <v>0</v>
      </c>
      <c r="BT38" s="1344">
        <f t="shared" si="98"/>
        <v>0</v>
      </c>
      <c r="BU38" s="1344">
        <f t="shared" si="98"/>
        <v>0</v>
      </c>
      <c r="BV38" s="303">
        <f t="shared" si="98"/>
        <v>0</v>
      </c>
      <c r="BW38" s="304">
        <f t="shared" si="34"/>
        <v>0</v>
      </c>
      <c r="BX38" s="300">
        <f t="shared" si="35"/>
        <v>0</v>
      </c>
      <c r="BY38" s="1344">
        <f t="shared" si="89"/>
        <v>0</v>
      </c>
      <c r="BZ38" s="300">
        <f t="shared" si="90"/>
        <v>0</v>
      </c>
      <c r="CA38" s="301">
        <f t="shared" si="36"/>
        <v>0</v>
      </c>
      <c r="CB38" s="305" t="e">
        <f t="shared" si="37"/>
        <v>#DIV/0!</v>
      </c>
      <c r="CC38" s="304" t="e">
        <f t="shared" si="38"/>
        <v>#DIV/0!</v>
      </c>
      <c r="CD38" s="300">
        <f t="shared" si="39"/>
        <v>0</v>
      </c>
      <c r="CE38" s="306">
        <f t="shared" si="91"/>
        <v>0</v>
      </c>
      <c r="CF38" s="306">
        <f t="shared" si="40"/>
        <v>0</v>
      </c>
      <c r="CG38" s="307" t="e">
        <f t="shared" si="41"/>
        <v>#DIV/0!</v>
      </c>
      <c r="CH38" s="307" t="e">
        <f t="shared" si="42"/>
        <v>#DIV/0!</v>
      </c>
      <c r="CI38" s="308" t="e">
        <f t="shared" si="92"/>
        <v>#DIV/0!</v>
      </c>
      <c r="CJ38" s="309" t="e">
        <f t="shared" si="43"/>
        <v>#DIV/0!</v>
      </c>
      <c r="CK38" s="175" t="e">
        <f t="shared" si="93"/>
        <v>#DIV/0!</v>
      </c>
      <c r="CL38" s="175" t="str">
        <f t="shared" si="44"/>
        <v/>
      </c>
      <c r="CM38" s="310" t="e">
        <f t="shared" si="94"/>
        <v>#DIV/0!</v>
      </c>
      <c r="CN38" s="311" t="e">
        <f t="shared" si="95"/>
        <v>#DIV/0!</v>
      </c>
      <c r="CO38" s="311">
        <f t="shared" si="96"/>
        <v>0</v>
      </c>
      <c r="CP38" s="175">
        <f t="shared" si="45"/>
        <v>1</v>
      </c>
      <c r="CQ38" s="175">
        <f t="shared" si="46"/>
        <v>1</v>
      </c>
      <c r="CR38" s="175" t="str">
        <f t="shared" si="47"/>
        <v/>
      </c>
      <c r="CS38" s="175">
        <f t="shared" si="48"/>
        <v>0</v>
      </c>
      <c r="CT38" s="312">
        <f t="shared" si="49"/>
        <v>0</v>
      </c>
      <c r="CU38" s="175" t="str">
        <f t="shared" si="50"/>
        <v>OK</v>
      </c>
      <c r="CV38" s="313">
        <f t="shared" si="51"/>
        <v>0.05</v>
      </c>
      <c r="CW38" s="312" t="e">
        <f t="shared" si="52"/>
        <v>#DIV/0!</v>
      </c>
      <c r="CX38" s="312" t="e">
        <f t="shared" si="53"/>
        <v>#DIV/0!</v>
      </c>
      <c r="CY38" s="312" t="e">
        <f t="shared" si="54"/>
        <v>#DIV/0!</v>
      </c>
      <c r="CZ38" s="312" t="e">
        <f t="shared" si="55"/>
        <v>#DIV/0!</v>
      </c>
      <c r="DA38" s="312">
        <f t="shared" si="56"/>
        <v>1</v>
      </c>
      <c r="DB38" s="312">
        <f t="shared" si="57"/>
        <v>0</v>
      </c>
      <c r="DC38" s="175" t="str">
        <f t="shared" si="58"/>
        <v>Soft</v>
      </c>
      <c r="DD38" s="175"/>
      <c r="DE38" s="175">
        <f t="shared" si="59"/>
        <v>0</v>
      </c>
      <c r="DF38" s="312" t="e">
        <f t="shared" si="60"/>
        <v>#DIV/0!</v>
      </c>
      <c r="DG38" s="312" t="e">
        <f t="shared" si="61"/>
        <v>#DIV/0!</v>
      </c>
      <c r="DH38" s="312" t="e">
        <f t="shared" si="62"/>
        <v>#DIV/0!</v>
      </c>
      <c r="DI38" s="312" t="e">
        <f t="shared" si="63"/>
        <v>#DIV/0!</v>
      </c>
      <c r="DJ38" s="312" t="e">
        <f t="shared" si="97"/>
        <v>#DIV/0!</v>
      </c>
      <c r="DK38" s="175"/>
      <c r="DL38" s="175"/>
      <c r="DM38" s="175"/>
      <c r="DN38" s="175">
        <f t="shared" si="64"/>
        <v>1</v>
      </c>
      <c r="DO38" s="312" t="e">
        <f t="shared" si="65"/>
        <v>#DIV/0!</v>
      </c>
      <c r="DP38" s="312" t="e">
        <f t="shared" si="66"/>
        <v>#DIV/0!</v>
      </c>
      <c r="DQ38" s="312" t="e">
        <f t="shared" si="67"/>
        <v>#DIV/0!</v>
      </c>
      <c r="DR38" s="312" t="e">
        <f t="shared" si="68"/>
        <v>#DIV/0!</v>
      </c>
      <c r="DS38" s="312" t="e">
        <f t="shared" si="69"/>
        <v>#DIV/0!</v>
      </c>
      <c r="DT38" s="312" t="e">
        <f t="shared" si="70"/>
        <v>#DIV/0!</v>
      </c>
      <c r="DU38" s="312">
        <f t="shared" si="71"/>
        <v>0</v>
      </c>
      <c r="DV38" s="175"/>
      <c r="DW38" s="175" t="b">
        <f t="shared" si="72"/>
        <v>1</v>
      </c>
      <c r="DX38" s="175" t="b">
        <f t="shared" si="72"/>
        <v>1</v>
      </c>
      <c r="DY38" s="175" t="b">
        <f t="shared" si="72"/>
        <v>1</v>
      </c>
      <c r="DZ38" s="175" t="b">
        <f t="shared" si="72"/>
        <v>1</v>
      </c>
      <c r="EA38" s="175" t="b">
        <f t="shared" si="72"/>
        <v>1</v>
      </c>
      <c r="EB38" s="168"/>
    </row>
    <row r="39" spans="1:132" s="140" customFormat="1" ht="18.5" hidden="1" thickBot="1" x14ac:dyDescent="0.45">
      <c r="A39" s="150"/>
      <c r="B39" s="296" t="str">
        <f t="shared" si="73"/>
        <v>-</v>
      </c>
      <c r="C39" s="279">
        <v>20</v>
      </c>
      <c r="D39" s="1557"/>
      <c r="E39" s="1558"/>
      <c r="F39" s="951"/>
      <c r="G39" s="1101"/>
      <c r="H39" s="952"/>
      <c r="I39" s="965"/>
      <c r="J39" s="1325"/>
      <c r="K39" s="1326"/>
      <c r="L39" s="1326"/>
      <c r="M39" s="1326"/>
      <c r="N39" s="1327"/>
      <c r="O39" s="974"/>
      <c r="P39" s="975"/>
      <c r="Q39" s="976"/>
      <c r="R39" s="966"/>
      <c r="S39" s="280" t="str">
        <f t="shared" si="74"/>
        <v/>
      </c>
      <c r="T39" s="281" t="str">
        <f t="shared" si="75"/>
        <v/>
      </c>
      <c r="U39" s="282">
        <f t="shared" si="76"/>
        <v>0</v>
      </c>
      <c r="V39" s="259" t="str">
        <f t="shared" si="2"/>
        <v/>
      </c>
      <c r="W39" s="260" t="str">
        <f t="shared" si="3"/>
        <v/>
      </c>
      <c r="X39" s="283">
        <f t="shared" si="4"/>
        <v>0</v>
      </c>
      <c r="Y39" s="284" t="str">
        <f t="shared" si="5"/>
        <v/>
      </c>
      <c r="Z39" s="150"/>
      <c r="AA39" s="175"/>
      <c r="AB39" s="175">
        <v>20</v>
      </c>
      <c r="AC39" s="297" t="str">
        <f t="shared" si="6"/>
        <v>-</v>
      </c>
      <c r="AD39" s="297">
        <f t="shared" si="77"/>
        <v>0</v>
      </c>
      <c r="AE39" s="297">
        <f t="shared" si="78"/>
        <v>0</v>
      </c>
      <c r="AF39" s="297"/>
      <c r="AG39" s="298">
        <f t="shared" si="79"/>
        <v>0</v>
      </c>
      <c r="AH39" s="1339">
        <f t="shared" si="7"/>
        <v>0</v>
      </c>
      <c r="AI39" s="1340">
        <f>IF(SUM(AH39:AH$99)=0,0,F39&gt;0)</f>
        <v>0</v>
      </c>
      <c r="AJ39" s="1339">
        <f t="shared" si="8"/>
        <v>0</v>
      </c>
      <c r="AK39" s="1340">
        <f>IF(SUM(AH39:AH$99)=0,0,AND(AI39=FALSE,AJ39=0,SUM(AJ39:AJ$99)&gt;0))</f>
        <v>0</v>
      </c>
      <c r="AL39" s="1340">
        <f t="shared" si="9"/>
        <v>0</v>
      </c>
      <c r="AM39" s="1340">
        <f t="shared" si="10"/>
        <v>0</v>
      </c>
      <c r="AN39" s="1341">
        <f t="shared" si="11"/>
        <v>0</v>
      </c>
      <c r="AO39" s="1341">
        <f t="shared" si="12"/>
        <v>0</v>
      </c>
      <c r="AP39" s="264">
        <f t="shared" si="13"/>
        <v>0</v>
      </c>
      <c r="AQ39" s="264">
        <f t="shared" si="80"/>
        <v>0</v>
      </c>
      <c r="AR39" s="1340">
        <f t="shared" si="14"/>
        <v>0</v>
      </c>
      <c r="AS39" s="1340" t="str">
        <f t="shared" si="81"/>
        <v/>
      </c>
      <c r="AT39" s="1340">
        <f t="shared" si="15"/>
        <v>0</v>
      </c>
      <c r="AU39" s="898">
        <f t="shared" si="82"/>
        <v>0</v>
      </c>
      <c r="AV39" s="1340">
        <f t="shared" si="16"/>
        <v>0</v>
      </c>
      <c r="AW39" s="1340">
        <f t="shared" si="17"/>
        <v>0</v>
      </c>
      <c r="AX39" s="1340">
        <f t="shared" si="18"/>
        <v>0</v>
      </c>
      <c r="AY39" s="897">
        <f t="shared" si="83"/>
        <v>0</v>
      </c>
      <c r="AZ39" s="1340">
        <f t="shared" si="19"/>
        <v>0</v>
      </c>
      <c r="BA39" s="896">
        <f t="shared" si="84"/>
        <v>0</v>
      </c>
      <c r="BB39" s="899" t="str">
        <f t="shared" si="85"/>
        <v/>
      </c>
      <c r="BC39" s="899" t="str">
        <f t="shared" si="86"/>
        <v/>
      </c>
      <c r="BD39" s="1340">
        <f t="shared" si="20"/>
        <v>0</v>
      </c>
      <c r="BE39" s="1340">
        <f t="shared" si="21"/>
        <v>0</v>
      </c>
      <c r="BF39" s="1340">
        <f t="shared" si="22"/>
        <v>0</v>
      </c>
      <c r="BG39" s="1342" t="b">
        <f t="shared" si="23"/>
        <v>0</v>
      </c>
      <c r="BH39" s="299" t="str">
        <f t="shared" si="24"/>
        <v/>
      </c>
      <c r="BI39" s="1343">
        <f t="shared" si="25"/>
        <v>0</v>
      </c>
      <c r="BJ39" s="1344">
        <f t="shared" si="26"/>
        <v>0</v>
      </c>
      <c r="BK39" s="1344">
        <f t="shared" si="87"/>
        <v>0</v>
      </c>
      <c r="BL39" s="1345">
        <f t="shared" si="27"/>
        <v>0</v>
      </c>
      <c r="BM39" s="1346">
        <f t="shared" si="28"/>
        <v>0</v>
      </c>
      <c r="BN39" s="300">
        <f t="shared" si="29"/>
        <v>0</v>
      </c>
      <c r="BO39" s="300">
        <f t="shared" si="30"/>
        <v>0</v>
      </c>
      <c r="BP39" s="1344">
        <f t="shared" si="88"/>
        <v>0</v>
      </c>
      <c r="BQ39" s="301">
        <f t="shared" si="31"/>
        <v>0</v>
      </c>
      <c r="BR39" s="302" t="e">
        <f t="shared" si="32"/>
        <v>#DIV/0!</v>
      </c>
      <c r="BS39" s="1343">
        <f t="shared" si="98"/>
        <v>0</v>
      </c>
      <c r="BT39" s="1344">
        <f t="shared" si="98"/>
        <v>0</v>
      </c>
      <c r="BU39" s="1344">
        <f t="shared" si="98"/>
        <v>0</v>
      </c>
      <c r="BV39" s="303">
        <f t="shared" si="98"/>
        <v>0</v>
      </c>
      <c r="BW39" s="304">
        <f t="shared" si="34"/>
        <v>0</v>
      </c>
      <c r="BX39" s="300">
        <f t="shared" si="35"/>
        <v>0</v>
      </c>
      <c r="BY39" s="1344">
        <f t="shared" si="89"/>
        <v>0</v>
      </c>
      <c r="BZ39" s="300">
        <f t="shared" si="90"/>
        <v>0</v>
      </c>
      <c r="CA39" s="301">
        <f t="shared" si="36"/>
        <v>0</v>
      </c>
      <c r="CB39" s="305" t="e">
        <f t="shared" si="37"/>
        <v>#DIV/0!</v>
      </c>
      <c r="CC39" s="304" t="e">
        <f t="shared" si="38"/>
        <v>#DIV/0!</v>
      </c>
      <c r="CD39" s="300">
        <f t="shared" si="39"/>
        <v>0</v>
      </c>
      <c r="CE39" s="306">
        <f t="shared" si="91"/>
        <v>0</v>
      </c>
      <c r="CF39" s="306">
        <f t="shared" si="40"/>
        <v>0</v>
      </c>
      <c r="CG39" s="307" t="e">
        <f t="shared" si="41"/>
        <v>#DIV/0!</v>
      </c>
      <c r="CH39" s="307" t="e">
        <f t="shared" si="42"/>
        <v>#DIV/0!</v>
      </c>
      <c r="CI39" s="308" t="e">
        <f t="shared" si="92"/>
        <v>#DIV/0!</v>
      </c>
      <c r="CJ39" s="309" t="e">
        <f t="shared" si="43"/>
        <v>#DIV/0!</v>
      </c>
      <c r="CK39" s="175" t="e">
        <f t="shared" si="93"/>
        <v>#DIV/0!</v>
      </c>
      <c r="CL39" s="175" t="str">
        <f t="shared" si="44"/>
        <v/>
      </c>
      <c r="CM39" s="310" t="e">
        <f t="shared" si="94"/>
        <v>#DIV/0!</v>
      </c>
      <c r="CN39" s="311" t="e">
        <f t="shared" si="95"/>
        <v>#DIV/0!</v>
      </c>
      <c r="CO39" s="311">
        <f t="shared" si="96"/>
        <v>0</v>
      </c>
      <c r="CP39" s="175">
        <f t="shared" si="45"/>
        <v>1</v>
      </c>
      <c r="CQ39" s="175">
        <f t="shared" si="46"/>
        <v>1</v>
      </c>
      <c r="CR39" s="175" t="str">
        <f t="shared" si="47"/>
        <v/>
      </c>
      <c r="CS39" s="175">
        <f t="shared" si="48"/>
        <v>0</v>
      </c>
      <c r="CT39" s="312">
        <f t="shared" si="49"/>
        <v>0</v>
      </c>
      <c r="CU39" s="175" t="str">
        <f t="shared" si="50"/>
        <v>OK</v>
      </c>
      <c r="CV39" s="313">
        <f t="shared" si="51"/>
        <v>0.05</v>
      </c>
      <c r="CW39" s="312" t="e">
        <f t="shared" si="52"/>
        <v>#DIV/0!</v>
      </c>
      <c r="CX39" s="312" t="e">
        <f t="shared" si="53"/>
        <v>#DIV/0!</v>
      </c>
      <c r="CY39" s="312" t="e">
        <f t="shared" si="54"/>
        <v>#DIV/0!</v>
      </c>
      <c r="CZ39" s="312" t="e">
        <f t="shared" si="55"/>
        <v>#DIV/0!</v>
      </c>
      <c r="DA39" s="312">
        <f t="shared" si="56"/>
        <v>1</v>
      </c>
      <c r="DB39" s="312">
        <f t="shared" si="57"/>
        <v>0</v>
      </c>
      <c r="DC39" s="175" t="str">
        <f t="shared" si="58"/>
        <v>Soft</v>
      </c>
      <c r="DD39" s="175"/>
      <c r="DE39" s="175">
        <f t="shared" si="59"/>
        <v>0</v>
      </c>
      <c r="DF39" s="312" t="e">
        <f t="shared" si="60"/>
        <v>#DIV/0!</v>
      </c>
      <c r="DG39" s="312" t="e">
        <f t="shared" si="61"/>
        <v>#DIV/0!</v>
      </c>
      <c r="DH39" s="312" t="e">
        <f t="shared" si="62"/>
        <v>#DIV/0!</v>
      </c>
      <c r="DI39" s="312" t="e">
        <f t="shared" si="63"/>
        <v>#DIV/0!</v>
      </c>
      <c r="DJ39" s="312" t="e">
        <f t="shared" si="97"/>
        <v>#DIV/0!</v>
      </c>
      <c r="DK39" s="175"/>
      <c r="DL39" s="175"/>
      <c r="DM39" s="175"/>
      <c r="DN39" s="175">
        <f t="shared" si="64"/>
        <v>1</v>
      </c>
      <c r="DO39" s="312" t="e">
        <f t="shared" si="65"/>
        <v>#DIV/0!</v>
      </c>
      <c r="DP39" s="312" t="e">
        <f t="shared" si="66"/>
        <v>#DIV/0!</v>
      </c>
      <c r="DQ39" s="312" t="e">
        <f t="shared" si="67"/>
        <v>#DIV/0!</v>
      </c>
      <c r="DR39" s="312" t="e">
        <f t="shared" si="68"/>
        <v>#DIV/0!</v>
      </c>
      <c r="DS39" s="312" t="e">
        <f t="shared" si="69"/>
        <v>#DIV/0!</v>
      </c>
      <c r="DT39" s="312" t="e">
        <f t="shared" si="70"/>
        <v>#DIV/0!</v>
      </c>
      <c r="DU39" s="312">
        <f t="shared" si="71"/>
        <v>0</v>
      </c>
      <c r="DV39" s="175"/>
      <c r="DW39" s="175" t="b">
        <f t="shared" si="72"/>
        <v>1</v>
      </c>
      <c r="DX39" s="175" t="b">
        <f t="shared" si="72"/>
        <v>1</v>
      </c>
      <c r="DY39" s="175" t="b">
        <f t="shared" si="72"/>
        <v>1</v>
      </c>
      <c r="DZ39" s="175" t="b">
        <f t="shared" si="72"/>
        <v>1</v>
      </c>
      <c r="EA39" s="175" t="b">
        <f t="shared" si="72"/>
        <v>1</v>
      </c>
      <c r="EB39" s="168"/>
    </row>
    <row r="40" spans="1:132" s="140" customFormat="1" ht="18.5" hidden="1" thickBot="1" x14ac:dyDescent="0.45">
      <c r="A40" s="150"/>
      <c r="B40" s="296" t="str">
        <f t="shared" si="73"/>
        <v>-</v>
      </c>
      <c r="C40" s="279">
        <v>21</v>
      </c>
      <c r="D40" s="1557"/>
      <c r="E40" s="1558"/>
      <c r="F40" s="951"/>
      <c r="G40" s="1101"/>
      <c r="H40" s="952"/>
      <c r="I40" s="965"/>
      <c r="J40" s="1325"/>
      <c r="K40" s="1326"/>
      <c r="L40" s="1326"/>
      <c r="M40" s="1326"/>
      <c r="N40" s="1327"/>
      <c r="O40" s="974"/>
      <c r="P40" s="975"/>
      <c r="Q40" s="976"/>
      <c r="R40" s="966"/>
      <c r="S40" s="280" t="str">
        <f t="shared" si="74"/>
        <v/>
      </c>
      <c r="T40" s="281" t="str">
        <f t="shared" si="75"/>
        <v/>
      </c>
      <c r="U40" s="282">
        <f t="shared" si="76"/>
        <v>0</v>
      </c>
      <c r="V40" s="259" t="str">
        <f t="shared" si="2"/>
        <v/>
      </c>
      <c r="W40" s="260" t="str">
        <f t="shared" si="3"/>
        <v/>
      </c>
      <c r="X40" s="283">
        <f t="shared" si="4"/>
        <v>0</v>
      </c>
      <c r="Y40" s="284" t="str">
        <f t="shared" si="5"/>
        <v/>
      </c>
      <c r="Z40" s="150"/>
      <c r="AA40" s="175"/>
      <c r="AB40" s="175">
        <v>21</v>
      </c>
      <c r="AC40" s="297" t="str">
        <f t="shared" si="6"/>
        <v>-</v>
      </c>
      <c r="AD40" s="297">
        <f t="shared" si="77"/>
        <v>0</v>
      </c>
      <c r="AE40" s="297">
        <f t="shared" si="78"/>
        <v>0</v>
      </c>
      <c r="AF40" s="297"/>
      <c r="AG40" s="298">
        <f t="shared" si="79"/>
        <v>0</v>
      </c>
      <c r="AH40" s="1339">
        <f t="shared" si="7"/>
        <v>0</v>
      </c>
      <c r="AI40" s="1340">
        <f>IF(SUM(AH40:AH$99)=0,0,F40&gt;0)</f>
        <v>0</v>
      </c>
      <c r="AJ40" s="1339">
        <f t="shared" si="8"/>
        <v>0</v>
      </c>
      <c r="AK40" s="1340">
        <f>IF(SUM(AH40:AH$99)=0,0,AND(AI40=FALSE,AJ40=0,SUM(AJ40:AJ$99)&gt;0))</f>
        <v>0</v>
      </c>
      <c r="AL40" s="1340">
        <f t="shared" si="9"/>
        <v>0</v>
      </c>
      <c r="AM40" s="1340">
        <f t="shared" si="10"/>
        <v>0</v>
      </c>
      <c r="AN40" s="1341">
        <f t="shared" si="11"/>
        <v>0</v>
      </c>
      <c r="AO40" s="1341">
        <f t="shared" si="12"/>
        <v>0</v>
      </c>
      <c r="AP40" s="264">
        <f t="shared" si="13"/>
        <v>0</v>
      </c>
      <c r="AQ40" s="264">
        <f t="shared" si="80"/>
        <v>0</v>
      </c>
      <c r="AR40" s="1340">
        <f t="shared" si="14"/>
        <v>0</v>
      </c>
      <c r="AS40" s="1340" t="str">
        <f t="shared" si="81"/>
        <v/>
      </c>
      <c r="AT40" s="1340">
        <f t="shared" si="15"/>
        <v>0</v>
      </c>
      <c r="AU40" s="898">
        <f t="shared" si="82"/>
        <v>0</v>
      </c>
      <c r="AV40" s="1340">
        <f t="shared" si="16"/>
        <v>0</v>
      </c>
      <c r="AW40" s="1340">
        <f t="shared" si="17"/>
        <v>0</v>
      </c>
      <c r="AX40" s="1340">
        <f t="shared" si="18"/>
        <v>0</v>
      </c>
      <c r="AY40" s="897">
        <f t="shared" si="83"/>
        <v>0</v>
      </c>
      <c r="AZ40" s="1340">
        <f t="shared" si="19"/>
        <v>0</v>
      </c>
      <c r="BA40" s="896">
        <f t="shared" si="84"/>
        <v>0</v>
      </c>
      <c r="BB40" s="899" t="str">
        <f t="shared" si="85"/>
        <v/>
      </c>
      <c r="BC40" s="899" t="str">
        <f t="shared" si="86"/>
        <v/>
      </c>
      <c r="BD40" s="1340">
        <f t="shared" si="20"/>
        <v>0</v>
      </c>
      <c r="BE40" s="1340">
        <f t="shared" si="21"/>
        <v>0</v>
      </c>
      <c r="BF40" s="1340">
        <f t="shared" si="22"/>
        <v>0</v>
      </c>
      <c r="BG40" s="1342" t="b">
        <f t="shared" si="23"/>
        <v>0</v>
      </c>
      <c r="BH40" s="299" t="str">
        <f t="shared" si="24"/>
        <v/>
      </c>
      <c r="BI40" s="1343">
        <f t="shared" si="25"/>
        <v>0</v>
      </c>
      <c r="BJ40" s="1344">
        <f t="shared" si="26"/>
        <v>0</v>
      </c>
      <c r="BK40" s="1344">
        <f t="shared" si="87"/>
        <v>0</v>
      </c>
      <c r="BL40" s="1345">
        <f t="shared" si="27"/>
        <v>0</v>
      </c>
      <c r="BM40" s="1346">
        <f t="shared" si="28"/>
        <v>0</v>
      </c>
      <c r="BN40" s="300">
        <f t="shared" si="29"/>
        <v>0</v>
      </c>
      <c r="BO40" s="300">
        <f t="shared" si="30"/>
        <v>0</v>
      </c>
      <c r="BP40" s="1344">
        <f t="shared" si="88"/>
        <v>0</v>
      </c>
      <c r="BQ40" s="301">
        <f t="shared" si="31"/>
        <v>0</v>
      </c>
      <c r="BR40" s="302" t="e">
        <f t="shared" si="32"/>
        <v>#DIV/0!</v>
      </c>
      <c r="BS40" s="1343">
        <f t="shared" si="98"/>
        <v>0</v>
      </c>
      <c r="BT40" s="1344">
        <f t="shared" si="98"/>
        <v>0</v>
      </c>
      <c r="BU40" s="1344">
        <f t="shared" si="98"/>
        <v>0</v>
      </c>
      <c r="BV40" s="303">
        <f t="shared" si="98"/>
        <v>0</v>
      </c>
      <c r="BW40" s="304">
        <f t="shared" si="34"/>
        <v>0</v>
      </c>
      <c r="BX40" s="300">
        <f t="shared" si="35"/>
        <v>0</v>
      </c>
      <c r="BY40" s="1344">
        <f t="shared" si="89"/>
        <v>0</v>
      </c>
      <c r="BZ40" s="300">
        <f t="shared" si="90"/>
        <v>0</v>
      </c>
      <c r="CA40" s="301">
        <f t="shared" si="36"/>
        <v>0</v>
      </c>
      <c r="CB40" s="305" t="e">
        <f t="shared" si="37"/>
        <v>#DIV/0!</v>
      </c>
      <c r="CC40" s="304" t="e">
        <f t="shared" si="38"/>
        <v>#DIV/0!</v>
      </c>
      <c r="CD40" s="300">
        <f t="shared" si="39"/>
        <v>0</v>
      </c>
      <c r="CE40" s="306">
        <f t="shared" si="91"/>
        <v>0</v>
      </c>
      <c r="CF40" s="306">
        <f t="shared" si="40"/>
        <v>0</v>
      </c>
      <c r="CG40" s="307" t="e">
        <f t="shared" si="41"/>
        <v>#DIV/0!</v>
      </c>
      <c r="CH40" s="307" t="e">
        <f t="shared" si="42"/>
        <v>#DIV/0!</v>
      </c>
      <c r="CI40" s="308" t="e">
        <f t="shared" si="92"/>
        <v>#DIV/0!</v>
      </c>
      <c r="CJ40" s="309" t="e">
        <f t="shared" si="43"/>
        <v>#DIV/0!</v>
      </c>
      <c r="CK40" s="175" t="e">
        <f t="shared" si="93"/>
        <v>#DIV/0!</v>
      </c>
      <c r="CL40" s="175" t="str">
        <f t="shared" si="44"/>
        <v/>
      </c>
      <c r="CM40" s="310" t="e">
        <f t="shared" si="94"/>
        <v>#DIV/0!</v>
      </c>
      <c r="CN40" s="311" t="e">
        <f t="shared" si="95"/>
        <v>#DIV/0!</v>
      </c>
      <c r="CO40" s="311">
        <f t="shared" si="96"/>
        <v>0</v>
      </c>
      <c r="CP40" s="175">
        <f t="shared" si="45"/>
        <v>1</v>
      </c>
      <c r="CQ40" s="175">
        <f t="shared" si="46"/>
        <v>1</v>
      </c>
      <c r="CR40" s="175" t="str">
        <f t="shared" si="47"/>
        <v/>
      </c>
      <c r="CS40" s="175">
        <f t="shared" si="48"/>
        <v>0</v>
      </c>
      <c r="CT40" s="312">
        <f t="shared" si="49"/>
        <v>0</v>
      </c>
      <c r="CU40" s="175" t="str">
        <f t="shared" si="50"/>
        <v>OK</v>
      </c>
      <c r="CV40" s="313">
        <f t="shared" si="51"/>
        <v>0.05</v>
      </c>
      <c r="CW40" s="312" t="e">
        <f t="shared" si="52"/>
        <v>#DIV/0!</v>
      </c>
      <c r="CX40" s="312" t="e">
        <f t="shared" si="53"/>
        <v>#DIV/0!</v>
      </c>
      <c r="CY40" s="312" t="e">
        <f t="shared" si="54"/>
        <v>#DIV/0!</v>
      </c>
      <c r="CZ40" s="312" t="e">
        <f t="shared" si="55"/>
        <v>#DIV/0!</v>
      </c>
      <c r="DA40" s="312">
        <f t="shared" si="56"/>
        <v>1</v>
      </c>
      <c r="DB40" s="312">
        <f t="shared" si="57"/>
        <v>0</v>
      </c>
      <c r="DC40" s="175" t="str">
        <f t="shared" si="58"/>
        <v>Soft</v>
      </c>
      <c r="DD40" s="175"/>
      <c r="DE40" s="175">
        <f t="shared" si="59"/>
        <v>0</v>
      </c>
      <c r="DF40" s="312" t="e">
        <f t="shared" si="60"/>
        <v>#DIV/0!</v>
      </c>
      <c r="DG40" s="312" t="e">
        <f t="shared" si="61"/>
        <v>#DIV/0!</v>
      </c>
      <c r="DH40" s="312" t="e">
        <f t="shared" si="62"/>
        <v>#DIV/0!</v>
      </c>
      <c r="DI40" s="312" t="e">
        <f t="shared" si="63"/>
        <v>#DIV/0!</v>
      </c>
      <c r="DJ40" s="312" t="e">
        <f t="shared" si="97"/>
        <v>#DIV/0!</v>
      </c>
      <c r="DK40" s="175"/>
      <c r="DL40" s="175"/>
      <c r="DM40" s="175"/>
      <c r="DN40" s="175">
        <f t="shared" si="64"/>
        <v>1</v>
      </c>
      <c r="DO40" s="312" t="e">
        <f t="shared" si="65"/>
        <v>#DIV/0!</v>
      </c>
      <c r="DP40" s="312" t="e">
        <f t="shared" si="66"/>
        <v>#DIV/0!</v>
      </c>
      <c r="DQ40" s="312" t="e">
        <f t="shared" si="67"/>
        <v>#DIV/0!</v>
      </c>
      <c r="DR40" s="312" t="e">
        <f t="shared" si="68"/>
        <v>#DIV/0!</v>
      </c>
      <c r="DS40" s="312" t="e">
        <f t="shared" si="69"/>
        <v>#DIV/0!</v>
      </c>
      <c r="DT40" s="312" t="e">
        <f t="shared" si="70"/>
        <v>#DIV/0!</v>
      </c>
      <c r="DU40" s="312">
        <f t="shared" si="71"/>
        <v>0</v>
      </c>
      <c r="DV40" s="175"/>
      <c r="DW40" s="175" t="b">
        <f t="shared" si="72"/>
        <v>1</v>
      </c>
      <c r="DX40" s="175" t="b">
        <f t="shared" si="72"/>
        <v>1</v>
      </c>
      <c r="DY40" s="175" t="b">
        <f t="shared" si="72"/>
        <v>1</v>
      </c>
      <c r="DZ40" s="175" t="b">
        <f t="shared" si="72"/>
        <v>1</v>
      </c>
      <c r="EA40" s="175" t="b">
        <f t="shared" si="72"/>
        <v>1</v>
      </c>
      <c r="EB40" s="168"/>
    </row>
    <row r="41" spans="1:132" s="140" customFormat="1" ht="18.5" hidden="1" thickBot="1" x14ac:dyDescent="0.45">
      <c r="A41" s="150"/>
      <c r="B41" s="296" t="str">
        <f t="shared" si="73"/>
        <v>-</v>
      </c>
      <c r="C41" s="279">
        <v>22</v>
      </c>
      <c r="D41" s="1557"/>
      <c r="E41" s="1558"/>
      <c r="F41" s="951"/>
      <c r="G41" s="1101"/>
      <c r="H41" s="952"/>
      <c r="I41" s="965"/>
      <c r="J41" s="1325"/>
      <c r="K41" s="1326"/>
      <c r="L41" s="1326"/>
      <c r="M41" s="1326"/>
      <c r="N41" s="1327"/>
      <c r="O41" s="974"/>
      <c r="P41" s="975"/>
      <c r="Q41" s="976"/>
      <c r="R41" s="966"/>
      <c r="S41" s="280" t="str">
        <f t="shared" si="74"/>
        <v/>
      </c>
      <c r="T41" s="281" t="str">
        <f t="shared" si="75"/>
        <v/>
      </c>
      <c r="U41" s="282">
        <f t="shared" si="76"/>
        <v>0</v>
      </c>
      <c r="V41" s="259" t="str">
        <f t="shared" si="2"/>
        <v/>
      </c>
      <c r="W41" s="260" t="str">
        <f t="shared" si="3"/>
        <v/>
      </c>
      <c r="X41" s="283">
        <f t="shared" si="4"/>
        <v>0</v>
      </c>
      <c r="Y41" s="284" t="str">
        <f t="shared" si="5"/>
        <v/>
      </c>
      <c r="Z41" s="150"/>
      <c r="AA41" s="175"/>
      <c r="AB41" s="175">
        <v>22</v>
      </c>
      <c r="AC41" s="297" t="str">
        <f t="shared" si="6"/>
        <v>-</v>
      </c>
      <c r="AD41" s="297">
        <f t="shared" si="77"/>
        <v>0</v>
      </c>
      <c r="AE41" s="297">
        <f t="shared" si="78"/>
        <v>0</v>
      </c>
      <c r="AF41" s="297"/>
      <c r="AG41" s="298">
        <f t="shared" si="79"/>
        <v>0</v>
      </c>
      <c r="AH41" s="1339">
        <f t="shared" si="7"/>
        <v>0</v>
      </c>
      <c r="AI41" s="1340">
        <f>IF(SUM(AH41:AH$99)=0,0,F41&gt;0)</f>
        <v>0</v>
      </c>
      <c r="AJ41" s="1339">
        <f t="shared" si="8"/>
        <v>0</v>
      </c>
      <c r="AK41" s="1340">
        <f>IF(SUM(AH41:AH$99)=0,0,AND(AI41=FALSE,AJ41=0,SUM(AJ41:AJ$99)&gt;0))</f>
        <v>0</v>
      </c>
      <c r="AL41" s="1340">
        <f t="shared" si="9"/>
        <v>0</v>
      </c>
      <c r="AM41" s="1340">
        <f t="shared" si="10"/>
        <v>0</v>
      </c>
      <c r="AN41" s="1341">
        <f t="shared" si="11"/>
        <v>0</v>
      </c>
      <c r="AO41" s="1341">
        <f t="shared" si="12"/>
        <v>0</v>
      </c>
      <c r="AP41" s="264">
        <f t="shared" si="13"/>
        <v>0</v>
      </c>
      <c r="AQ41" s="264">
        <f t="shared" si="80"/>
        <v>0</v>
      </c>
      <c r="AR41" s="1340">
        <f t="shared" si="14"/>
        <v>0</v>
      </c>
      <c r="AS41" s="1340" t="str">
        <f t="shared" si="81"/>
        <v/>
      </c>
      <c r="AT41" s="1340">
        <f t="shared" si="15"/>
        <v>0</v>
      </c>
      <c r="AU41" s="898">
        <f t="shared" si="82"/>
        <v>0</v>
      </c>
      <c r="AV41" s="1340">
        <f t="shared" si="16"/>
        <v>0</v>
      </c>
      <c r="AW41" s="1340">
        <f t="shared" si="17"/>
        <v>0</v>
      </c>
      <c r="AX41" s="1340">
        <f t="shared" si="18"/>
        <v>0</v>
      </c>
      <c r="AY41" s="897">
        <f t="shared" si="83"/>
        <v>0</v>
      </c>
      <c r="AZ41" s="1340">
        <f t="shared" si="19"/>
        <v>0</v>
      </c>
      <c r="BA41" s="896">
        <f t="shared" si="84"/>
        <v>0</v>
      </c>
      <c r="BB41" s="899" t="str">
        <f t="shared" si="85"/>
        <v/>
      </c>
      <c r="BC41" s="899" t="str">
        <f t="shared" si="86"/>
        <v/>
      </c>
      <c r="BD41" s="1340">
        <f t="shared" si="20"/>
        <v>0</v>
      </c>
      <c r="BE41" s="1340">
        <f t="shared" si="21"/>
        <v>0</v>
      </c>
      <c r="BF41" s="1340">
        <f t="shared" si="22"/>
        <v>0</v>
      </c>
      <c r="BG41" s="1342" t="b">
        <f t="shared" si="23"/>
        <v>0</v>
      </c>
      <c r="BH41" s="299" t="str">
        <f t="shared" si="24"/>
        <v/>
      </c>
      <c r="BI41" s="1343">
        <f t="shared" si="25"/>
        <v>0</v>
      </c>
      <c r="BJ41" s="1344">
        <f t="shared" si="26"/>
        <v>0</v>
      </c>
      <c r="BK41" s="1344">
        <f t="shared" si="87"/>
        <v>0</v>
      </c>
      <c r="BL41" s="1345">
        <f t="shared" si="27"/>
        <v>0</v>
      </c>
      <c r="BM41" s="1346">
        <f t="shared" si="28"/>
        <v>0</v>
      </c>
      <c r="BN41" s="300">
        <f t="shared" si="29"/>
        <v>0</v>
      </c>
      <c r="BO41" s="300">
        <f t="shared" si="30"/>
        <v>0</v>
      </c>
      <c r="BP41" s="1344">
        <f t="shared" si="88"/>
        <v>0</v>
      </c>
      <c r="BQ41" s="301">
        <f t="shared" si="31"/>
        <v>0</v>
      </c>
      <c r="BR41" s="302" t="e">
        <f t="shared" si="32"/>
        <v>#DIV/0!</v>
      </c>
      <c r="BS41" s="1343">
        <f t="shared" si="98"/>
        <v>0</v>
      </c>
      <c r="BT41" s="1344">
        <f t="shared" si="98"/>
        <v>0</v>
      </c>
      <c r="BU41" s="1344">
        <f t="shared" si="98"/>
        <v>0</v>
      </c>
      <c r="BV41" s="303">
        <f t="shared" si="98"/>
        <v>0</v>
      </c>
      <c r="BW41" s="304">
        <f t="shared" si="34"/>
        <v>0</v>
      </c>
      <c r="BX41" s="300">
        <f t="shared" si="35"/>
        <v>0</v>
      </c>
      <c r="BY41" s="1344">
        <f t="shared" si="89"/>
        <v>0</v>
      </c>
      <c r="BZ41" s="300">
        <f t="shared" si="90"/>
        <v>0</v>
      </c>
      <c r="CA41" s="301">
        <f t="shared" si="36"/>
        <v>0</v>
      </c>
      <c r="CB41" s="305" t="e">
        <f t="shared" si="37"/>
        <v>#DIV/0!</v>
      </c>
      <c r="CC41" s="304" t="e">
        <f t="shared" si="38"/>
        <v>#DIV/0!</v>
      </c>
      <c r="CD41" s="300">
        <f t="shared" si="39"/>
        <v>0</v>
      </c>
      <c r="CE41" s="306">
        <f t="shared" si="91"/>
        <v>0</v>
      </c>
      <c r="CF41" s="306">
        <f t="shared" si="40"/>
        <v>0</v>
      </c>
      <c r="CG41" s="307" t="e">
        <f t="shared" si="41"/>
        <v>#DIV/0!</v>
      </c>
      <c r="CH41" s="307" t="e">
        <f t="shared" si="42"/>
        <v>#DIV/0!</v>
      </c>
      <c r="CI41" s="308" t="e">
        <f t="shared" si="92"/>
        <v>#DIV/0!</v>
      </c>
      <c r="CJ41" s="309" t="e">
        <f t="shared" si="43"/>
        <v>#DIV/0!</v>
      </c>
      <c r="CK41" s="175" t="e">
        <f t="shared" si="93"/>
        <v>#DIV/0!</v>
      </c>
      <c r="CL41" s="175" t="str">
        <f t="shared" si="44"/>
        <v/>
      </c>
      <c r="CM41" s="310" t="e">
        <f t="shared" si="94"/>
        <v>#DIV/0!</v>
      </c>
      <c r="CN41" s="311" t="e">
        <f t="shared" si="95"/>
        <v>#DIV/0!</v>
      </c>
      <c r="CO41" s="311">
        <f t="shared" si="96"/>
        <v>0</v>
      </c>
      <c r="CP41" s="175">
        <f t="shared" si="45"/>
        <v>1</v>
      </c>
      <c r="CQ41" s="175">
        <f t="shared" si="46"/>
        <v>1</v>
      </c>
      <c r="CR41" s="175" t="str">
        <f t="shared" si="47"/>
        <v/>
      </c>
      <c r="CS41" s="175">
        <f t="shared" si="48"/>
        <v>0</v>
      </c>
      <c r="CT41" s="312">
        <f t="shared" si="49"/>
        <v>0</v>
      </c>
      <c r="CU41" s="175" t="str">
        <f t="shared" si="50"/>
        <v>OK</v>
      </c>
      <c r="CV41" s="313">
        <f t="shared" si="51"/>
        <v>0.05</v>
      </c>
      <c r="CW41" s="312" t="e">
        <f t="shared" si="52"/>
        <v>#DIV/0!</v>
      </c>
      <c r="CX41" s="312" t="e">
        <f t="shared" si="53"/>
        <v>#DIV/0!</v>
      </c>
      <c r="CY41" s="312" t="e">
        <f t="shared" si="54"/>
        <v>#DIV/0!</v>
      </c>
      <c r="CZ41" s="312" t="e">
        <f t="shared" si="55"/>
        <v>#DIV/0!</v>
      </c>
      <c r="DA41" s="312">
        <f t="shared" si="56"/>
        <v>1</v>
      </c>
      <c r="DB41" s="312">
        <f t="shared" si="57"/>
        <v>0</v>
      </c>
      <c r="DC41" s="175" t="str">
        <f t="shared" si="58"/>
        <v>Soft</v>
      </c>
      <c r="DD41" s="175"/>
      <c r="DE41" s="175">
        <f t="shared" si="59"/>
        <v>0</v>
      </c>
      <c r="DF41" s="312" t="e">
        <f t="shared" si="60"/>
        <v>#DIV/0!</v>
      </c>
      <c r="DG41" s="312" t="e">
        <f t="shared" si="61"/>
        <v>#DIV/0!</v>
      </c>
      <c r="DH41" s="312" t="e">
        <f t="shared" si="62"/>
        <v>#DIV/0!</v>
      </c>
      <c r="DI41" s="312" t="e">
        <f t="shared" si="63"/>
        <v>#DIV/0!</v>
      </c>
      <c r="DJ41" s="312" t="e">
        <f t="shared" si="97"/>
        <v>#DIV/0!</v>
      </c>
      <c r="DK41" s="175"/>
      <c r="DL41" s="175"/>
      <c r="DM41" s="175"/>
      <c r="DN41" s="175">
        <f t="shared" si="64"/>
        <v>1</v>
      </c>
      <c r="DO41" s="312" t="e">
        <f t="shared" si="65"/>
        <v>#DIV/0!</v>
      </c>
      <c r="DP41" s="312" t="e">
        <f t="shared" si="66"/>
        <v>#DIV/0!</v>
      </c>
      <c r="DQ41" s="312" t="e">
        <f t="shared" si="67"/>
        <v>#DIV/0!</v>
      </c>
      <c r="DR41" s="312" t="e">
        <f t="shared" si="68"/>
        <v>#DIV/0!</v>
      </c>
      <c r="DS41" s="312" t="e">
        <f t="shared" si="69"/>
        <v>#DIV/0!</v>
      </c>
      <c r="DT41" s="312" t="e">
        <f t="shared" si="70"/>
        <v>#DIV/0!</v>
      </c>
      <c r="DU41" s="312">
        <f t="shared" si="71"/>
        <v>0</v>
      </c>
      <c r="DV41" s="175"/>
      <c r="DW41" s="175" t="b">
        <f t="shared" si="72"/>
        <v>1</v>
      </c>
      <c r="DX41" s="175" t="b">
        <f t="shared" si="72"/>
        <v>1</v>
      </c>
      <c r="DY41" s="175" t="b">
        <f t="shared" si="72"/>
        <v>1</v>
      </c>
      <c r="DZ41" s="175" t="b">
        <f t="shared" si="72"/>
        <v>1</v>
      </c>
      <c r="EA41" s="175" t="b">
        <f t="shared" si="72"/>
        <v>1</v>
      </c>
      <c r="EB41" s="168"/>
    </row>
    <row r="42" spans="1:132" s="140" customFormat="1" ht="18.5" hidden="1" thickBot="1" x14ac:dyDescent="0.45">
      <c r="A42" s="150"/>
      <c r="B42" s="296" t="str">
        <f t="shared" si="73"/>
        <v>-</v>
      </c>
      <c r="C42" s="279">
        <v>23</v>
      </c>
      <c r="D42" s="1557"/>
      <c r="E42" s="1562"/>
      <c r="F42" s="951"/>
      <c r="G42" s="1101"/>
      <c r="H42" s="952"/>
      <c r="I42" s="965"/>
      <c r="J42" s="1325"/>
      <c r="K42" s="1326"/>
      <c r="L42" s="1326"/>
      <c r="M42" s="1326"/>
      <c r="N42" s="1327"/>
      <c r="O42" s="974"/>
      <c r="P42" s="975"/>
      <c r="Q42" s="976"/>
      <c r="R42" s="966"/>
      <c r="S42" s="280" t="str">
        <f t="shared" si="74"/>
        <v/>
      </c>
      <c r="T42" s="281" t="str">
        <f t="shared" si="75"/>
        <v/>
      </c>
      <c r="U42" s="282">
        <f t="shared" si="76"/>
        <v>0</v>
      </c>
      <c r="V42" s="259" t="str">
        <f t="shared" si="2"/>
        <v/>
      </c>
      <c r="W42" s="260" t="str">
        <f t="shared" si="3"/>
        <v/>
      </c>
      <c r="X42" s="283">
        <f t="shared" si="4"/>
        <v>0</v>
      </c>
      <c r="Y42" s="284" t="str">
        <f t="shared" si="5"/>
        <v/>
      </c>
      <c r="Z42" s="150"/>
      <c r="AA42" s="175"/>
      <c r="AB42" s="175">
        <v>23</v>
      </c>
      <c r="AC42" s="297" t="str">
        <f t="shared" si="6"/>
        <v>-</v>
      </c>
      <c r="AD42" s="297">
        <f t="shared" si="77"/>
        <v>0</v>
      </c>
      <c r="AE42" s="297">
        <f t="shared" si="78"/>
        <v>0</v>
      </c>
      <c r="AF42" s="297"/>
      <c r="AG42" s="298">
        <f t="shared" si="79"/>
        <v>0</v>
      </c>
      <c r="AH42" s="1339">
        <f t="shared" si="7"/>
        <v>0</v>
      </c>
      <c r="AI42" s="1340">
        <f>IF(SUM(AH42:AH$99)=0,0,F42&gt;0)</f>
        <v>0</v>
      </c>
      <c r="AJ42" s="1339">
        <f t="shared" si="8"/>
        <v>0</v>
      </c>
      <c r="AK42" s="1340">
        <f>IF(SUM(AH42:AH$99)=0,0,AND(AI42=FALSE,AJ42=0,SUM(AJ42:AJ$99)&gt;0))</f>
        <v>0</v>
      </c>
      <c r="AL42" s="1340">
        <f t="shared" si="9"/>
        <v>0</v>
      </c>
      <c r="AM42" s="1340">
        <f t="shared" si="10"/>
        <v>0</v>
      </c>
      <c r="AN42" s="1341">
        <f t="shared" si="11"/>
        <v>0</v>
      </c>
      <c r="AO42" s="1341">
        <f t="shared" si="12"/>
        <v>0</v>
      </c>
      <c r="AP42" s="264">
        <f t="shared" si="13"/>
        <v>0</v>
      </c>
      <c r="AQ42" s="264">
        <f t="shared" si="80"/>
        <v>0</v>
      </c>
      <c r="AR42" s="1340">
        <f t="shared" si="14"/>
        <v>0</v>
      </c>
      <c r="AS42" s="1340" t="str">
        <f t="shared" si="81"/>
        <v/>
      </c>
      <c r="AT42" s="1340">
        <f t="shared" si="15"/>
        <v>0</v>
      </c>
      <c r="AU42" s="898">
        <f t="shared" si="82"/>
        <v>0</v>
      </c>
      <c r="AV42" s="1340">
        <f t="shared" si="16"/>
        <v>0</v>
      </c>
      <c r="AW42" s="1340">
        <f t="shared" si="17"/>
        <v>0</v>
      </c>
      <c r="AX42" s="1340">
        <f t="shared" si="18"/>
        <v>0</v>
      </c>
      <c r="AY42" s="897">
        <f t="shared" si="83"/>
        <v>0</v>
      </c>
      <c r="AZ42" s="1340">
        <f t="shared" si="19"/>
        <v>0</v>
      </c>
      <c r="BA42" s="896">
        <f t="shared" si="84"/>
        <v>0</v>
      </c>
      <c r="BB42" s="899" t="str">
        <f t="shared" si="85"/>
        <v/>
      </c>
      <c r="BC42" s="899" t="str">
        <f t="shared" si="86"/>
        <v/>
      </c>
      <c r="BD42" s="1340">
        <f t="shared" si="20"/>
        <v>0</v>
      </c>
      <c r="BE42" s="1340">
        <f t="shared" si="21"/>
        <v>0</v>
      </c>
      <c r="BF42" s="1340">
        <f t="shared" si="22"/>
        <v>0</v>
      </c>
      <c r="BG42" s="1342" t="b">
        <f t="shared" si="23"/>
        <v>0</v>
      </c>
      <c r="BH42" s="299" t="str">
        <f t="shared" si="24"/>
        <v/>
      </c>
      <c r="BI42" s="1343">
        <f t="shared" si="25"/>
        <v>0</v>
      </c>
      <c r="BJ42" s="1344">
        <f t="shared" si="26"/>
        <v>0</v>
      </c>
      <c r="BK42" s="1344">
        <f t="shared" si="87"/>
        <v>0</v>
      </c>
      <c r="BL42" s="1345">
        <f t="shared" si="27"/>
        <v>0</v>
      </c>
      <c r="BM42" s="1346">
        <f t="shared" si="28"/>
        <v>0</v>
      </c>
      <c r="BN42" s="300">
        <f t="shared" si="29"/>
        <v>0</v>
      </c>
      <c r="BO42" s="300">
        <f t="shared" si="30"/>
        <v>0</v>
      </c>
      <c r="BP42" s="1344">
        <f t="shared" si="88"/>
        <v>0</v>
      </c>
      <c r="BQ42" s="301">
        <f t="shared" si="31"/>
        <v>0</v>
      </c>
      <c r="BR42" s="302" t="e">
        <f t="shared" si="32"/>
        <v>#DIV/0!</v>
      </c>
      <c r="BS42" s="1343">
        <f t="shared" si="98"/>
        <v>0</v>
      </c>
      <c r="BT42" s="1344">
        <f t="shared" si="98"/>
        <v>0</v>
      </c>
      <c r="BU42" s="1344">
        <f t="shared" si="98"/>
        <v>0</v>
      </c>
      <c r="BV42" s="303">
        <f t="shared" si="98"/>
        <v>0</v>
      </c>
      <c r="BW42" s="304">
        <f t="shared" si="34"/>
        <v>0</v>
      </c>
      <c r="BX42" s="300">
        <f t="shared" si="35"/>
        <v>0</v>
      </c>
      <c r="BY42" s="1344">
        <f t="shared" si="89"/>
        <v>0</v>
      </c>
      <c r="BZ42" s="300">
        <f t="shared" si="90"/>
        <v>0</v>
      </c>
      <c r="CA42" s="301">
        <f t="shared" si="36"/>
        <v>0</v>
      </c>
      <c r="CB42" s="305" t="e">
        <f t="shared" si="37"/>
        <v>#DIV/0!</v>
      </c>
      <c r="CC42" s="304" t="e">
        <f t="shared" si="38"/>
        <v>#DIV/0!</v>
      </c>
      <c r="CD42" s="300">
        <f t="shared" si="39"/>
        <v>0</v>
      </c>
      <c r="CE42" s="306">
        <f t="shared" si="91"/>
        <v>0</v>
      </c>
      <c r="CF42" s="306">
        <f t="shared" si="40"/>
        <v>0</v>
      </c>
      <c r="CG42" s="307" t="e">
        <f t="shared" si="41"/>
        <v>#DIV/0!</v>
      </c>
      <c r="CH42" s="307" t="e">
        <f t="shared" si="42"/>
        <v>#DIV/0!</v>
      </c>
      <c r="CI42" s="308" t="e">
        <f t="shared" si="92"/>
        <v>#DIV/0!</v>
      </c>
      <c r="CJ42" s="309" t="e">
        <f t="shared" si="43"/>
        <v>#DIV/0!</v>
      </c>
      <c r="CK42" s="175" t="e">
        <f t="shared" si="93"/>
        <v>#DIV/0!</v>
      </c>
      <c r="CL42" s="175" t="str">
        <f t="shared" si="44"/>
        <v/>
      </c>
      <c r="CM42" s="310" t="e">
        <f t="shared" si="94"/>
        <v>#DIV/0!</v>
      </c>
      <c r="CN42" s="311" t="e">
        <f t="shared" si="95"/>
        <v>#DIV/0!</v>
      </c>
      <c r="CO42" s="311">
        <f t="shared" si="96"/>
        <v>0</v>
      </c>
      <c r="CP42" s="175">
        <f t="shared" si="45"/>
        <v>1</v>
      </c>
      <c r="CQ42" s="175">
        <f t="shared" si="46"/>
        <v>1</v>
      </c>
      <c r="CR42" s="175" t="str">
        <f t="shared" si="47"/>
        <v/>
      </c>
      <c r="CS42" s="175">
        <f t="shared" si="48"/>
        <v>0</v>
      </c>
      <c r="CT42" s="312">
        <f t="shared" si="49"/>
        <v>0</v>
      </c>
      <c r="CU42" s="175" t="str">
        <f t="shared" si="50"/>
        <v>OK</v>
      </c>
      <c r="CV42" s="313">
        <f t="shared" si="51"/>
        <v>0.05</v>
      </c>
      <c r="CW42" s="312" t="e">
        <f t="shared" si="52"/>
        <v>#DIV/0!</v>
      </c>
      <c r="CX42" s="312" t="e">
        <f t="shared" si="53"/>
        <v>#DIV/0!</v>
      </c>
      <c r="CY42" s="312" t="e">
        <f t="shared" si="54"/>
        <v>#DIV/0!</v>
      </c>
      <c r="CZ42" s="312" t="e">
        <f t="shared" si="55"/>
        <v>#DIV/0!</v>
      </c>
      <c r="DA42" s="312">
        <f t="shared" si="56"/>
        <v>1</v>
      </c>
      <c r="DB42" s="312">
        <f t="shared" si="57"/>
        <v>0</v>
      </c>
      <c r="DC42" s="175" t="str">
        <f t="shared" si="58"/>
        <v>Soft</v>
      </c>
      <c r="DD42" s="175"/>
      <c r="DE42" s="175">
        <f t="shared" si="59"/>
        <v>0</v>
      </c>
      <c r="DF42" s="312" t="e">
        <f t="shared" si="60"/>
        <v>#DIV/0!</v>
      </c>
      <c r="DG42" s="312" t="e">
        <f t="shared" si="61"/>
        <v>#DIV/0!</v>
      </c>
      <c r="DH42" s="312" t="e">
        <f t="shared" si="62"/>
        <v>#DIV/0!</v>
      </c>
      <c r="DI42" s="312" t="e">
        <f t="shared" si="63"/>
        <v>#DIV/0!</v>
      </c>
      <c r="DJ42" s="312" t="e">
        <f t="shared" si="97"/>
        <v>#DIV/0!</v>
      </c>
      <c r="DK42" s="175"/>
      <c r="DL42" s="175"/>
      <c r="DM42" s="175"/>
      <c r="DN42" s="175">
        <f t="shared" si="64"/>
        <v>1</v>
      </c>
      <c r="DO42" s="312" t="e">
        <f t="shared" si="65"/>
        <v>#DIV/0!</v>
      </c>
      <c r="DP42" s="312" t="e">
        <f t="shared" si="66"/>
        <v>#DIV/0!</v>
      </c>
      <c r="DQ42" s="312" t="e">
        <f t="shared" si="67"/>
        <v>#DIV/0!</v>
      </c>
      <c r="DR42" s="312" t="e">
        <f t="shared" si="68"/>
        <v>#DIV/0!</v>
      </c>
      <c r="DS42" s="312" t="e">
        <f t="shared" si="69"/>
        <v>#DIV/0!</v>
      </c>
      <c r="DT42" s="312" t="e">
        <f t="shared" si="70"/>
        <v>#DIV/0!</v>
      </c>
      <c r="DU42" s="312">
        <f t="shared" si="71"/>
        <v>0</v>
      </c>
      <c r="DV42" s="175"/>
      <c r="DW42" s="175" t="b">
        <f t="shared" si="72"/>
        <v>1</v>
      </c>
      <c r="DX42" s="175" t="b">
        <f t="shared" si="72"/>
        <v>1</v>
      </c>
      <c r="DY42" s="175" t="b">
        <f t="shared" si="72"/>
        <v>1</v>
      </c>
      <c r="DZ42" s="175" t="b">
        <f t="shared" si="72"/>
        <v>1</v>
      </c>
      <c r="EA42" s="175" t="b">
        <f t="shared" si="72"/>
        <v>1</v>
      </c>
      <c r="EB42" s="168"/>
    </row>
    <row r="43" spans="1:132" s="140" customFormat="1" ht="18.5" hidden="1" thickBot="1" x14ac:dyDescent="0.45">
      <c r="A43" s="150"/>
      <c r="B43" s="296" t="str">
        <f t="shared" si="73"/>
        <v>-</v>
      </c>
      <c r="C43" s="279">
        <v>24</v>
      </c>
      <c r="D43" s="1557"/>
      <c r="E43" s="1562"/>
      <c r="F43" s="951"/>
      <c r="G43" s="1101"/>
      <c r="H43" s="952"/>
      <c r="I43" s="965"/>
      <c r="J43" s="1325"/>
      <c r="K43" s="1326"/>
      <c r="L43" s="1326"/>
      <c r="M43" s="1326"/>
      <c r="N43" s="1327"/>
      <c r="O43" s="974"/>
      <c r="P43" s="975"/>
      <c r="Q43" s="976"/>
      <c r="R43" s="966"/>
      <c r="S43" s="280" t="str">
        <f t="shared" si="74"/>
        <v/>
      </c>
      <c r="T43" s="281" t="str">
        <f t="shared" si="75"/>
        <v/>
      </c>
      <c r="U43" s="282">
        <f t="shared" si="76"/>
        <v>0</v>
      </c>
      <c r="V43" s="259" t="str">
        <f t="shared" si="2"/>
        <v/>
      </c>
      <c r="W43" s="260" t="str">
        <f t="shared" si="3"/>
        <v/>
      </c>
      <c r="X43" s="283">
        <f t="shared" si="4"/>
        <v>0</v>
      </c>
      <c r="Y43" s="284" t="str">
        <f t="shared" si="5"/>
        <v/>
      </c>
      <c r="Z43" s="150"/>
      <c r="AA43" s="175"/>
      <c r="AB43" s="175">
        <v>24</v>
      </c>
      <c r="AC43" s="297" t="str">
        <f t="shared" si="6"/>
        <v>-</v>
      </c>
      <c r="AD43" s="297">
        <f t="shared" si="77"/>
        <v>0</v>
      </c>
      <c r="AE43" s="297">
        <f t="shared" si="78"/>
        <v>0</v>
      </c>
      <c r="AF43" s="297"/>
      <c r="AG43" s="298">
        <f t="shared" si="79"/>
        <v>0</v>
      </c>
      <c r="AH43" s="1339">
        <f t="shared" si="7"/>
        <v>0</v>
      </c>
      <c r="AI43" s="1340">
        <f>IF(SUM(AH43:AH$99)=0,0,F43&gt;0)</f>
        <v>0</v>
      </c>
      <c r="AJ43" s="1339">
        <f t="shared" si="8"/>
        <v>0</v>
      </c>
      <c r="AK43" s="1340">
        <f>IF(SUM(AH43:AH$99)=0,0,AND(AI43=FALSE,AJ43=0,SUM(AJ43:AJ$99)&gt;0))</f>
        <v>0</v>
      </c>
      <c r="AL43" s="1340">
        <f t="shared" si="9"/>
        <v>0</v>
      </c>
      <c r="AM43" s="1340">
        <f t="shared" si="10"/>
        <v>0</v>
      </c>
      <c r="AN43" s="1341">
        <f t="shared" si="11"/>
        <v>0</v>
      </c>
      <c r="AO43" s="1341">
        <f t="shared" si="12"/>
        <v>0</v>
      </c>
      <c r="AP43" s="264">
        <f t="shared" si="13"/>
        <v>0</v>
      </c>
      <c r="AQ43" s="264">
        <f t="shared" si="80"/>
        <v>0</v>
      </c>
      <c r="AR43" s="1340">
        <f t="shared" si="14"/>
        <v>0</v>
      </c>
      <c r="AS43" s="1340" t="str">
        <f t="shared" si="81"/>
        <v/>
      </c>
      <c r="AT43" s="1340">
        <f t="shared" si="15"/>
        <v>0</v>
      </c>
      <c r="AU43" s="898">
        <f t="shared" si="82"/>
        <v>0</v>
      </c>
      <c r="AV43" s="1340">
        <f t="shared" si="16"/>
        <v>0</v>
      </c>
      <c r="AW43" s="1340">
        <f t="shared" si="17"/>
        <v>0</v>
      </c>
      <c r="AX43" s="1340">
        <f t="shared" si="18"/>
        <v>0</v>
      </c>
      <c r="AY43" s="897">
        <f t="shared" si="83"/>
        <v>0</v>
      </c>
      <c r="AZ43" s="1340">
        <f t="shared" si="19"/>
        <v>0</v>
      </c>
      <c r="BA43" s="896">
        <f t="shared" si="84"/>
        <v>0</v>
      </c>
      <c r="BB43" s="899" t="str">
        <f t="shared" si="85"/>
        <v/>
      </c>
      <c r="BC43" s="899" t="str">
        <f t="shared" si="86"/>
        <v/>
      </c>
      <c r="BD43" s="1340">
        <f t="shared" si="20"/>
        <v>0</v>
      </c>
      <c r="BE43" s="1340">
        <f t="shared" si="21"/>
        <v>0</v>
      </c>
      <c r="BF43" s="1340">
        <f t="shared" si="22"/>
        <v>0</v>
      </c>
      <c r="BG43" s="1342" t="b">
        <f t="shared" si="23"/>
        <v>0</v>
      </c>
      <c r="BH43" s="299" t="str">
        <f t="shared" si="24"/>
        <v/>
      </c>
      <c r="BI43" s="1343">
        <f t="shared" si="25"/>
        <v>0</v>
      </c>
      <c r="BJ43" s="1344">
        <f t="shared" si="26"/>
        <v>0</v>
      </c>
      <c r="BK43" s="1344">
        <f t="shared" si="87"/>
        <v>0</v>
      </c>
      <c r="BL43" s="1345">
        <f t="shared" si="27"/>
        <v>0</v>
      </c>
      <c r="BM43" s="1346">
        <f t="shared" si="28"/>
        <v>0</v>
      </c>
      <c r="BN43" s="300">
        <f t="shared" si="29"/>
        <v>0</v>
      </c>
      <c r="BO43" s="300">
        <f t="shared" si="30"/>
        <v>0</v>
      </c>
      <c r="BP43" s="1344">
        <f t="shared" si="88"/>
        <v>0</v>
      </c>
      <c r="BQ43" s="301">
        <f t="shared" si="31"/>
        <v>0</v>
      </c>
      <c r="BR43" s="302" t="e">
        <f t="shared" si="32"/>
        <v>#DIV/0!</v>
      </c>
      <c r="BS43" s="1343">
        <f t="shared" si="98"/>
        <v>0</v>
      </c>
      <c r="BT43" s="1344">
        <f t="shared" si="98"/>
        <v>0</v>
      </c>
      <c r="BU43" s="1344">
        <f t="shared" si="98"/>
        <v>0</v>
      </c>
      <c r="BV43" s="303">
        <f t="shared" si="98"/>
        <v>0</v>
      </c>
      <c r="BW43" s="304">
        <f t="shared" si="34"/>
        <v>0</v>
      </c>
      <c r="BX43" s="300">
        <f t="shared" si="35"/>
        <v>0</v>
      </c>
      <c r="BY43" s="1344">
        <f t="shared" si="89"/>
        <v>0</v>
      </c>
      <c r="BZ43" s="300">
        <f t="shared" si="90"/>
        <v>0</v>
      </c>
      <c r="CA43" s="301">
        <f t="shared" si="36"/>
        <v>0</v>
      </c>
      <c r="CB43" s="305" t="e">
        <f t="shared" si="37"/>
        <v>#DIV/0!</v>
      </c>
      <c r="CC43" s="304" t="e">
        <f t="shared" si="38"/>
        <v>#DIV/0!</v>
      </c>
      <c r="CD43" s="300">
        <f t="shared" si="39"/>
        <v>0</v>
      </c>
      <c r="CE43" s="306">
        <f t="shared" si="91"/>
        <v>0</v>
      </c>
      <c r="CF43" s="306">
        <f t="shared" si="40"/>
        <v>0</v>
      </c>
      <c r="CG43" s="307" t="e">
        <f t="shared" si="41"/>
        <v>#DIV/0!</v>
      </c>
      <c r="CH43" s="307" t="e">
        <f t="shared" si="42"/>
        <v>#DIV/0!</v>
      </c>
      <c r="CI43" s="308" t="e">
        <f t="shared" si="92"/>
        <v>#DIV/0!</v>
      </c>
      <c r="CJ43" s="309" t="e">
        <f t="shared" si="43"/>
        <v>#DIV/0!</v>
      </c>
      <c r="CK43" s="175" t="e">
        <f t="shared" si="93"/>
        <v>#DIV/0!</v>
      </c>
      <c r="CL43" s="175" t="str">
        <f t="shared" si="44"/>
        <v/>
      </c>
      <c r="CM43" s="310" t="e">
        <f t="shared" si="94"/>
        <v>#DIV/0!</v>
      </c>
      <c r="CN43" s="311" t="e">
        <f t="shared" si="95"/>
        <v>#DIV/0!</v>
      </c>
      <c r="CO43" s="311">
        <f t="shared" si="96"/>
        <v>0</v>
      </c>
      <c r="CP43" s="175">
        <f t="shared" si="45"/>
        <v>1</v>
      </c>
      <c r="CQ43" s="175">
        <f t="shared" si="46"/>
        <v>1</v>
      </c>
      <c r="CR43" s="175" t="str">
        <f t="shared" si="47"/>
        <v/>
      </c>
      <c r="CS43" s="175">
        <f t="shared" si="48"/>
        <v>0</v>
      </c>
      <c r="CT43" s="312">
        <f t="shared" si="49"/>
        <v>0</v>
      </c>
      <c r="CU43" s="175" t="str">
        <f t="shared" si="50"/>
        <v>OK</v>
      </c>
      <c r="CV43" s="313">
        <f t="shared" si="51"/>
        <v>0.05</v>
      </c>
      <c r="CW43" s="312" t="e">
        <f t="shared" si="52"/>
        <v>#DIV/0!</v>
      </c>
      <c r="CX43" s="312" t="e">
        <f t="shared" si="53"/>
        <v>#DIV/0!</v>
      </c>
      <c r="CY43" s="312" t="e">
        <f t="shared" si="54"/>
        <v>#DIV/0!</v>
      </c>
      <c r="CZ43" s="312" t="e">
        <f t="shared" si="55"/>
        <v>#DIV/0!</v>
      </c>
      <c r="DA43" s="312">
        <f t="shared" si="56"/>
        <v>1</v>
      </c>
      <c r="DB43" s="312">
        <f t="shared" si="57"/>
        <v>0</v>
      </c>
      <c r="DC43" s="175" t="str">
        <f t="shared" si="58"/>
        <v>Soft</v>
      </c>
      <c r="DD43" s="175"/>
      <c r="DE43" s="175">
        <f t="shared" si="59"/>
        <v>0</v>
      </c>
      <c r="DF43" s="312" t="e">
        <f t="shared" si="60"/>
        <v>#DIV/0!</v>
      </c>
      <c r="DG43" s="312" t="e">
        <f t="shared" si="61"/>
        <v>#DIV/0!</v>
      </c>
      <c r="DH43" s="312" t="e">
        <f t="shared" si="62"/>
        <v>#DIV/0!</v>
      </c>
      <c r="DI43" s="312" t="e">
        <f t="shared" si="63"/>
        <v>#DIV/0!</v>
      </c>
      <c r="DJ43" s="312" t="e">
        <f t="shared" si="97"/>
        <v>#DIV/0!</v>
      </c>
      <c r="DK43" s="175"/>
      <c r="DL43" s="175"/>
      <c r="DM43" s="175"/>
      <c r="DN43" s="175">
        <f t="shared" si="64"/>
        <v>1</v>
      </c>
      <c r="DO43" s="312" t="e">
        <f t="shared" si="65"/>
        <v>#DIV/0!</v>
      </c>
      <c r="DP43" s="312" t="e">
        <f t="shared" si="66"/>
        <v>#DIV/0!</v>
      </c>
      <c r="DQ43" s="312" t="e">
        <f t="shared" si="67"/>
        <v>#DIV/0!</v>
      </c>
      <c r="DR43" s="312" t="e">
        <f t="shared" si="68"/>
        <v>#DIV/0!</v>
      </c>
      <c r="DS43" s="312" t="e">
        <f t="shared" si="69"/>
        <v>#DIV/0!</v>
      </c>
      <c r="DT43" s="312" t="e">
        <f t="shared" si="70"/>
        <v>#DIV/0!</v>
      </c>
      <c r="DU43" s="312">
        <f t="shared" si="71"/>
        <v>0</v>
      </c>
      <c r="DV43" s="175"/>
      <c r="DW43" s="175" t="b">
        <f t="shared" si="72"/>
        <v>1</v>
      </c>
      <c r="DX43" s="175" t="b">
        <f t="shared" si="72"/>
        <v>1</v>
      </c>
      <c r="DY43" s="175" t="b">
        <f t="shared" si="72"/>
        <v>1</v>
      </c>
      <c r="DZ43" s="175" t="b">
        <f t="shared" si="72"/>
        <v>1</v>
      </c>
      <c r="EA43" s="175" t="b">
        <f t="shared" si="72"/>
        <v>1</v>
      </c>
      <c r="EB43" s="168"/>
    </row>
    <row r="44" spans="1:132" s="140" customFormat="1" ht="18.5" hidden="1" thickBot="1" x14ac:dyDescent="0.45">
      <c r="A44" s="150"/>
      <c r="B44" s="296" t="str">
        <f t="shared" si="73"/>
        <v>-</v>
      </c>
      <c r="C44" s="279">
        <v>25</v>
      </c>
      <c r="D44" s="1557"/>
      <c r="E44" s="1562"/>
      <c r="F44" s="951"/>
      <c r="G44" s="1101"/>
      <c r="H44" s="952"/>
      <c r="I44" s="965"/>
      <c r="J44" s="1325"/>
      <c r="K44" s="1326"/>
      <c r="L44" s="1326"/>
      <c r="M44" s="1326"/>
      <c r="N44" s="1327"/>
      <c r="O44" s="974"/>
      <c r="P44" s="975"/>
      <c r="Q44" s="976"/>
      <c r="R44" s="966"/>
      <c r="S44" s="280" t="str">
        <f t="shared" si="74"/>
        <v/>
      </c>
      <c r="T44" s="281" t="str">
        <f t="shared" si="75"/>
        <v/>
      </c>
      <c r="U44" s="282">
        <f t="shared" si="76"/>
        <v>0</v>
      </c>
      <c r="V44" s="259" t="str">
        <f t="shared" si="2"/>
        <v/>
      </c>
      <c r="W44" s="260" t="str">
        <f t="shared" si="3"/>
        <v/>
      </c>
      <c r="X44" s="283">
        <f t="shared" si="4"/>
        <v>0</v>
      </c>
      <c r="Y44" s="284" t="str">
        <f t="shared" si="5"/>
        <v/>
      </c>
      <c r="Z44" s="150"/>
      <c r="AA44" s="175"/>
      <c r="AB44" s="175">
        <v>25</v>
      </c>
      <c r="AC44" s="297" t="str">
        <f t="shared" si="6"/>
        <v>-</v>
      </c>
      <c r="AD44" s="297">
        <f t="shared" si="77"/>
        <v>0</v>
      </c>
      <c r="AE44" s="297">
        <f t="shared" si="78"/>
        <v>0</v>
      </c>
      <c r="AF44" s="297"/>
      <c r="AG44" s="298">
        <f t="shared" si="79"/>
        <v>0</v>
      </c>
      <c r="AH44" s="1339">
        <f t="shared" si="7"/>
        <v>0</v>
      </c>
      <c r="AI44" s="1340">
        <f>IF(SUM(AH44:AH$99)=0,0,F44&gt;0)</f>
        <v>0</v>
      </c>
      <c r="AJ44" s="1339">
        <f t="shared" si="8"/>
        <v>0</v>
      </c>
      <c r="AK44" s="1340">
        <f>IF(SUM(AH44:AH$99)=0,0,AND(AI44=FALSE,AJ44=0,SUM(AJ44:AJ$99)&gt;0))</f>
        <v>0</v>
      </c>
      <c r="AL44" s="1340">
        <f t="shared" si="9"/>
        <v>0</v>
      </c>
      <c r="AM44" s="1340">
        <f t="shared" si="10"/>
        <v>0</v>
      </c>
      <c r="AN44" s="1341">
        <f t="shared" si="11"/>
        <v>0</v>
      </c>
      <c r="AO44" s="1341">
        <f t="shared" si="12"/>
        <v>0</v>
      </c>
      <c r="AP44" s="264">
        <f t="shared" si="13"/>
        <v>0</v>
      </c>
      <c r="AQ44" s="264">
        <f t="shared" si="80"/>
        <v>0</v>
      </c>
      <c r="AR44" s="1340">
        <f t="shared" si="14"/>
        <v>0</v>
      </c>
      <c r="AS44" s="1340" t="str">
        <f t="shared" si="81"/>
        <v/>
      </c>
      <c r="AT44" s="1340">
        <f t="shared" si="15"/>
        <v>0</v>
      </c>
      <c r="AU44" s="898">
        <f t="shared" si="82"/>
        <v>0</v>
      </c>
      <c r="AV44" s="1340">
        <f t="shared" si="16"/>
        <v>0</v>
      </c>
      <c r="AW44" s="1340">
        <f t="shared" si="17"/>
        <v>0</v>
      </c>
      <c r="AX44" s="1340">
        <f t="shared" si="18"/>
        <v>0</v>
      </c>
      <c r="AY44" s="897">
        <f t="shared" si="83"/>
        <v>0</v>
      </c>
      <c r="AZ44" s="1340">
        <f t="shared" si="19"/>
        <v>0</v>
      </c>
      <c r="BA44" s="896">
        <f t="shared" si="84"/>
        <v>0</v>
      </c>
      <c r="BB44" s="899" t="str">
        <f t="shared" si="85"/>
        <v/>
      </c>
      <c r="BC44" s="899" t="str">
        <f t="shared" si="86"/>
        <v/>
      </c>
      <c r="BD44" s="1340">
        <f t="shared" si="20"/>
        <v>0</v>
      </c>
      <c r="BE44" s="1340">
        <f t="shared" si="21"/>
        <v>0</v>
      </c>
      <c r="BF44" s="1340">
        <f t="shared" si="22"/>
        <v>0</v>
      </c>
      <c r="BG44" s="1342" t="b">
        <f t="shared" si="23"/>
        <v>0</v>
      </c>
      <c r="BH44" s="299" t="str">
        <f t="shared" si="24"/>
        <v/>
      </c>
      <c r="BI44" s="1343">
        <f t="shared" si="25"/>
        <v>0</v>
      </c>
      <c r="BJ44" s="1344">
        <f t="shared" si="26"/>
        <v>0</v>
      </c>
      <c r="BK44" s="1344">
        <f t="shared" si="87"/>
        <v>0</v>
      </c>
      <c r="BL44" s="1345">
        <f t="shared" si="27"/>
        <v>0</v>
      </c>
      <c r="BM44" s="1346">
        <f t="shared" si="28"/>
        <v>0</v>
      </c>
      <c r="BN44" s="300">
        <f t="shared" si="29"/>
        <v>0</v>
      </c>
      <c r="BO44" s="300">
        <f t="shared" si="30"/>
        <v>0</v>
      </c>
      <c r="BP44" s="1344">
        <f t="shared" si="88"/>
        <v>0</v>
      </c>
      <c r="BQ44" s="301">
        <f t="shared" si="31"/>
        <v>0</v>
      </c>
      <c r="BR44" s="302" t="e">
        <f t="shared" si="32"/>
        <v>#DIV/0!</v>
      </c>
      <c r="BS44" s="1343">
        <f t="shared" si="98"/>
        <v>0</v>
      </c>
      <c r="BT44" s="1344">
        <f t="shared" si="98"/>
        <v>0</v>
      </c>
      <c r="BU44" s="1344">
        <f t="shared" si="98"/>
        <v>0</v>
      </c>
      <c r="BV44" s="303">
        <f t="shared" si="98"/>
        <v>0</v>
      </c>
      <c r="BW44" s="304">
        <f t="shared" si="34"/>
        <v>0</v>
      </c>
      <c r="BX44" s="300">
        <f t="shared" si="35"/>
        <v>0</v>
      </c>
      <c r="BY44" s="1344">
        <f t="shared" si="89"/>
        <v>0</v>
      </c>
      <c r="BZ44" s="300">
        <f t="shared" si="90"/>
        <v>0</v>
      </c>
      <c r="CA44" s="301">
        <f t="shared" si="36"/>
        <v>0</v>
      </c>
      <c r="CB44" s="305" t="e">
        <f t="shared" si="37"/>
        <v>#DIV/0!</v>
      </c>
      <c r="CC44" s="304" t="e">
        <f t="shared" si="38"/>
        <v>#DIV/0!</v>
      </c>
      <c r="CD44" s="300">
        <f t="shared" si="39"/>
        <v>0</v>
      </c>
      <c r="CE44" s="306">
        <f t="shared" si="91"/>
        <v>0</v>
      </c>
      <c r="CF44" s="306">
        <f t="shared" si="40"/>
        <v>0</v>
      </c>
      <c r="CG44" s="307" t="e">
        <f t="shared" si="41"/>
        <v>#DIV/0!</v>
      </c>
      <c r="CH44" s="307" t="e">
        <f t="shared" si="42"/>
        <v>#DIV/0!</v>
      </c>
      <c r="CI44" s="308" t="e">
        <f t="shared" si="92"/>
        <v>#DIV/0!</v>
      </c>
      <c r="CJ44" s="309" t="e">
        <f t="shared" si="43"/>
        <v>#DIV/0!</v>
      </c>
      <c r="CK44" s="175" t="e">
        <f t="shared" si="93"/>
        <v>#DIV/0!</v>
      </c>
      <c r="CL44" s="175" t="str">
        <f t="shared" si="44"/>
        <v/>
      </c>
      <c r="CM44" s="310" t="e">
        <f t="shared" si="94"/>
        <v>#DIV/0!</v>
      </c>
      <c r="CN44" s="311" t="e">
        <f t="shared" si="95"/>
        <v>#DIV/0!</v>
      </c>
      <c r="CO44" s="311">
        <f t="shared" si="96"/>
        <v>0</v>
      </c>
      <c r="CP44" s="175">
        <f t="shared" si="45"/>
        <v>1</v>
      </c>
      <c r="CQ44" s="175">
        <f t="shared" si="46"/>
        <v>1</v>
      </c>
      <c r="CR44" s="175" t="str">
        <f t="shared" si="47"/>
        <v/>
      </c>
      <c r="CS44" s="175">
        <f t="shared" si="48"/>
        <v>0</v>
      </c>
      <c r="CT44" s="312">
        <f t="shared" si="49"/>
        <v>0</v>
      </c>
      <c r="CU44" s="175" t="str">
        <f t="shared" si="50"/>
        <v>OK</v>
      </c>
      <c r="CV44" s="313">
        <f t="shared" si="51"/>
        <v>0.05</v>
      </c>
      <c r="CW44" s="312" t="e">
        <f t="shared" si="52"/>
        <v>#DIV/0!</v>
      </c>
      <c r="CX44" s="312" t="e">
        <f t="shared" si="53"/>
        <v>#DIV/0!</v>
      </c>
      <c r="CY44" s="312" t="e">
        <f t="shared" si="54"/>
        <v>#DIV/0!</v>
      </c>
      <c r="CZ44" s="312" t="e">
        <f t="shared" si="55"/>
        <v>#DIV/0!</v>
      </c>
      <c r="DA44" s="312">
        <f t="shared" si="56"/>
        <v>1</v>
      </c>
      <c r="DB44" s="312">
        <f t="shared" si="57"/>
        <v>0</v>
      </c>
      <c r="DC44" s="175" t="str">
        <f t="shared" si="58"/>
        <v>Soft</v>
      </c>
      <c r="DD44" s="175"/>
      <c r="DE44" s="175">
        <f t="shared" si="59"/>
        <v>0</v>
      </c>
      <c r="DF44" s="312" t="e">
        <f t="shared" si="60"/>
        <v>#DIV/0!</v>
      </c>
      <c r="DG44" s="312" t="e">
        <f t="shared" si="61"/>
        <v>#DIV/0!</v>
      </c>
      <c r="DH44" s="312" t="e">
        <f t="shared" si="62"/>
        <v>#DIV/0!</v>
      </c>
      <c r="DI44" s="312" t="e">
        <f t="shared" si="63"/>
        <v>#DIV/0!</v>
      </c>
      <c r="DJ44" s="312" t="e">
        <f t="shared" si="97"/>
        <v>#DIV/0!</v>
      </c>
      <c r="DK44" s="175"/>
      <c r="DL44" s="175"/>
      <c r="DM44" s="175"/>
      <c r="DN44" s="175">
        <f t="shared" si="64"/>
        <v>1</v>
      </c>
      <c r="DO44" s="312" t="e">
        <f t="shared" si="65"/>
        <v>#DIV/0!</v>
      </c>
      <c r="DP44" s="312" t="e">
        <f t="shared" si="66"/>
        <v>#DIV/0!</v>
      </c>
      <c r="DQ44" s="312" t="e">
        <f t="shared" si="67"/>
        <v>#DIV/0!</v>
      </c>
      <c r="DR44" s="312" t="e">
        <f t="shared" si="68"/>
        <v>#DIV/0!</v>
      </c>
      <c r="DS44" s="312" t="e">
        <f t="shared" si="69"/>
        <v>#DIV/0!</v>
      </c>
      <c r="DT44" s="312" t="e">
        <f t="shared" si="70"/>
        <v>#DIV/0!</v>
      </c>
      <c r="DU44" s="312">
        <f t="shared" si="71"/>
        <v>0</v>
      </c>
      <c r="DV44" s="175"/>
      <c r="DW44" s="175" t="b">
        <f t="shared" si="72"/>
        <v>1</v>
      </c>
      <c r="DX44" s="175" t="b">
        <f t="shared" si="72"/>
        <v>1</v>
      </c>
      <c r="DY44" s="175" t="b">
        <f t="shared" si="72"/>
        <v>1</v>
      </c>
      <c r="DZ44" s="175" t="b">
        <f t="shared" si="72"/>
        <v>1</v>
      </c>
      <c r="EA44" s="175" t="b">
        <f t="shared" si="72"/>
        <v>1</v>
      </c>
      <c r="EB44" s="168"/>
    </row>
    <row r="45" spans="1:132" s="140" customFormat="1" ht="18.5" hidden="1" thickBot="1" x14ac:dyDescent="0.45">
      <c r="A45" s="150"/>
      <c r="B45" s="296" t="str">
        <f t="shared" si="73"/>
        <v>-</v>
      </c>
      <c r="C45" s="279">
        <v>26</v>
      </c>
      <c r="D45" s="1557"/>
      <c r="E45" s="1558"/>
      <c r="F45" s="951"/>
      <c r="G45" s="1101"/>
      <c r="H45" s="952"/>
      <c r="I45" s="965"/>
      <c r="J45" s="1325"/>
      <c r="K45" s="1326"/>
      <c r="L45" s="1326"/>
      <c r="M45" s="1326"/>
      <c r="N45" s="1327"/>
      <c r="O45" s="974"/>
      <c r="P45" s="975"/>
      <c r="Q45" s="976"/>
      <c r="R45" s="966"/>
      <c r="S45" s="280" t="str">
        <f t="shared" si="74"/>
        <v/>
      </c>
      <c r="T45" s="281" t="str">
        <f t="shared" si="75"/>
        <v/>
      </c>
      <c r="U45" s="282">
        <f t="shared" si="76"/>
        <v>0</v>
      </c>
      <c r="V45" s="259" t="str">
        <f t="shared" si="2"/>
        <v/>
      </c>
      <c r="W45" s="260" t="str">
        <f t="shared" si="3"/>
        <v/>
      </c>
      <c r="X45" s="283">
        <f t="shared" si="4"/>
        <v>0</v>
      </c>
      <c r="Y45" s="284" t="str">
        <f t="shared" si="5"/>
        <v/>
      </c>
      <c r="Z45" s="150"/>
      <c r="AA45" s="175"/>
      <c r="AB45" s="175">
        <v>26</v>
      </c>
      <c r="AC45" s="297" t="str">
        <f t="shared" si="6"/>
        <v>-</v>
      </c>
      <c r="AD45" s="297">
        <f t="shared" si="77"/>
        <v>0</v>
      </c>
      <c r="AE45" s="297">
        <f t="shared" si="78"/>
        <v>0</v>
      </c>
      <c r="AF45" s="297"/>
      <c r="AG45" s="298">
        <f t="shared" si="79"/>
        <v>0</v>
      </c>
      <c r="AH45" s="1339">
        <f t="shared" si="7"/>
        <v>0</v>
      </c>
      <c r="AI45" s="1340">
        <f>IF(SUM(AH45:AH$99)=0,0,F45&gt;0)</f>
        <v>0</v>
      </c>
      <c r="AJ45" s="1339">
        <f t="shared" si="8"/>
        <v>0</v>
      </c>
      <c r="AK45" s="1340">
        <f>IF(SUM(AH45:AH$99)=0,0,AND(AI45=FALSE,AJ45=0,SUM(AJ45:AJ$99)&gt;0))</f>
        <v>0</v>
      </c>
      <c r="AL45" s="1340">
        <f t="shared" si="9"/>
        <v>0</v>
      </c>
      <c r="AM45" s="1340">
        <f t="shared" si="10"/>
        <v>0</v>
      </c>
      <c r="AN45" s="1341">
        <f t="shared" si="11"/>
        <v>0</v>
      </c>
      <c r="AO45" s="1341">
        <f t="shared" si="12"/>
        <v>0</v>
      </c>
      <c r="AP45" s="264">
        <f t="shared" si="13"/>
        <v>0</v>
      </c>
      <c r="AQ45" s="264">
        <f t="shared" si="80"/>
        <v>0</v>
      </c>
      <c r="AR45" s="1340">
        <f t="shared" si="14"/>
        <v>0</v>
      </c>
      <c r="AS45" s="1340" t="str">
        <f t="shared" si="81"/>
        <v/>
      </c>
      <c r="AT45" s="1340">
        <f t="shared" si="15"/>
        <v>0</v>
      </c>
      <c r="AU45" s="898">
        <f t="shared" si="82"/>
        <v>0</v>
      </c>
      <c r="AV45" s="1340">
        <f t="shared" si="16"/>
        <v>0</v>
      </c>
      <c r="AW45" s="1340">
        <f t="shared" si="17"/>
        <v>0</v>
      </c>
      <c r="AX45" s="1340">
        <f t="shared" si="18"/>
        <v>0</v>
      </c>
      <c r="AY45" s="897">
        <f t="shared" si="83"/>
        <v>0</v>
      </c>
      <c r="AZ45" s="1340">
        <f t="shared" si="19"/>
        <v>0</v>
      </c>
      <c r="BA45" s="896">
        <f t="shared" si="84"/>
        <v>0</v>
      </c>
      <c r="BB45" s="899" t="str">
        <f t="shared" si="85"/>
        <v/>
      </c>
      <c r="BC45" s="899" t="str">
        <f t="shared" si="86"/>
        <v/>
      </c>
      <c r="BD45" s="1340">
        <f t="shared" si="20"/>
        <v>0</v>
      </c>
      <c r="BE45" s="1340">
        <f t="shared" si="21"/>
        <v>0</v>
      </c>
      <c r="BF45" s="1340">
        <f t="shared" si="22"/>
        <v>0</v>
      </c>
      <c r="BG45" s="1342" t="b">
        <f t="shared" si="23"/>
        <v>0</v>
      </c>
      <c r="BH45" s="299" t="str">
        <f t="shared" si="24"/>
        <v/>
      </c>
      <c r="BI45" s="1343">
        <f t="shared" si="25"/>
        <v>0</v>
      </c>
      <c r="BJ45" s="1344">
        <f t="shared" si="26"/>
        <v>0</v>
      </c>
      <c r="BK45" s="1344">
        <f t="shared" si="87"/>
        <v>0</v>
      </c>
      <c r="BL45" s="1345">
        <f t="shared" si="27"/>
        <v>0</v>
      </c>
      <c r="BM45" s="1346">
        <f t="shared" si="28"/>
        <v>0</v>
      </c>
      <c r="BN45" s="300">
        <f t="shared" si="29"/>
        <v>0</v>
      </c>
      <c r="BO45" s="300">
        <f t="shared" si="30"/>
        <v>0</v>
      </c>
      <c r="BP45" s="1344">
        <f t="shared" si="88"/>
        <v>0</v>
      </c>
      <c r="BQ45" s="301">
        <f t="shared" si="31"/>
        <v>0</v>
      </c>
      <c r="BR45" s="302" t="e">
        <f t="shared" si="32"/>
        <v>#DIV/0!</v>
      </c>
      <c r="BS45" s="1343">
        <f t="shared" si="98"/>
        <v>0</v>
      </c>
      <c r="BT45" s="1344">
        <f t="shared" si="98"/>
        <v>0</v>
      </c>
      <c r="BU45" s="1344">
        <f t="shared" si="98"/>
        <v>0</v>
      </c>
      <c r="BV45" s="303">
        <f t="shared" si="98"/>
        <v>0</v>
      </c>
      <c r="BW45" s="304">
        <f t="shared" si="34"/>
        <v>0</v>
      </c>
      <c r="BX45" s="300">
        <f t="shared" si="35"/>
        <v>0</v>
      </c>
      <c r="BY45" s="1344">
        <f t="shared" si="89"/>
        <v>0</v>
      </c>
      <c r="BZ45" s="300">
        <f t="shared" si="90"/>
        <v>0</v>
      </c>
      <c r="CA45" s="301">
        <f t="shared" si="36"/>
        <v>0</v>
      </c>
      <c r="CB45" s="305" t="e">
        <f t="shared" si="37"/>
        <v>#DIV/0!</v>
      </c>
      <c r="CC45" s="304" t="e">
        <f t="shared" si="38"/>
        <v>#DIV/0!</v>
      </c>
      <c r="CD45" s="300">
        <f t="shared" si="39"/>
        <v>0</v>
      </c>
      <c r="CE45" s="306">
        <f t="shared" si="91"/>
        <v>0</v>
      </c>
      <c r="CF45" s="306">
        <f t="shared" si="40"/>
        <v>0</v>
      </c>
      <c r="CG45" s="307" t="e">
        <f t="shared" si="41"/>
        <v>#DIV/0!</v>
      </c>
      <c r="CH45" s="307" t="e">
        <f t="shared" si="42"/>
        <v>#DIV/0!</v>
      </c>
      <c r="CI45" s="308" t="e">
        <f t="shared" si="92"/>
        <v>#DIV/0!</v>
      </c>
      <c r="CJ45" s="309" t="e">
        <f t="shared" si="43"/>
        <v>#DIV/0!</v>
      </c>
      <c r="CK45" s="175" t="e">
        <f t="shared" si="93"/>
        <v>#DIV/0!</v>
      </c>
      <c r="CL45" s="175" t="str">
        <f t="shared" si="44"/>
        <v/>
      </c>
      <c r="CM45" s="310" t="e">
        <f t="shared" si="94"/>
        <v>#DIV/0!</v>
      </c>
      <c r="CN45" s="311" t="e">
        <f t="shared" si="95"/>
        <v>#DIV/0!</v>
      </c>
      <c r="CO45" s="311">
        <f t="shared" si="96"/>
        <v>0</v>
      </c>
      <c r="CP45" s="175">
        <f t="shared" si="45"/>
        <v>1</v>
      </c>
      <c r="CQ45" s="175">
        <f t="shared" si="46"/>
        <v>1</v>
      </c>
      <c r="CR45" s="175" t="str">
        <f t="shared" si="47"/>
        <v/>
      </c>
      <c r="CS45" s="175">
        <f t="shared" si="48"/>
        <v>0</v>
      </c>
      <c r="CT45" s="312">
        <f t="shared" si="49"/>
        <v>0</v>
      </c>
      <c r="CU45" s="175" t="str">
        <f t="shared" si="50"/>
        <v>OK</v>
      </c>
      <c r="CV45" s="313">
        <f t="shared" si="51"/>
        <v>0.05</v>
      </c>
      <c r="CW45" s="312" t="e">
        <f t="shared" si="52"/>
        <v>#DIV/0!</v>
      </c>
      <c r="CX45" s="312" t="e">
        <f t="shared" si="53"/>
        <v>#DIV/0!</v>
      </c>
      <c r="CY45" s="312" t="e">
        <f t="shared" si="54"/>
        <v>#DIV/0!</v>
      </c>
      <c r="CZ45" s="312" t="e">
        <f t="shared" si="55"/>
        <v>#DIV/0!</v>
      </c>
      <c r="DA45" s="312">
        <f t="shared" si="56"/>
        <v>1</v>
      </c>
      <c r="DB45" s="312">
        <f t="shared" si="57"/>
        <v>0</v>
      </c>
      <c r="DC45" s="175" t="str">
        <f t="shared" si="58"/>
        <v>Soft</v>
      </c>
      <c r="DD45" s="175"/>
      <c r="DE45" s="175">
        <f t="shared" si="59"/>
        <v>0</v>
      </c>
      <c r="DF45" s="312" t="e">
        <f t="shared" si="60"/>
        <v>#DIV/0!</v>
      </c>
      <c r="DG45" s="312" t="e">
        <f t="shared" si="61"/>
        <v>#DIV/0!</v>
      </c>
      <c r="DH45" s="312" t="e">
        <f t="shared" si="62"/>
        <v>#DIV/0!</v>
      </c>
      <c r="DI45" s="312" t="e">
        <f t="shared" si="63"/>
        <v>#DIV/0!</v>
      </c>
      <c r="DJ45" s="312" t="e">
        <f t="shared" si="97"/>
        <v>#DIV/0!</v>
      </c>
      <c r="DK45" s="175"/>
      <c r="DL45" s="175"/>
      <c r="DM45" s="175"/>
      <c r="DN45" s="175">
        <f t="shared" si="64"/>
        <v>1</v>
      </c>
      <c r="DO45" s="312" t="e">
        <f t="shared" si="65"/>
        <v>#DIV/0!</v>
      </c>
      <c r="DP45" s="312" t="e">
        <f t="shared" si="66"/>
        <v>#DIV/0!</v>
      </c>
      <c r="DQ45" s="312" t="e">
        <f t="shared" si="67"/>
        <v>#DIV/0!</v>
      </c>
      <c r="DR45" s="312" t="e">
        <f t="shared" si="68"/>
        <v>#DIV/0!</v>
      </c>
      <c r="DS45" s="312" t="e">
        <f t="shared" si="69"/>
        <v>#DIV/0!</v>
      </c>
      <c r="DT45" s="312" t="e">
        <f t="shared" si="70"/>
        <v>#DIV/0!</v>
      </c>
      <c r="DU45" s="312">
        <f t="shared" si="71"/>
        <v>0</v>
      </c>
      <c r="DV45" s="175"/>
      <c r="DW45" s="175" t="b">
        <f t="shared" si="72"/>
        <v>1</v>
      </c>
      <c r="DX45" s="175" t="b">
        <f t="shared" si="72"/>
        <v>1</v>
      </c>
      <c r="DY45" s="175" t="b">
        <f t="shared" si="72"/>
        <v>1</v>
      </c>
      <c r="DZ45" s="175" t="b">
        <f t="shared" si="72"/>
        <v>1</v>
      </c>
      <c r="EA45" s="175" t="b">
        <f t="shared" si="72"/>
        <v>1</v>
      </c>
      <c r="EB45" s="168"/>
    </row>
    <row r="46" spans="1:132" s="140" customFormat="1" ht="18.5" hidden="1" thickBot="1" x14ac:dyDescent="0.45">
      <c r="A46" s="150"/>
      <c r="B46" s="296" t="str">
        <f t="shared" si="73"/>
        <v>-</v>
      </c>
      <c r="C46" s="279">
        <v>27</v>
      </c>
      <c r="D46" s="1557"/>
      <c r="E46" s="1558"/>
      <c r="F46" s="951"/>
      <c r="G46" s="1101"/>
      <c r="H46" s="952"/>
      <c r="I46" s="965"/>
      <c r="J46" s="1325"/>
      <c r="K46" s="1326"/>
      <c r="L46" s="1326"/>
      <c r="M46" s="1326"/>
      <c r="N46" s="1327"/>
      <c r="O46" s="974"/>
      <c r="P46" s="975"/>
      <c r="Q46" s="976"/>
      <c r="R46" s="966"/>
      <c r="S46" s="280" t="str">
        <f t="shared" si="74"/>
        <v/>
      </c>
      <c r="T46" s="281" t="str">
        <f t="shared" si="75"/>
        <v/>
      </c>
      <c r="U46" s="282">
        <f t="shared" si="76"/>
        <v>0</v>
      </c>
      <c r="V46" s="259" t="str">
        <f t="shared" si="2"/>
        <v/>
      </c>
      <c r="W46" s="260" t="str">
        <f t="shared" si="3"/>
        <v/>
      </c>
      <c r="X46" s="283">
        <f t="shared" si="4"/>
        <v>0</v>
      </c>
      <c r="Y46" s="284" t="str">
        <f t="shared" si="5"/>
        <v/>
      </c>
      <c r="Z46" s="150"/>
      <c r="AA46" s="175"/>
      <c r="AB46" s="175">
        <v>27</v>
      </c>
      <c r="AC46" s="297" t="str">
        <f t="shared" si="6"/>
        <v>-</v>
      </c>
      <c r="AD46" s="297">
        <f t="shared" si="77"/>
        <v>0</v>
      </c>
      <c r="AE46" s="297">
        <f t="shared" si="78"/>
        <v>0</v>
      </c>
      <c r="AF46" s="297"/>
      <c r="AG46" s="298">
        <f t="shared" si="79"/>
        <v>0</v>
      </c>
      <c r="AH46" s="1339">
        <f t="shared" si="7"/>
        <v>0</v>
      </c>
      <c r="AI46" s="1340">
        <f>IF(SUM(AH46:AH$99)=0,0,F46&gt;0)</f>
        <v>0</v>
      </c>
      <c r="AJ46" s="1339">
        <f t="shared" si="8"/>
        <v>0</v>
      </c>
      <c r="AK46" s="1340">
        <f>IF(SUM(AH46:AH$99)=0,0,AND(AI46=FALSE,AJ46=0,SUM(AJ46:AJ$99)&gt;0))</f>
        <v>0</v>
      </c>
      <c r="AL46" s="1340">
        <f t="shared" si="9"/>
        <v>0</v>
      </c>
      <c r="AM46" s="1340">
        <f t="shared" si="10"/>
        <v>0</v>
      </c>
      <c r="AN46" s="1341">
        <f t="shared" si="11"/>
        <v>0</v>
      </c>
      <c r="AO46" s="1341">
        <f t="shared" si="12"/>
        <v>0</v>
      </c>
      <c r="AP46" s="264">
        <f t="shared" si="13"/>
        <v>0</v>
      </c>
      <c r="AQ46" s="264">
        <f t="shared" si="80"/>
        <v>0</v>
      </c>
      <c r="AR46" s="1340">
        <f t="shared" si="14"/>
        <v>0</v>
      </c>
      <c r="AS46" s="1340" t="str">
        <f t="shared" si="81"/>
        <v/>
      </c>
      <c r="AT46" s="1340">
        <f t="shared" si="15"/>
        <v>0</v>
      </c>
      <c r="AU46" s="898">
        <f t="shared" si="82"/>
        <v>0</v>
      </c>
      <c r="AV46" s="1340">
        <f t="shared" si="16"/>
        <v>0</v>
      </c>
      <c r="AW46" s="1340">
        <f t="shared" si="17"/>
        <v>0</v>
      </c>
      <c r="AX46" s="1340">
        <f t="shared" si="18"/>
        <v>0</v>
      </c>
      <c r="AY46" s="897">
        <f t="shared" si="83"/>
        <v>0</v>
      </c>
      <c r="AZ46" s="1340">
        <f t="shared" si="19"/>
        <v>0</v>
      </c>
      <c r="BA46" s="896">
        <f t="shared" si="84"/>
        <v>0</v>
      </c>
      <c r="BB46" s="899" t="str">
        <f t="shared" si="85"/>
        <v/>
      </c>
      <c r="BC46" s="899" t="str">
        <f t="shared" si="86"/>
        <v/>
      </c>
      <c r="BD46" s="1340">
        <f t="shared" si="20"/>
        <v>0</v>
      </c>
      <c r="BE46" s="1340">
        <f t="shared" si="21"/>
        <v>0</v>
      </c>
      <c r="BF46" s="1340">
        <f t="shared" si="22"/>
        <v>0</v>
      </c>
      <c r="BG46" s="1342" t="b">
        <f t="shared" si="23"/>
        <v>0</v>
      </c>
      <c r="BH46" s="299" t="str">
        <f t="shared" si="24"/>
        <v/>
      </c>
      <c r="BI46" s="1343">
        <f t="shared" si="25"/>
        <v>0</v>
      </c>
      <c r="BJ46" s="1344">
        <f t="shared" si="26"/>
        <v>0</v>
      </c>
      <c r="BK46" s="1344">
        <f t="shared" si="87"/>
        <v>0</v>
      </c>
      <c r="BL46" s="1345">
        <f t="shared" si="27"/>
        <v>0</v>
      </c>
      <c r="BM46" s="1346">
        <f t="shared" si="28"/>
        <v>0</v>
      </c>
      <c r="BN46" s="300">
        <f t="shared" si="29"/>
        <v>0</v>
      </c>
      <c r="BO46" s="300">
        <f t="shared" si="30"/>
        <v>0</v>
      </c>
      <c r="BP46" s="1344">
        <f t="shared" si="88"/>
        <v>0</v>
      </c>
      <c r="BQ46" s="301">
        <f t="shared" si="31"/>
        <v>0</v>
      </c>
      <c r="BR46" s="302" t="e">
        <f t="shared" si="32"/>
        <v>#DIV/0!</v>
      </c>
      <c r="BS46" s="1343">
        <f t="shared" si="98"/>
        <v>0</v>
      </c>
      <c r="BT46" s="1344">
        <f t="shared" si="98"/>
        <v>0</v>
      </c>
      <c r="BU46" s="1344">
        <f t="shared" si="98"/>
        <v>0</v>
      </c>
      <c r="BV46" s="303">
        <f t="shared" si="98"/>
        <v>0</v>
      </c>
      <c r="BW46" s="304">
        <f t="shared" si="34"/>
        <v>0</v>
      </c>
      <c r="BX46" s="300">
        <f t="shared" si="35"/>
        <v>0</v>
      </c>
      <c r="BY46" s="1344">
        <f t="shared" si="89"/>
        <v>0</v>
      </c>
      <c r="BZ46" s="300">
        <f t="shared" si="90"/>
        <v>0</v>
      </c>
      <c r="CA46" s="301">
        <f t="shared" si="36"/>
        <v>0</v>
      </c>
      <c r="CB46" s="305" t="e">
        <f t="shared" si="37"/>
        <v>#DIV/0!</v>
      </c>
      <c r="CC46" s="304" t="e">
        <f t="shared" si="38"/>
        <v>#DIV/0!</v>
      </c>
      <c r="CD46" s="300">
        <f t="shared" si="39"/>
        <v>0</v>
      </c>
      <c r="CE46" s="306">
        <f t="shared" si="91"/>
        <v>0</v>
      </c>
      <c r="CF46" s="306">
        <f t="shared" si="40"/>
        <v>0</v>
      </c>
      <c r="CG46" s="307" t="e">
        <f t="shared" si="41"/>
        <v>#DIV/0!</v>
      </c>
      <c r="CH46" s="307" t="e">
        <f t="shared" si="42"/>
        <v>#DIV/0!</v>
      </c>
      <c r="CI46" s="308" t="e">
        <f t="shared" si="92"/>
        <v>#DIV/0!</v>
      </c>
      <c r="CJ46" s="309" t="e">
        <f t="shared" si="43"/>
        <v>#DIV/0!</v>
      </c>
      <c r="CK46" s="175" t="e">
        <f t="shared" si="93"/>
        <v>#DIV/0!</v>
      </c>
      <c r="CL46" s="175" t="str">
        <f t="shared" si="44"/>
        <v/>
      </c>
      <c r="CM46" s="310" t="e">
        <f t="shared" si="94"/>
        <v>#DIV/0!</v>
      </c>
      <c r="CN46" s="311" t="e">
        <f t="shared" si="95"/>
        <v>#DIV/0!</v>
      </c>
      <c r="CO46" s="311">
        <f t="shared" si="96"/>
        <v>0</v>
      </c>
      <c r="CP46" s="175">
        <f t="shared" si="45"/>
        <v>1</v>
      </c>
      <c r="CQ46" s="175">
        <f t="shared" si="46"/>
        <v>1</v>
      </c>
      <c r="CR46" s="175" t="str">
        <f t="shared" si="47"/>
        <v/>
      </c>
      <c r="CS46" s="175">
        <f t="shared" si="48"/>
        <v>0</v>
      </c>
      <c r="CT46" s="312">
        <f t="shared" si="49"/>
        <v>0</v>
      </c>
      <c r="CU46" s="175" t="str">
        <f t="shared" si="50"/>
        <v>OK</v>
      </c>
      <c r="CV46" s="313">
        <f t="shared" si="51"/>
        <v>0.05</v>
      </c>
      <c r="CW46" s="312" t="e">
        <f t="shared" si="52"/>
        <v>#DIV/0!</v>
      </c>
      <c r="CX46" s="312" t="e">
        <f t="shared" si="53"/>
        <v>#DIV/0!</v>
      </c>
      <c r="CY46" s="312" t="e">
        <f t="shared" si="54"/>
        <v>#DIV/0!</v>
      </c>
      <c r="CZ46" s="312" t="e">
        <f t="shared" si="55"/>
        <v>#DIV/0!</v>
      </c>
      <c r="DA46" s="312">
        <f t="shared" si="56"/>
        <v>1</v>
      </c>
      <c r="DB46" s="312">
        <f t="shared" si="57"/>
        <v>0</v>
      </c>
      <c r="DC46" s="175" t="str">
        <f t="shared" si="58"/>
        <v>Soft</v>
      </c>
      <c r="DD46" s="175"/>
      <c r="DE46" s="175">
        <f t="shared" si="59"/>
        <v>0</v>
      </c>
      <c r="DF46" s="312" t="e">
        <f t="shared" si="60"/>
        <v>#DIV/0!</v>
      </c>
      <c r="DG46" s="312" t="e">
        <f t="shared" si="61"/>
        <v>#DIV/0!</v>
      </c>
      <c r="DH46" s="312" t="e">
        <f t="shared" si="62"/>
        <v>#DIV/0!</v>
      </c>
      <c r="DI46" s="312" t="e">
        <f t="shared" si="63"/>
        <v>#DIV/0!</v>
      </c>
      <c r="DJ46" s="312" t="e">
        <f t="shared" si="97"/>
        <v>#DIV/0!</v>
      </c>
      <c r="DK46" s="175"/>
      <c r="DL46" s="175"/>
      <c r="DM46" s="175"/>
      <c r="DN46" s="175">
        <f t="shared" si="64"/>
        <v>1</v>
      </c>
      <c r="DO46" s="312" t="e">
        <f t="shared" si="65"/>
        <v>#DIV/0!</v>
      </c>
      <c r="DP46" s="312" t="e">
        <f t="shared" si="66"/>
        <v>#DIV/0!</v>
      </c>
      <c r="DQ46" s="312" t="e">
        <f t="shared" si="67"/>
        <v>#DIV/0!</v>
      </c>
      <c r="DR46" s="312" t="e">
        <f t="shared" si="68"/>
        <v>#DIV/0!</v>
      </c>
      <c r="DS46" s="312" t="e">
        <f t="shared" si="69"/>
        <v>#DIV/0!</v>
      </c>
      <c r="DT46" s="312" t="e">
        <f t="shared" si="70"/>
        <v>#DIV/0!</v>
      </c>
      <c r="DU46" s="312">
        <f t="shared" si="71"/>
        <v>0</v>
      </c>
      <c r="DV46" s="175"/>
      <c r="DW46" s="175" t="b">
        <f t="shared" si="72"/>
        <v>1</v>
      </c>
      <c r="DX46" s="175" t="b">
        <f t="shared" si="72"/>
        <v>1</v>
      </c>
      <c r="DY46" s="175" t="b">
        <f t="shared" si="72"/>
        <v>1</v>
      </c>
      <c r="DZ46" s="175" t="b">
        <f t="shared" si="72"/>
        <v>1</v>
      </c>
      <c r="EA46" s="175" t="b">
        <f t="shared" si="72"/>
        <v>1</v>
      </c>
      <c r="EB46" s="168"/>
    </row>
    <row r="47" spans="1:132" s="140" customFormat="1" ht="18.5" hidden="1" thickBot="1" x14ac:dyDescent="0.45">
      <c r="A47" s="150"/>
      <c r="B47" s="296" t="str">
        <f t="shared" si="73"/>
        <v>-</v>
      </c>
      <c r="C47" s="279">
        <v>28</v>
      </c>
      <c r="D47" s="1557"/>
      <c r="E47" s="1562"/>
      <c r="F47" s="951"/>
      <c r="G47" s="1101"/>
      <c r="H47" s="952"/>
      <c r="I47" s="965"/>
      <c r="J47" s="1325"/>
      <c r="K47" s="1326"/>
      <c r="L47" s="1326"/>
      <c r="M47" s="1326"/>
      <c r="N47" s="1327"/>
      <c r="O47" s="974"/>
      <c r="P47" s="975"/>
      <c r="Q47" s="976"/>
      <c r="R47" s="966"/>
      <c r="S47" s="280" t="str">
        <f t="shared" si="74"/>
        <v/>
      </c>
      <c r="T47" s="281" t="str">
        <f t="shared" si="75"/>
        <v/>
      </c>
      <c r="U47" s="282">
        <f t="shared" si="76"/>
        <v>0</v>
      </c>
      <c r="V47" s="259" t="str">
        <f t="shared" si="2"/>
        <v/>
      </c>
      <c r="W47" s="260" t="str">
        <f t="shared" si="3"/>
        <v/>
      </c>
      <c r="X47" s="283">
        <f t="shared" si="4"/>
        <v>0</v>
      </c>
      <c r="Y47" s="284" t="str">
        <f t="shared" si="5"/>
        <v/>
      </c>
      <c r="Z47" s="150"/>
      <c r="AA47" s="175"/>
      <c r="AB47" s="175">
        <v>28</v>
      </c>
      <c r="AC47" s="297" t="str">
        <f t="shared" si="6"/>
        <v>-</v>
      </c>
      <c r="AD47" s="297">
        <f t="shared" si="77"/>
        <v>0</v>
      </c>
      <c r="AE47" s="297">
        <f t="shared" si="78"/>
        <v>0</v>
      </c>
      <c r="AF47" s="297"/>
      <c r="AG47" s="298">
        <f t="shared" si="79"/>
        <v>0</v>
      </c>
      <c r="AH47" s="1339">
        <f t="shared" si="7"/>
        <v>0</v>
      </c>
      <c r="AI47" s="1340">
        <f>IF(SUM(AH47:AH$99)=0,0,F47&gt;0)</f>
        <v>0</v>
      </c>
      <c r="AJ47" s="1339">
        <f t="shared" si="8"/>
        <v>0</v>
      </c>
      <c r="AK47" s="1340">
        <f>IF(SUM(AH47:AH$99)=0,0,AND(AI47=FALSE,AJ47=0,SUM(AJ47:AJ$99)&gt;0))</f>
        <v>0</v>
      </c>
      <c r="AL47" s="1340">
        <f t="shared" si="9"/>
        <v>0</v>
      </c>
      <c r="AM47" s="1340">
        <f t="shared" si="10"/>
        <v>0</v>
      </c>
      <c r="AN47" s="1341">
        <f t="shared" si="11"/>
        <v>0</v>
      </c>
      <c r="AO47" s="1341">
        <f t="shared" si="12"/>
        <v>0</v>
      </c>
      <c r="AP47" s="264">
        <f t="shared" si="13"/>
        <v>0</v>
      </c>
      <c r="AQ47" s="264">
        <f t="shared" si="80"/>
        <v>0</v>
      </c>
      <c r="AR47" s="1340">
        <f t="shared" si="14"/>
        <v>0</v>
      </c>
      <c r="AS47" s="1340" t="str">
        <f t="shared" si="81"/>
        <v/>
      </c>
      <c r="AT47" s="1340">
        <f t="shared" si="15"/>
        <v>0</v>
      </c>
      <c r="AU47" s="898">
        <f t="shared" si="82"/>
        <v>0</v>
      </c>
      <c r="AV47" s="1340">
        <f t="shared" si="16"/>
        <v>0</v>
      </c>
      <c r="AW47" s="1340">
        <f t="shared" si="17"/>
        <v>0</v>
      </c>
      <c r="AX47" s="1340">
        <f t="shared" si="18"/>
        <v>0</v>
      </c>
      <c r="AY47" s="897">
        <f t="shared" si="83"/>
        <v>0</v>
      </c>
      <c r="AZ47" s="1340">
        <f t="shared" si="19"/>
        <v>0</v>
      </c>
      <c r="BA47" s="896">
        <f t="shared" si="84"/>
        <v>0</v>
      </c>
      <c r="BB47" s="899" t="str">
        <f t="shared" si="85"/>
        <v/>
      </c>
      <c r="BC47" s="899" t="str">
        <f t="shared" si="86"/>
        <v/>
      </c>
      <c r="BD47" s="1340">
        <f t="shared" si="20"/>
        <v>0</v>
      </c>
      <c r="BE47" s="1340">
        <f t="shared" si="21"/>
        <v>0</v>
      </c>
      <c r="BF47" s="1340">
        <f t="shared" si="22"/>
        <v>0</v>
      </c>
      <c r="BG47" s="1342" t="b">
        <f t="shared" si="23"/>
        <v>0</v>
      </c>
      <c r="BH47" s="299" t="str">
        <f t="shared" si="24"/>
        <v/>
      </c>
      <c r="BI47" s="1343">
        <f t="shared" si="25"/>
        <v>0</v>
      </c>
      <c r="BJ47" s="1344">
        <f t="shared" si="26"/>
        <v>0</v>
      </c>
      <c r="BK47" s="1344">
        <f t="shared" si="87"/>
        <v>0</v>
      </c>
      <c r="BL47" s="1345">
        <f t="shared" si="27"/>
        <v>0</v>
      </c>
      <c r="BM47" s="1346">
        <f t="shared" si="28"/>
        <v>0</v>
      </c>
      <c r="BN47" s="300">
        <f t="shared" si="29"/>
        <v>0</v>
      </c>
      <c r="BO47" s="300">
        <f t="shared" si="30"/>
        <v>0</v>
      </c>
      <c r="BP47" s="1344">
        <f t="shared" si="88"/>
        <v>0</v>
      </c>
      <c r="BQ47" s="301">
        <f t="shared" si="31"/>
        <v>0</v>
      </c>
      <c r="BR47" s="302" t="e">
        <f t="shared" si="32"/>
        <v>#DIV/0!</v>
      </c>
      <c r="BS47" s="1343">
        <f t="shared" si="98"/>
        <v>0</v>
      </c>
      <c r="BT47" s="1344">
        <f t="shared" si="98"/>
        <v>0</v>
      </c>
      <c r="BU47" s="1344">
        <f t="shared" si="98"/>
        <v>0</v>
      </c>
      <c r="BV47" s="303">
        <f t="shared" si="98"/>
        <v>0</v>
      </c>
      <c r="BW47" s="304">
        <f t="shared" si="34"/>
        <v>0</v>
      </c>
      <c r="BX47" s="300">
        <f t="shared" si="35"/>
        <v>0</v>
      </c>
      <c r="BY47" s="1344">
        <f t="shared" si="89"/>
        <v>0</v>
      </c>
      <c r="BZ47" s="300">
        <f t="shared" si="90"/>
        <v>0</v>
      </c>
      <c r="CA47" s="301">
        <f t="shared" si="36"/>
        <v>0</v>
      </c>
      <c r="CB47" s="305" t="e">
        <f t="shared" si="37"/>
        <v>#DIV/0!</v>
      </c>
      <c r="CC47" s="304" t="e">
        <f t="shared" si="38"/>
        <v>#DIV/0!</v>
      </c>
      <c r="CD47" s="300">
        <f t="shared" si="39"/>
        <v>0</v>
      </c>
      <c r="CE47" s="306">
        <f t="shared" si="91"/>
        <v>0</v>
      </c>
      <c r="CF47" s="306">
        <f t="shared" si="40"/>
        <v>0</v>
      </c>
      <c r="CG47" s="307" t="e">
        <f t="shared" si="41"/>
        <v>#DIV/0!</v>
      </c>
      <c r="CH47" s="307" t="e">
        <f t="shared" si="42"/>
        <v>#DIV/0!</v>
      </c>
      <c r="CI47" s="308" t="e">
        <f t="shared" si="92"/>
        <v>#DIV/0!</v>
      </c>
      <c r="CJ47" s="309" t="e">
        <f t="shared" si="43"/>
        <v>#DIV/0!</v>
      </c>
      <c r="CK47" s="175" t="e">
        <f t="shared" si="93"/>
        <v>#DIV/0!</v>
      </c>
      <c r="CL47" s="175" t="str">
        <f t="shared" si="44"/>
        <v/>
      </c>
      <c r="CM47" s="310" t="e">
        <f t="shared" si="94"/>
        <v>#DIV/0!</v>
      </c>
      <c r="CN47" s="311" t="e">
        <f t="shared" si="95"/>
        <v>#DIV/0!</v>
      </c>
      <c r="CO47" s="311">
        <f t="shared" si="96"/>
        <v>0</v>
      </c>
      <c r="CP47" s="175">
        <f t="shared" si="45"/>
        <v>1</v>
      </c>
      <c r="CQ47" s="175">
        <f t="shared" si="46"/>
        <v>1</v>
      </c>
      <c r="CR47" s="175" t="str">
        <f t="shared" si="47"/>
        <v/>
      </c>
      <c r="CS47" s="175">
        <f t="shared" si="48"/>
        <v>0</v>
      </c>
      <c r="CT47" s="312">
        <f t="shared" si="49"/>
        <v>0</v>
      </c>
      <c r="CU47" s="175" t="str">
        <f t="shared" si="50"/>
        <v>OK</v>
      </c>
      <c r="CV47" s="313">
        <f t="shared" si="51"/>
        <v>0.05</v>
      </c>
      <c r="CW47" s="312" t="e">
        <f t="shared" si="52"/>
        <v>#DIV/0!</v>
      </c>
      <c r="CX47" s="312" t="e">
        <f t="shared" si="53"/>
        <v>#DIV/0!</v>
      </c>
      <c r="CY47" s="312" t="e">
        <f t="shared" si="54"/>
        <v>#DIV/0!</v>
      </c>
      <c r="CZ47" s="312" t="e">
        <f t="shared" si="55"/>
        <v>#DIV/0!</v>
      </c>
      <c r="DA47" s="312">
        <f t="shared" si="56"/>
        <v>1</v>
      </c>
      <c r="DB47" s="312">
        <f t="shared" si="57"/>
        <v>0</v>
      </c>
      <c r="DC47" s="175" t="str">
        <f t="shared" si="58"/>
        <v>Soft</v>
      </c>
      <c r="DD47" s="175"/>
      <c r="DE47" s="175">
        <f t="shared" si="59"/>
        <v>0</v>
      </c>
      <c r="DF47" s="312" t="e">
        <f t="shared" si="60"/>
        <v>#DIV/0!</v>
      </c>
      <c r="DG47" s="312" t="e">
        <f t="shared" si="61"/>
        <v>#DIV/0!</v>
      </c>
      <c r="DH47" s="312" t="e">
        <f t="shared" si="62"/>
        <v>#DIV/0!</v>
      </c>
      <c r="DI47" s="312" t="e">
        <f t="shared" si="63"/>
        <v>#DIV/0!</v>
      </c>
      <c r="DJ47" s="312" t="e">
        <f t="shared" si="97"/>
        <v>#DIV/0!</v>
      </c>
      <c r="DK47" s="175"/>
      <c r="DL47" s="175"/>
      <c r="DM47" s="175"/>
      <c r="DN47" s="175">
        <f t="shared" si="64"/>
        <v>1</v>
      </c>
      <c r="DO47" s="312" t="e">
        <f t="shared" si="65"/>
        <v>#DIV/0!</v>
      </c>
      <c r="DP47" s="312" t="e">
        <f t="shared" si="66"/>
        <v>#DIV/0!</v>
      </c>
      <c r="DQ47" s="312" t="e">
        <f t="shared" si="67"/>
        <v>#DIV/0!</v>
      </c>
      <c r="DR47" s="312" t="e">
        <f t="shared" si="68"/>
        <v>#DIV/0!</v>
      </c>
      <c r="DS47" s="312" t="e">
        <f t="shared" si="69"/>
        <v>#DIV/0!</v>
      </c>
      <c r="DT47" s="312" t="e">
        <f t="shared" si="70"/>
        <v>#DIV/0!</v>
      </c>
      <c r="DU47" s="312">
        <f t="shared" si="71"/>
        <v>0</v>
      </c>
      <c r="DV47" s="175"/>
      <c r="DW47" s="175" t="b">
        <f t="shared" si="72"/>
        <v>1</v>
      </c>
      <c r="DX47" s="175" t="b">
        <f t="shared" si="72"/>
        <v>1</v>
      </c>
      <c r="DY47" s="175" t="b">
        <f t="shared" si="72"/>
        <v>1</v>
      </c>
      <c r="DZ47" s="175" t="b">
        <f t="shared" si="72"/>
        <v>1</v>
      </c>
      <c r="EA47" s="175" t="b">
        <f t="shared" si="72"/>
        <v>1</v>
      </c>
      <c r="EB47" s="168"/>
    </row>
    <row r="48" spans="1:132" s="140" customFormat="1" ht="18.5" hidden="1" thickBot="1" x14ac:dyDescent="0.45">
      <c r="A48" s="150"/>
      <c r="B48" s="296" t="str">
        <f t="shared" si="73"/>
        <v>-</v>
      </c>
      <c r="C48" s="279">
        <v>29</v>
      </c>
      <c r="D48" s="1557"/>
      <c r="E48" s="1558"/>
      <c r="F48" s="951"/>
      <c r="G48" s="1101"/>
      <c r="H48" s="952"/>
      <c r="I48" s="965"/>
      <c r="J48" s="1325"/>
      <c r="K48" s="1326"/>
      <c r="L48" s="1326"/>
      <c r="M48" s="1326"/>
      <c r="N48" s="1327"/>
      <c r="O48" s="974"/>
      <c r="P48" s="975"/>
      <c r="Q48" s="976"/>
      <c r="R48" s="966"/>
      <c r="S48" s="280" t="str">
        <f t="shared" si="74"/>
        <v/>
      </c>
      <c r="T48" s="281" t="str">
        <f t="shared" si="75"/>
        <v/>
      </c>
      <c r="U48" s="282">
        <f t="shared" si="76"/>
        <v>0</v>
      </c>
      <c r="V48" s="259" t="str">
        <f t="shared" si="2"/>
        <v/>
      </c>
      <c r="W48" s="260" t="str">
        <f t="shared" si="3"/>
        <v/>
      </c>
      <c r="X48" s="283">
        <f t="shared" si="4"/>
        <v>0</v>
      </c>
      <c r="Y48" s="284" t="str">
        <f t="shared" si="5"/>
        <v/>
      </c>
      <c r="Z48" s="150"/>
      <c r="AA48" s="175"/>
      <c r="AB48" s="175">
        <v>29</v>
      </c>
      <c r="AC48" s="297" t="str">
        <f t="shared" si="6"/>
        <v>-</v>
      </c>
      <c r="AD48" s="297">
        <f t="shared" si="77"/>
        <v>0</v>
      </c>
      <c r="AE48" s="297">
        <f t="shared" si="78"/>
        <v>0</v>
      </c>
      <c r="AF48" s="297"/>
      <c r="AG48" s="298">
        <f t="shared" si="79"/>
        <v>0</v>
      </c>
      <c r="AH48" s="1339">
        <f t="shared" si="7"/>
        <v>0</v>
      </c>
      <c r="AI48" s="1340">
        <f>IF(SUM(AH48:AH$99)=0,0,F48&gt;0)</f>
        <v>0</v>
      </c>
      <c r="AJ48" s="1339">
        <f t="shared" si="8"/>
        <v>0</v>
      </c>
      <c r="AK48" s="1340">
        <f>IF(SUM(AH48:AH$99)=0,0,AND(AI48=FALSE,AJ48=0,SUM(AJ48:AJ$99)&gt;0))</f>
        <v>0</v>
      </c>
      <c r="AL48" s="1340">
        <f t="shared" si="9"/>
        <v>0</v>
      </c>
      <c r="AM48" s="1340">
        <f t="shared" si="10"/>
        <v>0</v>
      </c>
      <c r="AN48" s="1341">
        <f t="shared" si="11"/>
        <v>0</v>
      </c>
      <c r="AO48" s="1341">
        <f t="shared" si="12"/>
        <v>0</v>
      </c>
      <c r="AP48" s="264">
        <f t="shared" si="13"/>
        <v>0</v>
      </c>
      <c r="AQ48" s="264">
        <f t="shared" si="80"/>
        <v>0</v>
      </c>
      <c r="AR48" s="1340">
        <f t="shared" si="14"/>
        <v>0</v>
      </c>
      <c r="AS48" s="1340" t="str">
        <f t="shared" si="81"/>
        <v/>
      </c>
      <c r="AT48" s="1340">
        <f t="shared" si="15"/>
        <v>0</v>
      </c>
      <c r="AU48" s="898">
        <f t="shared" si="82"/>
        <v>0</v>
      </c>
      <c r="AV48" s="1340">
        <f t="shared" si="16"/>
        <v>0</v>
      </c>
      <c r="AW48" s="1340">
        <f t="shared" si="17"/>
        <v>0</v>
      </c>
      <c r="AX48" s="1340">
        <f t="shared" si="18"/>
        <v>0</v>
      </c>
      <c r="AY48" s="897">
        <f t="shared" si="83"/>
        <v>0</v>
      </c>
      <c r="AZ48" s="1340">
        <f t="shared" si="19"/>
        <v>0</v>
      </c>
      <c r="BA48" s="896">
        <f t="shared" si="84"/>
        <v>0</v>
      </c>
      <c r="BB48" s="899" t="str">
        <f t="shared" si="85"/>
        <v/>
      </c>
      <c r="BC48" s="899" t="str">
        <f t="shared" si="86"/>
        <v/>
      </c>
      <c r="BD48" s="1340">
        <f t="shared" si="20"/>
        <v>0</v>
      </c>
      <c r="BE48" s="1340">
        <f t="shared" si="21"/>
        <v>0</v>
      </c>
      <c r="BF48" s="1340">
        <f t="shared" si="22"/>
        <v>0</v>
      </c>
      <c r="BG48" s="1342" t="b">
        <f t="shared" si="23"/>
        <v>0</v>
      </c>
      <c r="BH48" s="299" t="str">
        <f t="shared" si="24"/>
        <v/>
      </c>
      <c r="BI48" s="1343">
        <f t="shared" si="25"/>
        <v>0</v>
      </c>
      <c r="BJ48" s="1344">
        <f t="shared" si="26"/>
        <v>0</v>
      </c>
      <c r="BK48" s="1344">
        <f t="shared" si="87"/>
        <v>0</v>
      </c>
      <c r="BL48" s="1345">
        <f t="shared" si="27"/>
        <v>0</v>
      </c>
      <c r="BM48" s="1346">
        <f t="shared" si="28"/>
        <v>0</v>
      </c>
      <c r="BN48" s="300">
        <f t="shared" si="29"/>
        <v>0</v>
      </c>
      <c r="BO48" s="300">
        <f t="shared" si="30"/>
        <v>0</v>
      </c>
      <c r="BP48" s="1344">
        <f t="shared" si="88"/>
        <v>0</v>
      </c>
      <c r="BQ48" s="301">
        <f t="shared" si="31"/>
        <v>0</v>
      </c>
      <c r="BR48" s="302" t="e">
        <f t="shared" si="32"/>
        <v>#DIV/0!</v>
      </c>
      <c r="BS48" s="1343">
        <f t="shared" si="98"/>
        <v>0</v>
      </c>
      <c r="BT48" s="1344">
        <f t="shared" si="98"/>
        <v>0</v>
      </c>
      <c r="BU48" s="1344">
        <f t="shared" si="98"/>
        <v>0</v>
      </c>
      <c r="BV48" s="303">
        <f t="shared" si="98"/>
        <v>0</v>
      </c>
      <c r="BW48" s="304">
        <f t="shared" si="34"/>
        <v>0</v>
      </c>
      <c r="BX48" s="300">
        <f t="shared" si="35"/>
        <v>0</v>
      </c>
      <c r="BY48" s="1344">
        <f t="shared" si="89"/>
        <v>0</v>
      </c>
      <c r="BZ48" s="300">
        <f t="shared" si="90"/>
        <v>0</v>
      </c>
      <c r="CA48" s="301">
        <f t="shared" si="36"/>
        <v>0</v>
      </c>
      <c r="CB48" s="305" t="e">
        <f t="shared" si="37"/>
        <v>#DIV/0!</v>
      </c>
      <c r="CC48" s="304" t="e">
        <f t="shared" si="38"/>
        <v>#DIV/0!</v>
      </c>
      <c r="CD48" s="300">
        <f t="shared" si="39"/>
        <v>0</v>
      </c>
      <c r="CE48" s="306">
        <f t="shared" si="91"/>
        <v>0</v>
      </c>
      <c r="CF48" s="306">
        <f t="shared" si="40"/>
        <v>0</v>
      </c>
      <c r="CG48" s="307" t="e">
        <f t="shared" si="41"/>
        <v>#DIV/0!</v>
      </c>
      <c r="CH48" s="307" t="e">
        <f t="shared" si="42"/>
        <v>#DIV/0!</v>
      </c>
      <c r="CI48" s="308" t="e">
        <f t="shared" si="92"/>
        <v>#DIV/0!</v>
      </c>
      <c r="CJ48" s="309" t="e">
        <f t="shared" si="43"/>
        <v>#DIV/0!</v>
      </c>
      <c r="CK48" s="175" t="e">
        <f t="shared" si="93"/>
        <v>#DIV/0!</v>
      </c>
      <c r="CL48" s="175" t="str">
        <f t="shared" si="44"/>
        <v/>
      </c>
      <c r="CM48" s="310" t="e">
        <f t="shared" si="94"/>
        <v>#DIV/0!</v>
      </c>
      <c r="CN48" s="311" t="e">
        <f t="shared" si="95"/>
        <v>#DIV/0!</v>
      </c>
      <c r="CO48" s="311">
        <f t="shared" si="96"/>
        <v>0</v>
      </c>
      <c r="CP48" s="175">
        <f t="shared" si="45"/>
        <v>1</v>
      </c>
      <c r="CQ48" s="175">
        <f t="shared" si="46"/>
        <v>1</v>
      </c>
      <c r="CR48" s="175" t="str">
        <f t="shared" si="47"/>
        <v/>
      </c>
      <c r="CS48" s="175">
        <f t="shared" si="48"/>
        <v>0</v>
      </c>
      <c r="CT48" s="312">
        <f t="shared" si="49"/>
        <v>0</v>
      </c>
      <c r="CU48" s="175" t="str">
        <f t="shared" si="50"/>
        <v>OK</v>
      </c>
      <c r="CV48" s="313">
        <f t="shared" si="51"/>
        <v>0.05</v>
      </c>
      <c r="CW48" s="312" t="e">
        <f t="shared" si="52"/>
        <v>#DIV/0!</v>
      </c>
      <c r="CX48" s="312" t="e">
        <f t="shared" si="53"/>
        <v>#DIV/0!</v>
      </c>
      <c r="CY48" s="312" t="e">
        <f t="shared" si="54"/>
        <v>#DIV/0!</v>
      </c>
      <c r="CZ48" s="312" t="e">
        <f t="shared" si="55"/>
        <v>#DIV/0!</v>
      </c>
      <c r="DA48" s="312">
        <f t="shared" si="56"/>
        <v>1</v>
      </c>
      <c r="DB48" s="312">
        <f t="shared" si="57"/>
        <v>0</v>
      </c>
      <c r="DC48" s="175" t="str">
        <f t="shared" si="58"/>
        <v>Soft</v>
      </c>
      <c r="DD48" s="175"/>
      <c r="DE48" s="175">
        <f t="shared" si="59"/>
        <v>0</v>
      </c>
      <c r="DF48" s="312" t="e">
        <f t="shared" si="60"/>
        <v>#DIV/0!</v>
      </c>
      <c r="DG48" s="312" t="e">
        <f t="shared" si="61"/>
        <v>#DIV/0!</v>
      </c>
      <c r="DH48" s="312" t="e">
        <f t="shared" si="62"/>
        <v>#DIV/0!</v>
      </c>
      <c r="DI48" s="312" t="e">
        <f t="shared" si="63"/>
        <v>#DIV/0!</v>
      </c>
      <c r="DJ48" s="312" t="e">
        <f t="shared" si="97"/>
        <v>#DIV/0!</v>
      </c>
      <c r="DK48" s="175"/>
      <c r="DL48" s="175"/>
      <c r="DM48" s="175"/>
      <c r="DN48" s="175">
        <f t="shared" si="64"/>
        <v>1</v>
      </c>
      <c r="DO48" s="312" t="e">
        <f t="shared" si="65"/>
        <v>#DIV/0!</v>
      </c>
      <c r="DP48" s="312" t="e">
        <f t="shared" si="66"/>
        <v>#DIV/0!</v>
      </c>
      <c r="DQ48" s="312" t="e">
        <f t="shared" si="67"/>
        <v>#DIV/0!</v>
      </c>
      <c r="DR48" s="312" t="e">
        <f t="shared" si="68"/>
        <v>#DIV/0!</v>
      </c>
      <c r="DS48" s="312" t="e">
        <f t="shared" si="69"/>
        <v>#DIV/0!</v>
      </c>
      <c r="DT48" s="312" t="e">
        <f t="shared" si="70"/>
        <v>#DIV/0!</v>
      </c>
      <c r="DU48" s="312">
        <f t="shared" si="71"/>
        <v>0</v>
      </c>
      <c r="DV48" s="175"/>
      <c r="DW48" s="175" t="b">
        <f t="shared" si="72"/>
        <v>1</v>
      </c>
      <c r="DX48" s="175" t="b">
        <f t="shared" si="72"/>
        <v>1</v>
      </c>
      <c r="DY48" s="175" t="b">
        <f t="shared" si="72"/>
        <v>1</v>
      </c>
      <c r="DZ48" s="175" t="b">
        <f t="shared" si="72"/>
        <v>1</v>
      </c>
      <c r="EA48" s="175" t="b">
        <f t="shared" si="72"/>
        <v>1</v>
      </c>
      <c r="EB48" s="168"/>
    </row>
    <row r="49" spans="1:132" s="140" customFormat="1" ht="18.5" hidden="1" thickBot="1" x14ac:dyDescent="0.45">
      <c r="A49" s="150"/>
      <c r="B49" s="296" t="str">
        <f t="shared" si="73"/>
        <v>-</v>
      </c>
      <c r="C49" s="279">
        <v>30</v>
      </c>
      <c r="D49" s="1557"/>
      <c r="E49" s="1558"/>
      <c r="F49" s="951"/>
      <c r="G49" s="1101"/>
      <c r="H49" s="952"/>
      <c r="I49" s="965"/>
      <c r="J49" s="1325"/>
      <c r="K49" s="1326"/>
      <c r="L49" s="1326"/>
      <c r="M49" s="1326"/>
      <c r="N49" s="1327"/>
      <c r="O49" s="974"/>
      <c r="P49" s="975"/>
      <c r="Q49" s="976"/>
      <c r="R49" s="966"/>
      <c r="S49" s="280" t="str">
        <f t="shared" si="74"/>
        <v/>
      </c>
      <c r="T49" s="281" t="str">
        <f t="shared" si="75"/>
        <v/>
      </c>
      <c r="U49" s="282">
        <f t="shared" si="76"/>
        <v>0</v>
      </c>
      <c r="V49" s="259" t="str">
        <f t="shared" si="2"/>
        <v/>
      </c>
      <c r="W49" s="260" t="str">
        <f t="shared" si="3"/>
        <v/>
      </c>
      <c r="X49" s="283">
        <f t="shared" si="4"/>
        <v>0</v>
      </c>
      <c r="Y49" s="284" t="str">
        <f t="shared" si="5"/>
        <v/>
      </c>
      <c r="Z49" s="150"/>
      <c r="AA49" s="175"/>
      <c r="AB49" s="175">
        <v>30</v>
      </c>
      <c r="AC49" s="297" t="str">
        <f t="shared" si="6"/>
        <v>-</v>
      </c>
      <c r="AD49" s="297">
        <f t="shared" si="77"/>
        <v>0</v>
      </c>
      <c r="AE49" s="297">
        <f t="shared" si="78"/>
        <v>0</v>
      </c>
      <c r="AF49" s="297"/>
      <c r="AG49" s="298">
        <f t="shared" si="79"/>
        <v>0</v>
      </c>
      <c r="AH49" s="1339">
        <f t="shared" si="7"/>
        <v>0</v>
      </c>
      <c r="AI49" s="1340">
        <f>IF(SUM(AH49:AH$99)=0,0,F49&gt;0)</f>
        <v>0</v>
      </c>
      <c r="AJ49" s="1339">
        <f t="shared" si="8"/>
        <v>0</v>
      </c>
      <c r="AK49" s="1340">
        <f>IF(SUM(AH49:AH$99)=0,0,AND(AI49=FALSE,AJ49=0,SUM(AJ49:AJ$99)&gt;0))</f>
        <v>0</v>
      </c>
      <c r="AL49" s="1340">
        <f t="shared" si="9"/>
        <v>0</v>
      </c>
      <c r="AM49" s="1340">
        <f t="shared" si="10"/>
        <v>0</v>
      </c>
      <c r="AN49" s="1341">
        <f t="shared" si="11"/>
        <v>0</v>
      </c>
      <c r="AO49" s="1341">
        <f t="shared" si="12"/>
        <v>0</v>
      </c>
      <c r="AP49" s="264">
        <f t="shared" si="13"/>
        <v>0</v>
      </c>
      <c r="AQ49" s="264">
        <f t="shared" si="80"/>
        <v>0</v>
      </c>
      <c r="AR49" s="1340">
        <f t="shared" si="14"/>
        <v>0</v>
      </c>
      <c r="AS49" s="1340" t="str">
        <f t="shared" si="81"/>
        <v/>
      </c>
      <c r="AT49" s="1340">
        <f t="shared" si="15"/>
        <v>0</v>
      </c>
      <c r="AU49" s="898">
        <f t="shared" si="82"/>
        <v>0</v>
      </c>
      <c r="AV49" s="1340">
        <f t="shared" si="16"/>
        <v>0</v>
      </c>
      <c r="AW49" s="1340">
        <f t="shared" si="17"/>
        <v>0</v>
      </c>
      <c r="AX49" s="1340">
        <f t="shared" si="18"/>
        <v>0</v>
      </c>
      <c r="AY49" s="897">
        <f t="shared" si="83"/>
        <v>0</v>
      </c>
      <c r="AZ49" s="1340">
        <f t="shared" si="19"/>
        <v>0</v>
      </c>
      <c r="BA49" s="896">
        <f t="shared" si="84"/>
        <v>0</v>
      </c>
      <c r="BB49" s="899" t="str">
        <f t="shared" si="85"/>
        <v/>
      </c>
      <c r="BC49" s="899" t="str">
        <f t="shared" si="86"/>
        <v/>
      </c>
      <c r="BD49" s="1340">
        <f t="shared" si="20"/>
        <v>0</v>
      </c>
      <c r="BE49" s="1340">
        <f t="shared" si="21"/>
        <v>0</v>
      </c>
      <c r="BF49" s="1340">
        <f t="shared" si="22"/>
        <v>0</v>
      </c>
      <c r="BG49" s="1342" t="b">
        <f t="shared" si="23"/>
        <v>0</v>
      </c>
      <c r="BH49" s="299" t="str">
        <f t="shared" si="24"/>
        <v/>
      </c>
      <c r="BI49" s="1343">
        <f t="shared" si="25"/>
        <v>0</v>
      </c>
      <c r="BJ49" s="1344">
        <f t="shared" si="26"/>
        <v>0</v>
      </c>
      <c r="BK49" s="1344">
        <f t="shared" si="87"/>
        <v>0</v>
      </c>
      <c r="BL49" s="1345">
        <f t="shared" si="27"/>
        <v>0</v>
      </c>
      <c r="BM49" s="1346">
        <f t="shared" si="28"/>
        <v>0</v>
      </c>
      <c r="BN49" s="300">
        <f t="shared" si="29"/>
        <v>0</v>
      </c>
      <c r="BO49" s="300">
        <f t="shared" si="30"/>
        <v>0</v>
      </c>
      <c r="BP49" s="1344">
        <f t="shared" si="88"/>
        <v>0</v>
      </c>
      <c r="BQ49" s="301">
        <f t="shared" si="31"/>
        <v>0</v>
      </c>
      <c r="BR49" s="302" t="e">
        <f t="shared" si="32"/>
        <v>#DIV/0!</v>
      </c>
      <c r="BS49" s="1343">
        <f t="shared" si="98"/>
        <v>0</v>
      </c>
      <c r="BT49" s="1344">
        <f t="shared" si="98"/>
        <v>0</v>
      </c>
      <c r="BU49" s="1344">
        <f t="shared" si="98"/>
        <v>0</v>
      </c>
      <c r="BV49" s="303">
        <f t="shared" si="98"/>
        <v>0</v>
      </c>
      <c r="BW49" s="304">
        <f t="shared" si="34"/>
        <v>0</v>
      </c>
      <c r="BX49" s="300">
        <f t="shared" si="35"/>
        <v>0</v>
      </c>
      <c r="BY49" s="1344">
        <f t="shared" si="89"/>
        <v>0</v>
      </c>
      <c r="BZ49" s="300">
        <f t="shared" si="90"/>
        <v>0</v>
      </c>
      <c r="CA49" s="301">
        <f t="shared" si="36"/>
        <v>0</v>
      </c>
      <c r="CB49" s="305" t="e">
        <f t="shared" si="37"/>
        <v>#DIV/0!</v>
      </c>
      <c r="CC49" s="304" t="e">
        <f t="shared" si="38"/>
        <v>#DIV/0!</v>
      </c>
      <c r="CD49" s="300">
        <f t="shared" si="39"/>
        <v>0</v>
      </c>
      <c r="CE49" s="306">
        <f t="shared" si="91"/>
        <v>0</v>
      </c>
      <c r="CF49" s="306">
        <f t="shared" si="40"/>
        <v>0</v>
      </c>
      <c r="CG49" s="307" t="e">
        <f t="shared" si="41"/>
        <v>#DIV/0!</v>
      </c>
      <c r="CH49" s="307" t="e">
        <f t="shared" si="42"/>
        <v>#DIV/0!</v>
      </c>
      <c r="CI49" s="308" t="e">
        <f t="shared" si="92"/>
        <v>#DIV/0!</v>
      </c>
      <c r="CJ49" s="309" t="e">
        <f t="shared" si="43"/>
        <v>#DIV/0!</v>
      </c>
      <c r="CK49" s="175" t="e">
        <f t="shared" si="93"/>
        <v>#DIV/0!</v>
      </c>
      <c r="CL49" s="175" t="str">
        <f t="shared" si="44"/>
        <v/>
      </c>
      <c r="CM49" s="310" t="e">
        <f t="shared" si="94"/>
        <v>#DIV/0!</v>
      </c>
      <c r="CN49" s="311" t="e">
        <f t="shared" si="95"/>
        <v>#DIV/0!</v>
      </c>
      <c r="CO49" s="311">
        <f t="shared" si="96"/>
        <v>0</v>
      </c>
      <c r="CP49" s="175">
        <f t="shared" si="45"/>
        <v>1</v>
      </c>
      <c r="CQ49" s="175">
        <f t="shared" si="46"/>
        <v>1</v>
      </c>
      <c r="CR49" s="175" t="str">
        <f t="shared" si="47"/>
        <v/>
      </c>
      <c r="CS49" s="175">
        <f t="shared" si="48"/>
        <v>0</v>
      </c>
      <c r="CT49" s="312">
        <f t="shared" si="49"/>
        <v>0</v>
      </c>
      <c r="CU49" s="175" t="str">
        <f t="shared" si="50"/>
        <v>OK</v>
      </c>
      <c r="CV49" s="313">
        <f t="shared" si="51"/>
        <v>0.05</v>
      </c>
      <c r="CW49" s="312" t="e">
        <f t="shared" si="52"/>
        <v>#DIV/0!</v>
      </c>
      <c r="CX49" s="312" t="e">
        <f t="shared" si="53"/>
        <v>#DIV/0!</v>
      </c>
      <c r="CY49" s="312" t="e">
        <f t="shared" si="54"/>
        <v>#DIV/0!</v>
      </c>
      <c r="CZ49" s="312" t="e">
        <f t="shared" si="55"/>
        <v>#DIV/0!</v>
      </c>
      <c r="DA49" s="312">
        <f t="shared" si="56"/>
        <v>1</v>
      </c>
      <c r="DB49" s="312">
        <f t="shared" si="57"/>
        <v>0</v>
      </c>
      <c r="DC49" s="175" t="str">
        <f t="shared" si="58"/>
        <v>Soft</v>
      </c>
      <c r="DD49" s="175"/>
      <c r="DE49" s="175">
        <f t="shared" si="59"/>
        <v>0</v>
      </c>
      <c r="DF49" s="312" t="e">
        <f t="shared" si="60"/>
        <v>#DIV/0!</v>
      </c>
      <c r="DG49" s="312" t="e">
        <f t="shared" si="61"/>
        <v>#DIV/0!</v>
      </c>
      <c r="DH49" s="312" t="e">
        <f t="shared" si="62"/>
        <v>#DIV/0!</v>
      </c>
      <c r="DI49" s="312" t="e">
        <f t="shared" si="63"/>
        <v>#DIV/0!</v>
      </c>
      <c r="DJ49" s="312" t="e">
        <f t="shared" si="97"/>
        <v>#DIV/0!</v>
      </c>
      <c r="DK49" s="175"/>
      <c r="DL49" s="175"/>
      <c r="DM49" s="175"/>
      <c r="DN49" s="175">
        <f t="shared" si="64"/>
        <v>1</v>
      </c>
      <c r="DO49" s="312" t="e">
        <f t="shared" si="65"/>
        <v>#DIV/0!</v>
      </c>
      <c r="DP49" s="312" t="e">
        <f t="shared" si="66"/>
        <v>#DIV/0!</v>
      </c>
      <c r="DQ49" s="312" t="e">
        <f t="shared" si="67"/>
        <v>#DIV/0!</v>
      </c>
      <c r="DR49" s="312" t="e">
        <f t="shared" si="68"/>
        <v>#DIV/0!</v>
      </c>
      <c r="DS49" s="312" t="e">
        <f t="shared" si="69"/>
        <v>#DIV/0!</v>
      </c>
      <c r="DT49" s="312" t="e">
        <f t="shared" si="70"/>
        <v>#DIV/0!</v>
      </c>
      <c r="DU49" s="312">
        <f t="shared" si="71"/>
        <v>0</v>
      </c>
      <c r="DV49" s="175"/>
      <c r="DW49" s="175" t="b">
        <f t="shared" si="72"/>
        <v>1</v>
      </c>
      <c r="DX49" s="175" t="b">
        <f t="shared" si="72"/>
        <v>1</v>
      </c>
      <c r="DY49" s="175" t="b">
        <f t="shared" si="72"/>
        <v>1</v>
      </c>
      <c r="DZ49" s="175" t="b">
        <f t="shared" si="72"/>
        <v>1</v>
      </c>
      <c r="EA49" s="175" t="b">
        <f t="shared" si="72"/>
        <v>1</v>
      </c>
      <c r="EB49" s="168"/>
    </row>
    <row r="50" spans="1:132" s="140" customFormat="1" ht="18.5" hidden="1" thickBot="1" x14ac:dyDescent="0.45">
      <c r="A50" s="150"/>
      <c r="B50" s="296" t="str">
        <f t="shared" si="73"/>
        <v>-</v>
      </c>
      <c r="C50" s="279">
        <v>31</v>
      </c>
      <c r="D50" s="1557"/>
      <c r="E50" s="1558"/>
      <c r="F50" s="951"/>
      <c r="G50" s="1101"/>
      <c r="H50" s="952"/>
      <c r="I50" s="965"/>
      <c r="J50" s="1325"/>
      <c r="K50" s="1326"/>
      <c r="L50" s="1326"/>
      <c r="M50" s="1326"/>
      <c r="N50" s="1327"/>
      <c r="O50" s="974"/>
      <c r="P50" s="975"/>
      <c r="Q50" s="976"/>
      <c r="R50" s="966"/>
      <c r="S50" s="280" t="str">
        <f t="shared" si="74"/>
        <v/>
      </c>
      <c r="T50" s="281" t="str">
        <f t="shared" si="75"/>
        <v/>
      </c>
      <c r="U50" s="282">
        <f t="shared" si="76"/>
        <v>0</v>
      </c>
      <c r="V50" s="259" t="str">
        <f t="shared" si="2"/>
        <v/>
      </c>
      <c r="W50" s="260" t="str">
        <f t="shared" si="3"/>
        <v/>
      </c>
      <c r="X50" s="283">
        <f t="shared" si="4"/>
        <v>0</v>
      </c>
      <c r="Y50" s="284" t="str">
        <f t="shared" si="5"/>
        <v/>
      </c>
      <c r="Z50" s="150"/>
      <c r="AA50" s="175"/>
      <c r="AB50" s="175">
        <v>31</v>
      </c>
      <c r="AC50" s="297" t="str">
        <f t="shared" si="6"/>
        <v>-</v>
      </c>
      <c r="AD50" s="297">
        <f t="shared" si="77"/>
        <v>0</v>
      </c>
      <c r="AE50" s="297">
        <f t="shared" si="78"/>
        <v>0</v>
      </c>
      <c r="AF50" s="297"/>
      <c r="AG50" s="298">
        <f t="shared" si="79"/>
        <v>0</v>
      </c>
      <c r="AH50" s="1339">
        <f t="shared" si="7"/>
        <v>0</v>
      </c>
      <c r="AI50" s="1340">
        <f>IF(SUM(AH50:AH$99)=0,0,F50&gt;0)</f>
        <v>0</v>
      </c>
      <c r="AJ50" s="1339">
        <f t="shared" si="8"/>
        <v>0</v>
      </c>
      <c r="AK50" s="1340">
        <f>IF(SUM(AH50:AH$99)=0,0,AND(AI50=FALSE,AJ50=0,SUM(AJ50:AJ$99)&gt;0))</f>
        <v>0</v>
      </c>
      <c r="AL50" s="1340">
        <f t="shared" si="9"/>
        <v>0</v>
      </c>
      <c r="AM50" s="1340">
        <f t="shared" si="10"/>
        <v>0</v>
      </c>
      <c r="AN50" s="1341">
        <f t="shared" si="11"/>
        <v>0</v>
      </c>
      <c r="AO50" s="1341">
        <f t="shared" si="12"/>
        <v>0</v>
      </c>
      <c r="AP50" s="264">
        <f t="shared" si="13"/>
        <v>0</v>
      </c>
      <c r="AQ50" s="264">
        <f t="shared" si="80"/>
        <v>0</v>
      </c>
      <c r="AR50" s="1340">
        <f t="shared" si="14"/>
        <v>0</v>
      </c>
      <c r="AS50" s="1340" t="str">
        <f t="shared" si="81"/>
        <v/>
      </c>
      <c r="AT50" s="1340">
        <f t="shared" si="15"/>
        <v>0</v>
      </c>
      <c r="AU50" s="898">
        <f t="shared" si="82"/>
        <v>0</v>
      </c>
      <c r="AV50" s="1340">
        <f t="shared" si="16"/>
        <v>0</v>
      </c>
      <c r="AW50" s="1340">
        <f t="shared" si="17"/>
        <v>0</v>
      </c>
      <c r="AX50" s="1340">
        <f t="shared" si="18"/>
        <v>0</v>
      </c>
      <c r="AY50" s="897">
        <f t="shared" si="83"/>
        <v>0</v>
      </c>
      <c r="AZ50" s="1340">
        <f t="shared" si="19"/>
        <v>0</v>
      </c>
      <c r="BA50" s="896">
        <f t="shared" si="84"/>
        <v>0</v>
      </c>
      <c r="BB50" s="899" t="str">
        <f t="shared" si="85"/>
        <v/>
      </c>
      <c r="BC50" s="899" t="str">
        <f t="shared" si="86"/>
        <v/>
      </c>
      <c r="BD50" s="1340">
        <f t="shared" si="20"/>
        <v>0</v>
      </c>
      <c r="BE50" s="1340">
        <f t="shared" si="21"/>
        <v>0</v>
      </c>
      <c r="BF50" s="1340">
        <f t="shared" si="22"/>
        <v>0</v>
      </c>
      <c r="BG50" s="1342" t="b">
        <f t="shared" si="23"/>
        <v>0</v>
      </c>
      <c r="BH50" s="299" t="str">
        <f t="shared" si="24"/>
        <v/>
      </c>
      <c r="BI50" s="1343">
        <f t="shared" si="25"/>
        <v>0</v>
      </c>
      <c r="BJ50" s="1344">
        <f t="shared" si="26"/>
        <v>0</v>
      </c>
      <c r="BK50" s="1344">
        <f t="shared" si="87"/>
        <v>0</v>
      </c>
      <c r="BL50" s="1345">
        <f t="shared" si="27"/>
        <v>0</v>
      </c>
      <c r="BM50" s="1346">
        <f t="shared" si="28"/>
        <v>0</v>
      </c>
      <c r="BN50" s="300">
        <f t="shared" si="29"/>
        <v>0</v>
      </c>
      <c r="BO50" s="300">
        <f t="shared" si="30"/>
        <v>0</v>
      </c>
      <c r="BP50" s="1344">
        <f t="shared" si="88"/>
        <v>0</v>
      </c>
      <c r="BQ50" s="301">
        <f t="shared" si="31"/>
        <v>0</v>
      </c>
      <c r="BR50" s="302" t="e">
        <f t="shared" si="32"/>
        <v>#DIV/0!</v>
      </c>
      <c r="BS50" s="1343">
        <f t="shared" si="98"/>
        <v>0</v>
      </c>
      <c r="BT50" s="1344">
        <f t="shared" si="98"/>
        <v>0</v>
      </c>
      <c r="BU50" s="1344">
        <f t="shared" si="98"/>
        <v>0</v>
      </c>
      <c r="BV50" s="303">
        <f t="shared" si="98"/>
        <v>0</v>
      </c>
      <c r="BW50" s="304">
        <f t="shared" si="34"/>
        <v>0</v>
      </c>
      <c r="BX50" s="300">
        <f t="shared" si="35"/>
        <v>0</v>
      </c>
      <c r="BY50" s="1344">
        <f t="shared" si="89"/>
        <v>0</v>
      </c>
      <c r="BZ50" s="300">
        <f t="shared" si="90"/>
        <v>0</v>
      </c>
      <c r="CA50" s="301">
        <f t="shared" si="36"/>
        <v>0</v>
      </c>
      <c r="CB50" s="305" t="e">
        <f t="shared" si="37"/>
        <v>#DIV/0!</v>
      </c>
      <c r="CC50" s="304" t="e">
        <f t="shared" si="38"/>
        <v>#DIV/0!</v>
      </c>
      <c r="CD50" s="300">
        <f t="shared" si="39"/>
        <v>0</v>
      </c>
      <c r="CE50" s="306">
        <f t="shared" si="91"/>
        <v>0</v>
      </c>
      <c r="CF50" s="306">
        <f t="shared" si="40"/>
        <v>0</v>
      </c>
      <c r="CG50" s="307" t="e">
        <f t="shared" si="41"/>
        <v>#DIV/0!</v>
      </c>
      <c r="CH50" s="307" t="e">
        <f t="shared" si="42"/>
        <v>#DIV/0!</v>
      </c>
      <c r="CI50" s="308" t="e">
        <f t="shared" si="92"/>
        <v>#DIV/0!</v>
      </c>
      <c r="CJ50" s="309" t="e">
        <f t="shared" si="43"/>
        <v>#DIV/0!</v>
      </c>
      <c r="CK50" s="175" t="e">
        <f t="shared" si="93"/>
        <v>#DIV/0!</v>
      </c>
      <c r="CL50" s="175" t="str">
        <f t="shared" si="44"/>
        <v/>
      </c>
      <c r="CM50" s="310" t="e">
        <f t="shared" si="94"/>
        <v>#DIV/0!</v>
      </c>
      <c r="CN50" s="311" t="e">
        <f t="shared" si="95"/>
        <v>#DIV/0!</v>
      </c>
      <c r="CO50" s="311">
        <f t="shared" si="96"/>
        <v>0</v>
      </c>
      <c r="CP50" s="175">
        <f t="shared" si="45"/>
        <v>1</v>
      </c>
      <c r="CQ50" s="175">
        <f t="shared" si="46"/>
        <v>1</v>
      </c>
      <c r="CR50" s="175" t="str">
        <f t="shared" si="47"/>
        <v/>
      </c>
      <c r="CS50" s="175">
        <f t="shared" si="48"/>
        <v>0</v>
      </c>
      <c r="CT50" s="312">
        <f t="shared" si="49"/>
        <v>0</v>
      </c>
      <c r="CU50" s="175" t="str">
        <f t="shared" si="50"/>
        <v>OK</v>
      </c>
      <c r="CV50" s="313">
        <f t="shared" si="51"/>
        <v>0.05</v>
      </c>
      <c r="CW50" s="312" t="e">
        <f t="shared" si="52"/>
        <v>#DIV/0!</v>
      </c>
      <c r="CX50" s="312" t="e">
        <f t="shared" si="53"/>
        <v>#DIV/0!</v>
      </c>
      <c r="CY50" s="312" t="e">
        <f t="shared" si="54"/>
        <v>#DIV/0!</v>
      </c>
      <c r="CZ50" s="312" t="e">
        <f t="shared" si="55"/>
        <v>#DIV/0!</v>
      </c>
      <c r="DA50" s="312">
        <f t="shared" si="56"/>
        <v>1</v>
      </c>
      <c r="DB50" s="312">
        <f t="shared" si="57"/>
        <v>0</v>
      </c>
      <c r="DC50" s="175" t="str">
        <f t="shared" si="58"/>
        <v>Soft</v>
      </c>
      <c r="DD50" s="175"/>
      <c r="DE50" s="175">
        <f t="shared" si="59"/>
        <v>0</v>
      </c>
      <c r="DF50" s="312" t="e">
        <f t="shared" si="60"/>
        <v>#DIV/0!</v>
      </c>
      <c r="DG50" s="312" t="e">
        <f t="shared" si="61"/>
        <v>#DIV/0!</v>
      </c>
      <c r="DH50" s="312" t="e">
        <f t="shared" si="62"/>
        <v>#DIV/0!</v>
      </c>
      <c r="DI50" s="312" t="e">
        <f t="shared" si="63"/>
        <v>#DIV/0!</v>
      </c>
      <c r="DJ50" s="312" t="e">
        <f t="shared" si="97"/>
        <v>#DIV/0!</v>
      </c>
      <c r="DK50" s="175"/>
      <c r="DL50" s="175"/>
      <c r="DM50" s="175"/>
      <c r="DN50" s="175">
        <f t="shared" si="64"/>
        <v>1</v>
      </c>
      <c r="DO50" s="312" t="e">
        <f t="shared" si="65"/>
        <v>#DIV/0!</v>
      </c>
      <c r="DP50" s="312" t="e">
        <f t="shared" si="66"/>
        <v>#DIV/0!</v>
      </c>
      <c r="DQ50" s="312" t="e">
        <f t="shared" si="67"/>
        <v>#DIV/0!</v>
      </c>
      <c r="DR50" s="312" t="e">
        <f t="shared" si="68"/>
        <v>#DIV/0!</v>
      </c>
      <c r="DS50" s="312" t="e">
        <f t="shared" si="69"/>
        <v>#DIV/0!</v>
      </c>
      <c r="DT50" s="312" t="e">
        <f t="shared" si="70"/>
        <v>#DIV/0!</v>
      </c>
      <c r="DU50" s="312">
        <f t="shared" si="71"/>
        <v>0</v>
      </c>
      <c r="DV50" s="175"/>
      <c r="DW50" s="175" t="b">
        <f t="shared" si="72"/>
        <v>1</v>
      </c>
      <c r="DX50" s="175" t="b">
        <f t="shared" si="72"/>
        <v>1</v>
      </c>
      <c r="DY50" s="175" t="b">
        <f t="shared" si="72"/>
        <v>1</v>
      </c>
      <c r="DZ50" s="175" t="b">
        <f t="shared" si="72"/>
        <v>1</v>
      </c>
      <c r="EA50" s="175" t="b">
        <f t="shared" si="72"/>
        <v>1</v>
      </c>
      <c r="EB50" s="168"/>
    </row>
    <row r="51" spans="1:132" s="140" customFormat="1" ht="18.5" hidden="1" thickBot="1" x14ac:dyDescent="0.45">
      <c r="A51" s="150"/>
      <c r="B51" s="296" t="str">
        <f t="shared" si="73"/>
        <v>-</v>
      </c>
      <c r="C51" s="279">
        <v>32</v>
      </c>
      <c r="D51" s="1557"/>
      <c r="E51" s="1558"/>
      <c r="F51" s="951"/>
      <c r="G51" s="1101"/>
      <c r="H51" s="952"/>
      <c r="I51" s="965"/>
      <c r="J51" s="1325"/>
      <c r="K51" s="1326"/>
      <c r="L51" s="1326"/>
      <c r="M51" s="1326"/>
      <c r="N51" s="1327"/>
      <c r="O51" s="974"/>
      <c r="P51" s="975"/>
      <c r="Q51" s="976"/>
      <c r="R51" s="966"/>
      <c r="S51" s="280" t="str">
        <f t="shared" si="74"/>
        <v/>
      </c>
      <c r="T51" s="281" t="str">
        <f t="shared" si="75"/>
        <v/>
      </c>
      <c r="U51" s="282">
        <f t="shared" si="76"/>
        <v>0</v>
      </c>
      <c r="V51" s="259" t="str">
        <f t="shared" si="2"/>
        <v/>
      </c>
      <c r="W51" s="260" t="str">
        <f t="shared" si="3"/>
        <v/>
      </c>
      <c r="X51" s="283">
        <f t="shared" si="4"/>
        <v>0</v>
      </c>
      <c r="Y51" s="284" t="str">
        <f t="shared" si="5"/>
        <v/>
      </c>
      <c r="Z51" s="150"/>
      <c r="AA51" s="175"/>
      <c r="AB51" s="175">
        <v>32</v>
      </c>
      <c r="AC51" s="297" t="str">
        <f t="shared" si="6"/>
        <v>-</v>
      </c>
      <c r="AD51" s="297">
        <f t="shared" si="77"/>
        <v>0</v>
      </c>
      <c r="AE51" s="297">
        <f t="shared" si="78"/>
        <v>0</v>
      </c>
      <c r="AF51" s="297"/>
      <c r="AG51" s="298">
        <f t="shared" si="79"/>
        <v>0</v>
      </c>
      <c r="AH51" s="1339">
        <f t="shared" si="7"/>
        <v>0</v>
      </c>
      <c r="AI51" s="1340">
        <f>IF(SUM(AH51:AH$99)=0,0,F51&gt;0)</f>
        <v>0</v>
      </c>
      <c r="AJ51" s="1339">
        <f t="shared" si="8"/>
        <v>0</v>
      </c>
      <c r="AK51" s="1340">
        <f>IF(SUM(AH51:AH$99)=0,0,AND(AI51=FALSE,AJ51=0,SUM(AJ51:AJ$99)&gt;0))</f>
        <v>0</v>
      </c>
      <c r="AL51" s="1340">
        <f t="shared" si="9"/>
        <v>0</v>
      </c>
      <c r="AM51" s="1340">
        <f t="shared" si="10"/>
        <v>0</v>
      </c>
      <c r="AN51" s="1341">
        <f t="shared" si="11"/>
        <v>0</v>
      </c>
      <c r="AO51" s="1341">
        <f t="shared" si="12"/>
        <v>0</v>
      </c>
      <c r="AP51" s="264">
        <f t="shared" si="13"/>
        <v>0</v>
      </c>
      <c r="AQ51" s="264">
        <f t="shared" si="80"/>
        <v>0</v>
      </c>
      <c r="AR51" s="1340">
        <f t="shared" si="14"/>
        <v>0</v>
      </c>
      <c r="AS51" s="1340" t="str">
        <f t="shared" si="81"/>
        <v/>
      </c>
      <c r="AT51" s="1340">
        <f t="shared" si="15"/>
        <v>0</v>
      </c>
      <c r="AU51" s="898">
        <f t="shared" si="82"/>
        <v>0</v>
      </c>
      <c r="AV51" s="1340">
        <f t="shared" si="16"/>
        <v>0</v>
      </c>
      <c r="AW51" s="1340">
        <f t="shared" si="17"/>
        <v>0</v>
      </c>
      <c r="AX51" s="1340">
        <f t="shared" si="18"/>
        <v>0</v>
      </c>
      <c r="AY51" s="897">
        <f t="shared" si="83"/>
        <v>0</v>
      </c>
      <c r="AZ51" s="1340">
        <f t="shared" si="19"/>
        <v>0</v>
      </c>
      <c r="BA51" s="896">
        <f t="shared" si="84"/>
        <v>0</v>
      </c>
      <c r="BB51" s="899" t="str">
        <f t="shared" si="85"/>
        <v/>
      </c>
      <c r="BC51" s="899" t="str">
        <f t="shared" si="86"/>
        <v/>
      </c>
      <c r="BD51" s="1340">
        <f t="shared" si="20"/>
        <v>0</v>
      </c>
      <c r="BE51" s="1340">
        <f t="shared" si="21"/>
        <v>0</v>
      </c>
      <c r="BF51" s="1340">
        <f t="shared" si="22"/>
        <v>0</v>
      </c>
      <c r="BG51" s="1342" t="b">
        <f t="shared" si="23"/>
        <v>0</v>
      </c>
      <c r="BH51" s="299" t="str">
        <f t="shared" si="24"/>
        <v/>
      </c>
      <c r="BI51" s="1343">
        <f t="shared" si="25"/>
        <v>0</v>
      </c>
      <c r="BJ51" s="1344">
        <f t="shared" si="26"/>
        <v>0</v>
      </c>
      <c r="BK51" s="1344">
        <f t="shared" si="87"/>
        <v>0</v>
      </c>
      <c r="BL51" s="1345">
        <f t="shared" si="27"/>
        <v>0</v>
      </c>
      <c r="BM51" s="1346">
        <f t="shared" si="28"/>
        <v>0</v>
      </c>
      <c r="BN51" s="300">
        <f t="shared" si="29"/>
        <v>0</v>
      </c>
      <c r="BO51" s="300">
        <f t="shared" si="30"/>
        <v>0</v>
      </c>
      <c r="BP51" s="1344">
        <f t="shared" si="88"/>
        <v>0</v>
      </c>
      <c r="BQ51" s="301">
        <f t="shared" si="31"/>
        <v>0</v>
      </c>
      <c r="BR51" s="302" t="e">
        <f t="shared" si="32"/>
        <v>#DIV/0!</v>
      </c>
      <c r="BS51" s="1343">
        <f t="shared" si="98"/>
        <v>0</v>
      </c>
      <c r="BT51" s="1344">
        <f t="shared" si="98"/>
        <v>0</v>
      </c>
      <c r="BU51" s="1344">
        <f t="shared" si="98"/>
        <v>0</v>
      </c>
      <c r="BV51" s="303">
        <f t="shared" si="98"/>
        <v>0</v>
      </c>
      <c r="BW51" s="304">
        <f t="shared" si="34"/>
        <v>0</v>
      </c>
      <c r="BX51" s="300">
        <f t="shared" si="35"/>
        <v>0</v>
      </c>
      <c r="BY51" s="1344">
        <f t="shared" si="89"/>
        <v>0</v>
      </c>
      <c r="BZ51" s="300">
        <f t="shared" si="90"/>
        <v>0</v>
      </c>
      <c r="CA51" s="301">
        <f t="shared" si="36"/>
        <v>0</v>
      </c>
      <c r="CB51" s="305" t="e">
        <f t="shared" si="37"/>
        <v>#DIV/0!</v>
      </c>
      <c r="CC51" s="304" t="e">
        <f t="shared" si="38"/>
        <v>#DIV/0!</v>
      </c>
      <c r="CD51" s="300">
        <f t="shared" si="39"/>
        <v>0</v>
      </c>
      <c r="CE51" s="306">
        <f t="shared" si="91"/>
        <v>0</v>
      </c>
      <c r="CF51" s="306">
        <f t="shared" si="40"/>
        <v>0</v>
      </c>
      <c r="CG51" s="307" t="e">
        <f t="shared" si="41"/>
        <v>#DIV/0!</v>
      </c>
      <c r="CH51" s="307" t="e">
        <f t="shared" si="42"/>
        <v>#DIV/0!</v>
      </c>
      <c r="CI51" s="308" t="e">
        <f t="shared" si="92"/>
        <v>#DIV/0!</v>
      </c>
      <c r="CJ51" s="309" t="e">
        <f t="shared" si="43"/>
        <v>#DIV/0!</v>
      </c>
      <c r="CK51" s="175" t="e">
        <f t="shared" si="93"/>
        <v>#DIV/0!</v>
      </c>
      <c r="CL51" s="175" t="str">
        <f t="shared" si="44"/>
        <v/>
      </c>
      <c r="CM51" s="310" t="e">
        <f t="shared" si="94"/>
        <v>#DIV/0!</v>
      </c>
      <c r="CN51" s="311" t="e">
        <f t="shared" si="95"/>
        <v>#DIV/0!</v>
      </c>
      <c r="CO51" s="311">
        <f t="shared" si="96"/>
        <v>0</v>
      </c>
      <c r="CP51" s="175">
        <f t="shared" si="45"/>
        <v>1</v>
      </c>
      <c r="CQ51" s="175">
        <f t="shared" si="46"/>
        <v>1</v>
      </c>
      <c r="CR51" s="175" t="str">
        <f t="shared" si="47"/>
        <v/>
      </c>
      <c r="CS51" s="175">
        <f t="shared" si="48"/>
        <v>0</v>
      </c>
      <c r="CT51" s="312">
        <f t="shared" si="49"/>
        <v>0</v>
      </c>
      <c r="CU51" s="175" t="str">
        <f t="shared" si="50"/>
        <v>OK</v>
      </c>
      <c r="CV51" s="313">
        <f t="shared" si="51"/>
        <v>0.05</v>
      </c>
      <c r="CW51" s="312" t="e">
        <f t="shared" si="52"/>
        <v>#DIV/0!</v>
      </c>
      <c r="CX51" s="312" t="e">
        <f t="shared" si="53"/>
        <v>#DIV/0!</v>
      </c>
      <c r="CY51" s="312" t="e">
        <f t="shared" si="54"/>
        <v>#DIV/0!</v>
      </c>
      <c r="CZ51" s="312" t="e">
        <f t="shared" si="55"/>
        <v>#DIV/0!</v>
      </c>
      <c r="DA51" s="312">
        <f t="shared" si="56"/>
        <v>1</v>
      </c>
      <c r="DB51" s="312">
        <f t="shared" si="57"/>
        <v>0</v>
      </c>
      <c r="DC51" s="175" t="str">
        <f t="shared" si="58"/>
        <v>Soft</v>
      </c>
      <c r="DD51" s="175"/>
      <c r="DE51" s="175">
        <f t="shared" si="59"/>
        <v>0</v>
      </c>
      <c r="DF51" s="312" t="e">
        <f t="shared" si="60"/>
        <v>#DIV/0!</v>
      </c>
      <c r="DG51" s="312" t="e">
        <f t="shared" si="61"/>
        <v>#DIV/0!</v>
      </c>
      <c r="DH51" s="312" t="e">
        <f t="shared" si="62"/>
        <v>#DIV/0!</v>
      </c>
      <c r="DI51" s="312" t="e">
        <f t="shared" si="63"/>
        <v>#DIV/0!</v>
      </c>
      <c r="DJ51" s="312" t="e">
        <f t="shared" si="97"/>
        <v>#DIV/0!</v>
      </c>
      <c r="DK51" s="175"/>
      <c r="DL51" s="175"/>
      <c r="DM51" s="175"/>
      <c r="DN51" s="175">
        <f t="shared" si="64"/>
        <v>1</v>
      </c>
      <c r="DO51" s="312" t="e">
        <f t="shared" si="65"/>
        <v>#DIV/0!</v>
      </c>
      <c r="DP51" s="312" t="e">
        <f t="shared" si="66"/>
        <v>#DIV/0!</v>
      </c>
      <c r="DQ51" s="312" t="e">
        <f t="shared" si="67"/>
        <v>#DIV/0!</v>
      </c>
      <c r="DR51" s="312" t="e">
        <f t="shared" si="68"/>
        <v>#DIV/0!</v>
      </c>
      <c r="DS51" s="312" t="e">
        <f t="shared" si="69"/>
        <v>#DIV/0!</v>
      </c>
      <c r="DT51" s="312" t="e">
        <f t="shared" si="70"/>
        <v>#DIV/0!</v>
      </c>
      <c r="DU51" s="312">
        <f t="shared" si="71"/>
        <v>0</v>
      </c>
      <c r="DV51" s="175"/>
      <c r="DW51" s="175" t="b">
        <f t="shared" si="72"/>
        <v>1</v>
      </c>
      <c r="DX51" s="175" t="b">
        <f t="shared" si="72"/>
        <v>1</v>
      </c>
      <c r="DY51" s="175" t="b">
        <f t="shared" si="72"/>
        <v>1</v>
      </c>
      <c r="DZ51" s="175" t="b">
        <f t="shared" si="72"/>
        <v>1</v>
      </c>
      <c r="EA51" s="175" t="b">
        <f t="shared" si="72"/>
        <v>1</v>
      </c>
      <c r="EB51" s="168"/>
    </row>
    <row r="52" spans="1:132" s="140" customFormat="1" ht="18.5" hidden="1" thickBot="1" x14ac:dyDescent="0.45">
      <c r="A52" s="150"/>
      <c r="B52" s="296" t="str">
        <f t="shared" si="73"/>
        <v>-</v>
      </c>
      <c r="C52" s="279">
        <v>33</v>
      </c>
      <c r="D52" s="1557"/>
      <c r="E52" s="1558"/>
      <c r="F52" s="977"/>
      <c r="G52" s="1103"/>
      <c r="H52" s="978"/>
      <c r="I52" s="965"/>
      <c r="J52" s="1325"/>
      <c r="K52" s="1326"/>
      <c r="L52" s="1326"/>
      <c r="M52" s="1326"/>
      <c r="N52" s="1327"/>
      <c r="O52" s="974"/>
      <c r="P52" s="975"/>
      <c r="Q52" s="976"/>
      <c r="R52" s="966"/>
      <c r="S52" s="280" t="str">
        <f t="shared" ref="S52:S83" si="99">IF(AND(AY52=TRUE,AZ52=TRUE,InputIssues=0),IF(Q52="device",2,IF(BD52=FALSE,1,0.5)*Q52/R52),"")</f>
        <v/>
      </c>
      <c r="T52" s="281" t="str">
        <f t="shared" ref="T52:T83" si="100">IF(AND(AY52=TRUE,InputIssues=0),IF(T$19=F$165,BQ52,IF(T$19=G$165,BZ52,BZ52/BQ52)),"")</f>
        <v/>
      </c>
      <c r="U52" s="282">
        <f t="shared" ref="U52:U83" si="101">IF(InputIssues=0,MAX(G52*H52,I52),0)</f>
        <v>0</v>
      </c>
      <c r="V52" s="259" t="str">
        <f t="shared" ref="V52:V83" si="102">IF(AllInputsOK=FALSE,"",CL52)</f>
        <v/>
      </c>
      <c r="W52" s="260" t="str">
        <f t="shared" ref="W52:W83" si="103">IF(AllInputsOK=FALSE,"",CK52)</f>
        <v/>
      </c>
      <c r="X52" s="283">
        <f t="shared" si="4"/>
        <v>0</v>
      </c>
      <c r="Y52" s="284" t="str">
        <f t="shared" ref="Y52:Y83" si="104">IF(AllInputsOK=FALSE,"",CJ52)</f>
        <v/>
      </c>
      <c r="Z52" s="150"/>
      <c r="AA52" s="175"/>
      <c r="AB52" s="175">
        <v>33</v>
      </c>
      <c r="AC52" s="297" t="str">
        <f t="shared" si="6"/>
        <v>-</v>
      </c>
      <c r="AD52" s="297">
        <f t="shared" si="77"/>
        <v>0</v>
      </c>
      <c r="AE52" s="297">
        <f t="shared" si="78"/>
        <v>0</v>
      </c>
      <c r="AF52" s="297"/>
      <c r="AG52" s="298">
        <f t="shared" si="79"/>
        <v>0</v>
      </c>
      <c r="AH52" s="1339">
        <f t="shared" si="7"/>
        <v>0</v>
      </c>
      <c r="AI52" s="1340">
        <f>IF(SUM(AH52:AH$99)=0,0,F52&gt;0)</f>
        <v>0</v>
      </c>
      <c r="AJ52" s="1339">
        <f t="shared" si="8"/>
        <v>0</v>
      </c>
      <c r="AK52" s="1340">
        <f>IF(SUM(AH52:AH$99)=0,0,AND(AI52=FALSE,AJ52=0,SUM(AJ52:AJ$99)&gt;0))</f>
        <v>0</v>
      </c>
      <c r="AL52" s="1340">
        <f t="shared" si="9"/>
        <v>0</v>
      </c>
      <c r="AM52" s="1340">
        <f t="shared" si="10"/>
        <v>0</v>
      </c>
      <c r="AN52" s="1341">
        <f t="shared" si="11"/>
        <v>0</v>
      </c>
      <c r="AO52" s="1341">
        <f t="shared" si="12"/>
        <v>0</v>
      </c>
      <c r="AP52" s="264">
        <f t="shared" ref="AP52:AP83" si="105">IF(AH52=0,0,AND(AI52=TRUE,OR(AND(K52="Ground: direct",AreaA=0),AND(K52="Ground: suspended",AreaB=0),AND(K52="upper",$F$12=0))))</f>
        <v>0</v>
      </c>
      <c r="AQ52" s="264">
        <f t="shared" si="80"/>
        <v>0</v>
      </c>
      <c r="AR52" s="1340">
        <f t="shared" si="14"/>
        <v>0</v>
      </c>
      <c r="AS52" s="1340" t="str">
        <f t="shared" si="81"/>
        <v/>
      </c>
      <c r="AT52" s="1340">
        <f t="shared" si="15"/>
        <v>0</v>
      </c>
      <c r="AU52" s="898">
        <f t="shared" si="82"/>
        <v>0</v>
      </c>
      <c r="AV52" s="1340">
        <f t="shared" si="16"/>
        <v>0</v>
      </c>
      <c r="AW52" s="1340">
        <f t="shared" si="17"/>
        <v>0</v>
      </c>
      <c r="AX52" s="1340">
        <f t="shared" si="18"/>
        <v>0</v>
      </c>
      <c r="AY52" s="897">
        <f t="shared" si="83"/>
        <v>0</v>
      </c>
      <c r="AZ52" s="1340">
        <f t="shared" si="19"/>
        <v>0</v>
      </c>
      <c r="BA52" s="896">
        <f t="shared" si="84"/>
        <v>0</v>
      </c>
      <c r="BB52" s="899" t="str">
        <f t="shared" si="85"/>
        <v/>
      </c>
      <c r="BC52" s="899" t="str">
        <f t="shared" si="86"/>
        <v/>
      </c>
      <c r="BD52" s="1340">
        <f t="shared" si="20"/>
        <v>0</v>
      </c>
      <c r="BE52" s="1340">
        <f t="shared" si="21"/>
        <v>0</v>
      </c>
      <c r="BF52" s="1340">
        <f t="shared" si="22"/>
        <v>0</v>
      </c>
      <c r="BG52" s="1342" t="b">
        <f t="shared" ref="BG52:BG83" si="106">AND(UpperInputsAlerts=0,DudTableInputs=0,COUNTIF(CG52:CH52,TRUE)&lt;&gt;0)</f>
        <v>0</v>
      </c>
      <c r="BH52" s="299" t="str">
        <f t="shared" si="24"/>
        <v/>
      </c>
      <c r="BI52" s="1343">
        <f t="shared" ref="BI52:BI83" si="107">IF(S52="",0,INDEX(Projections,MATCH(S52,Projections,1),1))</f>
        <v>0</v>
      </c>
      <c r="BJ52" s="1344">
        <f t="shared" ref="BJ52:BJ83" si="108">IF(S52="",0,IF(BI52=2,2,INDEX(Projections,MATCH(S52,Projections,1)+1,1)))</f>
        <v>0</v>
      </c>
      <c r="BK52" s="1344">
        <f t="shared" si="87"/>
        <v>0</v>
      </c>
      <c r="BL52" s="1345">
        <f t="shared" si="27"/>
        <v>0</v>
      </c>
      <c r="BM52" s="1346">
        <f t="shared" si="28"/>
        <v>0</v>
      </c>
      <c r="BN52" s="300">
        <f t="shared" ref="BN52:BN83" si="109">IF(AND($AY52=TRUE,Zone=0),10,IF(OR($BM52=0,$BM52=FALSE),0,IF(Slab_or_Timb="Slab",INDEX(ExposuresSummer,MATCH($BI52,Projections,1),MATCH($BM52,Directions,0),Zone_Col),INDEX(ExposuresSummerTimber,MATCH($BI52,Projections,1),MATCH($BM52,Directions,0),Zone_Col))))</f>
        <v>0</v>
      </c>
      <c r="BO52" s="300">
        <f t="shared" ref="BO52:BO83" si="110">IF(AND($AY52=TRUE,Zone=0),10,IF(OR($BM52=0,$BM52=FALSE),0,IF(Slab_or_Timb="Slab",INDEX(ExposuresSummer,MATCH($BJ52,Projections,1),MATCH($BM52,Directions,0),Zone_Col),INDEX(ExposuresSummerTimber,MATCH($BJ52,Projections,1),MATCH($BM52,Directions,0),Zone_Col))))</f>
        <v>0</v>
      </c>
      <c r="BP52" s="1344">
        <f t="shared" si="88"/>
        <v>0</v>
      </c>
      <c r="BQ52" s="301">
        <f t="shared" si="31"/>
        <v>0</v>
      </c>
      <c r="BR52" s="314"/>
      <c r="BS52" s="1343">
        <f t="shared" si="98"/>
        <v>0</v>
      </c>
      <c r="BT52" s="1344">
        <f t="shared" si="98"/>
        <v>0</v>
      </c>
      <c r="BU52" s="1344">
        <f t="shared" si="98"/>
        <v>0</v>
      </c>
      <c r="BV52" s="303">
        <f t="shared" si="98"/>
        <v>0</v>
      </c>
      <c r="BW52" s="304">
        <f t="shared" ref="BW52:BW83" si="111">IF(AND($AY52=TRUE,Zone=0),10,IF(OR($BM52=0,$BM52=FALSE),0,IF(Slab_or_Timb="Slab",INDEX(ExposuresWinter,MATCH($BS52,Projections,1),MATCH($BM52,Directions,0),Zone_Col),INDEX(ExposuresWinterTimber,MATCH($BS52,Projections,1),MATCH($BM52,Directions,0),Zone_Col))))</f>
        <v>0</v>
      </c>
      <c r="BX52" s="300">
        <f t="shared" ref="BX52:BX83" si="112">IF(AND($AY52=TRUE,Zone=0),10,IF(OR($BM52=0,$BM52=FALSE),0,IF(Slab_or_Timb="Slab",INDEX(ExposuresWinter,MATCH($BT52,Projections,1),MATCH($BM52,Directions,0),Zone_Col),INDEX(ExposuresWinterTimber,MATCH($BT52,Projections,1),MATCH($BM52,Directions,0),Zone_Col))))</f>
        <v>0</v>
      </c>
      <c r="BY52" s="1344">
        <f t="shared" si="89"/>
        <v>0</v>
      </c>
      <c r="BZ52" s="300">
        <f t="shared" si="90"/>
        <v>0</v>
      </c>
      <c r="CA52" s="301">
        <f t="shared" si="36"/>
        <v>0</v>
      </c>
      <c r="CB52" s="305" t="e">
        <f t="shared" ref="CB52:CB83" si="113">IF(Zone=1,"N/A",CA52/SUM(CA$20:CA$99))</f>
        <v>#DIV/0!</v>
      </c>
      <c r="CC52" s="304" t="e">
        <f t="shared" si="38"/>
        <v>#DIV/0!</v>
      </c>
      <c r="CD52" s="300">
        <f t="shared" si="39"/>
        <v>0</v>
      </c>
      <c r="CE52" s="306">
        <f t="shared" si="91"/>
        <v>0</v>
      </c>
      <c r="CF52" s="306">
        <f t="shared" si="40"/>
        <v>0</v>
      </c>
      <c r="CG52" s="307" t="e">
        <f t="shared" si="41"/>
        <v>#DIV/0!</v>
      </c>
      <c r="CH52" s="307" t="e">
        <f t="shared" ref="CH52:CH83" si="114">IF(Zone=8,"FALSE",IF(SUM(CC52:CD52)=0,0,AND(AI52=TRUE,CD$6&lt;0)))</f>
        <v>#DIV/0!</v>
      </c>
      <c r="CI52" s="308" t="e">
        <f t="shared" si="92"/>
        <v>#DIV/0!</v>
      </c>
      <c r="CJ52" s="309" t="e">
        <f t="shared" ref="CJ52:CJ83" si="115">IF(SUM(CC52:CD52)=0,"",IF(Zone=8,"not required",TEXT(CF52,IF(CF52&lt;0.005,"0.0%","0%"))&amp;" of "&amp;TEXT(CD$8,"0%")))</f>
        <v>#DIV/0!</v>
      </c>
      <c r="CK52" s="175" t="e">
        <f t="shared" si="93"/>
        <v>#DIV/0!</v>
      </c>
      <c r="CL52" s="175" t="str">
        <f t="shared" ref="CL52:CL83" si="116">IF(Zone=1,"N/A",IF(CE52&gt;0,TEXT(CE52,IF(CE52&lt;0.005,"0.0%","0%")),""))</f>
        <v/>
      </c>
      <c r="CM52" s="310" t="e">
        <f t="shared" si="94"/>
        <v>#DIV/0!</v>
      </c>
      <c r="CN52" s="311" t="e">
        <f t="shared" si="95"/>
        <v>#DIV/0!</v>
      </c>
      <c r="CO52" s="311">
        <f t="shared" si="96"/>
        <v>0</v>
      </c>
      <c r="CP52" s="175">
        <f t="shared" si="45"/>
        <v>1</v>
      </c>
      <c r="CQ52" s="175">
        <f t="shared" si="46"/>
        <v>1</v>
      </c>
      <c r="CR52" s="175" t="str">
        <f t="shared" ref="CR52:CR83" si="117">IFERROR(IF(G52&lt;=1.5,VLOOKUP(N52,Win_Open_less_1.5,CQ52+2,1),VLOOKUP(N52,Win_Open_more_1.5,CQ52+2,1)),"")</f>
        <v/>
      </c>
      <c r="CS52" s="175">
        <f t="shared" si="48"/>
        <v>0</v>
      </c>
      <c r="CT52" s="312">
        <f t="shared" si="49"/>
        <v>0</v>
      </c>
      <c r="CU52" s="175" t="str">
        <f t="shared" si="50"/>
        <v>OK</v>
      </c>
      <c r="CV52" s="313">
        <f t="shared" si="51"/>
        <v>0.05</v>
      </c>
      <c r="CW52" s="312" t="e">
        <f t="shared" ref="CW52:CW83" si="118">IF(Slab_or_Timb="Slab",IF(J52&lt;&gt;"Other",HLOOKUP($CV$13,S_Slab_Fact,2),1),IF(J52&lt;&gt;"Other",HLOOKUP($CV$13,S_Timb_Fact,2),1))</f>
        <v>#DIV/0!</v>
      </c>
      <c r="CX52" s="312" t="e">
        <f t="shared" ref="CX52:CX83" si="119">IF(Slab_or_Timb="Slab",IF($M52="Dark",HLOOKUP($CV$13,S_Slab_Fact,4),1),IF($M52="Dark",HLOOKUP($CV$13,S_Timb_Fact,4),1))</f>
        <v>#DIV/0!</v>
      </c>
      <c r="CY52" s="312" t="e">
        <f t="shared" ref="CY52:CY83" si="120">IF(Slab_or_Timb="Slab",IF($M52="Medium",HLOOKUP($CV$13,S_Slab_Fact,5),1),IF($M52="Medium",HLOOKUP($CV$13,S_Timb_Fact,5),1))</f>
        <v>#DIV/0!</v>
      </c>
      <c r="CZ52" s="312" t="e">
        <f t="shared" ref="CZ52:CZ83" si="121">IF(Slab_or_Timb="Slab",IF($M52="Light",HLOOKUP($CV$13,S_Slab_Fact,6),1),IF($M52="Light",HLOOKUP($CV$13,S_Timb_Fact,6),1))</f>
        <v>#DIV/0!</v>
      </c>
      <c r="DA52" s="312">
        <f t="shared" ref="DA52:DA83" si="122">IFERROR(IF(Slab_or_Timb="Slab",IF($DC52="Hard",HLOOKUP($CV$13,S_Slab_Fact,7),1),1),1)</f>
        <v>1</v>
      </c>
      <c r="DB52" s="312">
        <f t="shared" si="57"/>
        <v>0</v>
      </c>
      <c r="DC52" s="175" t="str">
        <f t="shared" ref="DC52:DC83" si="123">IF(AND(K52="Ground: Direct",J52&lt;&gt;"Utility"),VLOOKUP(L52,Hard_Floor,2),"Soft")</f>
        <v>Soft</v>
      </c>
      <c r="DD52" s="175"/>
      <c r="DE52" s="175">
        <f t="shared" ref="DE52:DE83" si="124">IFERROR(VLOOKUP(F52,Orient_Num,2),0)</f>
        <v>0</v>
      </c>
      <c r="DF52" s="312" t="e">
        <f t="shared" ref="DF52:DF83" si="125">IF(Slab_or_Timb="Slab",IFERROR(HLOOKUP(DE52,OC_Fact_Slab,Zone_Col+1),0),IFERROR(HLOOKUP(DE52,OC_Fact_Timb,Zone_Col+1),0))</f>
        <v>#DIV/0!</v>
      </c>
      <c r="DG52" s="312" t="e">
        <f t="shared" ref="DG52:DG83" si="126">IF(Slab_or_Timb="Slab",IF(J52&lt;&gt;"Other",HLOOKUP($CV$13,W_Slab_Fact,4),1),IF(J52&lt;&gt;"Other",HLOOKUP($CV$13,W_Timb_Fact,4),1))</f>
        <v>#DIV/0!</v>
      </c>
      <c r="DH52" s="312" t="e">
        <f t="shared" ref="DH52:DH83" si="127">IF(Slab_or_Timb="Slab",IF(J52&lt;&gt;"Other",HLOOKUP($CV$13,W_Slab_Fact,2),1),IF(J52&lt;&gt;"Other",HLOOKUP($CV$13,W_Timb_Fact,2),1))</f>
        <v>#DIV/0!</v>
      </c>
      <c r="DI52" s="312" t="e">
        <f t="shared" ref="DI52:DI83" si="128">IF(Slab_or_Timb="Slab",IF(K52="Upper",HLOOKUP($CV$13,W_Slab_Fact,3),1),IF(K52="Upper",HLOOKUP($CV$13,W_Timb_Fact,3),1))</f>
        <v>#DIV/0!</v>
      </c>
      <c r="DJ52" s="312" t="e">
        <f t="shared" si="97"/>
        <v>#DIV/0!</v>
      </c>
      <c r="DK52" s="175"/>
      <c r="DL52" s="175"/>
      <c r="DM52" s="175"/>
      <c r="DN52" s="175">
        <f t="shared" ref="DN52:DN83" si="129">IFERROR(IF(Slab_or_Timb="Slab",IF($DC52="Hard",HLOOKUP($CV$13,W_Slab_Fact,9),1),1),1)</f>
        <v>1</v>
      </c>
      <c r="DO52" s="312" t="e">
        <f t="shared" ref="DO52:DO83" si="130">IF(Slab_or_Timb="Slab",IF($M52="Dark",HLOOKUP($CV$13,W_Slab_Fact,6),1),IF($M52="Dark",HLOOKUP($CV$13,W_Timb_Fact,6),1))</f>
        <v>#DIV/0!</v>
      </c>
      <c r="DP52" s="312" t="e">
        <f t="shared" ref="DP52:DP83" si="131">IF(Slab_or_Timb="Slab",IF($M52="Medium",HLOOKUP($CV$13,W_Slab_Fact,7),1),IF($M52="Medium",HLOOKUP($CV$13,W_Timb_Fact,7),1))</f>
        <v>#DIV/0!</v>
      </c>
      <c r="DQ52" s="312" t="e">
        <f t="shared" ref="DQ52:DQ83" si="132">IF(Slab_or_Timb="Slab",IF($M52="Light",HLOOKUP($CV$13,W_Slab_Fact,8),1),IF($M52="Light",HLOOKUP($CV$13,W_Timb_Fact,8),1))</f>
        <v>#DIV/0!</v>
      </c>
      <c r="DR52" s="312" t="e">
        <f t="shared" ref="DR52:DR83" si="133">IF(Slab_or_Timb="Slab",IF(J52&lt;&gt;"Other",HLOOKUP($CV$13,W_Slab_Fact,5),1),IF(J52&lt;&gt;"Other",HLOOKUP($CV$13,W_Timb_Fact,5),1))</f>
        <v>#DIV/0!</v>
      </c>
      <c r="DS52" s="312" t="e">
        <f t="shared" ref="DS52:DS83" si="134">IF(Slab_or_Timb="Slab",IF(J52&lt;&gt;"Other",HLOOKUP($CV$13,W_Slab_Fact,2),1),IF(J52&lt;&gt;"Other",HLOOKUP($CV$13,W_Timb_Fact,2),1))</f>
        <v>#DIV/0!</v>
      </c>
      <c r="DT52" s="312" t="e">
        <f t="shared" ref="DT52:DT83" si="135">IF(Slab_or_Timb="Slab",IF(K52="Upper",HLOOKUP($CV$13,W_Slab_Fact,3),1),IF(K52="Upper",HLOOKUP($CV$13,W_Timb_Fact,3),1))</f>
        <v>#DIV/0!</v>
      </c>
      <c r="DU52" s="312">
        <f t="shared" si="71"/>
        <v>0</v>
      </c>
      <c r="DV52" s="175"/>
      <c r="DW52" s="175" t="b">
        <f t="shared" ref="DW52:EA83" si="136">ISBLANK(J52)</f>
        <v>1</v>
      </c>
      <c r="DX52" s="175" t="b">
        <f t="shared" si="136"/>
        <v>1</v>
      </c>
      <c r="DY52" s="175" t="b">
        <f t="shared" si="136"/>
        <v>1</v>
      </c>
      <c r="DZ52" s="175" t="b">
        <f t="shared" si="136"/>
        <v>1</v>
      </c>
      <c r="EA52" s="175" t="b">
        <f t="shared" si="136"/>
        <v>1</v>
      </c>
      <c r="EB52" s="168"/>
    </row>
    <row r="53" spans="1:132" s="140" customFormat="1" ht="18.5" hidden="1" thickBot="1" x14ac:dyDescent="0.45">
      <c r="A53" s="150"/>
      <c r="B53" s="296" t="str">
        <f t="shared" si="73"/>
        <v>-</v>
      </c>
      <c r="C53" s="279">
        <v>34</v>
      </c>
      <c r="D53" s="1557"/>
      <c r="E53" s="1558"/>
      <c r="F53" s="977"/>
      <c r="G53" s="1103"/>
      <c r="H53" s="978"/>
      <c r="I53" s="965"/>
      <c r="J53" s="1325"/>
      <c r="K53" s="1326"/>
      <c r="L53" s="1326"/>
      <c r="M53" s="1326"/>
      <c r="N53" s="1327"/>
      <c r="O53" s="974"/>
      <c r="P53" s="975"/>
      <c r="Q53" s="976"/>
      <c r="R53" s="966"/>
      <c r="S53" s="280" t="str">
        <f t="shared" si="99"/>
        <v/>
      </c>
      <c r="T53" s="281" t="str">
        <f t="shared" si="100"/>
        <v/>
      </c>
      <c r="U53" s="282">
        <f t="shared" si="101"/>
        <v>0</v>
      </c>
      <c r="V53" s="259" t="str">
        <f t="shared" si="102"/>
        <v/>
      </c>
      <c r="W53" s="260" t="str">
        <f t="shared" si="103"/>
        <v/>
      </c>
      <c r="X53" s="283">
        <f t="shared" si="4"/>
        <v>0</v>
      </c>
      <c r="Y53" s="284" t="str">
        <f t="shared" si="104"/>
        <v/>
      </c>
      <c r="Z53" s="150"/>
      <c r="AA53" s="175"/>
      <c r="AB53" s="175">
        <v>34</v>
      </c>
      <c r="AC53" s="297" t="str">
        <f t="shared" si="6"/>
        <v>-</v>
      </c>
      <c r="AD53" s="297">
        <f t="shared" si="77"/>
        <v>0</v>
      </c>
      <c r="AE53" s="297">
        <f t="shared" si="78"/>
        <v>0</v>
      </c>
      <c r="AF53" s="297"/>
      <c r="AG53" s="298">
        <f t="shared" si="79"/>
        <v>0</v>
      </c>
      <c r="AH53" s="1339">
        <f t="shared" si="7"/>
        <v>0</v>
      </c>
      <c r="AI53" s="1340">
        <f>IF(SUM(AH53:AH$99)=0,0,F53&gt;0)</f>
        <v>0</v>
      </c>
      <c r="AJ53" s="1339">
        <f t="shared" si="8"/>
        <v>0</v>
      </c>
      <c r="AK53" s="1340">
        <f>IF(SUM(AH53:AH$99)=0,0,AND(AI53=FALSE,AJ53=0,SUM(AJ53:AJ$99)&gt;0))</f>
        <v>0</v>
      </c>
      <c r="AL53" s="1340">
        <f t="shared" si="9"/>
        <v>0</v>
      </c>
      <c r="AM53" s="1340">
        <f t="shared" si="10"/>
        <v>0</v>
      </c>
      <c r="AN53" s="1341">
        <f t="shared" si="11"/>
        <v>0</v>
      </c>
      <c r="AO53" s="1341">
        <f t="shared" si="12"/>
        <v>0</v>
      </c>
      <c r="AP53" s="264">
        <f t="shared" si="105"/>
        <v>0</v>
      </c>
      <c r="AQ53" s="264">
        <f t="shared" si="80"/>
        <v>0</v>
      </c>
      <c r="AR53" s="1340">
        <f t="shared" si="14"/>
        <v>0</v>
      </c>
      <c r="AS53" s="1340" t="str">
        <f t="shared" si="81"/>
        <v/>
      </c>
      <c r="AT53" s="1340">
        <f t="shared" si="15"/>
        <v>0</v>
      </c>
      <c r="AU53" s="898">
        <f t="shared" si="82"/>
        <v>0</v>
      </c>
      <c r="AV53" s="1340">
        <f t="shared" si="16"/>
        <v>0</v>
      </c>
      <c r="AW53" s="1340">
        <f t="shared" si="17"/>
        <v>0</v>
      </c>
      <c r="AX53" s="1340">
        <f t="shared" si="18"/>
        <v>0</v>
      </c>
      <c r="AY53" s="897">
        <f t="shared" si="83"/>
        <v>0</v>
      </c>
      <c r="AZ53" s="1340">
        <f t="shared" si="19"/>
        <v>0</v>
      </c>
      <c r="BA53" s="896">
        <f t="shared" si="84"/>
        <v>0</v>
      </c>
      <c r="BB53" s="899" t="str">
        <f t="shared" si="85"/>
        <v/>
      </c>
      <c r="BC53" s="899" t="str">
        <f t="shared" si="86"/>
        <v/>
      </c>
      <c r="BD53" s="1340">
        <f t="shared" si="20"/>
        <v>0</v>
      </c>
      <c r="BE53" s="1340">
        <f t="shared" si="21"/>
        <v>0</v>
      </c>
      <c r="BF53" s="1340">
        <f t="shared" si="22"/>
        <v>0</v>
      </c>
      <c r="BG53" s="1342" t="b">
        <f t="shared" si="106"/>
        <v>0</v>
      </c>
      <c r="BH53" s="299" t="str">
        <f t="shared" si="24"/>
        <v/>
      </c>
      <c r="BI53" s="1343">
        <f t="shared" si="107"/>
        <v>0</v>
      </c>
      <c r="BJ53" s="1344">
        <f t="shared" si="108"/>
        <v>0</v>
      </c>
      <c r="BK53" s="1344">
        <f t="shared" si="87"/>
        <v>0</v>
      </c>
      <c r="BL53" s="1345">
        <f t="shared" si="27"/>
        <v>0</v>
      </c>
      <c r="BM53" s="1346">
        <f t="shared" si="28"/>
        <v>0</v>
      </c>
      <c r="BN53" s="300">
        <f t="shared" si="109"/>
        <v>0</v>
      </c>
      <c r="BO53" s="300">
        <f t="shared" si="110"/>
        <v>0</v>
      </c>
      <c r="BP53" s="1344">
        <f t="shared" si="88"/>
        <v>0</v>
      </c>
      <c r="BQ53" s="301">
        <f t="shared" si="31"/>
        <v>0</v>
      </c>
      <c r="BR53" s="314"/>
      <c r="BS53" s="1343">
        <f t="shared" si="98"/>
        <v>0</v>
      </c>
      <c r="BT53" s="1344">
        <f t="shared" si="98"/>
        <v>0</v>
      </c>
      <c r="BU53" s="1344">
        <f t="shared" si="98"/>
        <v>0</v>
      </c>
      <c r="BV53" s="303">
        <f t="shared" si="98"/>
        <v>0</v>
      </c>
      <c r="BW53" s="304">
        <f t="shared" si="111"/>
        <v>0</v>
      </c>
      <c r="BX53" s="300">
        <f t="shared" si="112"/>
        <v>0</v>
      </c>
      <c r="BY53" s="1344">
        <f t="shared" si="89"/>
        <v>0</v>
      </c>
      <c r="BZ53" s="300">
        <f t="shared" si="90"/>
        <v>0</v>
      </c>
      <c r="CA53" s="301">
        <f t="shared" si="36"/>
        <v>0</v>
      </c>
      <c r="CB53" s="305" t="e">
        <f t="shared" si="113"/>
        <v>#DIV/0!</v>
      </c>
      <c r="CC53" s="304" t="e">
        <f t="shared" si="38"/>
        <v>#DIV/0!</v>
      </c>
      <c r="CD53" s="300">
        <f t="shared" si="39"/>
        <v>0</v>
      </c>
      <c r="CE53" s="306">
        <f t="shared" si="91"/>
        <v>0</v>
      </c>
      <c r="CF53" s="306">
        <f t="shared" si="40"/>
        <v>0</v>
      </c>
      <c r="CG53" s="307" t="e">
        <f t="shared" si="41"/>
        <v>#DIV/0!</v>
      </c>
      <c r="CH53" s="307" t="e">
        <f t="shared" si="114"/>
        <v>#DIV/0!</v>
      </c>
      <c r="CI53" s="308" t="e">
        <f t="shared" si="92"/>
        <v>#DIV/0!</v>
      </c>
      <c r="CJ53" s="309" t="e">
        <f t="shared" si="115"/>
        <v>#DIV/0!</v>
      </c>
      <c r="CK53" s="175" t="e">
        <f t="shared" si="93"/>
        <v>#DIV/0!</v>
      </c>
      <c r="CL53" s="175" t="str">
        <f t="shared" si="116"/>
        <v/>
      </c>
      <c r="CM53" s="310" t="e">
        <f t="shared" si="94"/>
        <v>#DIV/0!</v>
      </c>
      <c r="CN53" s="311" t="e">
        <f t="shared" si="95"/>
        <v>#DIV/0!</v>
      </c>
      <c r="CO53" s="311">
        <f t="shared" si="96"/>
        <v>0</v>
      </c>
      <c r="CP53" s="175">
        <f t="shared" si="45"/>
        <v>1</v>
      </c>
      <c r="CQ53" s="175">
        <f t="shared" si="46"/>
        <v>1</v>
      </c>
      <c r="CR53" s="175" t="str">
        <f t="shared" si="117"/>
        <v/>
      </c>
      <c r="CS53" s="175">
        <f t="shared" si="48"/>
        <v>0</v>
      </c>
      <c r="CT53" s="312">
        <f t="shared" si="49"/>
        <v>0</v>
      </c>
      <c r="CU53" s="175" t="str">
        <f t="shared" si="50"/>
        <v>OK</v>
      </c>
      <c r="CV53" s="313">
        <f t="shared" si="51"/>
        <v>0.05</v>
      </c>
      <c r="CW53" s="312" t="e">
        <f t="shared" si="118"/>
        <v>#DIV/0!</v>
      </c>
      <c r="CX53" s="312" t="e">
        <f t="shared" si="119"/>
        <v>#DIV/0!</v>
      </c>
      <c r="CY53" s="312" t="e">
        <f t="shared" si="120"/>
        <v>#DIV/0!</v>
      </c>
      <c r="CZ53" s="312" t="e">
        <f t="shared" si="121"/>
        <v>#DIV/0!</v>
      </c>
      <c r="DA53" s="312">
        <f t="shared" si="122"/>
        <v>1</v>
      </c>
      <c r="DB53" s="312">
        <f t="shared" si="57"/>
        <v>0</v>
      </c>
      <c r="DC53" s="175" t="str">
        <f t="shared" si="123"/>
        <v>Soft</v>
      </c>
      <c r="DD53" s="175"/>
      <c r="DE53" s="175">
        <f t="shared" si="124"/>
        <v>0</v>
      </c>
      <c r="DF53" s="312" t="e">
        <f t="shared" si="125"/>
        <v>#DIV/0!</v>
      </c>
      <c r="DG53" s="312" t="e">
        <f t="shared" si="126"/>
        <v>#DIV/0!</v>
      </c>
      <c r="DH53" s="312" t="e">
        <f t="shared" si="127"/>
        <v>#DIV/0!</v>
      </c>
      <c r="DI53" s="312" t="e">
        <f t="shared" si="128"/>
        <v>#DIV/0!</v>
      </c>
      <c r="DJ53" s="312" t="e">
        <f t="shared" si="97"/>
        <v>#DIV/0!</v>
      </c>
      <c r="DK53" s="175"/>
      <c r="DL53" s="175"/>
      <c r="DM53" s="175"/>
      <c r="DN53" s="175">
        <f t="shared" si="129"/>
        <v>1</v>
      </c>
      <c r="DO53" s="312" t="e">
        <f t="shared" si="130"/>
        <v>#DIV/0!</v>
      </c>
      <c r="DP53" s="312" t="e">
        <f t="shared" si="131"/>
        <v>#DIV/0!</v>
      </c>
      <c r="DQ53" s="312" t="e">
        <f t="shared" si="132"/>
        <v>#DIV/0!</v>
      </c>
      <c r="DR53" s="312" t="e">
        <f t="shared" si="133"/>
        <v>#DIV/0!</v>
      </c>
      <c r="DS53" s="312" t="e">
        <f t="shared" si="134"/>
        <v>#DIV/0!</v>
      </c>
      <c r="DT53" s="312" t="e">
        <f t="shared" si="135"/>
        <v>#DIV/0!</v>
      </c>
      <c r="DU53" s="312">
        <f t="shared" si="71"/>
        <v>0</v>
      </c>
      <c r="DV53" s="175"/>
      <c r="DW53" s="175" t="b">
        <f t="shared" si="136"/>
        <v>1</v>
      </c>
      <c r="DX53" s="175" t="b">
        <f t="shared" si="136"/>
        <v>1</v>
      </c>
      <c r="DY53" s="175" t="b">
        <f t="shared" si="136"/>
        <v>1</v>
      </c>
      <c r="DZ53" s="175" t="b">
        <f t="shared" si="136"/>
        <v>1</v>
      </c>
      <c r="EA53" s="175" t="b">
        <f t="shared" si="136"/>
        <v>1</v>
      </c>
      <c r="EB53" s="168"/>
    </row>
    <row r="54" spans="1:132" s="140" customFormat="1" ht="18.5" hidden="1" thickBot="1" x14ac:dyDescent="0.45">
      <c r="A54" s="150"/>
      <c r="B54" s="296" t="str">
        <f t="shared" si="73"/>
        <v>-</v>
      </c>
      <c r="C54" s="279">
        <v>35</v>
      </c>
      <c r="D54" s="1557"/>
      <c r="E54" s="1558"/>
      <c r="F54" s="977"/>
      <c r="G54" s="1103"/>
      <c r="H54" s="978"/>
      <c r="I54" s="965"/>
      <c r="J54" s="1325"/>
      <c r="K54" s="1326"/>
      <c r="L54" s="1326"/>
      <c r="M54" s="1326"/>
      <c r="N54" s="1327"/>
      <c r="O54" s="974"/>
      <c r="P54" s="975"/>
      <c r="Q54" s="976"/>
      <c r="R54" s="966"/>
      <c r="S54" s="280" t="str">
        <f t="shared" si="99"/>
        <v/>
      </c>
      <c r="T54" s="281" t="str">
        <f t="shared" si="100"/>
        <v/>
      </c>
      <c r="U54" s="282">
        <f t="shared" si="101"/>
        <v>0</v>
      </c>
      <c r="V54" s="259" t="str">
        <f t="shared" si="102"/>
        <v/>
      </c>
      <c r="W54" s="260" t="str">
        <f t="shared" si="103"/>
        <v/>
      </c>
      <c r="X54" s="283">
        <f t="shared" si="4"/>
        <v>0</v>
      </c>
      <c r="Y54" s="284" t="str">
        <f t="shared" si="104"/>
        <v/>
      </c>
      <c r="Z54" s="150"/>
      <c r="AA54" s="175"/>
      <c r="AB54" s="175">
        <v>35</v>
      </c>
      <c r="AC54" s="297" t="str">
        <f t="shared" si="6"/>
        <v>-</v>
      </c>
      <c r="AD54" s="297">
        <f t="shared" si="77"/>
        <v>0</v>
      </c>
      <c r="AE54" s="297">
        <f t="shared" si="78"/>
        <v>0</v>
      </c>
      <c r="AF54" s="297"/>
      <c r="AG54" s="298">
        <f t="shared" si="79"/>
        <v>0</v>
      </c>
      <c r="AH54" s="1339">
        <f t="shared" si="7"/>
        <v>0</v>
      </c>
      <c r="AI54" s="1340">
        <f>IF(SUM(AH54:AH$99)=0,0,F54&gt;0)</f>
        <v>0</v>
      </c>
      <c r="AJ54" s="1339">
        <f t="shared" si="8"/>
        <v>0</v>
      </c>
      <c r="AK54" s="1340">
        <f>IF(SUM(AH54:AH$99)=0,0,AND(AI54=FALSE,AJ54=0,SUM(AJ54:AJ$99)&gt;0))</f>
        <v>0</v>
      </c>
      <c r="AL54" s="1340">
        <f t="shared" si="9"/>
        <v>0</v>
      </c>
      <c r="AM54" s="1340">
        <f t="shared" si="10"/>
        <v>0</v>
      </c>
      <c r="AN54" s="1341">
        <f t="shared" si="11"/>
        <v>0</v>
      </c>
      <c r="AO54" s="1341">
        <f t="shared" si="12"/>
        <v>0</v>
      </c>
      <c r="AP54" s="264">
        <f t="shared" si="105"/>
        <v>0</v>
      </c>
      <c r="AQ54" s="264">
        <f t="shared" si="80"/>
        <v>0</v>
      </c>
      <c r="AR54" s="1340">
        <f t="shared" si="14"/>
        <v>0</v>
      </c>
      <c r="AS54" s="1340" t="str">
        <f t="shared" si="81"/>
        <v/>
      </c>
      <c r="AT54" s="1340">
        <f t="shared" si="15"/>
        <v>0</v>
      </c>
      <c r="AU54" s="898">
        <f t="shared" si="82"/>
        <v>0</v>
      </c>
      <c r="AV54" s="1340">
        <f t="shared" si="16"/>
        <v>0</v>
      </c>
      <c r="AW54" s="1340">
        <f t="shared" si="17"/>
        <v>0</v>
      </c>
      <c r="AX54" s="1340">
        <f t="shared" si="18"/>
        <v>0</v>
      </c>
      <c r="AY54" s="897">
        <f t="shared" si="83"/>
        <v>0</v>
      </c>
      <c r="AZ54" s="1340">
        <f t="shared" si="19"/>
        <v>0</v>
      </c>
      <c r="BA54" s="896">
        <f t="shared" si="84"/>
        <v>0</v>
      </c>
      <c r="BB54" s="899" t="str">
        <f t="shared" si="85"/>
        <v/>
      </c>
      <c r="BC54" s="899" t="str">
        <f t="shared" si="86"/>
        <v/>
      </c>
      <c r="BD54" s="1340">
        <f t="shared" si="20"/>
        <v>0</v>
      </c>
      <c r="BE54" s="1340">
        <f t="shared" si="21"/>
        <v>0</v>
      </c>
      <c r="BF54" s="1340">
        <f t="shared" si="22"/>
        <v>0</v>
      </c>
      <c r="BG54" s="1342" t="b">
        <f t="shared" si="106"/>
        <v>0</v>
      </c>
      <c r="BH54" s="299" t="str">
        <f t="shared" si="24"/>
        <v/>
      </c>
      <c r="BI54" s="1343">
        <f t="shared" si="107"/>
        <v>0</v>
      </c>
      <c r="BJ54" s="1344">
        <f t="shared" si="108"/>
        <v>0</v>
      </c>
      <c r="BK54" s="1344">
        <f t="shared" si="87"/>
        <v>0</v>
      </c>
      <c r="BL54" s="1345">
        <f t="shared" si="27"/>
        <v>0</v>
      </c>
      <c r="BM54" s="1346">
        <f t="shared" si="28"/>
        <v>0</v>
      </c>
      <c r="BN54" s="300">
        <f t="shared" si="109"/>
        <v>0</v>
      </c>
      <c r="BO54" s="300">
        <f t="shared" si="110"/>
        <v>0</v>
      </c>
      <c r="BP54" s="1344">
        <f t="shared" si="88"/>
        <v>0</v>
      </c>
      <c r="BQ54" s="301">
        <f t="shared" si="31"/>
        <v>0</v>
      </c>
      <c r="BR54" s="314"/>
      <c r="BS54" s="1343">
        <f t="shared" si="98"/>
        <v>0</v>
      </c>
      <c r="BT54" s="1344">
        <f t="shared" si="98"/>
        <v>0</v>
      </c>
      <c r="BU54" s="1344">
        <f t="shared" si="98"/>
        <v>0</v>
      </c>
      <c r="BV54" s="303">
        <f t="shared" si="98"/>
        <v>0</v>
      </c>
      <c r="BW54" s="304">
        <f t="shared" si="111"/>
        <v>0</v>
      </c>
      <c r="BX54" s="300">
        <f t="shared" si="112"/>
        <v>0</v>
      </c>
      <c r="BY54" s="1344">
        <f t="shared" si="89"/>
        <v>0</v>
      </c>
      <c r="BZ54" s="300">
        <f t="shared" si="90"/>
        <v>0</v>
      </c>
      <c r="CA54" s="301">
        <f t="shared" si="36"/>
        <v>0</v>
      </c>
      <c r="CB54" s="305" t="e">
        <f t="shared" si="113"/>
        <v>#DIV/0!</v>
      </c>
      <c r="CC54" s="304" t="e">
        <f t="shared" si="38"/>
        <v>#DIV/0!</v>
      </c>
      <c r="CD54" s="300">
        <f t="shared" si="39"/>
        <v>0</v>
      </c>
      <c r="CE54" s="306">
        <f t="shared" si="91"/>
        <v>0</v>
      </c>
      <c r="CF54" s="306">
        <f t="shared" si="40"/>
        <v>0</v>
      </c>
      <c r="CG54" s="307" t="e">
        <f t="shared" si="41"/>
        <v>#DIV/0!</v>
      </c>
      <c r="CH54" s="307" t="e">
        <f t="shared" si="114"/>
        <v>#DIV/0!</v>
      </c>
      <c r="CI54" s="308" t="e">
        <f t="shared" si="92"/>
        <v>#DIV/0!</v>
      </c>
      <c r="CJ54" s="309" t="e">
        <f t="shared" si="115"/>
        <v>#DIV/0!</v>
      </c>
      <c r="CK54" s="175" t="e">
        <f t="shared" si="93"/>
        <v>#DIV/0!</v>
      </c>
      <c r="CL54" s="175" t="str">
        <f t="shared" si="116"/>
        <v/>
      </c>
      <c r="CM54" s="310" t="e">
        <f t="shared" si="94"/>
        <v>#DIV/0!</v>
      </c>
      <c r="CN54" s="311" t="e">
        <f t="shared" si="95"/>
        <v>#DIV/0!</v>
      </c>
      <c r="CO54" s="311">
        <f t="shared" si="96"/>
        <v>0</v>
      </c>
      <c r="CP54" s="175">
        <f t="shared" si="45"/>
        <v>1</v>
      </c>
      <c r="CQ54" s="175">
        <f t="shared" si="46"/>
        <v>1</v>
      </c>
      <c r="CR54" s="175" t="str">
        <f t="shared" si="117"/>
        <v/>
      </c>
      <c r="CS54" s="175">
        <f t="shared" si="48"/>
        <v>0</v>
      </c>
      <c r="CT54" s="312">
        <f t="shared" si="49"/>
        <v>0</v>
      </c>
      <c r="CU54" s="175" t="str">
        <f t="shared" si="50"/>
        <v>OK</v>
      </c>
      <c r="CV54" s="313">
        <f t="shared" si="51"/>
        <v>0.05</v>
      </c>
      <c r="CW54" s="312" t="e">
        <f t="shared" si="118"/>
        <v>#DIV/0!</v>
      </c>
      <c r="CX54" s="312" t="e">
        <f t="shared" si="119"/>
        <v>#DIV/0!</v>
      </c>
      <c r="CY54" s="312" t="e">
        <f t="shared" si="120"/>
        <v>#DIV/0!</v>
      </c>
      <c r="CZ54" s="312" t="e">
        <f t="shared" si="121"/>
        <v>#DIV/0!</v>
      </c>
      <c r="DA54" s="312">
        <f t="shared" si="122"/>
        <v>1</v>
      </c>
      <c r="DB54" s="312">
        <f t="shared" si="57"/>
        <v>0</v>
      </c>
      <c r="DC54" s="175" t="str">
        <f t="shared" si="123"/>
        <v>Soft</v>
      </c>
      <c r="DD54" s="175"/>
      <c r="DE54" s="175">
        <f t="shared" si="124"/>
        <v>0</v>
      </c>
      <c r="DF54" s="312" t="e">
        <f t="shared" si="125"/>
        <v>#DIV/0!</v>
      </c>
      <c r="DG54" s="312" t="e">
        <f t="shared" si="126"/>
        <v>#DIV/0!</v>
      </c>
      <c r="DH54" s="312" t="e">
        <f t="shared" si="127"/>
        <v>#DIV/0!</v>
      </c>
      <c r="DI54" s="312" t="e">
        <f t="shared" si="128"/>
        <v>#DIV/0!</v>
      </c>
      <c r="DJ54" s="312" t="e">
        <f t="shared" si="97"/>
        <v>#DIV/0!</v>
      </c>
      <c r="DK54" s="175"/>
      <c r="DL54" s="175"/>
      <c r="DM54" s="175"/>
      <c r="DN54" s="175">
        <f t="shared" si="129"/>
        <v>1</v>
      </c>
      <c r="DO54" s="312" t="e">
        <f t="shared" si="130"/>
        <v>#DIV/0!</v>
      </c>
      <c r="DP54" s="312" t="e">
        <f t="shared" si="131"/>
        <v>#DIV/0!</v>
      </c>
      <c r="DQ54" s="312" t="e">
        <f t="shared" si="132"/>
        <v>#DIV/0!</v>
      </c>
      <c r="DR54" s="312" t="e">
        <f t="shared" si="133"/>
        <v>#DIV/0!</v>
      </c>
      <c r="DS54" s="312" t="e">
        <f t="shared" si="134"/>
        <v>#DIV/0!</v>
      </c>
      <c r="DT54" s="312" t="e">
        <f t="shared" si="135"/>
        <v>#DIV/0!</v>
      </c>
      <c r="DU54" s="312">
        <f t="shared" si="71"/>
        <v>0</v>
      </c>
      <c r="DV54" s="175"/>
      <c r="DW54" s="175" t="b">
        <f t="shared" si="136"/>
        <v>1</v>
      </c>
      <c r="DX54" s="175" t="b">
        <f t="shared" si="136"/>
        <v>1</v>
      </c>
      <c r="DY54" s="175" t="b">
        <f t="shared" si="136"/>
        <v>1</v>
      </c>
      <c r="DZ54" s="175" t="b">
        <f t="shared" si="136"/>
        <v>1</v>
      </c>
      <c r="EA54" s="175" t="b">
        <f t="shared" si="136"/>
        <v>1</v>
      </c>
      <c r="EB54" s="168"/>
    </row>
    <row r="55" spans="1:132" s="140" customFormat="1" ht="18.5" hidden="1" thickBot="1" x14ac:dyDescent="0.45">
      <c r="A55" s="150"/>
      <c r="B55" s="296" t="str">
        <f t="shared" si="73"/>
        <v>-</v>
      </c>
      <c r="C55" s="279">
        <v>36</v>
      </c>
      <c r="D55" s="1557"/>
      <c r="E55" s="1558"/>
      <c r="F55" s="977"/>
      <c r="G55" s="1103"/>
      <c r="H55" s="978"/>
      <c r="I55" s="965"/>
      <c r="J55" s="1325"/>
      <c r="K55" s="1326"/>
      <c r="L55" s="1326"/>
      <c r="M55" s="1326"/>
      <c r="N55" s="1327"/>
      <c r="O55" s="974"/>
      <c r="P55" s="975"/>
      <c r="Q55" s="976"/>
      <c r="R55" s="966"/>
      <c r="S55" s="280" t="str">
        <f t="shared" si="99"/>
        <v/>
      </c>
      <c r="T55" s="281" t="str">
        <f t="shared" si="100"/>
        <v/>
      </c>
      <c r="U55" s="282">
        <f t="shared" si="101"/>
        <v>0</v>
      </c>
      <c r="V55" s="259" t="str">
        <f t="shared" si="102"/>
        <v/>
      </c>
      <c r="W55" s="260" t="str">
        <f t="shared" si="103"/>
        <v/>
      </c>
      <c r="X55" s="283">
        <f t="shared" si="4"/>
        <v>0</v>
      </c>
      <c r="Y55" s="284" t="str">
        <f t="shared" si="104"/>
        <v/>
      </c>
      <c r="Z55" s="150"/>
      <c r="AA55" s="175"/>
      <c r="AB55" s="175">
        <v>36</v>
      </c>
      <c r="AC55" s="297" t="str">
        <f t="shared" si="6"/>
        <v>-</v>
      </c>
      <c r="AD55" s="297">
        <f t="shared" si="77"/>
        <v>0</v>
      </c>
      <c r="AE55" s="297">
        <f t="shared" si="78"/>
        <v>0</v>
      </c>
      <c r="AF55" s="297"/>
      <c r="AG55" s="298">
        <f t="shared" si="79"/>
        <v>0</v>
      </c>
      <c r="AH55" s="1339">
        <f t="shared" si="7"/>
        <v>0</v>
      </c>
      <c r="AI55" s="1340">
        <f>IF(SUM(AH55:AH$99)=0,0,F55&gt;0)</f>
        <v>0</v>
      </c>
      <c r="AJ55" s="1339">
        <f t="shared" si="8"/>
        <v>0</v>
      </c>
      <c r="AK55" s="1340">
        <f>IF(SUM(AH55:AH$99)=0,0,AND(AI55=FALSE,AJ55=0,SUM(AJ55:AJ$99)&gt;0))</f>
        <v>0</v>
      </c>
      <c r="AL55" s="1340">
        <f t="shared" si="9"/>
        <v>0</v>
      </c>
      <c r="AM55" s="1340">
        <f t="shared" si="10"/>
        <v>0</v>
      </c>
      <c r="AN55" s="1341">
        <f t="shared" si="11"/>
        <v>0</v>
      </c>
      <c r="AO55" s="1341">
        <f t="shared" si="12"/>
        <v>0</v>
      </c>
      <c r="AP55" s="264">
        <f t="shared" si="105"/>
        <v>0</v>
      </c>
      <c r="AQ55" s="264">
        <f t="shared" si="80"/>
        <v>0</v>
      </c>
      <c r="AR55" s="1340">
        <f t="shared" si="14"/>
        <v>0</v>
      </c>
      <c r="AS55" s="1340" t="str">
        <f t="shared" si="81"/>
        <v/>
      </c>
      <c r="AT55" s="1340">
        <f t="shared" si="15"/>
        <v>0</v>
      </c>
      <c r="AU55" s="898">
        <f t="shared" si="82"/>
        <v>0</v>
      </c>
      <c r="AV55" s="1340">
        <f t="shared" si="16"/>
        <v>0</v>
      </c>
      <c r="AW55" s="1340">
        <f t="shared" si="17"/>
        <v>0</v>
      </c>
      <c r="AX55" s="1340">
        <f t="shared" si="18"/>
        <v>0</v>
      </c>
      <c r="AY55" s="897">
        <f t="shared" si="83"/>
        <v>0</v>
      </c>
      <c r="AZ55" s="1340">
        <f t="shared" si="19"/>
        <v>0</v>
      </c>
      <c r="BA55" s="896">
        <f t="shared" si="84"/>
        <v>0</v>
      </c>
      <c r="BB55" s="899" t="str">
        <f t="shared" si="85"/>
        <v/>
      </c>
      <c r="BC55" s="899" t="str">
        <f t="shared" si="86"/>
        <v/>
      </c>
      <c r="BD55" s="1340">
        <f t="shared" si="20"/>
        <v>0</v>
      </c>
      <c r="BE55" s="1340">
        <f t="shared" si="21"/>
        <v>0</v>
      </c>
      <c r="BF55" s="1340">
        <f t="shared" si="22"/>
        <v>0</v>
      </c>
      <c r="BG55" s="1342" t="b">
        <f t="shared" si="106"/>
        <v>0</v>
      </c>
      <c r="BH55" s="299" t="str">
        <f t="shared" si="24"/>
        <v/>
      </c>
      <c r="BI55" s="1343">
        <f t="shared" si="107"/>
        <v>0</v>
      </c>
      <c r="BJ55" s="1344">
        <f t="shared" si="108"/>
        <v>0</v>
      </c>
      <c r="BK55" s="1344">
        <f t="shared" si="87"/>
        <v>0</v>
      </c>
      <c r="BL55" s="1345">
        <f t="shared" si="27"/>
        <v>0</v>
      </c>
      <c r="BM55" s="1346">
        <f t="shared" si="28"/>
        <v>0</v>
      </c>
      <c r="BN55" s="300">
        <f t="shared" si="109"/>
        <v>0</v>
      </c>
      <c r="BO55" s="300">
        <f t="shared" si="110"/>
        <v>0</v>
      </c>
      <c r="BP55" s="1344">
        <f t="shared" si="88"/>
        <v>0</v>
      </c>
      <c r="BQ55" s="301">
        <f t="shared" si="31"/>
        <v>0</v>
      </c>
      <c r="BR55" s="314"/>
      <c r="BS55" s="1343">
        <f t="shared" si="98"/>
        <v>0</v>
      </c>
      <c r="BT55" s="1344">
        <f t="shared" si="98"/>
        <v>0</v>
      </c>
      <c r="BU55" s="1344">
        <f t="shared" si="98"/>
        <v>0</v>
      </c>
      <c r="BV55" s="303">
        <f t="shared" si="98"/>
        <v>0</v>
      </c>
      <c r="BW55" s="304">
        <f t="shared" si="111"/>
        <v>0</v>
      </c>
      <c r="BX55" s="300">
        <f t="shared" si="112"/>
        <v>0</v>
      </c>
      <c r="BY55" s="1344">
        <f t="shared" si="89"/>
        <v>0</v>
      </c>
      <c r="BZ55" s="300">
        <f t="shared" si="90"/>
        <v>0</v>
      </c>
      <c r="CA55" s="301">
        <f t="shared" si="36"/>
        <v>0</v>
      </c>
      <c r="CB55" s="305" t="e">
        <f t="shared" si="113"/>
        <v>#DIV/0!</v>
      </c>
      <c r="CC55" s="304" t="e">
        <f t="shared" si="38"/>
        <v>#DIV/0!</v>
      </c>
      <c r="CD55" s="300">
        <f t="shared" si="39"/>
        <v>0</v>
      </c>
      <c r="CE55" s="306">
        <f t="shared" si="91"/>
        <v>0</v>
      </c>
      <c r="CF55" s="306">
        <f t="shared" si="40"/>
        <v>0</v>
      </c>
      <c r="CG55" s="307" t="e">
        <f t="shared" si="41"/>
        <v>#DIV/0!</v>
      </c>
      <c r="CH55" s="307" t="e">
        <f t="shared" si="114"/>
        <v>#DIV/0!</v>
      </c>
      <c r="CI55" s="308" t="e">
        <f t="shared" si="92"/>
        <v>#DIV/0!</v>
      </c>
      <c r="CJ55" s="309" t="e">
        <f t="shared" si="115"/>
        <v>#DIV/0!</v>
      </c>
      <c r="CK55" s="175" t="e">
        <f t="shared" si="93"/>
        <v>#DIV/0!</v>
      </c>
      <c r="CL55" s="175" t="str">
        <f t="shared" si="116"/>
        <v/>
      </c>
      <c r="CM55" s="310" t="e">
        <f t="shared" si="94"/>
        <v>#DIV/0!</v>
      </c>
      <c r="CN55" s="311" t="e">
        <f t="shared" si="95"/>
        <v>#DIV/0!</v>
      </c>
      <c r="CO55" s="311">
        <f t="shared" si="96"/>
        <v>0</v>
      </c>
      <c r="CP55" s="175">
        <f t="shared" si="45"/>
        <v>1</v>
      </c>
      <c r="CQ55" s="175">
        <f t="shared" si="46"/>
        <v>1</v>
      </c>
      <c r="CR55" s="175" t="str">
        <f t="shared" si="117"/>
        <v/>
      </c>
      <c r="CS55" s="175">
        <f t="shared" si="48"/>
        <v>0</v>
      </c>
      <c r="CT55" s="312">
        <f t="shared" si="49"/>
        <v>0</v>
      </c>
      <c r="CU55" s="175" t="str">
        <f t="shared" si="50"/>
        <v>OK</v>
      </c>
      <c r="CV55" s="313">
        <f t="shared" si="51"/>
        <v>0.05</v>
      </c>
      <c r="CW55" s="312" t="e">
        <f t="shared" si="118"/>
        <v>#DIV/0!</v>
      </c>
      <c r="CX55" s="312" t="e">
        <f t="shared" si="119"/>
        <v>#DIV/0!</v>
      </c>
      <c r="CY55" s="312" t="e">
        <f t="shared" si="120"/>
        <v>#DIV/0!</v>
      </c>
      <c r="CZ55" s="312" t="e">
        <f t="shared" si="121"/>
        <v>#DIV/0!</v>
      </c>
      <c r="DA55" s="312">
        <f t="shared" si="122"/>
        <v>1</v>
      </c>
      <c r="DB55" s="312">
        <f t="shared" si="57"/>
        <v>0</v>
      </c>
      <c r="DC55" s="175" t="str">
        <f t="shared" si="123"/>
        <v>Soft</v>
      </c>
      <c r="DD55" s="175"/>
      <c r="DE55" s="175">
        <f t="shared" si="124"/>
        <v>0</v>
      </c>
      <c r="DF55" s="312" t="e">
        <f t="shared" si="125"/>
        <v>#DIV/0!</v>
      </c>
      <c r="DG55" s="312" t="e">
        <f t="shared" si="126"/>
        <v>#DIV/0!</v>
      </c>
      <c r="DH55" s="312" t="e">
        <f t="shared" si="127"/>
        <v>#DIV/0!</v>
      </c>
      <c r="DI55" s="312" t="e">
        <f t="shared" si="128"/>
        <v>#DIV/0!</v>
      </c>
      <c r="DJ55" s="312" t="e">
        <f t="shared" si="97"/>
        <v>#DIV/0!</v>
      </c>
      <c r="DK55" s="175"/>
      <c r="DL55" s="175"/>
      <c r="DM55" s="175"/>
      <c r="DN55" s="175">
        <f t="shared" si="129"/>
        <v>1</v>
      </c>
      <c r="DO55" s="312" t="e">
        <f t="shared" si="130"/>
        <v>#DIV/0!</v>
      </c>
      <c r="DP55" s="312" t="e">
        <f t="shared" si="131"/>
        <v>#DIV/0!</v>
      </c>
      <c r="DQ55" s="312" t="e">
        <f t="shared" si="132"/>
        <v>#DIV/0!</v>
      </c>
      <c r="DR55" s="312" t="e">
        <f t="shared" si="133"/>
        <v>#DIV/0!</v>
      </c>
      <c r="DS55" s="312" t="e">
        <f t="shared" si="134"/>
        <v>#DIV/0!</v>
      </c>
      <c r="DT55" s="312" t="e">
        <f t="shared" si="135"/>
        <v>#DIV/0!</v>
      </c>
      <c r="DU55" s="312">
        <f t="shared" si="71"/>
        <v>0</v>
      </c>
      <c r="DV55" s="175"/>
      <c r="DW55" s="175" t="b">
        <f t="shared" si="136"/>
        <v>1</v>
      </c>
      <c r="DX55" s="175" t="b">
        <f t="shared" si="136"/>
        <v>1</v>
      </c>
      <c r="DY55" s="175" t="b">
        <f t="shared" si="136"/>
        <v>1</v>
      </c>
      <c r="DZ55" s="175" t="b">
        <f t="shared" si="136"/>
        <v>1</v>
      </c>
      <c r="EA55" s="175" t="b">
        <f t="shared" si="136"/>
        <v>1</v>
      </c>
      <c r="EB55" s="168"/>
    </row>
    <row r="56" spans="1:132" s="140" customFormat="1" ht="18.5" hidden="1" thickBot="1" x14ac:dyDescent="0.45">
      <c r="A56" s="150"/>
      <c r="B56" s="296" t="str">
        <f t="shared" si="73"/>
        <v>-</v>
      </c>
      <c r="C56" s="279">
        <v>37</v>
      </c>
      <c r="D56" s="1557"/>
      <c r="E56" s="1558"/>
      <c r="F56" s="977"/>
      <c r="G56" s="1103"/>
      <c r="H56" s="978"/>
      <c r="I56" s="965"/>
      <c r="J56" s="1325"/>
      <c r="K56" s="1326"/>
      <c r="L56" s="1326"/>
      <c r="M56" s="1326"/>
      <c r="N56" s="1327"/>
      <c r="O56" s="974"/>
      <c r="P56" s="975"/>
      <c r="Q56" s="976"/>
      <c r="R56" s="966"/>
      <c r="S56" s="280" t="str">
        <f t="shared" si="99"/>
        <v/>
      </c>
      <c r="T56" s="281" t="str">
        <f t="shared" si="100"/>
        <v/>
      </c>
      <c r="U56" s="282">
        <f t="shared" si="101"/>
        <v>0</v>
      </c>
      <c r="V56" s="259" t="str">
        <f t="shared" si="102"/>
        <v/>
      </c>
      <c r="W56" s="260" t="str">
        <f t="shared" si="103"/>
        <v/>
      </c>
      <c r="X56" s="283">
        <f t="shared" si="4"/>
        <v>0</v>
      </c>
      <c r="Y56" s="284" t="str">
        <f t="shared" si="104"/>
        <v/>
      </c>
      <c r="Z56" s="150"/>
      <c r="AA56" s="175"/>
      <c r="AB56" s="175">
        <v>37</v>
      </c>
      <c r="AC56" s="297" t="str">
        <f t="shared" si="6"/>
        <v>-</v>
      </c>
      <c r="AD56" s="297">
        <f t="shared" si="77"/>
        <v>0</v>
      </c>
      <c r="AE56" s="297">
        <f t="shared" si="78"/>
        <v>0</v>
      </c>
      <c r="AF56" s="297"/>
      <c r="AG56" s="298">
        <f t="shared" si="79"/>
        <v>0</v>
      </c>
      <c r="AH56" s="1339">
        <f t="shared" si="7"/>
        <v>0</v>
      </c>
      <c r="AI56" s="1340">
        <f>IF(SUM(AH56:AH$99)=0,0,F56&gt;0)</f>
        <v>0</v>
      </c>
      <c r="AJ56" s="1339">
        <f t="shared" si="8"/>
        <v>0</v>
      </c>
      <c r="AK56" s="1340">
        <f>IF(SUM(AH56:AH$99)=0,0,AND(AI56=FALSE,AJ56=0,SUM(AJ56:AJ$99)&gt;0))</f>
        <v>0</v>
      </c>
      <c r="AL56" s="1340">
        <f t="shared" si="9"/>
        <v>0</v>
      </c>
      <c r="AM56" s="1340">
        <f t="shared" si="10"/>
        <v>0</v>
      </c>
      <c r="AN56" s="1341">
        <f t="shared" si="11"/>
        <v>0</v>
      </c>
      <c r="AO56" s="1341">
        <f t="shared" si="12"/>
        <v>0</v>
      </c>
      <c r="AP56" s="264">
        <f t="shared" si="105"/>
        <v>0</v>
      </c>
      <c r="AQ56" s="264">
        <f t="shared" si="80"/>
        <v>0</v>
      </c>
      <c r="AR56" s="1340">
        <f t="shared" si="14"/>
        <v>0</v>
      </c>
      <c r="AS56" s="1340" t="str">
        <f t="shared" si="81"/>
        <v/>
      </c>
      <c r="AT56" s="1340">
        <f t="shared" si="15"/>
        <v>0</v>
      </c>
      <c r="AU56" s="898">
        <f t="shared" si="82"/>
        <v>0</v>
      </c>
      <c r="AV56" s="1340">
        <f t="shared" si="16"/>
        <v>0</v>
      </c>
      <c r="AW56" s="1340">
        <f t="shared" si="17"/>
        <v>0</v>
      </c>
      <c r="AX56" s="1340">
        <f t="shared" si="18"/>
        <v>0</v>
      </c>
      <c r="AY56" s="897">
        <f t="shared" si="83"/>
        <v>0</v>
      </c>
      <c r="AZ56" s="1340">
        <f t="shared" si="19"/>
        <v>0</v>
      </c>
      <c r="BA56" s="896">
        <f t="shared" si="84"/>
        <v>0</v>
      </c>
      <c r="BB56" s="899" t="str">
        <f t="shared" si="85"/>
        <v/>
      </c>
      <c r="BC56" s="899" t="str">
        <f t="shared" si="86"/>
        <v/>
      </c>
      <c r="BD56" s="1340">
        <f t="shared" si="20"/>
        <v>0</v>
      </c>
      <c r="BE56" s="1340">
        <f t="shared" si="21"/>
        <v>0</v>
      </c>
      <c r="BF56" s="1340">
        <f t="shared" si="22"/>
        <v>0</v>
      </c>
      <c r="BG56" s="1342" t="b">
        <f t="shared" si="106"/>
        <v>0</v>
      </c>
      <c r="BH56" s="299" t="str">
        <f t="shared" si="24"/>
        <v/>
      </c>
      <c r="BI56" s="1343">
        <f t="shared" si="107"/>
        <v>0</v>
      </c>
      <c r="BJ56" s="1344">
        <f t="shared" si="108"/>
        <v>0</v>
      </c>
      <c r="BK56" s="1344">
        <f t="shared" si="87"/>
        <v>0</v>
      </c>
      <c r="BL56" s="1345">
        <f t="shared" si="27"/>
        <v>0</v>
      </c>
      <c r="BM56" s="1346">
        <f t="shared" si="28"/>
        <v>0</v>
      </c>
      <c r="BN56" s="300">
        <f t="shared" si="109"/>
        <v>0</v>
      </c>
      <c r="BO56" s="300">
        <f t="shared" si="110"/>
        <v>0</v>
      </c>
      <c r="BP56" s="1344">
        <f t="shared" si="88"/>
        <v>0</v>
      </c>
      <c r="BQ56" s="301">
        <f t="shared" si="31"/>
        <v>0</v>
      </c>
      <c r="BR56" s="314"/>
      <c r="BS56" s="1343">
        <f t="shared" si="98"/>
        <v>0</v>
      </c>
      <c r="BT56" s="1344">
        <f t="shared" si="98"/>
        <v>0</v>
      </c>
      <c r="BU56" s="1344">
        <f t="shared" si="98"/>
        <v>0</v>
      </c>
      <c r="BV56" s="303">
        <f t="shared" si="98"/>
        <v>0</v>
      </c>
      <c r="BW56" s="304">
        <f t="shared" si="111"/>
        <v>0</v>
      </c>
      <c r="BX56" s="300">
        <f t="shared" si="112"/>
        <v>0</v>
      </c>
      <c r="BY56" s="1344">
        <f t="shared" si="89"/>
        <v>0</v>
      </c>
      <c r="BZ56" s="300">
        <f t="shared" si="90"/>
        <v>0</v>
      </c>
      <c r="CA56" s="301">
        <f t="shared" si="36"/>
        <v>0</v>
      </c>
      <c r="CB56" s="305" t="e">
        <f t="shared" si="113"/>
        <v>#DIV/0!</v>
      </c>
      <c r="CC56" s="304" t="e">
        <f t="shared" si="38"/>
        <v>#DIV/0!</v>
      </c>
      <c r="CD56" s="300">
        <f t="shared" si="39"/>
        <v>0</v>
      </c>
      <c r="CE56" s="306">
        <f t="shared" si="91"/>
        <v>0</v>
      </c>
      <c r="CF56" s="306">
        <f t="shared" si="40"/>
        <v>0</v>
      </c>
      <c r="CG56" s="307" t="e">
        <f t="shared" si="41"/>
        <v>#DIV/0!</v>
      </c>
      <c r="CH56" s="307" t="e">
        <f t="shared" si="114"/>
        <v>#DIV/0!</v>
      </c>
      <c r="CI56" s="308" t="e">
        <f t="shared" si="92"/>
        <v>#DIV/0!</v>
      </c>
      <c r="CJ56" s="309" t="e">
        <f t="shared" si="115"/>
        <v>#DIV/0!</v>
      </c>
      <c r="CK56" s="175" t="e">
        <f t="shared" si="93"/>
        <v>#DIV/0!</v>
      </c>
      <c r="CL56" s="175" t="str">
        <f t="shared" si="116"/>
        <v/>
      </c>
      <c r="CM56" s="310" t="e">
        <f t="shared" si="94"/>
        <v>#DIV/0!</v>
      </c>
      <c r="CN56" s="311" t="e">
        <f t="shared" si="95"/>
        <v>#DIV/0!</v>
      </c>
      <c r="CO56" s="311">
        <f t="shared" si="96"/>
        <v>0</v>
      </c>
      <c r="CP56" s="175">
        <f t="shared" si="45"/>
        <v>1</v>
      </c>
      <c r="CQ56" s="175">
        <f t="shared" si="46"/>
        <v>1</v>
      </c>
      <c r="CR56" s="175" t="str">
        <f t="shared" si="117"/>
        <v/>
      </c>
      <c r="CS56" s="175">
        <f t="shared" si="48"/>
        <v>0</v>
      </c>
      <c r="CT56" s="312">
        <f t="shared" si="49"/>
        <v>0</v>
      </c>
      <c r="CU56" s="175" t="str">
        <f t="shared" si="50"/>
        <v>OK</v>
      </c>
      <c r="CV56" s="313">
        <f t="shared" si="51"/>
        <v>0.05</v>
      </c>
      <c r="CW56" s="312" t="e">
        <f t="shared" si="118"/>
        <v>#DIV/0!</v>
      </c>
      <c r="CX56" s="312" t="e">
        <f t="shared" si="119"/>
        <v>#DIV/0!</v>
      </c>
      <c r="CY56" s="312" t="e">
        <f t="shared" si="120"/>
        <v>#DIV/0!</v>
      </c>
      <c r="CZ56" s="312" t="e">
        <f t="shared" si="121"/>
        <v>#DIV/0!</v>
      </c>
      <c r="DA56" s="312">
        <f t="shared" si="122"/>
        <v>1</v>
      </c>
      <c r="DB56" s="312">
        <f t="shared" si="57"/>
        <v>0</v>
      </c>
      <c r="DC56" s="175" t="str">
        <f t="shared" si="123"/>
        <v>Soft</v>
      </c>
      <c r="DD56" s="175"/>
      <c r="DE56" s="175">
        <f t="shared" si="124"/>
        <v>0</v>
      </c>
      <c r="DF56" s="312" t="e">
        <f t="shared" si="125"/>
        <v>#DIV/0!</v>
      </c>
      <c r="DG56" s="312" t="e">
        <f t="shared" si="126"/>
        <v>#DIV/0!</v>
      </c>
      <c r="DH56" s="312" t="e">
        <f t="shared" si="127"/>
        <v>#DIV/0!</v>
      </c>
      <c r="DI56" s="312" t="e">
        <f t="shared" si="128"/>
        <v>#DIV/0!</v>
      </c>
      <c r="DJ56" s="312" t="e">
        <f t="shared" si="97"/>
        <v>#DIV/0!</v>
      </c>
      <c r="DK56" s="175"/>
      <c r="DL56" s="175"/>
      <c r="DM56" s="175"/>
      <c r="DN56" s="175">
        <f t="shared" si="129"/>
        <v>1</v>
      </c>
      <c r="DO56" s="312" t="e">
        <f t="shared" si="130"/>
        <v>#DIV/0!</v>
      </c>
      <c r="DP56" s="312" t="e">
        <f t="shared" si="131"/>
        <v>#DIV/0!</v>
      </c>
      <c r="DQ56" s="312" t="e">
        <f t="shared" si="132"/>
        <v>#DIV/0!</v>
      </c>
      <c r="DR56" s="312" t="e">
        <f t="shared" si="133"/>
        <v>#DIV/0!</v>
      </c>
      <c r="DS56" s="312" t="e">
        <f t="shared" si="134"/>
        <v>#DIV/0!</v>
      </c>
      <c r="DT56" s="312" t="e">
        <f t="shared" si="135"/>
        <v>#DIV/0!</v>
      </c>
      <c r="DU56" s="312">
        <f t="shared" si="71"/>
        <v>0</v>
      </c>
      <c r="DV56" s="175"/>
      <c r="DW56" s="175" t="b">
        <f t="shared" si="136"/>
        <v>1</v>
      </c>
      <c r="DX56" s="175" t="b">
        <f t="shared" si="136"/>
        <v>1</v>
      </c>
      <c r="DY56" s="175" t="b">
        <f t="shared" si="136"/>
        <v>1</v>
      </c>
      <c r="DZ56" s="175" t="b">
        <f t="shared" si="136"/>
        <v>1</v>
      </c>
      <c r="EA56" s="175" t="b">
        <f t="shared" si="136"/>
        <v>1</v>
      </c>
      <c r="EB56" s="168"/>
    </row>
    <row r="57" spans="1:132" s="140" customFormat="1" ht="18.5" hidden="1" thickBot="1" x14ac:dyDescent="0.45">
      <c r="A57" s="150"/>
      <c r="B57" s="296" t="str">
        <f t="shared" si="73"/>
        <v>-</v>
      </c>
      <c r="C57" s="279">
        <v>38</v>
      </c>
      <c r="D57" s="1557"/>
      <c r="E57" s="1558"/>
      <c r="F57" s="977"/>
      <c r="G57" s="1103"/>
      <c r="H57" s="978"/>
      <c r="I57" s="965"/>
      <c r="J57" s="1325"/>
      <c r="K57" s="1326"/>
      <c r="L57" s="1326"/>
      <c r="M57" s="1326"/>
      <c r="N57" s="1327"/>
      <c r="O57" s="974"/>
      <c r="P57" s="975"/>
      <c r="Q57" s="976"/>
      <c r="R57" s="966"/>
      <c r="S57" s="280" t="str">
        <f t="shared" si="99"/>
        <v/>
      </c>
      <c r="T57" s="281" t="str">
        <f t="shared" si="100"/>
        <v/>
      </c>
      <c r="U57" s="282">
        <f t="shared" si="101"/>
        <v>0</v>
      </c>
      <c r="V57" s="259" t="str">
        <f t="shared" si="102"/>
        <v/>
      </c>
      <c r="W57" s="260" t="str">
        <f t="shared" si="103"/>
        <v/>
      </c>
      <c r="X57" s="283">
        <f t="shared" si="4"/>
        <v>0</v>
      </c>
      <c r="Y57" s="284" t="str">
        <f t="shared" si="104"/>
        <v/>
      </c>
      <c r="Z57" s="150"/>
      <c r="AA57" s="175"/>
      <c r="AB57" s="175">
        <v>38</v>
      </c>
      <c r="AC57" s="297" t="str">
        <f t="shared" si="6"/>
        <v>-</v>
      </c>
      <c r="AD57" s="297">
        <f t="shared" si="77"/>
        <v>0</v>
      </c>
      <c r="AE57" s="297">
        <f t="shared" si="78"/>
        <v>0</v>
      </c>
      <c r="AF57" s="297"/>
      <c r="AG57" s="298">
        <f t="shared" si="79"/>
        <v>0</v>
      </c>
      <c r="AH57" s="1339">
        <f t="shared" si="7"/>
        <v>0</v>
      </c>
      <c r="AI57" s="1340">
        <f>IF(SUM(AH57:AH$99)=0,0,F57&gt;0)</f>
        <v>0</v>
      </c>
      <c r="AJ57" s="1339">
        <f t="shared" si="8"/>
        <v>0</v>
      </c>
      <c r="AK57" s="1340">
        <f>IF(SUM(AH57:AH$99)=0,0,AND(AI57=FALSE,AJ57=0,SUM(AJ57:AJ$99)&gt;0))</f>
        <v>0</v>
      </c>
      <c r="AL57" s="1340">
        <f t="shared" si="9"/>
        <v>0</v>
      </c>
      <c r="AM57" s="1340">
        <f t="shared" si="10"/>
        <v>0</v>
      </c>
      <c r="AN57" s="1341">
        <f t="shared" si="11"/>
        <v>0</v>
      </c>
      <c r="AO57" s="1341">
        <f t="shared" si="12"/>
        <v>0</v>
      </c>
      <c r="AP57" s="264">
        <f t="shared" si="105"/>
        <v>0</v>
      </c>
      <c r="AQ57" s="264">
        <f t="shared" si="80"/>
        <v>0</v>
      </c>
      <c r="AR57" s="1340">
        <f t="shared" si="14"/>
        <v>0</v>
      </c>
      <c r="AS57" s="1340" t="str">
        <f t="shared" si="81"/>
        <v/>
      </c>
      <c r="AT57" s="1340">
        <f t="shared" si="15"/>
        <v>0</v>
      </c>
      <c r="AU57" s="898">
        <f t="shared" si="82"/>
        <v>0</v>
      </c>
      <c r="AV57" s="1340">
        <f t="shared" si="16"/>
        <v>0</v>
      </c>
      <c r="AW57" s="1340">
        <f t="shared" si="17"/>
        <v>0</v>
      </c>
      <c r="AX57" s="1340">
        <f t="shared" si="18"/>
        <v>0</v>
      </c>
      <c r="AY57" s="897">
        <f t="shared" si="83"/>
        <v>0</v>
      </c>
      <c r="AZ57" s="1340">
        <f t="shared" si="19"/>
        <v>0</v>
      </c>
      <c r="BA57" s="896">
        <f t="shared" si="84"/>
        <v>0</v>
      </c>
      <c r="BB57" s="899" t="str">
        <f t="shared" si="85"/>
        <v/>
      </c>
      <c r="BC57" s="899" t="str">
        <f t="shared" si="86"/>
        <v/>
      </c>
      <c r="BD57" s="1340">
        <f t="shared" si="20"/>
        <v>0</v>
      </c>
      <c r="BE57" s="1340">
        <f t="shared" si="21"/>
        <v>0</v>
      </c>
      <c r="BF57" s="1340">
        <f t="shared" si="22"/>
        <v>0</v>
      </c>
      <c r="BG57" s="1342" t="b">
        <f t="shared" si="106"/>
        <v>0</v>
      </c>
      <c r="BH57" s="299" t="str">
        <f t="shared" si="24"/>
        <v/>
      </c>
      <c r="BI57" s="1343">
        <f t="shared" si="107"/>
        <v>0</v>
      </c>
      <c r="BJ57" s="1344">
        <f t="shared" si="108"/>
        <v>0</v>
      </c>
      <c r="BK57" s="1344">
        <f t="shared" si="87"/>
        <v>0</v>
      </c>
      <c r="BL57" s="1345">
        <f t="shared" si="27"/>
        <v>0</v>
      </c>
      <c r="BM57" s="1346">
        <f t="shared" si="28"/>
        <v>0</v>
      </c>
      <c r="BN57" s="300">
        <f t="shared" si="109"/>
        <v>0</v>
      </c>
      <c r="BO57" s="300">
        <f t="shared" si="110"/>
        <v>0</v>
      </c>
      <c r="BP57" s="1344">
        <f t="shared" si="88"/>
        <v>0</v>
      </c>
      <c r="BQ57" s="301">
        <f t="shared" si="31"/>
        <v>0</v>
      </c>
      <c r="BR57" s="314"/>
      <c r="BS57" s="1343">
        <f t="shared" si="98"/>
        <v>0</v>
      </c>
      <c r="BT57" s="1344">
        <f t="shared" si="98"/>
        <v>0</v>
      </c>
      <c r="BU57" s="1344">
        <f t="shared" si="98"/>
        <v>0</v>
      </c>
      <c r="BV57" s="303">
        <f t="shared" si="98"/>
        <v>0</v>
      </c>
      <c r="BW57" s="304">
        <f t="shared" si="111"/>
        <v>0</v>
      </c>
      <c r="BX57" s="300">
        <f t="shared" si="112"/>
        <v>0</v>
      </c>
      <c r="BY57" s="1344">
        <f t="shared" si="89"/>
        <v>0</v>
      </c>
      <c r="BZ57" s="300">
        <f t="shared" si="90"/>
        <v>0</v>
      </c>
      <c r="CA57" s="301">
        <f t="shared" si="36"/>
        <v>0</v>
      </c>
      <c r="CB57" s="305" t="e">
        <f t="shared" si="113"/>
        <v>#DIV/0!</v>
      </c>
      <c r="CC57" s="304" t="e">
        <f t="shared" si="38"/>
        <v>#DIV/0!</v>
      </c>
      <c r="CD57" s="300">
        <f t="shared" si="39"/>
        <v>0</v>
      </c>
      <c r="CE57" s="306">
        <f t="shared" si="91"/>
        <v>0</v>
      </c>
      <c r="CF57" s="306">
        <f t="shared" si="40"/>
        <v>0</v>
      </c>
      <c r="CG57" s="307" t="e">
        <f t="shared" si="41"/>
        <v>#DIV/0!</v>
      </c>
      <c r="CH57" s="307" t="e">
        <f t="shared" si="114"/>
        <v>#DIV/0!</v>
      </c>
      <c r="CI57" s="308" t="e">
        <f t="shared" si="92"/>
        <v>#DIV/0!</v>
      </c>
      <c r="CJ57" s="309" t="e">
        <f t="shared" si="115"/>
        <v>#DIV/0!</v>
      </c>
      <c r="CK57" s="175" t="e">
        <f t="shared" si="93"/>
        <v>#DIV/0!</v>
      </c>
      <c r="CL57" s="175" t="str">
        <f t="shared" si="116"/>
        <v/>
      </c>
      <c r="CM57" s="310" t="e">
        <f t="shared" si="94"/>
        <v>#DIV/0!</v>
      </c>
      <c r="CN57" s="311" t="e">
        <f t="shared" si="95"/>
        <v>#DIV/0!</v>
      </c>
      <c r="CO57" s="311">
        <f t="shared" si="96"/>
        <v>0</v>
      </c>
      <c r="CP57" s="175">
        <f t="shared" si="45"/>
        <v>1</v>
      </c>
      <c r="CQ57" s="175">
        <f t="shared" si="46"/>
        <v>1</v>
      </c>
      <c r="CR57" s="175" t="str">
        <f t="shared" si="117"/>
        <v/>
      </c>
      <c r="CS57" s="175">
        <f t="shared" si="48"/>
        <v>0</v>
      </c>
      <c r="CT57" s="312">
        <f t="shared" si="49"/>
        <v>0</v>
      </c>
      <c r="CU57" s="175" t="str">
        <f t="shared" si="50"/>
        <v>OK</v>
      </c>
      <c r="CV57" s="313">
        <f t="shared" si="51"/>
        <v>0.05</v>
      </c>
      <c r="CW57" s="312" t="e">
        <f t="shared" si="118"/>
        <v>#DIV/0!</v>
      </c>
      <c r="CX57" s="312" t="e">
        <f t="shared" si="119"/>
        <v>#DIV/0!</v>
      </c>
      <c r="CY57" s="312" t="e">
        <f t="shared" si="120"/>
        <v>#DIV/0!</v>
      </c>
      <c r="CZ57" s="312" t="e">
        <f t="shared" si="121"/>
        <v>#DIV/0!</v>
      </c>
      <c r="DA57" s="312">
        <f t="shared" si="122"/>
        <v>1</v>
      </c>
      <c r="DB57" s="312">
        <f t="shared" si="57"/>
        <v>0</v>
      </c>
      <c r="DC57" s="175" t="str">
        <f t="shared" si="123"/>
        <v>Soft</v>
      </c>
      <c r="DD57" s="175"/>
      <c r="DE57" s="175">
        <f t="shared" si="124"/>
        <v>0</v>
      </c>
      <c r="DF57" s="312" t="e">
        <f t="shared" si="125"/>
        <v>#DIV/0!</v>
      </c>
      <c r="DG57" s="312" t="e">
        <f t="shared" si="126"/>
        <v>#DIV/0!</v>
      </c>
      <c r="DH57" s="312" t="e">
        <f t="shared" si="127"/>
        <v>#DIV/0!</v>
      </c>
      <c r="DI57" s="312" t="e">
        <f t="shared" si="128"/>
        <v>#DIV/0!</v>
      </c>
      <c r="DJ57" s="312" t="e">
        <f t="shared" si="97"/>
        <v>#DIV/0!</v>
      </c>
      <c r="DK57" s="175"/>
      <c r="DL57" s="175"/>
      <c r="DM57" s="175"/>
      <c r="DN57" s="175">
        <f t="shared" si="129"/>
        <v>1</v>
      </c>
      <c r="DO57" s="312" t="e">
        <f t="shared" si="130"/>
        <v>#DIV/0!</v>
      </c>
      <c r="DP57" s="312" t="e">
        <f t="shared" si="131"/>
        <v>#DIV/0!</v>
      </c>
      <c r="DQ57" s="312" t="e">
        <f t="shared" si="132"/>
        <v>#DIV/0!</v>
      </c>
      <c r="DR57" s="312" t="e">
        <f t="shared" si="133"/>
        <v>#DIV/0!</v>
      </c>
      <c r="DS57" s="312" t="e">
        <f t="shared" si="134"/>
        <v>#DIV/0!</v>
      </c>
      <c r="DT57" s="312" t="e">
        <f t="shared" si="135"/>
        <v>#DIV/0!</v>
      </c>
      <c r="DU57" s="312">
        <f t="shared" si="71"/>
        <v>0</v>
      </c>
      <c r="DV57" s="175"/>
      <c r="DW57" s="175" t="b">
        <f t="shared" si="136"/>
        <v>1</v>
      </c>
      <c r="DX57" s="175" t="b">
        <f t="shared" si="136"/>
        <v>1</v>
      </c>
      <c r="DY57" s="175" t="b">
        <f t="shared" si="136"/>
        <v>1</v>
      </c>
      <c r="DZ57" s="175" t="b">
        <f t="shared" si="136"/>
        <v>1</v>
      </c>
      <c r="EA57" s="175" t="b">
        <f t="shared" si="136"/>
        <v>1</v>
      </c>
      <c r="EB57" s="168"/>
    </row>
    <row r="58" spans="1:132" s="140" customFormat="1" ht="18.5" hidden="1" thickBot="1" x14ac:dyDescent="0.45">
      <c r="A58" s="150"/>
      <c r="B58" s="296" t="str">
        <f t="shared" si="73"/>
        <v>-</v>
      </c>
      <c r="C58" s="279">
        <v>39</v>
      </c>
      <c r="D58" s="1557"/>
      <c r="E58" s="1558"/>
      <c r="F58" s="977"/>
      <c r="G58" s="1103"/>
      <c r="H58" s="978"/>
      <c r="I58" s="965"/>
      <c r="J58" s="1325"/>
      <c r="K58" s="1326"/>
      <c r="L58" s="1326"/>
      <c r="M58" s="1326"/>
      <c r="N58" s="1327"/>
      <c r="O58" s="974"/>
      <c r="P58" s="975"/>
      <c r="Q58" s="976"/>
      <c r="R58" s="966"/>
      <c r="S58" s="280" t="str">
        <f t="shared" si="99"/>
        <v/>
      </c>
      <c r="T58" s="281" t="str">
        <f t="shared" si="100"/>
        <v/>
      </c>
      <c r="U58" s="282">
        <f t="shared" si="101"/>
        <v>0</v>
      </c>
      <c r="V58" s="259" t="str">
        <f t="shared" si="102"/>
        <v/>
      </c>
      <c r="W58" s="260" t="str">
        <f t="shared" si="103"/>
        <v/>
      </c>
      <c r="X58" s="283">
        <f t="shared" si="4"/>
        <v>0</v>
      </c>
      <c r="Y58" s="284" t="str">
        <f t="shared" si="104"/>
        <v/>
      </c>
      <c r="Z58" s="150"/>
      <c r="AA58" s="175"/>
      <c r="AB58" s="175">
        <v>39</v>
      </c>
      <c r="AC58" s="297" t="str">
        <f t="shared" si="6"/>
        <v>-</v>
      </c>
      <c r="AD58" s="297">
        <f t="shared" si="77"/>
        <v>0</v>
      </c>
      <c r="AE58" s="297">
        <f t="shared" si="78"/>
        <v>0</v>
      </c>
      <c r="AF58" s="297"/>
      <c r="AG58" s="298">
        <f t="shared" si="79"/>
        <v>0</v>
      </c>
      <c r="AH58" s="1339">
        <f t="shared" si="7"/>
        <v>0</v>
      </c>
      <c r="AI58" s="1340">
        <f>IF(SUM(AH58:AH$99)=0,0,F58&gt;0)</f>
        <v>0</v>
      </c>
      <c r="AJ58" s="1339">
        <f t="shared" si="8"/>
        <v>0</v>
      </c>
      <c r="AK58" s="1340">
        <f>IF(SUM(AH58:AH$99)=0,0,AND(AI58=FALSE,AJ58=0,SUM(AJ58:AJ$99)&gt;0))</f>
        <v>0</v>
      </c>
      <c r="AL58" s="1340">
        <f t="shared" si="9"/>
        <v>0</v>
      </c>
      <c r="AM58" s="1340">
        <f t="shared" si="10"/>
        <v>0</v>
      </c>
      <c r="AN58" s="1341">
        <f t="shared" si="11"/>
        <v>0</v>
      </c>
      <c r="AO58" s="1341">
        <f t="shared" si="12"/>
        <v>0</v>
      </c>
      <c r="AP58" s="264">
        <f t="shared" si="105"/>
        <v>0</v>
      </c>
      <c r="AQ58" s="264">
        <f t="shared" si="80"/>
        <v>0</v>
      </c>
      <c r="AR58" s="1340">
        <f t="shared" si="14"/>
        <v>0</v>
      </c>
      <c r="AS58" s="1340" t="str">
        <f t="shared" si="81"/>
        <v/>
      </c>
      <c r="AT58" s="1340">
        <f t="shared" si="15"/>
        <v>0</v>
      </c>
      <c r="AU58" s="898">
        <f t="shared" si="82"/>
        <v>0</v>
      </c>
      <c r="AV58" s="1340">
        <f t="shared" si="16"/>
        <v>0</v>
      </c>
      <c r="AW58" s="1340">
        <f t="shared" si="17"/>
        <v>0</v>
      </c>
      <c r="AX58" s="1340">
        <f t="shared" si="18"/>
        <v>0</v>
      </c>
      <c r="AY58" s="897">
        <f t="shared" si="83"/>
        <v>0</v>
      </c>
      <c r="AZ58" s="1340">
        <f t="shared" si="19"/>
        <v>0</v>
      </c>
      <c r="BA58" s="896">
        <f t="shared" si="84"/>
        <v>0</v>
      </c>
      <c r="BB58" s="899" t="str">
        <f t="shared" si="85"/>
        <v/>
      </c>
      <c r="BC58" s="899" t="str">
        <f t="shared" si="86"/>
        <v/>
      </c>
      <c r="BD58" s="1340">
        <f t="shared" si="20"/>
        <v>0</v>
      </c>
      <c r="BE58" s="1340">
        <f t="shared" si="21"/>
        <v>0</v>
      </c>
      <c r="BF58" s="1340">
        <f t="shared" si="22"/>
        <v>0</v>
      </c>
      <c r="BG58" s="1342" t="b">
        <f t="shared" si="106"/>
        <v>0</v>
      </c>
      <c r="BH58" s="299" t="str">
        <f t="shared" si="24"/>
        <v/>
      </c>
      <c r="BI58" s="1343">
        <f t="shared" si="107"/>
        <v>0</v>
      </c>
      <c r="BJ58" s="1344">
        <f t="shared" si="108"/>
        <v>0</v>
      </c>
      <c r="BK58" s="1344">
        <f t="shared" si="87"/>
        <v>0</v>
      </c>
      <c r="BL58" s="1345">
        <f t="shared" si="27"/>
        <v>0</v>
      </c>
      <c r="BM58" s="1346">
        <f t="shared" si="28"/>
        <v>0</v>
      </c>
      <c r="BN58" s="300">
        <f t="shared" si="109"/>
        <v>0</v>
      </c>
      <c r="BO58" s="300">
        <f t="shared" si="110"/>
        <v>0</v>
      </c>
      <c r="BP58" s="1344">
        <f t="shared" si="88"/>
        <v>0</v>
      </c>
      <c r="BQ58" s="301">
        <f t="shared" si="31"/>
        <v>0</v>
      </c>
      <c r="BR58" s="314"/>
      <c r="BS58" s="1343">
        <f t="shared" si="98"/>
        <v>0</v>
      </c>
      <c r="BT58" s="1344">
        <f t="shared" si="98"/>
        <v>0</v>
      </c>
      <c r="BU58" s="1344">
        <f t="shared" si="98"/>
        <v>0</v>
      </c>
      <c r="BV58" s="303">
        <f t="shared" si="98"/>
        <v>0</v>
      </c>
      <c r="BW58" s="304">
        <f t="shared" si="111"/>
        <v>0</v>
      </c>
      <c r="BX58" s="300">
        <f t="shared" si="112"/>
        <v>0</v>
      </c>
      <c r="BY58" s="1344">
        <f t="shared" si="89"/>
        <v>0</v>
      </c>
      <c r="BZ58" s="300">
        <f t="shared" si="90"/>
        <v>0</v>
      </c>
      <c r="CA58" s="301">
        <f t="shared" si="36"/>
        <v>0</v>
      </c>
      <c r="CB58" s="305" t="e">
        <f t="shared" si="113"/>
        <v>#DIV/0!</v>
      </c>
      <c r="CC58" s="304" t="e">
        <f t="shared" si="38"/>
        <v>#DIV/0!</v>
      </c>
      <c r="CD58" s="300">
        <f t="shared" si="39"/>
        <v>0</v>
      </c>
      <c r="CE58" s="306">
        <f t="shared" si="91"/>
        <v>0</v>
      </c>
      <c r="CF58" s="306">
        <f t="shared" si="40"/>
        <v>0</v>
      </c>
      <c r="CG58" s="307" t="e">
        <f t="shared" si="41"/>
        <v>#DIV/0!</v>
      </c>
      <c r="CH58" s="307" t="e">
        <f t="shared" si="114"/>
        <v>#DIV/0!</v>
      </c>
      <c r="CI58" s="308" t="e">
        <f t="shared" si="92"/>
        <v>#DIV/0!</v>
      </c>
      <c r="CJ58" s="309" t="e">
        <f t="shared" si="115"/>
        <v>#DIV/0!</v>
      </c>
      <c r="CK58" s="175" t="e">
        <f t="shared" si="93"/>
        <v>#DIV/0!</v>
      </c>
      <c r="CL58" s="175" t="str">
        <f t="shared" si="116"/>
        <v/>
      </c>
      <c r="CM58" s="310" t="e">
        <f t="shared" si="94"/>
        <v>#DIV/0!</v>
      </c>
      <c r="CN58" s="311" t="e">
        <f t="shared" si="95"/>
        <v>#DIV/0!</v>
      </c>
      <c r="CO58" s="311">
        <f t="shared" si="96"/>
        <v>0</v>
      </c>
      <c r="CP58" s="175">
        <f t="shared" si="45"/>
        <v>1</v>
      </c>
      <c r="CQ58" s="175">
        <f t="shared" si="46"/>
        <v>1</v>
      </c>
      <c r="CR58" s="175" t="str">
        <f t="shared" si="117"/>
        <v/>
      </c>
      <c r="CS58" s="175">
        <f t="shared" si="48"/>
        <v>0</v>
      </c>
      <c r="CT58" s="312">
        <f t="shared" si="49"/>
        <v>0</v>
      </c>
      <c r="CU58" s="175" t="str">
        <f t="shared" si="50"/>
        <v>OK</v>
      </c>
      <c r="CV58" s="313">
        <f t="shared" si="51"/>
        <v>0.05</v>
      </c>
      <c r="CW58" s="312" t="e">
        <f t="shared" si="118"/>
        <v>#DIV/0!</v>
      </c>
      <c r="CX58" s="312" t="e">
        <f t="shared" si="119"/>
        <v>#DIV/0!</v>
      </c>
      <c r="CY58" s="312" t="e">
        <f t="shared" si="120"/>
        <v>#DIV/0!</v>
      </c>
      <c r="CZ58" s="312" t="e">
        <f t="shared" si="121"/>
        <v>#DIV/0!</v>
      </c>
      <c r="DA58" s="312">
        <f t="shared" si="122"/>
        <v>1</v>
      </c>
      <c r="DB58" s="312">
        <f t="shared" si="57"/>
        <v>0</v>
      </c>
      <c r="DC58" s="175" t="str">
        <f t="shared" si="123"/>
        <v>Soft</v>
      </c>
      <c r="DD58" s="175"/>
      <c r="DE58" s="175">
        <f t="shared" si="124"/>
        <v>0</v>
      </c>
      <c r="DF58" s="312" t="e">
        <f t="shared" si="125"/>
        <v>#DIV/0!</v>
      </c>
      <c r="DG58" s="312" t="e">
        <f t="shared" si="126"/>
        <v>#DIV/0!</v>
      </c>
      <c r="DH58" s="312" t="e">
        <f t="shared" si="127"/>
        <v>#DIV/0!</v>
      </c>
      <c r="DI58" s="312" t="e">
        <f t="shared" si="128"/>
        <v>#DIV/0!</v>
      </c>
      <c r="DJ58" s="312" t="e">
        <f t="shared" si="97"/>
        <v>#DIV/0!</v>
      </c>
      <c r="DK58" s="175"/>
      <c r="DL58" s="175"/>
      <c r="DM58" s="175"/>
      <c r="DN58" s="175">
        <f t="shared" si="129"/>
        <v>1</v>
      </c>
      <c r="DO58" s="312" t="e">
        <f t="shared" si="130"/>
        <v>#DIV/0!</v>
      </c>
      <c r="DP58" s="312" t="e">
        <f t="shared" si="131"/>
        <v>#DIV/0!</v>
      </c>
      <c r="DQ58" s="312" t="e">
        <f t="shared" si="132"/>
        <v>#DIV/0!</v>
      </c>
      <c r="DR58" s="312" t="e">
        <f t="shared" si="133"/>
        <v>#DIV/0!</v>
      </c>
      <c r="DS58" s="312" t="e">
        <f t="shared" si="134"/>
        <v>#DIV/0!</v>
      </c>
      <c r="DT58" s="312" t="e">
        <f t="shared" si="135"/>
        <v>#DIV/0!</v>
      </c>
      <c r="DU58" s="312">
        <f t="shared" si="71"/>
        <v>0</v>
      </c>
      <c r="DV58" s="175"/>
      <c r="DW58" s="175" t="b">
        <f t="shared" si="136"/>
        <v>1</v>
      </c>
      <c r="DX58" s="175" t="b">
        <f t="shared" si="136"/>
        <v>1</v>
      </c>
      <c r="DY58" s="175" t="b">
        <f t="shared" si="136"/>
        <v>1</v>
      </c>
      <c r="DZ58" s="175" t="b">
        <f t="shared" si="136"/>
        <v>1</v>
      </c>
      <c r="EA58" s="175" t="b">
        <f t="shared" si="136"/>
        <v>1</v>
      </c>
      <c r="EB58" s="168"/>
    </row>
    <row r="59" spans="1:132" s="140" customFormat="1" ht="18.5" hidden="1" thickBot="1" x14ac:dyDescent="0.45">
      <c r="A59" s="150"/>
      <c r="B59" s="296" t="str">
        <f t="shared" si="73"/>
        <v>-</v>
      </c>
      <c r="C59" s="279">
        <v>40</v>
      </c>
      <c r="D59" s="1557"/>
      <c r="E59" s="1558"/>
      <c r="F59" s="977"/>
      <c r="G59" s="1103"/>
      <c r="H59" s="978"/>
      <c r="I59" s="965"/>
      <c r="J59" s="1325"/>
      <c r="K59" s="1326"/>
      <c r="L59" s="1326"/>
      <c r="M59" s="1326"/>
      <c r="N59" s="1327"/>
      <c r="O59" s="974"/>
      <c r="P59" s="975"/>
      <c r="Q59" s="976"/>
      <c r="R59" s="966"/>
      <c r="S59" s="280" t="str">
        <f t="shared" si="99"/>
        <v/>
      </c>
      <c r="T59" s="281" t="str">
        <f t="shared" si="100"/>
        <v/>
      </c>
      <c r="U59" s="282">
        <f t="shared" si="101"/>
        <v>0</v>
      </c>
      <c r="V59" s="259" t="str">
        <f t="shared" si="102"/>
        <v/>
      </c>
      <c r="W59" s="260" t="str">
        <f t="shared" si="103"/>
        <v/>
      </c>
      <c r="X59" s="283">
        <f t="shared" ref="X59:X98" si="137">IF(AND(AllInputsOK=FALSE,CD59&gt;0),"",CD59)</f>
        <v>0</v>
      </c>
      <c r="Y59" s="284" t="str">
        <f t="shared" si="104"/>
        <v/>
      </c>
      <c r="Z59" s="150"/>
      <c r="AA59" s="175"/>
      <c r="AB59" s="175">
        <v>40</v>
      </c>
      <c r="AC59" s="297" t="str">
        <f t="shared" ref="AC59:AC99" si="138">IF(AND(RowsPreferred&lt;LastActive,LastActive&gt;=AB59),LastActive,IF(RowsPreferred&gt;=AB59,RowsPreferred,"-"))</f>
        <v>-</v>
      </c>
      <c r="AD59" s="297">
        <f t="shared" si="77"/>
        <v>0</v>
      </c>
      <c r="AE59" s="297">
        <f t="shared" si="78"/>
        <v>0</v>
      </c>
      <c r="AF59" s="297"/>
      <c r="AG59" s="298">
        <f t="shared" si="79"/>
        <v>0</v>
      </c>
      <c r="AH59" s="1339">
        <f t="shared" si="7"/>
        <v>0</v>
      </c>
      <c r="AI59" s="1340">
        <f>IF(SUM(AH59:AH$99)=0,0,F59&gt;0)</f>
        <v>0</v>
      </c>
      <c r="AJ59" s="1339">
        <f t="shared" si="8"/>
        <v>0</v>
      </c>
      <c r="AK59" s="1340">
        <f>IF(SUM(AH59:AH$99)=0,0,AND(AI59=FALSE,AJ59=0,SUM(AJ59:AJ$99)&gt;0))</f>
        <v>0</v>
      </c>
      <c r="AL59" s="1340">
        <f t="shared" si="9"/>
        <v>0</v>
      </c>
      <c r="AM59" s="1340">
        <f t="shared" si="10"/>
        <v>0</v>
      </c>
      <c r="AN59" s="1341">
        <f t="shared" si="11"/>
        <v>0</v>
      </c>
      <c r="AO59" s="1341">
        <f t="shared" si="12"/>
        <v>0</v>
      </c>
      <c r="AP59" s="264">
        <f t="shared" si="105"/>
        <v>0</v>
      </c>
      <c r="AQ59" s="264">
        <f t="shared" si="80"/>
        <v>0</v>
      </c>
      <c r="AR59" s="1340">
        <f t="shared" si="14"/>
        <v>0</v>
      </c>
      <c r="AS59" s="1340" t="str">
        <f t="shared" si="81"/>
        <v/>
      </c>
      <c r="AT59" s="1340">
        <f t="shared" si="15"/>
        <v>0</v>
      </c>
      <c r="AU59" s="898">
        <f t="shared" si="82"/>
        <v>0</v>
      </c>
      <c r="AV59" s="1340">
        <f t="shared" si="16"/>
        <v>0</v>
      </c>
      <c r="AW59" s="1340">
        <f t="shared" si="17"/>
        <v>0</v>
      </c>
      <c r="AX59" s="1340">
        <f t="shared" si="18"/>
        <v>0</v>
      </c>
      <c r="AY59" s="897">
        <f t="shared" si="83"/>
        <v>0</v>
      </c>
      <c r="AZ59" s="1340">
        <f t="shared" si="19"/>
        <v>0</v>
      </c>
      <c r="BA59" s="896">
        <f t="shared" si="84"/>
        <v>0</v>
      </c>
      <c r="BB59" s="899" t="str">
        <f t="shared" si="85"/>
        <v/>
      </c>
      <c r="BC59" s="899" t="str">
        <f t="shared" si="86"/>
        <v/>
      </c>
      <c r="BD59" s="1340">
        <f t="shared" si="20"/>
        <v>0</v>
      </c>
      <c r="BE59" s="1340">
        <f t="shared" si="21"/>
        <v>0</v>
      </c>
      <c r="BF59" s="1340">
        <f t="shared" si="22"/>
        <v>0</v>
      </c>
      <c r="BG59" s="1342" t="b">
        <f t="shared" si="106"/>
        <v>0</v>
      </c>
      <c r="BH59" s="299" t="str">
        <f t="shared" si="24"/>
        <v/>
      </c>
      <c r="BI59" s="1343">
        <f t="shared" si="107"/>
        <v>0</v>
      </c>
      <c r="BJ59" s="1344">
        <f t="shared" si="108"/>
        <v>0</v>
      </c>
      <c r="BK59" s="1344">
        <f t="shared" si="87"/>
        <v>0</v>
      </c>
      <c r="BL59" s="1345">
        <f t="shared" si="27"/>
        <v>0</v>
      </c>
      <c r="BM59" s="1346">
        <f t="shared" si="28"/>
        <v>0</v>
      </c>
      <c r="BN59" s="300">
        <f t="shared" si="109"/>
        <v>0</v>
      </c>
      <c r="BO59" s="300">
        <f t="shared" si="110"/>
        <v>0</v>
      </c>
      <c r="BP59" s="1344">
        <f t="shared" si="88"/>
        <v>0</v>
      </c>
      <c r="BQ59" s="301">
        <f t="shared" si="31"/>
        <v>0</v>
      </c>
      <c r="BR59" s="314"/>
      <c r="BS59" s="1343">
        <f t="shared" si="98"/>
        <v>0</v>
      </c>
      <c r="BT59" s="1344">
        <f t="shared" si="98"/>
        <v>0</v>
      </c>
      <c r="BU59" s="1344">
        <f t="shared" si="98"/>
        <v>0</v>
      </c>
      <c r="BV59" s="303">
        <f t="shared" si="98"/>
        <v>0</v>
      </c>
      <c r="BW59" s="304">
        <f t="shared" si="111"/>
        <v>0</v>
      </c>
      <c r="BX59" s="300">
        <f t="shared" si="112"/>
        <v>0</v>
      </c>
      <c r="BY59" s="1344">
        <f t="shared" si="89"/>
        <v>0</v>
      </c>
      <c r="BZ59" s="300">
        <f t="shared" si="90"/>
        <v>0</v>
      </c>
      <c r="CA59" s="301">
        <f t="shared" si="36"/>
        <v>0</v>
      </c>
      <c r="CB59" s="305" t="e">
        <f t="shared" si="113"/>
        <v>#DIV/0!</v>
      </c>
      <c r="CC59" s="304" t="e">
        <f t="shared" si="38"/>
        <v>#DIV/0!</v>
      </c>
      <c r="CD59" s="300">
        <f t="shared" si="39"/>
        <v>0</v>
      </c>
      <c r="CE59" s="306">
        <f t="shared" si="91"/>
        <v>0</v>
      </c>
      <c r="CF59" s="306">
        <f t="shared" si="40"/>
        <v>0</v>
      </c>
      <c r="CG59" s="307" t="e">
        <f t="shared" si="41"/>
        <v>#DIV/0!</v>
      </c>
      <c r="CH59" s="307" t="e">
        <f t="shared" si="114"/>
        <v>#DIV/0!</v>
      </c>
      <c r="CI59" s="308" t="e">
        <f t="shared" ref="CI59:CI98" si="139">IF(SUM(CC59:CD59)=0,"",TEXT(CE59,IF(CE59&lt;0.005,"0.0%","0%"))&amp;" of "&amp;TEXT(CC$8,"0%"))</f>
        <v>#DIV/0!</v>
      </c>
      <c r="CJ59" s="309" t="e">
        <f t="shared" si="115"/>
        <v>#DIV/0!</v>
      </c>
      <c r="CK59" s="175" t="e">
        <f t="shared" si="93"/>
        <v>#DIV/0!</v>
      </c>
      <c r="CL59" s="175" t="str">
        <f t="shared" si="116"/>
        <v/>
      </c>
      <c r="CM59" s="310" t="e">
        <f t="shared" si="94"/>
        <v>#DIV/0!</v>
      </c>
      <c r="CN59" s="311" t="e">
        <f t="shared" si="95"/>
        <v>#DIV/0!</v>
      </c>
      <c r="CO59" s="311">
        <f t="shared" si="96"/>
        <v>0</v>
      </c>
      <c r="CP59" s="175">
        <f t="shared" si="45"/>
        <v>1</v>
      </c>
      <c r="CQ59" s="175">
        <f t="shared" si="46"/>
        <v>1</v>
      </c>
      <c r="CR59" s="175" t="str">
        <f t="shared" si="117"/>
        <v/>
      </c>
      <c r="CS59" s="175">
        <f t="shared" si="48"/>
        <v>0</v>
      </c>
      <c r="CT59" s="312">
        <f t="shared" si="49"/>
        <v>0</v>
      </c>
      <c r="CU59" s="175" t="str">
        <f t="shared" si="50"/>
        <v>OK</v>
      </c>
      <c r="CV59" s="313">
        <f t="shared" si="51"/>
        <v>0.05</v>
      </c>
      <c r="CW59" s="312" t="e">
        <f t="shared" si="118"/>
        <v>#DIV/0!</v>
      </c>
      <c r="CX59" s="312" t="e">
        <f t="shared" si="119"/>
        <v>#DIV/0!</v>
      </c>
      <c r="CY59" s="312" t="e">
        <f t="shared" si="120"/>
        <v>#DIV/0!</v>
      </c>
      <c r="CZ59" s="312" t="e">
        <f t="shared" si="121"/>
        <v>#DIV/0!</v>
      </c>
      <c r="DA59" s="312">
        <f t="shared" si="122"/>
        <v>1</v>
      </c>
      <c r="DB59" s="312">
        <f t="shared" si="57"/>
        <v>0</v>
      </c>
      <c r="DC59" s="175" t="str">
        <f t="shared" si="123"/>
        <v>Soft</v>
      </c>
      <c r="DD59" s="175"/>
      <c r="DE59" s="175">
        <f t="shared" si="124"/>
        <v>0</v>
      </c>
      <c r="DF59" s="312" t="e">
        <f t="shared" si="125"/>
        <v>#DIV/0!</v>
      </c>
      <c r="DG59" s="312" t="e">
        <f t="shared" si="126"/>
        <v>#DIV/0!</v>
      </c>
      <c r="DH59" s="312" t="e">
        <f t="shared" si="127"/>
        <v>#DIV/0!</v>
      </c>
      <c r="DI59" s="312" t="e">
        <f t="shared" si="128"/>
        <v>#DIV/0!</v>
      </c>
      <c r="DJ59" s="312" t="e">
        <f t="shared" si="97"/>
        <v>#DIV/0!</v>
      </c>
      <c r="DK59" s="175"/>
      <c r="DL59" s="175"/>
      <c r="DM59" s="175"/>
      <c r="DN59" s="175">
        <f t="shared" si="129"/>
        <v>1</v>
      </c>
      <c r="DO59" s="312" t="e">
        <f t="shared" si="130"/>
        <v>#DIV/0!</v>
      </c>
      <c r="DP59" s="312" t="e">
        <f t="shared" si="131"/>
        <v>#DIV/0!</v>
      </c>
      <c r="DQ59" s="312" t="e">
        <f t="shared" si="132"/>
        <v>#DIV/0!</v>
      </c>
      <c r="DR59" s="312" t="e">
        <f t="shared" si="133"/>
        <v>#DIV/0!</v>
      </c>
      <c r="DS59" s="312" t="e">
        <f t="shared" si="134"/>
        <v>#DIV/0!</v>
      </c>
      <c r="DT59" s="312" t="e">
        <f t="shared" si="135"/>
        <v>#DIV/0!</v>
      </c>
      <c r="DU59" s="312">
        <f t="shared" si="71"/>
        <v>0</v>
      </c>
      <c r="DV59" s="175"/>
      <c r="DW59" s="175" t="b">
        <f t="shared" si="136"/>
        <v>1</v>
      </c>
      <c r="DX59" s="175" t="b">
        <f t="shared" si="136"/>
        <v>1</v>
      </c>
      <c r="DY59" s="175" t="b">
        <f t="shared" si="136"/>
        <v>1</v>
      </c>
      <c r="DZ59" s="175" t="b">
        <f t="shared" si="136"/>
        <v>1</v>
      </c>
      <c r="EA59" s="175" t="b">
        <f t="shared" si="136"/>
        <v>1</v>
      </c>
      <c r="EB59" s="168"/>
    </row>
    <row r="60" spans="1:132" s="140" customFormat="1" ht="18.5" hidden="1" thickBot="1" x14ac:dyDescent="0.45">
      <c r="A60" s="150"/>
      <c r="B60" s="296" t="str">
        <f t="shared" si="73"/>
        <v>-</v>
      </c>
      <c r="C60" s="279">
        <v>41</v>
      </c>
      <c r="D60" s="1557"/>
      <c r="E60" s="1558"/>
      <c r="F60" s="977"/>
      <c r="G60" s="1103"/>
      <c r="H60" s="978"/>
      <c r="I60" s="965"/>
      <c r="J60" s="1325"/>
      <c r="K60" s="1326"/>
      <c r="L60" s="1326"/>
      <c r="M60" s="1326"/>
      <c r="N60" s="1327"/>
      <c r="O60" s="974"/>
      <c r="P60" s="975"/>
      <c r="Q60" s="976"/>
      <c r="R60" s="966"/>
      <c r="S60" s="280" t="str">
        <f t="shared" si="99"/>
        <v/>
      </c>
      <c r="T60" s="281" t="str">
        <f t="shared" si="100"/>
        <v/>
      </c>
      <c r="U60" s="282">
        <f t="shared" si="101"/>
        <v>0</v>
      </c>
      <c r="V60" s="259" t="str">
        <f t="shared" si="102"/>
        <v/>
      </c>
      <c r="W60" s="260" t="str">
        <f t="shared" si="103"/>
        <v/>
      </c>
      <c r="X60" s="283">
        <f t="shared" si="137"/>
        <v>0</v>
      </c>
      <c r="Y60" s="284" t="str">
        <f t="shared" si="104"/>
        <v/>
      </c>
      <c r="Z60" s="150"/>
      <c r="AA60" s="175"/>
      <c r="AB60" s="175">
        <v>41</v>
      </c>
      <c r="AC60" s="297" t="str">
        <f t="shared" si="138"/>
        <v>-</v>
      </c>
      <c r="AD60" s="297">
        <f t="shared" si="77"/>
        <v>0</v>
      </c>
      <c r="AE60" s="297">
        <f t="shared" si="78"/>
        <v>0</v>
      </c>
      <c r="AF60" s="297"/>
      <c r="AG60" s="298">
        <f t="shared" si="79"/>
        <v>0</v>
      </c>
      <c r="AH60" s="1339">
        <f t="shared" si="7"/>
        <v>0</v>
      </c>
      <c r="AI60" s="1340">
        <f>IF(SUM(AH60:AH$99)=0,0,F60&gt;0)</f>
        <v>0</v>
      </c>
      <c r="AJ60" s="1339">
        <f t="shared" si="8"/>
        <v>0</v>
      </c>
      <c r="AK60" s="1340">
        <f>IF(SUM(AH60:AH$99)=0,0,AND(AI60=FALSE,AJ60=0,SUM(AJ60:AJ$99)&gt;0))</f>
        <v>0</v>
      </c>
      <c r="AL60" s="1340">
        <f t="shared" si="9"/>
        <v>0</v>
      </c>
      <c r="AM60" s="1340">
        <f t="shared" si="10"/>
        <v>0</v>
      </c>
      <c r="AN60" s="1341">
        <f t="shared" si="11"/>
        <v>0</v>
      </c>
      <c r="AO60" s="1341">
        <f t="shared" si="12"/>
        <v>0</v>
      </c>
      <c r="AP60" s="264">
        <f t="shared" si="105"/>
        <v>0</v>
      </c>
      <c r="AQ60" s="264">
        <f t="shared" si="80"/>
        <v>0</v>
      </c>
      <c r="AR60" s="1340">
        <f t="shared" si="14"/>
        <v>0</v>
      </c>
      <c r="AS60" s="1340" t="str">
        <f t="shared" si="81"/>
        <v/>
      </c>
      <c r="AT60" s="1340">
        <f t="shared" si="15"/>
        <v>0</v>
      </c>
      <c r="AU60" s="898">
        <f t="shared" si="82"/>
        <v>0</v>
      </c>
      <c r="AV60" s="1340">
        <f t="shared" si="16"/>
        <v>0</v>
      </c>
      <c r="AW60" s="1340">
        <f t="shared" si="17"/>
        <v>0</v>
      </c>
      <c r="AX60" s="1340">
        <f t="shared" si="18"/>
        <v>0</v>
      </c>
      <c r="AY60" s="897">
        <f t="shared" si="83"/>
        <v>0</v>
      </c>
      <c r="AZ60" s="1340">
        <f t="shared" si="19"/>
        <v>0</v>
      </c>
      <c r="BA60" s="896">
        <f t="shared" si="84"/>
        <v>0</v>
      </c>
      <c r="BB60" s="899" t="str">
        <f t="shared" si="85"/>
        <v/>
      </c>
      <c r="BC60" s="899" t="str">
        <f t="shared" si="86"/>
        <v/>
      </c>
      <c r="BD60" s="1340">
        <f t="shared" si="20"/>
        <v>0</v>
      </c>
      <c r="BE60" s="1340">
        <f t="shared" si="21"/>
        <v>0</v>
      </c>
      <c r="BF60" s="1340">
        <f t="shared" si="22"/>
        <v>0</v>
      </c>
      <c r="BG60" s="1342" t="b">
        <f t="shared" si="106"/>
        <v>0</v>
      </c>
      <c r="BH60" s="299" t="str">
        <f t="shared" si="24"/>
        <v/>
      </c>
      <c r="BI60" s="1343">
        <f t="shared" si="107"/>
        <v>0</v>
      </c>
      <c r="BJ60" s="1344">
        <f t="shared" si="108"/>
        <v>0</v>
      </c>
      <c r="BK60" s="1344">
        <f t="shared" si="87"/>
        <v>0</v>
      </c>
      <c r="BL60" s="1345">
        <f t="shared" si="27"/>
        <v>0</v>
      </c>
      <c r="BM60" s="1346">
        <f t="shared" si="28"/>
        <v>0</v>
      </c>
      <c r="BN60" s="300">
        <f t="shared" si="109"/>
        <v>0</v>
      </c>
      <c r="BO60" s="300">
        <f t="shared" si="110"/>
        <v>0</v>
      </c>
      <c r="BP60" s="1344">
        <f t="shared" si="88"/>
        <v>0</v>
      </c>
      <c r="BQ60" s="301">
        <f t="shared" si="31"/>
        <v>0</v>
      </c>
      <c r="BR60" s="314"/>
      <c r="BS60" s="1343">
        <f t="shared" si="98"/>
        <v>0</v>
      </c>
      <c r="BT60" s="1344">
        <f t="shared" si="98"/>
        <v>0</v>
      </c>
      <c r="BU60" s="1344">
        <f t="shared" si="98"/>
        <v>0</v>
      </c>
      <c r="BV60" s="303">
        <f t="shared" si="98"/>
        <v>0</v>
      </c>
      <c r="BW60" s="304">
        <f t="shared" si="111"/>
        <v>0</v>
      </c>
      <c r="BX60" s="300">
        <f t="shared" si="112"/>
        <v>0</v>
      </c>
      <c r="BY60" s="1344">
        <f t="shared" si="89"/>
        <v>0</v>
      </c>
      <c r="BZ60" s="300">
        <f t="shared" si="90"/>
        <v>0</v>
      </c>
      <c r="CA60" s="301">
        <f t="shared" si="36"/>
        <v>0</v>
      </c>
      <c r="CB60" s="305" t="e">
        <f t="shared" si="113"/>
        <v>#DIV/0!</v>
      </c>
      <c r="CC60" s="304" t="e">
        <f t="shared" si="38"/>
        <v>#DIV/0!</v>
      </c>
      <c r="CD60" s="300">
        <f t="shared" si="39"/>
        <v>0</v>
      </c>
      <c r="CE60" s="306">
        <f t="shared" si="91"/>
        <v>0</v>
      </c>
      <c r="CF60" s="306">
        <f t="shared" si="40"/>
        <v>0</v>
      </c>
      <c r="CG60" s="307" t="e">
        <f t="shared" si="41"/>
        <v>#DIV/0!</v>
      </c>
      <c r="CH60" s="307" t="e">
        <f t="shared" si="114"/>
        <v>#DIV/0!</v>
      </c>
      <c r="CI60" s="308" t="e">
        <f t="shared" si="139"/>
        <v>#DIV/0!</v>
      </c>
      <c r="CJ60" s="309" t="e">
        <f t="shared" si="115"/>
        <v>#DIV/0!</v>
      </c>
      <c r="CK60" s="175" t="e">
        <f t="shared" si="93"/>
        <v>#DIV/0!</v>
      </c>
      <c r="CL60" s="175" t="str">
        <f t="shared" si="116"/>
        <v/>
      </c>
      <c r="CM60" s="310" t="e">
        <f t="shared" si="94"/>
        <v>#DIV/0!</v>
      </c>
      <c r="CN60" s="311" t="e">
        <f t="shared" si="95"/>
        <v>#DIV/0!</v>
      </c>
      <c r="CO60" s="311">
        <f t="shared" si="96"/>
        <v>0</v>
      </c>
      <c r="CP60" s="175">
        <f t="shared" si="45"/>
        <v>1</v>
      </c>
      <c r="CQ60" s="175">
        <f t="shared" si="46"/>
        <v>1</v>
      </c>
      <c r="CR60" s="175" t="str">
        <f t="shared" si="117"/>
        <v/>
      </c>
      <c r="CS60" s="175">
        <f t="shared" si="48"/>
        <v>0</v>
      </c>
      <c r="CT60" s="312">
        <f t="shared" si="49"/>
        <v>0</v>
      </c>
      <c r="CU60" s="175" t="str">
        <f t="shared" si="50"/>
        <v>OK</v>
      </c>
      <c r="CV60" s="313">
        <f t="shared" si="51"/>
        <v>0.05</v>
      </c>
      <c r="CW60" s="312" t="e">
        <f t="shared" si="118"/>
        <v>#DIV/0!</v>
      </c>
      <c r="CX60" s="312" t="e">
        <f t="shared" si="119"/>
        <v>#DIV/0!</v>
      </c>
      <c r="CY60" s="312" t="e">
        <f t="shared" si="120"/>
        <v>#DIV/0!</v>
      </c>
      <c r="CZ60" s="312" t="e">
        <f t="shared" si="121"/>
        <v>#DIV/0!</v>
      </c>
      <c r="DA60" s="312">
        <f t="shared" si="122"/>
        <v>1</v>
      </c>
      <c r="DB60" s="312">
        <f t="shared" si="57"/>
        <v>0</v>
      </c>
      <c r="DC60" s="175" t="str">
        <f t="shared" si="123"/>
        <v>Soft</v>
      </c>
      <c r="DD60" s="175"/>
      <c r="DE60" s="175">
        <f t="shared" si="124"/>
        <v>0</v>
      </c>
      <c r="DF60" s="312" t="e">
        <f t="shared" si="125"/>
        <v>#DIV/0!</v>
      </c>
      <c r="DG60" s="312" t="e">
        <f t="shared" si="126"/>
        <v>#DIV/0!</v>
      </c>
      <c r="DH60" s="312" t="e">
        <f t="shared" si="127"/>
        <v>#DIV/0!</v>
      </c>
      <c r="DI60" s="312" t="e">
        <f t="shared" si="128"/>
        <v>#DIV/0!</v>
      </c>
      <c r="DJ60" s="312" t="e">
        <f t="shared" si="97"/>
        <v>#DIV/0!</v>
      </c>
      <c r="DK60" s="175"/>
      <c r="DL60" s="175"/>
      <c r="DM60" s="175"/>
      <c r="DN60" s="175">
        <f t="shared" si="129"/>
        <v>1</v>
      </c>
      <c r="DO60" s="312" t="e">
        <f t="shared" si="130"/>
        <v>#DIV/0!</v>
      </c>
      <c r="DP60" s="312" t="e">
        <f t="shared" si="131"/>
        <v>#DIV/0!</v>
      </c>
      <c r="DQ60" s="312" t="e">
        <f t="shared" si="132"/>
        <v>#DIV/0!</v>
      </c>
      <c r="DR60" s="312" t="e">
        <f t="shared" si="133"/>
        <v>#DIV/0!</v>
      </c>
      <c r="DS60" s="312" t="e">
        <f t="shared" si="134"/>
        <v>#DIV/0!</v>
      </c>
      <c r="DT60" s="312" t="e">
        <f t="shared" si="135"/>
        <v>#DIV/0!</v>
      </c>
      <c r="DU60" s="312">
        <f t="shared" si="71"/>
        <v>0</v>
      </c>
      <c r="DV60" s="175"/>
      <c r="DW60" s="175" t="b">
        <f t="shared" si="136"/>
        <v>1</v>
      </c>
      <c r="DX60" s="175" t="b">
        <f t="shared" si="136"/>
        <v>1</v>
      </c>
      <c r="DY60" s="175" t="b">
        <f t="shared" si="136"/>
        <v>1</v>
      </c>
      <c r="DZ60" s="175" t="b">
        <f t="shared" si="136"/>
        <v>1</v>
      </c>
      <c r="EA60" s="175" t="b">
        <f t="shared" si="136"/>
        <v>1</v>
      </c>
      <c r="EB60" s="168"/>
    </row>
    <row r="61" spans="1:132" s="140" customFormat="1" ht="18.5" hidden="1" thickBot="1" x14ac:dyDescent="0.45">
      <c r="A61" s="150"/>
      <c r="B61" s="296" t="str">
        <f t="shared" si="73"/>
        <v>-</v>
      </c>
      <c r="C61" s="279">
        <v>42</v>
      </c>
      <c r="D61" s="1557"/>
      <c r="E61" s="1558"/>
      <c r="F61" s="977"/>
      <c r="G61" s="1103"/>
      <c r="H61" s="978"/>
      <c r="I61" s="965"/>
      <c r="J61" s="1325"/>
      <c r="K61" s="1326"/>
      <c r="L61" s="1326"/>
      <c r="M61" s="1326"/>
      <c r="N61" s="1327"/>
      <c r="O61" s="974"/>
      <c r="P61" s="975"/>
      <c r="Q61" s="976"/>
      <c r="R61" s="966"/>
      <c r="S61" s="280" t="str">
        <f t="shared" si="99"/>
        <v/>
      </c>
      <c r="T61" s="281" t="str">
        <f t="shared" si="100"/>
        <v/>
      </c>
      <c r="U61" s="282">
        <f t="shared" si="101"/>
        <v>0</v>
      </c>
      <c r="V61" s="259" t="str">
        <f t="shared" si="102"/>
        <v/>
      </c>
      <c r="W61" s="260" t="str">
        <f t="shared" si="103"/>
        <v/>
      </c>
      <c r="X61" s="283">
        <f t="shared" si="137"/>
        <v>0</v>
      </c>
      <c r="Y61" s="284" t="str">
        <f t="shared" si="104"/>
        <v/>
      </c>
      <c r="Z61" s="150"/>
      <c r="AA61" s="175"/>
      <c r="AB61" s="175">
        <v>42</v>
      </c>
      <c r="AC61" s="297" t="str">
        <f t="shared" si="138"/>
        <v>-</v>
      </c>
      <c r="AD61" s="297">
        <f t="shared" si="77"/>
        <v>0</v>
      </c>
      <c r="AE61" s="297">
        <f t="shared" si="78"/>
        <v>0</v>
      </c>
      <c r="AF61" s="297"/>
      <c r="AG61" s="298">
        <f t="shared" si="79"/>
        <v>0</v>
      </c>
      <c r="AH61" s="1339">
        <f t="shared" si="7"/>
        <v>0</v>
      </c>
      <c r="AI61" s="1340">
        <f>IF(SUM(AH61:AH$99)=0,0,F61&gt;0)</f>
        <v>0</v>
      </c>
      <c r="AJ61" s="1339">
        <f t="shared" si="8"/>
        <v>0</v>
      </c>
      <c r="AK61" s="1340">
        <f>IF(SUM(AH61:AH$99)=0,0,AND(AI61=FALSE,AJ61=0,SUM(AJ61:AJ$99)&gt;0))</f>
        <v>0</v>
      </c>
      <c r="AL61" s="1340">
        <f t="shared" si="9"/>
        <v>0</v>
      </c>
      <c r="AM61" s="1340">
        <f t="shared" si="10"/>
        <v>0</v>
      </c>
      <c r="AN61" s="1341">
        <f t="shared" si="11"/>
        <v>0</v>
      </c>
      <c r="AO61" s="1341">
        <f t="shared" si="12"/>
        <v>0</v>
      </c>
      <c r="AP61" s="264">
        <f t="shared" si="105"/>
        <v>0</v>
      </c>
      <c r="AQ61" s="264">
        <f t="shared" si="80"/>
        <v>0</v>
      </c>
      <c r="AR61" s="1340">
        <f t="shared" si="14"/>
        <v>0</v>
      </c>
      <c r="AS61" s="1340" t="str">
        <f t="shared" si="81"/>
        <v/>
      </c>
      <c r="AT61" s="1340">
        <f t="shared" si="15"/>
        <v>0</v>
      </c>
      <c r="AU61" s="898">
        <f t="shared" si="82"/>
        <v>0</v>
      </c>
      <c r="AV61" s="1340">
        <f t="shared" si="16"/>
        <v>0</v>
      </c>
      <c r="AW61" s="1340">
        <f t="shared" si="17"/>
        <v>0</v>
      </c>
      <c r="AX61" s="1340">
        <f t="shared" si="18"/>
        <v>0</v>
      </c>
      <c r="AY61" s="897">
        <f t="shared" si="83"/>
        <v>0</v>
      </c>
      <c r="AZ61" s="1340">
        <f t="shared" si="19"/>
        <v>0</v>
      </c>
      <c r="BA61" s="896">
        <f t="shared" si="84"/>
        <v>0</v>
      </c>
      <c r="BB61" s="899" t="str">
        <f t="shared" si="85"/>
        <v/>
      </c>
      <c r="BC61" s="899" t="str">
        <f t="shared" si="86"/>
        <v/>
      </c>
      <c r="BD61" s="1340">
        <f t="shared" si="20"/>
        <v>0</v>
      </c>
      <c r="BE61" s="1340">
        <f t="shared" si="21"/>
        <v>0</v>
      </c>
      <c r="BF61" s="1340">
        <f t="shared" si="22"/>
        <v>0</v>
      </c>
      <c r="BG61" s="1342" t="b">
        <f t="shared" si="106"/>
        <v>0</v>
      </c>
      <c r="BH61" s="299" t="str">
        <f t="shared" si="24"/>
        <v/>
      </c>
      <c r="BI61" s="1343">
        <f t="shared" si="107"/>
        <v>0</v>
      </c>
      <c r="BJ61" s="1344">
        <f t="shared" si="108"/>
        <v>0</v>
      </c>
      <c r="BK61" s="1344">
        <f t="shared" si="87"/>
        <v>0</v>
      </c>
      <c r="BL61" s="1345">
        <f t="shared" si="27"/>
        <v>0</v>
      </c>
      <c r="BM61" s="1346">
        <f t="shared" si="28"/>
        <v>0</v>
      </c>
      <c r="BN61" s="300">
        <f t="shared" si="109"/>
        <v>0</v>
      </c>
      <c r="BO61" s="300">
        <f t="shared" si="110"/>
        <v>0</v>
      </c>
      <c r="BP61" s="1344">
        <f t="shared" si="88"/>
        <v>0</v>
      </c>
      <c r="BQ61" s="301">
        <f t="shared" si="31"/>
        <v>0</v>
      </c>
      <c r="BR61" s="314"/>
      <c r="BS61" s="1343">
        <f t="shared" si="98"/>
        <v>0</v>
      </c>
      <c r="BT61" s="1344">
        <f t="shared" si="98"/>
        <v>0</v>
      </c>
      <c r="BU61" s="1344">
        <f t="shared" si="98"/>
        <v>0</v>
      </c>
      <c r="BV61" s="303">
        <f t="shared" si="98"/>
        <v>0</v>
      </c>
      <c r="BW61" s="304">
        <f t="shared" si="111"/>
        <v>0</v>
      </c>
      <c r="BX61" s="300">
        <f t="shared" si="112"/>
        <v>0</v>
      </c>
      <c r="BY61" s="1344">
        <f t="shared" si="89"/>
        <v>0</v>
      </c>
      <c r="BZ61" s="300">
        <f t="shared" si="90"/>
        <v>0</v>
      </c>
      <c r="CA61" s="301">
        <f t="shared" si="36"/>
        <v>0</v>
      </c>
      <c r="CB61" s="305" t="e">
        <f t="shared" si="113"/>
        <v>#DIV/0!</v>
      </c>
      <c r="CC61" s="304" t="e">
        <f t="shared" si="38"/>
        <v>#DIV/0!</v>
      </c>
      <c r="CD61" s="300">
        <f t="shared" si="39"/>
        <v>0</v>
      </c>
      <c r="CE61" s="306">
        <f t="shared" si="91"/>
        <v>0</v>
      </c>
      <c r="CF61" s="306">
        <f t="shared" si="40"/>
        <v>0</v>
      </c>
      <c r="CG61" s="307" t="e">
        <f t="shared" si="41"/>
        <v>#DIV/0!</v>
      </c>
      <c r="CH61" s="307" t="e">
        <f t="shared" si="114"/>
        <v>#DIV/0!</v>
      </c>
      <c r="CI61" s="308" t="e">
        <f t="shared" si="139"/>
        <v>#DIV/0!</v>
      </c>
      <c r="CJ61" s="309" t="e">
        <f t="shared" si="115"/>
        <v>#DIV/0!</v>
      </c>
      <c r="CK61" s="175" t="e">
        <f t="shared" si="93"/>
        <v>#DIV/0!</v>
      </c>
      <c r="CL61" s="175" t="str">
        <f t="shared" si="116"/>
        <v/>
      </c>
      <c r="CM61" s="310" t="e">
        <f t="shared" si="94"/>
        <v>#DIV/0!</v>
      </c>
      <c r="CN61" s="311" t="e">
        <f t="shared" si="95"/>
        <v>#DIV/0!</v>
      </c>
      <c r="CO61" s="311">
        <f t="shared" si="96"/>
        <v>0</v>
      </c>
      <c r="CP61" s="175">
        <f t="shared" si="45"/>
        <v>1</v>
      </c>
      <c r="CQ61" s="175">
        <f t="shared" si="46"/>
        <v>1</v>
      </c>
      <c r="CR61" s="175" t="str">
        <f t="shared" si="117"/>
        <v/>
      </c>
      <c r="CS61" s="175">
        <f t="shared" si="48"/>
        <v>0</v>
      </c>
      <c r="CT61" s="312">
        <f t="shared" si="49"/>
        <v>0</v>
      </c>
      <c r="CU61" s="175" t="str">
        <f t="shared" si="50"/>
        <v>OK</v>
      </c>
      <c r="CV61" s="313">
        <f t="shared" si="51"/>
        <v>0.05</v>
      </c>
      <c r="CW61" s="312" t="e">
        <f t="shared" si="118"/>
        <v>#DIV/0!</v>
      </c>
      <c r="CX61" s="312" t="e">
        <f t="shared" si="119"/>
        <v>#DIV/0!</v>
      </c>
      <c r="CY61" s="312" t="e">
        <f t="shared" si="120"/>
        <v>#DIV/0!</v>
      </c>
      <c r="CZ61" s="312" t="e">
        <f t="shared" si="121"/>
        <v>#DIV/0!</v>
      </c>
      <c r="DA61" s="312">
        <f t="shared" si="122"/>
        <v>1</v>
      </c>
      <c r="DB61" s="312">
        <f t="shared" si="57"/>
        <v>0</v>
      </c>
      <c r="DC61" s="175" t="str">
        <f t="shared" si="123"/>
        <v>Soft</v>
      </c>
      <c r="DD61" s="175"/>
      <c r="DE61" s="175">
        <f t="shared" si="124"/>
        <v>0</v>
      </c>
      <c r="DF61" s="312" t="e">
        <f t="shared" si="125"/>
        <v>#DIV/0!</v>
      </c>
      <c r="DG61" s="312" t="e">
        <f t="shared" si="126"/>
        <v>#DIV/0!</v>
      </c>
      <c r="DH61" s="312" t="e">
        <f t="shared" si="127"/>
        <v>#DIV/0!</v>
      </c>
      <c r="DI61" s="312" t="e">
        <f t="shared" si="128"/>
        <v>#DIV/0!</v>
      </c>
      <c r="DJ61" s="312" t="e">
        <f t="shared" si="97"/>
        <v>#DIV/0!</v>
      </c>
      <c r="DK61" s="175"/>
      <c r="DL61" s="175"/>
      <c r="DM61" s="175"/>
      <c r="DN61" s="175">
        <f t="shared" si="129"/>
        <v>1</v>
      </c>
      <c r="DO61" s="312" t="e">
        <f t="shared" si="130"/>
        <v>#DIV/0!</v>
      </c>
      <c r="DP61" s="312" t="e">
        <f t="shared" si="131"/>
        <v>#DIV/0!</v>
      </c>
      <c r="DQ61" s="312" t="e">
        <f t="shared" si="132"/>
        <v>#DIV/0!</v>
      </c>
      <c r="DR61" s="312" t="e">
        <f t="shared" si="133"/>
        <v>#DIV/0!</v>
      </c>
      <c r="DS61" s="312" t="e">
        <f t="shared" si="134"/>
        <v>#DIV/0!</v>
      </c>
      <c r="DT61" s="312" t="e">
        <f t="shared" si="135"/>
        <v>#DIV/0!</v>
      </c>
      <c r="DU61" s="312">
        <f t="shared" si="71"/>
        <v>0</v>
      </c>
      <c r="DV61" s="175"/>
      <c r="DW61" s="175" t="b">
        <f t="shared" si="136"/>
        <v>1</v>
      </c>
      <c r="DX61" s="175" t="b">
        <f t="shared" si="136"/>
        <v>1</v>
      </c>
      <c r="DY61" s="175" t="b">
        <f t="shared" si="136"/>
        <v>1</v>
      </c>
      <c r="DZ61" s="175" t="b">
        <f t="shared" si="136"/>
        <v>1</v>
      </c>
      <c r="EA61" s="175" t="b">
        <f t="shared" si="136"/>
        <v>1</v>
      </c>
      <c r="EB61" s="168"/>
    </row>
    <row r="62" spans="1:132" s="140" customFormat="1" ht="18.5" hidden="1" thickBot="1" x14ac:dyDescent="0.45">
      <c r="A62" s="150"/>
      <c r="B62" s="296" t="str">
        <f t="shared" si="73"/>
        <v>-</v>
      </c>
      <c r="C62" s="279">
        <v>43</v>
      </c>
      <c r="D62" s="1557"/>
      <c r="E62" s="1558"/>
      <c r="F62" s="977"/>
      <c r="G62" s="1103"/>
      <c r="H62" s="978"/>
      <c r="I62" s="965"/>
      <c r="J62" s="1325"/>
      <c r="K62" s="1326"/>
      <c r="L62" s="1326"/>
      <c r="M62" s="1326"/>
      <c r="N62" s="1327"/>
      <c r="O62" s="974"/>
      <c r="P62" s="975"/>
      <c r="Q62" s="976"/>
      <c r="R62" s="966"/>
      <c r="S62" s="280" t="str">
        <f t="shared" si="99"/>
        <v/>
      </c>
      <c r="T62" s="281" t="str">
        <f t="shared" si="100"/>
        <v/>
      </c>
      <c r="U62" s="282">
        <f t="shared" si="101"/>
        <v>0</v>
      </c>
      <c r="V62" s="259" t="str">
        <f t="shared" si="102"/>
        <v/>
      </c>
      <c r="W62" s="260" t="str">
        <f t="shared" si="103"/>
        <v/>
      </c>
      <c r="X62" s="283">
        <f t="shared" si="137"/>
        <v>0</v>
      </c>
      <c r="Y62" s="284" t="str">
        <f t="shared" si="104"/>
        <v/>
      </c>
      <c r="Z62" s="150"/>
      <c r="AA62" s="175"/>
      <c r="AB62" s="175">
        <v>43</v>
      </c>
      <c r="AC62" s="297" t="str">
        <f t="shared" si="138"/>
        <v>-</v>
      </c>
      <c r="AD62" s="297">
        <f t="shared" si="77"/>
        <v>0</v>
      </c>
      <c r="AE62" s="297">
        <f t="shared" si="78"/>
        <v>0</v>
      </c>
      <c r="AF62" s="297"/>
      <c r="AG62" s="298">
        <f t="shared" si="79"/>
        <v>0</v>
      </c>
      <c r="AH62" s="1339">
        <f t="shared" si="7"/>
        <v>0</v>
      </c>
      <c r="AI62" s="1340">
        <f>IF(SUM(AH62:AH$99)=0,0,F62&gt;0)</f>
        <v>0</v>
      </c>
      <c r="AJ62" s="1339">
        <f t="shared" si="8"/>
        <v>0</v>
      </c>
      <c r="AK62" s="1340">
        <f>IF(SUM(AH62:AH$99)=0,0,AND(AI62=FALSE,AJ62=0,SUM(AJ62:AJ$99)&gt;0))</f>
        <v>0</v>
      </c>
      <c r="AL62" s="1340">
        <f t="shared" si="9"/>
        <v>0</v>
      </c>
      <c r="AM62" s="1340">
        <f t="shared" si="10"/>
        <v>0</v>
      </c>
      <c r="AN62" s="1341">
        <f t="shared" si="11"/>
        <v>0</v>
      </c>
      <c r="AO62" s="1341">
        <f t="shared" si="12"/>
        <v>0</v>
      </c>
      <c r="AP62" s="264">
        <f t="shared" si="105"/>
        <v>0</v>
      </c>
      <c r="AQ62" s="264">
        <f t="shared" si="80"/>
        <v>0</v>
      </c>
      <c r="AR62" s="1340">
        <f t="shared" si="14"/>
        <v>0</v>
      </c>
      <c r="AS62" s="1340" t="str">
        <f t="shared" si="81"/>
        <v/>
      </c>
      <c r="AT62" s="1340">
        <f t="shared" si="15"/>
        <v>0</v>
      </c>
      <c r="AU62" s="898">
        <f t="shared" si="82"/>
        <v>0</v>
      </c>
      <c r="AV62" s="1340">
        <f t="shared" si="16"/>
        <v>0</v>
      </c>
      <c r="AW62" s="1340">
        <f t="shared" si="17"/>
        <v>0</v>
      </c>
      <c r="AX62" s="1340">
        <f t="shared" si="18"/>
        <v>0</v>
      </c>
      <c r="AY62" s="897">
        <f t="shared" si="83"/>
        <v>0</v>
      </c>
      <c r="AZ62" s="1340">
        <f t="shared" si="19"/>
        <v>0</v>
      </c>
      <c r="BA62" s="896">
        <f t="shared" si="84"/>
        <v>0</v>
      </c>
      <c r="BB62" s="899" t="str">
        <f t="shared" si="85"/>
        <v/>
      </c>
      <c r="BC62" s="899" t="str">
        <f t="shared" si="86"/>
        <v/>
      </c>
      <c r="BD62" s="1340">
        <f t="shared" si="20"/>
        <v>0</v>
      </c>
      <c r="BE62" s="1340">
        <f t="shared" si="21"/>
        <v>0</v>
      </c>
      <c r="BF62" s="1340">
        <f t="shared" si="22"/>
        <v>0</v>
      </c>
      <c r="BG62" s="1342" t="b">
        <f t="shared" si="106"/>
        <v>0</v>
      </c>
      <c r="BH62" s="299" t="str">
        <f t="shared" si="24"/>
        <v/>
      </c>
      <c r="BI62" s="1343">
        <f t="shared" si="107"/>
        <v>0</v>
      </c>
      <c r="BJ62" s="1344">
        <f t="shared" si="108"/>
        <v>0</v>
      </c>
      <c r="BK62" s="1344">
        <f t="shared" si="87"/>
        <v>0</v>
      </c>
      <c r="BL62" s="1345">
        <f t="shared" si="27"/>
        <v>0</v>
      </c>
      <c r="BM62" s="1346">
        <f t="shared" si="28"/>
        <v>0</v>
      </c>
      <c r="BN62" s="300">
        <f t="shared" si="109"/>
        <v>0</v>
      </c>
      <c r="BO62" s="300">
        <f t="shared" si="110"/>
        <v>0</v>
      </c>
      <c r="BP62" s="1344">
        <f t="shared" si="88"/>
        <v>0</v>
      </c>
      <c r="BQ62" s="301">
        <f t="shared" si="31"/>
        <v>0</v>
      </c>
      <c r="BR62" s="314"/>
      <c r="BS62" s="1343">
        <f t="shared" si="98"/>
        <v>0</v>
      </c>
      <c r="BT62" s="1344">
        <f t="shared" si="98"/>
        <v>0</v>
      </c>
      <c r="BU62" s="1344">
        <f t="shared" si="98"/>
        <v>0</v>
      </c>
      <c r="BV62" s="303">
        <f t="shared" si="98"/>
        <v>0</v>
      </c>
      <c r="BW62" s="304">
        <f t="shared" si="111"/>
        <v>0</v>
      </c>
      <c r="BX62" s="300">
        <f t="shared" si="112"/>
        <v>0</v>
      </c>
      <c r="BY62" s="1344">
        <f t="shared" si="89"/>
        <v>0</v>
      </c>
      <c r="BZ62" s="300">
        <f t="shared" si="90"/>
        <v>0</v>
      </c>
      <c r="CA62" s="301">
        <f t="shared" si="36"/>
        <v>0</v>
      </c>
      <c r="CB62" s="305" t="e">
        <f t="shared" si="113"/>
        <v>#DIV/0!</v>
      </c>
      <c r="CC62" s="304" t="e">
        <f t="shared" si="38"/>
        <v>#DIV/0!</v>
      </c>
      <c r="CD62" s="300">
        <f t="shared" si="39"/>
        <v>0</v>
      </c>
      <c r="CE62" s="306">
        <f t="shared" si="91"/>
        <v>0</v>
      </c>
      <c r="CF62" s="306">
        <f t="shared" si="40"/>
        <v>0</v>
      </c>
      <c r="CG62" s="307" t="e">
        <f t="shared" si="41"/>
        <v>#DIV/0!</v>
      </c>
      <c r="CH62" s="307" t="e">
        <f t="shared" si="114"/>
        <v>#DIV/0!</v>
      </c>
      <c r="CI62" s="308" t="e">
        <f t="shared" si="139"/>
        <v>#DIV/0!</v>
      </c>
      <c r="CJ62" s="309" t="e">
        <f t="shared" si="115"/>
        <v>#DIV/0!</v>
      </c>
      <c r="CK62" s="175" t="e">
        <f t="shared" si="93"/>
        <v>#DIV/0!</v>
      </c>
      <c r="CL62" s="175" t="str">
        <f t="shared" si="116"/>
        <v/>
      </c>
      <c r="CM62" s="310" t="e">
        <f t="shared" si="94"/>
        <v>#DIV/0!</v>
      </c>
      <c r="CN62" s="311" t="e">
        <f t="shared" si="95"/>
        <v>#DIV/0!</v>
      </c>
      <c r="CO62" s="311">
        <f t="shared" si="96"/>
        <v>0</v>
      </c>
      <c r="CP62" s="175">
        <f t="shared" si="45"/>
        <v>1</v>
      </c>
      <c r="CQ62" s="175">
        <f t="shared" si="46"/>
        <v>1</v>
      </c>
      <c r="CR62" s="175" t="str">
        <f t="shared" si="117"/>
        <v/>
      </c>
      <c r="CS62" s="175">
        <f t="shared" si="48"/>
        <v>0</v>
      </c>
      <c r="CT62" s="312">
        <f t="shared" si="49"/>
        <v>0</v>
      </c>
      <c r="CU62" s="175" t="str">
        <f t="shared" si="50"/>
        <v>OK</v>
      </c>
      <c r="CV62" s="313">
        <f t="shared" si="51"/>
        <v>0.05</v>
      </c>
      <c r="CW62" s="312" t="e">
        <f t="shared" si="118"/>
        <v>#DIV/0!</v>
      </c>
      <c r="CX62" s="312" t="e">
        <f t="shared" si="119"/>
        <v>#DIV/0!</v>
      </c>
      <c r="CY62" s="312" t="e">
        <f t="shared" si="120"/>
        <v>#DIV/0!</v>
      </c>
      <c r="CZ62" s="312" t="e">
        <f t="shared" si="121"/>
        <v>#DIV/0!</v>
      </c>
      <c r="DA62" s="312">
        <f t="shared" si="122"/>
        <v>1</v>
      </c>
      <c r="DB62" s="312">
        <f t="shared" si="57"/>
        <v>0</v>
      </c>
      <c r="DC62" s="175" t="str">
        <f t="shared" si="123"/>
        <v>Soft</v>
      </c>
      <c r="DD62" s="175"/>
      <c r="DE62" s="175">
        <f t="shared" si="124"/>
        <v>0</v>
      </c>
      <c r="DF62" s="312" t="e">
        <f t="shared" si="125"/>
        <v>#DIV/0!</v>
      </c>
      <c r="DG62" s="312" t="e">
        <f t="shared" si="126"/>
        <v>#DIV/0!</v>
      </c>
      <c r="DH62" s="312" t="e">
        <f t="shared" si="127"/>
        <v>#DIV/0!</v>
      </c>
      <c r="DI62" s="312" t="e">
        <f t="shared" si="128"/>
        <v>#DIV/0!</v>
      </c>
      <c r="DJ62" s="312" t="e">
        <f t="shared" si="97"/>
        <v>#DIV/0!</v>
      </c>
      <c r="DK62" s="175"/>
      <c r="DL62" s="175"/>
      <c r="DM62" s="175"/>
      <c r="DN62" s="175">
        <f t="shared" si="129"/>
        <v>1</v>
      </c>
      <c r="DO62" s="312" t="e">
        <f t="shared" si="130"/>
        <v>#DIV/0!</v>
      </c>
      <c r="DP62" s="312" t="e">
        <f t="shared" si="131"/>
        <v>#DIV/0!</v>
      </c>
      <c r="DQ62" s="312" t="e">
        <f t="shared" si="132"/>
        <v>#DIV/0!</v>
      </c>
      <c r="DR62" s="312" t="e">
        <f t="shared" si="133"/>
        <v>#DIV/0!</v>
      </c>
      <c r="DS62" s="312" t="e">
        <f t="shared" si="134"/>
        <v>#DIV/0!</v>
      </c>
      <c r="DT62" s="312" t="e">
        <f t="shared" si="135"/>
        <v>#DIV/0!</v>
      </c>
      <c r="DU62" s="312">
        <f t="shared" si="71"/>
        <v>0</v>
      </c>
      <c r="DV62" s="175"/>
      <c r="DW62" s="175" t="b">
        <f t="shared" si="136"/>
        <v>1</v>
      </c>
      <c r="DX62" s="175" t="b">
        <f t="shared" si="136"/>
        <v>1</v>
      </c>
      <c r="DY62" s="175" t="b">
        <f t="shared" si="136"/>
        <v>1</v>
      </c>
      <c r="DZ62" s="175" t="b">
        <f t="shared" si="136"/>
        <v>1</v>
      </c>
      <c r="EA62" s="175" t="b">
        <f t="shared" si="136"/>
        <v>1</v>
      </c>
      <c r="EB62" s="168"/>
    </row>
    <row r="63" spans="1:132" s="140" customFormat="1" ht="18.5" hidden="1" thickBot="1" x14ac:dyDescent="0.45">
      <c r="A63" s="150"/>
      <c r="B63" s="296" t="str">
        <f t="shared" si="73"/>
        <v>-</v>
      </c>
      <c r="C63" s="279">
        <v>44</v>
      </c>
      <c r="D63" s="1557"/>
      <c r="E63" s="1558"/>
      <c r="F63" s="977"/>
      <c r="G63" s="1103"/>
      <c r="H63" s="978"/>
      <c r="I63" s="965"/>
      <c r="J63" s="1325"/>
      <c r="K63" s="1326"/>
      <c r="L63" s="1326"/>
      <c r="M63" s="1326"/>
      <c r="N63" s="1327"/>
      <c r="O63" s="974"/>
      <c r="P63" s="975"/>
      <c r="Q63" s="976"/>
      <c r="R63" s="966"/>
      <c r="S63" s="280" t="str">
        <f t="shared" si="99"/>
        <v/>
      </c>
      <c r="T63" s="281" t="str">
        <f t="shared" si="100"/>
        <v/>
      </c>
      <c r="U63" s="282">
        <f t="shared" si="101"/>
        <v>0</v>
      </c>
      <c r="V63" s="259" t="str">
        <f t="shared" si="102"/>
        <v/>
      </c>
      <c r="W63" s="260" t="str">
        <f t="shared" si="103"/>
        <v/>
      </c>
      <c r="X63" s="283">
        <f t="shared" si="137"/>
        <v>0</v>
      </c>
      <c r="Y63" s="284" t="str">
        <f t="shared" si="104"/>
        <v/>
      </c>
      <c r="Z63" s="150"/>
      <c r="AA63" s="175"/>
      <c r="AB63" s="175">
        <v>44</v>
      </c>
      <c r="AC63" s="297" t="str">
        <f t="shared" si="138"/>
        <v>-</v>
      </c>
      <c r="AD63" s="297">
        <f t="shared" si="77"/>
        <v>0</v>
      </c>
      <c r="AE63" s="297">
        <f t="shared" si="78"/>
        <v>0</v>
      </c>
      <c r="AF63" s="297"/>
      <c r="AG63" s="298">
        <f t="shared" si="79"/>
        <v>0</v>
      </c>
      <c r="AH63" s="1339">
        <f t="shared" si="7"/>
        <v>0</v>
      </c>
      <c r="AI63" s="1340">
        <f>IF(SUM(AH63:AH$99)=0,0,F63&gt;0)</f>
        <v>0</v>
      </c>
      <c r="AJ63" s="1339">
        <f t="shared" si="8"/>
        <v>0</v>
      </c>
      <c r="AK63" s="1340">
        <f>IF(SUM(AH63:AH$99)=0,0,AND(AI63=FALSE,AJ63=0,SUM(AJ63:AJ$99)&gt;0))</f>
        <v>0</v>
      </c>
      <c r="AL63" s="1340">
        <f t="shared" si="9"/>
        <v>0</v>
      </c>
      <c r="AM63" s="1340">
        <f t="shared" si="10"/>
        <v>0</v>
      </c>
      <c r="AN63" s="1341">
        <f t="shared" si="11"/>
        <v>0</v>
      </c>
      <c r="AO63" s="1341">
        <f t="shared" si="12"/>
        <v>0</v>
      </c>
      <c r="AP63" s="264">
        <f t="shared" si="105"/>
        <v>0</v>
      </c>
      <c r="AQ63" s="264">
        <f t="shared" si="80"/>
        <v>0</v>
      </c>
      <c r="AR63" s="1340">
        <f t="shared" si="14"/>
        <v>0</v>
      </c>
      <c r="AS63" s="1340" t="str">
        <f t="shared" si="81"/>
        <v/>
      </c>
      <c r="AT63" s="1340">
        <f t="shared" si="15"/>
        <v>0</v>
      </c>
      <c r="AU63" s="898">
        <f t="shared" si="82"/>
        <v>0</v>
      </c>
      <c r="AV63" s="1340">
        <f t="shared" si="16"/>
        <v>0</v>
      </c>
      <c r="AW63" s="1340">
        <f t="shared" si="17"/>
        <v>0</v>
      </c>
      <c r="AX63" s="1340">
        <f t="shared" si="18"/>
        <v>0</v>
      </c>
      <c r="AY63" s="897">
        <f t="shared" si="83"/>
        <v>0</v>
      </c>
      <c r="AZ63" s="1340">
        <f t="shared" si="19"/>
        <v>0</v>
      </c>
      <c r="BA63" s="896">
        <f t="shared" si="84"/>
        <v>0</v>
      </c>
      <c r="BB63" s="899" t="str">
        <f t="shared" si="85"/>
        <v/>
      </c>
      <c r="BC63" s="899" t="str">
        <f t="shared" si="86"/>
        <v/>
      </c>
      <c r="BD63" s="1340">
        <f t="shared" si="20"/>
        <v>0</v>
      </c>
      <c r="BE63" s="1340">
        <f t="shared" si="21"/>
        <v>0</v>
      </c>
      <c r="BF63" s="1340">
        <f t="shared" si="22"/>
        <v>0</v>
      </c>
      <c r="BG63" s="1342" t="b">
        <f t="shared" si="106"/>
        <v>0</v>
      </c>
      <c r="BH63" s="299" t="str">
        <f t="shared" si="24"/>
        <v/>
      </c>
      <c r="BI63" s="1343">
        <f t="shared" si="107"/>
        <v>0</v>
      </c>
      <c r="BJ63" s="1344">
        <f t="shared" si="108"/>
        <v>0</v>
      </c>
      <c r="BK63" s="1344">
        <f t="shared" si="87"/>
        <v>0</v>
      </c>
      <c r="BL63" s="1345">
        <f t="shared" si="27"/>
        <v>0</v>
      </c>
      <c r="BM63" s="1346">
        <f t="shared" si="28"/>
        <v>0</v>
      </c>
      <c r="BN63" s="300">
        <f t="shared" si="109"/>
        <v>0</v>
      </c>
      <c r="BO63" s="300">
        <f t="shared" si="110"/>
        <v>0</v>
      </c>
      <c r="BP63" s="1344">
        <f t="shared" si="88"/>
        <v>0</v>
      </c>
      <c r="BQ63" s="301">
        <f t="shared" si="31"/>
        <v>0</v>
      </c>
      <c r="BR63" s="314"/>
      <c r="BS63" s="1343">
        <f t="shared" si="98"/>
        <v>0</v>
      </c>
      <c r="BT63" s="1344">
        <f t="shared" si="98"/>
        <v>0</v>
      </c>
      <c r="BU63" s="1344">
        <f t="shared" si="98"/>
        <v>0</v>
      </c>
      <c r="BV63" s="303">
        <f t="shared" si="98"/>
        <v>0</v>
      </c>
      <c r="BW63" s="304">
        <f t="shared" si="111"/>
        <v>0</v>
      </c>
      <c r="BX63" s="300">
        <f t="shared" si="112"/>
        <v>0</v>
      </c>
      <c r="BY63" s="1344">
        <f t="shared" si="89"/>
        <v>0</v>
      </c>
      <c r="BZ63" s="300">
        <f t="shared" si="90"/>
        <v>0</v>
      </c>
      <c r="CA63" s="301">
        <f t="shared" si="36"/>
        <v>0</v>
      </c>
      <c r="CB63" s="305" t="e">
        <f t="shared" si="113"/>
        <v>#DIV/0!</v>
      </c>
      <c r="CC63" s="304" t="e">
        <f t="shared" si="38"/>
        <v>#DIV/0!</v>
      </c>
      <c r="CD63" s="300">
        <f t="shared" si="39"/>
        <v>0</v>
      </c>
      <c r="CE63" s="306">
        <f t="shared" si="91"/>
        <v>0</v>
      </c>
      <c r="CF63" s="306">
        <f t="shared" si="40"/>
        <v>0</v>
      </c>
      <c r="CG63" s="307" t="e">
        <f t="shared" si="41"/>
        <v>#DIV/0!</v>
      </c>
      <c r="CH63" s="307" t="e">
        <f t="shared" si="114"/>
        <v>#DIV/0!</v>
      </c>
      <c r="CI63" s="308" t="e">
        <f t="shared" si="139"/>
        <v>#DIV/0!</v>
      </c>
      <c r="CJ63" s="309" t="e">
        <f t="shared" si="115"/>
        <v>#DIV/0!</v>
      </c>
      <c r="CK63" s="175" t="e">
        <f t="shared" si="93"/>
        <v>#DIV/0!</v>
      </c>
      <c r="CL63" s="175" t="str">
        <f t="shared" si="116"/>
        <v/>
      </c>
      <c r="CM63" s="310" t="e">
        <f t="shared" si="94"/>
        <v>#DIV/0!</v>
      </c>
      <c r="CN63" s="311" t="e">
        <f t="shared" si="95"/>
        <v>#DIV/0!</v>
      </c>
      <c r="CO63" s="311">
        <f t="shared" si="96"/>
        <v>0</v>
      </c>
      <c r="CP63" s="175">
        <f t="shared" si="45"/>
        <v>1</v>
      </c>
      <c r="CQ63" s="175">
        <f t="shared" si="46"/>
        <v>1</v>
      </c>
      <c r="CR63" s="175" t="str">
        <f t="shared" si="117"/>
        <v/>
      </c>
      <c r="CS63" s="175">
        <f t="shared" si="48"/>
        <v>0</v>
      </c>
      <c r="CT63" s="312">
        <f t="shared" si="49"/>
        <v>0</v>
      </c>
      <c r="CU63" s="175" t="str">
        <f t="shared" si="50"/>
        <v>OK</v>
      </c>
      <c r="CV63" s="313">
        <f t="shared" si="51"/>
        <v>0.05</v>
      </c>
      <c r="CW63" s="312" t="e">
        <f t="shared" si="118"/>
        <v>#DIV/0!</v>
      </c>
      <c r="CX63" s="312" t="e">
        <f t="shared" si="119"/>
        <v>#DIV/0!</v>
      </c>
      <c r="CY63" s="312" t="e">
        <f t="shared" si="120"/>
        <v>#DIV/0!</v>
      </c>
      <c r="CZ63" s="312" t="e">
        <f t="shared" si="121"/>
        <v>#DIV/0!</v>
      </c>
      <c r="DA63" s="312">
        <f t="shared" si="122"/>
        <v>1</v>
      </c>
      <c r="DB63" s="312">
        <f t="shared" si="57"/>
        <v>0</v>
      </c>
      <c r="DC63" s="175" t="str">
        <f t="shared" si="123"/>
        <v>Soft</v>
      </c>
      <c r="DD63" s="175"/>
      <c r="DE63" s="175">
        <f t="shared" si="124"/>
        <v>0</v>
      </c>
      <c r="DF63" s="312" t="e">
        <f t="shared" si="125"/>
        <v>#DIV/0!</v>
      </c>
      <c r="DG63" s="312" t="e">
        <f t="shared" si="126"/>
        <v>#DIV/0!</v>
      </c>
      <c r="DH63" s="312" t="e">
        <f t="shared" si="127"/>
        <v>#DIV/0!</v>
      </c>
      <c r="DI63" s="312" t="e">
        <f t="shared" si="128"/>
        <v>#DIV/0!</v>
      </c>
      <c r="DJ63" s="312" t="e">
        <f t="shared" si="97"/>
        <v>#DIV/0!</v>
      </c>
      <c r="DK63" s="175"/>
      <c r="DL63" s="175"/>
      <c r="DM63" s="175"/>
      <c r="DN63" s="175">
        <f t="shared" si="129"/>
        <v>1</v>
      </c>
      <c r="DO63" s="312" t="e">
        <f t="shared" si="130"/>
        <v>#DIV/0!</v>
      </c>
      <c r="DP63" s="312" t="e">
        <f t="shared" si="131"/>
        <v>#DIV/0!</v>
      </c>
      <c r="DQ63" s="312" t="e">
        <f t="shared" si="132"/>
        <v>#DIV/0!</v>
      </c>
      <c r="DR63" s="312" t="e">
        <f t="shared" si="133"/>
        <v>#DIV/0!</v>
      </c>
      <c r="DS63" s="312" t="e">
        <f t="shared" si="134"/>
        <v>#DIV/0!</v>
      </c>
      <c r="DT63" s="312" t="e">
        <f t="shared" si="135"/>
        <v>#DIV/0!</v>
      </c>
      <c r="DU63" s="312">
        <f t="shared" si="71"/>
        <v>0</v>
      </c>
      <c r="DV63" s="175"/>
      <c r="DW63" s="175" t="b">
        <f t="shared" si="136"/>
        <v>1</v>
      </c>
      <c r="DX63" s="175" t="b">
        <f t="shared" si="136"/>
        <v>1</v>
      </c>
      <c r="DY63" s="175" t="b">
        <f t="shared" si="136"/>
        <v>1</v>
      </c>
      <c r="DZ63" s="175" t="b">
        <f t="shared" si="136"/>
        <v>1</v>
      </c>
      <c r="EA63" s="175" t="b">
        <f t="shared" si="136"/>
        <v>1</v>
      </c>
      <c r="EB63" s="168"/>
    </row>
    <row r="64" spans="1:132" s="140" customFormat="1" ht="18.5" hidden="1" thickBot="1" x14ac:dyDescent="0.45">
      <c r="A64" s="150"/>
      <c r="B64" s="296" t="str">
        <f t="shared" si="73"/>
        <v>-</v>
      </c>
      <c r="C64" s="279">
        <v>45</v>
      </c>
      <c r="D64" s="1557"/>
      <c r="E64" s="1558"/>
      <c r="F64" s="977"/>
      <c r="G64" s="1103"/>
      <c r="H64" s="978"/>
      <c r="I64" s="965"/>
      <c r="J64" s="1325"/>
      <c r="K64" s="1326"/>
      <c r="L64" s="1326"/>
      <c r="M64" s="1326"/>
      <c r="N64" s="1327"/>
      <c r="O64" s="974"/>
      <c r="P64" s="975"/>
      <c r="Q64" s="976"/>
      <c r="R64" s="966"/>
      <c r="S64" s="280" t="str">
        <f t="shared" si="99"/>
        <v/>
      </c>
      <c r="T64" s="281" t="str">
        <f t="shared" si="100"/>
        <v/>
      </c>
      <c r="U64" s="282">
        <f t="shared" si="101"/>
        <v>0</v>
      </c>
      <c r="V64" s="259" t="str">
        <f t="shared" si="102"/>
        <v/>
      </c>
      <c r="W64" s="260" t="str">
        <f t="shared" si="103"/>
        <v/>
      </c>
      <c r="X64" s="283">
        <f t="shared" si="137"/>
        <v>0</v>
      </c>
      <c r="Y64" s="284" t="str">
        <f t="shared" si="104"/>
        <v/>
      </c>
      <c r="Z64" s="150"/>
      <c r="AA64" s="175"/>
      <c r="AB64" s="175">
        <v>45</v>
      </c>
      <c r="AC64" s="297" t="str">
        <f t="shared" si="138"/>
        <v>-</v>
      </c>
      <c r="AD64" s="297">
        <f t="shared" si="77"/>
        <v>0</v>
      </c>
      <c r="AE64" s="297">
        <f t="shared" si="78"/>
        <v>0</v>
      </c>
      <c r="AF64" s="297"/>
      <c r="AG64" s="298">
        <f t="shared" si="79"/>
        <v>0</v>
      </c>
      <c r="AH64" s="1339">
        <f t="shared" si="7"/>
        <v>0</v>
      </c>
      <c r="AI64" s="1340">
        <f>IF(SUM(AH64:AH$99)=0,0,F64&gt;0)</f>
        <v>0</v>
      </c>
      <c r="AJ64" s="1339">
        <f t="shared" si="8"/>
        <v>0</v>
      </c>
      <c r="AK64" s="1340">
        <f>IF(SUM(AH64:AH$99)=0,0,AND(AI64=FALSE,AJ64=0,SUM(AJ64:AJ$99)&gt;0))</f>
        <v>0</v>
      </c>
      <c r="AL64" s="1340">
        <f t="shared" si="9"/>
        <v>0</v>
      </c>
      <c r="AM64" s="1340">
        <f t="shared" si="10"/>
        <v>0</v>
      </c>
      <c r="AN64" s="1341">
        <f t="shared" si="11"/>
        <v>0</v>
      </c>
      <c r="AO64" s="1341">
        <f t="shared" si="12"/>
        <v>0</v>
      </c>
      <c r="AP64" s="264">
        <f t="shared" si="105"/>
        <v>0</v>
      </c>
      <c r="AQ64" s="264">
        <f t="shared" si="80"/>
        <v>0</v>
      </c>
      <c r="AR64" s="1340">
        <f t="shared" si="14"/>
        <v>0</v>
      </c>
      <c r="AS64" s="1340" t="str">
        <f t="shared" si="81"/>
        <v/>
      </c>
      <c r="AT64" s="1340">
        <f t="shared" si="15"/>
        <v>0</v>
      </c>
      <c r="AU64" s="898">
        <f t="shared" si="82"/>
        <v>0</v>
      </c>
      <c r="AV64" s="1340">
        <f t="shared" si="16"/>
        <v>0</v>
      </c>
      <c r="AW64" s="1340">
        <f t="shared" si="17"/>
        <v>0</v>
      </c>
      <c r="AX64" s="1340">
        <f t="shared" si="18"/>
        <v>0</v>
      </c>
      <c r="AY64" s="897">
        <f t="shared" si="83"/>
        <v>0</v>
      </c>
      <c r="AZ64" s="1340">
        <f t="shared" si="19"/>
        <v>0</v>
      </c>
      <c r="BA64" s="896">
        <f t="shared" si="84"/>
        <v>0</v>
      </c>
      <c r="BB64" s="899" t="str">
        <f t="shared" si="85"/>
        <v/>
      </c>
      <c r="BC64" s="899" t="str">
        <f t="shared" si="86"/>
        <v/>
      </c>
      <c r="BD64" s="1340">
        <f t="shared" si="20"/>
        <v>0</v>
      </c>
      <c r="BE64" s="1340">
        <f t="shared" si="21"/>
        <v>0</v>
      </c>
      <c r="BF64" s="1340">
        <f t="shared" si="22"/>
        <v>0</v>
      </c>
      <c r="BG64" s="1342" t="b">
        <f t="shared" si="106"/>
        <v>0</v>
      </c>
      <c r="BH64" s="299" t="str">
        <f t="shared" si="24"/>
        <v/>
      </c>
      <c r="BI64" s="1343">
        <f t="shared" si="107"/>
        <v>0</v>
      </c>
      <c r="BJ64" s="1344">
        <f t="shared" si="108"/>
        <v>0</v>
      </c>
      <c r="BK64" s="1344">
        <f t="shared" si="87"/>
        <v>0</v>
      </c>
      <c r="BL64" s="1345">
        <f t="shared" si="27"/>
        <v>0</v>
      </c>
      <c r="BM64" s="1346">
        <f t="shared" si="28"/>
        <v>0</v>
      </c>
      <c r="BN64" s="300">
        <f t="shared" si="109"/>
        <v>0</v>
      </c>
      <c r="BO64" s="300">
        <f t="shared" si="110"/>
        <v>0</v>
      </c>
      <c r="BP64" s="1344">
        <f t="shared" si="88"/>
        <v>0</v>
      </c>
      <c r="BQ64" s="301">
        <f t="shared" si="31"/>
        <v>0</v>
      </c>
      <c r="BR64" s="314"/>
      <c r="BS64" s="1343">
        <f t="shared" si="98"/>
        <v>0</v>
      </c>
      <c r="BT64" s="1344">
        <f t="shared" si="98"/>
        <v>0</v>
      </c>
      <c r="BU64" s="1344">
        <f t="shared" si="98"/>
        <v>0</v>
      </c>
      <c r="BV64" s="303">
        <f t="shared" si="98"/>
        <v>0</v>
      </c>
      <c r="BW64" s="304">
        <f t="shared" si="111"/>
        <v>0</v>
      </c>
      <c r="BX64" s="300">
        <f t="shared" si="112"/>
        <v>0</v>
      </c>
      <c r="BY64" s="1344">
        <f t="shared" si="89"/>
        <v>0</v>
      </c>
      <c r="BZ64" s="300">
        <f t="shared" si="90"/>
        <v>0</v>
      </c>
      <c r="CA64" s="301">
        <f t="shared" si="36"/>
        <v>0</v>
      </c>
      <c r="CB64" s="305" t="e">
        <f t="shared" si="113"/>
        <v>#DIV/0!</v>
      </c>
      <c r="CC64" s="304" t="e">
        <f t="shared" si="38"/>
        <v>#DIV/0!</v>
      </c>
      <c r="CD64" s="300">
        <f t="shared" si="39"/>
        <v>0</v>
      </c>
      <c r="CE64" s="306">
        <f t="shared" si="91"/>
        <v>0</v>
      </c>
      <c r="CF64" s="306">
        <f t="shared" si="40"/>
        <v>0</v>
      </c>
      <c r="CG64" s="307" t="e">
        <f t="shared" si="41"/>
        <v>#DIV/0!</v>
      </c>
      <c r="CH64" s="307" t="e">
        <f t="shared" si="114"/>
        <v>#DIV/0!</v>
      </c>
      <c r="CI64" s="308" t="e">
        <f t="shared" si="139"/>
        <v>#DIV/0!</v>
      </c>
      <c r="CJ64" s="309" t="e">
        <f t="shared" si="115"/>
        <v>#DIV/0!</v>
      </c>
      <c r="CK64" s="175" t="e">
        <f t="shared" si="93"/>
        <v>#DIV/0!</v>
      </c>
      <c r="CL64" s="175" t="str">
        <f t="shared" si="116"/>
        <v/>
      </c>
      <c r="CM64" s="310" t="e">
        <f t="shared" si="94"/>
        <v>#DIV/0!</v>
      </c>
      <c r="CN64" s="311" t="e">
        <f t="shared" si="95"/>
        <v>#DIV/0!</v>
      </c>
      <c r="CO64" s="311">
        <f t="shared" si="96"/>
        <v>0</v>
      </c>
      <c r="CP64" s="175">
        <f t="shared" si="45"/>
        <v>1</v>
      </c>
      <c r="CQ64" s="175">
        <f t="shared" si="46"/>
        <v>1</v>
      </c>
      <c r="CR64" s="175" t="str">
        <f t="shared" si="117"/>
        <v/>
      </c>
      <c r="CS64" s="175">
        <f t="shared" si="48"/>
        <v>0</v>
      </c>
      <c r="CT64" s="312">
        <f t="shared" si="49"/>
        <v>0</v>
      </c>
      <c r="CU64" s="175" t="str">
        <f t="shared" si="50"/>
        <v>OK</v>
      </c>
      <c r="CV64" s="313">
        <f t="shared" si="51"/>
        <v>0.05</v>
      </c>
      <c r="CW64" s="312" t="e">
        <f t="shared" si="118"/>
        <v>#DIV/0!</v>
      </c>
      <c r="CX64" s="312" t="e">
        <f t="shared" si="119"/>
        <v>#DIV/0!</v>
      </c>
      <c r="CY64" s="312" t="e">
        <f t="shared" si="120"/>
        <v>#DIV/0!</v>
      </c>
      <c r="CZ64" s="312" t="e">
        <f t="shared" si="121"/>
        <v>#DIV/0!</v>
      </c>
      <c r="DA64" s="312">
        <f t="shared" si="122"/>
        <v>1</v>
      </c>
      <c r="DB64" s="312">
        <f t="shared" si="57"/>
        <v>0</v>
      </c>
      <c r="DC64" s="175" t="str">
        <f t="shared" si="123"/>
        <v>Soft</v>
      </c>
      <c r="DD64" s="175"/>
      <c r="DE64" s="175">
        <f t="shared" si="124"/>
        <v>0</v>
      </c>
      <c r="DF64" s="312" t="e">
        <f t="shared" si="125"/>
        <v>#DIV/0!</v>
      </c>
      <c r="DG64" s="312" t="e">
        <f t="shared" si="126"/>
        <v>#DIV/0!</v>
      </c>
      <c r="DH64" s="312" t="e">
        <f t="shared" si="127"/>
        <v>#DIV/0!</v>
      </c>
      <c r="DI64" s="312" t="e">
        <f t="shared" si="128"/>
        <v>#DIV/0!</v>
      </c>
      <c r="DJ64" s="312" t="e">
        <f t="shared" si="97"/>
        <v>#DIV/0!</v>
      </c>
      <c r="DK64" s="175"/>
      <c r="DL64" s="175"/>
      <c r="DM64" s="175"/>
      <c r="DN64" s="175">
        <f t="shared" si="129"/>
        <v>1</v>
      </c>
      <c r="DO64" s="312" t="e">
        <f t="shared" si="130"/>
        <v>#DIV/0!</v>
      </c>
      <c r="DP64" s="312" t="e">
        <f t="shared" si="131"/>
        <v>#DIV/0!</v>
      </c>
      <c r="DQ64" s="312" t="e">
        <f t="shared" si="132"/>
        <v>#DIV/0!</v>
      </c>
      <c r="DR64" s="312" t="e">
        <f t="shared" si="133"/>
        <v>#DIV/0!</v>
      </c>
      <c r="DS64" s="312" t="e">
        <f t="shared" si="134"/>
        <v>#DIV/0!</v>
      </c>
      <c r="DT64" s="312" t="e">
        <f t="shared" si="135"/>
        <v>#DIV/0!</v>
      </c>
      <c r="DU64" s="312">
        <f t="shared" si="71"/>
        <v>0</v>
      </c>
      <c r="DV64" s="175"/>
      <c r="DW64" s="175" t="b">
        <f t="shared" si="136"/>
        <v>1</v>
      </c>
      <c r="DX64" s="175" t="b">
        <f t="shared" si="136"/>
        <v>1</v>
      </c>
      <c r="DY64" s="175" t="b">
        <f t="shared" si="136"/>
        <v>1</v>
      </c>
      <c r="DZ64" s="175" t="b">
        <f t="shared" si="136"/>
        <v>1</v>
      </c>
      <c r="EA64" s="175" t="b">
        <f t="shared" si="136"/>
        <v>1</v>
      </c>
      <c r="EB64" s="168"/>
    </row>
    <row r="65" spans="1:132" s="140" customFormat="1" ht="18.5" hidden="1" thickBot="1" x14ac:dyDescent="0.45">
      <c r="A65" s="150"/>
      <c r="B65" s="296" t="str">
        <f t="shared" si="73"/>
        <v>-</v>
      </c>
      <c r="C65" s="279">
        <v>46</v>
      </c>
      <c r="D65" s="1557"/>
      <c r="E65" s="1558"/>
      <c r="F65" s="977"/>
      <c r="G65" s="1103"/>
      <c r="H65" s="978"/>
      <c r="I65" s="965"/>
      <c r="J65" s="1325"/>
      <c r="K65" s="1326"/>
      <c r="L65" s="1326"/>
      <c r="M65" s="1326"/>
      <c r="N65" s="1327"/>
      <c r="O65" s="974"/>
      <c r="P65" s="975"/>
      <c r="Q65" s="976"/>
      <c r="R65" s="966"/>
      <c r="S65" s="280" t="str">
        <f t="shared" si="99"/>
        <v/>
      </c>
      <c r="T65" s="281" t="str">
        <f t="shared" si="100"/>
        <v/>
      </c>
      <c r="U65" s="282">
        <f t="shared" si="101"/>
        <v>0</v>
      </c>
      <c r="V65" s="259" t="str">
        <f t="shared" si="102"/>
        <v/>
      </c>
      <c r="W65" s="260" t="str">
        <f t="shared" si="103"/>
        <v/>
      </c>
      <c r="X65" s="283">
        <f t="shared" si="137"/>
        <v>0</v>
      </c>
      <c r="Y65" s="284" t="str">
        <f t="shared" si="104"/>
        <v/>
      </c>
      <c r="Z65" s="150"/>
      <c r="AA65" s="175"/>
      <c r="AB65" s="175">
        <v>46</v>
      </c>
      <c r="AC65" s="297" t="str">
        <f t="shared" si="138"/>
        <v>-</v>
      </c>
      <c r="AD65" s="297">
        <f t="shared" si="77"/>
        <v>0</v>
      </c>
      <c r="AE65" s="297">
        <f t="shared" si="78"/>
        <v>0</v>
      </c>
      <c r="AF65" s="297"/>
      <c r="AG65" s="298">
        <f t="shared" si="79"/>
        <v>0</v>
      </c>
      <c r="AH65" s="1339">
        <f t="shared" si="7"/>
        <v>0</v>
      </c>
      <c r="AI65" s="1340">
        <f>IF(SUM(AH65:AH$99)=0,0,F65&gt;0)</f>
        <v>0</v>
      </c>
      <c r="AJ65" s="1339">
        <f t="shared" si="8"/>
        <v>0</v>
      </c>
      <c r="AK65" s="1340">
        <f>IF(SUM(AH65:AH$99)=0,0,AND(AI65=FALSE,AJ65=0,SUM(AJ65:AJ$99)&gt;0))</f>
        <v>0</v>
      </c>
      <c r="AL65" s="1340">
        <f t="shared" si="9"/>
        <v>0</v>
      </c>
      <c r="AM65" s="1340">
        <f t="shared" si="10"/>
        <v>0</v>
      </c>
      <c r="AN65" s="1341">
        <f t="shared" si="11"/>
        <v>0</v>
      </c>
      <c r="AO65" s="1341">
        <f t="shared" si="12"/>
        <v>0</v>
      </c>
      <c r="AP65" s="264">
        <f t="shared" si="105"/>
        <v>0</v>
      </c>
      <c r="AQ65" s="264">
        <f t="shared" si="80"/>
        <v>0</v>
      </c>
      <c r="AR65" s="1340">
        <f t="shared" si="14"/>
        <v>0</v>
      </c>
      <c r="AS65" s="1340" t="str">
        <f t="shared" si="81"/>
        <v/>
      </c>
      <c r="AT65" s="1340">
        <f t="shared" si="15"/>
        <v>0</v>
      </c>
      <c r="AU65" s="898">
        <f t="shared" si="82"/>
        <v>0</v>
      </c>
      <c r="AV65" s="1340">
        <f t="shared" si="16"/>
        <v>0</v>
      </c>
      <c r="AW65" s="1340">
        <f t="shared" si="17"/>
        <v>0</v>
      </c>
      <c r="AX65" s="1340">
        <f t="shared" si="18"/>
        <v>0</v>
      </c>
      <c r="AY65" s="897">
        <f t="shared" si="83"/>
        <v>0</v>
      </c>
      <c r="AZ65" s="1340">
        <f t="shared" si="19"/>
        <v>0</v>
      </c>
      <c r="BA65" s="896">
        <f t="shared" si="84"/>
        <v>0</v>
      </c>
      <c r="BB65" s="899" t="str">
        <f t="shared" si="85"/>
        <v/>
      </c>
      <c r="BC65" s="899" t="str">
        <f t="shared" si="86"/>
        <v/>
      </c>
      <c r="BD65" s="1340">
        <f t="shared" si="20"/>
        <v>0</v>
      </c>
      <c r="BE65" s="1340">
        <f t="shared" si="21"/>
        <v>0</v>
      </c>
      <c r="BF65" s="1340">
        <f t="shared" si="22"/>
        <v>0</v>
      </c>
      <c r="BG65" s="1342" t="b">
        <f t="shared" si="106"/>
        <v>0</v>
      </c>
      <c r="BH65" s="299" t="str">
        <f t="shared" si="24"/>
        <v/>
      </c>
      <c r="BI65" s="1343">
        <f t="shared" si="107"/>
        <v>0</v>
      </c>
      <c r="BJ65" s="1344">
        <f t="shared" si="108"/>
        <v>0</v>
      </c>
      <c r="BK65" s="1344">
        <f t="shared" si="87"/>
        <v>0</v>
      </c>
      <c r="BL65" s="1345">
        <f t="shared" si="27"/>
        <v>0</v>
      </c>
      <c r="BM65" s="1346">
        <f t="shared" si="28"/>
        <v>0</v>
      </c>
      <c r="BN65" s="300">
        <f t="shared" si="109"/>
        <v>0</v>
      </c>
      <c r="BO65" s="300">
        <f t="shared" si="110"/>
        <v>0</v>
      </c>
      <c r="BP65" s="1344">
        <f t="shared" si="88"/>
        <v>0</v>
      </c>
      <c r="BQ65" s="301">
        <f t="shared" si="31"/>
        <v>0</v>
      </c>
      <c r="BR65" s="314"/>
      <c r="BS65" s="1343">
        <f t="shared" si="98"/>
        <v>0</v>
      </c>
      <c r="BT65" s="1344">
        <f t="shared" si="98"/>
        <v>0</v>
      </c>
      <c r="BU65" s="1344">
        <f t="shared" si="98"/>
        <v>0</v>
      </c>
      <c r="BV65" s="303">
        <f t="shared" si="98"/>
        <v>0</v>
      </c>
      <c r="BW65" s="304">
        <f t="shared" si="111"/>
        <v>0</v>
      </c>
      <c r="BX65" s="300">
        <f t="shared" si="112"/>
        <v>0</v>
      </c>
      <c r="BY65" s="1344">
        <f t="shared" si="89"/>
        <v>0</v>
      </c>
      <c r="BZ65" s="300">
        <f t="shared" si="90"/>
        <v>0</v>
      </c>
      <c r="CA65" s="301">
        <f t="shared" si="36"/>
        <v>0</v>
      </c>
      <c r="CB65" s="305" t="e">
        <f t="shared" si="113"/>
        <v>#DIV/0!</v>
      </c>
      <c r="CC65" s="304" t="e">
        <f t="shared" si="38"/>
        <v>#DIV/0!</v>
      </c>
      <c r="CD65" s="300">
        <f t="shared" si="39"/>
        <v>0</v>
      </c>
      <c r="CE65" s="306">
        <f t="shared" si="91"/>
        <v>0</v>
      </c>
      <c r="CF65" s="306">
        <f t="shared" si="40"/>
        <v>0</v>
      </c>
      <c r="CG65" s="307" t="e">
        <f t="shared" si="41"/>
        <v>#DIV/0!</v>
      </c>
      <c r="CH65" s="307" t="e">
        <f t="shared" si="114"/>
        <v>#DIV/0!</v>
      </c>
      <c r="CI65" s="308" t="e">
        <f t="shared" si="139"/>
        <v>#DIV/0!</v>
      </c>
      <c r="CJ65" s="309" t="e">
        <f t="shared" si="115"/>
        <v>#DIV/0!</v>
      </c>
      <c r="CK65" s="175" t="e">
        <f t="shared" si="93"/>
        <v>#DIV/0!</v>
      </c>
      <c r="CL65" s="175" t="str">
        <f t="shared" si="116"/>
        <v/>
      </c>
      <c r="CM65" s="310" t="e">
        <f t="shared" si="94"/>
        <v>#DIV/0!</v>
      </c>
      <c r="CN65" s="311" t="e">
        <f t="shared" si="95"/>
        <v>#DIV/0!</v>
      </c>
      <c r="CO65" s="311">
        <f t="shared" si="96"/>
        <v>0</v>
      </c>
      <c r="CP65" s="175">
        <f t="shared" si="45"/>
        <v>1</v>
      </c>
      <c r="CQ65" s="175">
        <f t="shared" si="46"/>
        <v>1</v>
      </c>
      <c r="CR65" s="175" t="str">
        <f t="shared" si="117"/>
        <v/>
      </c>
      <c r="CS65" s="175">
        <f t="shared" si="48"/>
        <v>0</v>
      </c>
      <c r="CT65" s="312">
        <f t="shared" si="49"/>
        <v>0</v>
      </c>
      <c r="CU65" s="175" t="str">
        <f t="shared" si="50"/>
        <v>OK</v>
      </c>
      <c r="CV65" s="313">
        <f t="shared" si="51"/>
        <v>0.05</v>
      </c>
      <c r="CW65" s="312" t="e">
        <f t="shared" si="118"/>
        <v>#DIV/0!</v>
      </c>
      <c r="CX65" s="312" t="e">
        <f t="shared" si="119"/>
        <v>#DIV/0!</v>
      </c>
      <c r="CY65" s="312" t="e">
        <f t="shared" si="120"/>
        <v>#DIV/0!</v>
      </c>
      <c r="CZ65" s="312" t="e">
        <f t="shared" si="121"/>
        <v>#DIV/0!</v>
      </c>
      <c r="DA65" s="312">
        <f t="shared" si="122"/>
        <v>1</v>
      </c>
      <c r="DB65" s="312">
        <f t="shared" si="57"/>
        <v>0</v>
      </c>
      <c r="DC65" s="175" t="str">
        <f t="shared" si="123"/>
        <v>Soft</v>
      </c>
      <c r="DD65" s="175"/>
      <c r="DE65" s="175">
        <f t="shared" si="124"/>
        <v>0</v>
      </c>
      <c r="DF65" s="312" t="e">
        <f t="shared" si="125"/>
        <v>#DIV/0!</v>
      </c>
      <c r="DG65" s="312" t="e">
        <f t="shared" si="126"/>
        <v>#DIV/0!</v>
      </c>
      <c r="DH65" s="312" t="e">
        <f t="shared" si="127"/>
        <v>#DIV/0!</v>
      </c>
      <c r="DI65" s="312" t="e">
        <f t="shared" si="128"/>
        <v>#DIV/0!</v>
      </c>
      <c r="DJ65" s="312" t="e">
        <f t="shared" si="97"/>
        <v>#DIV/0!</v>
      </c>
      <c r="DK65" s="175"/>
      <c r="DL65" s="175"/>
      <c r="DM65" s="175"/>
      <c r="DN65" s="175">
        <f t="shared" si="129"/>
        <v>1</v>
      </c>
      <c r="DO65" s="312" t="e">
        <f t="shared" si="130"/>
        <v>#DIV/0!</v>
      </c>
      <c r="DP65" s="312" t="e">
        <f t="shared" si="131"/>
        <v>#DIV/0!</v>
      </c>
      <c r="DQ65" s="312" t="e">
        <f t="shared" si="132"/>
        <v>#DIV/0!</v>
      </c>
      <c r="DR65" s="312" t="e">
        <f t="shared" si="133"/>
        <v>#DIV/0!</v>
      </c>
      <c r="DS65" s="312" t="e">
        <f t="shared" si="134"/>
        <v>#DIV/0!</v>
      </c>
      <c r="DT65" s="312" t="e">
        <f t="shared" si="135"/>
        <v>#DIV/0!</v>
      </c>
      <c r="DU65" s="312">
        <f t="shared" si="71"/>
        <v>0</v>
      </c>
      <c r="DV65" s="175"/>
      <c r="DW65" s="175" t="b">
        <f t="shared" si="136"/>
        <v>1</v>
      </c>
      <c r="DX65" s="175" t="b">
        <f t="shared" si="136"/>
        <v>1</v>
      </c>
      <c r="DY65" s="175" t="b">
        <f t="shared" si="136"/>
        <v>1</v>
      </c>
      <c r="DZ65" s="175" t="b">
        <f t="shared" si="136"/>
        <v>1</v>
      </c>
      <c r="EA65" s="175" t="b">
        <f t="shared" si="136"/>
        <v>1</v>
      </c>
      <c r="EB65" s="168"/>
    </row>
    <row r="66" spans="1:132" s="140" customFormat="1" ht="18.5" hidden="1" thickBot="1" x14ac:dyDescent="0.45">
      <c r="A66" s="150"/>
      <c r="B66" s="296" t="str">
        <f t="shared" si="73"/>
        <v>-</v>
      </c>
      <c r="C66" s="279">
        <v>47</v>
      </c>
      <c r="D66" s="1557"/>
      <c r="E66" s="1558"/>
      <c r="F66" s="977"/>
      <c r="G66" s="1103"/>
      <c r="H66" s="978"/>
      <c r="I66" s="965"/>
      <c r="J66" s="1325"/>
      <c r="K66" s="1326"/>
      <c r="L66" s="1326"/>
      <c r="M66" s="1326"/>
      <c r="N66" s="1327"/>
      <c r="O66" s="974"/>
      <c r="P66" s="975"/>
      <c r="Q66" s="976"/>
      <c r="R66" s="966"/>
      <c r="S66" s="280" t="str">
        <f t="shared" si="99"/>
        <v/>
      </c>
      <c r="T66" s="281" t="str">
        <f t="shared" si="100"/>
        <v/>
      </c>
      <c r="U66" s="282">
        <f t="shared" si="101"/>
        <v>0</v>
      </c>
      <c r="V66" s="259" t="str">
        <f t="shared" si="102"/>
        <v/>
      </c>
      <c r="W66" s="260" t="str">
        <f t="shared" si="103"/>
        <v/>
      </c>
      <c r="X66" s="283">
        <f t="shared" si="137"/>
        <v>0</v>
      </c>
      <c r="Y66" s="284" t="str">
        <f t="shared" si="104"/>
        <v/>
      </c>
      <c r="Z66" s="150"/>
      <c r="AA66" s="175"/>
      <c r="AB66" s="175">
        <v>47</v>
      </c>
      <c r="AC66" s="297" t="str">
        <f t="shared" si="138"/>
        <v>-</v>
      </c>
      <c r="AD66" s="297">
        <f t="shared" si="77"/>
        <v>0</v>
      </c>
      <c r="AE66" s="297">
        <f t="shared" si="78"/>
        <v>0</v>
      </c>
      <c r="AF66" s="297"/>
      <c r="AG66" s="298">
        <f t="shared" si="79"/>
        <v>0</v>
      </c>
      <c r="AH66" s="1339">
        <f t="shared" si="7"/>
        <v>0</v>
      </c>
      <c r="AI66" s="1340">
        <f>IF(SUM(AH66:AH$99)=0,0,F66&gt;0)</f>
        <v>0</v>
      </c>
      <c r="AJ66" s="1339">
        <f t="shared" si="8"/>
        <v>0</v>
      </c>
      <c r="AK66" s="1340">
        <f>IF(SUM(AH66:AH$99)=0,0,AND(AI66=FALSE,AJ66=0,SUM(AJ66:AJ$99)&gt;0))</f>
        <v>0</v>
      </c>
      <c r="AL66" s="1340">
        <f t="shared" si="9"/>
        <v>0</v>
      </c>
      <c r="AM66" s="1340">
        <f t="shared" si="10"/>
        <v>0</v>
      </c>
      <c r="AN66" s="1341">
        <f t="shared" si="11"/>
        <v>0</v>
      </c>
      <c r="AO66" s="1341">
        <f t="shared" si="12"/>
        <v>0</v>
      </c>
      <c r="AP66" s="264">
        <f t="shared" si="105"/>
        <v>0</v>
      </c>
      <c r="AQ66" s="264">
        <f t="shared" si="80"/>
        <v>0</v>
      </c>
      <c r="AR66" s="1340">
        <f t="shared" si="14"/>
        <v>0</v>
      </c>
      <c r="AS66" s="1340" t="str">
        <f t="shared" si="81"/>
        <v/>
      </c>
      <c r="AT66" s="1340">
        <f t="shared" si="15"/>
        <v>0</v>
      </c>
      <c r="AU66" s="898">
        <f t="shared" si="82"/>
        <v>0</v>
      </c>
      <c r="AV66" s="1340">
        <f t="shared" si="16"/>
        <v>0</v>
      </c>
      <c r="AW66" s="1340">
        <f t="shared" si="17"/>
        <v>0</v>
      </c>
      <c r="AX66" s="1340">
        <f t="shared" si="18"/>
        <v>0</v>
      </c>
      <c r="AY66" s="897">
        <f t="shared" si="83"/>
        <v>0</v>
      </c>
      <c r="AZ66" s="1340">
        <f t="shared" si="19"/>
        <v>0</v>
      </c>
      <c r="BA66" s="896">
        <f t="shared" si="84"/>
        <v>0</v>
      </c>
      <c r="BB66" s="899" t="str">
        <f t="shared" si="85"/>
        <v/>
      </c>
      <c r="BC66" s="899" t="str">
        <f t="shared" si="86"/>
        <v/>
      </c>
      <c r="BD66" s="1340">
        <f t="shared" si="20"/>
        <v>0</v>
      </c>
      <c r="BE66" s="1340">
        <f t="shared" si="21"/>
        <v>0</v>
      </c>
      <c r="BF66" s="1340">
        <f t="shared" si="22"/>
        <v>0</v>
      </c>
      <c r="BG66" s="1342" t="b">
        <f t="shared" si="106"/>
        <v>0</v>
      </c>
      <c r="BH66" s="299" t="str">
        <f t="shared" si="24"/>
        <v/>
      </c>
      <c r="BI66" s="1343">
        <f t="shared" si="107"/>
        <v>0</v>
      </c>
      <c r="BJ66" s="1344">
        <f t="shared" si="108"/>
        <v>0</v>
      </c>
      <c r="BK66" s="1344">
        <f t="shared" si="87"/>
        <v>0</v>
      </c>
      <c r="BL66" s="1345">
        <f t="shared" si="27"/>
        <v>0</v>
      </c>
      <c r="BM66" s="1346">
        <f t="shared" si="28"/>
        <v>0</v>
      </c>
      <c r="BN66" s="300">
        <f t="shared" si="109"/>
        <v>0</v>
      </c>
      <c r="BO66" s="300">
        <f t="shared" si="110"/>
        <v>0</v>
      </c>
      <c r="BP66" s="1344">
        <f t="shared" si="88"/>
        <v>0</v>
      </c>
      <c r="BQ66" s="301">
        <f t="shared" si="31"/>
        <v>0</v>
      </c>
      <c r="BR66" s="314"/>
      <c r="BS66" s="1343">
        <f t="shared" si="98"/>
        <v>0</v>
      </c>
      <c r="BT66" s="1344">
        <f t="shared" si="98"/>
        <v>0</v>
      </c>
      <c r="BU66" s="1344">
        <f t="shared" si="98"/>
        <v>0</v>
      </c>
      <c r="BV66" s="303">
        <f t="shared" si="98"/>
        <v>0</v>
      </c>
      <c r="BW66" s="304">
        <f t="shared" si="111"/>
        <v>0</v>
      </c>
      <c r="BX66" s="300">
        <f t="shared" si="112"/>
        <v>0</v>
      </c>
      <c r="BY66" s="1344">
        <f t="shared" si="89"/>
        <v>0</v>
      </c>
      <c r="BZ66" s="300">
        <f t="shared" si="90"/>
        <v>0</v>
      </c>
      <c r="CA66" s="301">
        <f t="shared" si="36"/>
        <v>0</v>
      </c>
      <c r="CB66" s="305" t="e">
        <f t="shared" si="113"/>
        <v>#DIV/0!</v>
      </c>
      <c r="CC66" s="304" t="e">
        <f t="shared" si="38"/>
        <v>#DIV/0!</v>
      </c>
      <c r="CD66" s="300">
        <f t="shared" si="39"/>
        <v>0</v>
      </c>
      <c r="CE66" s="306">
        <f t="shared" si="91"/>
        <v>0</v>
      </c>
      <c r="CF66" s="306">
        <f t="shared" si="40"/>
        <v>0</v>
      </c>
      <c r="CG66" s="307" t="e">
        <f t="shared" si="41"/>
        <v>#DIV/0!</v>
      </c>
      <c r="CH66" s="307" t="e">
        <f t="shared" si="114"/>
        <v>#DIV/0!</v>
      </c>
      <c r="CI66" s="308" t="e">
        <f t="shared" si="139"/>
        <v>#DIV/0!</v>
      </c>
      <c r="CJ66" s="309" t="e">
        <f t="shared" si="115"/>
        <v>#DIV/0!</v>
      </c>
      <c r="CK66" s="175" t="e">
        <f t="shared" si="93"/>
        <v>#DIV/0!</v>
      </c>
      <c r="CL66" s="175" t="str">
        <f t="shared" si="116"/>
        <v/>
      </c>
      <c r="CM66" s="310" t="e">
        <f t="shared" si="94"/>
        <v>#DIV/0!</v>
      </c>
      <c r="CN66" s="311" t="e">
        <f t="shared" si="95"/>
        <v>#DIV/0!</v>
      </c>
      <c r="CO66" s="311">
        <f t="shared" si="96"/>
        <v>0</v>
      </c>
      <c r="CP66" s="175">
        <f t="shared" si="45"/>
        <v>1</v>
      </c>
      <c r="CQ66" s="175">
        <f t="shared" si="46"/>
        <v>1</v>
      </c>
      <c r="CR66" s="175" t="str">
        <f t="shared" si="117"/>
        <v/>
      </c>
      <c r="CS66" s="175">
        <f t="shared" si="48"/>
        <v>0</v>
      </c>
      <c r="CT66" s="312">
        <f t="shared" si="49"/>
        <v>0</v>
      </c>
      <c r="CU66" s="175" t="str">
        <f t="shared" si="50"/>
        <v>OK</v>
      </c>
      <c r="CV66" s="313">
        <f t="shared" si="51"/>
        <v>0.05</v>
      </c>
      <c r="CW66" s="312" t="e">
        <f t="shared" si="118"/>
        <v>#DIV/0!</v>
      </c>
      <c r="CX66" s="312" t="e">
        <f t="shared" si="119"/>
        <v>#DIV/0!</v>
      </c>
      <c r="CY66" s="312" t="e">
        <f t="shared" si="120"/>
        <v>#DIV/0!</v>
      </c>
      <c r="CZ66" s="312" t="e">
        <f t="shared" si="121"/>
        <v>#DIV/0!</v>
      </c>
      <c r="DA66" s="312">
        <f t="shared" si="122"/>
        <v>1</v>
      </c>
      <c r="DB66" s="312">
        <f t="shared" si="57"/>
        <v>0</v>
      </c>
      <c r="DC66" s="175" t="str">
        <f t="shared" si="123"/>
        <v>Soft</v>
      </c>
      <c r="DD66" s="175"/>
      <c r="DE66" s="175">
        <f t="shared" si="124"/>
        <v>0</v>
      </c>
      <c r="DF66" s="312" t="e">
        <f t="shared" si="125"/>
        <v>#DIV/0!</v>
      </c>
      <c r="DG66" s="312" t="e">
        <f t="shared" si="126"/>
        <v>#DIV/0!</v>
      </c>
      <c r="DH66" s="312" t="e">
        <f t="shared" si="127"/>
        <v>#DIV/0!</v>
      </c>
      <c r="DI66" s="312" t="e">
        <f t="shared" si="128"/>
        <v>#DIV/0!</v>
      </c>
      <c r="DJ66" s="312" t="e">
        <f t="shared" si="97"/>
        <v>#DIV/0!</v>
      </c>
      <c r="DK66" s="175"/>
      <c r="DL66" s="175"/>
      <c r="DM66" s="175"/>
      <c r="DN66" s="175">
        <f t="shared" si="129"/>
        <v>1</v>
      </c>
      <c r="DO66" s="312" t="e">
        <f t="shared" si="130"/>
        <v>#DIV/0!</v>
      </c>
      <c r="DP66" s="312" t="e">
        <f t="shared" si="131"/>
        <v>#DIV/0!</v>
      </c>
      <c r="DQ66" s="312" t="e">
        <f t="shared" si="132"/>
        <v>#DIV/0!</v>
      </c>
      <c r="DR66" s="312" t="e">
        <f t="shared" si="133"/>
        <v>#DIV/0!</v>
      </c>
      <c r="DS66" s="312" t="e">
        <f t="shared" si="134"/>
        <v>#DIV/0!</v>
      </c>
      <c r="DT66" s="312" t="e">
        <f t="shared" si="135"/>
        <v>#DIV/0!</v>
      </c>
      <c r="DU66" s="312">
        <f t="shared" si="71"/>
        <v>0</v>
      </c>
      <c r="DV66" s="175"/>
      <c r="DW66" s="175" t="b">
        <f t="shared" si="136"/>
        <v>1</v>
      </c>
      <c r="DX66" s="175" t="b">
        <f t="shared" si="136"/>
        <v>1</v>
      </c>
      <c r="DY66" s="175" t="b">
        <f t="shared" si="136"/>
        <v>1</v>
      </c>
      <c r="DZ66" s="175" t="b">
        <f t="shared" si="136"/>
        <v>1</v>
      </c>
      <c r="EA66" s="175" t="b">
        <f t="shared" si="136"/>
        <v>1</v>
      </c>
      <c r="EB66" s="168"/>
    </row>
    <row r="67" spans="1:132" s="140" customFormat="1" ht="18.5" hidden="1" thickBot="1" x14ac:dyDescent="0.45">
      <c r="A67" s="150"/>
      <c r="B67" s="296" t="str">
        <f t="shared" si="73"/>
        <v>-</v>
      </c>
      <c r="C67" s="279">
        <v>48</v>
      </c>
      <c r="D67" s="1557"/>
      <c r="E67" s="1558"/>
      <c r="F67" s="977"/>
      <c r="G67" s="1103"/>
      <c r="H67" s="978"/>
      <c r="I67" s="965"/>
      <c r="J67" s="1325"/>
      <c r="K67" s="1326"/>
      <c r="L67" s="1326"/>
      <c r="M67" s="1326"/>
      <c r="N67" s="1327"/>
      <c r="O67" s="974"/>
      <c r="P67" s="975"/>
      <c r="Q67" s="976"/>
      <c r="R67" s="966"/>
      <c r="S67" s="280" t="str">
        <f t="shared" si="99"/>
        <v/>
      </c>
      <c r="T67" s="281" t="str">
        <f t="shared" si="100"/>
        <v/>
      </c>
      <c r="U67" s="282">
        <f t="shared" si="101"/>
        <v>0</v>
      </c>
      <c r="V67" s="259" t="str">
        <f t="shared" si="102"/>
        <v/>
      </c>
      <c r="W67" s="260" t="str">
        <f t="shared" si="103"/>
        <v/>
      </c>
      <c r="X67" s="283">
        <f t="shared" si="137"/>
        <v>0</v>
      </c>
      <c r="Y67" s="284" t="str">
        <f t="shared" si="104"/>
        <v/>
      </c>
      <c r="Z67" s="150"/>
      <c r="AA67" s="175"/>
      <c r="AB67" s="175">
        <v>48</v>
      </c>
      <c r="AC67" s="297" t="str">
        <f t="shared" si="138"/>
        <v>-</v>
      </c>
      <c r="AD67" s="297">
        <f t="shared" si="77"/>
        <v>0</v>
      </c>
      <c r="AE67" s="297">
        <f t="shared" si="78"/>
        <v>0</v>
      </c>
      <c r="AF67" s="297"/>
      <c r="AG67" s="298">
        <f t="shared" si="79"/>
        <v>0</v>
      </c>
      <c r="AH67" s="1339">
        <f t="shared" si="7"/>
        <v>0</v>
      </c>
      <c r="AI67" s="1340">
        <f>IF(SUM(AH67:AH$99)=0,0,F67&gt;0)</f>
        <v>0</v>
      </c>
      <c r="AJ67" s="1339">
        <f t="shared" si="8"/>
        <v>0</v>
      </c>
      <c r="AK67" s="1340">
        <f>IF(SUM(AH67:AH$99)=0,0,AND(AI67=FALSE,AJ67=0,SUM(AJ67:AJ$99)&gt;0))</f>
        <v>0</v>
      </c>
      <c r="AL67" s="1340">
        <f t="shared" si="9"/>
        <v>0</v>
      </c>
      <c r="AM67" s="1340">
        <f t="shared" si="10"/>
        <v>0</v>
      </c>
      <c r="AN67" s="1341">
        <f t="shared" si="11"/>
        <v>0</v>
      </c>
      <c r="AO67" s="1341">
        <f t="shared" si="12"/>
        <v>0</v>
      </c>
      <c r="AP67" s="264">
        <f t="shared" si="105"/>
        <v>0</v>
      </c>
      <c r="AQ67" s="264">
        <f t="shared" si="80"/>
        <v>0</v>
      </c>
      <c r="AR67" s="1340">
        <f t="shared" si="14"/>
        <v>0</v>
      </c>
      <c r="AS67" s="1340" t="str">
        <f t="shared" si="81"/>
        <v/>
      </c>
      <c r="AT67" s="1340">
        <f t="shared" si="15"/>
        <v>0</v>
      </c>
      <c r="AU67" s="898">
        <f t="shared" si="82"/>
        <v>0</v>
      </c>
      <c r="AV67" s="1340">
        <f t="shared" si="16"/>
        <v>0</v>
      </c>
      <c r="AW67" s="1340">
        <f t="shared" si="17"/>
        <v>0</v>
      </c>
      <c r="AX67" s="1340">
        <f t="shared" si="18"/>
        <v>0</v>
      </c>
      <c r="AY67" s="897">
        <f t="shared" si="83"/>
        <v>0</v>
      </c>
      <c r="AZ67" s="1340">
        <f t="shared" si="19"/>
        <v>0</v>
      </c>
      <c r="BA67" s="896">
        <f t="shared" si="84"/>
        <v>0</v>
      </c>
      <c r="BB67" s="899" t="str">
        <f t="shared" si="85"/>
        <v/>
      </c>
      <c r="BC67" s="899" t="str">
        <f t="shared" si="86"/>
        <v/>
      </c>
      <c r="BD67" s="1340">
        <f t="shared" si="20"/>
        <v>0</v>
      </c>
      <c r="BE67" s="1340">
        <f t="shared" si="21"/>
        <v>0</v>
      </c>
      <c r="BF67" s="1340">
        <f t="shared" si="22"/>
        <v>0</v>
      </c>
      <c r="BG67" s="1342" t="b">
        <f t="shared" si="106"/>
        <v>0</v>
      </c>
      <c r="BH67" s="299" t="str">
        <f t="shared" si="24"/>
        <v/>
      </c>
      <c r="BI67" s="1343">
        <f t="shared" si="107"/>
        <v>0</v>
      </c>
      <c r="BJ67" s="1344">
        <f t="shared" si="108"/>
        <v>0</v>
      </c>
      <c r="BK67" s="1344">
        <f t="shared" si="87"/>
        <v>0</v>
      </c>
      <c r="BL67" s="1345">
        <f t="shared" si="27"/>
        <v>0</v>
      </c>
      <c r="BM67" s="1346">
        <f t="shared" si="28"/>
        <v>0</v>
      </c>
      <c r="BN67" s="300">
        <f t="shared" si="109"/>
        <v>0</v>
      </c>
      <c r="BO67" s="300">
        <f t="shared" si="110"/>
        <v>0</v>
      </c>
      <c r="BP67" s="1344">
        <f t="shared" si="88"/>
        <v>0</v>
      </c>
      <c r="BQ67" s="301">
        <f t="shared" si="31"/>
        <v>0</v>
      </c>
      <c r="BR67" s="314"/>
      <c r="BS67" s="1343">
        <f t="shared" si="98"/>
        <v>0</v>
      </c>
      <c r="BT67" s="1344">
        <f t="shared" si="98"/>
        <v>0</v>
      </c>
      <c r="BU67" s="1344">
        <f t="shared" si="98"/>
        <v>0</v>
      </c>
      <c r="BV67" s="303">
        <f t="shared" si="98"/>
        <v>0</v>
      </c>
      <c r="BW67" s="304">
        <f t="shared" si="111"/>
        <v>0</v>
      </c>
      <c r="BX67" s="300">
        <f t="shared" si="112"/>
        <v>0</v>
      </c>
      <c r="BY67" s="1344">
        <f t="shared" si="89"/>
        <v>0</v>
      </c>
      <c r="BZ67" s="300">
        <f t="shared" si="90"/>
        <v>0</v>
      </c>
      <c r="CA67" s="301">
        <f t="shared" si="36"/>
        <v>0</v>
      </c>
      <c r="CB67" s="305" t="e">
        <f t="shared" si="113"/>
        <v>#DIV/0!</v>
      </c>
      <c r="CC67" s="304" t="e">
        <f t="shared" si="38"/>
        <v>#DIV/0!</v>
      </c>
      <c r="CD67" s="300">
        <f t="shared" si="39"/>
        <v>0</v>
      </c>
      <c r="CE67" s="306">
        <f t="shared" si="91"/>
        <v>0</v>
      </c>
      <c r="CF67" s="306">
        <f t="shared" si="40"/>
        <v>0</v>
      </c>
      <c r="CG67" s="307" t="e">
        <f t="shared" si="41"/>
        <v>#DIV/0!</v>
      </c>
      <c r="CH67" s="307" t="e">
        <f t="shared" si="114"/>
        <v>#DIV/0!</v>
      </c>
      <c r="CI67" s="308" t="e">
        <f t="shared" si="139"/>
        <v>#DIV/0!</v>
      </c>
      <c r="CJ67" s="309" t="e">
        <f t="shared" si="115"/>
        <v>#DIV/0!</v>
      </c>
      <c r="CK67" s="175" t="e">
        <f t="shared" si="93"/>
        <v>#DIV/0!</v>
      </c>
      <c r="CL67" s="175" t="str">
        <f t="shared" si="116"/>
        <v/>
      </c>
      <c r="CM67" s="310" t="e">
        <f t="shared" si="94"/>
        <v>#DIV/0!</v>
      </c>
      <c r="CN67" s="311" t="e">
        <f t="shared" si="95"/>
        <v>#DIV/0!</v>
      </c>
      <c r="CO67" s="311">
        <f t="shared" si="96"/>
        <v>0</v>
      </c>
      <c r="CP67" s="175">
        <f t="shared" si="45"/>
        <v>1</v>
      </c>
      <c r="CQ67" s="175">
        <f t="shared" si="46"/>
        <v>1</v>
      </c>
      <c r="CR67" s="175" t="str">
        <f t="shared" si="117"/>
        <v/>
      </c>
      <c r="CS67" s="175">
        <f t="shared" si="48"/>
        <v>0</v>
      </c>
      <c r="CT67" s="312">
        <f t="shared" si="49"/>
        <v>0</v>
      </c>
      <c r="CU67" s="175" t="str">
        <f t="shared" si="50"/>
        <v>OK</v>
      </c>
      <c r="CV67" s="313">
        <f t="shared" si="51"/>
        <v>0.05</v>
      </c>
      <c r="CW67" s="312" t="e">
        <f t="shared" si="118"/>
        <v>#DIV/0!</v>
      </c>
      <c r="CX67" s="312" t="e">
        <f t="shared" si="119"/>
        <v>#DIV/0!</v>
      </c>
      <c r="CY67" s="312" t="e">
        <f t="shared" si="120"/>
        <v>#DIV/0!</v>
      </c>
      <c r="CZ67" s="312" t="e">
        <f t="shared" si="121"/>
        <v>#DIV/0!</v>
      </c>
      <c r="DA67" s="312">
        <f t="shared" si="122"/>
        <v>1</v>
      </c>
      <c r="DB67" s="312">
        <f t="shared" si="57"/>
        <v>0</v>
      </c>
      <c r="DC67" s="175" t="str">
        <f t="shared" si="123"/>
        <v>Soft</v>
      </c>
      <c r="DD67" s="175"/>
      <c r="DE67" s="175">
        <f t="shared" si="124"/>
        <v>0</v>
      </c>
      <c r="DF67" s="312" t="e">
        <f t="shared" si="125"/>
        <v>#DIV/0!</v>
      </c>
      <c r="DG67" s="312" t="e">
        <f t="shared" si="126"/>
        <v>#DIV/0!</v>
      </c>
      <c r="DH67" s="312" t="e">
        <f t="shared" si="127"/>
        <v>#DIV/0!</v>
      </c>
      <c r="DI67" s="312" t="e">
        <f t="shared" si="128"/>
        <v>#DIV/0!</v>
      </c>
      <c r="DJ67" s="312" t="e">
        <f t="shared" si="97"/>
        <v>#DIV/0!</v>
      </c>
      <c r="DK67" s="175"/>
      <c r="DL67" s="175"/>
      <c r="DM67" s="175"/>
      <c r="DN67" s="175">
        <f t="shared" si="129"/>
        <v>1</v>
      </c>
      <c r="DO67" s="312" t="e">
        <f t="shared" si="130"/>
        <v>#DIV/0!</v>
      </c>
      <c r="DP67" s="312" t="e">
        <f t="shared" si="131"/>
        <v>#DIV/0!</v>
      </c>
      <c r="DQ67" s="312" t="e">
        <f t="shared" si="132"/>
        <v>#DIV/0!</v>
      </c>
      <c r="DR67" s="312" t="e">
        <f t="shared" si="133"/>
        <v>#DIV/0!</v>
      </c>
      <c r="DS67" s="312" t="e">
        <f t="shared" si="134"/>
        <v>#DIV/0!</v>
      </c>
      <c r="DT67" s="312" t="e">
        <f t="shared" si="135"/>
        <v>#DIV/0!</v>
      </c>
      <c r="DU67" s="312">
        <f t="shared" si="71"/>
        <v>0</v>
      </c>
      <c r="DV67" s="175"/>
      <c r="DW67" s="175" t="b">
        <f t="shared" si="136"/>
        <v>1</v>
      </c>
      <c r="DX67" s="175" t="b">
        <f t="shared" si="136"/>
        <v>1</v>
      </c>
      <c r="DY67" s="175" t="b">
        <f t="shared" si="136"/>
        <v>1</v>
      </c>
      <c r="DZ67" s="175" t="b">
        <f t="shared" si="136"/>
        <v>1</v>
      </c>
      <c r="EA67" s="175" t="b">
        <f t="shared" si="136"/>
        <v>1</v>
      </c>
      <c r="EB67" s="168"/>
    </row>
    <row r="68" spans="1:132" s="140" customFormat="1" ht="18.5" hidden="1" thickBot="1" x14ac:dyDescent="0.45">
      <c r="A68" s="150"/>
      <c r="B68" s="296" t="str">
        <f t="shared" si="73"/>
        <v>-</v>
      </c>
      <c r="C68" s="279">
        <v>49</v>
      </c>
      <c r="D68" s="1557"/>
      <c r="E68" s="1558"/>
      <c r="F68" s="977"/>
      <c r="G68" s="1103"/>
      <c r="H68" s="978"/>
      <c r="I68" s="965"/>
      <c r="J68" s="1325"/>
      <c r="K68" s="1326"/>
      <c r="L68" s="1326"/>
      <c r="M68" s="1326"/>
      <c r="N68" s="1327"/>
      <c r="O68" s="974"/>
      <c r="P68" s="975"/>
      <c r="Q68" s="976"/>
      <c r="R68" s="966"/>
      <c r="S68" s="280" t="str">
        <f t="shared" si="99"/>
        <v/>
      </c>
      <c r="T68" s="281" t="str">
        <f t="shared" si="100"/>
        <v/>
      </c>
      <c r="U68" s="282">
        <f t="shared" si="101"/>
        <v>0</v>
      </c>
      <c r="V68" s="259" t="str">
        <f t="shared" si="102"/>
        <v/>
      </c>
      <c r="W68" s="260" t="str">
        <f t="shared" si="103"/>
        <v/>
      </c>
      <c r="X68" s="283">
        <f t="shared" si="137"/>
        <v>0</v>
      </c>
      <c r="Y68" s="284" t="str">
        <f t="shared" si="104"/>
        <v/>
      </c>
      <c r="Z68" s="150"/>
      <c r="AA68" s="175"/>
      <c r="AB68" s="175">
        <v>49</v>
      </c>
      <c r="AC68" s="297" t="str">
        <f t="shared" si="138"/>
        <v>-</v>
      </c>
      <c r="AD68" s="297">
        <f t="shared" si="77"/>
        <v>0</v>
      </c>
      <c r="AE68" s="297">
        <f t="shared" si="78"/>
        <v>0</v>
      </c>
      <c r="AF68" s="297"/>
      <c r="AG68" s="298">
        <f t="shared" si="79"/>
        <v>0</v>
      </c>
      <c r="AH68" s="1339">
        <f t="shared" si="7"/>
        <v>0</v>
      </c>
      <c r="AI68" s="1340">
        <f>IF(SUM(AH68:AH$99)=0,0,F68&gt;0)</f>
        <v>0</v>
      </c>
      <c r="AJ68" s="1339">
        <f t="shared" si="8"/>
        <v>0</v>
      </c>
      <c r="AK68" s="1340">
        <f>IF(SUM(AH68:AH$99)=0,0,AND(AI68=FALSE,AJ68=0,SUM(AJ68:AJ$99)&gt;0))</f>
        <v>0</v>
      </c>
      <c r="AL68" s="1340">
        <f t="shared" si="9"/>
        <v>0</v>
      </c>
      <c r="AM68" s="1340">
        <f t="shared" si="10"/>
        <v>0</v>
      </c>
      <c r="AN68" s="1341">
        <f t="shared" si="11"/>
        <v>0</v>
      </c>
      <c r="AO68" s="1341">
        <f t="shared" si="12"/>
        <v>0</v>
      </c>
      <c r="AP68" s="264">
        <f t="shared" si="105"/>
        <v>0</v>
      </c>
      <c r="AQ68" s="264">
        <f t="shared" si="80"/>
        <v>0</v>
      </c>
      <c r="AR68" s="1340">
        <f t="shared" si="14"/>
        <v>0</v>
      </c>
      <c r="AS68" s="1340" t="str">
        <f t="shared" si="81"/>
        <v/>
      </c>
      <c r="AT68" s="1340">
        <f t="shared" si="15"/>
        <v>0</v>
      </c>
      <c r="AU68" s="898">
        <f t="shared" si="82"/>
        <v>0</v>
      </c>
      <c r="AV68" s="1340">
        <f t="shared" si="16"/>
        <v>0</v>
      </c>
      <c r="AW68" s="1340">
        <f t="shared" si="17"/>
        <v>0</v>
      </c>
      <c r="AX68" s="1340">
        <f t="shared" si="18"/>
        <v>0</v>
      </c>
      <c r="AY68" s="897">
        <f t="shared" si="83"/>
        <v>0</v>
      </c>
      <c r="AZ68" s="1340">
        <f t="shared" si="19"/>
        <v>0</v>
      </c>
      <c r="BA68" s="896">
        <f t="shared" si="84"/>
        <v>0</v>
      </c>
      <c r="BB68" s="899" t="str">
        <f t="shared" si="85"/>
        <v/>
      </c>
      <c r="BC68" s="899" t="str">
        <f t="shared" si="86"/>
        <v/>
      </c>
      <c r="BD68" s="1340">
        <f t="shared" si="20"/>
        <v>0</v>
      </c>
      <c r="BE68" s="1340">
        <f t="shared" si="21"/>
        <v>0</v>
      </c>
      <c r="BF68" s="1340">
        <f t="shared" si="22"/>
        <v>0</v>
      </c>
      <c r="BG68" s="1342" t="b">
        <f t="shared" si="106"/>
        <v>0</v>
      </c>
      <c r="BH68" s="299" t="str">
        <f t="shared" si="24"/>
        <v/>
      </c>
      <c r="BI68" s="1343">
        <f t="shared" si="107"/>
        <v>0</v>
      </c>
      <c r="BJ68" s="1344">
        <f t="shared" si="108"/>
        <v>0</v>
      </c>
      <c r="BK68" s="1344">
        <f t="shared" si="87"/>
        <v>0</v>
      </c>
      <c r="BL68" s="1345">
        <f t="shared" si="27"/>
        <v>0</v>
      </c>
      <c r="BM68" s="1346">
        <f t="shared" si="28"/>
        <v>0</v>
      </c>
      <c r="BN68" s="300">
        <f t="shared" si="109"/>
        <v>0</v>
      </c>
      <c r="BO68" s="300">
        <f t="shared" si="110"/>
        <v>0</v>
      </c>
      <c r="BP68" s="1344">
        <f t="shared" si="88"/>
        <v>0</v>
      </c>
      <c r="BQ68" s="301">
        <f t="shared" si="31"/>
        <v>0</v>
      </c>
      <c r="BR68" s="314"/>
      <c r="BS68" s="1343">
        <f t="shared" si="98"/>
        <v>0</v>
      </c>
      <c r="BT68" s="1344">
        <f t="shared" si="98"/>
        <v>0</v>
      </c>
      <c r="BU68" s="1344">
        <f t="shared" si="98"/>
        <v>0</v>
      </c>
      <c r="BV68" s="303">
        <f t="shared" si="98"/>
        <v>0</v>
      </c>
      <c r="BW68" s="304">
        <f t="shared" si="111"/>
        <v>0</v>
      </c>
      <c r="BX68" s="300">
        <f t="shared" si="112"/>
        <v>0</v>
      </c>
      <c r="BY68" s="1344">
        <f t="shared" si="89"/>
        <v>0</v>
      </c>
      <c r="BZ68" s="300">
        <f t="shared" si="90"/>
        <v>0</v>
      </c>
      <c r="CA68" s="301">
        <f t="shared" si="36"/>
        <v>0</v>
      </c>
      <c r="CB68" s="305" t="e">
        <f t="shared" si="113"/>
        <v>#DIV/0!</v>
      </c>
      <c r="CC68" s="304" t="e">
        <f t="shared" si="38"/>
        <v>#DIV/0!</v>
      </c>
      <c r="CD68" s="300">
        <f t="shared" si="39"/>
        <v>0</v>
      </c>
      <c r="CE68" s="306">
        <f t="shared" si="91"/>
        <v>0</v>
      </c>
      <c r="CF68" s="306">
        <f t="shared" si="40"/>
        <v>0</v>
      </c>
      <c r="CG68" s="307" t="e">
        <f t="shared" si="41"/>
        <v>#DIV/0!</v>
      </c>
      <c r="CH68" s="307" t="e">
        <f t="shared" si="114"/>
        <v>#DIV/0!</v>
      </c>
      <c r="CI68" s="308" t="e">
        <f t="shared" si="139"/>
        <v>#DIV/0!</v>
      </c>
      <c r="CJ68" s="309" t="e">
        <f t="shared" si="115"/>
        <v>#DIV/0!</v>
      </c>
      <c r="CK68" s="175" t="e">
        <f t="shared" si="93"/>
        <v>#DIV/0!</v>
      </c>
      <c r="CL68" s="175" t="str">
        <f t="shared" si="116"/>
        <v/>
      </c>
      <c r="CM68" s="310" t="e">
        <f t="shared" si="94"/>
        <v>#DIV/0!</v>
      </c>
      <c r="CN68" s="311" t="e">
        <f t="shared" si="95"/>
        <v>#DIV/0!</v>
      </c>
      <c r="CO68" s="311">
        <f t="shared" si="96"/>
        <v>0</v>
      </c>
      <c r="CP68" s="175">
        <f t="shared" si="45"/>
        <v>1</v>
      </c>
      <c r="CQ68" s="175">
        <f t="shared" si="46"/>
        <v>1</v>
      </c>
      <c r="CR68" s="175" t="str">
        <f t="shared" si="117"/>
        <v/>
      </c>
      <c r="CS68" s="175">
        <f t="shared" si="48"/>
        <v>0</v>
      </c>
      <c r="CT68" s="312">
        <f t="shared" si="49"/>
        <v>0</v>
      </c>
      <c r="CU68" s="175" t="str">
        <f t="shared" si="50"/>
        <v>OK</v>
      </c>
      <c r="CV68" s="313">
        <f t="shared" si="51"/>
        <v>0.05</v>
      </c>
      <c r="CW68" s="312" t="e">
        <f t="shared" si="118"/>
        <v>#DIV/0!</v>
      </c>
      <c r="CX68" s="312" t="e">
        <f t="shared" si="119"/>
        <v>#DIV/0!</v>
      </c>
      <c r="CY68" s="312" t="e">
        <f t="shared" si="120"/>
        <v>#DIV/0!</v>
      </c>
      <c r="CZ68" s="312" t="e">
        <f t="shared" si="121"/>
        <v>#DIV/0!</v>
      </c>
      <c r="DA68" s="312">
        <f t="shared" si="122"/>
        <v>1</v>
      </c>
      <c r="DB68" s="312">
        <f t="shared" si="57"/>
        <v>0</v>
      </c>
      <c r="DC68" s="175" t="str">
        <f t="shared" si="123"/>
        <v>Soft</v>
      </c>
      <c r="DD68" s="175"/>
      <c r="DE68" s="175">
        <f t="shared" si="124"/>
        <v>0</v>
      </c>
      <c r="DF68" s="312" t="e">
        <f t="shared" si="125"/>
        <v>#DIV/0!</v>
      </c>
      <c r="DG68" s="312" t="e">
        <f t="shared" si="126"/>
        <v>#DIV/0!</v>
      </c>
      <c r="DH68" s="312" t="e">
        <f t="shared" si="127"/>
        <v>#DIV/0!</v>
      </c>
      <c r="DI68" s="312" t="e">
        <f t="shared" si="128"/>
        <v>#DIV/0!</v>
      </c>
      <c r="DJ68" s="312" t="e">
        <f t="shared" si="97"/>
        <v>#DIV/0!</v>
      </c>
      <c r="DK68" s="175"/>
      <c r="DL68" s="175"/>
      <c r="DM68" s="175"/>
      <c r="DN68" s="175">
        <f t="shared" si="129"/>
        <v>1</v>
      </c>
      <c r="DO68" s="312" t="e">
        <f t="shared" si="130"/>
        <v>#DIV/0!</v>
      </c>
      <c r="DP68" s="312" t="e">
        <f t="shared" si="131"/>
        <v>#DIV/0!</v>
      </c>
      <c r="DQ68" s="312" t="e">
        <f t="shared" si="132"/>
        <v>#DIV/0!</v>
      </c>
      <c r="DR68" s="312" t="e">
        <f t="shared" si="133"/>
        <v>#DIV/0!</v>
      </c>
      <c r="DS68" s="312" t="e">
        <f t="shared" si="134"/>
        <v>#DIV/0!</v>
      </c>
      <c r="DT68" s="312" t="e">
        <f t="shared" si="135"/>
        <v>#DIV/0!</v>
      </c>
      <c r="DU68" s="312">
        <f t="shared" si="71"/>
        <v>0</v>
      </c>
      <c r="DV68" s="175"/>
      <c r="DW68" s="175" t="b">
        <f t="shared" si="136"/>
        <v>1</v>
      </c>
      <c r="DX68" s="175" t="b">
        <f t="shared" si="136"/>
        <v>1</v>
      </c>
      <c r="DY68" s="175" t="b">
        <f t="shared" si="136"/>
        <v>1</v>
      </c>
      <c r="DZ68" s="175" t="b">
        <f t="shared" si="136"/>
        <v>1</v>
      </c>
      <c r="EA68" s="175" t="b">
        <f t="shared" si="136"/>
        <v>1</v>
      </c>
      <c r="EB68" s="168"/>
    </row>
    <row r="69" spans="1:132" s="140" customFormat="1" ht="18.5" hidden="1" thickBot="1" x14ac:dyDescent="0.45">
      <c r="A69" s="150"/>
      <c r="B69" s="296" t="str">
        <f t="shared" si="73"/>
        <v>-</v>
      </c>
      <c r="C69" s="279">
        <v>50</v>
      </c>
      <c r="D69" s="1557"/>
      <c r="E69" s="1558"/>
      <c r="F69" s="977"/>
      <c r="G69" s="1103"/>
      <c r="H69" s="978"/>
      <c r="I69" s="965"/>
      <c r="J69" s="1325"/>
      <c r="K69" s="1326"/>
      <c r="L69" s="1326"/>
      <c r="M69" s="1326"/>
      <c r="N69" s="1327"/>
      <c r="O69" s="974"/>
      <c r="P69" s="975"/>
      <c r="Q69" s="976"/>
      <c r="R69" s="966"/>
      <c r="S69" s="280" t="str">
        <f t="shared" si="99"/>
        <v/>
      </c>
      <c r="T69" s="281" t="str">
        <f t="shared" si="100"/>
        <v/>
      </c>
      <c r="U69" s="282">
        <f t="shared" si="101"/>
        <v>0</v>
      </c>
      <c r="V69" s="259" t="str">
        <f t="shared" si="102"/>
        <v/>
      </c>
      <c r="W69" s="260" t="str">
        <f t="shared" si="103"/>
        <v/>
      </c>
      <c r="X69" s="283">
        <f t="shared" si="137"/>
        <v>0</v>
      </c>
      <c r="Y69" s="284" t="str">
        <f t="shared" si="104"/>
        <v/>
      </c>
      <c r="Z69" s="150"/>
      <c r="AA69" s="175"/>
      <c r="AB69" s="175">
        <v>50</v>
      </c>
      <c r="AC69" s="297" t="str">
        <f t="shared" si="138"/>
        <v>-</v>
      </c>
      <c r="AD69" s="297">
        <f t="shared" si="77"/>
        <v>0</v>
      </c>
      <c r="AE69" s="297">
        <f t="shared" si="78"/>
        <v>0</v>
      </c>
      <c r="AF69" s="297"/>
      <c r="AG69" s="298">
        <f t="shared" si="79"/>
        <v>0</v>
      </c>
      <c r="AH69" s="1339">
        <f t="shared" si="7"/>
        <v>0</v>
      </c>
      <c r="AI69" s="1340">
        <f>IF(SUM(AH69:AH$99)=0,0,F69&gt;0)</f>
        <v>0</v>
      </c>
      <c r="AJ69" s="1339">
        <f t="shared" si="8"/>
        <v>0</v>
      </c>
      <c r="AK69" s="1340">
        <f>IF(SUM(AH69:AH$99)=0,0,AND(AI69=FALSE,AJ69=0,SUM(AJ69:AJ$99)&gt;0))</f>
        <v>0</v>
      </c>
      <c r="AL69" s="1340">
        <f t="shared" si="9"/>
        <v>0</v>
      </c>
      <c r="AM69" s="1340">
        <f t="shared" si="10"/>
        <v>0</v>
      </c>
      <c r="AN69" s="1341">
        <f t="shared" si="11"/>
        <v>0</v>
      </c>
      <c r="AO69" s="1341">
        <f t="shared" si="12"/>
        <v>0</v>
      </c>
      <c r="AP69" s="264">
        <f t="shared" si="105"/>
        <v>0</v>
      </c>
      <c r="AQ69" s="264">
        <f t="shared" si="80"/>
        <v>0</v>
      </c>
      <c r="AR69" s="1340">
        <f t="shared" si="14"/>
        <v>0</v>
      </c>
      <c r="AS69" s="1340" t="str">
        <f t="shared" si="81"/>
        <v/>
      </c>
      <c r="AT69" s="1340">
        <f t="shared" si="15"/>
        <v>0</v>
      </c>
      <c r="AU69" s="898">
        <f t="shared" si="82"/>
        <v>0</v>
      </c>
      <c r="AV69" s="1340">
        <f t="shared" si="16"/>
        <v>0</v>
      </c>
      <c r="AW69" s="1340">
        <f t="shared" si="17"/>
        <v>0</v>
      </c>
      <c r="AX69" s="1340">
        <f t="shared" si="18"/>
        <v>0</v>
      </c>
      <c r="AY69" s="897">
        <f t="shared" si="83"/>
        <v>0</v>
      </c>
      <c r="AZ69" s="1340">
        <f t="shared" si="19"/>
        <v>0</v>
      </c>
      <c r="BA69" s="896">
        <f t="shared" si="84"/>
        <v>0</v>
      </c>
      <c r="BB69" s="899" t="str">
        <f t="shared" si="85"/>
        <v/>
      </c>
      <c r="BC69" s="899" t="str">
        <f t="shared" si="86"/>
        <v/>
      </c>
      <c r="BD69" s="1340">
        <f t="shared" si="20"/>
        <v>0</v>
      </c>
      <c r="BE69" s="1340">
        <f t="shared" si="21"/>
        <v>0</v>
      </c>
      <c r="BF69" s="1340">
        <f t="shared" si="22"/>
        <v>0</v>
      </c>
      <c r="BG69" s="1342" t="b">
        <f t="shared" si="106"/>
        <v>0</v>
      </c>
      <c r="BH69" s="299" t="str">
        <f t="shared" si="24"/>
        <v/>
      </c>
      <c r="BI69" s="1343">
        <f t="shared" si="107"/>
        <v>0</v>
      </c>
      <c r="BJ69" s="1344">
        <f t="shared" si="108"/>
        <v>0</v>
      </c>
      <c r="BK69" s="1344">
        <f t="shared" si="87"/>
        <v>0</v>
      </c>
      <c r="BL69" s="1345">
        <f t="shared" si="27"/>
        <v>0</v>
      </c>
      <c r="BM69" s="1346">
        <f t="shared" si="28"/>
        <v>0</v>
      </c>
      <c r="BN69" s="300">
        <f t="shared" si="109"/>
        <v>0</v>
      </c>
      <c r="BO69" s="300">
        <f t="shared" si="110"/>
        <v>0</v>
      </c>
      <c r="BP69" s="1344">
        <f t="shared" si="88"/>
        <v>0</v>
      </c>
      <c r="BQ69" s="301">
        <f t="shared" si="31"/>
        <v>0</v>
      </c>
      <c r="BR69" s="314"/>
      <c r="BS69" s="1343">
        <f t="shared" si="98"/>
        <v>0</v>
      </c>
      <c r="BT69" s="1344">
        <f t="shared" si="98"/>
        <v>0</v>
      </c>
      <c r="BU69" s="1344">
        <f t="shared" si="98"/>
        <v>0</v>
      </c>
      <c r="BV69" s="303">
        <f t="shared" si="98"/>
        <v>0</v>
      </c>
      <c r="BW69" s="304">
        <f t="shared" si="111"/>
        <v>0</v>
      </c>
      <c r="BX69" s="300">
        <f t="shared" si="112"/>
        <v>0</v>
      </c>
      <c r="BY69" s="1344">
        <f t="shared" si="89"/>
        <v>0</v>
      </c>
      <c r="BZ69" s="300">
        <f t="shared" si="90"/>
        <v>0</v>
      </c>
      <c r="CA69" s="301">
        <f t="shared" si="36"/>
        <v>0</v>
      </c>
      <c r="CB69" s="305" t="e">
        <f t="shared" si="113"/>
        <v>#DIV/0!</v>
      </c>
      <c r="CC69" s="304" t="e">
        <f t="shared" si="38"/>
        <v>#DIV/0!</v>
      </c>
      <c r="CD69" s="300">
        <f t="shared" si="39"/>
        <v>0</v>
      </c>
      <c r="CE69" s="306">
        <f t="shared" si="91"/>
        <v>0</v>
      </c>
      <c r="CF69" s="306">
        <f t="shared" si="40"/>
        <v>0</v>
      </c>
      <c r="CG69" s="307" t="e">
        <f t="shared" si="41"/>
        <v>#DIV/0!</v>
      </c>
      <c r="CH69" s="307" t="e">
        <f t="shared" si="114"/>
        <v>#DIV/0!</v>
      </c>
      <c r="CI69" s="308" t="e">
        <f t="shared" si="139"/>
        <v>#DIV/0!</v>
      </c>
      <c r="CJ69" s="309" t="e">
        <f t="shared" si="115"/>
        <v>#DIV/0!</v>
      </c>
      <c r="CK69" s="175" t="e">
        <f t="shared" si="93"/>
        <v>#DIV/0!</v>
      </c>
      <c r="CL69" s="175" t="str">
        <f t="shared" si="116"/>
        <v/>
      </c>
      <c r="CM69" s="310" t="e">
        <f t="shared" si="94"/>
        <v>#DIV/0!</v>
      </c>
      <c r="CN69" s="311" t="e">
        <f t="shared" si="95"/>
        <v>#DIV/0!</v>
      </c>
      <c r="CO69" s="311">
        <f t="shared" si="96"/>
        <v>0</v>
      </c>
      <c r="CP69" s="175">
        <f t="shared" si="45"/>
        <v>1</v>
      </c>
      <c r="CQ69" s="175">
        <f t="shared" si="46"/>
        <v>1</v>
      </c>
      <c r="CR69" s="175" t="str">
        <f t="shared" si="117"/>
        <v/>
      </c>
      <c r="CS69" s="175">
        <f t="shared" si="48"/>
        <v>0</v>
      </c>
      <c r="CT69" s="312">
        <f t="shared" si="49"/>
        <v>0</v>
      </c>
      <c r="CU69" s="175" t="str">
        <f t="shared" si="50"/>
        <v>OK</v>
      </c>
      <c r="CV69" s="313">
        <f t="shared" si="51"/>
        <v>0.05</v>
      </c>
      <c r="CW69" s="312" t="e">
        <f t="shared" si="118"/>
        <v>#DIV/0!</v>
      </c>
      <c r="CX69" s="312" t="e">
        <f t="shared" si="119"/>
        <v>#DIV/0!</v>
      </c>
      <c r="CY69" s="312" t="e">
        <f t="shared" si="120"/>
        <v>#DIV/0!</v>
      </c>
      <c r="CZ69" s="312" t="e">
        <f t="shared" si="121"/>
        <v>#DIV/0!</v>
      </c>
      <c r="DA69" s="312">
        <f t="shared" si="122"/>
        <v>1</v>
      </c>
      <c r="DB69" s="312">
        <f t="shared" si="57"/>
        <v>0</v>
      </c>
      <c r="DC69" s="175" t="str">
        <f t="shared" si="123"/>
        <v>Soft</v>
      </c>
      <c r="DD69" s="175"/>
      <c r="DE69" s="175">
        <f t="shared" si="124"/>
        <v>0</v>
      </c>
      <c r="DF69" s="312" t="e">
        <f t="shared" si="125"/>
        <v>#DIV/0!</v>
      </c>
      <c r="DG69" s="312" t="e">
        <f t="shared" si="126"/>
        <v>#DIV/0!</v>
      </c>
      <c r="DH69" s="312" t="e">
        <f t="shared" si="127"/>
        <v>#DIV/0!</v>
      </c>
      <c r="DI69" s="312" t="e">
        <f t="shared" si="128"/>
        <v>#DIV/0!</v>
      </c>
      <c r="DJ69" s="312" t="e">
        <f t="shared" si="97"/>
        <v>#DIV/0!</v>
      </c>
      <c r="DK69" s="175"/>
      <c r="DL69" s="175"/>
      <c r="DM69" s="175"/>
      <c r="DN69" s="175">
        <f t="shared" si="129"/>
        <v>1</v>
      </c>
      <c r="DO69" s="312" t="e">
        <f t="shared" si="130"/>
        <v>#DIV/0!</v>
      </c>
      <c r="DP69" s="312" t="e">
        <f t="shared" si="131"/>
        <v>#DIV/0!</v>
      </c>
      <c r="DQ69" s="312" t="e">
        <f t="shared" si="132"/>
        <v>#DIV/0!</v>
      </c>
      <c r="DR69" s="312" t="e">
        <f t="shared" si="133"/>
        <v>#DIV/0!</v>
      </c>
      <c r="DS69" s="312" t="e">
        <f t="shared" si="134"/>
        <v>#DIV/0!</v>
      </c>
      <c r="DT69" s="312" t="e">
        <f t="shared" si="135"/>
        <v>#DIV/0!</v>
      </c>
      <c r="DU69" s="312">
        <f t="shared" si="71"/>
        <v>0</v>
      </c>
      <c r="DV69" s="175"/>
      <c r="DW69" s="175" t="b">
        <f t="shared" si="136"/>
        <v>1</v>
      </c>
      <c r="DX69" s="175" t="b">
        <f t="shared" si="136"/>
        <v>1</v>
      </c>
      <c r="DY69" s="175" t="b">
        <f t="shared" si="136"/>
        <v>1</v>
      </c>
      <c r="DZ69" s="175" t="b">
        <f t="shared" si="136"/>
        <v>1</v>
      </c>
      <c r="EA69" s="175" t="b">
        <f t="shared" si="136"/>
        <v>1</v>
      </c>
      <c r="EB69" s="168"/>
    </row>
    <row r="70" spans="1:132" s="140" customFormat="1" ht="18.5" hidden="1" thickBot="1" x14ac:dyDescent="0.45">
      <c r="A70" s="150"/>
      <c r="B70" s="296" t="str">
        <f t="shared" si="73"/>
        <v>-</v>
      </c>
      <c r="C70" s="279">
        <v>51</v>
      </c>
      <c r="D70" s="1557"/>
      <c r="E70" s="1558"/>
      <c r="F70" s="977"/>
      <c r="G70" s="1103"/>
      <c r="H70" s="978"/>
      <c r="I70" s="965"/>
      <c r="J70" s="1325"/>
      <c r="K70" s="1326"/>
      <c r="L70" s="1326"/>
      <c r="M70" s="1326"/>
      <c r="N70" s="1327"/>
      <c r="O70" s="974"/>
      <c r="P70" s="975"/>
      <c r="Q70" s="976"/>
      <c r="R70" s="966"/>
      <c r="S70" s="280" t="str">
        <f t="shared" si="99"/>
        <v/>
      </c>
      <c r="T70" s="281" t="str">
        <f t="shared" si="100"/>
        <v/>
      </c>
      <c r="U70" s="282">
        <f t="shared" si="101"/>
        <v>0</v>
      </c>
      <c r="V70" s="259" t="str">
        <f t="shared" si="102"/>
        <v/>
      </c>
      <c r="W70" s="260" t="str">
        <f t="shared" si="103"/>
        <v/>
      </c>
      <c r="X70" s="283">
        <f t="shared" si="137"/>
        <v>0</v>
      </c>
      <c r="Y70" s="284" t="str">
        <f t="shared" si="104"/>
        <v/>
      </c>
      <c r="Z70" s="150"/>
      <c r="AA70" s="175"/>
      <c r="AB70" s="175">
        <v>51</v>
      </c>
      <c r="AC70" s="297" t="str">
        <f t="shared" si="138"/>
        <v>-</v>
      </c>
      <c r="AD70" s="297">
        <f t="shared" si="77"/>
        <v>0</v>
      </c>
      <c r="AE70" s="297">
        <f t="shared" si="78"/>
        <v>0</v>
      </c>
      <c r="AF70" s="297"/>
      <c r="AG70" s="298">
        <f t="shared" si="79"/>
        <v>0</v>
      </c>
      <c r="AH70" s="1339">
        <f t="shared" si="7"/>
        <v>0</v>
      </c>
      <c r="AI70" s="1340">
        <f>IF(SUM(AH70:AH$99)=0,0,F70&gt;0)</f>
        <v>0</v>
      </c>
      <c r="AJ70" s="1339">
        <f t="shared" si="8"/>
        <v>0</v>
      </c>
      <c r="AK70" s="1340">
        <f>IF(SUM(AH70:AH$99)=0,0,AND(AI70=FALSE,AJ70=0,SUM(AJ70:AJ$99)&gt;0))</f>
        <v>0</v>
      </c>
      <c r="AL70" s="1340">
        <f t="shared" si="9"/>
        <v>0</v>
      </c>
      <c r="AM70" s="1340">
        <f t="shared" si="10"/>
        <v>0</v>
      </c>
      <c r="AN70" s="1341">
        <f t="shared" si="11"/>
        <v>0</v>
      </c>
      <c r="AO70" s="1341">
        <f t="shared" si="12"/>
        <v>0</v>
      </c>
      <c r="AP70" s="264">
        <f t="shared" si="105"/>
        <v>0</v>
      </c>
      <c r="AQ70" s="264">
        <f t="shared" si="80"/>
        <v>0</v>
      </c>
      <c r="AR70" s="1340">
        <f t="shared" si="14"/>
        <v>0</v>
      </c>
      <c r="AS70" s="1340" t="str">
        <f t="shared" si="81"/>
        <v/>
      </c>
      <c r="AT70" s="1340">
        <f t="shared" si="15"/>
        <v>0</v>
      </c>
      <c r="AU70" s="898">
        <f t="shared" si="82"/>
        <v>0</v>
      </c>
      <c r="AV70" s="1340">
        <f t="shared" si="16"/>
        <v>0</v>
      </c>
      <c r="AW70" s="1340">
        <f t="shared" si="17"/>
        <v>0</v>
      </c>
      <c r="AX70" s="1340">
        <f t="shared" si="18"/>
        <v>0</v>
      </c>
      <c r="AY70" s="897">
        <f t="shared" si="83"/>
        <v>0</v>
      </c>
      <c r="AZ70" s="1340">
        <f t="shared" si="19"/>
        <v>0</v>
      </c>
      <c r="BA70" s="896">
        <f t="shared" si="84"/>
        <v>0</v>
      </c>
      <c r="BB70" s="899" t="str">
        <f t="shared" si="85"/>
        <v/>
      </c>
      <c r="BC70" s="899" t="str">
        <f t="shared" si="86"/>
        <v/>
      </c>
      <c r="BD70" s="1340">
        <f t="shared" si="20"/>
        <v>0</v>
      </c>
      <c r="BE70" s="1340">
        <f t="shared" si="21"/>
        <v>0</v>
      </c>
      <c r="BF70" s="1340">
        <f t="shared" si="22"/>
        <v>0</v>
      </c>
      <c r="BG70" s="1342" t="b">
        <f t="shared" si="106"/>
        <v>0</v>
      </c>
      <c r="BH70" s="299" t="str">
        <f t="shared" si="24"/>
        <v/>
      </c>
      <c r="BI70" s="1343">
        <f t="shared" si="107"/>
        <v>0</v>
      </c>
      <c r="BJ70" s="1344">
        <f t="shared" si="108"/>
        <v>0</v>
      </c>
      <c r="BK70" s="1344">
        <f t="shared" si="87"/>
        <v>0</v>
      </c>
      <c r="BL70" s="1345">
        <f t="shared" si="27"/>
        <v>0</v>
      </c>
      <c r="BM70" s="1346">
        <f t="shared" si="28"/>
        <v>0</v>
      </c>
      <c r="BN70" s="300">
        <f t="shared" si="109"/>
        <v>0</v>
      </c>
      <c r="BO70" s="300">
        <f t="shared" si="110"/>
        <v>0</v>
      </c>
      <c r="BP70" s="1344">
        <f t="shared" si="88"/>
        <v>0</v>
      </c>
      <c r="BQ70" s="301">
        <f t="shared" si="31"/>
        <v>0</v>
      </c>
      <c r="BR70" s="314"/>
      <c r="BS70" s="1343">
        <f t="shared" si="98"/>
        <v>0</v>
      </c>
      <c r="BT70" s="1344">
        <f t="shared" si="98"/>
        <v>0</v>
      </c>
      <c r="BU70" s="1344">
        <f t="shared" si="98"/>
        <v>0</v>
      </c>
      <c r="BV70" s="303">
        <f t="shared" si="98"/>
        <v>0</v>
      </c>
      <c r="BW70" s="304">
        <f t="shared" si="111"/>
        <v>0</v>
      </c>
      <c r="BX70" s="300">
        <f t="shared" si="112"/>
        <v>0</v>
      </c>
      <c r="BY70" s="1344">
        <f t="shared" si="89"/>
        <v>0</v>
      </c>
      <c r="BZ70" s="300">
        <f t="shared" si="90"/>
        <v>0</v>
      </c>
      <c r="CA70" s="301">
        <f t="shared" si="36"/>
        <v>0</v>
      </c>
      <c r="CB70" s="305" t="e">
        <f t="shared" si="113"/>
        <v>#DIV/0!</v>
      </c>
      <c r="CC70" s="304" t="e">
        <f t="shared" si="38"/>
        <v>#DIV/0!</v>
      </c>
      <c r="CD70" s="300">
        <f t="shared" si="39"/>
        <v>0</v>
      </c>
      <c r="CE70" s="306">
        <f t="shared" si="91"/>
        <v>0</v>
      </c>
      <c r="CF70" s="306">
        <f t="shared" si="40"/>
        <v>0</v>
      </c>
      <c r="CG70" s="307" t="e">
        <f t="shared" si="41"/>
        <v>#DIV/0!</v>
      </c>
      <c r="CH70" s="307" t="e">
        <f t="shared" si="114"/>
        <v>#DIV/0!</v>
      </c>
      <c r="CI70" s="308" t="e">
        <f t="shared" si="139"/>
        <v>#DIV/0!</v>
      </c>
      <c r="CJ70" s="309" t="e">
        <f t="shared" si="115"/>
        <v>#DIV/0!</v>
      </c>
      <c r="CK70" s="175" t="e">
        <f t="shared" si="93"/>
        <v>#DIV/0!</v>
      </c>
      <c r="CL70" s="175" t="str">
        <f t="shared" si="116"/>
        <v/>
      </c>
      <c r="CM70" s="310" t="e">
        <f t="shared" si="94"/>
        <v>#DIV/0!</v>
      </c>
      <c r="CN70" s="311" t="e">
        <f t="shared" si="95"/>
        <v>#DIV/0!</v>
      </c>
      <c r="CO70" s="311">
        <f t="shared" si="96"/>
        <v>0</v>
      </c>
      <c r="CP70" s="175">
        <f t="shared" si="45"/>
        <v>1</v>
      </c>
      <c r="CQ70" s="175">
        <f t="shared" si="46"/>
        <v>1</v>
      </c>
      <c r="CR70" s="175" t="str">
        <f t="shared" si="117"/>
        <v/>
      </c>
      <c r="CS70" s="175">
        <f t="shared" si="48"/>
        <v>0</v>
      </c>
      <c r="CT70" s="312">
        <f t="shared" si="49"/>
        <v>0</v>
      </c>
      <c r="CU70" s="175" t="str">
        <f t="shared" si="50"/>
        <v>OK</v>
      </c>
      <c r="CV70" s="313">
        <f t="shared" si="51"/>
        <v>0.05</v>
      </c>
      <c r="CW70" s="312" t="e">
        <f t="shared" si="118"/>
        <v>#DIV/0!</v>
      </c>
      <c r="CX70" s="312" t="e">
        <f t="shared" si="119"/>
        <v>#DIV/0!</v>
      </c>
      <c r="CY70" s="312" t="e">
        <f t="shared" si="120"/>
        <v>#DIV/0!</v>
      </c>
      <c r="CZ70" s="312" t="e">
        <f t="shared" si="121"/>
        <v>#DIV/0!</v>
      </c>
      <c r="DA70" s="312">
        <f t="shared" si="122"/>
        <v>1</v>
      </c>
      <c r="DB70" s="312">
        <f t="shared" si="57"/>
        <v>0</v>
      </c>
      <c r="DC70" s="175" t="str">
        <f t="shared" si="123"/>
        <v>Soft</v>
      </c>
      <c r="DD70" s="175"/>
      <c r="DE70" s="175">
        <f t="shared" si="124"/>
        <v>0</v>
      </c>
      <c r="DF70" s="312" t="e">
        <f t="shared" si="125"/>
        <v>#DIV/0!</v>
      </c>
      <c r="DG70" s="312" t="e">
        <f t="shared" si="126"/>
        <v>#DIV/0!</v>
      </c>
      <c r="DH70" s="312" t="e">
        <f t="shared" si="127"/>
        <v>#DIV/0!</v>
      </c>
      <c r="DI70" s="312" t="e">
        <f t="shared" si="128"/>
        <v>#DIV/0!</v>
      </c>
      <c r="DJ70" s="312" t="e">
        <f t="shared" si="97"/>
        <v>#DIV/0!</v>
      </c>
      <c r="DK70" s="175"/>
      <c r="DL70" s="175"/>
      <c r="DM70" s="175"/>
      <c r="DN70" s="175">
        <f t="shared" si="129"/>
        <v>1</v>
      </c>
      <c r="DO70" s="312" t="e">
        <f t="shared" si="130"/>
        <v>#DIV/0!</v>
      </c>
      <c r="DP70" s="312" t="e">
        <f t="shared" si="131"/>
        <v>#DIV/0!</v>
      </c>
      <c r="DQ70" s="312" t="e">
        <f t="shared" si="132"/>
        <v>#DIV/0!</v>
      </c>
      <c r="DR70" s="312" t="e">
        <f t="shared" si="133"/>
        <v>#DIV/0!</v>
      </c>
      <c r="DS70" s="312" t="e">
        <f t="shared" si="134"/>
        <v>#DIV/0!</v>
      </c>
      <c r="DT70" s="312" t="e">
        <f t="shared" si="135"/>
        <v>#DIV/0!</v>
      </c>
      <c r="DU70" s="312">
        <f t="shared" si="71"/>
        <v>0</v>
      </c>
      <c r="DV70" s="175"/>
      <c r="DW70" s="175" t="b">
        <f t="shared" si="136"/>
        <v>1</v>
      </c>
      <c r="DX70" s="175" t="b">
        <f t="shared" si="136"/>
        <v>1</v>
      </c>
      <c r="DY70" s="175" t="b">
        <f t="shared" si="136"/>
        <v>1</v>
      </c>
      <c r="DZ70" s="175" t="b">
        <f t="shared" si="136"/>
        <v>1</v>
      </c>
      <c r="EA70" s="175" t="b">
        <f t="shared" si="136"/>
        <v>1</v>
      </c>
      <c r="EB70" s="168"/>
    </row>
    <row r="71" spans="1:132" s="140" customFormat="1" ht="18.5" hidden="1" thickBot="1" x14ac:dyDescent="0.45">
      <c r="A71" s="150"/>
      <c r="B71" s="296" t="str">
        <f t="shared" si="73"/>
        <v>-</v>
      </c>
      <c r="C71" s="279">
        <v>52</v>
      </c>
      <c r="D71" s="1557"/>
      <c r="E71" s="1558"/>
      <c r="F71" s="977"/>
      <c r="G71" s="1103"/>
      <c r="H71" s="978"/>
      <c r="I71" s="965"/>
      <c r="J71" s="1325"/>
      <c r="K71" s="1326"/>
      <c r="L71" s="1326"/>
      <c r="M71" s="1326"/>
      <c r="N71" s="1327"/>
      <c r="O71" s="974"/>
      <c r="P71" s="975"/>
      <c r="Q71" s="976"/>
      <c r="R71" s="966"/>
      <c r="S71" s="280" t="str">
        <f t="shared" si="99"/>
        <v/>
      </c>
      <c r="T71" s="281" t="str">
        <f t="shared" si="100"/>
        <v/>
      </c>
      <c r="U71" s="282">
        <f t="shared" si="101"/>
        <v>0</v>
      </c>
      <c r="V71" s="259" t="str">
        <f t="shared" si="102"/>
        <v/>
      </c>
      <c r="W71" s="260" t="str">
        <f t="shared" si="103"/>
        <v/>
      </c>
      <c r="X71" s="283">
        <f t="shared" si="137"/>
        <v>0</v>
      </c>
      <c r="Y71" s="284" t="str">
        <f t="shared" si="104"/>
        <v/>
      </c>
      <c r="Z71" s="150"/>
      <c r="AA71" s="175"/>
      <c r="AB71" s="175">
        <v>52</v>
      </c>
      <c r="AC71" s="297" t="str">
        <f t="shared" si="138"/>
        <v>-</v>
      </c>
      <c r="AD71" s="297">
        <f t="shared" si="77"/>
        <v>0</v>
      </c>
      <c r="AE71" s="297">
        <f t="shared" si="78"/>
        <v>0</v>
      </c>
      <c r="AF71" s="297"/>
      <c r="AG71" s="298">
        <f t="shared" si="79"/>
        <v>0</v>
      </c>
      <c r="AH71" s="1339">
        <f t="shared" si="7"/>
        <v>0</v>
      </c>
      <c r="AI71" s="1340">
        <f>IF(SUM(AH71:AH$99)=0,0,F71&gt;0)</f>
        <v>0</v>
      </c>
      <c r="AJ71" s="1339">
        <f t="shared" si="8"/>
        <v>0</v>
      </c>
      <c r="AK71" s="1340">
        <f>IF(SUM(AH71:AH$99)=0,0,AND(AI71=FALSE,AJ71=0,SUM(AJ71:AJ$99)&gt;0))</f>
        <v>0</v>
      </c>
      <c r="AL71" s="1340">
        <f t="shared" si="9"/>
        <v>0</v>
      </c>
      <c r="AM71" s="1340">
        <f t="shared" si="10"/>
        <v>0</v>
      </c>
      <c r="AN71" s="1341">
        <f t="shared" si="11"/>
        <v>0</v>
      </c>
      <c r="AO71" s="1341">
        <f t="shared" si="12"/>
        <v>0</v>
      </c>
      <c r="AP71" s="264">
        <f t="shared" si="105"/>
        <v>0</v>
      </c>
      <c r="AQ71" s="264">
        <f t="shared" si="80"/>
        <v>0</v>
      </c>
      <c r="AR71" s="1340">
        <f t="shared" si="14"/>
        <v>0</v>
      </c>
      <c r="AS71" s="1340" t="str">
        <f t="shared" si="81"/>
        <v/>
      </c>
      <c r="AT71" s="1340">
        <f t="shared" si="15"/>
        <v>0</v>
      </c>
      <c r="AU71" s="898">
        <f t="shared" si="82"/>
        <v>0</v>
      </c>
      <c r="AV71" s="1340">
        <f t="shared" si="16"/>
        <v>0</v>
      </c>
      <c r="AW71" s="1340">
        <f t="shared" si="17"/>
        <v>0</v>
      </c>
      <c r="AX71" s="1340">
        <f t="shared" si="18"/>
        <v>0</v>
      </c>
      <c r="AY71" s="897">
        <f t="shared" si="83"/>
        <v>0</v>
      </c>
      <c r="AZ71" s="1340">
        <f t="shared" si="19"/>
        <v>0</v>
      </c>
      <c r="BA71" s="896">
        <f t="shared" si="84"/>
        <v>0</v>
      </c>
      <c r="BB71" s="899" t="str">
        <f t="shared" si="85"/>
        <v/>
      </c>
      <c r="BC71" s="899" t="str">
        <f t="shared" si="86"/>
        <v/>
      </c>
      <c r="BD71" s="1340">
        <f t="shared" si="20"/>
        <v>0</v>
      </c>
      <c r="BE71" s="1340">
        <f t="shared" si="21"/>
        <v>0</v>
      </c>
      <c r="BF71" s="1340">
        <f t="shared" si="22"/>
        <v>0</v>
      </c>
      <c r="BG71" s="1342" t="b">
        <f t="shared" si="106"/>
        <v>0</v>
      </c>
      <c r="BH71" s="299" t="str">
        <f t="shared" si="24"/>
        <v/>
      </c>
      <c r="BI71" s="1343">
        <f t="shared" si="107"/>
        <v>0</v>
      </c>
      <c r="BJ71" s="1344">
        <f t="shared" si="108"/>
        <v>0</v>
      </c>
      <c r="BK71" s="1344">
        <f t="shared" si="87"/>
        <v>0</v>
      </c>
      <c r="BL71" s="1345">
        <f t="shared" si="27"/>
        <v>0</v>
      </c>
      <c r="BM71" s="1346">
        <f t="shared" si="28"/>
        <v>0</v>
      </c>
      <c r="BN71" s="300">
        <f t="shared" si="109"/>
        <v>0</v>
      </c>
      <c r="BO71" s="300">
        <f t="shared" si="110"/>
        <v>0</v>
      </c>
      <c r="BP71" s="1344">
        <f t="shared" si="88"/>
        <v>0</v>
      </c>
      <c r="BQ71" s="301">
        <f t="shared" si="31"/>
        <v>0</v>
      </c>
      <c r="BR71" s="314"/>
      <c r="BS71" s="1343">
        <f t="shared" si="98"/>
        <v>0</v>
      </c>
      <c r="BT71" s="1344">
        <f t="shared" si="98"/>
        <v>0</v>
      </c>
      <c r="BU71" s="1344">
        <f t="shared" si="98"/>
        <v>0</v>
      </c>
      <c r="BV71" s="303">
        <f t="shared" si="98"/>
        <v>0</v>
      </c>
      <c r="BW71" s="304">
        <f t="shared" si="111"/>
        <v>0</v>
      </c>
      <c r="BX71" s="300">
        <f t="shared" si="112"/>
        <v>0</v>
      </c>
      <c r="BY71" s="1344">
        <f t="shared" si="89"/>
        <v>0</v>
      </c>
      <c r="BZ71" s="300">
        <f t="shared" si="90"/>
        <v>0</v>
      </c>
      <c r="CA71" s="301">
        <f t="shared" si="36"/>
        <v>0</v>
      </c>
      <c r="CB71" s="305" t="e">
        <f t="shared" si="113"/>
        <v>#DIV/0!</v>
      </c>
      <c r="CC71" s="304" t="e">
        <f t="shared" si="38"/>
        <v>#DIV/0!</v>
      </c>
      <c r="CD71" s="300">
        <f t="shared" si="39"/>
        <v>0</v>
      </c>
      <c r="CE71" s="306">
        <f t="shared" si="91"/>
        <v>0</v>
      </c>
      <c r="CF71" s="306">
        <f t="shared" si="40"/>
        <v>0</v>
      </c>
      <c r="CG71" s="307" t="e">
        <f t="shared" si="41"/>
        <v>#DIV/0!</v>
      </c>
      <c r="CH71" s="307" t="e">
        <f t="shared" si="114"/>
        <v>#DIV/0!</v>
      </c>
      <c r="CI71" s="308" t="e">
        <f t="shared" si="139"/>
        <v>#DIV/0!</v>
      </c>
      <c r="CJ71" s="309" t="e">
        <f t="shared" si="115"/>
        <v>#DIV/0!</v>
      </c>
      <c r="CK71" s="175" t="e">
        <f t="shared" si="93"/>
        <v>#DIV/0!</v>
      </c>
      <c r="CL71" s="175" t="str">
        <f t="shared" si="116"/>
        <v/>
      </c>
      <c r="CM71" s="310" t="e">
        <f t="shared" si="94"/>
        <v>#DIV/0!</v>
      </c>
      <c r="CN71" s="311" t="e">
        <f t="shared" si="95"/>
        <v>#DIV/0!</v>
      </c>
      <c r="CO71" s="311">
        <f t="shared" si="96"/>
        <v>0</v>
      </c>
      <c r="CP71" s="175">
        <f t="shared" si="45"/>
        <v>1</v>
      </c>
      <c r="CQ71" s="175">
        <f t="shared" si="46"/>
        <v>1</v>
      </c>
      <c r="CR71" s="175" t="str">
        <f t="shared" si="117"/>
        <v/>
      </c>
      <c r="CS71" s="175">
        <f t="shared" si="48"/>
        <v>0</v>
      </c>
      <c r="CT71" s="312">
        <f t="shared" si="49"/>
        <v>0</v>
      </c>
      <c r="CU71" s="175" t="str">
        <f t="shared" si="50"/>
        <v>OK</v>
      </c>
      <c r="CV71" s="313">
        <f t="shared" si="51"/>
        <v>0.05</v>
      </c>
      <c r="CW71" s="312" t="e">
        <f t="shared" si="118"/>
        <v>#DIV/0!</v>
      </c>
      <c r="CX71" s="312" t="e">
        <f t="shared" si="119"/>
        <v>#DIV/0!</v>
      </c>
      <c r="CY71" s="312" t="e">
        <f t="shared" si="120"/>
        <v>#DIV/0!</v>
      </c>
      <c r="CZ71" s="312" t="e">
        <f t="shared" si="121"/>
        <v>#DIV/0!</v>
      </c>
      <c r="DA71" s="312">
        <f t="shared" si="122"/>
        <v>1</v>
      </c>
      <c r="DB71" s="312">
        <f t="shared" si="57"/>
        <v>0</v>
      </c>
      <c r="DC71" s="175" t="str">
        <f t="shared" si="123"/>
        <v>Soft</v>
      </c>
      <c r="DD71" s="175"/>
      <c r="DE71" s="175">
        <f t="shared" si="124"/>
        <v>0</v>
      </c>
      <c r="DF71" s="312" t="e">
        <f t="shared" si="125"/>
        <v>#DIV/0!</v>
      </c>
      <c r="DG71" s="312" t="e">
        <f t="shared" si="126"/>
        <v>#DIV/0!</v>
      </c>
      <c r="DH71" s="312" t="e">
        <f t="shared" si="127"/>
        <v>#DIV/0!</v>
      </c>
      <c r="DI71" s="312" t="e">
        <f t="shared" si="128"/>
        <v>#DIV/0!</v>
      </c>
      <c r="DJ71" s="312" t="e">
        <f t="shared" si="97"/>
        <v>#DIV/0!</v>
      </c>
      <c r="DK71" s="175"/>
      <c r="DL71" s="175"/>
      <c r="DM71" s="175"/>
      <c r="DN71" s="175">
        <f t="shared" si="129"/>
        <v>1</v>
      </c>
      <c r="DO71" s="312" t="e">
        <f t="shared" si="130"/>
        <v>#DIV/0!</v>
      </c>
      <c r="DP71" s="312" t="e">
        <f t="shared" si="131"/>
        <v>#DIV/0!</v>
      </c>
      <c r="DQ71" s="312" t="e">
        <f t="shared" si="132"/>
        <v>#DIV/0!</v>
      </c>
      <c r="DR71" s="312" t="e">
        <f t="shared" si="133"/>
        <v>#DIV/0!</v>
      </c>
      <c r="DS71" s="312" t="e">
        <f t="shared" si="134"/>
        <v>#DIV/0!</v>
      </c>
      <c r="DT71" s="312" t="e">
        <f t="shared" si="135"/>
        <v>#DIV/0!</v>
      </c>
      <c r="DU71" s="312">
        <f t="shared" si="71"/>
        <v>0</v>
      </c>
      <c r="DV71" s="175"/>
      <c r="DW71" s="175" t="b">
        <f t="shared" si="136"/>
        <v>1</v>
      </c>
      <c r="DX71" s="175" t="b">
        <f t="shared" si="136"/>
        <v>1</v>
      </c>
      <c r="DY71" s="175" t="b">
        <f t="shared" si="136"/>
        <v>1</v>
      </c>
      <c r="DZ71" s="175" t="b">
        <f t="shared" si="136"/>
        <v>1</v>
      </c>
      <c r="EA71" s="175" t="b">
        <f t="shared" si="136"/>
        <v>1</v>
      </c>
      <c r="EB71" s="168"/>
    </row>
    <row r="72" spans="1:132" s="140" customFormat="1" ht="18.5" hidden="1" thickBot="1" x14ac:dyDescent="0.45">
      <c r="A72" s="150"/>
      <c r="B72" s="296" t="str">
        <f t="shared" si="73"/>
        <v>-</v>
      </c>
      <c r="C72" s="279">
        <v>53</v>
      </c>
      <c r="D72" s="1557"/>
      <c r="E72" s="1558"/>
      <c r="F72" s="977"/>
      <c r="G72" s="1103"/>
      <c r="H72" s="978"/>
      <c r="I72" s="965"/>
      <c r="J72" s="1325"/>
      <c r="K72" s="1326"/>
      <c r="L72" s="1326"/>
      <c r="M72" s="1326"/>
      <c r="N72" s="1327"/>
      <c r="O72" s="974"/>
      <c r="P72" s="975"/>
      <c r="Q72" s="976"/>
      <c r="R72" s="966"/>
      <c r="S72" s="280" t="str">
        <f t="shared" si="99"/>
        <v/>
      </c>
      <c r="T72" s="281" t="str">
        <f t="shared" si="100"/>
        <v/>
      </c>
      <c r="U72" s="282">
        <f t="shared" si="101"/>
        <v>0</v>
      </c>
      <c r="V72" s="259" t="str">
        <f t="shared" si="102"/>
        <v/>
      </c>
      <c r="W72" s="260" t="str">
        <f t="shared" si="103"/>
        <v/>
      </c>
      <c r="X72" s="283">
        <f t="shared" si="137"/>
        <v>0</v>
      </c>
      <c r="Y72" s="284" t="str">
        <f t="shared" si="104"/>
        <v/>
      </c>
      <c r="Z72" s="150"/>
      <c r="AA72" s="175"/>
      <c r="AB72" s="175">
        <v>53</v>
      </c>
      <c r="AC72" s="297" t="str">
        <f t="shared" si="138"/>
        <v>-</v>
      </c>
      <c r="AD72" s="297">
        <f t="shared" si="77"/>
        <v>0</v>
      </c>
      <c r="AE72" s="297">
        <f t="shared" si="78"/>
        <v>0</v>
      </c>
      <c r="AF72" s="297"/>
      <c r="AG72" s="298">
        <f t="shared" si="79"/>
        <v>0</v>
      </c>
      <c r="AH72" s="1339">
        <f t="shared" si="7"/>
        <v>0</v>
      </c>
      <c r="AI72" s="1340">
        <f>IF(SUM(AH72:AH$99)=0,0,F72&gt;0)</f>
        <v>0</v>
      </c>
      <c r="AJ72" s="1339">
        <f t="shared" si="8"/>
        <v>0</v>
      </c>
      <c r="AK72" s="1340">
        <f>IF(SUM(AH72:AH$99)=0,0,AND(AI72=FALSE,AJ72=0,SUM(AJ72:AJ$99)&gt;0))</f>
        <v>0</v>
      </c>
      <c r="AL72" s="1340">
        <f t="shared" si="9"/>
        <v>0</v>
      </c>
      <c r="AM72" s="1340">
        <f t="shared" si="10"/>
        <v>0</v>
      </c>
      <c r="AN72" s="1341">
        <f t="shared" si="11"/>
        <v>0</v>
      </c>
      <c r="AO72" s="1341">
        <f t="shared" si="12"/>
        <v>0</v>
      </c>
      <c r="AP72" s="264">
        <f t="shared" si="105"/>
        <v>0</v>
      </c>
      <c r="AQ72" s="264">
        <f t="shared" si="80"/>
        <v>0</v>
      </c>
      <c r="AR72" s="1340">
        <f t="shared" si="14"/>
        <v>0</v>
      </c>
      <c r="AS72" s="1340" t="str">
        <f t="shared" si="81"/>
        <v/>
      </c>
      <c r="AT72" s="1340">
        <f t="shared" si="15"/>
        <v>0</v>
      </c>
      <c r="AU72" s="898">
        <f t="shared" si="82"/>
        <v>0</v>
      </c>
      <c r="AV72" s="1340">
        <f t="shared" si="16"/>
        <v>0</v>
      </c>
      <c r="AW72" s="1340">
        <f t="shared" si="17"/>
        <v>0</v>
      </c>
      <c r="AX72" s="1340">
        <f t="shared" si="18"/>
        <v>0</v>
      </c>
      <c r="AY72" s="897">
        <f t="shared" si="83"/>
        <v>0</v>
      </c>
      <c r="AZ72" s="1340">
        <f t="shared" si="19"/>
        <v>0</v>
      </c>
      <c r="BA72" s="896">
        <f t="shared" si="84"/>
        <v>0</v>
      </c>
      <c r="BB72" s="899" t="str">
        <f t="shared" si="85"/>
        <v/>
      </c>
      <c r="BC72" s="899" t="str">
        <f t="shared" si="86"/>
        <v/>
      </c>
      <c r="BD72" s="1340">
        <f t="shared" si="20"/>
        <v>0</v>
      </c>
      <c r="BE72" s="1340">
        <f t="shared" si="21"/>
        <v>0</v>
      </c>
      <c r="BF72" s="1340">
        <f t="shared" si="22"/>
        <v>0</v>
      </c>
      <c r="BG72" s="1342" t="b">
        <f t="shared" si="106"/>
        <v>0</v>
      </c>
      <c r="BH72" s="299" t="str">
        <f t="shared" si="24"/>
        <v/>
      </c>
      <c r="BI72" s="1343">
        <f t="shared" si="107"/>
        <v>0</v>
      </c>
      <c r="BJ72" s="1344">
        <f t="shared" si="108"/>
        <v>0</v>
      </c>
      <c r="BK72" s="1344">
        <f t="shared" si="87"/>
        <v>0</v>
      </c>
      <c r="BL72" s="1345">
        <f t="shared" si="27"/>
        <v>0</v>
      </c>
      <c r="BM72" s="1346">
        <f t="shared" si="28"/>
        <v>0</v>
      </c>
      <c r="BN72" s="300">
        <f t="shared" si="109"/>
        <v>0</v>
      </c>
      <c r="BO72" s="300">
        <f t="shared" si="110"/>
        <v>0</v>
      </c>
      <c r="BP72" s="1344">
        <f t="shared" si="88"/>
        <v>0</v>
      </c>
      <c r="BQ72" s="301">
        <f t="shared" si="31"/>
        <v>0</v>
      </c>
      <c r="BR72" s="314"/>
      <c r="BS72" s="1343">
        <f t="shared" si="98"/>
        <v>0</v>
      </c>
      <c r="BT72" s="1344">
        <f t="shared" si="98"/>
        <v>0</v>
      </c>
      <c r="BU72" s="1344">
        <f t="shared" si="98"/>
        <v>0</v>
      </c>
      <c r="BV72" s="303">
        <f t="shared" si="98"/>
        <v>0</v>
      </c>
      <c r="BW72" s="304">
        <f t="shared" si="111"/>
        <v>0</v>
      </c>
      <c r="BX72" s="300">
        <f t="shared" si="112"/>
        <v>0</v>
      </c>
      <c r="BY72" s="1344">
        <f t="shared" si="89"/>
        <v>0</v>
      </c>
      <c r="BZ72" s="300">
        <f t="shared" si="90"/>
        <v>0</v>
      </c>
      <c r="CA72" s="301">
        <f t="shared" si="36"/>
        <v>0</v>
      </c>
      <c r="CB72" s="305" t="e">
        <f t="shared" si="113"/>
        <v>#DIV/0!</v>
      </c>
      <c r="CC72" s="304" t="e">
        <f t="shared" si="38"/>
        <v>#DIV/0!</v>
      </c>
      <c r="CD72" s="300">
        <f t="shared" si="39"/>
        <v>0</v>
      </c>
      <c r="CE72" s="306">
        <f t="shared" si="91"/>
        <v>0</v>
      </c>
      <c r="CF72" s="306">
        <f t="shared" si="40"/>
        <v>0</v>
      </c>
      <c r="CG72" s="307" t="e">
        <f t="shared" si="41"/>
        <v>#DIV/0!</v>
      </c>
      <c r="CH72" s="307" t="e">
        <f t="shared" si="114"/>
        <v>#DIV/0!</v>
      </c>
      <c r="CI72" s="308" t="e">
        <f t="shared" si="139"/>
        <v>#DIV/0!</v>
      </c>
      <c r="CJ72" s="309" t="e">
        <f t="shared" si="115"/>
        <v>#DIV/0!</v>
      </c>
      <c r="CK72" s="175" t="e">
        <f t="shared" si="93"/>
        <v>#DIV/0!</v>
      </c>
      <c r="CL72" s="175" t="str">
        <f t="shared" si="116"/>
        <v/>
      </c>
      <c r="CM72" s="310" t="e">
        <f t="shared" si="94"/>
        <v>#DIV/0!</v>
      </c>
      <c r="CN72" s="311" t="e">
        <f t="shared" si="95"/>
        <v>#DIV/0!</v>
      </c>
      <c r="CO72" s="311">
        <f t="shared" si="96"/>
        <v>0</v>
      </c>
      <c r="CP72" s="175">
        <f t="shared" si="45"/>
        <v>1</v>
      </c>
      <c r="CQ72" s="175">
        <f t="shared" si="46"/>
        <v>1</v>
      </c>
      <c r="CR72" s="175" t="str">
        <f t="shared" si="117"/>
        <v/>
      </c>
      <c r="CS72" s="175">
        <f t="shared" si="48"/>
        <v>0</v>
      </c>
      <c r="CT72" s="312">
        <f t="shared" si="49"/>
        <v>0</v>
      </c>
      <c r="CU72" s="175" t="str">
        <f t="shared" si="50"/>
        <v>OK</v>
      </c>
      <c r="CV72" s="313">
        <f t="shared" si="51"/>
        <v>0.05</v>
      </c>
      <c r="CW72" s="312" t="e">
        <f t="shared" si="118"/>
        <v>#DIV/0!</v>
      </c>
      <c r="CX72" s="312" t="e">
        <f t="shared" si="119"/>
        <v>#DIV/0!</v>
      </c>
      <c r="CY72" s="312" t="e">
        <f t="shared" si="120"/>
        <v>#DIV/0!</v>
      </c>
      <c r="CZ72" s="312" t="e">
        <f t="shared" si="121"/>
        <v>#DIV/0!</v>
      </c>
      <c r="DA72" s="312">
        <f t="shared" si="122"/>
        <v>1</v>
      </c>
      <c r="DB72" s="312">
        <f t="shared" si="57"/>
        <v>0</v>
      </c>
      <c r="DC72" s="175" t="str">
        <f t="shared" si="123"/>
        <v>Soft</v>
      </c>
      <c r="DD72" s="175"/>
      <c r="DE72" s="175">
        <f t="shared" si="124"/>
        <v>0</v>
      </c>
      <c r="DF72" s="312" t="e">
        <f t="shared" si="125"/>
        <v>#DIV/0!</v>
      </c>
      <c r="DG72" s="312" t="e">
        <f t="shared" si="126"/>
        <v>#DIV/0!</v>
      </c>
      <c r="DH72" s="312" t="e">
        <f t="shared" si="127"/>
        <v>#DIV/0!</v>
      </c>
      <c r="DI72" s="312" t="e">
        <f t="shared" si="128"/>
        <v>#DIV/0!</v>
      </c>
      <c r="DJ72" s="312" t="e">
        <f t="shared" si="97"/>
        <v>#DIV/0!</v>
      </c>
      <c r="DK72" s="175"/>
      <c r="DL72" s="175"/>
      <c r="DM72" s="175"/>
      <c r="DN72" s="175">
        <f t="shared" si="129"/>
        <v>1</v>
      </c>
      <c r="DO72" s="312" t="e">
        <f t="shared" si="130"/>
        <v>#DIV/0!</v>
      </c>
      <c r="DP72" s="312" t="e">
        <f t="shared" si="131"/>
        <v>#DIV/0!</v>
      </c>
      <c r="DQ72" s="312" t="e">
        <f t="shared" si="132"/>
        <v>#DIV/0!</v>
      </c>
      <c r="DR72" s="312" t="e">
        <f t="shared" si="133"/>
        <v>#DIV/0!</v>
      </c>
      <c r="DS72" s="312" t="e">
        <f t="shared" si="134"/>
        <v>#DIV/0!</v>
      </c>
      <c r="DT72" s="312" t="e">
        <f t="shared" si="135"/>
        <v>#DIV/0!</v>
      </c>
      <c r="DU72" s="312">
        <f t="shared" si="71"/>
        <v>0</v>
      </c>
      <c r="DV72" s="175"/>
      <c r="DW72" s="175" t="b">
        <f t="shared" si="136"/>
        <v>1</v>
      </c>
      <c r="DX72" s="175" t="b">
        <f t="shared" si="136"/>
        <v>1</v>
      </c>
      <c r="DY72" s="175" t="b">
        <f t="shared" si="136"/>
        <v>1</v>
      </c>
      <c r="DZ72" s="175" t="b">
        <f t="shared" si="136"/>
        <v>1</v>
      </c>
      <c r="EA72" s="175" t="b">
        <f t="shared" si="136"/>
        <v>1</v>
      </c>
      <c r="EB72" s="168"/>
    </row>
    <row r="73" spans="1:132" s="140" customFormat="1" ht="18.5" hidden="1" thickBot="1" x14ac:dyDescent="0.45">
      <c r="A73" s="150"/>
      <c r="B73" s="296" t="str">
        <f t="shared" si="73"/>
        <v>-</v>
      </c>
      <c r="C73" s="279">
        <v>54</v>
      </c>
      <c r="D73" s="1557"/>
      <c r="E73" s="1558"/>
      <c r="F73" s="977"/>
      <c r="G73" s="1103"/>
      <c r="H73" s="978"/>
      <c r="I73" s="965"/>
      <c r="J73" s="1325"/>
      <c r="K73" s="1326"/>
      <c r="L73" s="1326"/>
      <c r="M73" s="1326"/>
      <c r="N73" s="1327"/>
      <c r="O73" s="974"/>
      <c r="P73" s="975"/>
      <c r="Q73" s="976"/>
      <c r="R73" s="966"/>
      <c r="S73" s="280" t="str">
        <f t="shared" si="99"/>
        <v/>
      </c>
      <c r="T73" s="281" t="str">
        <f t="shared" si="100"/>
        <v/>
      </c>
      <c r="U73" s="282">
        <f t="shared" si="101"/>
        <v>0</v>
      </c>
      <c r="V73" s="259" t="str">
        <f t="shared" si="102"/>
        <v/>
      </c>
      <c r="W73" s="260" t="str">
        <f t="shared" si="103"/>
        <v/>
      </c>
      <c r="X73" s="283">
        <f t="shared" si="137"/>
        <v>0</v>
      </c>
      <c r="Y73" s="284" t="str">
        <f t="shared" si="104"/>
        <v/>
      </c>
      <c r="Z73" s="150"/>
      <c r="AA73" s="175"/>
      <c r="AB73" s="175">
        <v>54</v>
      </c>
      <c r="AC73" s="297" t="str">
        <f t="shared" si="138"/>
        <v>-</v>
      </c>
      <c r="AD73" s="297">
        <f t="shared" si="77"/>
        <v>0</v>
      </c>
      <c r="AE73" s="297">
        <f t="shared" si="78"/>
        <v>0</v>
      </c>
      <c r="AF73" s="297"/>
      <c r="AG73" s="298">
        <f t="shared" si="79"/>
        <v>0</v>
      </c>
      <c r="AH73" s="1339">
        <f t="shared" si="7"/>
        <v>0</v>
      </c>
      <c r="AI73" s="1340">
        <f>IF(SUM(AH73:AH$99)=0,0,F73&gt;0)</f>
        <v>0</v>
      </c>
      <c r="AJ73" s="1339">
        <f t="shared" si="8"/>
        <v>0</v>
      </c>
      <c r="AK73" s="1340">
        <f>IF(SUM(AH73:AH$99)=0,0,AND(AI73=FALSE,AJ73=0,SUM(AJ73:AJ$99)&gt;0))</f>
        <v>0</v>
      </c>
      <c r="AL73" s="1340">
        <f t="shared" si="9"/>
        <v>0</v>
      </c>
      <c r="AM73" s="1340">
        <f t="shared" si="10"/>
        <v>0</v>
      </c>
      <c r="AN73" s="1341">
        <f t="shared" si="11"/>
        <v>0</v>
      </c>
      <c r="AO73" s="1341">
        <f t="shared" si="12"/>
        <v>0</v>
      </c>
      <c r="AP73" s="264">
        <f t="shared" si="105"/>
        <v>0</v>
      </c>
      <c r="AQ73" s="264">
        <f t="shared" si="80"/>
        <v>0</v>
      </c>
      <c r="AR73" s="1340">
        <f t="shared" si="14"/>
        <v>0</v>
      </c>
      <c r="AS73" s="1340" t="str">
        <f t="shared" si="81"/>
        <v/>
      </c>
      <c r="AT73" s="1340">
        <f t="shared" si="15"/>
        <v>0</v>
      </c>
      <c r="AU73" s="898">
        <f t="shared" si="82"/>
        <v>0</v>
      </c>
      <c r="AV73" s="1340">
        <f t="shared" si="16"/>
        <v>0</v>
      </c>
      <c r="AW73" s="1340">
        <f t="shared" si="17"/>
        <v>0</v>
      </c>
      <c r="AX73" s="1340">
        <f t="shared" si="18"/>
        <v>0</v>
      </c>
      <c r="AY73" s="897">
        <f t="shared" si="83"/>
        <v>0</v>
      </c>
      <c r="AZ73" s="1340">
        <f t="shared" si="19"/>
        <v>0</v>
      </c>
      <c r="BA73" s="896">
        <f t="shared" si="84"/>
        <v>0</v>
      </c>
      <c r="BB73" s="899" t="str">
        <f t="shared" si="85"/>
        <v/>
      </c>
      <c r="BC73" s="899" t="str">
        <f t="shared" si="86"/>
        <v/>
      </c>
      <c r="BD73" s="1340">
        <f t="shared" si="20"/>
        <v>0</v>
      </c>
      <c r="BE73" s="1340">
        <f t="shared" si="21"/>
        <v>0</v>
      </c>
      <c r="BF73" s="1340">
        <f t="shared" si="22"/>
        <v>0</v>
      </c>
      <c r="BG73" s="1342" t="b">
        <f t="shared" si="106"/>
        <v>0</v>
      </c>
      <c r="BH73" s="299" t="str">
        <f t="shared" si="24"/>
        <v/>
      </c>
      <c r="BI73" s="1343">
        <f t="shared" si="107"/>
        <v>0</v>
      </c>
      <c r="BJ73" s="1344">
        <f t="shared" si="108"/>
        <v>0</v>
      </c>
      <c r="BK73" s="1344">
        <f t="shared" si="87"/>
        <v>0</v>
      </c>
      <c r="BL73" s="1345">
        <f t="shared" si="27"/>
        <v>0</v>
      </c>
      <c r="BM73" s="1346">
        <f t="shared" si="28"/>
        <v>0</v>
      </c>
      <c r="BN73" s="300">
        <f t="shared" si="109"/>
        <v>0</v>
      </c>
      <c r="BO73" s="300">
        <f t="shared" si="110"/>
        <v>0</v>
      </c>
      <c r="BP73" s="1344">
        <f t="shared" si="88"/>
        <v>0</v>
      </c>
      <c r="BQ73" s="301">
        <f t="shared" si="31"/>
        <v>0</v>
      </c>
      <c r="BR73" s="314"/>
      <c r="BS73" s="1343">
        <f t="shared" si="98"/>
        <v>0</v>
      </c>
      <c r="BT73" s="1344">
        <f t="shared" si="98"/>
        <v>0</v>
      </c>
      <c r="BU73" s="1344">
        <f t="shared" si="98"/>
        <v>0</v>
      </c>
      <c r="BV73" s="303">
        <f t="shared" si="98"/>
        <v>0</v>
      </c>
      <c r="BW73" s="304">
        <f t="shared" si="111"/>
        <v>0</v>
      </c>
      <c r="BX73" s="300">
        <f t="shared" si="112"/>
        <v>0</v>
      </c>
      <c r="BY73" s="1344">
        <f t="shared" si="89"/>
        <v>0</v>
      </c>
      <c r="BZ73" s="300">
        <f t="shared" si="90"/>
        <v>0</v>
      </c>
      <c r="CA73" s="301">
        <f t="shared" si="36"/>
        <v>0</v>
      </c>
      <c r="CB73" s="305" t="e">
        <f t="shared" si="113"/>
        <v>#DIV/0!</v>
      </c>
      <c r="CC73" s="304" t="e">
        <f t="shared" si="38"/>
        <v>#DIV/0!</v>
      </c>
      <c r="CD73" s="300">
        <f t="shared" si="39"/>
        <v>0</v>
      </c>
      <c r="CE73" s="306">
        <f t="shared" si="91"/>
        <v>0</v>
      </c>
      <c r="CF73" s="306">
        <f t="shared" si="40"/>
        <v>0</v>
      </c>
      <c r="CG73" s="307" t="e">
        <f t="shared" si="41"/>
        <v>#DIV/0!</v>
      </c>
      <c r="CH73" s="307" t="e">
        <f t="shared" si="114"/>
        <v>#DIV/0!</v>
      </c>
      <c r="CI73" s="308" t="e">
        <f t="shared" si="139"/>
        <v>#DIV/0!</v>
      </c>
      <c r="CJ73" s="309" t="e">
        <f t="shared" si="115"/>
        <v>#DIV/0!</v>
      </c>
      <c r="CK73" s="175" t="e">
        <f t="shared" si="93"/>
        <v>#DIV/0!</v>
      </c>
      <c r="CL73" s="175" t="str">
        <f t="shared" si="116"/>
        <v/>
      </c>
      <c r="CM73" s="310" t="e">
        <f t="shared" si="94"/>
        <v>#DIV/0!</v>
      </c>
      <c r="CN73" s="311" t="e">
        <f t="shared" si="95"/>
        <v>#DIV/0!</v>
      </c>
      <c r="CO73" s="311">
        <f t="shared" si="96"/>
        <v>0</v>
      </c>
      <c r="CP73" s="175">
        <f t="shared" si="45"/>
        <v>1</v>
      </c>
      <c r="CQ73" s="175">
        <f t="shared" si="46"/>
        <v>1</v>
      </c>
      <c r="CR73" s="175" t="str">
        <f t="shared" si="117"/>
        <v/>
      </c>
      <c r="CS73" s="175">
        <f t="shared" si="48"/>
        <v>0</v>
      </c>
      <c r="CT73" s="312">
        <f t="shared" si="49"/>
        <v>0</v>
      </c>
      <c r="CU73" s="175" t="str">
        <f t="shared" si="50"/>
        <v>OK</v>
      </c>
      <c r="CV73" s="313">
        <f t="shared" si="51"/>
        <v>0.05</v>
      </c>
      <c r="CW73" s="312" t="e">
        <f t="shared" si="118"/>
        <v>#DIV/0!</v>
      </c>
      <c r="CX73" s="312" t="e">
        <f t="shared" si="119"/>
        <v>#DIV/0!</v>
      </c>
      <c r="CY73" s="312" t="e">
        <f t="shared" si="120"/>
        <v>#DIV/0!</v>
      </c>
      <c r="CZ73" s="312" t="e">
        <f t="shared" si="121"/>
        <v>#DIV/0!</v>
      </c>
      <c r="DA73" s="312">
        <f t="shared" si="122"/>
        <v>1</v>
      </c>
      <c r="DB73" s="312">
        <f t="shared" si="57"/>
        <v>0</v>
      </c>
      <c r="DC73" s="175" t="str">
        <f t="shared" si="123"/>
        <v>Soft</v>
      </c>
      <c r="DD73" s="175"/>
      <c r="DE73" s="175">
        <f t="shared" si="124"/>
        <v>0</v>
      </c>
      <c r="DF73" s="312" t="e">
        <f t="shared" si="125"/>
        <v>#DIV/0!</v>
      </c>
      <c r="DG73" s="312" t="e">
        <f t="shared" si="126"/>
        <v>#DIV/0!</v>
      </c>
      <c r="DH73" s="312" t="e">
        <f t="shared" si="127"/>
        <v>#DIV/0!</v>
      </c>
      <c r="DI73" s="312" t="e">
        <f t="shared" si="128"/>
        <v>#DIV/0!</v>
      </c>
      <c r="DJ73" s="312" t="e">
        <f t="shared" si="97"/>
        <v>#DIV/0!</v>
      </c>
      <c r="DK73" s="175"/>
      <c r="DL73" s="175"/>
      <c r="DM73" s="175"/>
      <c r="DN73" s="175">
        <f t="shared" si="129"/>
        <v>1</v>
      </c>
      <c r="DO73" s="312" t="e">
        <f t="shared" si="130"/>
        <v>#DIV/0!</v>
      </c>
      <c r="DP73" s="312" t="e">
        <f t="shared" si="131"/>
        <v>#DIV/0!</v>
      </c>
      <c r="DQ73" s="312" t="e">
        <f t="shared" si="132"/>
        <v>#DIV/0!</v>
      </c>
      <c r="DR73" s="312" t="e">
        <f t="shared" si="133"/>
        <v>#DIV/0!</v>
      </c>
      <c r="DS73" s="312" t="e">
        <f t="shared" si="134"/>
        <v>#DIV/0!</v>
      </c>
      <c r="DT73" s="312" t="e">
        <f t="shared" si="135"/>
        <v>#DIV/0!</v>
      </c>
      <c r="DU73" s="312">
        <f t="shared" si="71"/>
        <v>0</v>
      </c>
      <c r="DV73" s="175"/>
      <c r="DW73" s="175" t="b">
        <f t="shared" si="136"/>
        <v>1</v>
      </c>
      <c r="DX73" s="175" t="b">
        <f t="shared" si="136"/>
        <v>1</v>
      </c>
      <c r="DY73" s="175" t="b">
        <f t="shared" si="136"/>
        <v>1</v>
      </c>
      <c r="DZ73" s="175" t="b">
        <f t="shared" si="136"/>
        <v>1</v>
      </c>
      <c r="EA73" s="175" t="b">
        <f t="shared" si="136"/>
        <v>1</v>
      </c>
      <c r="EB73" s="168"/>
    </row>
    <row r="74" spans="1:132" s="140" customFormat="1" ht="18.5" hidden="1" thickBot="1" x14ac:dyDescent="0.45">
      <c r="A74" s="150"/>
      <c r="B74" s="296" t="str">
        <f t="shared" si="73"/>
        <v>-</v>
      </c>
      <c r="C74" s="279">
        <v>55</v>
      </c>
      <c r="D74" s="1557"/>
      <c r="E74" s="1558"/>
      <c r="F74" s="977"/>
      <c r="G74" s="1103"/>
      <c r="H74" s="978"/>
      <c r="I74" s="965"/>
      <c r="J74" s="1325"/>
      <c r="K74" s="1326"/>
      <c r="L74" s="1326"/>
      <c r="M74" s="1326"/>
      <c r="N74" s="1327"/>
      <c r="O74" s="974"/>
      <c r="P74" s="975"/>
      <c r="Q74" s="976"/>
      <c r="R74" s="966"/>
      <c r="S74" s="280" t="str">
        <f t="shared" si="99"/>
        <v/>
      </c>
      <c r="T74" s="281" t="str">
        <f t="shared" si="100"/>
        <v/>
      </c>
      <c r="U74" s="282">
        <f t="shared" si="101"/>
        <v>0</v>
      </c>
      <c r="V74" s="259" t="str">
        <f t="shared" si="102"/>
        <v/>
      </c>
      <c r="W74" s="260" t="str">
        <f t="shared" si="103"/>
        <v/>
      </c>
      <c r="X74" s="283">
        <f t="shared" si="137"/>
        <v>0</v>
      </c>
      <c r="Y74" s="284" t="str">
        <f t="shared" si="104"/>
        <v/>
      </c>
      <c r="Z74" s="150"/>
      <c r="AA74" s="175"/>
      <c r="AB74" s="175">
        <v>55</v>
      </c>
      <c r="AC74" s="297" t="str">
        <f t="shared" si="138"/>
        <v>-</v>
      </c>
      <c r="AD74" s="297">
        <f t="shared" si="77"/>
        <v>0</v>
      </c>
      <c r="AE74" s="297">
        <f t="shared" si="78"/>
        <v>0</v>
      </c>
      <c r="AF74" s="297"/>
      <c r="AG74" s="298">
        <f t="shared" si="79"/>
        <v>0</v>
      </c>
      <c r="AH74" s="1339">
        <f t="shared" si="7"/>
        <v>0</v>
      </c>
      <c r="AI74" s="1340">
        <f>IF(SUM(AH74:AH$99)=0,0,F74&gt;0)</f>
        <v>0</v>
      </c>
      <c r="AJ74" s="1339">
        <f t="shared" si="8"/>
        <v>0</v>
      </c>
      <c r="AK74" s="1340">
        <f>IF(SUM(AH74:AH$99)=0,0,AND(AI74=FALSE,AJ74=0,SUM(AJ74:AJ$99)&gt;0))</f>
        <v>0</v>
      </c>
      <c r="AL74" s="1340">
        <f t="shared" si="9"/>
        <v>0</v>
      </c>
      <c r="AM74" s="1340">
        <f t="shared" si="10"/>
        <v>0</v>
      </c>
      <c r="AN74" s="1341">
        <f t="shared" si="11"/>
        <v>0</v>
      </c>
      <c r="AO74" s="1341">
        <f t="shared" si="12"/>
        <v>0</v>
      </c>
      <c r="AP74" s="264">
        <f t="shared" si="105"/>
        <v>0</v>
      </c>
      <c r="AQ74" s="264">
        <f t="shared" si="80"/>
        <v>0</v>
      </c>
      <c r="AR74" s="1340">
        <f t="shared" si="14"/>
        <v>0</v>
      </c>
      <c r="AS74" s="1340" t="str">
        <f t="shared" si="81"/>
        <v/>
      </c>
      <c r="AT74" s="1340">
        <f t="shared" si="15"/>
        <v>0</v>
      </c>
      <c r="AU74" s="898">
        <f t="shared" si="82"/>
        <v>0</v>
      </c>
      <c r="AV74" s="1340">
        <f t="shared" si="16"/>
        <v>0</v>
      </c>
      <c r="AW74" s="1340">
        <f t="shared" si="17"/>
        <v>0</v>
      </c>
      <c r="AX74" s="1340">
        <f t="shared" si="18"/>
        <v>0</v>
      </c>
      <c r="AY74" s="897">
        <f t="shared" si="83"/>
        <v>0</v>
      </c>
      <c r="AZ74" s="1340">
        <f t="shared" si="19"/>
        <v>0</v>
      </c>
      <c r="BA74" s="896">
        <f t="shared" si="84"/>
        <v>0</v>
      </c>
      <c r="BB74" s="899" t="str">
        <f t="shared" si="85"/>
        <v/>
      </c>
      <c r="BC74" s="899" t="str">
        <f t="shared" si="86"/>
        <v/>
      </c>
      <c r="BD74" s="1340">
        <f t="shared" si="20"/>
        <v>0</v>
      </c>
      <c r="BE74" s="1340">
        <f t="shared" si="21"/>
        <v>0</v>
      </c>
      <c r="BF74" s="1340">
        <f t="shared" si="22"/>
        <v>0</v>
      </c>
      <c r="BG74" s="1342" t="b">
        <f t="shared" si="106"/>
        <v>0</v>
      </c>
      <c r="BH74" s="299" t="str">
        <f t="shared" si="24"/>
        <v/>
      </c>
      <c r="BI74" s="1343">
        <f t="shared" si="107"/>
        <v>0</v>
      </c>
      <c r="BJ74" s="1344">
        <f t="shared" si="108"/>
        <v>0</v>
      </c>
      <c r="BK74" s="1344">
        <f t="shared" si="87"/>
        <v>0</v>
      </c>
      <c r="BL74" s="1345">
        <f t="shared" si="27"/>
        <v>0</v>
      </c>
      <c r="BM74" s="1346">
        <f t="shared" si="28"/>
        <v>0</v>
      </c>
      <c r="BN74" s="300">
        <f t="shared" si="109"/>
        <v>0</v>
      </c>
      <c r="BO74" s="300">
        <f t="shared" si="110"/>
        <v>0</v>
      </c>
      <c r="BP74" s="1344">
        <f t="shared" si="88"/>
        <v>0</v>
      </c>
      <c r="BQ74" s="301">
        <f t="shared" si="31"/>
        <v>0</v>
      </c>
      <c r="BR74" s="314"/>
      <c r="BS74" s="1343">
        <f t="shared" si="98"/>
        <v>0</v>
      </c>
      <c r="BT74" s="1344">
        <f t="shared" si="98"/>
        <v>0</v>
      </c>
      <c r="BU74" s="1344">
        <f t="shared" si="98"/>
        <v>0</v>
      </c>
      <c r="BV74" s="303">
        <f t="shared" si="98"/>
        <v>0</v>
      </c>
      <c r="BW74" s="304">
        <f t="shared" si="111"/>
        <v>0</v>
      </c>
      <c r="BX74" s="300">
        <f t="shared" si="112"/>
        <v>0</v>
      </c>
      <c r="BY74" s="1344">
        <f t="shared" si="89"/>
        <v>0</v>
      </c>
      <c r="BZ74" s="300">
        <f t="shared" si="90"/>
        <v>0</v>
      </c>
      <c r="CA74" s="301">
        <f t="shared" si="36"/>
        <v>0</v>
      </c>
      <c r="CB74" s="305" t="e">
        <f t="shared" si="113"/>
        <v>#DIV/0!</v>
      </c>
      <c r="CC74" s="304" t="e">
        <f t="shared" si="38"/>
        <v>#DIV/0!</v>
      </c>
      <c r="CD74" s="300">
        <f t="shared" si="39"/>
        <v>0</v>
      </c>
      <c r="CE74" s="306">
        <f t="shared" si="91"/>
        <v>0</v>
      </c>
      <c r="CF74" s="306">
        <f t="shared" si="40"/>
        <v>0</v>
      </c>
      <c r="CG74" s="307" t="e">
        <f t="shared" si="41"/>
        <v>#DIV/0!</v>
      </c>
      <c r="CH74" s="307" t="e">
        <f t="shared" si="114"/>
        <v>#DIV/0!</v>
      </c>
      <c r="CI74" s="308" t="e">
        <f t="shared" si="139"/>
        <v>#DIV/0!</v>
      </c>
      <c r="CJ74" s="309" t="e">
        <f t="shared" si="115"/>
        <v>#DIV/0!</v>
      </c>
      <c r="CK74" s="175" t="e">
        <f t="shared" si="93"/>
        <v>#DIV/0!</v>
      </c>
      <c r="CL74" s="175" t="str">
        <f t="shared" si="116"/>
        <v/>
      </c>
      <c r="CM74" s="310" t="e">
        <f t="shared" si="94"/>
        <v>#DIV/0!</v>
      </c>
      <c r="CN74" s="311" t="e">
        <f t="shared" si="95"/>
        <v>#DIV/0!</v>
      </c>
      <c r="CO74" s="311">
        <f t="shared" si="96"/>
        <v>0</v>
      </c>
      <c r="CP74" s="175">
        <f t="shared" si="45"/>
        <v>1</v>
      </c>
      <c r="CQ74" s="175">
        <f t="shared" si="46"/>
        <v>1</v>
      </c>
      <c r="CR74" s="175" t="str">
        <f t="shared" si="117"/>
        <v/>
      </c>
      <c r="CS74" s="175">
        <f t="shared" si="48"/>
        <v>0</v>
      </c>
      <c r="CT74" s="312">
        <f t="shared" si="49"/>
        <v>0</v>
      </c>
      <c r="CU74" s="175" t="str">
        <f t="shared" si="50"/>
        <v>OK</v>
      </c>
      <c r="CV74" s="313">
        <f t="shared" si="51"/>
        <v>0.05</v>
      </c>
      <c r="CW74" s="312" t="e">
        <f t="shared" si="118"/>
        <v>#DIV/0!</v>
      </c>
      <c r="CX74" s="312" t="e">
        <f t="shared" si="119"/>
        <v>#DIV/0!</v>
      </c>
      <c r="CY74" s="312" t="e">
        <f t="shared" si="120"/>
        <v>#DIV/0!</v>
      </c>
      <c r="CZ74" s="312" t="e">
        <f t="shared" si="121"/>
        <v>#DIV/0!</v>
      </c>
      <c r="DA74" s="312">
        <f t="shared" si="122"/>
        <v>1</v>
      </c>
      <c r="DB74" s="312">
        <f t="shared" si="57"/>
        <v>0</v>
      </c>
      <c r="DC74" s="175" t="str">
        <f t="shared" si="123"/>
        <v>Soft</v>
      </c>
      <c r="DD74" s="175"/>
      <c r="DE74" s="175">
        <f t="shared" si="124"/>
        <v>0</v>
      </c>
      <c r="DF74" s="312" t="e">
        <f t="shared" si="125"/>
        <v>#DIV/0!</v>
      </c>
      <c r="DG74" s="312" t="e">
        <f t="shared" si="126"/>
        <v>#DIV/0!</v>
      </c>
      <c r="DH74" s="312" t="e">
        <f t="shared" si="127"/>
        <v>#DIV/0!</v>
      </c>
      <c r="DI74" s="312" t="e">
        <f t="shared" si="128"/>
        <v>#DIV/0!</v>
      </c>
      <c r="DJ74" s="312" t="e">
        <f t="shared" si="97"/>
        <v>#DIV/0!</v>
      </c>
      <c r="DK74" s="175"/>
      <c r="DL74" s="175"/>
      <c r="DM74" s="175"/>
      <c r="DN74" s="175">
        <f t="shared" si="129"/>
        <v>1</v>
      </c>
      <c r="DO74" s="312" t="e">
        <f t="shared" si="130"/>
        <v>#DIV/0!</v>
      </c>
      <c r="DP74" s="312" t="e">
        <f t="shared" si="131"/>
        <v>#DIV/0!</v>
      </c>
      <c r="DQ74" s="312" t="e">
        <f t="shared" si="132"/>
        <v>#DIV/0!</v>
      </c>
      <c r="DR74" s="312" t="e">
        <f t="shared" si="133"/>
        <v>#DIV/0!</v>
      </c>
      <c r="DS74" s="312" t="e">
        <f t="shared" si="134"/>
        <v>#DIV/0!</v>
      </c>
      <c r="DT74" s="312" t="e">
        <f t="shared" si="135"/>
        <v>#DIV/0!</v>
      </c>
      <c r="DU74" s="312">
        <f t="shared" si="71"/>
        <v>0</v>
      </c>
      <c r="DV74" s="175"/>
      <c r="DW74" s="175" t="b">
        <f t="shared" si="136"/>
        <v>1</v>
      </c>
      <c r="DX74" s="175" t="b">
        <f t="shared" si="136"/>
        <v>1</v>
      </c>
      <c r="DY74" s="175" t="b">
        <f t="shared" si="136"/>
        <v>1</v>
      </c>
      <c r="DZ74" s="175" t="b">
        <f t="shared" si="136"/>
        <v>1</v>
      </c>
      <c r="EA74" s="175" t="b">
        <f t="shared" si="136"/>
        <v>1</v>
      </c>
      <c r="EB74" s="168"/>
    </row>
    <row r="75" spans="1:132" s="140" customFormat="1" ht="18.5" hidden="1" thickBot="1" x14ac:dyDescent="0.45">
      <c r="A75" s="150"/>
      <c r="B75" s="296" t="str">
        <f t="shared" si="73"/>
        <v>-</v>
      </c>
      <c r="C75" s="279">
        <v>56</v>
      </c>
      <c r="D75" s="1557"/>
      <c r="E75" s="1558"/>
      <c r="F75" s="977"/>
      <c r="G75" s="1103"/>
      <c r="H75" s="978"/>
      <c r="I75" s="965"/>
      <c r="J75" s="1325"/>
      <c r="K75" s="1326"/>
      <c r="L75" s="1326"/>
      <c r="M75" s="1326"/>
      <c r="N75" s="1327"/>
      <c r="O75" s="974"/>
      <c r="P75" s="975"/>
      <c r="Q75" s="976"/>
      <c r="R75" s="966"/>
      <c r="S75" s="280" t="str">
        <f t="shared" si="99"/>
        <v/>
      </c>
      <c r="T75" s="281" t="str">
        <f t="shared" si="100"/>
        <v/>
      </c>
      <c r="U75" s="282">
        <f t="shared" si="101"/>
        <v>0</v>
      </c>
      <c r="V75" s="259" t="str">
        <f t="shared" si="102"/>
        <v/>
      </c>
      <c r="W75" s="260" t="str">
        <f t="shared" si="103"/>
        <v/>
      </c>
      <c r="X75" s="283">
        <f t="shared" si="137"/>
        <v>0</v>
      </c>
      <c r="Y75" s="284" t="str">
        <f t="shared" si="104"/>
        <v/>
      </c>
      <c r="Z75" s="150"/>
      <c r="AA75" s="175"/>
      <c r="AB75" s="175">
        <v>56</v>
      </c>
      <c r="AC75" s="297" t="str">
        <f t="shared" si="138"/>
        <v>-</v>
      </c>
      <c r="AD75" s="297">
        <f t="shared" si="77"/>
        <v>0</v>
      </c>
      <c r="AE75" s="297">
        <f t="shared" si="78"/>
        <v>0</v>
      </c>
      <c r="AF75" s="297"/>
      <c r="AG75" s="298">
        <f t="shared" si="79"/>
        <v>0</v>
      </c>
      <c r="AH75" s="1339">
        <f t="shared" si="7"/>
        <v>0</v>
      </c>
      <c r="AI75" s="1340">
        <f>IF(SUM(AH75:AH$99)=0,0,F75&gt;0)</f>
        <v>0</v>
      </c>
      <c r="AJ75" s="1339">
        <f t="shared" si="8"/>
        <v>0</v>
      </c>
      <c r="AK75" s="1340">
        <f>IF(SUM(AH75:AH$99)=0,0,AND(AI75=FALSE,AJ75=0,SUM(AJ75:AJ$99)&gt;0))</f>
        <v>0</v>
      </c>
      <c r="AL75" s="1340">
        <f t="shared" si="9"/>
        <v>0</v>
      </c>
      <c r="AM75" s="1340">
        <f t="shared" si="10"/>
        <v>0</v>
      </c>
      <c r="AN75" s="1341">
        <f t="shared" si="11"/>
        <v>0</v>
      </c>
      <c r="AO75" s="1341">
        <f t="shared" si="12"/>
        <v>0</v>
      </c>
      <c r="AP75" s="264">
        <f t="shared" si="105"/>
        <v>0</v>
      </c>
      <c r="AQ75" s="264">
        <f t="shared" si="80"/>
        <v>0</v>
      </c>
      <c r="AR75" s="1340">
        <f t="shared" si="14"/>
        <v>0</v>
      </c>
      <c r="AS75" s="1340" t="str">
        <f t="shared" si="81"/>
        <v/>
      </c>
      <c r="AT75" s="1340">
        <f t="shared" si="15"/>
        <v>0</v>
      </c>
      <c r="AU75" s="898">
        <f t="shared" si="82"/>
        <v>0</v>
      </c>
      <c r="AV75" s="1340">
        <f t="shared" si="16"/>
        <v>0</v>
      </c>
      <c r="AW75" s="1340">
        <f t="shared" si="17"/>
        <v>0</v>
      </c>
      <c r="AX75" s="1340">
        <f t="shared" si="18"/>
        <v>0</v>
      </c>
      <c r="AY75" s="897">
        <f t="shared" si="83"/>
        <v>0</v>
      </c>
      <c r="AZ75" s="1340">
        <f t="shared" si="19"/>
        <v>0</v>
      </c>
      <c r="BA75" s="896">
        <f t="shared" si="84"/>
        <v>0</v>
      </c>
      <c r="BB75" s="899" t="str">
        <f t="shared" si="85"/>
        <v/>
      </c>
      <c r="BC75" s="899" t="str">
        <f t="shared" si="86"/>
        <v/>
      </c>
      <c r="BD75" s="1340">
        <f t="shared" si="20"/>
        <v>0</v>
      </c>
      <c r="BE75" s="1340">
        <f t="shared" si="21"/>
        <v>0</v>
      </c>
      <c r="BF75" s="1340">
        <f t="shared" si="22"/>
        <v>0</v>
      </c>
      <c r="BG75" s="1342" t="b">
        <f t="shared" si="106"/>
        <v>0</v>
      </c>
      <c r="BH75" s="299" t="str">
        <f t="shared" si="24"/>
        <v/>
      </c>
      <c r="BI75" s="1343">
        <f t="shared" si="107"/>
        <v>0</v>
      </c>
      <c r="BJ75" s="1344">
        <f t="shared" si="108"/>
        <v>0</v>
      </c>
      <c r="BK75" s="1344">
        <f t="shared" si="87"/>
        <v>0</v>
      </c>
      <c r="BL75" s="1345">
        <f t="shared" si="27"/>
        <v>0</v>
      </c>
      <c r="BM75" s="1346">
        <f t="shared" si="28"/>
        <v>0</v>
      </c>
      <c r="BN75" s="300">
        <f t="shared" si="109"/>
        <v>0</v>
      </c>
      <c r="BO75" s="300">
        <f t="shared" si="110"/>
        <v>0</v>
      </c>
      <c r="BP75" s="1344">
        <f t="shared" si="88"/>
        <v>0</v>
      </c>
      <c r="BQ75" s="301">
        <f t="shared" si="31"/>
        <v>0</v>
      </c>
      <c r="BR75" s="314"/>
      <c r="BS75" s="1343">
        <f t="shared" si="98"/>
        <v>0</v>
      </c>
      <c r="BT75" s="1344">
        <f t="shared" si="98"/>
        <v>0</v>
      </c>
      <c r="BU75" s="1344">
        <f t="shared" si="98"/>
        <v>0</v>
      </c>
      <c r="BV75" s="303">
        <f t="shared" si="98"/>
        <v>0</v>
      </c>
      <c r="BW75" s="304">
        <f t="shared" si="111"/>
        <v>0</v>
      </c>
      <c r="BX75" s="300">
        <f t="shared" si="112"/>
        <v>0</v>
      </c>
      <c r="BY75" s="1344">
        <f t="shared" si="89"/>
        <v>0</v>
      </c>
      <c r="BZ75" s="300">
        <f t="shared" si="90"/>
        <v>0</v>
      </c>
      <c r="CA75" s="301">
        <f t="shared" si="36"/>
        <v>0</v>
      </c>
      <c r="CB75" s="305" t="e">
        <f t="shared" si="113"/>
        <v>#DIV/0!</v>
      </c>
      <c r="CC75" s="304" t="e">
        <f t="shared" si="38"/>
        <v>#DIV/0!</v>
      </c>
      <c r="CD75" s="300">
        <f t="shared" si="39"/>
        <v>0</v>
      </c>
      <c r="CE75" s="306">
        <f t="shared" si="91"/>
        <v>0</v>
      </c>
      <c r="CF75" s="306">
        <f t="shared" si="40"/>
        <v>0</v>
      </c>
      <c r="CG75" s="307" t="e">
        <f t="shared" si="41"/>
        <v>#DIV/0!</v>
      </c>
      <c r="CH75" s="307" t="e">
        <f t="shared" si="114"/>
        <v>#DIV/0!</v>
      </c>
      <c r="CI75" s="308" t="e">
        <f t="shared" si="139"/>
        <v>#DIV/0!</v>
      </c>
      <c r="CJ75" s="309" t="e">
        <f t="shared" si="115"/>
        <v>#DIV/0!</v>
      </c>
      <c r="CK75" s="175" t="e">
        <f t="shared" si="93"/>
        <v>#DIV/0!</v>
      </c>
      <c r="CL75" s="175" t="str">
        <f t="shared" si="116"/>
        <v/>
      </c>
      <c r="CM75" s="310" t="e">
        <f t="shared" si="94"/>
        <v>#DIV/0!</v>
      </c>
      <c r="CN75" s="311" t="e">
        <f t="shared" si="95"/>
        <v>#DIV/0!</v>
      </c>
      <c r="CO75" s="311">
        <f t="shared" si="96"/>
        <v>0</v>
      </c>
      <c r="CP75" s="175">
        <f t="shared" si="45"/>
        <v>1</v>
      </c>
      <c r="CQ75" s="175">
        <f t="shared" si="46"/>
        <v>1</v>
      </c>
      <c r="CR75" s="175" t="str">
        <f t="shared" si="117"/>
        <v/>
      </c>
      <c r="CS75" s="175">
        <f t="shared" si="48"/>
        <v>0</v>
      </c>
      <c r="CT75" s="312">
        <f t="shared" si="49"/>
        <v>0</v>
      </c>
      <c r="CU75" s="175" t="str">
        <f t="shared" si="50"/>
        <v>OK</v>
      </c>
      <c r="CV75" s="313">
        <f t="shared" si="51"/>
        <v>0.05</v>
      </c>
      <c r="CW75" s="312" t="e">
        <f t="shared" si="118"/>
        <v>#DIV/0!</v>
      </c>
      <c r="CX75" s="312" t="e">
        <f t="shared" si="119"/>
        <v>#DIV/0!</v>
      </c>
      <c r="CY75" s="312" t="e">
        <f t="shared" si="120"/>
        <v>#DIV/0!</v>
      </c>
      <c r="CZ75" s="312" t="e">
        <f t="shared" si="121"/>
        <v>#DIV/0!</v>
      </c>
      <c r="DA75" s="312">
        <f t="shared" si="122"/>
        <v>1</v>
      </c>
      <c r="DB75" s="312">
        <f t="shared" si="57"/>
        <v>0</v>
      </c>
      <c r="DC75" s="175" t="str">
        <f t="shared" si="123"/>
        <v>Soft</v>
      </c>
      <c r="DD75" s="175"/>
      <c r="DE75" s="175">
        <f t="shared" si="124"/>
        <v>0</v>
      </c>
      <c r="DF75" s="312" t="e">
        <f t="shared" si="125"/>
        <v>#DIV/0!</v>
      </c>
      <c r="DG75" s="312" t="e">
        <f t="shared" si="126"/>
        <v>#DIV/0!</v>
      </c>
      <c r="DH75" s="312" t="e">
        <f t="shared" si="127"/>
        <v>#DIV/0!</v>
      </c>
      <c r="DI75" s="312" t="e">
        <f t="shared" si="128"/>
        <v>#DIV/0!</v>
      </c>
      <c r="DJ75" s="312" t="e">
        <f t="shared" si="97"/>
        <v>#DIV/0!</v>
      </c>
      <c r="DK75" s="175"/>
      <c r="DL75" s="175"/>
      <c r="DM75" s="175"/>
      <c r="DN75" s="175">
        <f t="shared" si="129"/>
        <v>1</v>
      </c>
      <c r="DO75" s="312" t="e">
        <f t="shared" si="130"/>
        <v>#DIV/0!</v>
      </c>
      <c r="DP75" s="312" t="e">
        <f t="shared" si="131"/>
        <v>#DIV/0!</v>
      </c>
      <c r="DQ75" s="312" t="e">
        <f t="shared" si="132"/>
        <v>#DIV/0!</v>
      </c>
      <c r="DR75" s="312" t="e">
        <f t="shared" si="133"/>
        <v>#DIV/0!</v>
      </c>
      <c r="DS75" s="312" t="e">
        <f t="shared" si="134"/>
        <v>#DIV/0!</v>
      </c>
      <c r="DT75" s="312" t="e">
        <f t="shared" si="135"/>
        <v>#DIV/0!</v>
      </c>
      <c r="DU75" s="312">
        <f t="shared" si="71"/>
        <v>0</v>
      </c>
      <c r="DV75" s="175"/>
      <c r="DW75" s="175" t="b">
        <f t="shared" si="136"/>
        <v>1</v>
      </c>
      <c r="DX75" s="175" t="b">
        <f t="shared" si="136"/>
        <v>1</v>
      </c>
      <c r="DY75" s="175" t="b">
        <f t="shared" si="136"/>
        <v>1</v>
      </c>
      <c r="DZ75" s="175" t="b">
        <f t="shared" si="136"/>
        <v>1</v>
      </c>
      <c r="EA75" s="175" t="b">
        <f t="shared" si="136"/>
        <v>1</v>
      </c>
      <c r="EB75" s="168"/>
    </row>
    <row r="76" spans="1:132" s="140" customFormat="1" ht="18.5" hidden="1" thickBot="1" x14ac:dyDescent="0.45">
      <c r="A76" s="150"/>
      <c r="B76" s="296" t="str">
        <f t="shared" si="73"/>
        <v>-</v>
      </c>
      <c r="C76" s="279">
        <v>57</v>
      </c>
      <c r="D76" s="1557"/>
      <c r="E76" s="1558"/>
      <c r="F76" s="977"/>
      <c r="G76" s="1103"/>
      <c r="H76" s="978"/>
      <c r="I76" s="965"/>
      <c r="J76" s="1325"/>
      <c r="K76" s="1326"/>
      <c r="L76" s="1326"/>
      <c r="M76" s="1326"/>
      <c r="N76" s="1327"/>
      <c r="O76" s="974"/>
      <c r="P76" s="975"/>
      <c r="Q76" s="976"/>
      <c r="R76" s="966"/>
      <c r="S76" s="280" t="str">
        <f t="shared" si="99"/>
        <v/>
      </c>
      <c r="T76" s="281" t="str">
        <f t="shared" si="100"/>
        <v/>
      </c>
      <c r="U76" s="282">
        <f t="shared" si="101"/>
        <v>0</v>
      </c>
      <c r="V76" s="259" t="str">
        <f t="shared" si="102"/>
        <v/>
      </c>
      <c r="W76" s="260" t="str">
        <f t="shared" si="103"/>
        <v/>
      </c>
      <c r="X76" s="283">
        <f t="shared" si="137"/>
        <v>0</v>
      </c>
      <c r="Y76" s="284" t="str">
        <f t="shared" si="104"/>
        <v/>
      </c>
      <c r="Z76" s="150"/>
      <c r="AA76" s="175"/>
      <c r="AB76" s="175">
        <v>57</v>
      </c>
      <c r="AC76" s="297" t="str">
        <f t="shared" si="138"/>
        <v>-</v>
      </c>
      <c r="AD76" s="297">
        <f t="shared" si="77"/>
        <v>0</v>
      </c>
      <c r="AE76" s="297">
        <f t="shared" si="78"/>
        <v>0</v>
      </c>
      <c r="AF76" s="297"/>
      <c r="AG76" s="298">
        <f t="shared" si="79"/>
        <v>0</v>
      </c>
      <c r="AH76" s="1339">
        <f t="shared" si="7"/>
        <v>0</v>
      </c>
      <c r="AI76" s="1340">
        <f>IF(SUM(AH76:AH$99)=0,0,F76&gt;0)</f>
        <v>0</v>
      </c>
      <c r="AJ76" s="1339">
        <f t="shared" si="8"/>
        <v>0</v>
      </c>
      <c r="AK76" s="1340">
        <f>IF(SUM(AH76:AH$99)=0,0,AND(AI76=FALSE,AJ76=0,SUM(AJ76:AJ$99)&gt;0))</f>
        <v>0</v>
      </c>
      <c r="AL76" s="1340">
        <f t="shared" si="9"/>
        <v>0</v>
      </c>
      <c r="AM76" s="1340">
        <f t="shared" si="10"/>
        <v>0</v>
      </c>
      <c r="AN76" s="1341">
        <f t="shared" si="11"/>
        <v>0</v>
      </c>
      <c r="AO76" s="1341">
        <f t="shared" si="12"/>
        <v>0</v>
      </c>
      <c r="AP76" s="264">
        <f t="shared" si="105"/>
        <v>0</v>
      </c>
      <c r="AQ76" s="264">
        <f t="shared" si="80"/>
        <v>0</v>
      </c>
      <c r="AR76" s="1340">
        <f t="shared" si="14"/>
        <v>0</v>
      </c>
      <c r="AS76" s="1340" t="str">
        <f t="shared" si="81"/>
        <v/>
      </c>
      <c r="AT76" s="1340">
        <f t="shared" si="15"/>
        <v>0</v>
      </c>
      <c r="AU76" s="898">
        <f t="shared" si="82"/>
        <v>0</v>
      </c>
      <c r="AV76" s="1340">
        <f t="shared" si="16"/>
        <v>0</v>
      </c>
      <c r="AW76" s="1340">
        <f t="shared" si="17"/>
        <v>0</v>
      </c>
      <c r="AX76" s="1340">
        <f t="shared" si="18"/>
        <v>0</v>
      </c>
      <c r="AY76" s="897">
        <f t="shared" si="83"/>
        <v>0</v>
      </c>
      <c r="AZ76" s="1340">
        <f t="shared" si="19"/>
        <v>0</v>
      </c>
      <c r="BA76" s="896">
        <f t="shared" si="84"/>
        <v>0</v>
      </c>
      <c r="BB76" s="899" t="str">
        <f t="shared" si="85"/>
        <v/>
      </c>
      <c r="BC76" s="899" t="str">
        <f t="shared" si="86"/>
        <v/>
      </c>
      <c r="BD76" s="1340">
        <f t="shared" si="20"/>
        <v>0</v>
      </c>
      <c r="BE76" s="1340">
        <f t="shared" si="21"/>
        <v>0</v>
      </c>
      <c r="BF76" s="1340">
        <f t="shared" si="22"/>
        <v>0</v>
      </c>
      <c r="BG76" s="1342" t="b">
        <f t="shared" si="106"/>
        <v>0</v>
      </c>
      <c r="BH76" s="299" t="str">
        <f t="shared" si="24"/>
        <v/>
      </c>
      <c r="BI76" s="1343">
        <f t="shared" si="107"/>
        <v>0</v>
      </c>
      <c r="BJ76" s="1344">
        <f t="shared" si="108"/>
        <v>0</v>
      </c>
      <c r="BK76" s="1344">
        <f t="shared" si="87"/>
        <v>0</v>
      </c>
      <c r="BL76" s="1345">
        <f t="shared" si="27"/>
        <v>0</v>
      </c>
      <c r="BM76" s="1346">
        <f t="shared" si="28"/>
        <v>0</v>
      </c>
      <c r="BN76" s="300">
        <f t="shared" si="109"/>
        <v>0</v>
      </c>
      <c r="BO76" s="300">
        <f t="shared" si="110"/>
        <v>0</v>
      </c>
      <c r="BP76" s="1344">
        <f t="shared" si="88"/>
        <v>0</v>
      </c>
      <c r="BQ76" s="301">
        <f t="shared" si="31"/>
        <v>0</v>
      </c>
      <c r="BR76" s="314"/>
      <c r="BS76" s="1343">
        <f t="shared" si="98"/>
        <v>0</v>
      </c>
      <c r="BT76" s="1344">
        <f t="shared" si="98"/>
        <v>0</v>
      </c>
      <c r="BU76" s="1344">
        <f t="shared" si="98"/>
        <v>0</v>
      </c>
      <c r="BV76" s="303">
        <f t="shared" si="98"/>
        <v>0</v>
      </c>
      <c r="BW76" s="304">
        <f t="shared" si="111"/>
        <v>0</v>
      </c>
      <c r="BX76" s="300">
        <f t="shared" si="112"/>
        <v>0</v>
      </c>
      <c r="BY76" s="1344">
        <f t="shared" si="89"/>
        <v>0</v>
      </c>
      <c r="BZ76" s="300">
        <f t="shared" si="90"/>
        <v>0</v>
      </c>
      <c r="CA76" s="301">
        <f t="shared" si="36"/>
        <v>0</v>
      </c>
      <c r="CB76" s="305" t="e">
        <f t="shared" si="113"/>
        <v>#DIV/0!</v>
      </c>
      <c r="CC76" s="304" t="e">
        <f t="shared" si="38"/>
        <v>#DIV/0!</v>
      </c>
      <c r="CD76" s="300">
        <f t="shared" si="39"/>
        <v>0</v>
      </c>
      <c r="CE76" s="306">
        <f t="shared" si="91"/>
        <v>0</v>
      </c>
      <c r="CF76" s="306">
        <f t="shared" si="40"/>
        <v>0</v>
      </c>
      <c r="CG76" s="307" t="e">
        <f t="shared" si="41"/>
        <v>#DIV/0!</v>
      </c>
      <c r="CH76" s="307" t="e">
        <f t="shared" si="114"/>
        <v>#DIV/0!</v>
      </c>
      <c r="CI76" s="308" t="e">
        <f t="shared" si="139"/>
        <v>#DIV/0!</v>
      </c>
      <c r="CJ76" s="309" t="e">
        <f t="shared" si="115"/>
        <v>#DIV/0!</v>
      </c>
      <c r="CK76" s="175" t="e">
        <f t="shared" si="93"/>
        <v>#DIV/0!</v>
      </c>
      <c r="CL76" s="175" t="str">
        <f t="shared" si="116"/>
        <v/>
      </c>
      <c r="CM76" s="310" t="e">
        <f t="shared" si="94"/>
        <v>#DIV/0!</v>
      </c>
      <c r="CN76" s="311" t="e">
        <f t="shared" si="95"/>
        <v>#DIV/0!</v>
      </c>
      <c r="CO76" s="311">
        <f t="shared" si="96"/>
        <v>0</v>
      </c>
      <c r="CP76" s="175">
        <f t="shared" si="45"/>
        <v>1</v>
      </c>
      <c r="CQ76" s="175">
        <f t="shared" si="46"/>
        <v>1</v>
      </c>
      <c r="CR76" s="175" t="str">
        <f t="shared" si="117"/>
        <v/>
      </c>
      <c r="CS76" s="175">
        <f t="shared" si="48"/>
        <v>0</v>
      </c>
      <c r="CT76" s="312">
        <f t="shared" si="49"/>
        <v>0</v>
      </c>
      <c r="CU76" s="175" t="str">
        <f t="shared" si="50"/>
        <v>OK</v>
      </c>
      <c r="CV76" s="313">
        <f t="shared" si="51"/>
        <v>0.05</v>
      </c>
      <c r="CW76" s="312" t="e">
        <f t="shared" si="118"/>
        <v>#DIV/0!</v>
      </c>
      <c r="CX76" s="312" t="e">
        <f t="shared" si="119"/>
        <v>#DIV/0!</v>
      </c>
      <c r="CY76" s="312" t="e">
        <f t="shared" si="120"/>
        <v>#DIV/0!</v>
      </c>
      <c r="CZ76" s="312" t="e">
        <f t="shared" si="121"/>
        <v>#DIV/0!</v>
      </c>
      <c r="DA76" s="312">
        <f t="shared" si="122"/>
        <v>1</v>
      </c>
      <c r="DB76" s="312">
        <f t="shared" si="57"/>
        <v>0</v>
      </c>
      <c r="DC76" s="175" t="str">
        <f t="shared" si="123"/>
        <v>Soft</v>
      </c>
      <c r="DD76" s="175"/>
      <c r="DE76" s="175">
        <f t="shared" si="124"/>
        <v>0</v>
      </c>
      <c r="DF76" s="312" t="e">
        <f t="shared" si="125"/>
        <v>#DIV/0!</v>
      </c>
      <c r="DG76" s="312" t="e">
        <f t="shared" si="126"/>
        <v>#DIV/0!</v>
      </c>
      <c r="DH76" s="312" t="e">
        <f t="shared" si="127"/>
        <v>#DIV/0!</v>
      </c>
      <c r="DI76" s="312" t="e">
        <f t="shared" si="128"/>
        <v>#DIV/0!</v>
      </c>
      <c r="DJ76" s="312" t="e">
        <f t="shared" si="97"/>
        <v>#DIV/0!</v>
      </c>
      <c r="DK76" s="175"/>
      <c r="DL76" s="175"/>
      <c r="DM76" s="175"/>
      <c r="DN76" s="175">
        <f t="shared" si="129"/>
        <v>1</v>
      </c>
      <c r="DO76" s="312" t="e">
        <f t="shared" si="130"/>
        <v>#DIV/0!</v>
      </c>
      <c r="DP76" s="312" t="e">
        <f t="shared" si="131"/>
        <v>#DIV/0!</v>
      </c>
      <c r="DQ76" s="312" t="e">
        <f t="shared" si="132"/>
        <v>#DIV/0!</v>
      </c>
      <c r="DR76" s="312" t="e">
        <f t="shared" si="133"/>
        <v>#DIV/0!</v>
      </c>
      <c r="DS76" s="312" t="e">
        <f t="shared" si="134"/>
        <v>#DIV/0!</v>
      </c>
      <c r="DT76" s="312" t="e">
        <f t="shared" si="135"/>
        <v>#DIV/0!</v>
      </c>
      <c r="DU76" s="312">
        <f t="shared" si="71"/>
        <v>0</v>
      </c>
      <c r="DV76" s="175"/>
      <c r="DW76" s="175" t="b">
        <f t="shared" si="136"/>
        <v>1</v>
      </c>
      <c r="DX76" s="175" t="b">
        <f t="shared" si="136"/>
        <v>1</v>
      </c>
      <c r="DY76" s="175" t="b">
        <f t="shared" si="136"/>
        <v>1</v>
      </c>
      <c r="DZ76" s="175" t="b">
        <f t="shared" si="136"/>
        <v>1</v>
      </c>
      <c r="EA76" s="175" t="b">
        <f t="shared" si="136"/>
        <v>1</v>
      </c>
      <c r="EB76" s="168"/>
    </row>
    <row r="77" spans="1:132" s="140" customFormat="1" ht="18.5" hidden="1" thickBot="1" x14ac:dyDescent="0.45">
      <c r="A77" s="150"/>
      <c r="B77" s="296" t="str">
        <f t="shared" si="73"/>
        <v>-</v>
      </c>
      <c r="C77" s="279">
        <v>58</v>
      </c>
      <c r="D77" s="1557"/>
      <c r="E77" s="1558"/>
      <c r="F77" s="977"/>
      <c r="G77" s="1103"/>
      <c r="H77" s="978"/>
      <c r="I77" s="965"/>
      <c r="J77" s="1325"/>
      <c r="K77" s="1326"/>
      <c r="L77" s="1326"/>
      <c r="M77" s="1326"/>
      <c r="N77" s="1327"/>
      <c r="O77" s="974"/>
      <c r="P77" s="975"/>
      <c r="Q77" s="976"/>
      <c r="R77" s="966"/>
      <c r="S77" s="280" t="str">
        <f t="shared" si="99"/>
        <v/>
      </c>
      <c r="T77" s="281" t="str">
        <f t="shared" si="100"/>
        <v/>
      </c>
      <c r="U77" s="282">
        <f t="shared" si="101"/>
        <v>0</v>
      </c>
      <c r="V77" s="259" t="str">
        <f t="shared" si="102"/>
        <v/>
      </c>
      <c r="W77" s="260" t="str">
        <f t="shared" si="103"/>
        <v/>
      </c>
      <c r="X77" s="283">
        <f t="shared" si="137"/>
        <v>0</v>
      </c>
      <c r="Y77" s="284" t="str">
        <f t="shared" si="104"/>
        <v/>
      </c>
      <c r="Z77" s="150"/>
      <c r="AA77" s="175"/>
      <c r="AB77" s="175">
        <v>58</v>
      </c>
      <c r="AC77" s="297" t="str">
        <f t="shared" si="138"/>
        <v>-</v>
      </c>
      <c r="AD77" s="297">
        <f t="shared" si="77"/>
        <v>0</v>
      </c>
      <c r="AE77" s="297">
        <f t="shared" si="78"/>
        <v>0</v>
      </c>
      <c r="AF77" s="297"/>
      <c r="AG77" s="298">
        <f t="shared" si="79"/>
        <v>0</v>
      </c>
      <c r="AH77" s="1339">
        <f t="shared" si="7"/>
        <v>0</v>
      </c>
      <c r="AI77" s="1340">
        <f>IF(SUM(AH77:AH$99)=0,0,F77&gt;0)</f>
        <v>0</v>
      </c>
      <c r="AJ77" s="1339">
        <f t="shared" si="8"/>
        <v>0</v>
      </c>
      <c r="AK77" s="1340">
        <f>IF(SUM(AH77:AH$99)=0,0,AND(AI77=FALSE,AJ77=0,SUM(AJ77:AJ$99)&gt;0))</f>
        <v>0</v>
      </c>
      <c r="AL77" s="1340">
        <f t="shared" si="9"/>
        <v>0</v>
      </c>
      <c r="AM77" s="1340">
        <f t="shared" si="10"/>
        <v>0</v>
      </c>
      <c r="AN77" s="1341">
        <f t="shared" si="11"/>
        <v>0</v>
      </c>
      <c r="AO77" s="1341">
        <f t="shared" si="12"/>
        <v>0</v>
      </c>
      <c r="AP77" s="264">
        <f t="shared" si="105"/>
        <v>0</v>
      </c>
      <c r="AQ77" s="264">
        <f t="shared" si="80"/>
        <v>0</v>
      </c>
      <c r="AR77" s="1340">
        <f t="shared" si="14"/>
        <v>0</v>
      </c>
      <c r="AS77" s="1340" t="str">
        <f t="shared" si="81"/>
        <v/>
      </c>
      <c r="AT77" s="1340">
        <f t="shared" si="15"/>
        <v>0</v>
      </c>
      <c r="AU77" s="898">
        <f t="shared" si="82"/>
        <v>0</v>
      </c>
      <c r="AV77" s="1340">
        <f t="shared" si="16"/>
        <v>0</v>
      </c>
      <c r="AW77" s="1340">
        <f t="shared" si="17"/>
        <v>0</v>
      </c>
      <c r="AX77" s="1340">
        <f t="shared" si="18"/>
        <v>0</v>
      </c>
      <c r="AY77" s="897">
        <f t="shared" si="83"/>
        <v>0</v>
      </c>
      <c r="AZ77" s="1340">
        <f t="shared" si="19"/>
        <v>0</v>
      </c>
      <c r="BA77" s="896">
        <f t="shared" si="84"/>
        <v>0</v>
      </c>
      <c r="BB77" s="899" t="str">
        <f t="shared" si="85"/>
        <v/>
      </c>
      <c r="BC77" s="899" t="str">
        <f t="shared" si="86"/>
        <v/>
      </c>
      <c r="BD77" s="1340">
        <f t="shared" si="20"/>
        <v>0</v>
      </c>
      <c r="BE77" s="1340">
        <f t="shared" si="21"/>
        <v>0</v>
      </c>
      <c r="BF77" s="1340">
        <f t="shared" si="22"/>
        <v>0</v>
      </c>
      <c r="BG77" s="1342" t="b">
        <f t="shared" si="106"/>
        <v>0</v>
      </c>
      <c r="BH77" s="299" t="str">
        <f t="shared" si="24"/>
        <v/>
      </c>
      <c r="BI77" s="1343">
        <f t="shared" si="107"/>
        <v>0</v>
      </c>
      <c r="BJ77" s="1344">
        <f t="shared" si="108"/>
        <v>0</v>
      </c>
      <c r="BK77" s="1344">
        <f t="shared" si="87"/>
        <v>0</v>
      </c>
      <c r="BL77" s="1345">
        <f t="shared" si="27"/>
        <v>0</v>
      </c>
      <c r="BM77" s="1346">
        <f t="shared" si="28"/>
        <v>0</v>
      </c>
      <c r="BN77" s="300">
        <f t="shared" si="109"/>
        <v>0</v>
      </c>
      <c r="BO77" s="300">
        <f t="shared" si="110"/>
        <v>0</v>
      </c>
      <c r="BP77" s="1344">
        <f t="shared" si="88"/>
        <v>0</v>
      </c>
      <c r="BQ77" s="301">
        <f t="shared" si="31"/>
        <v>0</v>
      </c>
      <c r="BR77" s="314"/>
      <c r="BS77" s="1343">
        <f t="shared" si="98"/>
        <v>0</v>
      </c>
      <c r="BT77" s="1344">
        <f t="shared" si="98"/>
        <v>0</v>
      </c>
      <c r="BU77" s="1344">
        <f t="shared" si="98"/>
        <v>0</v>
      </c>
      <c r="BV77" s="303">
        <f t="shared" si="98"/>
        <v>0</v>
      </c>
      <c r="BW77" s="304">
        <f t="shared" si="111"/>
        <v>0</v>
      </c>
      <c r="BX77" s="300">
        <f t="shared" si="112"/>
        <v>0</v>
      </c>
      <c r="BY77" s="1344">
        <f t="shared" si="89"/>
        <v>0</v>
      </c>
      <c r="BZ77" s="300">
        <f t="shared" si="90"/>
        <v>0</v>
      </c>
      <c r="CA77" s="301">
        <f t="shared" si="36"/>
        <v>0</v>
      </c>
      <c r="CB77" s="305" t="e">
        <f t="shared" si="113"/>
        <v>#DIV/0!</v>
      </c>
      <c r="CC77" s="304" t="e">
        <f t="shared" si="38"/>
        <v>#DIV/0!</v>
      </c>
      <c r="CD77" s="300">
        <f t="shared" si="39"/>
        <v>0</v>
      </c>
      <c r="CE77" s="306">
        <f t="shared" si="91"/>
        <v>0</v>
      </c>
      <c r="CF77" s="306">
        <f t="shared" si="40"/>
        <v>0</v>
      </c>
      <c r="CG77" s="307" t="e">
        <f t="shared" si="41"/>
        <v>#DIV/0!</v>
      </c>
      <c r="CH77" s="307" t="e">
        <f t="shared" si="114"/>
        <v>#DIV/0!</v>
      </c>
      <c r="CI77" s="308" t="e">
        <f t="shared" si="139"/>
        <v>#DIV/0!</v>
      </c>
      <c r="CJ77" s="309" t="e">
        <f t="shared" si="115"/>
        <v>#DIV/0!</v>
      </c>
      <c r="CK77" s="175" t="e">
        <f t="shared" si="93"/>
        <v>#DIV/0!</v>
      </c>
      <c r="CL77" s="175" t="str">
        <f t="shared" si="116"/>
        <v/>
      </c>
      <c r="CM77" s="310" t="e">
        <f t="shared" si="94"/>
        <v>#DIV/0!</v>
      </c>
      <c r="CN77" s="311" t="e">
        <f t="shared" si="95"/>
        <v>#DIV/0!</v>
      </c>
      <c r="CO77" s="311">
        <f t="shared" si="96"/>
        <v>0</v>
      </c>
      <c r="CP77" s="175">
        <f t="shared" si="45"/>
        <v>1</v>
      </c>
      <c r="CQ77" s="175">
        <f t="shared" si="46"/>
        <v>1</v>
      </c>
      <c r="CR77" s="175" t="str">
        <f t="shared" si="117"/>
        <v/>
      </c>
      <c r="CS77" s="175">
        <f t="shared" si="48"/>
        <v>0</v>
      </c>
      <c r="CT77" s="312">
        <f t="shared" si="49"/>
        <v>0</v>
      </c>
      <c r="CU77" s="175" t="str">
        <f t="shared" si="50"/>
        <v>OK</v>
      </c>
      <c r="CV77" s="313">
        <f t="shared" si="51"/>
        <v>0.05</v>
      </c>
      <c r="CW77" s="312" t="e">
        <f t="shared" si="118"/>
        <v>#DIV/0!</v>
      </c>
      <c r="CX77" s="312" t="e">
        <f t="shared" si="119"/>
        <v>#DIV/0!</v>
      </c>
      <c r="CY77" s="312" t="e">
        <f t="shared" si="120"/>
        <v>#DIV/0!</v>
      </c>
      <c r="CZ77" s="312" t="e">
        <f t="shared" si="121"/>
        <v>#DIV/0!</v>
      </c>
      <c r="DA77" s="312">
        <f t="shared" si="122"/>
        <v>1</v>
      </c>
      <c r="DB77" s="312">
        <f t="shared" si="57"/>
        <v>0</v>
      </c>
      <c r="DC77" s="175" t="str">
        <f t="shared" si="123"/>
        <v>Soft</v>
      </c>
      <c r="DD77" s="175"/>
      <c r="DE77" s="175">
        <f t="shared" si="124"/>
        <v>0</v>
      </c>
      <c r="DF77" s="312" t="e">
        <f t="shared" si="125"/>
        <v>#DIV/0!</v>
      </c>
      <c r="DG77" s="312" t="e">
        <f t="shared" si="126"/>
        <v>#DIV/0!</v>
      </c>
      <c r="DH77" s="312" t="e">
        <f t="shared" si="127"/>
        <v>#DIV/0!</v>
      </c>
      <c r="DI77" s="312" t="e">
        <f t="shared" si="128"/>
        <v>#DIV/0!</v>
      </c>
      <c r="DJ77" s="312" t="e">
        <f t="shared" si="97"/>
        <v>#DIV/0!</v>
      </c>
      <c r="DK77" s="175"/>
      <c r="DL77" s="175"/>
      <c r="DM77" s="175"/>
      <c r="DN77" s="175">
        <f t="shared" si="129"/>
        <v>1</v>
      </c>
      <c r="DO77" s="312" t="e">
        <f t="shared" si="130"/>
        <v>#DIV/0!</v>
      </c>
      <c r="DP77" s="312" t="e">
        <f t="shared" si="131"/>
        <v>#DIV/0!</v>
      </c>
      <c r="DQ77" s="312" t="e">
        <f t="shared" si="132"/>
        <v>#DIV/0!</v>
      </c>
      <c r="DR77" s="312" t="e">
        <f t="shared" si="133"/>
        <v>#DIV/0!</v>
      </c>
      <c r="DS77" s="312" t="e">
        <f t="shared" si="134"/>
        <v>#DIV/0!</v>
      </c>
      <c r="DT77" s="312" t="e">
        <f t="shared" si="135"/>
        <v>#DIV/0!</v>
      </c>
      <c r="DU77" s="312">
        <f t="shared" si="71"/>
        <v>0</v>
      </c>
      <c r="DV77" s="175"/>
      <c r="DW77" s="175" t="b">
        <f t="shared" si="136"/>
        <v>1</v>
      </c>
      <c r="DX77" s="175" t="b">
        <f t="shared" si="136"/>
        <v>1</v>
      </c>
      <c r="DY77" s="175" t="b">
        <f t="shared" si="136"/>
        <v>1</v>
      </c>
      <c r="DZ77" s="175" t="b">
        <f t="shared" si="136"/>
        <v>1</v>
      </c>
      <c r="EA77" s="175" t="b">
        <f t="shared" si="136"/>
        <v>1</v>
      </c>
      <c r="EB77" s="168"/>
    </row>
    <row r="78" spans="1:132" s="140" customFormat="1" ht="18.5" hidden="1" thickBot="1" x14ac:dyDescent="0.45">
      <c r="A78" s="150"/>
      <c r="B78" s="296" t="str">
        <f t="shared" si="73"/>
        <v>-</v>
      </c>
      <c r="C78" s="279">
        <v>59</v>
      </c>
      <c r="D78" s="1557"/>
      <c r="E78" s="1558"/>
      <c r="F78" s="977"/>
      <c r="G78" s="1103"/>
      <c r="H78" s="978"/>
      <c r="I78" s="965"/>
      <c r="J78" s="1325"/>
      <c r="K78" s="1326"/>
      <c r="L78" s="1326"/>
      <c r="M78" s="1326"/>
      <c r="N78" s="1327"/>
      <c r="O78" s="974"/>
      <c r="P78" s="975"/>
      <c r="Q78" s="976"/>
      <c r="R78" s="966"/>
      <c r="S78" s="280" t="str">
        <f t="shared" si="99"/>
        <v/>
      </c>
      <c r="T78" s="281" t="str">
        <f t="shared" si="100"/>
        <v/>
      </c>
      <c r="U78" s="282">
        <f t="shared" si="101"/>
        <v>0</v>
      </c>
      <c r="V78" s="259" t="str">
        <f t="shared" si="102"/>
        <v/>
      </c>
      <c r="W78" s="260" t="str">
        <f t="shared" si="103"/>
        <v/>
      </c>
      <c r="X78" s="283">
        <f t="shared" si="137"/>
        <v>0</v>
      </c>
      <c r="Y78" s="284" t="str">
        <f t="shared" si="104"/>
        <v/>
      </c>
      <c r="Z78" s="150"/>
      <c r="AA78" s="175"/>
      <c r="AB78" s="175">
        <v>59</v>
      </c>
      <c r="AC78" s="297" t="str">
        <f t="shared" si="138"/>
        <v>-</v>
      </c>
      <c r="AD78" s="297">
        <f t="shared" si="77"/>
        <v>0</v>
      </c>
      <c r="AE78" s="297">
        <f t="shared" si="78"/>
        <v>0</v>
      </c>
      <c r="AF78" s="297"/>
      <c r="AG78" s="298">
        <f t="shared" si="79"/>
        <v>0</v>
      </c>
      <c r="AH78" s="1339">
        <f t="shared" si="7"/>
        <v>0</v>
      </c>
      <c r="AI78" s="1340">
        <f>IF(SUM(AH78:AH$99)=0,0,F78&gt;0)</f>
        <v>0</v>
      </c>
      <c r="AJ78" s="1339">
        <f t="shared" si="8"/>
        <v>0</v>
      </c>
      <c r="AK78" s="1340">
        <f>IF(SUM(AH78:AH$99)=0,0,AND(AI78=FALSE,AJ78=0,SUM(AJ78:AJ$99)&gt;0))</f>
        <v>0</v>
      </c>
      <c r="AL78" s="1340">
        <f t="shared" si="9"/>
        <v>0</v>
      </c>
      <c r="AM78" s="1340">
        <f t="shared" si="10"/>
        <v>0</v>
      </c>
      <c r="AN78" s="1341">
        <f t="shared" si="11"/>
        <v>0</v>
      </c>
      <c r="AO78" s="1341">
        <f t="shared" si="12"/>
        <v>0</v>
      </c>
      <c r="AP78" s="264">
        <f t="shared" si="105"/>
        <v>0</v>
      </c>
      <c r="AQ78" s="264">
        <f t="shared" si="80"/>
        <v>0</v>
      </c>
      <c r="AR78" s="1340">
        <f t="shared" si="14"/>
        <v>0</v>
      </c>
      <c r="AS78" s="1340" t="str">
        <f t="shared" si="81"/>
        <v/>
      </c>
      <c r="AT78" s="1340">
        <f t="shared" si="15"/>
        <v>0</v>
      </c>
      <c r="AU78" s="898">
        <f t="shared" si="82"/>
        <v>0</v>
      </c>
      <c r="AV78" s="1340">
        <f t="shared" si="16"/>
        <v>0</v>
      </c>
      <c r="AW78" s="1340">
        <f t="shared" si="17"/>
        <v>0</v>
      </c>
      <c r="AX78" s="1340">
        <f t="shared" si="18"/>
        <v>0</v>
      </c>
      <c r="AY78" s="897">
        <f t="shared" si="83"/>
        <v>0</v>
      </c>
      <c r="AZ78" s="1340">
        <f t="shared" si="19"/>
        <v>0</v>
      </c>
      <c r="BA78" s="896">
        <f t="shared" si="84"/>
        <v>0</v>
      </c>
      <c r="BB78" s="899" t="str">
        <f t="shared" si="85"/>
        <v/>
      </c>
      <c r="BC78" s="899" t="str">
        <f t="shared" si="86"/>
        <v/>
      </c>
      <c r="BD78" s="1340">
        <f t="shared" si="20"/>
        <v>0</v>
      </c>
      <c r="BE78" s="1340">
        <f t="shared" si="21"/>
        <v>0</v>
      </c>
      <c r="BF78" s="1340">
        <f t="shared" si="22"/>
        <v>0</v>
      </c>
      <c r="BG78" s="1342" t="b">
        <f t="shared" si="106"/>
        <v>0</v>
      </c>
      <c r="BH78" s="299" t="str">
        <f t="shared" si="24"/>
        <v/>
      </c>
      <c r="BI78" s="1343">
        <f t="shared" si="107"/>
        <v>0</v>
      </c>
      <c r="BJ78" s="1344">
        <f t="shared" si="108"/>
        <v>0</v>
      </c>
      <c r="BK78" s="1344">
        <f t="shared" si="87"/>
        <v>0</v>
      </c>
      <c r="BL78" s="1345">
        <f t="shared" si="27"/>
        <v>0</v>
      </c>
      <c r="BM78" s="1346">
        <f t="shared" si="28"/>
        <v>0</v>
      </c>
      <c r="BN78" s="300">
        <f t="shared" si="109"/>
        <v>0</v>
      </c>
      <c r="BO78" s="300">
        <f t="shared" si="110"/>
        <v>0</v>
      </c>
      <c r="BP78" s="1344">
        <f t="shared" si="88"/>
        <v>0</v>
      </c>
      <c r="BQ78" s="301">
        <f t="shared" si="31"/>
        <v>0</v>
      </c>
      <c r="BR78" s="314"/>
      <c r="BS78" s="1343">
        <f t="shared" si="98"/>
        <v>0</v>
      </c>
      <c r="BT78" s="1344">
        <f t="shared" si="98"/>
        <v>0</v>
      </c>
      <c r="BU78" s="1344">
        <f t="shared" si="98"/>
        <v>0</v>
      </c>
      <c r="BV78" s="303">
        <f t="shared" si="98"/>
        <v>0</v>
      </c>
      <c r="BW78" s="304">
        <f t="shared" si="111"/>
        <v>0</v>
      </c>
      <c r="BX78" s="300">
        <f t="shared" si="112"/>
        <v>0</v>
      </c>
      <c r="BY78" s="1344">
        <f t="shared" si="89"/>
        <v>0</v>
      </c>
      <c r="BZ78" s="300">
        <f t="shared" si="90"/>
        <v>0</v>
      </c>
      <c r="CA78" s="301">
        <f t="shared" si="36"/>
        <v>0</v>
      </c>
      <c r="CB78" s="305" t="e">
        <f t="shared" si="113"/>
        <v>#DIV/0!</v>
      </c>
      <c r="CC78" s="304" t="e">
        <f t="shared" si="38"/>
        <v>#DIV/0!</v>
      </c>
      <c r="CD78" s="300">
        <f t="shared" si="39"/>
        <v>0</v>
      </c>
      <c r="CE78" s="306">
        <f t="shared" si="91"/>
        <v>0</v>
      </c>
      <c r="CF78" s="306">
        <f t="shared" si="40"/>
        <v>0</v>
      </c>
      <c r="CG78" s="307" t="e">
        <f t="shared" si="41"/>
        <v>#DIV/0!</v>
      </c>
      <c r="CH78" s="307" t="e">
        <f t="shared" si="114"/>
        <v>#DIV/0!</v>
      </c>
      <c r="CI78" s="308" t="e">
        <f t="shared" si="139"/>
        <v>#DIV/0!</v>
      </c>
      <c r="CJ78" s="309" t="e">
        <f t="shared" si="115"/>
        <v>#DIV/0!</v>
      </c>
      <c r="CK78" s="175" t="e">
        <f t="shared" si="93"/>
        <v>#DIV/0!</v>
      </c>
      <c r="CL78" s="175" t="str">
        <f t="shared" si="116"/>
        <v/>
      </c>
      <c r="CM78" s="310" t="e">
        <f t="shared" si="94"/>
        <v>#DIV/0!</v>
      </c>
      <c r="CN78" s="311" t="e">
        <f t="shared" si="95"/>
        <v>#DIV/0!</v>
      </c>
      <c r="CO78" s="311">
        <f t="shared" si="96"/>
        <v>0</v>
      </c>
      <c r="CP78" s="175">
        <f t="shared" si="45"/>
        <v>1</v>
      </c>
      <c r="CQ78" s="175">
        <f t="shared" si="46"/>
        <v>1</v>
      </c>
      <c r="CR78" s="175" t="str">
        <f t="shared" si="117"/>
        <v/>
      </c>
      <c r="CS78" s="175">
        <f t="shared" si="48"/>
        <v>0</v>
      </c>
      <c r="CT78" s="312">
        <f t="shared" si="49"/>
        <v>0</v>
      </c>
      <c r="CU78" s="175" t="str">
        <f t="shared" si="50"/>
        <v>OK</v>
      </c>
      <c r="CV78" s="313">
        <f t="shared" si="51"/>
        <v>0.05</v>
      </c>
      <c r="CW78" s="312" t="e">
        <f t="shared" si="118"/>
        <v>#DIV/0!</v>
      </c>
      <c r="CX78" s="312" t="e">
        <f t="shared" si="119"/>
        <v>#DIV/0!</v>
      </c>
      <c r="CY78" s="312" t="e">
        <f t="shared" si="120"/>
        <v>#DIV/0!</v>
      </c>
      <c r="CZ78" s="312" t="e">
        <f t="shared" si="121"/>
        <v>#DIV/0!</v>
      </c>
      <c r="DA78" s="312">
        <f t="shared" si="122"/>
        <v>1</v>
      </c>
      <c r="DB78" s="312">
        <f t="shared" si="57"/>
        <v>0</v>
      </c>
      <c r="DC78" s="175" t="str">
        <f t="shared" si="123"/>
        <v>Soft</v>
      </c>
      <c r="DD78" s="175"/>
      <c r="DE78" s="175">
        <f t="shared" si="124"/>
        <v>0</v>
      </c>
      <c r="DF78" s="312" t="e">
        <f t="shared" si="125"/>
        <v>#DIV/0!</v>
      </c>
      <c r="DG78" s="312" t="e">
        <f t="shared" si="126"/>
        <v>#DIV/0!</v>
      </c>
      <c r="DH78" s="312" t="e">
        <f t="shared" si="127"/>
        <v>#DIV/0!</v>
      </c>
      <c r="DI78" s="312" t="e">
        <f t="shared" si="128"/>
        <v>#DIV/0!</v>
      </c>
      <c r="DJ78" s="312" t="e">
        <f t="shared" si="97"/>
        <v>#DIV/0!</v>
      </c>
      <c r="DK78" s="175"/>
      <c r="DL78" s="175"/>
      <c r="DM78" s="175"/>
      <c r="DN78" s="175">
        <f t="shared" si="129"/>
        <v>1</v>
      </c>
      <c r="DO78" s="312" t="e">
        <f t="shared" si="130"/>
        <v>#DIV/0!</v>
      </c>
      <c r="DP78" s="312" t="e">
        <f t="shared" si="131"/>
        <v>#DIV/0!</v>
      </c>
      <c r="DQ78" s="312" t="e">
        <f t="shared" si="132"/>
        <v>#DIV/0!</v>
      </c>
      <c r="DR78" s="312" t="e">
        <f t="shared" si="133"/>
        <v>#DIV/0!</v>
      </c>
      <c r="DS78" s="312" t="e">
        <f t="shared" si="134"/>
        <v>#DIV/0!</v>
      </c>
      <c r="DT78" s="312" t="e">
        <f t="shared" si="135"/>
        <v>#DIV/0!</v>
      </c>
      <c r="DU78" s="312">
        <f t="shared" si="71"/>
        <v>0</v>
      </c>
      <c r="DV78" s="175"/>
      <c r="DW78" s="175" t="b">
        <f t="shared" si="136"/>
        <v>1</v>
      </c>
      <c r="DX78" s="175" t="b">
        <f t="shared" si="136"/>
        <v>1</v>
      </c>
      <c r="DY78" s="175" t="b">
        <f t="shared" si="136"/>
        <v>1</v>
      </c>
      <c r="DZ78" s="175" t="b">
        <f t="shared" si="136"/>
        <v>1</v>
      </c>
      <c r="EA78" s="175" t="b">
        <f t="shared" si="136"/>
        <v>1</v>
      </c>
      <c r="EB78" s="168"/>
    </row>
    <row r="79" spans="1:132" s="140" customFormat="1" ht="18.5" hidden="1" thickBot="1" x14ac:dyDescent="0.45">
      <c r="A79" s="150"/>
      <c r="B79" s="296" t="str">
        <f t="shared" si="73"/>
        <v>-</v>
      </c>
      <c r="C79" s="279">
        <v>60</v>
      </c>
      <c r="D79" s="1557"/>
      <c r="E79" s="1558"/>
      <c r="F79" s="977"/>
      <c r="G79" s="1103"/>
      <c r="H79" s="978"/>
      <c r="I79" s="965"/>
      <c r="J79" s="1325"/>
      <c r="K79" s="1326"/>
      <c r="L79" s="1326"/>
      <c r="M79" s="1326"/>
      <c r="N79" s="1327"/>
      <c r="O79" s="974"/>
      <c r="P79" s="975"/>
      <c r="Q79" s="976"/>
      <c r="R79" s="966"/>
      <c r="S79" s="280" t="str">
        <f t="shared" si="99"/>
        <v/>
      </c>
      <c r="T79" s="281" t="str">
        <f t="shared" si="100"/>
        <v/>
      </c>
      <c r="U79" s="282">
        <f t="shared" si="101"/>
        <v>0</v>
      </c>
      <c r="V79" s="259" t="str">
        <f t="shared" si="102"/>
        <v/>
      </c>
      <c r="W79" s="260" t="str">
        <f t="shared" si="103"/>
        <v/>
      </c>
      <c r="X79" s="283">
        <f t="shared" si="137"/>
        <v>0</v>
      </c>
      <c r="Y79" s="284" t="str">
        <f t="shared" si="104"/>
        <v/>
      </c>
      <c r="Z79" s="150"/>
      <c r="AA79" s="175"/>
      <c r="AB79" s="175">
        <v>60</v>
      </c>
      <c r="AC79" s="297" t="str">
        <f t="shared" si="138"/>
        <v>-</v>
      </c>
      <c r="AD79" s="297">
        <f t="shared" si="77"/>
        <v>0</v>
      </c>
      <c r="AE79" s="297">
        <f t="shared" si="78"/>
        <v>0</v>
      </c>
      <c r="AF79" s="297"/>
      <c r="AG79" s="298">
        <f t="shared" si="79"/>
        <v>0</v>
      </c>
      <c r="AH79" s="1339">
        <f t="shared" si="7"/>
        <v>0</v>
      </c>
      <c r="AI79" s="1340">
        <f>IF(SUM(AH79:AH$99)=0,0,F79&gt;0)</f>
        <v>0</v>
      </c>
      <c r="AJ79" s="1339">
        <f t="shared" si="8"/>
        <v>0</v>
      </c>
      <c r="AK79" s="1340">
        <f>IF(SUM(AH79:AH$99)=0,0,AND(AI79=FALSE,AJ79=0,SUM(AJ79:AJ$99)&gt;0))</f>
        <v>0</v>
      </c>
      <c r="AL79" s="1340">
        <f t="shared" si="9"/>
        <v>0</v>
      </c>
      <c r="AM79" s="1340">
        <f t="shared" si="10"/>
        <v>0</v>
      </c>
      <c r="AN79" s="1341">
        <f t="shared" si="11"/>
        <v>0</v>
      </c>
      <c r="AO79" s="1341">
        <f t="shared" si="12"/>
        <v>0</v>
      </c>
      <c r="AP79" s="264">
        <f t="shared" si="105"/>
        <v>0</v>
      </c>
      <c r="AQ79" s="264">
        <f t="shared" si="80"/>
        <v>0</v>
      </c>
      <c r="AR79" s="1340">
        <f t="shared" si="14"/>
        <v>0</v>
      </c>
      <c r="AS79" s="1340" t="str">
        <f t="shared" si="81"/>
        <v/>
      </c>
      <c r="AT79" s="1340">
        <f t="shared" si="15"/>
        <v>0</v>
      </c>
      <c r="AU79" s="898">
        <f t="shared" si="82"/>
        <v>0</v>
      </c>
      <c r="AV79" s="1340">
        <f t="shared" si="16"/>
        <v>0</v>
      </c>
      <c r="AW79" s="1340">
        <f t="shared" si="17"/>
        <v>0</v>
      </c>
      <c r="AX79" s="1340">
        <f t="shared" si="18"/>
        <v>0</v>
      </c>
      <c r="AY79" s="897">
        <f t="shared" si="83"/>
        <v>0</v>
      </c>
      <c r="AZ79" s="1340">
        <f t="shared" si="19"/>
        <v>0</v>
      </c>
      <c r="BA79" s="896">
        <f t="shared" si="84"/>
        <v>0</v>
      </c>
      <c r="BB79" s="899" t="str">
        <f t="shared" si="85"/>
        <v/>
      </c>
      <c r="BC79" s="899" t="str">
        <f t="shared" si="86"/>
        <v/>
      </c>
      <c r="BD79" s="1340">
        <f t="shared" si="20"/>
        <v>0</v>
      </c>
      <c r="BE79" s="1340">
        <f t="shared" si="21"/>
        <v>0</v>
      </c>
      <c r="BF79" s="1340">
        <f t="shared" si="22"/>
        <v>0</v>
      </c>
      <c r="BG79" s="1342" t="b">
        <f t="shared" si="106"/>
        <v>0</v>
      </c>
      <c r="BH79" s="299" t="str">
        <f t="shared" si="24"/>
        <v/>
      </c>
      <c r="BI79" s="1343">
        <f t="shared" si="107"/>
        <v>0</v>
      </c>
      <c r="BJ79" s="1344">
        <f t="shared" si="108"/>
        <v>0</v>
      </c>
      <c r="BK79" s="1344">
        <f t="shared" si="87"/>
        <v>0</v>
      </c>
      <c r="BL79" s="1345">
        <f t="shared" si="27"/>
        <v>0</v>
      </c>
      <c r="BM79" s="1346">
        <f t="shared" si="28"/>
        <v>0</v>
      </c>
      <c r="BN79" s="300">
        <f t="shared" si="109"/>
        <v>0</v>
      </c>
      <c r="BO79" s="300">
        <f t="shared" si="110"/>
        <v>0</v>
      </c>
      <c r="BP79" s="1344">
        <f t="shared" si="88"/>
        <v>0</v>
      </c>
      <c r="BQ79" s="301">
        <f t="shared" si="31"/>
        <v>0</v>
      </c>
      <c r="BR79" s="314"/>
      <c r="BS79" s="1343">
        <f t="shared" si="98"/>
        <v>0</v>
      </c>
      <c r="BT79" s="1344">
        <f t="shared" si="98"/>
        <v>0</v>
      </c>
      <c r="BU79" s="1344">
        <f t="shared" si="98"/>
        <v>0</v>
      </c>
      <c r="BV79" s="303">
        <f t="shared" si="98"/>
        <v>0</v>
      </c>
      <c r="BW79" s="304">
        <f t="shared" si="111"/>
        <v>0</v>
      </c>
      <c r="BX79" s="300">
        <f t="shared" si="112"/>
        <v>0</v>
      </c>
      <c r="BY79" s="1344">
        <f t="shared" si="89"/>
        <v>0</v>
      </c>
      <c r="BZ79" s="300">
        <f t="shared" si="90"/>
        <v>0</v>
      </c>
      <c r="CA79" s="301">
        <f t="shared" si="36"/>
        <v>0</v>
      </c>
      <c r="CB79" s="305" t="e">
        <f t="shared" si="113"/>
        <v>#DIV/0!</v>
      </c>
      <c r="CC79" s="304" t="e">
        <f t="shared" si="38"/>
        <v>#DIV/0!</v>
      </c>
      <c r="CD79" s="300">
        <f t="shared" si="39"/>
        <v>0</v>
      </c>
      <c r="CE79" s="306">
        <f t="shared" si="91"/>
        <v>0</v>
      </c>
      <c r="CF79" s="306">
        <f t="shared" si="40"/>
        <v>0</v>
      </c>
      <c r="CG79" s="307" t="e">
        <f t="shared" si="41"/>
        <v>#DIV/0!</v>
      </c>
      <c r="CH79" s="307" t="e">
        <f t="shared" si="114"/>
        <v>#DIV/0!</v>
      </c>
      <c r="CI79" s="308" t="e">
        <f t="shared" si="139"/>
        <v>#DIV/0!</v>
      </c>
      <c r="CJ79" s="309" t="e">
        <f t="shared" si="115"/>
        <v>#DIV/0!</v>
      </c>
      <c r="CK79" s="175" t="e">
        <f t="shared" si="93"/>
        <v>#DIV/0!</v>
      </c>
      <c r="CL79" s="175" t="str">
        <f t="shared" si="116"/>
        <v/>
      </c>
      <c r="CM79" s="310" t="e">
        <f t="shared" si="94"/>
        <v>#DIV/0!</v>
      </c>
      <c r="CN79" s="311" t="e">
        <f t="shared" si="95"/>
        <v>#DIV/0!</v>
      </c>
      <c r="CO79" s="311">
        <f t="shared" si="96"/>
        <v>0</v>
      </c>
      <c r="CP79" s="175">
        <f t="shared" si="45"/>
        <v>1</v>
      </c>
      <c r="CQ79" s="175">
        <f t="shared" si="46"/>
        <v>1</v>
      </c>
      <c r="CR79" s="175" t="str">
        <f t="shared" si="117"/>
        <v/>
      </c>
      <c r="CS79" s="175">
        <f t="shared" si="48"/>
        <v>0</v>
      </c>
      <c r="CT79" s="312">
        <f t="shared" si="49"/>
        <v>0</v>
      </c>
      <c r="CU79" s="175" t="str">
        <f t="shared" si="50"/>
        <v>OK</v>
      </c>
      <c r="CV79" s="313">
        <f t="shared" si="51"/>
        <v>0.05</v>
      </c>
      <c r="CW79" s="312" t="e">
        <f t="shared" si="118"/>
        <v>#DIV/0!</v>
      </c>
      <c r="CX79" s="312" t="e">
        <f t="shared" si="119"/>
        <v>#DIV/0!</v>
      </c>
      <c r="CY79" s="312" t="e">
        <f t="shared" si="120"/>
        <v>#DIV/0!</v>
      </c>
      <c r="CZ79" s="312" t="e">
        <f t="shared" si="121"/>
        <v>#DIV/0!</v>
      </c>
      <c r="DA79" s="312">
        <f t="shared" si="122"/>
        <v>1</v>
      </c>
      <c r="DB79" s="312">
        <f t="shared" si="57"/>
        <v>0</v>
      </c>
      <c r="DC79" s="175" t="str">
        <f t="shared" si="123"/>
        <v>Soft</v>
      </c>
      <c r="DD79" s="175"/>
      <c r="DE79" s="175">
        <f t="shared" si="124"/>
        <v>0</v>
      </c>
      <c r="DF79" s="312" t="e">
        <f t="shared" si="125"/>
        <v>#DIV/0!</v>
      </c>
      <c r="DG79" s="312" t="e">
        <f t="shared" si="126"/>
        <v>#DIV/0!</v>
      </c>
      <c r="DH79" s="312" t="e">
        <f t="shared" si="127"/>
        <v>#DIV/0!</v>
      </c>
      <c r="DI79" s="312" t="e">
        <f t="shared" si="128"/>
        <v>#DIV/0!</v>
      </c>
      <c r="DJ79" s="312" t="e">
        <f t="shared" si="97"/>
        <v>#DIV/0!</v>
      </c>
      <c r="DK79" s="175"/>
      <c r="DL79" s="175"/>
      <c r="DM79" s="175"/>
      <c r="DN79" s="175">
        <f t="shared" si="129"/>
        <v>1</v>
      </c>
      <c r="DO79" s="312" t="e">
        <f t="shared" si="130"/>
        <v>#DIV/0!</v>
      </c>
      <c r="DP79" s="312" t="e">
        <f t="shared" si="131"/>
        <v>#DIV/0!</v>
      </c>
      <c r="DQ79" s="312" t="e">
        <f t="shared" si="132"/>
        <v>#DIV/0!</v>
      </c>
      <c r="DR79" s="312" t="e">
        <f t="shared" si="133"/>
        <v>#DIV/0!</v>
      </c>
      <c r="DS79" s="312" t="e">
        <f t="shared" si="134"/>
        <v>#DIV/0!</v>
      </c>
      <c r="DT79" s="312" t="e">
        <f t="shared" si="135"/>
        <v>#DIV/0!</v>
      </c>
      <c r="DU79" s="312">
        <f t="shared" si="71"/>
        <v>0</v>
      </c>
      <c r="DV79" s="175"/>
      <c r="DW79" s="175" t="b">
        <f t="shared" si="136"/>
        <v>1</v>
      </c>
      <c r="DX79" s="175" t="b">
        <f t="shared" si="136"/>
        <v>1</v>
      </c>
      <c r="DY79" s="175" t="b">
        <f t="shared" si="136"/>
        <v>1</v>
      </c>
      <c r="DZ79" s="175" t="b">
        <f t="shared" si="136"/>
        <v>1</v>
      </c>
      <c r="EA79" s="175" t="b">
        <f t="shared" si="136"/>
        <v>1</v>
      </c>
      <c r="EB79" s="168"/>
    </row>
    <row r="80" spans="1:132" s="140" customFormat="1" ht="18.5" hidden="1" thickBot="1" x14ac:dyDescent="0.45">
      <c r="A80" s="150"/>
      <c r="B80" s="296" t="str">
        <f t="shared" si="73"/>
        <v>-</v>
      </c>
      <c r="C80" s="279">
        <v>61</v>
      </c>
      <c r="D80" s="1557"/>
      <c r="E80" s="1558"/>
      <c r="F80" s="977"/>
      <c r="G80" s="1103"/>
      <c r="H80" s="978"/>
      <c r="I80" s="965"/>
      <c r="J80" s="1325"/>
      <c r="K80" s="1326"/>
      <c r="L80" s="1326"/>
      <c r="M80" s="1326"/>
      <c r="N80" s="1327"/>
      <c r="O80" s="974"/>
      <c r="P80" s="975"/>
      <c r="Q80" s="976"/>
      <c r="R80" s="966"/>
      <c r="S80" s="280" t="str">
        <f t="shared" si="99"/>
        <v/>
      </c>
      <c r="T80" s="281" t="str">
        <f t="shared" si="100"/>
        <v/>
      </c>
      <c r="U80" s="282">
        <f t="shared" si="101"/>
        <v>0</v>
      </c>
      <c r="V80" s="259" t="str">
        <f t="shared" si="102"/>
        <v/>
      </c>
      <c r="W80" s="260" t="str">
        <f t="shared" si="103"/>
        <v/>
      </c>
      <c r="X80" s="283">
        <f t="shared" si="137"/>
        <v>0</v>
      </c>
      <c r="Y80" s="284" t="str">
        <f t="shared" si="104"/>
        <v/>
      </c>
      <c r="Z80" s="150"/>
      <c r="AA80" s="175"/>
      <c r="AB80" s="175">
        <v>61</v>
      </c>
      <c r="AC80" s="297" t="str">
        <f t="shared" si="138"/>
        <v>-</v>
      </c>
      <c r="AD80" s="297">
        <f t="shared" si="77"/>
        <v>0</v>
      </c>
      <c r="AE80" s="297">
        <f t="shared" si="78"/>
        <v>0</v>
      </c>
      <c r="AF80" s="297"/>
      <c r="AG80" s="298">
        <f t="shared" si="79"/>
        <v>0</v>
      </c>
      <c r="AH80" s="1339">
        <f t="shared" si="7"/>
        <v>0</v>
      </c>
      <c r="AI80" s="1340">
        <f>IF(SUM(AH80:AH$99)=0,0,F80&gt;0)</f>
        <v>0</v>
      </c>
      <c r="AJ80" s="1339">
        <f t="shared" si="8"/>
        <v>0</v>
      </c>
      <c r="AK80" s="1340">
        <f>IF(SUM(AH80:AH$99)=0,0,AND(AI80=FALSE,AJ80=0,SUM(AJ80:AJ$99)&gt;0))</f>
        <v>0</v>
      </c>
      <c r="AL80" s="1340">
        <f t="shared" si="9"/>
        <v>0</v>
      </c>
      <c r="AM80" s="1340">
        <f t="shared" si="10"/>
        <v>0</v>
      </c>
      <c r="AN80" s="1341">
        <f t="shared" si="11"/>
        <v>0</v>
      </c>
      <c r="AO80" s="1341">
        <f t="shared" si="12"/>
        <v>0</v>
      </c>
      <c r="AP80" s="264">
        <f t="shared" si="105"/>
        <v>0</v>
      </c>
      <c r="AQ80" s="264">
        <f t="shared" si="80"/>
        <v>0</v>
      </c>
      <c r="AR80" s="1340">
        <f t="shared" si="14"/>
        <v>0</v>
      </c>
      <c r="AS80" s="1340" t="str">
        <f t="shared" si="81"/>
        <v/>
      </c>
      <c r="AT80" s="1340">
        <f t="shared" si="15"/>
        <v>0</v>
      </c>
      <c r="AU80" s="898">
        <f t="shared" si="82"/>
        <v>0</v>
      </c>
      <c r="AV80" s="1340">
        <f t="shared" si="16"/>
        <v>0</v>
      </c>
      <c r="AW80" s="1340">
        <f t="shared" si="17"/>
        <v>0</v>
      </c>
      <c r="AX80" s="1340">
        <f t="shared" si="18"/>
        <v>0</v>
      </c>
      <c r="AY80" s="897">
        <f t="shared" si="83"/>
        <v>0</v>
      </c>
      <c r="AZ80" s="1340">
        <f t="shared" si="19"/>
        <v>0</v>
      </c>
      <c r="BA80" s="896">
        <f t="shared" si="84"/>
        <v>0</v>
      </c>
      <c r="BB80" s="899" t="str">
        <f t="shared" si="85"/>
        <v/>
      </c>
      <c r="BC80" s="899" t="str">
        <f t="shared" si="86"/>
        <v/>
      </c>
      <c r="BD80" s="1340">
        <f t="shared" si="20"/>
        <v>0</v>
      </c>
      <c r="BE80" s="1340">
        <f t="shared" si="21"/>
        <v>0</v>
      </c>
      <c r="BF80" s="1340">
        <f t="shared" si="22"/>
        <v>0</v>
      </c>
      <c r="BG80" s="1342" t="b">
        <f t="shared" si="106"/>
        <v>0</v>
      </c>
      <c r="BH80" s="299" t="str">
        <f t="shared" si="24"/>
        <v/>
      </c>
      <c r="BI80" s="1343">
        <f t="shared" si="107"/>
        <v>0</v>
      </c>
      <c r="BJ80" s="1344">
        <f t="shared" si="108"/>
        <v>0</v>
      </c>
      <c r="BK80" s="1344">
        <f t="shared" si="87"/>
        <v>0</v>
      </c>
      <c r="BL80" s="1345">
        <f t="shared" si="27"/>
        <v>0</v>
      </c>
      <c r="BM80" s="1346">
        <f t="shared" si="28"/>
        <v>0</v>
      </c>
      <c r="BN80" s="300">
        <f t="shared" si="109"/>
        <v>0</v>
      </c>
      <c r="BO80" s="300">
        <f t="shared" si="110"/>
        <v>0</v>
      </c>
      <c r="BP80" s="1344">
        <f t="shared" si="88"/>
        <v>0</v>
      </c>
      <c r="BQ80" s="301">
        <f t="shared" si="31"/>
        <v>0</v>
      </c>
      <c r="BR80" s="314"/>
      <c r="BS80" s="1343">
        <f t="shared" si="98"/>
        <v>0</v>
      </c>
      <c r="BT80" s="1344">
        <f t="shared" si="98"/>
        <v>0</v>
      </c>
      <c r="BU80" s="1344">
        <f t="shared" si="98"/>
        <v>0</v>
      </c>
      <c r="BV80" s="303">
        <f t="shared" si="98"/>
        <v>0</v>
      </c>
      <c r="BW80" s="304">
        <f t="shared" si="111"/>
        <v>0</v>
      </c>
      <c r="BX80" s="300">
        <f t="shared" si="112"/>
        <v>0</v>
      </c>
      <c r="BY80" s="1344">
        <f t="shared" si="89"/>
        <v>0</v>
      </c>
      <c r="BZ80" s="300">
        <f t="shared" si="90"/>
        <v>0</v>
      </c>
      <c r="CA80" s="301">
        <f t="shared" si="36"/>
        <v>0</v>
      </c>
      <c r="CB80" s="305" t="e">
        <f t="shared" si="113"/>
        <v>#DIV/0!</v>
      </c>
      <c r="CC80" s="304" t="e">
        <f t="shared" si="38"/>
        <v>#DIV/0!</v>
      </c>
      <c r="CD80" s="300">
        <f t="shared" si="39"/>
        <v>0</v>
      </c>
      <c r="CE80" s="306">
        <f t="shared" si="91"/>
        <v>0</v>
      </c>
      <c r="CF80" s="306">
        <f t="shared" si="40"/>
        <v>0</v>
      </c>
      <c r="CG80" s="307" t="e">
        <f t="shared" si="41"/>
        <v>#DIV/0!</v>
      </c>
      <c r="CH80" s="307" t="e">
        <f t="shared" si="114"/>
        <v>#DIV/0!</v>
      </c>
      <c r="CI80" s="308" t="e">
        <f t="shared" si="139"/>
        <v>#DIV/0!</v>
      </c>
      <c r="CJ80" s="309" t="e">
        <f t="shared" si="115"/>
        <v>#DIV/0!</v>
      </c>
      <c r="CK80" s="175" t="e">
        <f t="shared" si="93"/>
        <v>#DIV/0!</v>
      </c>
      <c r="CL80" s="175" t="str">
        <f t="shared" si="116"/>
        <v/>
      </c>
      <c r="CM80" s="310" t="e">
        <f t="shared" si="94"/>
        <v>#DIV/0!</v>
      </c>
      <c r="CN80" s="311" t="e">
        <f t="shared" si="95"/>
        <v>#DIV/0!</v>
      </c>
      <c r="CO80" s="311">
        <f t="shared" si="96"/>
        <v>0</v>
      </c>
      <c r="CP80" s="175">
        <f t="shared" si="45"/>
        <v>1</v>
      </c>
      <c r="CQ80" s="175">
        <f t="shared" si="46"/>
        <v>1</v>
      </c>
      <c r="CR80" s="175" t="str">
        <f t="shared" si="117"/>
        <v/>
      </c>
      <c r="CS80" s="175">
        <f t="shared" si="48"/>
        <v>0</v>
      </c>
      <c r="CT80" s="312">
        <f t="shared" si="49"/>
        <v>0</v>
      </c>
      <c r="CU80" s="175" t="str">
        <f t="shared" si="50"/>
        <v>OK</v>
      </c>
      <c r="CV80" s="313">
        <f t="shared" si="51"/>
        <v>0.05</v>
      </c>
      <c r="CW80" s="312" t="e">
        <f t="shared" si="118"/>
        <v>#DIV/0!</v>
      </c>
      <c r="CX80" s="312" t="e">
        <f t="shared" si="119"/>
        <v>#DIV/0!</v>
      </c>
      <c r="CY80" s="312" t="e">
        <f t="shared" si="120"/>
        <v>#DIV/0!</v>
      </c>
      <c r="CZ80" s="312" t="e">
        <f t="shared" si="121"/>
        <v>#DIV/0!</v>
      </c>
      <c r="DA80" s="312">
        <f t="shared" si="122"/>
        <v>1</v>
      </c>
      <c r="DB80" s="312">
        <f t="shared" si="57"/>
        <v>0</v>
      </c>
      <c r="DC80" s="175" t="str">
        <f t="shared" si="123"/>
        <v>Soft</v>
      </c>
      <c r="DD80" s="175"/>
      <c r="DE80" s="175">
        <f t="shared" si="124"/>
        <v>0</v>
      </c>
      <c r="DF80" s="312" t="e">
        <f t="shared" si="125"/>
        <v>#DIV/0!</v>
      </c>
      <c r="DG80" s="312" t="e">
        <f t="shared" si="126"/>
        <v>#DIV/0!</v>
      </c>
      <c r="DH80" s="312" t="e">
        <f t="shared" si="127"/>
        <v>#DIV/0!</v>
      </c>
      <c r="DI80" s="312" t="e">
        <f t="shared" si="128"/>
        <v>#DIV/0!</v>
      </c>
      <c r="DJ80" s="312" t="e">
        <f t="shared" si="97"/>
        <v>#DIV/0!</v>
      </c>
      <c r="DK80" s="175"/>
      <c r="DL80" s="175"/>
      <c r="DM80" s="175"/>
      <c r="DN80" s="175">
        <f t="shared" si="129"/>
        <v>1</v>
      </c>
      <c r="DO80" s="312" t="e">
        <f t="shared" si="130"/>
        <v>#DIV/0!</v>
      </c>
      <c r="DP80" s="312" t="e">
        <f t="shared" si="131"/>
        <v>#DIV/0!</v>
      </c>
      <c r="DQ80" s="312" t="e">
        <f t="shared" si="132"/>
        <v>#DIV/0!</v>
      </c>
      <c r="DR80" s="312" t="e">
        <f t="shared" si="133"/>
        <v>#DIV/0!</v>
      </c>
      <c r="DS80" s="312" t="e">
        <f t="shared" si="134"/>
        <v>#DIV/0!</v>
      </c>
      <c r="DT80" s="312" t="e">
        <f t="shared" si="135"/>
        <v>#DIV/0!</v>
      </c>
      <c r="DU80" s="312">
        <f t="shared" si="71"/>
        <v>0</v>
      </c>
      <c r="DV80" s="175"/>
      <c r="DW80" s="175" t="b">
        <f t="shared" si="136"/>
        <v>1</v>
      </c>
      <c r="DX80" s="175" t="b">
        <f t="shared" si="136"/>
        <v>1</v>
      </c>
      <c r="DY80" s="175" t="b">
        <f t="shared" si="136"/>
        <v>1</v>
      </c>
      <c r="DZ80" s="175" t="b">
        <f t="shared" si="136"/>
        <v>1</v>
      </c>
      <c r="EA80" s="175" t="b">
        <f t="shared" si="136"/>
        <v>1</v>
      </c>
      <c r="EB80" s="168"/>
    </row>
    <row r="81" spans="1:132" s="140" customFormat="1" ht="18.5" hidden="1" thickBot="1" x14ac:dyDescent="0.45">
      <c r="A81" s="150"/>
      <c r="B81" s="296" t="str">
        <f t="shared" si="73"/>
        <v>-</v>
      </c>
      <c r="C81" s="279">
        <v>62</v>
      </c>
      <c r="D81" s="1557"/>
      <c r="E81" s="1558"/>
      <c r="F81" s="977"/>
      <c r="G81" s="1103"/>
      <c r="H81" s="978"/>
      <c r="I81" s="965"/>
      <c r="J81" s="1325"/>
      <c r="K81" s="1326"/>
      <c r="L81" s="1326"/>
      <c r="M81" s="1326"/>
      <c r="N81" s="1327"/>
      <c r="O81" s="974"/>
      <c r="P81" s="975"/>
      <c r="Q81" s="976"/>
      <c r="R81" s="966"/>
      <c r="S81" s="280" t="str">
        <f t="shared" si="99"/>
        <v/>
      </c>
      <c r="T81" s="281" t="str">
        <f t="shared" si="100"/>
        <v/>
      </c>
      <c r="U81" s="282">
        <f t="shared" si="101"/>
        <v>0</v>
      </c>
      <c r="V81" s="259" t="str">
        <f t="shared" si="102"/>
        <v/>
      </c>
      <c r="W81" s="260" t="str">
        <f t="shared" si="103"/>
        <v/>
      </c>
      <c r="X81" s="283">
        <f t="shared" si="137"/>
        <v>0</v>
      </c>
      <c r="Y81" s="284" t="str">
        <f t="shared" si="104"/>
        <v/>
      </c>
      <c r="Z81" s="150"/>
      <c r="AA81" s="175"/>
      <c r="AB81" s="175">
        <v>62</v>
      </c>
      <c r="AC81" s="297" t="str">
        <f t="shared" si="138"/>
        <v>-</v>
      </c>
      <c r="AD81" s="297">
        <f t="shared" si="77"/>
        <v>0</v>
      </c>
      <c r="AE81" s="297">
        <f t="shared" si="78"/>
        <v>0</v>
      </c>
      <c r="AF81" s="297"/>
      <c r="AG81" s="298">
        <f t="shared" si="79"/>
        <v>0</v>
      </c>
      <c r="AH81" s="1339">
        <f t="shared" si="7"/>
        <v>0</v>
      </c>
      <c r="AI81" s="1340">
        <f>IF(SUM(AH81:AH$99)=0,0,F81&gt;0)</f>
        <v>0</v>
      </c>
      <c r="AJ81" s="1339">
        <f t="shared" si="8"/>
        <v>0</v>
      </c>
      <c r="AK81" s="1340">
        <f>IF(SUM(AH81:AH$99)=0,0,AND(AI81=FALSE,AJ81=0,SUM(AJ81:AJ$99)&gt;0))</f>
        <v>0</v>
      </c>
      <c r="AL81" s="1340">
        <f t="shared" si="9"/>
        <v>0</v>
      </c>
      <c r="AM81" s="1340">
        <f t="shared" si="10"/>
        <v>0</v>
      </c>
      <c r="AN81" s="1341">
        <f t="shared" si="11"/>
        <v>0</v>
      </c>
      <c r="AO81" s="1341">
        <f t="shared" si="12"/>
        <v>0</v>
      </c>
      <c r="AP81" s="264">
        <f t="shared" si="105"/>
        <v>0</v>
      </c>
      <c r="AQ81" s="264">
        <f t="shared" si="80"/>
        <v>0</v>
      </c>
      <c r="AR81" s="1340">
        <f t="shared" si="14"/>
        <v>0</v>
      </c>
      <c r="AS81" s="1340" t="str">
        <f t="shared" si="81"/>
        <v/>
      </c>
      <c r="AT81" s="1340">
        <f t="shared" si="15"/>
        <v>0</v>
      </c>
      <c r="AU81" s="898">
        <f t="shared" si="82"/>
        <v>0</v>
      </c>
      <c r="AV81" s="1340">
        <f t="shared" si="16"/>
        <v>0</v>
      </c>
      <c r="AW81" s="1340">
        <f t="shared" si="17"/>
        <v>0</v>
      </c>
      <c r="AX81" s="1340">
        <f t="shared" si="18"/>
        <v>0</v>
      </c>
      <c r="AY81" s="897">
        <f t="shared" si="83"/>
        <v>0</v>
      </c>
      <c r="AZ81" s="1340">
        <f t="shared" si="19"/>
        <v>0</v>
      </c>
      <c r="BA81" s="896">
        <f t="shared" si="84"/>
        <v>0</v>
      </c>
      <c r="BB81" s="899" t="str">
        <f t="shared" si="85"/>
        <v/>
      </c>
      <c r="BC81" s="899" t="str">
        <f t="shared" si="86"/>
        <v/>
      </c>
      <c r="BD81" s="1340">
        <f t="shared" si="20"/>
        <v>0</v>
      </c>
      <c r="BE81" s="1340">
        <f t="shared" si="21"/>
        <v>0</v>
      </c>
      <c r="BF81" s="1340">
        <f t="shared" si="22"/>
        <v>0</v>
      </c>
      <c r="BG81" s="1342" t="b">
        <f t="shared" si="106"/>
        <v>0</v>
      </c>
      <c r="BH81" s="299" t="str">
        <f t="shared" si="24"/>
        <v/>
      </c>
      <c r="BI81" s="1343">
        <f t="shared" si="107"/>
        <v>0</v>
      </c>
      <c r="BJ81" s="1344">
        <f t="shared" si="108"/>
        <v>0</v>
      </c>
      <c r="BK81" s="1344">
        <f t="shared" si="87"/>
        <v>0</v>
      </c>
      <c r="BL81" s="1345">
        <f t="shared" si="27"/>
        <v>0</v>
      </c>
      <c r="BM81" s="1346">
        <f t="shared" si="28"/>
        <v>0</v>
      </c>
      <c r="BN81" s="300">
        <f t="shared" si="109"/>
        <v>0</v>
      </c>
      <c r="BO81" s="300">
        <f t="shared" si="110"/>
        <v>0</v>
      </c>
      <c r="BP81" s="1344">
        <f t="shared" si="88"/>
        <v>0</v>
      </c>
      <c r="BQ81" s="301">
        <f t="shared" si="31"/>
        <v>0</v>
      </c>
      <c r="BR81" s="314"/>
      <c r="BS81" s="1343">
        <f t="shared" si="98"/>
        <v>0</v>
      </c>
      <c r="BT81" s="1344">
        <f t="shared" si="98"/>
        <v>0</v>
      </c>
      <c r="BU81" s="1344">
        <f t="shared" si="98"/>
        <v>0</v>
      </c>
      <c r="BV81" s="303">
        <f t="shared" si="98"/>
        <v>0</v>
      </c>
      <c r="BW81" s="304">
        <f t="shared" si="111"/>
        <v>0</v>
      </c>
      <c r="BX81" s="300">
        <f t="shared" si="112"/>
        <v>0</v>
      </c>
      <c r="BY81" s="1344">
        <f t="shared" si="89"/>
        <v>0</v>
      </c>
      <c r="BZ81" s="300">
        <f t="shared" si="90"/>
        <v>0</v>
      </c>
      <c r="CA81" s="301">
        <f t="shared" si="36"/>
        <v>0</v>
      </c>
      <c r="CB81" s="305" t="e">
        <f t="shared" si="113"/>
        <v>#DIV/0!</v>
      </c>
      <c r="CC81" s="304" t="e">
        <f t="shared" si="38"/>
        <v>#DIV/0!</v>
      </c>
      <c r="CD81" s="300">
        <f t="shared" si="39"/>
        <v>0</v>
      </c>
      <c r="CE81" s="306">
        <f t="shared" si="91"/>
        <v>0</v>
      </c>
      <c r="CF81" s="306">
        <f t="shared" si="40"/>
        <v>0</v>
      </c>
      <c r="CG81" s="307" t="e">
        <f t="shared" si="41"/>
        <v>#DIV/0!</v>
      </c>
      <c r="CH81" s="307" t="e">
        <f t="shared" si="114"/>
        <v>#DIV/0!</v>
      </c>
      <c r="CI81" s="308" t="e">
        <f t="shared" si="139"/>
        <v>#DIV/0!</v>
      </c>
      <c r="CJ81" s="309" t="e">
        <f t="shared" si="115"/>
        <v>#DIV/0!</v>
      </c>
      <c r="CK81" s="175" t="e">
        <f t="shared" si="93"/>
        <v>#DIV/0!</v>
      </c>
      <c r="CL81" s="175" t="str">
        <f t="shared" si="116"/>
        <v/>
      </c>
      <c r="CM81" s="310" t="e">
        <f t="shared" si="94"/>
        <v>#DIV/0!</v>
      </c>
      <c r="CN81" s="311" t="e">
        <f t="shared" si="95"/>
        <v>#DIV/0!</v>
      </c>
      <c r="CO81" s="311">
        <f t="shared" si="96"/>
        <v>0</v>
      </c>
      <c r="CP81" s="175">
        <f t="shared" si="45"/>
        <v>1</v>
      </c>
      <c r="CQ81" s="175">
        <f t="shared" si="46"/>
        <v>1</v>
      </c>
      <c r="CR81" s="175" t="str">
        <f t="shared" si="117"/>
        <v/>
      </c>
      <c r="CS81" s="175">
        <f t="shared" si="48"/>
        <v>0</v>
      </c>
      <c r="CT81" s="312">
        <f t="shared" si="49"/>
        <v>0</v>
      </c>
      <c r="CU81" s="175" t="str">
        <f t="shared" si="50"/>
        <v>OK</v>
      </c>
      <c r="CV81" s="313">
        <f t="shared" si="51"/>
        <v>0.05</v>
      </c>
      <c r="CW81" s="312" t="e">
        <f t="shared" si="118"/>
        <v>#DIV/0!</v>
      </c>
      <c r="CX81" s="312" t="e">
        <f t="shared" si="119"/>
        <v>#DIV/0!</v>
      </c>
      <c r="CY81" s="312" t="e">
        <f t="shared" si="120"/>
        <v>#DIV/0!</v>
      </c>
      <c r="CZ81" s="312" t="e">
        <f t="shared" si="121"/>
        <v>#DIV/0!</v>
      </c>
      <c r="DA81" s="312">
        <f t="shared" si="122"/>
        <v>1</v>
      </c>
      <c r="DB81" s="312">
        <f t="shared" si="57"/>
        <v>0</v>
      </c>
      <c r="DC81" s="175" t="str">
        <f t="shared" si="123"/>
        <v>Soft</v>
      </c>
      <c r="DD81" s="175"/>
      <c r="DE81" s="175">
        <f t="shared" si="124"/>
        <v>0</v>
      </c>
      <c r="DF81" s="312" t="e">
        <f t="shared" si="125"/>
        <v>#DIV/0!</v>
      </c>
      <c r="DG81" s="312" t="e">
        <f t="shared" si="126"/>
        <v>#DIV/0!</v>
      </c>
      <c r="DH81" s="312" t="e">
        <f t="shared" si="127"/>
        <v>#DIV/0!</v>
      </c>
      <c r="DI81" s="312" t="e">
        <f t="shared" si="128"/>
        <v>#DIV/0!</v>
      </c>
      <c r="DJ81" s="312" t="e">
        <f t="shared" si="97"/>
        <v>#DIV/0!</v>
      </c>
      <c r="DK81" s="175"/>
      <c r="DL81" s="175"/>
      <c r="DM81" s="175"/>
      <c r="DN81" s="175">
        <f t="shared" si="129"/>
        <v>1</v>
      </c>
      <c r="DO81" s="312" t="e">
        <f t="shared" si="130"/>
        <v>#DIV/0!</v>
      </c>
      <c r="DP81" s="312" t="e">
        <f t="shared" si="131"/>
        <v>#DIV/0!</v>
      </c>
      <c r="DQ81" s="312" t="e">
        <f t="shared" si="132"/>
        <v>#DIV/0!</v>
      </c>
      <c r="DR81" s="312" t="e">
        <f t="shared" si="133"/>
        <v>#DIV/0!</v>
      </c>
      <c r="DS81" s="312" t="e">
        <f t="shared" si="134"/>
        <v>#DIV/0!</v>
      </c>
      <c r="DT81" s="312" t="e">
        <f t="shared" si="135"/>
        <v>#DIV/0!</v>
      </c>
      <c r="DU81" s="312">
        <f t="shared" si="71"/>
        <v>0</v>
      </c>
      <c r="DV81" s="175"/>
      <c r="DW81" s="175" t="b">
        <f t="shared" si="136"/>
        <v>1</v>
      </c>
      <c r="DX81" s="175" t="b">
        <f t="shared" si="136"/>
        <v>1</v>
      </c>
      <c r="DY81" s="175" t="b">
        <f t="shared" si="136"/>
        <v>1</v>
      </c>
      <c r="DZ81" s="175" t="b">
        <f t="shared" si="136"/>
        <v>1</v>
      </c>
      <c r="EA81" s="175" t="b">
        <f t="shared" si="136"/>
        <v>1</v>
      </c>
      <c r="EB81" s="168"/>
    </row>
    <row r="82" spans="1:132" s="140" customFormat="1" ht="18.5" hidden="1" thickBot="1" x14ac:dyDescent="0.45">
      <c r="A82" s="150"/>
      <c r="B82" s="296" t="str">
        <f t="shared" si="73"/>
        <v>-</v>
      </c>
      <c r="C82" s="279">
        <v>63</v>
      </c>
      <c r="D82" s="1557"/>
      <c r="E82" s="1558"/>
      <c r="F82" s="977"/>
      <c r="G82" s="1103"/>
      <c r="H82" s="978"/>
      <c r="I82" s="965"/>
      <c r="J82" s="1325"/>
      <c r="K82" s="1326"/>
      <c r="L82" s="1326"/>
      <c r="M82" s="1326"/>
      <c r="N82" s="1327"/>
      <c r="O82" s="974"/>
      <c r="P82" s="975"/>
      <c r="Q82" s="976"/>
      <c r="R82" s="966"/>
      <c r="S82" s="280" t="str">
        <f t="shared" si="99"/>
        <v/>
      </c>
      <c r="T82" s="281" t="str">
        <f t="shared" si="100"/>
        <v/>
      </c>
      <c r="U82" s="282">
        <f t="shared" si="101"/>
        <v>0</v>
      </c>
      <c r="V82" s="259" t="str">
        <f t="shared" si="102"/>
        <v/>
      </c>
      <c r="W82" s="260" t="str">
        <f t="shared" si="103"/>
        <v/>
      </c>
      <c r="X82" s="283">
        <f t="shared" si="137"/>
        <v>0</v>
      </c>
      <c r="Y82" s="284" t="str">
        <f t="shared" si="104"/>
        <v/>
      </c>
      <c r="Z82" s="150"/>
      <c r="AA82" s="175"/>
      <c r="AB82" s="175">
        <v>63</v>
      </c>
      <c r="AC82" s="297" t="str">
        <f t="shared" si="138"/>
        <v>-</v>
      </c>
      <c r="AD82" s="297">
        <f t="shared" si="77"/>
        <v>0</v>
      </c>
      <c r="AE82" s="297">
        <f t="shared" si="78"/>
        <v>0</v>
      </c>
      <c r="AF82" s="297"/>
      <c r="AG82" s="298">
        <f t="shared" si="79"/>
        <v>0</v>
      </c>
      <c r="AH82" s="1339">
        <f t="shared" si="7"/>
        <v>0</v>
      </c>
      <c r="AI82" s="1340">
        <f>IF(SUM(AH82:AH$99)=0,0,F82&gt;0)</f>
        <v>0</v>
      </c>
      <c r="AJ82" s="1339">
        <f t="shared" si="8"/>
        <v>0</v>
      </c>
      <c r="AK82" s="1340">
        <f>IF(SUM(AH82:AH$99)=0,0,AND(AI82=FALSE,AJ82=0,SUM(AJ82:AJ$99)&gt;0))</f>
        <v>0</v>
      </c>
      <c r="AL82" s="1340">
        <f t="shared" si="9"/>
        <v>0</v>
      </c>
      <c r="AM82" s="1340">
        <f t="shared" si="10"/>
        <v>0</v>
      </c>
      <c r="AN82" s="1341">
        <f t="shared" si="11"/>
        <v>0</v>
      </c>
      <c r="AO82" s="1341">
        <f t="shared" si="12"/>
        <v>0</v>
      </c>
      <c r="AP82" s="264">
        <f t="shared" si="105"/>
        <v>0</v>
      </c>
      <c r="AQ82" s="264">
        <f t="shared" si="80"/>
        <v>0</v>
      </c>
      <c r="AR82" s="1340">
        <f t="shared" si="14"/>
        <v>0</v>
      </c>
      <c r="AS82" s="1340" t="str">
        <f t="shared" si="81"/>
        <v/>
      </c>
      <c r="AT82" s="1340">
        <f t="shared" si="15"/>
        <v>0</v>
      </c>
      <c r="AU82" s="898">
        <f t="shared" si="82"/>
        <v>0</v>
      </c>
      <c r="AV82" s="1340">
        <f t="shared" si="16"/>
        <v>0</v>
      </c>
      <c r="AW82" s="1340">
        <f t="shared" si="17"/>
        <v>0</v>
      </c>
      <c r="AX82" s="1340">
        <f t="shared" si="18"/>
        <v>0</v>
      </c>
      <c r="AY82" s="897">
        <f t="shared" si="83"/>
        <v>0</v>
      </c>
      <c r="AZ82" s="1340">
        <f t="shared" si="19"/>
        <v>0</v>
      </c>
      <c r="BA82" s="896">
        <f t="shared" si="84"/>
        <v>0</v>
      </c>
      <c r="BB82" s="899" t="str">
        <f t="shared" si="85"/>
        <v/>
      </c>
      <c r="BC82" s="899" t="str">
        <f t="shared" si="86"/>
        <v/>
      </c>
      <c r="BD82" s="1340">
        <f t="shared" si="20"/>
        <v>0</v>
      </c>
      <c r="BE82" s="1340">
        <f t="shared" si="21"/>
        <v>0</v>
      </c>
      <c r="BF82" s="1340">
        <f t="shared" si="22"/>
        <v>0</v>
      </c>
      <c r="BG82" s="1342" t="b">
        <f t="shared" si="106"/>
        <v>0</v>
      </c>
      <c r="BH82" s="299" t="str">
        <f t="shared" si="24"/>
        <v/>
      </c>
      <c r="BI82" s="1343">
        <f t="shared" si="107"/>
        <v>0</v>
      </c>
      <c r="BJ82" s="1344">
        <f t="shared" si="108"/>
        <v>0</v>
      </c>
      <c r="BK82" s="1344">
        <f t="shared" si="87"/>
        <v>0</v>
      </c>
      <c r="BL82" s="1345">
        <f t="shared" si="27"/>
        <v>0</v>
      </c>
      <c r="BM82" s="1346">
        <f t="shared" si="28"/>
        <v>0</v>
      </c>
      <c r="BN82" s="300">
        <f t="shared" si="109"/>
        <v>0</v>
      </c>
      <c r="BO82" s="300">
        <f t="shared" si="110"/>
        <v>0</v>
      </c>
      <c r="BP82" s="1344">
        <f t="shared" si="88"/>
        <v>0</v>
      </c>
      <c r="BQ82" s="301">
        <f t="shared" si="31"/>
        <v>0</v>
      </c>
      <c r="BR82" s="314"/>
      <c r="BS82" s="1343">
        <f t="shared" si="98"/>
        <v>0</v>
      </c>
      <c r="BT82" s="1344">
        <f t="shared" si="98"/>
        <v>0</v>
      </c>
      <c r="BU82" s="1344">
        <f t="shared" si="98"/>
        <v>0</v>
      </c>
      <c r="BV82" s="303">
        <f t="shared" si="98"/>
        <v>0</v>
      </c>
      <c r="BW82" s="304">
        <f t="shared" si="111"/>
        <v>0</v>
      </c>
      <c r="BX82" s="300">
        <f t="shared" si="112"/>
        <v>0</v>
      </c>
      <c r="BY82" s="1344">
        <f t="shared" si="89"/>
        <v>0</v>
      </c>
      <c r="BZ82" s="300">
        <f t="shared" si="90"/>
        <v>0</v>
      </c>
      <c r="CA82" s="301">
        <f t="shared" si="36"/>
        <v>0</v>
      </c>
      <c r="CB82" s="305" t="e">
        <f t="shared" si="113"/>
        <v>#DIV/0!</v>
      </c>
      <c r="CC82" s="304" t="e">
        <f t="shared" si="38"/>
        <v>#DIV/0!</v>
      </c>
      <c r="CD82" s="300">
        <f t="shared" si="39"/>
        <v>0</v>
      </c>
      <c r="CE82" s="306">
        <f t="shared" si="91"/>
        <v>0</v>
      </c>
      <c r="CF82" s="306">
        <f t="shared" si="40"/>
        <v>0</v>
      </c>
      <c r="CG82" s="307" t="e">
        <f t="shared" si="41"/>
        <v>#DIV/0!</v>
      </c>
      <c r="CH82" s="307" t="e">
        <f t="shared" si="114"/>
        <v>#DIV/0!</v>
      </c>
      <c r="CI82" s="308" t="e">
        <f t="shared" si="139"/>
        <v>#DIV/0!</v>
      </c>
      <c r="CJ82" s="309" t="e">
        <f t="shared" si="115"/>
        <v>#DIV/0!</v>
      </c>
      <c r="CK82" s="175" t="e">
        <f t="shared" si="93"/>
        <v>#DIV/0!</v>
      </c>
      <c r="CL82" s="175" t="str">
        <f t="shared" si="116"/>
        <v/>
      </c>
      <c r="CM82" s="310" t="e">
        <f t="shared" si="94"/>
        <v>#DIV/0!</v>
      </c>
      <c r="CN82" s="311" t="e">
        <f t="shared" si="95"/>
        <v>#DIV/0!</v>
      </c>
      <c r="CO82" s="311">
        <f t="shared" si="96"/>
        <v>0</v>
      </c>
      <c r="CP82" s="175">
        <f t="shared" si="45"/>
        <v>1</v>
      </c>
      <c r="CQ82" s="175">
        <f t="shared" si="46"/>
        <v>1</v>
      </c>
      <c r="CR82" s="175" t="str">
        <f t="shared" si="117"/>
        <v/>
      </c>
      <c r="CS82" s="175">
        <f t="shared" si="48"/>
        <v>0</v>
      </c>
      <c r="CT82" s="312">
        <f t="shared" si="49"/>
        <v>0</v>
      </c>
      <c r="CU82" s="175" t="str">
        <f t="shared" si="50"/>
        <v>OK</v>
      </c>
      <c r="CV82" s="313">
        <f t="shared" si="51"/>
        <v>0.05</v>
      </c>
      <c r="CW82" s="312" t="e">
        <f t="shared" si="118"/>
        <v>#DIV/0!</v>
      </c>
      <c r="CX82" s="312" t="e">
        <f t="shared" si="119"/>
        <v>#DIV/0!</v>
      </c>
      <c r="CY82" s="312" t="e">
        <f t="shared" si="120"/>
        <v>#DIV/0!</v>
      </c>
      <c r="CZ82" s="312" t="e">
        <f t="shared" si="121"/>
        <v>#DIV/0!</v>
      </c>
      <c r="DA82" s="312">
        <f t="shared" si="122"/>
        <v>1</v>
      </c>
      <c r="DB82" s="312">
        <f t="shared" si="57"/>
        <v>0</v>
      </c>
      <c r="DC82" s="175" t="str">
        <f t="shared" si="123"/>
        <v>Soft</v>
      </c>
      <c r="DD82" s="175"/>
      <c r="DE82" s="175">
        <f t="shared" si="124"/>
        <v>0</v>
      </c>
      <c r="DF82" s="312" t="e">
        <f t="shared" si="125"/>
        <v>#DIV/0!</v>
      </c>
      <c r="DG82" s="312" t="e">
        <f t="shared" si="126"/>
        <v>#DIV/0!</v>
      </c>
      <c r="DH82" s="312" t="e">
        <f t="shared" si="127"/>
        <v>#DIV/0!</v>
      </c>
      <c r="DI82" s="312" t="e">
        <f t="shared" si="128"/>
        <v>#DIV/0!</v>
      </c>
      <c r="DJ82" s="312" t="e">
        <f t="shared" si="97"/>
        <v>#DIV/0!</v>
      </c>
      <c r="DK82" s="175"/>
      <c r="DL82" s="175"/>
      <c r="DM82" s="175"/>
      <c r="DN82" s="175">
        <f t="shared" si="129"/>
        <v>1</v>
      </c>
      <c r="DO82" s="312" t="e">
        <f t="shared" si="130"/>
        <v>#DIV/0!</v>
      </c>
      <c r="DP82" s="312" t="e">
        <f t="shared" si="131"/>
        <v>#DIV/0!</v>
      </c>
      <c r="DQ82" s="312" t="e">
        <f t="shared" si="132"/>
        <v>#DIV/0!</v>
      </c>
      <c r="DR82" s="312" t="e">
        <f t="shared" si="133"/>
        <v>#DIV/0!</v>
      </c>
      <c r="DS82" s="312" t="e">
        <f t="shared" si="134"/>
        <v>#DIV/0!</v>
      </c>
      <c r="DT82" s="312" t="e">
        <f t="shared" si="135"/>
        <v>#DIV/0!</v>
      </c>
      <c r="DU82" s="312">
        <f t="shared" si="71"/>
        <v>0</v>
      </c>
      <c r="DV82" s="175"/>
      <c r="DW82" s="175" t="b">
        <f t="shared" si="136"/>
        <v>1</v>
      </c>
      <c r="DX82" s="175" t="b">
        <f t="shared" si="136"/>
        <v>1</v>
      </c>
      <c r="DY82" s="175" t="b">
        <f t="shared" si="136"/>
        <v>1</v>
      </c>
      <c r="DZ82" s="175" t="b">
        <f t="shared" si="136"/>
        <v>1</v>
      </c>
      <c r="EA82" s="175" t="b">
        <f t="shared" si="136"/>
        <v>1</v>
      </c>
      <c r="EB82" s="168"/>
    </row>
    <row r="83" spans="1:132" s="140" customFormat="1" ht="18.5" hidden="1" thickBot="1" x14ac:dyDescent="0.45">
      <c r="A83" s="150"/>
      <c r="B83" s="296" t="str">
        <f t="shared" si="73"/>
        <v>-</v>
      </c>
      <c r="C83" s="279">
        <v>64</v>
      </c>
      <c r="D83" s="1557"/>
      <c r="E83" s="1558"/>
      <c r="F83" s="977"/>
      <c r="G83" s="1103"/>
      <c r="H83" s="978"/>
      <c r="I83" s="965"/>
      <c r="J83" s="1325"/>
      <c r="K83" s="1326"/>
      <c r="L83" s="1326"/>
      <c r="M83" s="1326"/>
      <c r="N83" s="1327"/>
      <c r="O83" s="974"/>
      <c r="P83" s="975"/>
      <c r="Q83" s="976"/>
      <c r="R83" s="966"/>
      <c r="S83" s="280" t="str">
        <f t="shared" si="99"/>
        <v/>
      </c>
      <c r="T83" s="281" t="str">
        <f t="shared" si="100"/>
        <v/>
      </c>
      <c r="U83" s="282">
        <f t="shared" si="101"/>
        <v>0</v>
      </c>
      <c r="V83" s="259" t="str">
        <f t="shared" si="102"/>
        <v/>
      </c>
      <c r="W83" s="260" t="str">
        <f t="shared" si="103"/>
        <v/>
      </c>
      <c r="X83" s="283">
        <f t="shared" si="137"/>
        <v>0</v>
      </c>
      <c r="Y83" s="284" t="str">
        <f t="shared" si="104"/>
        <v/>
      </c>
      <c r="Z83" s="150"/>
      <c r="AA83" s="175"/>
      <c r="AB83" s="175">
        <v>64</v>
      </c>
      <c r="AC83" s="297" t="str">
        <f t="shared" si="138"/>
        <v>-</v>
      </c>
      <c r="AD83" s="297">
        <f t="shared" si="77"/>
        <v>0</v>
      </c>
      <c r="AE83" s="297">
        <f t="shared" si="78"/>
        <v>0</v>
      </c>
      <c r="AF83" s="297"/>
      <c r="AG83" s="298">
        <f t="shared" si="79"/>
        <v>0</v>
      </c>
      <c r="AH83" s="1339">
        <f t="shared" si="7"/>
        <v>0</v>
      </c>
      <c r="AI83" s="1340">
        <f>IF(SUM(AH83:AH$99)=0,0,F83&gt;0)</f>
        <v>0</v>
      </c>
      <c r="AJ83" s="1339">
        <f t="shared" si="8"/>
        <v>0</v>
      </c>
      <c r="AK83" s="1340">
        <f>IF(SUM(AH83:AH$99)=0,0,AND(AI83=FALSE,AJ83=0,SUM(AJ83:AJ$99)&gt;0))</f>
        <v>0</v>
      </c>
      <c r="AL83" s="1340">
        <f t="shared" si="9"/>
        <v>0</v>
      </c>
      <c r="AM83" s="1340">
        <f t="shared" si="10"/>
        <v>0</v>
      </c>
      <c r="AN83" s="1341">
        <f t="shared" si="11"/>
        <v>0</v>
      </c>
      <c r="AO83" s="1341">
        <f t="shared" si="12"/>
        <v>0</v>
      </c>
      <c r="AP83" s="264">
        <f t="shared" si="105"/>
        <v>0</v>
      </c>
      <c r="AQ83" s="264">
        <f t="shared" si="80"/>
        <v>0</v>
      </c>
      <c r="AR83" s="1340">
        <f t="shared" si="14"/>
        <v>0</v>
      </c>
      <c r="AS83" s="1340" t="str">
        <f t="shared" si="81"/>
        <v/>
      </c>
      <c r="AT83" s="1340">
        <f t="shared" si="15"/>
        <v>0</v>
      </c>
      <c r="AU83" s="898">
        <f t="shared" si="82"/>
        <v>0</v>
      </c>
      <c r="AV83" s="1340">
        <f t="shared" si="16"/>
        <v>0</v>
      </c>
      <c r="AW83" s="1340">
        <f t="shared" si="17"/>
        <v>0</v>
      </c>
      <c r="AX83" s="1340">
        <f t="shared" si="18"/>
        <v>0</v>
      </c>
      <c r="AY83" s="897">
        <f t="shared" si="83"/>
        <v>0</v>
      </c>
      <c r="AZ83" s="1340">
        <f t="shared" si="19"/>
        <v>0</v>
      </c>
      <c r="BA83" s="896">
        <f t="shared" si="84"/>
        <v>0</v>
      </c>
      <c r="BB83" s="899" t="str">
        <f t="shared" si="85"/>
        <v/>
      </c>
      <c r="BC83" s="899" t="str">
        <f t="shared" si="86"/>
        <v/>
      </c>
      <c r="BD83" s="1340">
        <f t="shared" si="20"/>
        <v>0</v>
      </c>
      <c r="BE83" s="1340">
        <f t="shared" si="21"/>
        <v>0</v>
      </c>
      <c r="BF83" s="1340">
        <f t="shared" si="22"/>
        <v>0</v>
      </c>
      <c r="BG83" s="1342" t="b">
        <f t="shared" si="106"/>
        <v>0</v>
      </c>
      <c r="BH83" s="299" t="str">
        <f t="shared" si="24"/>
        <v/>
      </c>
      <c r="BI83" s="1343">
        <f t="shared" si="107"/>
        <v>0</v>
      </c>
      <c r="BJ83" s="1344">
        <f t="shared" si="108"/>
        <v>0</v>
      </c>
      <c r="BK83" s="1344">
        <f t="shared" si="87"/>
        <v>0</v>
      </c>
      <c r="BL83" s="1345">
        <f t="shared" si="27"/>
        <v>0</v>
      </c>
      <c r="BM83" s="1346">
        <f t="shared" si="28"/>
        <v>0</v>
      </c>
      <c r="BN83" s="300">
        <f t="shared" si="109"/>
        <v>0</v>
      </c>
      <c r="BO83" s="300">
        <f t="shared" si="110"/>
        <v>0</v>
      </c>
      <c r="BP83" s="1344">
        <f t="shared" si="88"/>
        <v>0</v>
      </c>
      <c r="BQ83" s="301">
        <f t="shared" si="31"/>
        <v>0</v>
      </c>
      <c r="BR83" s="314"/>
      <c r="BS83" s="1343">
        <f t="shared" si="98"/>
        <v>0</v>
      </c>
      <c r="BT83" s="1344">
        <f t="shared" si="98"/>
        <v>0</v>
      </c>
      <c r="BU83" s="1344">
        <f t="shared" si="98"/>
        <v>0</v>
      </c>
      <c r="BV83" s="303">
        <f t="shared" si="98"/>
        <v>0</v>
      </c>
      <c r="BW83" s="304">
        <f t="shared" si="111"/>
        <v>0</v>
      </c>
      <c r="BX83" s="300">
        <f t="shared" si="112"/>
        <v>0</v>
      </c>
      <c r="BY83" s="1344">
        <f t="shared" si="89"/>
        <v>0</v>
      </c>
      <c r="BZ83" s="300">
        <f t="shared" si="90"/>
        <v>0</v>
      </c>
      <c r="CA83" s="301">
        <f t="shared" si="36"/>
        <v>0</v>
      </c>
      <c r="CB83" s="305" t="e">
        <f t="shared" si="113"/>
        <v>#DIV/0!</v>
      </c>
      <c r="CC83" s="304" t="e">
        <f t="shared" si="38"/>
        <v>#DIV/0!</v>
      </c>
      <c r="CD83" s="300">
        <f t="shared" si="39"/>
        <v>0</v>
      </c>
      <c r="CE83" s="306">
        <f t="shared" si="91"/>
        <v>0</v>
      </c>
      <c r="CF83" s="306">
        <f t="shared" si="40"/>
        <v>0</v>
      </c>
      <c r="CG83" s="307" t="e">
        <f t="shared" si="41"/>
        <v>#DIV/0!</v>
      </c>
      <c r="CH83" s="307" t="e">
        <f t="shared" si="114"/>
        <v>#DIV/0!</v>
      </c>
      <c r="CI83" s="308" t="e">
        <f t="shared" si="139"/>
        <v>#DIV/0!</v>
      </c>
      <c r="CJ83" s="309" t="e">
        <f t="shared" si="115"/>
        <v>#DIV/0!</v>
      </c>
      <c r="CK83" s="175" t="e">
        <f t="shared" si="93"/>
        <v>#DIV/0!</v>
      </c>
      <c r="CL83" s="175" t="str">
        <f t="shared" si="116"/>
        <v/>
      </c>
      <c r="CM83" s="310" t="e">
        <f t="shared" si="94"/>
        <v>#DIV/0!</v>
      </c>
      <c r="CN83" s="311" t="e">
        <f t="shared" si="95"/>
        <v>#DIV/0!</v>
      </c>
      <c r="CO83" s="311">
        <f t="shared" si="96"/>
        <v>0</v>
      </c>
      <c r="CP83" s="175">
        <f t="shared" si="45"/>
        <v>1</v>
      </c>
      <c r="CQ83" s="175">
        <f t="shared" si="46"/>
        <v>1</v>
      </c>
      <c r="CR83" s="175" t="str">
        <f t="shared" si="117"/>
        <v/>
      </c>
      <c r="CS83" s="175">
        <f t="shared" si="48"/>
        <v>0</v>
      </c>
      <c r="CT83" s="312">
        <f t="shared" si="49"/>
        <v>0</v>
      </c>
      <c r="CU83" s="175" t="str">
        <f t="shared" si="50"/>
        <v>OK</v>
      </c>
      <c r="CV83" s="313">
        <f t="shared" si="51"/>
        <v>0.05</v>
      </c>
      <c r="CW83" s="312" t="e">
        <f t="shared" si="118"/>
        <v>#DIV/0!</v>
      </c>
      <c r="CX83" s="312" t="e">
        <f t="shared" si="119"/>
        <v>#DIV/0!</v>
      </c>
      <c r="CY83" s="312" t="e">
        <f t="shared" si="120"/>
        <v>#DIV/0!</v>
      </c>
      <c r="CZ83" s="312" t="e">
        <f t="shared" si="121"/>
        <v>#DIV/0!</v>
      </c>
      <c r="DA83" s="312">
        <f t="shared" si="122"/>
        <v>1</v>
      </c>
      <c r="DB83" s="312">
        <f t="shared" si="57"/>
        <v>0</v>
      </c>
      <c r="DC83" s="175" t="str">
        <f t="shared" si="123"/>
        <v>Soft</v>
      </c>
      <c r="DD83" s="175"/>
      <c r="DE83" s="175">
        <f t="shared" si="124"/>
        <v>0</v>
      </c>
      <c r="DF83" s="312" t="e">
        <f t="shared" si="125"/>
        <v>#DIV/0!</v>
      </c>
      <c r="DG83" s="312" t="e">
        <f t="shared" si="126"/>
        <v>#DIV/0!</v>
      </c>
      <c r="DH83" s="312" t="e">
        <f t="shared" si="127"/>
        <v>#DIV/0!</v>
      </c>
      <c r="DI83" s="312" t="e">
        <f t="shared" si="128"/>
        <v>#DIV/0!</v>
      </c>
      <c r="DJ83" s="312" t="e">
        <f t="shared" si="97"/>
        <v>#DIV/0!</v>
      </c>
      <c r="DK83" s="175"/>
      <c r="DL83" s="175"/>
      <c r="DM83" s="175"/>
      <c r="DN83" s="175">
        <f t="shared" si="129"/>
        <v>1</v>
      </c>
      <c r="DO83" s="312" t="e">
        <f t="shared" si="130"/>
        <v>#DIV/0!</v>
      </c>
      <c r="DP83" s="312" t="e">
        <f t="shared" si="131"/>
        <v>#DIV/0!</v>
      </c>
      <c r="DQ83" s="312" t="e">
        <f t="shared" si="132"/>
        <v>#DIV/0!</v>
      </c>
      <c r="DR83" s="312" t="e">
        <f t="shared" si="133"/>
        <v>#DIV/0!</v>
      </c>
      <c r="DS83" s="312" t="e">
        <f t="shared" si="134"/>
        <v>#DIV/0!</v>
      </c>
      <c r="DT83" s="312" t="e">
        <f t="shared" si="135"/>
        <v>#DIV/0!</v>
      </c>
      <c r="DU83" s="312">
        <f t="shared" si="71"/>
        <v>0</v>
      </c>
      <c r="DV83" s="175"/>
      <c r="DW83" s="175" t="b">
        <f t="shared" si="136"/>
        <v>1</v>
      </c>
      <c r="DX83" s="175" t="b">
        <f t="shared" si="136"/>
        <v>1</v>
      </c>
      <c r="DY83" s="175" t="b">
        <f t="shared" si="136"/>
        <v>1</v>
      </c>
      <c r="DZ83" s="175" t="b">
        <f t="shared" si="136"/>
        <v>1</v>
      </c>
      <c r="EA83" s="175" t="b">
        <f t="shared" si="136"/>
        <v>1</v>
      </c>
      <c r="EB83" s="168"/>
    </row>
    <row r="84" spans="1:132" s="140" customFormat="1" ht="18.5" hidden="1" thickBot="1" x14ac:dyDescent="0.45">
      <c r="A84" s="150"/>
      <c r="B84" s="296" t="str">
        <f t="shared" si="73"/>
        <v>-</v>
      </c>
      <c r="C84" s="279">
        <v>65</v>
      </c>
      <c r="D84" s="1557"/>
      <c r="E84" s="1558"/>
      <c r="F84" s="977"/>
      <c r="G84" s="1103"/>
      <c r="H84" s="978"/>
      <c r="I84" s="965"/>
      <c r="J84" s="1325"/>
      <c r="K84" s="1326"/>
      <c r="L84" s="1326"/>
      <c r="M84" s="1326"/>
      <c r="N84" s="1327"/>
      <c r="O84" s="974"/>
      <c r="P84" s="975"/>
      <c r="Q84" s="976"/>
      <c r="R84" s="966"/>
      <c r="S84" s="280" t="str">
        <f t="shared" ref="S84:S99" si="140">IF(AND(AY84=TRUE,AZ84=TRUE,InputIssues=0),IF(Q84="device",2,IF(BD84=FALSE,1,0.5)*Q84/R84),"")</f>
        <v/>
      </c>
      <c r="T84" s="281" t="str">
        <f t="shared" ref="T84:T99" si="141">IF(AND(AY84=TRUE,InputIssues=0),IF(T$19=F$165,BQ84,IF(T$19=G$165,BZ84,BZ84/BQ84)),"")</f>
        <v/>
      </c>
      <c r="U84" s="282">
        <f t="shared" ref="U84:U99" si="142">IF(InputIssues=0,MAX(G84*H84,I84),0)</f>
        <v>0</v>
      </c>
      <c r="V84" s="259" t="str">
        <f t="shared" ref="V84:V99" si="143">IF(AllInputsOK=FALSE,"",CL84)</f>
        <v/>
      </c>
      <c r="W84" s="260" t="str">
        <f t="shared" ref="W84:W99" si="144">IF(AllInputsOK=FALSE,"",CK84)</f>
        <v/>
      </c>
      <c r="X84" s="283">
        <f t="shared" si="137"/>
        <v>0</v>
      </c>
      <c r="Y84" s="284" t="str">
        <f t="shared" ref="Y84:Y99" si="145">IF(AllInputsOK=FALSE,"",CJ84)</f>
        <v/>
      </c>
      <c r="Z84" s="150"/>
      <c r="AA84" s="175"/>
      <c r="AB84" s="175">
        <v>65</v>
      </c>
      <c r="AC84" s="297" t="str">
        <f t="shared" si="138"/>
        <v>-</v>
      </c>
      <c r="AD84" s="297">
        <f t="shared" si="77"/>
        <v>0</v>
      </c>
      <c r="AE84" s="297">
        <f t="shared" si="78"/>
        <v>0</v>
      </c>
      <c r="AF84" s="297"/>
      <c r="AG84" s="298">
        <f t="shared" si="79"/>
        <v>0</v>
      </c>
      <c r="AH84" s="1339">
        <f t="shared" ref="AH84:AH99" si="146">COUNTA(D84:R84)</f>
        <v>0</v>
      </c>
      <c r="AI84" s="1340">
        <f>IF(SUM(AH84:AH$99)=0,0,F84&gt;0)</f>
        <v>0</v>
      </c>
      <c r="AJ84" s="1339">
        <f t="shared" ref="AJ84:AJ99" si="147">COUNTA(G84:R84)</f>
        <v>0</v>
      </c>
      <c r="AK84" s="1340">
        <f>IF(SUM(AH84:AH$99)=0,0,AND(AI84=FALSE,AJ84=0,SUM(AJ84:AJ$99)&gt;0))</f>
        <v>0</v>
      </c>
      <c r="AL84" s="1340">
        <f t="shared" ref="AL84:AL99" si="148">IF(AH84=0,0,AND(AI84=FALSE,AJ84&gt;0))</f>
        <v>0</v>
      </c>
      <c r="AM84" s="1340">
        <f t="shared" ref="AM84:AM99" si="149">IF(AH84=0,0,AND(AN84&lt;&gt;TRUE,COUNTIF(AR84:AX84,TRUE)=0,G84=0,Q84&lt;&gt;"device",R84&gt;0))</f>
        <v>0</v>
      </c>
      <c r="AN84" s="1341">
        <f t="shared" ref="AN84:AN99" si="150">IF(AH84=0,0,AND(AI84=TRUE,G84*H84=0,I84=0))</f>
        <v>0</v>
      </c>
      <c r="AO84" s="1341">
        <f t="shared" ref="AO84:AO99" si="151">IF(H84=0,0,G84*H84&lt;I84)</f>
        <v>0</v>
      </c>
      <c r="AP84" s="264">
        <f t="shared" ref="AP84:AP99" si="152">IF(AH84=0,0,AND(AI84=TRUE,OR(AND(K84="Ground: direct",AreaA=0),AND(K84="Ground: suspended",AreaB=0),AND(K84="upper",$F$12=0))))</f>
        <v>0</v>
      </c>
      <c r="AQ84" s="264">
        <f t="shared" si="80"/>
        <v>0</v>
      </c>
      <c r="AR84" s="1340">
        <f t="shared" ref="AR84:AR99" si="153">IF(AH84=0,0,AND(AI84=TRUE,AN84=FALSE,ISBLANK(O84)))</f>
        <v>0</v>
      </c>
      <c r="AS84" s="1340" t="str">
        <f t="shared" si="81"/>
        <v/>
      </c>
      <c r="AT84" s="1340">
        <f t="shared" ref="AT84:AT99" si="154">IF(AH84=0,0,AND(AI84=TRUE,AN84=FALSE,ISBLANK(P84)))</f>
        <v>0</v>
      </c>
      <c r="AU84" s="898">
        <f t="shared" si="82"/>
        <v>0</v>
      </c>
      <c r="AV84" s="1340">
        <f t="shared" ref="AV84:AV99" si="155">IF(AH84=0,0,AND(AR84=FALSE,AT84=FALSE,OR(Q84&lt;0,AND(ISTEXT(Q84),Q84&lt;&gt;"device"))))</f>
        <v>0</v>
      </c>
      <c r="AW84" s="1340">
        <f t="shared" ref="AW84:AW99" si="156">IF(AH84=0,0,AND(AI84=TRUE,AN84=FALSE,AR84=FALSE,AT84=FALSE,AV84=FALSE,Q84&gt;0,Q84&lt;&gt;"device",R84=0))</f>
        <v>0</v>
      </c>
      <c r="AX84" s="1340">
        <f t="shared" ref="AX84:AX99" si="157">IF(AH84=0,0,AND(AI84=TRUE,AN84=FALSE,AR84=FALSE,AT84=FALSE,R84&gt;0,OR(Q84=0,Q84="device")))</f>
        <v>0</v>
      </c>
      <c r="AY84" s="897">
        <f t="shared" si="83"/>
        <v>0</v>
      </c>
      <c r="AZ84" s="1340">
        <f t="shared" ref="AZ84:AZ99" si="158">IF(AH84=0,0,AND(Q84&gt;0,AY84=TRUE))</f>
        <v>0</v>
      </c>
      <c r="BA84" s="896">
        <f t="shared" si="84"/>
        <v>0</v>
      </c>
      <c r="BB84" s="899" t="str">
        <f t="shared" si="85"/>
        <v/>
      </c>
      <c r="BC84" s="899" t="str">
        <f t="shared" si="86"/>
        <v/>
      </c>
      <c r="BD84" s="1340">
        <f t="shared" ref="BD84:BD99" si="159">IF(AH84=0,0,AND(G84&gt;0,R84-G84&gt;0.5))</f>
        <v>0</v>
      </c>
      <c r="BE84" s="1340">
        <f t="shared" ref="BE84:BE99" si="160">IF(AH84=0,0,AND(ISNUMBER(S84),S84&gt;2))</f>
        <v>0</v>
      </c>
      <c r="BF84" s="1340">
        <f t="shared" ref="BF84:BF99" si="161">IF(AH84=0,0,AND(AI84=TRUE,COUNT(G84:I84)=3,G84*H84&lt;&gt;I84))</f>
        <v>0</v>
      </c>
      <c r="BG84" s="1342" t="b">
        <f t="shared" ref="BG84:BG99" si="162">AND(UpperInputsAlerts=0,DudTableInputs=0,COUNTIF(CG84:CH84,TRUE)&lt;&gt;0)</f>
        <v>0</v>
      </c>
      <c r="BH84" s="299" t="str">
        <f t="shared" ref="BH84:BH99" si="163">IFERROR((R84-G84)/Q84,"")</f>
        <v/>
      </c>
      <c r="BI84" s="1343">
        <f t="shared" ref="BI84:BI99" si="164">IF(S84="",0,INDEX(Projections,MATCH(S84,Projections,1),1))</f>
        <v>0</v>
      </c>
      <c r="BJ84" s="1344">
        <f t="shared" ref="BJ84:BJ99" si="165">IF(S84="",0,IF(BI84=2,2,INDEX(Projections,MATCH(S84,Projections,1)+1,1)))</f>
        <v>0</v>
      </c>
      <c r="BK84" s="1344">
        <f t="shared" si="87"/>
        <v>0</v>
      </c>
      <c r="BL84" s="1345">
        <f t="shared" ref="BL84:BL99" si="166">IF(OR(S84="",BK84=0),0,(S84-BI84)/BK84)</f>
        <v>0</v>
      </c>
      <c r="BM84" s="1346">
        <f t="shared" ref="BM84:BM99" si="167">IF(OR(AH84=0,AY84&lt;&gt;TRUE),0,F84)</f>
        <v>0</v>
      </c>
      <c r="BN84" s="300">
        <f t="shared" ref="BN84:BN99" si="168">IF(AND($AY84=TRUE,Zone=0),10,IF(OR($BM84=0,$BM84=FALSE),0,IF(Slab_or_Timb="Slab",INDEX(ExposuresSummer,MATCH($BI84,Projections,1),MATCH($BM84,Directions,0),Zone_Col),INDEX(ExposuresSummerTimber,MATCH($BI84,Projections,1),MATCH($BM84,Directions,0),Zone_Col))))</f>
        <v>0</v>
      </c>
      <c r="BO84" s="300">
        <f t="shared" ref="BO84:BO99" si="169">IF(AND($AY84=TRUE,Zone=0),10,IF(OR($BM84=0,$BM84=FALSE),0,IF(Slab_or_Timb="Slab",INDEX(ExposuresSummer,MATCH($BJ84,Projections,1),MATCH($BM84,Directions,0),Zone_Col),INDEX(ExposuresSummerTimber,MATCH($BJ84,Projections,1),MATCH($BM84,Directions,0),Zone_Col))))</f>
        <v>0</v>
      </c>
      <c r="BP84" s="1344">
        <f t="shared" si="88"/>
        <v>0</v>
      </c>
      <c r="BQ84" s="301">
        <f t="shared" ref="BQ84:BQ99" si="170">(BN84-BP84*$BL84)*DB84</f>
        <v>0</v>
      </c>
      <c r="BR84" s="314"/>
      <c r="BS84" s="1343">
        <f t="shared" si="98"/>
        <v>0</v>
      </c>
      <c r="BT84" s="1344">
        <f t="shared" si="98"/>
        <v>0</v>
      </c>
      <c r="BU84" s="1344">
        <f t="shared" si="98"/>
        <v>0</v>
      </c>
      <c r="BV84" s="303">
        <f t="shared" si="98"/>
        <v>0</v>
      </c>
      <c r="BW84" s="304">
        <f t="shared" ref="BW84:BW99" si="171">IF(AND($AY84=TRUE,Zone=0),10,IF(OR($BM84=0,$BM84=FALSE),0,IF(Slab_or_Timb="Slab",INDEX(ExposuresWinter,MATCH($BS84,Projections,1),MATCH($BM84,Directions,0),Zone_Col),INDEX(ExposuresWinterTimber,MATCH($BS84,Projections,1),MATCH($BM84,Directions,0),Zone_Col))))</f>
        <v>0</v>
      </c>
      <c r="BX84" s="300">
        <f t="shared" ref="BX84:BX99" si="172">IF(AND($AY84=TRUE,Zone=0),10,IF(OR($BM84=0,$BM84=FALSE),0,IF(Slab_or_Timb="Slab",INDEX(ExposuresWinter,MATCH($BT84,Projections,1),MATCH($BM84,Directions,0),Zone_Col),INDEX(ExposuresWinterTimber,MATCH($BT84,Projections,1),MATCH($BM84,Directions,0),Zone_Col))))</f>
        <v>0</v>
      </c>
      <c r="BY84" s="1344">
        <f t="shared" si="89"/>
        <v>0</v>
      </c>
      <c r="BZ84" s="300">
        <f t="shared" si="90"/>
        <v>0</v>
      </c>
      <c r="CA84" s="301">
        <f t="shared" ref="CA84:CA99" si="173">IF(P84&gt;0.7,U84*0.7*BZ84,U84*P84*BZ84)</f>
        <v>0</v>
      </c>
      <c r="CB84" s="305" t="e">
        <f t="shared" ref="CB84:CB99" si="174">IF(Zone=1,"N/A",CA84/SUM(CA$20:CA$99))</f>
        <v>#DIV/0!</v>
      </c>
      <c r="CC84" s="304" t="e">
        <f t="shared" ref="CC84:CC99" si="175">(IF(AY84=TRUE,IF(U84="",0,U84)*O84,0))*DJ84</f>
        <v>#DIV/0!</v>
      </c>
      <c r="CD84" s="300">
        <f t="shared" ref="CD84:CD99" si="176">IF(P84&gt;0.7,0.7*IF(U84="",0,U84)*BQ84,P84*IF(U84="",0,U84)*BQ84)</f>
        <v>0</v>
      </c>
      <c r="CE84" s="306">
        <f t="shared" si="91"/>
        <v>0</v>
      </c>
      <c r="CF84" s="306">
        <f t="shared" ref="CF84:CF99" si="177">IF(AY84&lt;&gt;TRUE,0,CD84/CD$4)</f>
        <v>0</v>
      </c>
      <c r="CG84" s="307" t="e">
        <f t="shared" ref="CG84:CG99" si="178">IF(SUM(CC84:CD84)=0,0,AND(AI84=TRUE,CC$6&lt;0))</f>
        <v>#DIV/0!</v>
      </c>
      <c r="CH84" s="307" t="e">
        <f t="shared" ref="CH84:CH99" si="179">IF(Zone=8,"FALSE",IF(SUM(CC84:CD84)=0,0,AND(AI84=TRUE,CD$6&lt;0)))</f>
        <v>#DIV/0!</v>
      </c>
      <c r="CI84" s="308" t="e">
        <f t="shared" si="139"/>
        <v>#DIV/0!</v>
      </c>
      <c r="CJ84" s="309" t="e">
        <f t="shared" ref="CJ84:CJ99" si="180">IF(SUM(CC84:CD84)=0,"",IF(Zone=8,"not required",TEXT(CF84,IF(CF84&lt;0.005,"0.0%","0%"))&amp;" of "&amp;TEXT(CD$8,"0%")))</f>
        <v>#DIV/0!</v>
      </c>
      <c r="CK84" s="175" t="e">
        <f t="shared" si="93"/>
        <v>#DIV/0!</v>
      </c>
      <c r="CL84" s="175" t="str">
        <f t="shared" ref="CL84:CL99" si="181">IF(Zone=1,"N/A",IF(CE84&gt;0,TEXT(CE84,IF(CE84&lt;0.005,"0.0%","0%")),""))</f>
        <v/>
      </c>
      <c r="CM84" s="310" t="e">
        <f t="shared" si="94"/>
        <v>#DIV/0!</v>
      </c>
      <c r="CN84" s="311" t="e">
        <f t="shared" si="95"/>
        <v>#DIV/0!</v>
      </c>
      <c r="CO84" s="311">
        <f t="shared" si="96"/>
        <v>0</v>
      </c>
      <c r="CP84" s="175">
        <f t="shared" ref="CP84:CP99" si="182">IF(G84&lt;1.5,1,2)</f>
        <v>1</v>
      </c>
      <c r="CQ84" s="175">
        <f t="shared" ref="CQ84:CQ99" si="183">IF(H84&lt;=1.2,1,IF(H84&lt;2.7,2,IF(H84&gt;=2.7,3,"input")))</f>
        <v>1</v>
      </c>
      <c r="CR84" s="175" t="str">
        <f t="shared" ref="CR84:CR99" si="184">IFERROR(IF(G84&lt;=1.5,VLOOKUP(N84,Win_Open_less_1.5,CQ84+2,1),VLOOKUP(N84,Win_Open_more_1.5,CQ84+2,1)),"")</f>
        <v/>
      </c>
      <c r="CS84" s="175">
        <f t="shared" ref="CS84:CS98" si="185">IF(CR84=0,0,IF(CR84="",N84,CR84))</f>
        <v>0</v>
      </c>
      <c r="CT84" s="312">
        <f t="shared" ref="CT84:CT99" si="186">CS84*U84</f>
        <v>0</v>
      </c>
      <c r="CU84" s="175" t="str">
        <f t="shared" ref="CU84:CU99" si="187">IF(CT84&gt;0.9*U84,"error","OK")</f>
        <v>OK</v>
      </c>
      <c r="CV84" s="313">
        <f t="shared" ref="CV84:CV99" si="188">IF(N84="",0.05,IF($CU$17&lt;=0.05,0.05,IFERROR(CT84/U84,"")))</f>
        <v>0.05</v>
      </c>
      <c r="CW84" s="312" t="e">
        <f t="shared" ref="CW84:CW99" si="189">IF(Slab_or_Timb="Slab",IF(J84&lt;&gt;"Other",HLOOKUP($CV$13,S_Slab_Fact,2),1),IF(J84&lt;&gt;"Other",HLOOKUP($CV$13,S_Timb_Fact,2),1))</f>
        <v>#DIV/0!</v>
      </c>
      <c r="CX84" s="312" t="e">
        <f t="shared" ref="CX84:CX99" si="190">IF(Slab_or_Timb="Slab",IF($M84="Dark",HLOOKUP($CV$13,S_Slab_Fact,4),1),IF($M84="Dark",HLOOKUP($CV$13,S_Timb_Fact,4),1))</f>
        <v>#DIV/0!</v>
      </c>
      <c r="CY84" s="312" t="e">
        <f t="shared" ref="CY84:CY99" si="191">IF(Slab_or_Timb="Slab",IF($M84="Medium",HLOOKUP($CV$13,S_Slab_Fact,5),1),IF($M84="Medium",HLOOKUP($CV$13,S_Timb_Fact,5),1))</f>
        <v>#DIV/0!</v>
      </c>
      <c r="CZ84" s="312" t="e">
        <f t="shared" ref="CZ84:CZ99" si="192">IF(Slab_or_Timb="Slab",IF($M84="Light",HLOOKUP($CV$13,S_Slab_Fact,6),1),IF($M84="Light",HLOOKUP($CV$13,S_Timb_Fact,6),1))</f>
        <v>#DIV/0!</v>
      </c>
      <c r="DA84" s="312">
        <f t="shared" ref="DA84:DA99" si="193">IFERROR(IF(Slab_or_Timb="Slab",IF($DC84="Hard",HLOOKUP($CV$13,S_Slab_Fact,7),1),1),1)</f>
        <v>1</v>
      </c>
      <c r="DB84" s="312">
        <f t="shared" ref="DB84:DB99" si="194">IF(U84=0,0,CW84*CX84*CY84*CZ84*DA84)</f>
        <v>0</v>
      </c>
      <c r="DC84" s="175" t="str">
        <f t="shared" ref="DC84:DC99" si="195">IF(AND(K84="Ground: Direct",J84&lt;&gt;"Utility"),VLOOKUP(L84,Hard_Floor,2),"Soft")</f>
        <v>Soft</v>
      </c>
      <c r="DD84" s="175"/>
      <c r="DE84" s="175">
        <f t="shared" ref="DE84:DE99" si="196">IFERROR(VLOOKUP(F84,Orient_Num,2),0)</f>
        <v>0</v>
      </c>
      <c r="DF84" s="312" t="e">
        <f t="shared" ref="DF84:DF99" si="197">IF(Slab_or_Timb="Slab",IFERROR(HLOOKUP(DE84,OC_Fact_Slab,Zone_Col+1),0),IFERROR(HLOOKUP(DE84,OC_Fact_Timb,Zone_Col+1),0))</f>
        <v>#DIV/0!</v>
      </c>
      <c r="DG84" s="312" t="e">
        <f t="shared" ref="DG84:DG99" si="198">IF(Slab_or_Timb="Slab",IF(J84&lt;&gt;"Other",HLOOKUP($CV$13,W_Slab_Fact,4),1),IF(J84&lt;&gt;"Other",HLOOKUP($CV$13,W_Timb_Fact,4),1))</f>
        <v>#DIV/0!</v>
      </c>
      <c r="DH84" s="312" t="e">
        <f t="shared" ref="DH84:DH99" si="199">IF(Slab_or_Timb="Slab",IF(J84&lt;&gt;"Other",HLOOKUP($CV$13,W_Slab_Fact,2),1),IF(J84&lt;&gt;"Other",HLOOKUP($CV$13,W_Timb_Fact,2),1))</f>
        <v>#DIV/0!</v>
      </c>
      <c r="DI84" s="312" t="e">
        <f t="shared" ref="DI84:DI99" si="200">IF(Slab_or_Timb="Slab",IF(K84="Upper",HLOOKUP($CV$13,W_Slab_Fact,3),1),IF(K84="Upper",HLOOKUP($CV$13,W_Timb_Fact,3),1))</f>
        <v>#DIV/0!</v>
      </c>
      <c r="DJ84" s="312" t="e">
        <f t="shared" si="97"/>
        <v>#DIV/0!</v>
      </c>
      <c r="DK84" s="175"/>
      <c r="DL84" s="175"/>
      <c r="DM84" s="175"/>
      <c r="DN84" s="175">
        <f t="shared" ref="DN84:DN99" si="201">IFERROR(IF(Slab_or_Timb="Slab",IF($DC84="Hard",HLOOKUP($CV$13,W_Slab_Fact,9),1),1),1)</f>
        <v>1</v>
      </c>
      <c r="DO84" s="312" t="e">
        <f t="shared" ref="DO84:DO99" si="202">IF(Slab_or_Timb="Slab",IF($M84="Dark",HLOOKUP($CV$13,W_Slab_Fact,6),1),IF($M84="Dark",HLOOKUP($CV$13,W_Timb_Fact,6),1))</f>
        <v>#DIV/0!</v>
      </c>
      <c r="DP84" s="312" t="e">
        <f t="shared" ref="DP84:DP99" si="203">IF(Slab_or_Timb="Slab",IF($M84="Medium",HLOOKUP($CV$13,W_Slab_Fact,7),1),IF($M84="Medium",HLOOKUP($CV$13,W_Timb_Fact,7),1))</f>
        <v>#DIV/0!</v>
      </c>
      <c r="DQ84" s="312" t="e">
        <f t="shared" ref="DQ84:DQ99" si="204">IF(Slab_or_Timb="Slab",IF($M84="Light",HLOOKUP($CV$13,W_Slab_Fact,8),1),IF($M84="Light",HLOOKUP($CV$13,W_Timb_Fact,8),1))</f>
        <v>#DIV/0!</v>
      </c>
      <c r="DR84" s="312" t="e">
        <f t="shared" ref="DR84:DR99" si="205">IF(Slab_or_Timb="Slab",IF(J84&lt;&gt;"Other",HLOOKUP($CV$13,W_Slab_Fact,5),1),IF(J84&lt;&gt;"Other",HLOOKUP($CV$13,W_Timb_Fact,5),1))</f>
        <v>#DIV/0!</v>
      </c>
      <c r="DS84" s="312" t="e">
        <f t="shared" ref="DS84:DS99" si="206">IF(Slab_or_Timb="Slab",IF(J84&lt;&gt;"Other",HLOOKUP($CV$13,W_Slab_Fact,2),1),IF(J84&lt;&gt;"Other",HLOOKUP($CV$13,W_Timb_Fact,2),1))</f>
        <v>#DIV/0!</v>
      </c>
      <c r="DT84" s="312" t="e">
        <f t="shared" ref="DT84:DT99" si="207">IF(Slab_or_Timb="Slab",IF(K84="Upper",HLOOKUP($CV$13,W_Slab_Fact,3),1),IF(K84="Upper",HLOOKUP($CV$13,W_Timb_Fact,3),1))</f>
        <v>#DIV/0!</v>
      </c>
      <c r="DU84" s="312">
        <f t="shared" ref="DU84:DU99" si="208">IF(U84=0,0,DN84*DO84*DP84*DQ84*DR84*DS84*DT84)</f>
        <v>0</v>
      </c>
      <c r="DV84" s="175"/>
      <c r="DW84" s="175" t="b">
        <f t="shared" ref="DW84:EA99" si="209">ISBLANK(J84)</f>
        <v>1</v>
      </c>
      <c r="DX84" s="175" t="b">
        <f t="shared" si="209"/>
        <v>1</v>
      </c>
      <c r="DY84" s="175" t="b">
        <f t="shared" si="209"/>
        <v>1</v>
      </c>
      <c r="DZ84" s="175" t="b">
        <f t="shared" si="209"/>
        <v>1</v>
      </c>
      <c r="EA84" s="175" t="b">
        <f t="shared" si="209"/>
        <v>1</v>
      </c>
      <c r="EB84" s="168"/>
    </row>
    <row r="85" spans="1:132" s="140" customFormat="1" ht="18.5" hidden="1" thickBot="1" x14ac:dyDescent="0.45">
      <c r="A85" s="150"/>
      <c r="B85" s="296" t="str">
        <f t="shared" si="73"/>
        <v>-</v>
      </c>
      <c r="C85" s="279">
        <v>66</v>
      </c>
      <c r="D85" s="1557"/>
      <c r="E85" s="1558"/>
      <c r="F85" s="977"/>
      <c r="G85" s="1103"/>
      <c r="H85" s="978"/>
      <c r="I85" s="965"/>
      <c r="J85" s="1325"/>
      <c r="K85" s="1326"/>
      <c r="L85" s="1326"/>
      <c r="M85" s="1326"/>
      <c r="N85" s="1327"/>
      <c r="O85" s="974"/>
      <c r="P85" s="975"/>
      <c r="Q85" s="976"/>
      <c r="R85" s="966"/>
      <c r="S85" s="280" t="str">
        <f t="shared" si="140"/>
        <v/>
      </c>
      <c r="T85" s="281" t="str">
        <f t="shared" si="141"/>
        <v/>
      </c>
      <c r="U85" s="282">
        <f t="shared" si="142"/>
        <v>0</v>
      </c>
      <c r="V85" s="259" t="str">
        <f t="shared" si="143"/>
        <v/>
      </c>
      <c r="W85" s="260" t="str">
        <f t="shared" si="144"/>
        <v/>
      </c>
      <c r="X85" s="283">
        <f t="shared" si="137"/>
        <v>0</v>
      </c>
      <c r="Y85" s="284" t="str">
        <f t="shared" si="145"/>
        <v/>
      </c>
      <c r="Z85" s="150"/>
      <c r="AA85" s="175"/>
      <c r="AB85" s="175">
        <v>66</v>
      </c>
      <c r="AC85" s="297" t="str">
        <f t="shared" si="138"/>
        <v>-</v>
      </c>
      <c r="AD85" s="297">
        <f t="shared" ref="AD85:AD99" si="210">IF(AI85=TRUE,1,0)</f>
        <v>0</v>
      </c>
      <c r="AE85" s="297">
        <f t="shared" ref="AE85:AE99" si="211">COUNTA(J85:N85)</f>
        <v>0</v>
      </c>
      <c r="AF85" s="297"/>
      <c r="AG85" s="298">
        <f t="shared" ref="AG85:AG99" si="212">IF(U85&gt;0,(IF(COUNTA(J85:N85)=5,0,1)),0)</f>
        <v>0</v>
      </c>
      <c r="AH85" s="1339">
        <f t="shared" si="146"/>
        <v>0</v>
      </c>
      <c r="AI85" s="1340">
        <f>IF(SUM(AH85:AH$99)=0,0,F85&gt;0)</f>
        <v>0</v>
      </c>
      <c r="AJ85" s="1339">
        <f t="shared" si="147"/>
        <v>0</v>
      </c>
      <c r="AK85" s="1340">
        <f>IF(SUM(AH85:AH$99)=0,0,AND(AI85=FALSE,AJ85=0,SUM(AJ85:AJ$99)&gt;0))</f>
        <v>0</v>
      </c>
      <c r="AL85" s="1340">
        <f t="shared" si="148"/>
        <v>0</v>
      </c>
      <c r="AM85" s="1340">
        <f t="shared" si="149"/>
        <v>0</v>
      </c>
      <c r="AN85" s="1341">
        <f t="shared" si="150"/>
        <v>0</v>
      </c>
      <c r="AO85" s="1341">
        <f t="shared" si="151"/>
        <v>0</v>
      </c>
      <c r="AP85" s="264">
        <f t="shared" si="152"/>
        <v>0</v>
      </c>
      <c r="AQ85" s="264">
        <f t="shared" ref="AQ85:AQ99" si="213">IF(AH85=0,0,AND(AI85=TRUE,OR(J85="",K85="",L85="",M85="",N85="")))</f>
        <v>0</v>
      </c>
      <c r="AR85" s="1340">
        <f t="shared" si="153"/>
        <v>0</v>
      </c>
      <c r="AS85" s="1340" t="str">
        <f t="shared" ref="AS85:AS99" si="214">IF(AND(AR85=TRUE,AT85=TRUE),AS$19,"")</f>
        <v/>
      </c>
      <c r="AT85" s="1340">
        <f t="shared" si="154"/>
        <v>0</v>
      </c>
      <c r="AU85" s="898">
        <f t="shared" ref="AU85:AU99" si="215">IF(AT85=FALSE,P85&gt;0.7,)</f>
        <v>0</v>
      </c>
      <c r="AV85" s="1340">
        <f t="shared" si="155"/>
        <v>0</v>
      </c>
      <c r="AW85" s="1340">
        <f t="shared" si="156"/>
        <v>0</v>
      </c>
      <c r="AX85" s="1340">
        <f t="shared" si="157"/>
        <v>0</v>
      </c>
      <c r="AY85" s="897">
        <f t="shared" ref="AY85:AY99" si="216">IF(AND(AH85=0,AK85&lt;&gt;TRUE),0,AND(AI85=TRUE,COUNTIF(AK85:AN85,TRUE)=0,COUNTIF(AP85:AX85,TRUE)=0))</f>
        <v>0</v>
      </c>
      <c r="AZ85" s="1340">
        <f t="shared" si="158"/>
        <v>0</v>
      </c>
      <c r="BA85" s="896">
        <f t="shared" ref="BA85:BA99" si="217">IF(AND(AH85=0,AK85&lt;&gt;TRUE),0,COUNTIF(AL85:AN85,TRUE)+COUNTIF(AP85:AX85,TRUE))</f>
        <v>0</v>
      </c>
      <c r="BB85" s="899" t="str">
        <f t="shared" ref="BB85:BB99" si="218">IF(BA85&gt;0,"Input "&amp;IF(AI85=TRUE,"alert","issue")&amp;IF(BA85=1,": ","s: "),"")&amp;BC85</f>
        <v/>
      </c>
      <c r="BC85" s="899" t="str">
        <f t="shared" ref="BC85:BC99" si="219">IF(AK85=TRUE,AK$19,"")&amp;IF(AL85=TRUE,AL$19&amp;" (but "&amp;AJ85&amp;" input"&amp;IF(AJ85=1,") ","s) "),"")&amp;IF(AM85=TRUE,AM$19&amp;" ","")&amp;IF(AN85=TRUE,AN$19&amp;" ","")&amp;IF(AP85=TRUE,AP$19&amp;" ","")&amp;IF(AR85=TRUE,AR$19&amp;", ","")&amp;AS85&amp;IF(AT85=TRUE,AT$19&amp;", ","")&amp;IF(AQ85=TRUE,AQ$19,"")&amp;IF(OR(AM85=TRUE,AN85=TRUE,AQ85=TRUE,AR85=TRUE,AT85=TRUE)," needed","")&amp;IF(AV85=TRUE,AV$19&amp;" ","")&amp;IF(AU85=TRUE,AU$19&amp;" ","")&amp;IF(AW85=TRUE,AW$19&amp;" ","")&amp;IF(AX85=TRUE,IF(Q85="device","shading H not needed if device used",AX$19),"")</f>
        <v/>
      </c>
      <c r="BD85" s="1340">
        <f t="shared" si="159"/>
        <v>0</v>
      </c>
      <c r="BE85" s="1340">
        <f t="shared" si="160"/>
        <v>0</v>
      </c>
      <c r="BF85" s="1340">
        <f t="shared" si="161"/>
        <v>0</v>
      </c>
      <c r="BG85" s="1342" t="b">
        <f t="shared" si="162"/>
        <v>0</v>
      </c>
      <c r="BH85" s="299" t="str">
        <f t="shared" si="163"/>
        <v/>
      </c>
      <c r="BI85" s="1343">
        <f t="shared" si="164"/>
        <v>0</v>
      </c>
      <c r="BJ85" s="1344">
        <f t="shared" si="165"/>
        <v>0</v>
      </c>
      <c r="BK85" s="1344">
        <f t="shared" si="87"/>
        <v>0</v>
      </c>
      <c r="BL85" s="1345">
        <f t="shared" si="166"/>
        <v>0</v>
      </c>
      <c r="BM85" s="1346">
        <f t="shared" si="167"/>
        <v>0</v>
      </c>
      <c r="BN85" s="300">
        <f t="shared" si="168"/>
        <v>0</v>
      </c>
      <c r="BO85" s="300">
        <f t="shared" si="169"/>
        <v>0</v>
      </c>
      <c r="BP85" s="1344">
        <f t="shared" si="88"/>
        <v>0</v>
      </c>
      <c r="BQ85" s="301">
        <f t="shared" si="170"/>
        <v>0</v>
      </c>
      <c r="BR85" s="314"/>
      <c r="BS85" s="1343">
        <f t="shared" si="98"/>
        <v>0</v>
      </c>
      <c r="BT85" s="1344">
        <f t="shared" si="98"/>
        <v>0</v>
      </c>
      <c r="BU85" s="1344">
        <f t="shared" si="98"/>
        <v>0</v>
      </c>
      <c r="BV85" s="303">
        <f t="shared" si="98"/>
        <v>0</v>
      </c>
      <c r="BW85" s="304">
        <f t="shared" si="171"/>
        <v>0</v>
      </c>
      <c r="BX85" s="300">
        <f t="shared" si="172"/>
        <v>0</v>
      </c>
      <c r="BY85" s="1344">
        <f t="shared" si="89"/>
        <v>0</v>
      </c>
      <c r="BZ85" s="300">
        <f t="shared" ref="BZ85:BZ99" si="220">(BW85-BY85*$BV85)*DU85</f>
        <v>0</v>
      </c>
      <c r="CA85" s="301">
        <f t="shared" si="173"/>
        <v>0</v>
      </c>
      <c r="CB85" s="305" t="e">
        <f t="shared" si="174"/>
        <v>#DIV/0!</v>
      </c>
      <c r="CC85" s="304" t="e">
        <f t="shared" si="175"/>
        <v>#DIV/0!</v>
      </c>
      <c r="CD85" s="300">
        <f t="shared" si="176"/>
        <v>0</v>
      </c>
      <c r="CE85" s="306">
        <f t="shared" ref="CE85:CE99" si="221">IF(AY85&lt;&gt;TRUE,0,CC85/CC$17)</f>
        <v>0</v>
      </c>
      <c r="CF85" s="306">
        <f t="shared" si="177"/>
        <v>0</v>
      </c>
      <c r="CG85" s="307" t="e">
        <f t="shared" si="178"/>
        <v>#DIV/0!</v>
      </c>
      <c r="CH85" s="307" t="e">
        <f t="shared" si="179"/>
        <v>#DIV/0!</v>
      </c>
      <c r="CI85" s="308" t="e">
        <f t="shared" si="139"/>
        <v>#DIV/0!</v>
      </c>
      <c r="CJ85" s="309" t="e">
        <f t="shared" si="180"/>
        <v>#DIV/0!</v>
      </c>
      <c r="CK85" s="175" t="e">
        <f t="shared" ref="CK85:CK99" si="222">IF(CB85&gt;0,TEXT(CB85,IF(CB85&lt;0.005,"0.0%","0%")),"")</f>
        <v>#DIV/0!</v>
      </c>
      <c r="CL85" s="175" t="str">
        <f t="shared" si="181"/>
        <v/>
      </c>
      <c r="CM85" s="310" t="e">
        <f t="shared" ref="CM85:CM99" si="223">(SUM(CC$20:CC$99)-CC85)/(SUM(CA$20:CA$99)-CA85)</f>
        <v>#DIV/0!</v>
      </c>
      <c r="CN85" s="311" t="e">
        <f t="shared" ref="CN85:CN99" si="224">$CD$17-CM85</f>
        <v>#DIV/0!</v>
      </c>
      <c r="CO85" s="311">
        <f t="shared" ref="CO85:CO99" si="225">IFERROR(CC85/CA85,0)</f>
        <v>0</v>
      </c>
      <c r="CP85" s="175">
        <f t="shared" si="182"/>
        <v>1</v>
      </c>
      <c r="CQ85" s="175">
        <f t="shared" si="183"/>
        <v>1</v>
      </c>
      <c r="CR85" s="175" t="str">
        <f t="shared" si="184"/>
        <v/>
      </c>
      <c r="CS85" s="175">
        <f t="shared" si="185"/>
        <v>0</v>
      </c>
      <c r="CT85" s="312">
        <f t="shared" si="186"/>
        <v>0</v>
      </c>
      <c r="CU85" s="175" t="str">
        <f t="shared" si="187"/>
        <v>OK</v>
      </c>
      <c r="CV85" s="313">
        <f t="shared" si="188"/>
        <v>0.05</v>
      </c>
      <c r="CW85" s="312" t="e">
        <f t="shared" si="189"/>
        <v>#DIV/0!</v>
      </c>
      <c r="CX85" s="312" t="e">
        <f t="shared" si="190"/>
        <v>#DIV/0!</v>
      </c>
      <c r="CY85" s="312" t="e">
        <f t="shared" si="191"/>
        <v>#DIV/0!</v>
      </c>
      <c r="CZ85" s="312" t="e">
        <f t="shared" si="192"/>
        <v>#DIV/0!</v>
      </c>
      <c r="DA85" s="312">
        <f t="shared" si="193"/>
        <v>1</v>
      </c>
      <c r="DB85" s="312">
        <f t="shared" si="194"/>
        <v>0</v>
      </c>
      <c r="DC85" s="175" t="str">
        <f t="shared" si="195"/>
        <v>Soft</v>
      </c>
      <c r="DD85" s="175"/>
      <c r="DE85" s="175">
        <f t="shared" si="196"/>
        <v>0</v>
      </c>
      <c r="DF85" s="312" t="e">
        <f t="shared" si="197"/>
        <v>#DIV/0!</v>
      </c>
      <c r="DG85" s="312" t="e">
        <f t="shared" si="198"/>
        <v>#DIV/0!</v>
      </c>
      <c r="DH85" s="312" t="e">
        <f t="shared" si="199"/>
        <v>#DIV/0!</v>
      </c>
      <c r="DI85" s="312" t="e">
        <f t="shared" si="200"/>
        <v>#DIV/0!</v>
      </c>
      <c r="DJ85" s="312" t="e">
        <f t="shared" ref="DJ85:DJ99" si="226">DF85*DG85*DH85*DI85</f>
        <v>#DIV/0!</v>
      </c>
      <c r="DK85" s="175"/>
      <c r="DL85" s="175"/>
      <c r="DM85" s="175"/>
      <c r="DN85" s="175">
        <f t="shared" si="201"/>
        <v>1</v>
      </c>
      <c r="DO85" s="312" t="e">
        <f t="shared" si="202"/>
        <v>#DIV/0!</v>
      </c>
      <c r="DP85" s="312" t="e">
        <f t="shared" si="203"/>
        <v>#DIV/0!</v>
      </c>
      <c r="DQ85" s="312" t="e">
        <f t="shared" si="204"/>
        <v>#DIV/0!</v>
      </c>
      <c r="DR85" s="312" t="e">
        <f t="shared" si="205"/>
        <v>#DIV/0!</v>
      </c>
      <c r="DS85" s="312" t="e">
        <f t="shared" si="206"/>
        <v>#DIV/0!</v>
      </c>
      <c r="DT85" s="312" t="e">
        <f t="shared" si="207"/>
        <v>#DIV/0!</v>
      </c>
      <c r="DU85" s="312">
        <f t="shared" si="208"/>
        <v>0</v>
      </c>
      <c r="DV85" s="175"/>
      <c r="DW85" s="175" t="b">
        <f t="shared" si="209"/>
        <v>1</v>
      </c>
      <c r="DX85" s="175" t="b">
        <f t="shared" si="209"/>
        <v>1</v>
      </c>
      <c r="DY85" s="175" t="b">
        <f t="shared" si="209"/>
        <v>1</v>
      </c>
      <c r="DZ85" s="175" t="b">
        <f t="shared" si="209"/>
        <v>1</v>
      </c>
      <c r="EA85" s="175" t="b">
        <f t="shared" si="209"/>
        <v>1</v>
      </c>
      <c r="EB85" s="168"/>
    </row>
    <row r="86" spans="1:132" s="140" customFormat="1" ht="18.5" hidden="1" thickBot="1" x14ac:dyDescent="0.45">
      <c r="A86" s="150"/>
      <c r="B86" s="296" t="str">
        <f t="shared" si="73"/>
        <v>-</v>
      </c>
      <c r="C86" s="279">
        <v>67</v>
      </c>
      <c r="D86" s="1557"/>
      <c r="E86" s="1558"/>
      <c r="F86" s="977"/>
      <c r="G86" s="1103"/>
      <c r="H86" s="978"/>
      <c r="I86" s="965"/>
      <c r="J86" s="1325"/>
      <c r="K86" s="1326"/>
      <c r="L86" s="1326"/>
      <c r="M86" s="1326"/>
      <c r="N86" s="1327"/>
      <c r="O86" s="974"/>
      <c r="P86" s="975"/>
      <c r="Q86" s="976"/>
      <c r="R86" s="966"/>
      <c r="S86" s="280" t="str">
        <f t="shared" si="140"/>
        <v/>
      </c>
      <c r="T86" s="281" t="str">
        <f t="shared" si="141"/>
        <v/>
      </c>
      <c r="U86" s="282">
        <f t="shared" si="142"/>
        <v>0</v>
      </c>
      <c r="V86" s="259" t="str">
        <f t="shared" si="143"/>
        <v/>
      </c>
      <c r="W86" s="260" t="str">
        <f t="shared" si="144"/>
        <v/>
      </c>
      <c r="X86" s="283">
        <f t="shared" si="137"/>
        <v>0</v>
      </c>
      <c r="Y86" s="284" t="str">
        <f t="shared" si="145"/>
        <v/>
      </c>
      <c r="Z86" s="150"/>
      <c r="AA86" s="175"/>
      <c r="AB86" s="175">
        <v>67</v>
      </c>
      <c r="AC86" s="297" t="str">
        <f t="shared" si="138"/>
        <v>-</v>
      </c>
      <c r="AD86" s="297">
        <f t="shared" si="210"/>
        <v>0</v>
      </c>
      <c r="AE86" s="297">
        <f t="shared" si="211"/>
        <v>0</v>
      </c>
      <c r="AF86" s="297"/>
      <c r="AG86" s="298">
        <f t="shared" si="212"/>
        <v>0</v>
      </c>
      <c r="AH86" s="1339">
        <f t="shared" si="146"/>
        <v>0</v>
      </c>
      <c r="AI86" s="1340">
        <f>IF(SUM(AH86:AH$99)=0,0,F86&gt;0)</f>
        <v>0</v>
      </c>
      <c r="AJ86" s="1339">
        <f t="shared" si="147"/>
        <v>0</v>
      </c>
      <c r="AK86" s="1340">
        <f>IF(SUM(AH86:AH$99)=0,0,AND(AI86=FALSE,AJ86=0,SUM(AJ86:AJ$99)&gt;0))</f>
        <v>0</v>
      </c>
      <c r="AL86" s="1340">
        <f t="shared" si="148"/>
        <v>0</v>
      </c>
      <c r="AM86" s="1340">
        <f t="shared" si="149"/>
        <v>0</v>
      </c>
      <c r="AN86" s="1341">
        <f t="shared" si="150"/>
        <v>0</v>
      </c>
      <c r="AO86" s="1341">
        <f t="shared" si="151"/>
        <v>0</v>
      </c>
      <c r="AP86" s="264">
        <f t="shared" si="152"/>
        <v>0</v>
      </c>
      <c r="AQ86" s="264">
        <f t="shared" si="213"/>
        <v>0</v>
      </c>
      <c r="AR86" s="1340">
        <f t="shared" si="153"/>
        <v>0</v>
      </c>
      <c r="AS86" s="1340" t="str">
        <f t="shared" si="214"/>
        <v/>
      </c>
      <c r="AT86" s="1340">
        <f t="shared" si="154"/>
        <v>0</v>
      </c>
      <c r="AU86" s="898">
        <f t="shared" si="215"/>
        <v>0</v>
      </c>
      <c r="AV86" s="1340">
        <f t="shared" si="155"/>
        <v>0</v>
      </c>
      <c r="AW86" s="1340">
        <f t="shared" si="156"/>
        <v>0</v>
      </c>
      <c r="AX86" s="1340">
        <f t="shared" si="157"/>
        <v>0</v>
      </c>
      <c r="AY86" s="897">
        <f t="shared" si="216"/>
        <v>0</v>
      </c>
      <c r="AZ86" s="1340">
        <f t="shared" si="158"/>
        <v>0</v>
      </c>
      <c r="BA86" s="896">
        <f t="shared" si="217"/>
        <v>0</v>
      </c>
      <c r="BB86" s="899" t="str">
        <f t="shared" si="218"/>
        <v/>
      </c>
      <c r="BC86" s="899" t="str">
        <f t="shared" si="219"/>
        <v/>
      </c>
      <c r="BD86" s="1340">
        <f t="shared" si="159"/>
        <v>0</v>
      </c>
      <c r="BE86" s="1340">
        <f t="shared" si="160"/>
        <v>0</v>
      </c>
      <c r="BF86" s="1340">
        <f t="shared" si="161"/>
        <v>0</v>
      </c>
      <c r="BG86" s="1342" t="b">
        <f t="shared" si="162"/>
        <v>0</v>
      </c>
      <c r="BH86" s="299" t="str">
        <f t="shared" si="163"/>
        <v/>
      </c>
      <c r="BI86" s="1343">
        <f t="shared" si="164"/>
        <v>0</v>
      </c>
      <c r="BJ86" s="1344">
        <f t="shared" si="165"/>
        <v>0</v>
      </c>
      <c r="BK86" s="1344">
        <f t="shared" si="87"/>
        <v>0</v>
      </c>
      <c r="BL86" s="1345">
        <f t="shared" si="166"/>
        <v>0</v>
      </c>
      <c r="BM86" s="1346">
        <f t="shared" si="167"/>
        <v>0</v>
      </c>
      <c r="BN86" s="300">
        <f t="shared" si="168"/>
        <v>0</v>
      </c>
      <c r="BO86" s="300">
        <f t="shared" si="169"/>
        <v>0</v>
      </c>
      <c r="BP86" s="1344">
        <f t="shared" si="88"/>
        <v>0</v>
      </c>
      <c r="BQ86" s="301">
        <f t="shared" si="170"/>
        <v>0</v>
      </c>
      <c r="BR86" s="314"/>
      <c r="BS86" s="1343">
        <f t="shared" ref="BS86:BV99" si="227">IF($Q86="device",0,BI86)</f>
        <v>0</v>
      </c>
      <c r="BT86" s="1344">
        <f t="shared" si="227"/>
        <v>0</v>
      </c>
      <c r="BU86" s="1344">
        <f t="shared" si="227"/>
        <v>0</v>
      </c>
      <c r="BV86" s="303">
        <f t="shared" si="227"/>
        <v>0</v>
      </c>
      <c r="BW86" s="304">
        <f t="shared" si="171"/>
        <v>0</v>
      </c>
      <c r="BX86" s="300">
        <f t="shared" si="172"/>
        <v>0</v>
      </c>
      <c r="BY86" s="1344">
        <f t="shared" si="89"/>
        <v>0</v>
      </c>
      <c r="BZ86" s="300">
        <f t="shared" si="220"/>
        <v>0</v>
      </c>
      <c r="CA86" s="301">
        <f t="shared" si="173"/>
        <v>0</v>
      </c>
      <c r="CB86" s="305" t="e">
        <f t="shared" si="174"/>
        <v>#DIV/0!</v>
      </c>
      <c r="CC86" s="304" t="e">
        <f t="shared" si="175"/>
        <v>#DIV/0!</v>
      </c>
      <c r="CD86" s="300">
        <f t="shared" si="176"/>
        <v>0</v>
      </c>
      <c r="CE86" s="306">
        <f t="shared" si="221"/>
        <v>0</v>
      </c>
      <c r="CF86" s="306">
        <f t="shared" si="177"/>
        <v>0</v>
      </c>
      <c r="CG86" s="307" t="e">
        <f t="shared" si="178"/>
        <v>#DIV/0!</v>
      </c>
      <c r="CH86" s="307" t="e">
        <f t="shared" si="179"/>
        <v>#DIV/0!</v>
      </c>
      <c r="CI86" s="308" t="e">
        <f t="shared" si="139"/>
        <v>#DIV/0!</v>
      </c>
      <c r="CJ86" s="309" t="e">
        <f t="shared" si="180"/>
        <v>#DIV/0!</v>
      </c>
      <c r="CK86" s="175" t="e">
        <f t="shared" si="222"/>
        <v>#DIV/0!</v>
      </c>
      <c r="CL86" s="175" t="str">
        <f t="shared" si="181"/>
        <v/>
      </c>
      <c r="CM86" s="310" t="e">
        <f t="shared" si="223"/>
        <v>#DIV/0!</v>
      </c>
      <c r="CN86" s="311" t="e">
        <f t="shared" si="224"/>
        <v>#DIV/0!</v>
      </c>
      <c r="CO86" s="311">
        <f t="shared" si="225"/>
        <v>0</v>
      </c>
      <c r="CP86" s="175">
        <f t="shared" si="182"/>
        <v>1</v>
      </c>
      <c r="CQ86" s="175">
        <f t="shared" si="183"/>
        <v>1</v>
      </c>
      <c r="CR86" s="175" t="str">
        <f t="shared" si="184"/>
        <v/>
      </c>
      <c r="CS86" s="175">
        <f t="shared" si="185"/>
        <v>0</v>
      </c>
      <c r="CT86" s="312">
        <f t="shared" si="186"/>
        <v>0</v>
      </c>
      <c r="CU86" s="175" t="str">
        <f t="shared" si="187"/>
        <v>OK</v>
      </c>
      <c r="CV86" s="313">
        <f t="shared" si="188"/>
        <v>0.05</v>
      </c>
      <c r="CW86" s="312" t="e">
        <f t="shared" si="189"/>
        <v>#DIV/0!</v>
      </c>
      <c r="CX86" s="312" t="e">
        <f t="shared" si="190"/>
        <v>#DIV/0!</v>
      </c>
      <c r="CY86" s="312" t="e">
        <f t="shared" si="191"/>
        <v>#DIV/0!</v>
      </c>
      <c r="CZ86" s="312" t="e">
        <f t="shared" si="192"/>
        <v>#DIV/0!</v>
      </c>
      <c r="DA86" s="312">
        <f t="shared" si="193"/>
        <v>1</v>
      </c>
      <c r="DB86" s="312">
        <f t="shared" si="194"/>
        <v>0</v>
      </c>
      <c r="DC86" s="175" t="str">
        <f t="shared" si="195"/>
        <v>Soft</v>
      </c>
      <c r="DD86" s="175"/>
      <c r="DE86" s="175">
        <f t="shared" si="196"/>
        <v>0</v>
      </c>
      <c r="DF86" s="312" t="e">
        <f t="shared" si="197"/>
        <v>#DIV/0!</v>
      </c>
      <c r="DG86" s="312" t="e">
        <f t="shared" si="198"/>
        <v>#DIV/0!</v>
      </c>
      <c r="DH86" s="312" t="e">
        <f t="shared" si="199"/>
        <v>#DIV/0!</v>
      </c>
      <c r="DI86" s="312" t="e">
        <f t="shared" si="200"/>
        <v>#DIV/0!</v>
      </c>
      <c r="DJ86" s="312" t="e">
        <f t="shared" si="226"/>
        <v>#DIV/0!</v>
      </c>
      <c r="DK86" s="175"/>
      <c r="DL86" s="175"/>
      <c r="DM86" s="175"/>
      <c r="DN86" s="175">
        <f t="shared" si="201"/>
        <v>1</v>
      </c>
      <c r="DO86" s="312" t="e">
        <f t="shared" si="202"/>
        <v>#DIV/0!</v>
      </c>
      <c r="DP86" s="312" t="e">
        <f t="shared" si="203"/>
        <v>#DIV/0!</v>
      </c>
      <c r="DQ86" s="312" t="e">
        <f t="shared" si="204"/>
        <v>#DIV/0!</v>
      </c>
      <c r="DR86" s="312" t="e">
        <f t="shared" si="205"/>
        <v>#DIV/0!</v>
      </c>
      <c r="DS86" s="312" t="e">
        <f t="shared" si="206"/>
        <v>#DIV/0!</v>
      </c>
      <c r="DT86" s="312" t="e">
        <f t="shared" si="207"/>
        <v>#DIV/0!</v>
      </c>
      <c r="DU86" s="312">
        <f t="shared" si="208"/>
        <v>0</v>
      </c>
      <c r="DV86" s="175"/>
      <c r="DW86" s="175" t="b">
        <f t="shared" si="209"/>
        <v>1</v>
      </c>
      <c r="DX86" s="175" t="b">
        <f t="shared" si="209"/>
        <v>1</v>
      </c>
      <c r="DY86" s="175" t="b">
        <f t="shared" si="209"/>
        <v>1</v>
      </c>
      <c r="DZ86" s="175" t="b">
        <f t="shared" si="209"/>
        <v>1</v>
      </c>
      <c r="EA86" s="175" t="b">
        <f t="shared" si="209"/>
        <v>1</v>
      </c>
      <c r="EB86" s="168"/>
    </row>
    <row r="87" spans="1:132" s="140" customFormat="1" ht="18.5" hidden="1" thickBot="1" x14ac:dyDescent="0.45">
      <c r="A87" s="150"/>
      <c r="B87" s="296" t="str">
        <f t="shared" si="73"/>
        <v>-</v>
      </c>
      <c r="C87" s="279">
        <v>68</v>
      </c>
      <c r="D87" s="1557"/>
      <c r="E87" s="1558"/>
      <c r="F87" s="977"/>
      <c r="G87" s="1103"/>
      <c r="H87" s="978"/>
      <c r="I87" s="965"/>
      <c r="J87" s="1325"/>
      <c r="K87" s="1326"/>
      <c r="L87" s="1326"/>
      <c r="M87" s="1326"/>
      <c r="N87" s="1327"/>
      <c r="O87" s="974"/>
      <c r="P87" s="975"/>
      <c r="Q87" s="976"/>
      <c r="R87" s="966"/>
      <c r="S87" s="280" t="str">
        <f t="shared" si="140"/>
        <v/>
      </c>
      <c r="T87" s="281" t="str">
        <f t="shared" si="141"/>
        <v/>
      </c>
      <c r="U87" s="282">
        <f t="shared" si="142"/>
        <v>0</v>
      </c>
      <c r="V87" s="259" t="str">
        <f t="shared" si="143"/>
        <v/>
      </c>
      <c r="W87" s="260" t="str">
        <f t="shared" si="144"/>
        <v/>
      </c>
      <c r="X87" s="283">
        <f t="shared" si="137"/>
        <v>0</v>
      </c>
      <c r="Y87" s="284" t="str">
        <f t="shared" si="145"/>
        <v/>
      </c>
      <c r="Z87" s="150"/>
      <c r="AA87" s="175"/>
      <c r="AB87" s="175">
        <v>68</v>
      </c>
      <c r="AC87" s="297" t="str">
        <f t="shared" si="138"/>
        <v>-</v>
      </c>
      <c r="AD87" s="297">
        <f t="shared" si="210"/>
        <v>0</v>
      </c>
      <c r="AE87" s="297">
        <f t="shared" si="211"/>
        <v>0</v>
      </c>
      <c r="AF87" s="297"/>
      <c r="AG87" s="298">
        <f t="shared" si="212"/>
        <v>0</v>
      </c>
      <c r="AH87" s="1339">
        <f t="shared" si="146"/>
        <v>0</v>
      </c>
      <c r="AI87" s="1340">
        <f>IF(SUM(AH87:AH$99)=0,0,F87&gt;0)</f>
        <v>0</v>
      </c>
      <c r="AJ87" s="1339">
        <f t="shared" si="147"/>
        <v>0</v>
      </c>
      <c r="AK87" s="1340">
        <f>IF(SUM(AH87:AH$99)=0,0,AND(AI87=FALSE,AJ87=0,SUM(AJ87:AJ$99)&gt;0))</f>
        <v>0</v>
      </c>
      <c r="AL87" s="1340">
        <f t="shared" si="148"/>
        <v>0</v>
      </c>
      <c r="AM87" s="1340">
        <f t="shared" si="149"/>
        <v>0</v>
      </c>
      <c r="AN87" s="1341">
        <f t="shared" si="150"/>
        <v>0</v>
      </c>
      <c r="AO87" s="1341">
        <f t="shared" si="151"/>
        <v>0</v>
      </c>
      <c r="AP87" s="264">
        <f t="shared" si="152"/>
        <v>0</v>
      </c>
      <c r="AQ87" s="264">
        <f t="shared" si="213"/>
        <v>0</v>
      </c>
      <c r="AR87" s="1340">
        <f t="shared" si="153"/>
        <v>0</v>
      </c>
      <c r="AS87" s="1340" t="str">
        <f t="shared" si="214"/>
        <v/>
      </c>
      <c r="AT87" s="1340">
        <f t="shared" si="154"/>
        <v>0</v>
      </c>
      <c r="AU87" s="898">
        <f t="shared" si="215"/>
        <v>0</v>
      </c>
      <c r="AV87" s="1340">
        <f t="shared" si="155"/>
        <v>0</v>
      </c>
      <c r="AW87" s="1340">
        <f t="shared" si="156"/>
        <v>0</v>
      </c>
      <c r="AX87" s="1340">
        <f t="shared" si="157"/>
        <v>0</v>
      </c>
      <c r="AY87" s="897">
        <f t="shared" si="216"/>
        <v>0</v>
      </c>
      <c r="AZ87" s="1340">
        <f t="shared" si="158"/>
        <v>0</v>
      </c>
      <c r="BA87" s="896">
        <f t="shared" si="217"/>
        <v>0</v>
      </c>
      <c r="BB87" s="899" t="str">
        <f t="shared" si="218"/>
        <v/>
      </c>
      <c r="BC87" s="899" t="str">
        <f t="shared" si="219"/>
        <v/>
      </c>
      <c r="BD87" s="1340">
        <f t="shared" si="159"/>
        <v>0</v>
      </c>
      <c r="BE87" s="1340">
        <f t="shared" si="160"/>
        <v>0</v>
      </c>
      <c r="BF87" s="1340">
        <f t="shared" si="161"/>
        <v>0</v>
      </c>
      <c r="BG87" s="1342" t="b">
        <f t="shared" si="162"/>
        <v>0</v>
      </c>
      <c r="BH87" s="299" t="str">
        <f t="shared" si="163"/>
        <v/>
      </c>
      <c r="BI87" s="1343">
        <f t="shared" si="164"/>
        <v>0</v>
      </c>
      <c r="BJ87" s="1344">
        <f t="shared" si="165"/>
        <v>0</v>
      </c>
      <c r="BK87" s="1344">
        <f t="shared" si="87"/>
        <v>0</v>
      </c>
      <c r="BL87" s="1345">
        <f t="shared" si="166"/>
        <v>0</v>
      </c>
      <c r="BM87" s="1346">
        <f t="shared" si="167"/>
        <v>0</v>
      </c>
      <c r="BN87" s="300">
        <f t="shared" si="168"/>
        <v>0</v>
      </c>
      <c r="BO87" s="300">
        <f t="shared" si="169"/>
        <v>0</v>
      </c>
      <c r="BP87" s="1344">
        <f t="shared" si="88"/>
        <v>0</v>
      </c>
      <c r="BQ87" s="301">
        <f t="shared" si="170"/>
        <v>0</v>
      </c>
      <c r="BR87" s="314"/>
      <c r="BS87" s="1343">
        <f t="shared" si="227"/>
        <v>0</v>
      </c>
      <c r="BT87" s="1344">
        <f t="shared" si="227"/>
        <v>0</v>
      </c>
      <c r="BU87" s="1344">
        <f t="shared" si="227"/>
        <v>0</v>
      </c>
      <c r="BV87" s="303">
        <f t="shared" si="227"/>
        <v>0</v>
      </c>
      <c r="BW87" s="304">
        <f t="shared" si="171"/>
        <v>0</v>
      </c>
      <c r="BX87" s="300">
        <f t="shared" si="172"/>
        <v>0</v>
      </c>
      <c r="BY87" s="1344">
        <f t="shared" si="89"/>
        <v>0</v>
      </c>
      <c r="BZ87" s="300">
        <f t="shared" si="220"/>
        <v>0</v>
      </c>
      <c r="CA87" s="301">
        <f t="shared" si="173"/>
        <v>0</v>
      </c>
      <c r="CB87" s="305" t="e">
        <f t="shared" si="174"/>
        <v>#DIV/0!</v>
      </c>
      <c r="CC87" s="304" t="e">
        <f t="shared" si="175"/>
        <v>#DIV/0!</v>
      </c>
      <c r="CD87" s="300">
        <f t="shared" si="176"/>
        <v>0</v>
      </c>
      <c r="CE87" s="306">
        <f t="shared" si="221"/>
        <v>0</v>
      </c>
      <c r="CF87" s="306">
        <f t="shared" si="177"/>
        <v>0</v>
      </c>
      <c r="CG87" s="307" t="e">
        <f t="shared" si="178"/>
        <v>#DIV/0!</v>
      </c>
      <c r="CH87" s="307" t="e">
        <f t="shared" si="179"/>
        <v>#DIV/0!</v>
      </c>
      <c r="CI87" s="308" t="e">
        <f t="shared" si="139"/>
        <v>#DIV/0!</v>
      </c>
      <c r="CJ87" s="309" t="e">
        <f t="shared" si="180"/>
        <v>#DIV/0!</v>
      </c>
      <c r="CK87" s="175" t="e">
        <f t="shared" si="222"/>
        <v>#DIV/0!</v>
      </c>
      <c r="CL87" s="175" t="str">
        <f t="shared" si="181"/>
        <v/>
      </c>
      <c r="CM87" s="310" t="e">
        <f t="shared" si="223"/>
        <v>#DIV/0!</v>
      </c>
      <c r="CN87" s="311" t="e">
        <f t="shared" si="224"/>
        <v>#DIV/0!</v>
      </c>
      <c r="CO87" s="311">
        <f t="shared" si="225"/>
        <v>0</v>
      </c>
      <c r="CP87" s="175">
        <f t="shared" si="182"/>
        <v>1</v>
      </c>
      <c r="CQ87" s="175">
        <f t="shared" si="183"/>
        <v>1</v>
      </c>
      <c r="CR87" s="175" t="str">
        <f t="shared" si="184"/>
        <v/>
      </c>
      <c r="CS87" s="175">
        <f t="shared" si="185"/>
        <v>0</v>
      </c>
      <c r="CT87" s="312">
        <f t="shared" si="186"/>
        <v>0</v>
      </c>
      <c r="CU87" s="175" t="str">
        <f t="shared" si="187"/>
        <v>OK</v>
      </c>
      <c r="CV87" s="313">
        <f t="shared" si="188"/>
        <v>0.05</v>
      </c>
      <c r="CW87" s="312" t="e">
        <f t="shared" si="189"/>
        <v>#DIV/0!</v>
      </c>
      <c r="CX87" s="312" t="e">
        <f t="shared" si="190"/>
        <v>#DIV/0!</v>
      </c>
      <c r="CY87" s="312" t="e">
        <f t="shared" si="191"/>
        <v>#DIV/0!</v>
      </c>
      <c r="CZ87" s="312" t="e">
        <f t="shared" si="192"/>
        <v>#DIV/0!</v>
      </c>
      <c r="DA87" s="312">
        <f t="shared" si="193"/>
        <v>1</v>
      </c>
      <c r="DB87" s="312">
        <f t="shared" si="194"/>
        <v>0</v>
      </c>
      <c r="DC87" s="175" t="str">
        <f t="shared" si="195"/>
        <v>Soft</v>
      </c>
      <c r="DD87" s="175"/>
      <c r="DE87" s="175">
        <f t="shared" si="196"/>
        <v>0</v>
      </c>
      <c r="DF87" s="312" t="e">
        <f t="shared" si="197"/>
        <v>#DIV/0!</v>
      </c>
      <c r="DG87" s="312" t="e">
        <f t="shared" si="198"/>
        <v>#DIV/0!</v>
      </c>
      <c r="DH87" s="312" t="e">
        <f t="shared" si="199"/>
        <v>#DIV/0!</v>
      </c>
      <c r="DI87" s="312" t="e">
        <f t="shared" si="200"/>
        <v>#DIV/0!</v>
      </c>
      <c r="DJ87" s="312" t="e">
        <f t="shared" si="226"/>
        <v>#DIV/0!</v>
      </c>
      <c r="DK87" s="175"/>
      <c r="DL87" s="175"/>
      <c r="DM87" s="175"/>
      <c r="DN87" s="175">
        <f t="shared" si="201"/>
        <v>1</v>
      </c>
      <c r="DO87" s="312" t="e">
        <f t="shared" si="202"/>
        <v>#DIV/0!</v>
      </c>
      <c r="DP87" s="312" t="e">
        <f t="shared" si="203"/>
        <v>#DIV/0!</v>
      </c>
      <c r="DQ87" s="312" t="e">
        <f t="shared" si="204"/>
        <v>#DIV/0!</v>
      </c>
      <c r="DR87" s="312" t="e">
        <f t="shared" si="205"/>
        <v>#DIV/0!</v>
      </c>
      <c r="DS87" s="312" t="e">
        <f t="shared" si="206"/>
        <v>#DIV/0!</v>
      </c>
      <c r="DT87" s="312" t="e">
        <f t="shared" si="207"/>
        <v>#DIV/0!</v>
      </c>
      <c r="DU87" s="312">
        <f t="shared" si="208"/>
        <v>0</v>
      </c>
      <c r="DV87" s="175"/>
      <c r="DW87" s="175" t="b">
        <f t="shared" si="209"/>
        <v>1</v>
      </c>
      <c r="DX87" s="175" t="b">
        <f t="shared" si="209"/>
        <v>1</v>
      </c>
      <c r="DY87" s="175" t="b">
        <f t="shared" si="209"/>
        <v>1</v>
      </c>
      <c r="DZ87" s="175" t="b">
        <f t="shared" si="209"/>
        <v>1</v>
      </c>
      <c r="EA87" s="175" t="b">
        <f t="shared" si="209"/>
        <v>1</v>
      </c>
      <c r="EB87" s="168"/>
    </row>
    <row r="88" spans="1:132" s="140" customFormat="1" ht="18.5" hidden="1" thickBot="1" x14ac:dyDescent="0.45">
      <c r="A88" s="150"/>
      <c r="B88" s="296" t="str">
        <f t="shared" si="73"/>
        <v>-</v>
      </c>
      <c r="C88" s="279">
        <v>69</v>
      </c>
      <c r="D88" s="1557"/>
      <c r="E88" s="1558"/>
      <c r="F88" s="977"/>
      <c r="G88" s="1103"/>
      <c r="H88" s="978"/>
      <c r="I88" s="965"/>
      <c r="J88" s="1325"/>
      <c r="K88" s="1326"/>
      <c r="L88" s="1326"/>
      <c r="M88" s="1326"/>
      <c r="N88" s="1327"/>
      <c r="O88" s="974"/>
      <c r="P88" s="975"/>
      <c r="Q88" s="976"/>
      <c r="R88" s="966"/>
      <c r="S88" s="280" t="str">
        <f t="shared" si="140"/>
        <v/>
      </c>
      <c r="T88" s="281" t="str">
        <f t="shared" si="141"/>
        <v/>
      </c>
      <c r="U88" s="282">
        <f t="shared" si="142"/>
        <v>0</v>
      </c>
      <c r="V88" s="259" t="str">
        <f t="shared" si="143"/>
        <v/>
      </c>
      <c r="W88" s="260" t="str">
        <f t="shared" si="144"/>
        <v/>
      </c>
      <c r="X88" s="283">
        <f t="shared" si="137"/>
        <v>0</v>
      </c>
      <c r="Y88" s="284" t="str">
        <f t="shared" si="145"/>
        <v/>
      </c>
      <c r="Z88" s="150"/>
      <c r="AA88" s="175"/>
      <c r="AB88" s="175">
        <v>69</v>
      </c>
      <c r="AC88" s="297" t="str">
        <f t="shared" si="138"/>
        <v>-</v>
      </c>
      <c r="AD88" s="297">
        <f t="shared" si="210"/>
        <v>0</v>
      </c>
      <c r="AE88" s="297">
        <f t="shared" si="211"/>
        <v>0</v>
      </c>
      <c r="AF88" s="297"/>
      <c r="AG88" s="298">
        <f t="shared" si="212"/>
        <v>0</v>
      </c>
      <c r="AH88" s="1339">
        <f t="shared" si="146"/>
        <v>0</v>
      </c>
      <c r="AI88" s="1340">
        <f>IF(SUM(AH88:AH$99)=0,0,F88&gt;0)</f>
        <v>0</v>
      </c>
      <c r="AJ88" s="1339">
        <f t="shared" si="147"/>
        <v>0</v>
      </c>
      <c r="AK88" s="1340">
        <f>IF(SUM(AH88:AH$99)=0,0,AND(AI88=FALSE,AJ88=0,SUM(AJ88:AJ$99)&gt;0))</f>
        <v>0</v>
      </c>
      <c r="AL88" s="1340">
        <f t="shared" si="148"/>
        <v>0</v>
      </c>
      <c r="AM88" s="1340">
        <f t="shared" si="149"/>
        <v>0</v>
      </c>
      <c r="AN88" s="1341">
        <f t="shared" si="150"/>
        <v>0</v>
      </c>
      <c r="AO88" s="1341">
        <f t="shared" si="151"/>
        <v>0</v>
      </c>
      <c r="AP88" s="264">
        <f t="shared" si="152"/>
        <v>0</v>
      </c>
      <c r="AQ88" s="264">
        <f t="shared" si="213"/>
        <v>0</v>
      </c>
      <c r="AR88" s="1340">
        <f t="shared" si="153"/>
        <v>0</v>
      </c>
      <c r="AS88" s="1340" t="str">
        <f t="shared" si="214"/>
        <v/>
      </c>
      <c r="AT88" s="1340">
        <f t="shared" si="154"/>
        <v>0</v>
      </c>
      <c r="AU88" s="898">
        <f t="shared" si="215"/>
        <v>0</v>
      </c>
      <c r="AV88" s="1340">
        <f t="shared" si="155"/>
        <v>0</v>
      </c>
      <c r="AW88" s="1340">
        <f t="shared" si="156"/>
        <v>0</v>
      </c>
      <c r="AX88" s="1340">
        <f t="shared" si="157"/>
        <v>0</v>
      </c>
      <c r="AY88" s="897">
        <f t="shared" si="216"/>
        <v>0</v>
      </c>
      <c r="AZ88" s="1340">
        <f t="shared" si="158"/>
        <v>0</v>
      </c>
      <c r="BA88" s="896">
        <f t="shared" si="217"/>
        <v>0</v>
      </c>
      <c r="BB88" s="899" t="str">
        <f t="shared" si="218"/>
        <v/>
      </c>
      <c r="BC88" s="899" t="str">
        <f t="shared" si="219"/>
        <v/>
      </c>
      <c r="BD88" s="1340">
        <f t="shared" si="159"/>
        <v>0</v>
      </c>
      <c r="BE88" s="1340">
        <f t="shared" si="160"/>
        <v>0</v>
      </c>
      <c r="BF88" s="1340">
        <f t="shared" si="161"/>
        <v>0</v>
      </c>
      <c r="BG88" s="1342" t="b">
        <f t="shared" si="162"/>
        <v>0</v>
      </c>
      <c r="BH88" s="299" t="str">
        <f t="shared" si="163"/>
        <v/>
      </c>
      <c r="BI88" s="1343">
        <f t="shared" si="164"/>
        <v>0</v>
      </c>
      <c r="BJ88" s="1344">
        <f t="shared" si="165"/>
        <v>0</v>
      </c>
      <c r="BK88" s="1344">
        <f t="shared" si="87"/>
        <v>0</v>
      </c>
      <c r="BL88" s="1345">
        <f t="shared" si="166"/>
        <v>0</v>
      </c>
      <c r="BM88" s="1346">
        <f t="shared" si="167"/>
        <v>0</v>
      </c>
      <c r="BN88" s="300">
        <f t="shared" si="168"/>
        <v>0</v>
      </c>
      <c r="BO88" s="300">
        <f t="shared" si="169"/>
        <v>0</v>
      </c>
      <c r="BP88" s="1344">
        <f t="shared" si="88"/>
        <v>0</v>
      </c>
      <c r="BQ88" s="301">
        <f t="shared" si="170"/>
        <v>0</v>
      </c>
      <c r="BR88" s="314"/>
      <c r="BS88" s="1343">
        <f t="shared" si="227"/>
        <v>0</v>
      </c>
      <c r="BT88" s="1344">
        <f t="shared" si="227"/>
        <v>0</v>
      </c>
      <c r="BU88" s="1344">
        <f t="shared" si="227"/>
        <v>0</v>
      </c>
      <c r="BV88" s="303">
        <f t="shared" si="227"/>
        <v>0</v>
      </c>
      <c r="BW88" s="304">
        <f t="shared" si="171"/>
        <v>0</v>
      </c>
      <c r="BX88" s="300">
        <f t="shared" si="172"/>
        <v>0</v>
      </c>
      <c r="BY88" s="1344">
        <f t="shared" si="89"/>
        <v>0</v>
      </c>
      <c r="BZ88" s="300">
        <f t="shared" si="220"/>
        <v>0</v>
      </c>
      <c r="CA88" s="301">
        <f t="shared" si="173"/>
        <v>0</v>
      </c>
      <c r="CB88" s="305" t="e">
        <f t="shared" si="174"/>
        <v>#DIV/0!</v>
      </c>
      <c r="CC88" s="304" t="e">
        <f t="shared" si="175"/>
        <v>#DIV/0!</v>
      </c>
      <c r="CD88" s="300">
        <f t="shared" si="176"/>
        <v>0</v>
      </c>
      <c r="CE88" s="306">
        <f t="shared" si="221"/>
        <v>0</v>
      </c>
      <c r="CF88" s="306">
        <f t="shared" si="177"/>
        <v>0</v>
      </c>
      <c r="CG88" s="307" t="e">
        <f t="shared" si="178"/>
        <v>#DIV/0!</v>
      </c>
      <c r="CH88" s="307" t="e">
        <f t="shared" si="179"/>
        <v>#DIV/0!</v>
      </c>
      <c r="CI88" s="308" t="e">
        <f t="shared" si="139"/>
        <v>#DIV/0!</v>
      </c>
      <c r="CJ88" s="309" t="e">
        <f t="shared" si="180"/>
        <v>#DIV/0!</v>
      </c>
      <c r="CK88" s="175" t="e">
        <f t="shared" si="222"/>
        <v>#DIV/0!</v>
      </c>
      <c r="CL88" s="175" t="str">
        <f t="shared" si="181"/>
        <v/>
      </c>
      <c r="CM88" s="310" t="e">
        <f t="shared" si="223"/>
        <v>#DIV/0!</v>
      </c>
      <c r="CN88" s="311" t="e">
        <f t="shared" si="224"/>
        <v>#DIV/0!</v>
      </c>
      <c r="CO88" s="311">
        <f t="shared" si="225"/>
        <v>0</v>
      </c>
      <c r="CP88" s="175">
        <f t="shared" si="182"/>
        <v>1</v>
      </c>
      <c r="CQ88" s="175">
        <f t="shared" si="183"/>
        <v>1</v>
      </c>
      <c r="CR88" s="175" t="str">
        <f t="shared" si="184"/>
        <v/>
      </c>
      <c r="CS88" s="175">
        <f t="shared" si="185"/>
        <v>0</v>
      </c>
      <c r="CT88" s="312">
        <f t="shared" si="186"/>
        <v>0</v>
      </c>
      <c r="CU88" s="175" t="str">
        <f t="shared" si="187"/>
        <v>OK</v>
      </c>
      <c r="CV88" s="313">
        <f t="shared" si="188"/>
        <v>0.05</v>
      </c>
      <c r="CW88" s="312" t="e">
        <f t="shared" si="189"/>
        <v>#DIV/0!</v>
      </c>
      <c r="CX88" s="312" t="e">
        <f t="shared" si="190"/>
        <v>#DIV/0!</v>
      </c>
      <c r="CY88" s="312" t="e">
        <f t="shared" si="191"/>
        <v>#DIV/0!</v>
      </c>
      <c r="CZ88" s="312" t="e">
        <f t="shared" si="192"/>
        <v>#DIV/0!</v>
      </c>
      <c r="DA88" s="312">
        <f t="shared" si="193"/>
        <v>1</v>
      </c>
      <c r="DB88" s="312">
        <f t="shared" si="194"/>
        <v>0</v>
      </c>
      <c r="DC88" s="175" t="str">
        <f t="shared" si="195"/>
        <v>Soft</v>
      </c>
      <c r="DD88" s="175"/>
      <c r="DE88" s="175">
        <f t="shared" si="196"/>
        <v>0</v>
      </c>
      <c r="DF88" s="312" t="e">
        <f t="shared" si="197"/>
        <v>#DIV/0!</v>
      </c>
      <c r="DG88" s="312" t="e">
        <f t="shared" si="198"/>
        <v>#DIV/0!</v>
      </c>
      <c r="DH88" s="312" t="e">
        <f t="shared" si="199"/>
        <v>#DIV/0!</v>
      </c>
      <c r="DI88" s="312" t="e">
        <f t="shared" si="200"/>
        <v>#DIV/0!</v>
      </c>
      <c r="DJ88" s="312" t="e">
        <f t="shared" si="226"/>
        <v>#DIV/0!</v>
      </c>
      <c r="DK88" s="175"/>
      <c r="DL88" s="175"/>
      <c r="DM88" s="175"/>
      <c r="DN88" s="175">
        <f t="shared" si="201"/>
        <v>1</v>
      </c>
      <c r="DO88" s="312" t="e">
        <f t="shared" si="202"/>
        <v>#DIV/0!</v>
      </c>
      <c r="DP88" s="312" t="e">
        <f t="shared" si="203"/>
        <v>#DIV/0!</v>
      </c>
      <c r="DQ88" s="312" t="e">
        <f t="shared" si="204"/>
        <v>#DIV/0!</v>
      </c>
      <c r="DR88" s="312" t="e">
        <f t="shared" si="205"/>
        <v>#DIV/0!</v>
      </c>
      <c r="DS88" s="312" t="e">
        <f t="shared" si="206"/>
        <v>#DIV/0!</v>
      </c>
      <c r="DT88" s="312" t="e">
        <f t="shared" si="207"/>
        <v>#DIV/0!</v>
      </c>
      <c r="DU88" s="312">
        <f t="shared" si="208"/>
        <v>0</v>
      </c>
      <c r="DV88" s="175"/>
      <c r="DW88" s="175" t="b">
        <f t="shared" si="209"/>
        <v>1</v>
      </c>
      <c r="DX88" s="175" t="b">
        <f t="shared" si="209"/>
        <v>1</v>
      </c>
      <c r="DY88" s="175" t="b">
        <f t="shared" si="209"/>
        <v>1</v>
      </c>
      <c r="DZ88" s="175" t="b">
        <f t="shared" si="209"/>
        <v>1</v>
      </c>
      <c r="EA88" s="175" t="b">
        <f t="shared" si="209"/>
        <v>1</v>
      </c>
      <c r="EB88" s="168"/>
    </row>
    <row r="89" spans="1:132" s="140" customFormat="1" ht="18.5" hidden="1" thickBot="1" x14ac:dyDescent="0.45">
      <c r="A89" s="150"/>
      <c r="B89" s="296" t="str">
        <f t="shared" si="73"/>
        <v>-</v>
      </c>
      <c r="C89" s="279">
        <v>70</v>
      </c>
      <c r="D89" s="1557"/>
      <c r="E89" s="1558"/>
      <c r="F89" s="977"/>
      <c r="G89" s="1103"/>
      <c r="H89" s="978"/>
      <c r="I89" s="965"/>
      <c r="J89" s="1325"/>
      <c r="K89" s="1326"/>
      <c r="L89" s="1326"/>
      <c r="M89" s="1326"/>
      <c r="N89" s="1327"/>
      <c r="O89" s="974"/>
      <c r="P89" s="975"/>
      <c r="Q89" s="976"/>
      <c r="R89" s="966"/>
      <c r="S89" s="280" t="str">
        <f t="shared" si="140"/>
        <v/>
      </c>
      <c r="T89" s="281" t="str">
        <f t="shared" si="141"/>
        <v/>
      </c>
      <c r="U89" s="282">
        <f t="shared" si="142"/>
        <v>0</v>
      </c>
      <c r="V89" s="259" t="str">
        <f t="shared" si="143"/>
        <v/>
      </c>
      <c r="W89" s="260" t="str">
        <f t="shared" si="144"/>
        <v/>
      </c>
      <c r="X89" s="283">
        <f t="shared" si="137"/>
        <v>0</v>
      </c>
      <c r="Y89" s="284" t="str">
        <f t="shared" si="145"/>
        <v/>
      </c>
      <c r="Z89" s="150"/>
      <c r="AA89" s="175"/>
      <c r="AB89" s="175">
        <v>70</v>
      </c>
      <c r="AC89" s="297" t="str">
        <f t="shared" si="138"/>
        <v>-</v>
      </c>
      <c r="AD89" s="297">
        <f t="shared" si="210"/>
        <v>0</v>
      </c>
      <c r="AE89" s="297">
        <f t="shared" si="211"/>
        <v>0</v>
      </c>
      <c r="AF89" s="297"/>
      <c r="AG89" s="298">
        <f t="shared" si="212"/>
        <v>0</v>
      </c>
      <c r="AH89" s="1339">
        <f t="shared" si="146"/>
        <v>0</v>
      </c>
      <c r="AI89" s="1340">
        <f>IF(SUM(AH89:AH$99)=0,0,F89&gt;0)</f>
        <v>0</v>
      </c>
      <c r="AJ89" s="1339">
        <f t="shared" si="147"/>
        <v>0</v>
      </c>
      <c r="AK89" s="1340">
        <f>IF(SUM(AH89:AH$99)=0,0,AND(AI89=FALSE,AJ89=0,SUM(AJ89:AJ$99)&gt;0))</f>
        <v>0</v>
      </c>
      <c r="AL89" s="1340">
        <f t="shared" si="148"/>
        <v>0</v>
      </c>
      <c r="AM89" s="1340">
        <f t="shared" si="149"/>
        <v>0</v>
      </c>
      <c r="AN89" s="1341">
        <f t="shared" si="150"/>
        <v>0</v>
      </c>
      <c r="AO89" s="1341">
        <f t="shared" si="151"/>
        <v>0</v>
      </c>
      <c r="AP89" s="264">
        <f t="shared" si="152"/>
        <v>0</v>
      </c>
      <c r="AQ89" s="264">
        <f t="shared" si="213"/>
        <v>0</v>
      </c>
      <c r="AR89" s="1340">
        <f t="shared" si="153"/>
        <v>0</v>
      </c>
      <c r="AS89" s="1340" t="str">
        <f t="shared" si="214"/>
        <v/>
      </c>
      <c r="AT89" s="1340">
        <f t="shared" si="154"/>
        <v>0</v>
      </c>
      <c r="AU89" s="898">
        <f t="shared" si="215"/>
        <v>0</v>
      </c>
      <c r="AV89" s="1340">
        <f t="shared" si="155"/>
        <v>0</v>
      </c>
      <c r="AW89" s="1340">
        <f t="shared" si="156"/>
        <v>0</v>
      </c>
      <c r="AX89" s="1340">
        <f t="shared" si="157"/>
        <v>0</v>
      </c>
      <c r="AY89" s="897">
        <f t="shared" si="216"/>
        <v>0</v>
      </c>
      <c r="AZ89" s="1340">
        <f t="shared" si="158"/>
        <v>0</v>
      </c>
      <c r="BA89" s="896">
        <f t="shared" si="217"/>
        <v>0</v>
      </c>
      <c r="BB89" s="899" t="str">
        <f t="shared" si="218"/>
        <v/>
      </c>
      <c r="BC89" s="899" t="str">
        <f t="shared" si="219"/>
        <v/>
      </c>
      <c r="BD89" s="1340">
        <f t="shared" si="159"/>
        <v>0</v>
      </c>
      <c r="BE89" s="1340">
        <f t="shared" si="160"/>
        <v>0</v>
      </c>
      <c r="BF89" s="1340">
        <f t="shared" si="161"/>
        <v>0</v>
      </c>
      <c r="BG89" s="1342" t="b">
        <f t="shared" si="162"/>
        <v>0</v>
      </c>
      <c r="BH89" s="299" t="str">
        <f t="shared" si="163"/>
        <v/>
      </c>
      <c r="BI89" s="1343">
        <f t="shared" si="164"/>
        <v>0</v>
      </c>
      <c r="BJ89" s="1344">
        <f t="shared" si="165"/>
        <v>0</v>
      </c>
      <c r="BK89" s="1344">
        <f t="shared" si="87"/>
        <v>0</v>
      </c>
      <c r="BL89" s="1345">
        <f t="shared" si="166"/>
        <v>0</v>
      </c>
      <c r="BM89" s="1346">
        <f t="shared" si="167"/>
        <v>0</v>
      </c>
      <c r="BN89" s="300">
        <f t="shared" si="168"/>
        <v>0</v>
      </c>
      <c r="BO89" s="300">
        <f t="shared" si="169"/>
        <v>0</v>
      </c>
      <c r="BP89" s="1344">
        <f t="shared" si="88"/>
        <v>0</v>
      </c>
      <c r="BQ89" s="301">
        <f t="shared" si="170"/>
        <v>0</v>
      </c>
      <c r="BR89" s="314"/>
      <c r="BS89" s="1343">
        <f t="shared" si="227"/>
        <v>0</v>
      </c>
      <c r="BT89" s="1344">
        <f t="shared" si="227"/>
        <v>0</v>
      </c>
      <c r="BU89" s="1344">
        <f t="shared" si="227"/>
        <v>0</v>
      </c>
      <c r="BV89" s="303">
        <f t="shared" si="227"/>
        <v>0</v>
      </c>
      <c r="BW89" s="304">
        <f t="shared" si="171"/>
        <v>0</v>
      </c>
      <c r="BX89" s="300">
        <f t="shared" si="172"/>
        <v>0</v>
      </c>
      <c r="BY89" s="1344">
        <f t="shared" si="89"/>
        <v>0</v>
      </c>
      <c r="BZ89" s="300">
        <f t="shared" si="220"/>
        <v>0</v>
      </c>
      <c r="CA89" s="301">
        <f t="shared" si="173"/>
        <v>0</v>
      </c>
      <c r="CB89" s="305" t="e">
        <f t="shared" si="174"/>
        <v>#DIV/0!</v>
      </c>
      <c r="CC89" s="304" t="e">
        <f t="shared" si="175"/>
        <v>#DIV/0!</v>
      </c>
      <c r="CD89" s="300">
        <f t="shared" si="176"/>
        <v>0</v>
      </c>
      <c r="CE89" s="306">
        <f t="shared" si="221"/>
        <v>0</v>
      </c>
      <c r="CF89" s="306">
        <f t="shared" si="177"/>
        <v>0</v>
      </c>
      <c r="CG89" s="307" t="e">
        <f t="shared" si="178"/>
        <v>#DIV/0!</v>
      </c>
      <c r="CH89" s="307" t="e">
        <f t="shared" si="179"/>
        <v>#DIV/0!</v>
      </c>
      <c r="CI89" s="308" t="e">
        <f t="shared" si="139"/>
        <v>#DIV/0!</v>
      </c>
      <c r="CJ89" s="309" t="e">
        <f t="shared" si="180"/>
        <v>#DIV/0!</v>
      </c>
      <c r="CK89" s="175" t="e">
        <f t="shared" si="222"/>
        <v>#DIV/0!</v>
      </c>
      <c r="CL89" s="175" t="str">
        <f t="shared" si="181"/>
        <v/>
      </c>
      <c r="CM89" s="310" t="e">
        <f t="shared" si="223"/>
        <v>#DIV/0!</v>
      </c>
      <c r="CN89" s="311" t="e">
        <f t="shared" si="224"/>
        <v>#DIV/0!</v>
      </c>
      <c r="CO89" s="311">
        <f t="shared" si="225"/>
        <v>0</v>
      </c>
      <c r="CP89" s="175">
        <f t="shared" si="182"/>
        <v>1</v>
      </c>
      <c r="CQ89" s="175">
        <f t="shared" si="183"/>
        <v>1</v>
      </c>
      <c r="CR89" s="175" t="str">
        <f t="shared" si="184"/>
        <v/>
      </c>
      <c r="CS89" s="175">
        <f t="shared" si="185"/>
        <v>0</v>
      </c>
      <c r="CT89" s="312">
        <f t="shared" si="186"/>
        <v>0</v>
      </c>
      <c r="CU89" s="175" t="str">
        <f t="shared" si="187"/>
        <v>OK</v>
      </c>
      <c r="CV89" s="313">
        <f t="shared" si="188"/>
        <v>0.05</v>
      </c>
      <c r="CW89" s="312" t="e">
        <f t="shared" si="189"/>
        <v>#DIV/0!</v>
      </c>
      <c r="CX89" s="312" t="e">
        <f t="shared" si="190"/>
        <v>#DIV/0!</v>
      </c>
      <c r="CY89" s="312" t="e">
        <f t="shared" si="191"/>
        <v>#DIV/0!</v>
      </c>
      <c r="CZ89" s="312" t="e">
        <f t="shared" si="192"/>
        <v>#DIV/0!</v>
      </c>
      <c r="DA89" s="312">
        <f t="shared" si="193"/>
        <v>1</v>
      </c>
      <c r="DB89" s="312">
        <f t="shared" si="194"/>
        <v>0</v>
      </c>
      <c r="DC89" s="175" t="str">
        <f t="shared" si="195"/>
        <v>Soft</v>
      </c>
      <c r="DD89" s="175"/>
      <c r="DE89" s="175">
        <f t="shared" si="196"/>
        <v>0</v>
      </c>
      <c r="DF89" s="312" t="e">
        <f t="shared" si="197"/>
        <v>#DIV/0!</v>
      </c>
      <c r="DG89" s="312" t="e">
        <f t="shared" si="198"/>
        <v>#DIV/0!</v>
      </c>
      <c r="DH89" s="312" t="e">
        <f t="shared" si="199"/>
        <v>#DIV/0!</v>
      </c>
      <c r="DI89" s="312" t="e">
        <f t="shared" si="200"/>
        <v>#DIV/0!</v>
      </c>
      <c r="DJ89" s="312" t="e">
        <f t="shared" si="226"/>
        <v>#DIV/0!</v>
      </c>
      <c r="DK89" s="175"/>
      <c r="DL89" s="175"/>
      <c r="DM89" s="175"/>
      <c r="DN89" s="175">
        <f t="shared" si="201"/>
        <v>1</v>
      </c>
      <c r="DO89" s="312" t="e">
        <f t="shared" si="202"/>
        <v>#DIV/0!</v>
      </c>
      <c r="DP89" s="312" t="e">
        <f t="shared" si="203"/>
        <v>#DIV/0!</v>
      </c>
      <c r="DQ89" s="312" t="e">
        <f t="shared" si="204"/>
        <v>#DIV/0!</v>
      </c>
      <c r="DR89" s="312" t="e">
        <f t="shared" si="205"/>
        <v>#DIV/0!</v>
      </c>
      <c r="DS89" s="312" t="e">
        <f t="shared" si="206"/>
        <v>#DIV/0!</v>
      </c>
      <c r="DT89" s="312" t="e">
        <f t="shared" si="207"/>
        <v>#DIV/0!</v>
      </c>
      <c r="DU89" s="312">
        <f t="shared" si="208"/>
        <v>0</v>
      </c>
      <c r="DV89" s="175"/>
      <c r="DW89" s="175" t="b">
        <f t="shared" si="209"/>
        <v>1</v>
      </c>
      <c r="DX89" s="175" t="b">
        <f t="shared" si="209"/>
        <v>1</v>
      </c>
      <c r="DY89" s="175" t="b">
        <f t="shared" si="209"/>
        <v>1</v>
      </c>
      <c r="DZ89" s="175" t="b">
        <f t="shared" si="209"/>
        <v>1</v>
      </c>
      <c r="EA89" s="175" t="b">
        <f t="shared" si="209"/>
        <v>1</v>
      </c>
      <c r="EB89" s="168"/>
    </row>
    <row r="90" spans="1:132" s="140" customFormat="1" ht="18.5" hidden="1" thickBot="1" x14ac:dyDescent="0.45">
      <c r="A90" s="150"/>
      <c r="B90" s="296" t="str">
        <f t="shared" si="73"/>
        <v>-</v>
      </c>
      <c r="C90" s="279">
        <v>71</v>
      </c>
      <c r="D90" s="1557"/>
      <c r="E90" s="1558"/>
      <c r="F90" s="977"/>
      <c r="G90" s="1103"/>
      <c r="H90" s="978"/>
      <c r="I90" s="965"/>
      <c r="J90" s="1325"/>
      <c r="K90" s="1326"/>
      <c r="L90" s="1326"/>
      <c r="M90" s="1326"/>
      <c r="N90" s="1327"/>
      <c r="O90" s="974"/>
      <c r="P90" s="975"/>
      <c r="Q90" s="976"/>
      <c r="R90" s="966"/>
      <c r="S90" s="280" t="str">
        <f t="shared" si="140"/>
        <v/>
      </c>
      <c r="T90" s="281" t="str">
        <f t="shared" si="141"/>
        <v/>
      </c>
      <c r="U90" s="282">
        <f t="shared" si="142"/>
        <v>0</v>
      </c>
      <c r="V90" s="259" t="str">
        <f t="shared" si="143"/>
        <v/>
      </c>
      <c r="W90" s="260" t="str">
        <f t="shared" si="144"/>
        <v/>
      </c>
      <c r="X90" s="283">
        <f t="shared" si="137"/>
        <v>0</v>
      </c>
      <c r="Y90" s="284" t="str">
        <f t="shared" si="145"/>
        <v/>
      </c>
      <c r="Z90" s="150"/>
      <c r="AA90" s="175"/>
      <c r="AB90" s="175">
        <v>71</v>
      </c>
      <c r="AC90" s="297" t="str">
        <f t="shared" si="138"/>
        <v>-</v>
      </c>
      <c r="AD90" s="297">
        <f t="shared" si="210"/>
        <v>0</v>
      </c>
      <c r="AE90" s="297">
        <f t="shared" si="211"/>
        <v>0</v>
      </c>
      <c r="AF90" s="297"/>
      <c r="AG90" s="298">
        <f t="shared" si="212"/>
        <v>0</v>
      </c>
      <c r="AH90" s="1339">
        <f t="shared" si="146"/>
        <v>0</v>
      </c>
      <c r="AI90" s="1340">
        <f>IF(SUM(AH90:AH$99)=0,0,F90&gt;0)</f>
        <v>0</v>
      </c>
      <c r="AJ90" s="1339">
        <f t="shared" si="147"/>
        <v>0</v>
      </c>
      <c r="AK90" s="1340">
        <f>IF(SUM(AH90:AH$99)=0,0,AND(AI90=FALSE,AJ90=0,SUM(AJ90:AJ$99)&gt;0))</f>
        <v>0</v>
      </c>
      <c r="AL90" s="1340">
        <f t="shared" si="148"/>
        <v>0</v>
      </c>
      <c r="AM90" s="1340">
        <f t="shared" si="149"/>
        <v>0</v>
      </c>
      <c r="AN90" s="1341">
        <f t="shared" si="150"/>
        <v>0</v>
      </c>
      <c r="AO90" s="1341">
        <f t="shared" si="151"/>
        <v>0</v>
      </c>
      <c r="AP90" s="264">
        <f t="shared" si="152"/>
        <v>0</v>
      </c>
      <c r="AQ90" s="264">
        <f t="shared" si="213"/>
        <v>0</v>
      </c>
      <c r="AR90" s="1340">
        <f t="shared" si="153"/>
        <v>0</v>
      </c>
      <c r="AS90" s="1340" t="str">
        <f t="shared" si="214"/>
        <v/>
      </c>
      <c r="AT90" s="1340">
        <f t="shared" si="154"/>
        <v>0</v>
      </c>
      <c r="AU90" s="898">
        <f t="shared" si="215"/>
        <v>0</v>
      </c>
      <c r="AV90" s="1340">
        <f t="shared" si="155"/>
        <v>0</v>
      </c>
      <c r="AW90" s="1340">
        <f t="shared" si="156"/>
        <v>0</v>
      </c>
      <c r="AX90" s="1340">
        <f t="shared" si="157"/>
        <v>0</v>
      </c>
      <c r="AY90" s="897">
        <f t="shared" si="216"/>
        <v>0</v>
      </c>
      <c r="AZ90" s="1340">
        <f t="shared" si="158"/>
        <v>0</v>
      </c>
      <c r="BA90" s="896">
        <f t="shared" si="217"/>
        <v>0</v>
      </c>
      <c r="BB90" s="899" t="str">
        <f t="shared" si="218"/>
        <v/>
      </c>
      <c r="BC90" s="899" t="str">
        <f t="shared" si="219"/>
        <v/>
      </c>
      <c r="BD90" s="1340">
        <f t="shared" si="159"/>
        <v>0</v>
      </c>
      <c r="BE90" s="1340">
        <f t="shared" si="160"/>
        <v>0</v>
      </c>
      <c r="BF90" s="1340">
        <f t="shared" si="161"/>
        <v>0</v>
      </c>
      <c r="BG90" s="1342" t="b">
        <f t="shared" si="162"/>
        <v>0</v>
      </c>
      <c r="BH90" s="299" t="str">
        <f t="shared" si="163"/>
        <v/>
      </c>
      <c r="BI90" s="1343">
        <f t="shared" si="164"/>
        <v>0</v>
      </c>
      <c r="BJ90" s="1344">
        <f t="shared" si="165"/>
        <v>0</v>
      </c>
      <c r="BK90" s="1344">
        <f t="shared" si="87"/>
        <v>0</v>
      </c>
      <c r="BL90" s="1345">
        <f t="shared" si="166"/>
        <v>0</v>
      </c>
      <c r="BM90" s="1346">
        <f t="shared" si="167"/>
        <v>0</v>
      </c>
      <c r="BN90" s="300">
        <f t="shared" si="168"/>
        <v>0</v>
      </c>
      <c r="BO90" s="300">
        <f t="shared" si="169"/>
        <v>0</v>
      </c>
      <c r="BP90" s="1344">
        <f t="shared" si="88"/>
        <v>0</v>
      </c>
      <c r="BQ90" s="301">
        <f t="shared" si="170"/>
        <v>0</v>
      </c>
      <c r="BR90" s="314"/>
      <c r="BS90" s="1343">
        <f t="shared" si="227"/>
        <v>0</v>
      </c>
      <c r="BT90" s="1344">
        <f t="shared" si="227"/>
        <v>0</v>
      </c>
      <c r="BU90" s="1344">
        <f t="shared" si="227"/>
        <v>0</v>
      </c>
      <c r="BV90" s="303">
        <f t="shared" si="227"/>
        <v>0</v>
      </c>
      <c r="BW90" s="304">
        <f t="shared" si="171"/>
        <v>0</v>
      </c>
      <c r="BX90" s="300">
        <f t="shared" si="172"/>
        <v>0</v>
      </c>
      <c r="BY90" s="1344">
        <f t="shared" si="89"/>
        <v>0</v>
      </c>
      <c r="BZ90" s="300">
        <f t="shared" si="220"/>
        <v>0</v>
      </c>
      <c r="CA90" s="301">
        <f t="shared" si="173"/>
        <v>0</v>
      </c>
      <c r="CB90" s="305" t="e">
        <f t="shared" si="174"/>
        <v>#DIV/0!</v>
      </c>
      <c r="CC90" s="304" t="e">
        <f t="shared" si="175"/>
        <v>#DIV/0!</v>
      </c>
      <c r="CD90" s="300">
        <f t="shared" si="176"/>
        <v>0</v>
      </c>
      <c r="CE90" s="306">
        <f t="shared" si="221"/>
        <v>0</v>
      </c>
      <c r="CF90" s="306">
        <f t="shared" si="177"/>
        <v>0</v>
      </c>
      <c r="CG90" s="307" t="e">
        <f t="shared" si="178"/>
        <v>#DIV/0!</v>
      </c>
      <c r="CH90" s="307" t="e">
        <f t="shared" si="179"/>
        <v>#DIV/0!</v>
      </c>
      <c r="CI90" s="308" t="e">
        <f t="shared" si="139"/>
        <v>#DIV/0!</v>
      </c>
      <c r="CJ90" s="309" t="e">
        <f t="shared" si="180"/>
        <v>#DIV/0!</v>
      </c>
      <c r="CK90" s="175" t="e">
        <f t="shared" si="222"/>
        <v>#DIV/0!</v>
      </c>
      <c r="CL90" s="175" t="str">
        <f t="shared" si="181"/>
        <v/>
      </c>
      <c r="CM90" s="310" t="e">
        <f t="shared" si="223"/>
        <v>#DIV/0!</v>
      </c>
      <c r="CN90" s="311" t="e">
        <f t="shared" si="224"/>
        <v>#DIV/0!</v>
      </c>
      <c r="CO90" s="311">
        <f t="shared" si="225"/>
        <v>0</v>
      </c>
      <c r="CP90" s="175">
        <f t="shared" si="182"/>
        <v>1</v>
      </c>
      <c r="CQ90" s="175">
        <f t="shared" si="183"/>
        <v>1</v>
      </c>
      <c r="CR90" s="175" t="str">
        <f t="shared" si="184"/>
        <v/>
      </c>
      <c r="CS90" s="175">
        <f t="shared" si="185"/>
        <v>0</v>
      </c>
      <c r="CT90" s="312">
        <f t="shared" si="186"/>
        <v>0</v>
      </c>
      <c r="CU90" s="175" t="str">
        <f t="shared" si="187"/>
        <v>OK</v>
      </c>
      <c r="CV90" s="313">
        <f t="shared" si="188"/>
        <v>0.05</v>
      </c>
      <c r="CW90" s="312" t="e">
        <f t="shared" si="189"/>
        <v>#DIV/0!</v>
      </c>
      <c r="CX90" s="312" t="e">
        <f t="shared" si="190"/>
        <v>#DIV/0!</v>
      </c>
      <c r="CY90" s="312" t="e">
        <f t="shared" si="191"/>
        <v>#DIV/0!</v>
      </c>
      <c r="CZ90" s="312" t="e">
        <f t="shared" si="192"/>
        <v>#DIV/0!</v>
      </c>
      <c r="DA90" s="312">
        <f t="shared" si="193"/>
        <v>1</v>
      </c>
      <c r="DB90" s="312">
        <f t="shared" si="194"/>
        <v>0</v>
      </c>
      <c r="DC90" s="175" t="str">
        <f t="shared" si="195"/>
        <v>Soft</v>
      </c>
      <c r="DD90" s="175"/>
      <c r="DE90" s="175">
        <f t="shared" si="196"/>
        <v>0</v>
      </c>
      <c r="DF90" s="312" t="e">
        <f t="shared" si="197"/>
        <v>#DIV/0!</v>
      </c>
      <c r="DG90" s="312" t="e">
        <f t="shared" si="198"/>
        <v>#DIV/0!</v>
      </c>
      <c r="DH90" s="312" t="e">
        <f t="shared" si="199"/>
        <v>#DIV/0!</v>
      </c>
      <c r="DI90" s="312" t="e">
        <f t="shared" si="200"/>
        <v>#DIV/0!</v>
      </c>
      <c r="DJ90" s="312" t="e">
        <f t="shared" si="226"/>
        <v>#DIV/0!</v>
      </c>
      <c r="DK90" s="175"/>
      <c r="DL90" s="175"/>
      <c r="DM90" s="175"/>
      <c r="DN90" s="175">
        <f t="shared" si="201"/>
        <v>1</v>
      </c>
      <c r="DO90" s="312" t="e">
        <f t="shared" si="202"/>
        <v>#DIV/0!</v>
      </c>
      <c r="DP90" s="312" t="e">
        <f t="shared" si="203"/>
        <v>#DIV/0!</v>
      </c>
      <c r="DQ90" s="312" t="e">
        <f t="shared" si="204"/>
        <v>#DIV/0!</v>
      </c>
      <c r="DR90" s="312" t="e">
        <f t="shared" si="205"/>
        <v>#DIV/0!</v>
      </c>
      <c r="DS90" s="312" t="e">
        <f t="shared" si="206"/>
        <v>#DIV/0!</v>
      </c>
      <c r="DT90" s="312" t="e">
        <f t="shared" si="207"/>
        <v>#DIV/0!</v>
      </c>
      <c r="DU90" s="312">
        <f t="shared" si="208"/>
        <v>0</v>
      </c>
      <c r="DV90" s="175"/>
      <c r="DW90" s="175" t="b">
        <f t="shared" si="209"/>
        <v>1</v>
      </c>
      <c r="DX90" s="175" t="b">
        <f t="shared" si="209"/>
        <v>1</v>
      </c>
      <c r="DY90" s="175" t="b">
        <f t="shared" si="209"/>
        <v>1</v>
      </c>
      <c r="DZ90" s="175" t="b">
        <f t="shared" si="209"/>
        <v>1</v>
      </c>
      <c r="EA90" s="175" t="b">
        <f t="shared" si="209"/>
        <v>1</v>
      </c>
      <c r="EB90" s="168"/>
    </row>
    <row r="91" spans="1:132" s="140" customFormat="1" ht="18.5" hidden="1" thickBot="1" x14ac:dyDescent="0.45">
      <c r="A91" s="150"/>
      <c r="B91" s="296" t="str">
        <f t="shared" si="73"/>
        <v>-</v>
      </c>
      <c r="C91" s="279">
        <v>72</v>
      </c>
      <c r="D91" s="1557"/>
      <c r="E91" s="1558"/>
      <c r="F91" s="977"/>
      <c r="G91" s="1103"/>
      <c r="H91" s="978"/>
      <c r="I91" s="965"/>
      <c r="J91" s="1325"/>
      <c r="K91" s="1326"/>
      <c r="L91" s="1326"/>
      <c r="M91" s="1326"/>
      <c r="N91" s="1327"/>
      <c r="O91" s="974"/>
      <c r="P91" s="975"/>
      <c r="Q91" s="976"/>
      <c r="R91" s="966"/>
      <c r="S91" s="280" t="str">
        <f t="shared" si="140"/>
        <v/>
      </c>
      <c r="T91" s="281" t="str">
        <f t="shared" si="141"/>
        <v/>
      </c>
      <c r="U91" s="282">
        <f t="shared" si="142"/>
        <v>0</v>
      </c>
      <c r="V91" s="259" t="str">
        <f t="shared" si="143"/>
        <v/>
      </c>
      <c r="W91" s="260" t="str">
        <f t="shared" si="144"/>
        <v/>
      </c>
      <c r="X91" s="283">
        <f t="shared" si="137"/>
        <v>0</v>
      </c>
      <c r="Y91" s="284" t="str">
        <f t="shared" si="145"/>
        <v/>
      </c>
      <c r="Z91" s="150"/>
      <c r="AA91" s="175"/>
      <c r="AB91" s="175">
        <v>72</v>
      </c>
      <c r="AC91" s="297" t="str">
        <f t="shared" si="138"/>
        <v>-</v>
      </c>
      <c r="AD91" s="297">
        <f t="shared" si="210"/>
        <v>0</v>
      </c>
      <c r="AE91" s="297">
        <f t="shared" si="211"/>
        <v>0</v>
      </c>
      <c r="AF91" s="297"/>
      <c r="AG91" s="298">
        <f t="shared" si="212"/>
        <v>0</v>
      </c>
      <c r="AH91" s="1339">
        <f t="shared" si="146"/>
        <v>0</v>
      </c>
      <c r="AI91" s="1340">
        <f>IF(SUM(AH91:AH$99)=0,0,F91&gt;0)</f>
        <v>0</v>
      </c>
      <c r="AJ91" s="1339">
        <f t="shared" si="147"/>
        <v>0</v>
      </c>
      <c r="AK91" s="1340">
        <f>IF(SUM(AH91:AH$99)=0,0,AND(AI91=FALSE,AJ91=0,SUM(AJ91:AJ$99)&gt;0))</f>
        <v>0</v>
      </c>
      <c r="AL91" s="1340">
        <f t="shared" si="148"/>
        <v>0</v>
      </c>
      <c r="AM91" s="1340">
        <f t="shared" si="149"/>
        <v>0</v>
      </c>
      <c r="AN91" s="1341">
        <f t="shared" si="150"/>
        <v>0</v>
      </c>
      <c r="AO91" s="1341">
        <f t="shared" si="151"/>
        <v>0</v>
      </c>
      <c r="AP91" s="264">
        <f t="shared" si="152"/>
        <v>0</v>
      </c>
      <c r="AQ91" s="264">
        <f t="shared" si="213"/>
        <v>0</v>
      </c>
      <c r="AR91" s="1340">
        <f t="shared" si="153"/>
        <v>0</v>
      </c>
      <c r="AS91" s="1340" t="str">
        <f t="shared" si="214"/>
        <v/>
      </c>
      <c r="AT91" s="1340">
        <f t="shared" si="154"/>
        <v>0</v>
      </c>
      <c r="AU91" s="898">
        <f t="shared" si="215"/>
        <v>0</v>
      </c>
      <c r="AV91" s="1340">
        <f t="shared" si="155"/>
        <v>0</v>
      </c>
      <c r="AW91" s="1340">
        <f t="shared" si="156"/>
        <v>0</v>
      </c>
      <c r="AX91" s="1340">
        <f t="shared" si="157"/>
        <v>0</v>
      </c>
      <c r="AY91" s="897">
        <f t="shared" si="216"/>
        <v>0</v>
      </c>
      <c r="AZ91" s="1340">
        <f t="shared" si="158"/>
        <v>0</v>
      </c>
      <c r="BA91" s="896">
        <f t="shared" si="217"/>
        <v>0</v>
      </c>
      <c r="BB91" s="899" t="str">
        <f t="shared" si="218"/>
        <v/>
      </c>
      <c r="BC91" s="899" t="str">
        <f t="shared" si="219"/>
        <v/>
      </c>
      <c r="BD91" s="1340">
        <f t="shared" si="159"/>
        <v>0</v>
      </c>
      <c r="BE91" s="1340">
        <f t="shared" si="160"/>
        <v>0</v>
      </c>
      <c r="BF91" s="1340">
        <f t="shared" si="161"/>
        <v>0</v>
      </c>
      <c r="BG91" s="1342" t="b">
        <f t="shared" si="162"/>
        <v>0</v>
      </c>
      <c r="BH91" s="299" t="str">
        <f t="shared" si="163"/>
        <v/>
      </c>
      <c r="BI91" s="1343">
        <f t="shared" si="164"/>
        <v>0</v>
      </c>
      <c r="BJ91" s="1344">
        <f t="shared" si="165"/>
        <v>0</v>
      </c>
      <c r="BK91" s="1344">
        <f t="shared" si="87"/>
        <v>0</v>
      </c>
      <c r="BL91" s="1345">
        <f t="shared" si="166"/>
        <v>0</v>
      </c>
      <c r="BM91" s="1346">
        <f t="shared" si="167"/>
        <v>0</v>
      </c>
      <c r="BN91" s="300">
        <f t="shared" si="168"/>
        <v>0</v>
      </c>
      <c r="BO91" s="300">
        <f t="shared" si="169"/>
        <v>0</v>
      </c>
      <c r="BP91" s="1344">
        <f t="shared" si="88"/>
        <v>0</v>
      </c>
      <c r="BQ91" s="301">
        <f t="shared" si="170"/>
        <v>0</v>
      </c>
      <c r="BR91" s="314"/>
      <c r="BS91" s="1343">
        <f t="shared" si="227"/>
        <v>0</v>
      </c>
      <c r="BT91" s="1344">
        <f t="shared" si="227"/>
        <v>0</v>
      </c>
      <c r="BU91" s="1344">
        <f t="shared" si="227"/>
        <v>0</v>
      </c>
      <c r="BV91" s="303">
        <f t="shared" si="227"/>
        <v>0</v>
      </c>
      <c r="BW91" s="304">
        <f t="shared" si="171"/>
        <v>0</v>
      </c>
      <c r="BX91" s="300">
        <f t="shared" si="172"/>
        <v>0</v>
      </c>
      <c r="BY91" s="1344">
        <f t="shared" si="89"/>
        <v>0</v>
      </c>
      <c r="BZ91" s="300">
        <f t="shared" si="220"/>
        <v>0</v>
      </c>
      <c r="CA91" s="301">
        <f t="shared" si="173"/>
        <v>0</v>
      </c>
      <c r="CB91" s="305" t="e">
        <f t="shared" si="174"/>
        <v>#DIV/0!</v>
      </c>
      <c r="CC91" s="304" t="e">
        <f t="shared" si="175"/>
        <v>#DIV/0!</v>
      </c>
      <c r="CD91" s="300">
        <f t="shared" si="176"/>
        <v>0</v>
      </c>
      <c r="CE91" s="306">
        <f t="shared" si="221"/>
        <v>0</v>
      </c>
      <c r="CF91" s="306">
        <f t="shared" si="177"/>
        <v>0</v>
      </c>
      <c r="CG91" s="307" t="e">
        <f t="shared" si="178"/>
        <v>#DIV/0!</v>
      </c>
      <c r="CH91" s="307" t="e">
        <f t="shared" si="179"/>
        <v>#DIV/0!</v>
      </c>
      <c r="CI91" s="308" t="e">
        <f t="shared" si="139"/>
        <v>#DIV/0!</v>
      </c>
      <c r="CJ91" s="309" t="e">
        <f t="shared" si="180"/>
        <v>#DIV/0!</v>
      </c>
      <c r="CK91" s="175" t="e">
        <f t="shared" si="222"/>
        <v>#DIV/0!</v>
      </c>
      <c r="CL91" s="175" t="str">
        <f t="shared" si="181"/>
        <v/>
      </c>
      <c r="CM91" s="310" t="e">
        <f t="shared" si="223"/>
        <v>#DIV/0!</v>
      </c>
      <c r="CN91" s="311" t="e">
        <f t="shared" si="224"/>
        <v>#DIV/0!</v>
      </c>
      <c r="CO91" s="311">
        <f t="shared" si="225"/>
        <v>0</v>
      </c>
      <c r="CP91" s="175">
        <f t="shared" si="182"/>
        <v>1</v>
      </c>
      <c r="CQ91" s="175">
        <f t="shared" si="183"/>
        <v>1</v>
      </c>
      <c r="CR91" s="175" t="str">
        <f t="shared" si="184"/>
        <v/>
      </c>
      <c r="CS91" s="175">
        <f t="shared" si="185"/>
        <v>0</v>
      </c>
      <c r="CT91" s="312">
        <f t="shared" si="186"/>
        <v>0</v>
      </c>
      <c r="CU91" s="175" t="str">
        <f t="shared" si="187"/>
        <v>OK</v>
      </c>
      <c r="CV91" s="313">
        <f t="shared" si="188"/>
        <v>0.05</v>
      </c>
      <c r="CW91" s="312" t="e">
        <f t="shared" si="189"/>
        <v>#DIV/0!</v>
      </c>
      <c r="CX91" s="312" t="e">
        <f t="shared" si="190"/>
        <v>#DIV/0!</v>
      </c>
      <c r="CY91" s="312" t="e">
        <f t="shared" si="191"/>
        <v>#DIV/0!</v>
      </c>
      <c r="CZ91" s="312" t="e">
        <f t="shared" si="192"/>
        <v>#DIV/0!</v>
      </c>
      <c r="DA91" s="312">
        <f t="shared" si="193"/>
        <v>1</v>
      </c>
      <c r="DB91" s="312">
        <f t="shared" si="194"/>
        <v>0</v>
      </c>
      <c r="DC91" s="175" t="str">
        <f t="shared" si="195"/>
        <v>Soft</v>
      </c>
      <c r="DD91" s="175"/>
      <c r="DE91" s="175">
        <f t="shared" si="196"/>
        <v>0</v>
      </c>
      <c r="DF91" s="312" t="e">
        <f t="shared" si="197"/>
        <v>#DIV/0!</v>
      </c>
      <c r="DG91" s="312" t="e">
        <f t="shared" si="198"/>
        <v>#DIV/0!</v>
      </c>
      <c r="DH91" s="312" t="e">
        <f t="shared" si="199"/>
        <v>#DIV/0!</v>
      </c>
      <c r="DI91" s="312" t="e">
        <f t="shared" si="200"/>
        <v>#DIV/0!</v>
      </c>
      <c r="DJ91" s="312" t="e">
        <f t="shared" si="226"/>
        <v>#DIV/0!</v>
      </c>
      <c r="DK91" s="175"/>
      <c r="DL91" s="175"/>
      <c r="DM91" s="175"/>
      <c r="DN91" s="175">
        <f t="shared" si="201"/>
        <v>1</v>
      </c>
      <c r="DO91" s="312" t="e">
        <f t="shared" si="202"/>
        <v>#DIV/0!</v>
      </c>
      <c r="DP91" s="312" t="e">
        <f t="shared" si="203"/>
        <v>#DIV/0!</v>
      </c>
      <c r="DQ91" s="312" t="e">
        <f t="shared" si="204"/>
        <v>#DIV/0!</v>
      </c>
      <c r="DR91" s="312" t="e">
        <f t="shared" si="205"/>
        <v>#DIV/0!</v>
      </c>
      <c r="DS91" s="312" t="e">
        <f t="shared" si="206"/>
        <v>#DIV/0!</v>
      </c>
      <c r="DT91" s="312" t="e">
        <f t="shared" si="207"/>
        <v>#DIV/0!</v>
      </c>
      <c r="DU91" s="312">
        <f t="shared" si="208"/>
        <v>0</v>
      </c>
      <c r="DV91" s="175"/>
      <c r="DW91" s="175" t="b">
        <f t="shared" si="209"/>
        <v>1</v>
      </c>
      <c r="DX91" s="175" t="b">
        <f t="shared" si="209"/>
        <v>1</v>
      </c>
      <c r="DY91" s="175" t="b">
        <f t="shared" si="209"/>
        <v>1</v>
      </c>
      <c r="DZ91" s="175" t="b">
        <f t="shared" si="209"/>
        <v>1</v>
      </c>
      <c r="EA91" s="175" t="b">
        <f t="shared" si="209"/>
        <v>1</v>
      </c>
      <c r="EB91" s="168"/>
    </row>
    <row r="92" spans="1:132" s="140" customFormat="1" ht="18.5" hidden="1" thickBot="1" x14ac:dyDescent="0.45">
      <c r="A92" s="150"/>
      <c r="B92" s="296" t="str">
        <f t="shared" si="73"/>
        <v>-</v>
      </c>
      <c r="C92" s="279">
        <v>73</v>
      </c>
      <c r="D92" s="1557"/>
      <c r="E92" s="1558"/>
      <c r="F92" s="977"/>
      <c r="G92" s="1103"/>
      <c r="H92" s="978"/>
      <c r="I92" s="965"/>
      <c r="J92" s="1325"/>
      <c r="K92" s="1326"/>
      <c r="L92" s="1326"/>
      <c r="M92" s="1326"/>
      <c r="N92" s="1327"/>
      <c r="O92" s="974"/>
      <c r="P92" s="975"/>
      <c r="Q92" s="976"/>
      <c r="R92" s="966"/>
      <c r="S92" s="280" t="str">
        <f t="shared" si="140"/>
        <v/>
      </c>
      <c r="T92" s="281" t="str">
        <f t="shared" si="141"/>
        <v/>
      </c>
      <c r="U92" s="282">
        <f t="shared" si="142"/>
        <v>0</v>
      </c>
      <c r="V92" s="259" t="str">
        <f t="shared" si="143"/>
        <v/>
      </c>
      <c r="W92" s="260" t="str">
        <f t="shared" si="144"/>
        <v/>
      </c>
      <c r="X92" s="283">
        <f t="shared" si="137"/>
        <v>0</v>
      </c>
      <c r="Y92" s="284" t="str">
        <f t="shared" si="145"/>
        <v/>
      </c>
      <c r="Z92" s="150"/>
      <c r="AA92" s="175"/>
      <c r="AB92" s="175">
        <v>73</v>
      </c>
      <c r="AC92" s="297" t="str">
        <f t="shared" si="138"/>
        <v>-</v>
      </c>
      <c r="AD92" s="297">
        <f t="shared" si="210"/>
        <v>0</v>
      </c>
      <c r="AE92" s="297">
        <f t="shared" si="211"/>
        <v>0</v>
      </c>
      <c r="AF92" s="297"/>
      <c r="AG92" s="298">
        <f t="shared" si="212"/>
        <v>0</v>
      </c>
      <c r="AH92" s="1339">
        <f t="shared" si="146"/>
        <v>0</v>
      </c>
      <c r="AI92" s="1340">
        <f>IF(SUM(AH92:AH$99)=0,0,F92&gt;0)</f>
        <v>0</v>
      </c>
      <c r="AJ92" s="1339">
        <f t="shared" si="147"/>
        <v>0</v>
      </c>
      <c r="AK92" s="1340">
        <f>IF(SUM(AH92:AH$99)=0,0,AND(AI92=FALSE,AJ92=0,SUM(AJ92:AJ$99)&gt;0))</f>
        <v>0</v>
      </c>
      <c r="AL92" s="1340">
        <f t="shared" si="148"/>
        <v>0</v>
      </c>
      <c r="AM92" s="1340">
        <f t="shared" si="149"/>
        <v>0</v>
      </c>
      <c r="AN92" s="1341">
        <f t="shared" si="150"/>
        <v>0</v>
      </c>
      <c r="AO92" s="1341">
        <f t="shared" si="151"/>
        <v>0</v>
      </c>
      <c r="AP92" s="264">
        <f t="shared" si="152"/>
        <v>0</v>
      </c>
      <c r="AQ92" s="264">
        <f t="shared" si="213"/>
        <v>0</v>
      </c>
      <c r="AR92" s="1340">
        <f t="shared" si="153"/>
        <v>0</v>
      </c>
      <c r="AS92" s="1340" t="str">
        <f t="shared" si="214"/>
        <v/>
      </c>
      <c r="AT92" s="1340">
        <f t="shared" si="154"/>
        <v>0</v>
      </c>
      <c r="AU92" s="898">
        <f t="shared" si="215"/>
        <v>0</v>
      </c>
      <c r="AV92" s="1340">
        <f t="shared" si="155"/>
        <v>0</v>
      </c>
      <c r="AW92" s="1340">
        <f t="shared" si="156"/>
        <v>0</v>
      </c>
      <c r="AX92" s="1340">
        <f t="shared" si="157"/>
        <v>0</v>
      </c>
      <c r="AY92" s="897">
        <f t="shared" si="216"/>
        <v>0</v>
      </c>
      <c r="AZ92" s="1340">
        <f t="shared" si="158"/>
        <v>0</v>
      </c>
      <c r="BA92" s="896">
        <f t="shared" si="217"/>
        <v>0</v>
      </c>
      <c r="BB92" s="899" t="str">
        <f t="shared" si="218"/>
        <v/>
      </c>
      <c r="BC92" s="899" t="str">
        <f t="shared" si="219"/>
        <v/>
      </c>
      <c r="BD92" s="1340">
        <f t="shared" si="159"/>
        <v>0</v>
      </c>
      <c r="BE92" s="1340">
        <f t="shared" si="160"/>
        <v>0</v>
      </c>
      <c r="BF92" s="1340">
        <f t="shared" si="161"/>
        <v>0</v>
      </c>
      <c r="BG92" s="1342" t="b">
        <f t="shared" si="162"/>
        <v>0</v>
      </c>
      <c r="BH92" s="299" t="str">
        <f t="shared" si="163"/>
        <v/>
      </c>
      <c r="BI92" s="1343">
        <f t="shared" si="164"/>
        <v>0</v>
      </c>
      <c r="BJ92" s="1344">
        <f t="shared" si="165"/>
        <v>0</v>
      </c>
      <c r="BK92" s="1344">
        <f t="shared" si="87"/>
        <v>0</v>
      </c>
      <c r="BL92" s="1345">
        <f t="shared" si="166"/>
        <v>0</v>
      </c>
      <c r="BM92" s="1346">
        <f t="shared" si="167"/>
        <v>0</v>
      </c>
      <c r="BN92" s="300">
        <f t="shared" si="168"/>
        <v>0</v>
      </c>
      <c r="BO92" s="300">
        <f t="shared" si="169"/>
        <v>0</v>
      </c>
      <c r="BP92" s="1344">
        <f t="shared" si="88"/>
        <v>0</v>
      </c>
      <c r="BQ92" s="301">
        <f t="shared" si="170"/>
        <v>0</v>
      </c>
      <c r="BR92" s="314"/>
      <c r="BS92" s="1343">
        <f t="shared" si="227"/>
        <v>0</v>
      </c>
      <c r="BT92" s="1344">
        <f t="shared" si="227"/>
        <v>0</v>
      </c>
      <c r="BU92" s="1344">
        <f t="shared" si="227"/>
        <v>0</v>
      </c>
      <c r="BV92" s="303">
        <f t="shared" si="227"/>
        <v>0</v>
      </c>
      <c r="BW92" s="304">
        <f t="shared" si="171"/>
        <v>0</v>
      </c>
      <c r="BX92" s="300">
        <f t="shared" si="172"/>
        <v>0</v>
      </c>
      <c r="BY92" s="1344">
        <f t="shared" si="89"/>
        <v>0</v>
      </c>
      <c r="BZ92" s="300">
        <f t="shared" si="220"/>
        <v>0</v>
      </c>
      <c r="CA92" s="301">
        <f t="shared" si="173"/>
        <v>0</v>
      </c>
      <c r="CB92" s="305" t="e">
        <f t="shared" si="174"/>
        <v>#DIV/0!</v>
      </c>
      <c r="CC92" s="304" t="e">
        <f t="shared" si="175"/>
        <v>#DIV/0!</v>
      </c>
      <c r="CD92" s="300">
        <f t="shared" si="176"/>
        <v>0</v>
      </c>
      <c r="CE92" s="306">
        <f t="shared" si="221"/>
        <v>0</v>
      </c>
      <c r="CF92" s="306">
        <f t="shared" si="177"/>
        <v>0</v>
      </c>
      <c r="CG92" s="307" t="e">
        <f t="shared" si="178"/>
        <v>#DIV/0!</v>
      </c>
      <c r="CH92" s="307" t="e">
        <f t="shared" si="179"/>
        <v>#DIV/0!</v>
      </c>
      <c r="CI92" s="308" t="e">
        <f t="shared" si="139"/>
        <v>#DIV/0!</v>
      </c>
      <c r="CJ92" s="309" t="e">
        <f t="shared" si="180"/>
        <v>#DIV/0!</v>
      </c>
      <c r="CK92" s="175" t="e">
        <f t="shared" si="222"/>
        <v>#DIV/0!</v>
      </c>
      <c r="CL92" s="175" t="str">
        <f t="shared" si="181"/>
        <v/>
      </c>
      <c r="CM92" s="310" t="e">
        <f t="shared" si="223"/>
        <v>#DIV/0!</v>
      </c>
      <c r="CN92" s="311" t="e">
        <f t="shared" si="224"/>
        <v>#DIV/0!</v>
      </c>
      <c r="CO92" s="311">
        <f t="shared" si="225"/>
        <v>0</v>
      </c>
      <c r="CP92" s="175">
        <f t="shared" si="182"/>
        <v>1</v>
      </c>
      <c r="CQ92" s="175">
        <f t="shared" si="183"/>
        <v>1</v>
      </c>
      <c r="CR92" s="175" t="str">
        <f t="shared" si="184"/>
        <v/>
      </c>
      <c r="CS92" s="175">
        <f t="shared" si="185"/>
        <v>0</v>
      </c>
      <c r="CT92" s="312">
        <f t="shared" si="186"/>
        <v>0</v>
      </c>
      <c r="CU92" s="175" t="str">
        <f t="shared" si="187"/>
        <v>OK</v>
      </c>
      <c r="CV92" s="313">
        <f t="shared" si="188"/>
        <v>0.05</v>
      </c>
      <c r="CW92" s="312" t="e">
        <f t="shared" si="189"/>
        <v>#DIV/0!</v>
      </c>
      <c r="CX92" s="312" t="e">
        <f t="shared" si="190"/>
        <v>#DIV/0!</v>
      </c>
      <c r="CY92" s="312" t="e">
        <f t="shared" si="191"/>
        <v>#DIV/0!</v>
      </c>
      <c r="CZ92" s="312" t="e">
        <f t="shared" si="192"/>
        <v>#DIV/0!</v>
      </c>
      <c r="DA92" s="312">
        <f t="shared" si="193"/>
        <v>1</v>
      </c>
      <c r="DB92" s="312">
        <f t="shared" si="194"/>
        <v>0</v>
      </c>
      <c r="DC92" s="175" t="str">
        <f t="shared" si="195"/>
        <v>Soft</v>
      </c>
      <c r="DD92" s="175"/>
      <c r="DE92" s="175">
        <f t="shared" si="196"/>
        <v>0</v>
      </c>
      <c r="DF92" s="312" t="e">
        <f t="shared" si="197"/>
        <v>#DIV/0!</v>
      </c>
      <c r="DG92" s="312" t="e">
        <f t="shared" si="198"/>
        <v>#DIV/0!</v>
      </c>
      <c r="DH92" s="312" t="e">
        <f t="shared" si="199"/>
        <v>#DIV/0!</v>
      </c>
      <c r="DI92" s="312" t="e">
        <f t="shared" si="200"/>
        <v>#DIV/0!</v>
      </c>
      <c r="DJ92" s="312" t="e">
        <f t="shared" si="226"/>
        <v>#DIV/0!</v>
      </c>
      <c r="DK92" s="175"/>
      <c r="DL92" s="175"/>
      <c r="DM92" s="175"/>
      <c r="DN92" s="175">
        <f t="shared" si="201"/>
        <v>1</v>
      </c>
      <c r="DO92" s="312" t="e">
        <f t="shared" si="202"/>
        <v>#DIV/0!</v>
      </c>
      <c r="DP92" s="312" t="e">
        <f t="shared" si="203"/>
        <v>#DIV/0!</v>
      </c>
      <c r="DQ92" s="312" t="e">
        <f t="shared" si="204"/>
        <v>#DIV/0!</v>
      </c>
      <c r="DR92" s="312" t="e">
        <f t="shared" si="205"/>
        <v>#DIV/0!</v>
      </c>
      <c r="DS92" s="312" t="e">
        <f t="shared" si="206"/>
        <v>#DIV/0!</v>
      </c>
      <c r="DT92" s="312" t="e">
        <f t="shared" si="207"/>
        <v>#DIV/0!</v>
      </c>
      <c r="DU92" s="312">
        <f t="shared" si="208"/>
        <v>0</v>
      </c>
      <c r="DV92" s="175"/>
      <c r="DW92" s="175" t="b">
        <f t="shared" si="209"/>
        <v>1</v>
      </c>
      <c r="DX92" s="175" t="b">
        <f t="shared" si="209"/>
        <v>1</v>
      </c>
      <c r="DY92" s="175" t="b">
        <f t="shared" si="209"/>
        <v>1</v>
      </c>
      <c r="DZ92" s="175" t="b">
        <f t="shared" si="209"/>
        <v>1</v>
      </c>
      <c r="EA92" s="175" t="b">
        <f t="shared" si="209"/>
        <v>1</v>
      </c>
      <c r="EB92" s="168"/>
    </row>
    <row r="93" spans="1:132" s="140" customFormat="1" ht="18.5" hidden="1" thickBot="1" x14ac:dyDescent="0.45">
      <c r="A93" s="150"/>
      <c r="B93" s="296" t="str">
        <f t="shared" si="73"/>
        <v>-</v>
      </c>
      <c r="C93" s="279">
        <v>74</v>
      </c>
      <c r="D93" s="1557"/>
      <c r="E93" s="1558"/>
      <c r="F93" s="977"/>
      <c r="G93" s="1103"/>
      <c r="H93" s="978"/>
      <c r="I93" s="965"/>
      <c r="J93" s="1325"/>
      <c r="K93" s="1326"/>
      <c r="L93" s="1326"/>
      <c r="M93" s="1326"/>
      <c r="N93" s="1327"/>
      <c r="O93" s="974"/>
      <c r="P93" s="975"/>
      <c r="Q93" s="976"/>
      <c r="R93" s="966"/>
      <c r="S93" s="280" t="str">
        <f t="shared" si="140"/>
        <v/>
      </c>
      <c r="T93" s="281" t="str">
        <f t="shared" si="141"/>
        <v/>
      </c>
      <c r="U93" s="282">
        <f t="shared" si="142"/>
        <v>0</v>
      </c>
      <c r="V93" s="259" t="str">
        <f t="shared" si="143"/>
        <v/>
      </c>
      <c r="W93" s="260" t="str">
        <f t="shared" si="144"/>
        <v/>
      </c>
      <c r="X93" s="283">
        <f t="shared" si="137"/>
        <v>0</v>
      </c>
      <c r="Y93" s="284" t="str">
        <f t="shared" si="145"/>
        <v/>
      </c>
      <c r="Z93" s="150"/>
      <c r="AA93" s="175"/>
      <c r="AB93" s="175">
        <v>74</v>
      </c>
      <c r="AC93" s="297" t="str">
        <f t="shared" si="138"/>
        <v>-</v>
      </c>
      <c r="AD93" s="297">
        <f t="shared" si="210"/>
        <v>0</v>
      </c>
      <c r="AE93" s="297">
        <f t="shared" si="211"/>
        <v>0</v>
      </c>
      <c r="AF93" s="297"/>
      <c r="AG93" s="298">
        <f t="shared" si="212"/>
        <v>0</v>
      </c>
      <c r="AH93" s="1339">
        <f t="shared" si="146"/>
        <v>0</v>
      </c>
      <c r="AI93" s="1340">
        <f>IF(SUM(AH93:AH$99)=0,0,F93&gt;0)</f>
        <v>0</v>
      </c>
      <c r="AJ93" s="1339">
        <f t="shared" si="147"/>
        <v>0</v>
      </c>
      <c r="AK93" s="1340">
        <f>IF(SUM(AH93:AH$99)=0,0,AND(AI93=FALSE,AJ93=0,SUM(AJ93:AJ$99)&gt;0))</f>
        <v>0</v>
      </c>
      <c r="AL93" s="1340">
        <f t="shared" si="148"/>
        <v>0</v>
      </c>
      <c r="AM93" s="1340">
        <f t="shared" si="149"/>
        <v>0</v>
      </c>
      <c r="AN93" s="1341">
        <f t="shared" si="150"/>
        <v>0</v>
      </c>
      <c r="AO93" s="1341">
        <f t="shared" si="151"/>
        <v>0</v>
      </c>
      <c r="AP93" s="264">
        <f t="shared" si="152"/>
        <v>0</v>
      </c>
      <c r="AQ93" s="264">
        <f t="shared" si="213"/>
        <v>0</v>
      </c>
      <c r="AR93" s="1340">
        <f t="shared" si="153"/>
        <v>0</v>
      </c>
      <c r="AS93" s="1340" t="str">
        <f t="shared" si="214"/>
        <v/>
      </c>
      <c r="AT93" s="1340">
        <f t="shared" si="154"/>
        <v>0</v>
      </c>
      <c r="AU93" s="898">
        <f t="shared" si="215"/>
        <v>0</v>
      </c>
      <c r="AV93" s="1340">
        <f t="shared" si="155"/>
        <v>0</v>
      </c>
      <c r="AW93" s="1340">
        <f t="shared" si="156"/>
        <v>0</v>
      </c>
      <c r="AX93" s="1340">
        <f t="shared" si="157"/>
        <v>0</v>
      </c>
      <c r="AY93" s="897">
        <f t="shared" si="216"/>
        <v>0</v>
      </c>
      <c r="AZ93" s="1340">
        <f t="shared" si="158"/>
        <v>0</v>
      </c>
      <c r="BA93" s="896">
        <f t="shared" si="217"/>
        <v>0</v>
      </c>
      <c r="BB93" s="899" t="str">
        <f t="shared" si="218"/>
        <v/>
      </c>
      <c r="BC93" s="899" t="str">
        <f t="shared" si="219"/>
        <v/>
      </c>
      <c r="BD93" s="1340">
        <f t="shared" si="159"/>
        <v>0</v>
      </c>
      <c r="BE93" s="1340">
        <f t="shared" si="160"/>
        <v>0</v>
      </c>
      <c r="BF93" s="1340">
        <f t="shared" si="161"/>
        <v>0</v>
      </c>
      <c r="BG93" s="1342" t="b">
        <f t="shared" si="162"/>
        <v>0</v>
      </c>
      <c r="BH93" s="299" t="str">
        <f t="shared" si="163"/>
        <v/>
      </c>
      <c r="BI93" s="1343">
        <f t="shared" si="164"/>
        <v>0</v>
      </c>
      <c r="BJ93" s="1344">
        <f t="shared" si="165"/>
        <v>0</v>
      </c>
      <c r="BK93" s="1344">
        <f t="shared" si="87"/>
        <v>0</v>
      </c>
      <c r="BL93" s="1345">
        <f t="shared" si="166"/>
        <v>0</v>
      </c>
      <c r="BM93" s="1346">
        <f t="shared" si="167"/>
        <v>0</v>
      </c>
      <c r="BN93" s="300">
        <f t="shared" si="168"/>
        <v>0</v>
      </c>
      <c r="BO93" s="300">
        <f t="shared" si="169"/>
        <v>0</v>
      </c>
      <c r="BP93" s="1344">
        <f t="shared" si="88"/>
        <v>0</v>
      </c>
      <c r="BQ93" s="301">
        <f t="shared" si="170"/>
        <v>0</v>
      </c>
      <c r="BR93" s="314"/>
      <c r="BS93" s="1343">
        <f t="shared" si="227"/>
        <v>0</v>
      </c>
      <c r="BT93" s="1344">
        <f t="shared" si="227"/>
        <v>0</v>
      </c>
      <c r="BU93" s="1344">
        <f t="shared" si="227"/>
        <v>0</v>
      </c>
      <c r="BV93" s="303">
        <f t="shared" si="227"/>
        <v>0</v>
      </c>
      <c r="BW93" s="304">
        <f t="shared" si="171"/>
        <v>0</v>
      </c>
      <c r="BX93" s="300">
        <f t="shared" si="172"/>
        <v>0</v>
      </c>
      <c r="BY93" s="1344">
        <f t="shared" si="89"/>
        <v>0</v>
      </c>
      <c r="BZ93" s="300">
        <f t="shared" si="220"/>
        <v>0</v>
      </c>
      <c r="CA93" s="301">
        <f t="shared" si="173"/>
        <v>0</v>
      </c>
      <c r="CB93" s="305" t="e">
        <f t="shared" si="174"/>
        <v>#DIV/0!</v>
      </c>
      <c r="CC93" s="304" t="e">
        <f t="shared" si="175"/>
        <v>#DIV/0!</v>
      </c>
      <c r="CD93" s="300">
        <f t="shared" si="176"/>
        <v>0</v>
      </c>
      <c r="CE93" s="306">
        <f t="shared" si="221"/>
        <v>0</v>
      </c>
      <c r="CF93" s="306">
        <f t="shared" si="177"/>
        <v>0</v>
      </c>
      <c r="CG93" s="307" t="e">
        <f t="shared" si="178"/>
        <v>#DIV/0!</v>
      </c>
      <c r="CH93" s="307" t="e">
        <f t="shared" si="179"/>
        <v>#DIV/0!</v>
      </c>
      <c r="CI93" s="308" t="e">
        <f t="shared" si="139"/>
        <v>#DIV/0!</v>
      </c>
      <c r="CJ93" s="309" t="e">
        <f t="shared" si="180"/>
        <v>#DIV/0!</v>
      </c>
      <c r="CK93" s="175" t="e">
        <f t="shared" si="222"/>
        <v>#DIV/0!</v>
      </c>
      <c r="CL93" s="175" t="str">
        <f t="shared" si="181"/>
        <v/>
      </c>
      <c r="CM93" s="310" t="e">
        <f t="shared" si="223"/>
        <v>#DIV/0!</v>
      </c>
      <c r="CN93" s="311" t="e">
        <f t="shared" si="224"/>
        <v>#DIV/0!</v>
      </c>
      <c r="CO93" s="311">
        <f t="shared" si="225"/>
        <v>0</v>
      </c>
      <c r="CP93" s="175">
        <f t="shared" si="182"/>
        <v>1</v>
      </c>
      <c r="CQ93" s="175">
        <f t="shared" si="183"/>
        <v>1</v>
      </c>
      <c r="CR93" s="175" t="str">
        <f t="shared" si="184"/>
        <v/>
      </c>
      <c r="CS93" s="175">
        <f t="shared" si="185"/>
        <v>0</v>
      </c>
      <c r="CT93" s="312">
        <f t="shared" si="186"/>
        <v>0</v>
      </c>
      <c r="CU93" s="175" t="str">
        <f t="shared" si="187"/>
        <v>OK</v>
      </c>
      <c r="CV93" s="313">
        <f t="shared" si="188"/>
        <v>0.05</v>
      </c>
      <c r="CW93" s="312" t="e">
        <f t="shared" si="189"/>
        <v>#DIV/0!</v>
      </c>
      <c r="CX93" s="312" t="e">
        <f t="shared" si="190"/>
        <v>#DIV/0!</v>
      </c>
      <c r="CY93" s="312" t="e">
        <f t="shared" si="191"/>
        <v>#DIV/0!</v>
      </c>
      <c r="CZ93" s="312" t="e">
        <f t="shared" si="192"/>
        <v>#DIV/0!</v>
      </c>
      <c r="DA93" s="312">
        <f t="shared" si="193"/>
        <v>1</v>
      </c>
      <c r="DB93" s="312">
        <f t="shared" si="194"/>
        <v>0</v>
      </c>
      <c r="DC93" s="175" t="str">
        <f t="shared" si="195"/>
        <v>Soft</v>
      </c>
      <c r="DD93" s="175"/>
      <c r="DE93" s="175">
        <f t="shared" si="196"/>
        <v>0</v>
      </c>
      <c r="DF93" s="312" t="e">
        <f t="shared" si="197"/>
        <v>#DIV/0!</v>
      </c>
      <c r="DG93" s="312" t="e">
        <f t="shared" si="198"/>
        <v>#DIV/0!</v>
      </c>
      <c r="DH93" s="312" t="e">
        <f t="shared" si="199"/>
        <v>#DIV/0!</v>
      </c>
      <c r="DI93" s="312" t="e">
        <f t="shared" si="200"/>
        <v>#DIV/0!</v>
      </c>
      <c r="DJ93" s="312" t="e">
        <f t="shared" si="226"/>
        <v>#DIV/0!</v>
      </c>
      <c r="DK93" s="175"/>
      <c r="DL93" s="175"/>
      <c r="DM93" s="175"/>
      <c r="DN93" s="175">
        <f t="shared" si="201"/>
        <v>1</v>
      </c>
      <c r="DO93" s="312" t="e">
        <f t="shared" si="202"/>
        <v>#DIV/0!</v>
      </c>
      <c r="DP93" s="312" t="e">
        <f t="shared" si="203"/>
        <v>#DIV/0!</v>
      </c>
      <c r="DQ93" s="312" t="e">
        <f t="shared" si="204"/>
        <v>#DIV/0!</v>
      </c>
      <c r="DR93" s="312" t="e">
        <f t="shared" si="205"/>
        <v>#DIV/0!</v>
      </c>
      <c r="DS93" s="312" t="e">
        <f t="shared" si="206"/>
        <v>#DIV/0!</v>
      </c>
      <c r="DT93" s="312" t="e">
        <f t="shared" si="207"/>
        <v>#DIV/0!</v>
      </c>
      <c r="DU93" s="312">
        <f t="shared" si="208"/>
        <v>0</v>
      </c>
      <c r="DV93" s="175"/>
      <c r="DW93" s="175" t="b">
        <f t="shared" si="209"/>
        <v>1</v>
      </c>
      <c r="DX93" s="175" t="b">
        <f t="shared" si="209"/>
        <v>1</v>
      </c>
      <c r="DY93" s="175" t="b">
        <f t="shared" si="209"/>
        <v>1</v>
      </c>
      <c r="DZ93" s="175" t="b">
        <f t="shared" si="209"/>
        <v>1</v>
      </c>
      <c r="EA93" s="175" t="b">
        <f t="shared" si="209"/>
        <v>1</v>
      </c>
      <c r="EB93" s="168"/>
    </row>
    <row r="94" spans="1:132" s="140" customFormat="1" ht="18.5" hidden="1" thickBot="1" x14ac:dyDescent="0.45">
      <c r="A94" s="150"/>
      <c r="B94" s="296" t="str">
        <f t="shared" si="73"/>
        <v>-</v>
      </c>
      <c r="C94" s="279">
        <v>75</v>
      </c>
      <c r="D94" s="1557"/>
      <c r="E94" s="1558"/>
      <c r="F94" s="977"/>
      <c r="G94" s="1103"/>
      <c r="H94" s="978"/>
      <c r="I94" s="965"/>
      <c r="J94" s="1325"/>
      <c r="K94" s="1326"/>
      <c r="L94" s="1326"/>
      <c r="M94" s="1326"/>
      <c r="N94" s="1327"/>
      <c r="O94" s="974"/>
      <c r="P94" s="975"/>
      <c r="Q94" s="976"/>
      <c r="R94" s="966"/>
      <c r="S94" s="280" t="str">
        <f t="shared" si="140"/>
        <v/>
      </c>
      <c r="T94" s="281" t="str">
        <f t="shared" si="141"/>
        <v/>
      </c>
      <c r="U94" s="282">
        <f t="shared" si="142"/>
        <v>0</v>
      </c>
      <c r="V94" s="259" t="str">
        <f t="shared" si="143"/>
        <v/>
      </c>
      <c r="W94" s="260" t="str">
        <f t="shared" si="144"/>
        <v/>
      </c>
      <c r="X94" s="283">
        <f t="shared" si="137"/>
        <v>0</v>
      </c>
      <c r="Y94" s="284" t="str">
        <f t="shared" si="145"/>
        <v/>
      </c>
      <c r="Z94" s="150"/>
      <c r="AA94" s="175"/>
      <c r="AB94" s="175">
        <v>75</v>
      </c>
      <c r="AC94" s="297" t="str">
        <f t="shared" si="138"/>
        <v>-</v>
      </c>
      <c r="AD94" s="297">
        <f t="shared" si="210"/>
        <v>0</v>
      </c>
      <c r="AE94" s="297">
        <f t="shared" si="211"/>
        <v>0</v>
      </c>
      <c r="AF94" s="297"/>
      <c r="AG94" s="298">
        <f t="shared" si="212"/>
        <v>0</v>
      </c>
      <c r="AH94" s="1339">
        <f t="shared" si="146"/>
        <v>0</v>
      </c>
      <c r="AI94" s="1340">
        <f>IF(SUM(AH94:AH$99)=0,0,F94&gt;0)</f>
        <v>0</v>
      </c>
      <c r="AJ94" s="1339">
        <f t="shared" si="147"/>
        <v>0</v>
      </c>
      <c r="AK94" s="1340">
        <f>IF(SUM(AH94:AH$99)=0,0,AND(AI94=FALSE,AJ94=0,SUM(AJ94:AJ$99)&gt;0))</f>
        <v>0</v>
      </c>
      <c r="AL94" s="1340">
        <f t="shared" si="148"/>
        <v>0</v>
      </c>
      <c r="AM94" s="1340">
        <f t="shared" si="149"/>
        <v>0</v>
      </c>
      <c r="AN94" s="1341">
        <f t="shared" si="150"/>
        <v>0</v>
      </c>
      <c r="AO94" s="1341">
        <f t="shared" si="151"/>
        <v>0</v>
      </c>
      <c r="AP94" s="264">
        <f t="shared" si="152"/>
        <v>0</v>
      </c>
      <c r="AQ94" s="264">
        <f t="shared" si="213"/>
        <v>0</v>
      </c>
      <c r="AR94" s="1340">
        <f t="shared" si="153"/>
        <v>0</v>
      </c>
      <c r="AS94" s="1340" t="str">
        <f t="shared" si="214"/>
        <v/>
      </c>
      <c r="AT94" s="1340">
        <f t="shared" si="154"/>
        <v>0</v>
      </c>
      <c r="AU94" s="898">
        <f t="shared" si="215"/>
        <v>0</v>
      </c>
      <c r="AV94" s="1340">
        <f t="shared" si="155"/>
        <v>0</v>
      </c>
      <c r="AW94" s="1340">
        <f t="shared" si="156"/>
        <v>0</v>
      </c>
      <c r="AX94" s="1340">
        <f t="shared" si="157"/>
        <v>0</v>
      </c>
      <c r="AY94" s="897">
        <f t="shared" si="216"/>
        <v>0</v>
      </c>
      <c r="AZ94" s="1340">
        <f t="shared" si="158"/>
        <v>0</v>
      </c>
      <c r="BA94" s="896">
        <f t="shared" si="217"/>
        <v>0</v>
      </c>
      <c r="BB94" s="899" t="str">
        <f t="shared" si="218"/>
        <v/>
      </c>
      <c r="BC94" s="899" t="str">
        <f t="shared" si="219"/>
        <v/>
      </c>
      <c r="BD94" s="1340">
        <f t="shared" si="159"/>
        <v>0</v>
      </c>
      <c r="BE94" s="1340">
        <f t="shared" si="160"/>
        <v>0</v>
      </c>
      <c r="BF94" s="1340">
        <f t="shared" si="161"/>
        <v>0</v>
      </c>
      <c r="BG94" s="1342" t="b">
        <f t="shared" si="162"/>
        <v>0</v>
      </c>
      <c r="BH94" s="299" t="str">
        <f t="shared" si="163"/>
        <v/>
      </c>
      <c r="BI94" s="1343">
        <f t="shared" si="164"/>
        <v>0</v>
      </c>
      <c r="BJ94" s="1344">
        <f t="shared" si="165"/>
        <v>0</v>
      </c>
      <c r="BK94" s="1344">
        <f t="shared" si="87"/>
        <v>0</v>
      </c>
      <c r="BL94" s="1345">
        <f t="shared" si="166"/>
        <v>0</v>
      </c>
      <c r="BM94" s="1346">
        <f t="shared" si="167"/>
        <v>0</v>
      </c>
      <c r="BN94" s="300">
        <f t="shared" si="168"/>
        <v>0</v>
      </c>
      <c r="BO94" s="300">
        <f t="shared" si="169"/>
        <v>0</v>
      </c>
      <c r="BP94" s="1344">
        <f t="shared" si="88"/>
        <v>0</v>
      </c>
      <c r="BQ94" s="301">
        <f t="shared" si="170"/>
        <v>0</v>
      </c>
      <c r="BR94" s="314"/>
      <c r="BS94" s="1343">
        <f t="shared" si="227"/>
        <v>0</v>
      </c>
      <c r="BT94" s="1344">
        <f t="shared" si="227"/>
        <v>0</v>
      </c>
      <c r="BU94" s="1344">
        <f t="shared" si="227"/>
        <v>0</v>
      </c>
      <c r="BV94" s="303">
        <f t="shared" si="227"/>
        <v>0</v>
      </c>
      <c r="BW94" s="304">
        <f t="shared" si="171"/>
        <v>0</v>
      </c>
      <c r="BX94" s="300">
        <f t="shared" si="172"/>
        <v>0</v>
      </c>
      <c r="BY94" s="1344">
        <f t="shared" si="89"/>
        <v>0</v>
      </c>
      <c r="BZ94" s="300">
        <f t="shared" si="220"/>
        <v>0</v>
      </c>
      <c r="CA94" s="301">
        <f t="shared" si="173"/>
        <v>0</v>
      </c>
      <c r="CB94" s="305" t="e">
        <f t="shared" si="174"/>
        <v>#DIV/0!</v>
      </c>
      <c r="CC94" s="304" t="e">
        <f t="shared" si="175"/>
        <v>#DIV/0!</v>
      </c>
      <c r="CD94" s="300">
        <f t="shared" si="176"/>
        <v>0</v>
      </c>
      <c r="CE94" s="306">
        <f t="shared" si="221"/>
        <v>0</v>
      </c>
      <c r="CF94" s="306">
        <f t="shared" si="177"/>
        <v>0</v>
      </c>
      <c r="CG94" s="307" t="e">
        <f t="shared" si="178"/>
        <v>#DIV/0!</v>
      </c>
      <c r="CH94" s="307" t="e">
        <f t="shared" si="179"/>
        <v>#DIV/0!</v>
      </c>
      <c r="CI94" s="308" t="e">
        <f t="shared" si="139"/>
        <v>#DIV/0!</v>
      </c>
      <c r="CJ94" s="309" t="e">
        <f t="shared" si="180"/>
        <v>#DIV/0!</v>
      </c>
      <c r="CK94" s="175" t="e">
        <f t="shared" si="222"/>
        <v>#DIV/0!</v>
      </c>
      <c r="CL94" s="175" t="str">
        <f t="shared" si="181"/>
        <v/>
      </c>
      <c r="CM94" s="310" t="e">
        <f t="shared" si="223"/>
        <v>#DIV/0!</v>
      </c>
      <c r="CN94" s="311" t="e">
        <f t="shared" si="224"/>
        <v>#DIV/0!</v>
      </c>
      <c r="CO94" s="311">
        <f t="shared" si="225"/>
        <v>0</v>
      </c>
      <c r="CP94" s="175">
        <f t="shared" si="182"/>
        <v>1</v>
      </c>
      <c r="CQ94" s="175">
        <f t="shared" si="183"/>
        <v>1</v>
      </c>
      <c r="CR94" s="175" t="str">
        <f t="shared" si="184"/>
        <v/>
      </c>
      <c r="CS94" s="175">
        <f t="shared" si="185"/>
        <v>0</v>
      </c>
      <c r="CT94" s="312">
        <f t="shared" si="186"/>
        <v>0</v>
      </c>
      <c r="CU94" s="175" t="str">
        <f t="shared" si="187"/>
        <v>OK</v>
      </c>
      <c r="CV94" s="313">
        <f t="shared" si="188"/>
        <v>0.05</v>
      </c>
      <c r="CW94" s="312" t="e">
        <f t="shared" si="189"/>
        <v>#DIV/0!</v>
      </c>
      <c r="CX94" s="312" t="e">
        <f t="shared" si="190"/>
        <v>#DIV/0!</v>
      </c>
      <c r="CY94" s="312" t="e">
        <f t="shared" si="191"/>
        <v>#DIV/0!</v>
      </c>
      <c r="CZ94" s="312" t="e">
        <f t="shared" si="192"/>
        <v>#DIV/0!</v>
      </c>
      <c r="DA94" s="312">
        <f t="shared" si="193"/>
        <v>1</v>
      </c>
      <c r="DB94" s="312">
        <f t="shared" si="194"/>
        <v>0</v>
      </c>
      <c r="DC94" s="175" t="str">
        <f t="shared" si="195"/>
        <v>Soft</v>
      </c>
      <c r="DD94" s="175"/>
      <c r="DE94" s="175">
        <f t="shared" si="196"/>
        <v>0</v>
      </c>
      <c r="DF94" s="312" t="e">
        <f t="shared" si="197"/>
        <v>#DIV/0!</v>
      </c>
      <c r="DG94" s="312" t="e">
        <f t="shared" si="198"/>
        <v>#DIV/0!</v>
      </c>
      <c r="DH94" s="312" t="e">
        <f t="shared" si="199"/>
        <v>#DIV/0!</v>
      </c>
      <c r="DI94" s="312" t="e">
        <f t="shared" si="200"/>
        <v>#DIV/0!</v>
      </c>
      <c r="DJ94" s="312" t="e">
        <f t="shared" si="226"/>
        <v>#DIV/0!</v>
      </c>
      <c r="DK94" s="175"/>
      <c r="DL94" s="175"/>
      <c r="DM94" s="175"/>
      <c r="DN94" s="175">
        <f t="shared" si="201"/>
        <v>1</v>
      </c>
      <c r="DO94" s="312" t="e">
        <f t="shared" si="202"/>
        <v>#DIV/0!</v>
      </c>
      <c r="DP94" s="312" t="e">
        <f t="shared" si="203"/>
        <v>#DIV/0!</v>
      </c>
      <c r="DQ94" s="312" t="e">
        <f t="shared" si="204"/>
        <v>#DIV/0!</v>
      </c>
      <c r="DR94" s="312" t="e">
        <f t="shared" si="205"/>
        <v>#DIV/0!</v>
      </c>
      <c r="DS94" s="312" t="e">
        <f t="shared" si="206"/>
        <v>#DIV/0!</v>
      </c>
      <c r="DT94" s="312" t="e">
        <f t="shared" si="207"/>
        <v>#DIV/0!</v>
      </c>
      <c r="DU94" s="312">
        <f t="shared" si="208"/>
        <v>0</v>
      </c>
      <c r="DV94" s="175"/>
      <c r="DW94" s="175" t="b">
        <f t="shared" si="209"/>
        <v>1</v>
      </c>
      <c r="DX94" s="175" t="b">
        <f t="shared" si="209"/>
        <v>1</v>
      </c>
      <c r="DY94" s="175" t="b">
        <f t="shared" si="209"/>
        <v>1</v>
      </c>
      <c r="DZ94" s="175" t="b">
        <f t="shared" si="209"/>
        <v>1</v>
      </c>
      <c r="EA94" s="175" t="b">
        <f t="shared" si="209"/>
        <v>1</v>
      </c>
      <c r="EB94" s="168"/>
    </row>
    <row r="95" spans="1:132" s="140" customFormat="1" ht="18.5" hidden="1" thickBot="1" x14ac:dyDescent="0.45">
      <c r="A95" s="150"/>
      <c r="B95" s="296" t="str">
        <f t="shared" si="73"/>
        <v>-</v>
      </c>
      <c r="C95" s="279">
        <v>76</v>
      </c>
      <c r="D95" s="1557"/>
      <c r="E95" s="1558"/>
      <c r="F95" s="977"/>
      <c r="G95" s="1103"/>
      <c r="H95" s="978"/>
      <c r="I95" s="965"/>
      <c r="J95" s="1325"/>
      <c r="K95" s="1326"/>
      <c r="L95" s="1326"/>
      <c r="M95" s="1326"/>
      <c r="N95" s="1327"/>
      <c r="O95" s="974"/>
      <c r="P95" s="975"/>
      <c r="Q95" s="976"/>
      <c r="R95" s="966"/>
      <c r="S95" s="280" t="str">
        <f t="shared" si="140"/>
        <v/>
      </c>
      <c r="T95" s="281" t="str">
        <f t="shared" si="141"/>
        <v/>
      </c>
      <c r="U95" s="282">
        <f t="shared" si="142"/>
        <v>0</v>
      </c>
      <c r="V95" s="259" t="str">
        <f t="shared" si="143"/>
        <v/>
      </c>
      <c r="W95" s="260" t="str">
        <f t="shared" si="144"/>
        <v/>
      </c>
      <c r="X95" s="283">
        <f t="shared" si="137"/>
        <v>0</v>
      </c>
      <c r="Y95" s="284" t="str">
        <f t="shared" si="145"/>
        <v/>
      </c>
      <c r="Z95" s="150"/>
      <c r="AA95" s="175"/>
      <c r="AB95" s="175">
        <v>76</v>
      </c>
      <c r="AC95" s="297" t="str">
        <f t="shared" si="138"/>
        <v>-</v>
      </c>
      <c r="AD95" s="297">
        <f t="shared" si="210"/>
        <v>0</v>
      </c>
      <c r="AE95" s="297">
        <f t="shared" si="211"/>
        <v>0</v>
      </c>
      <c r="AF95" s="297"/>
      <c r="AG95" s="298">
        <f t="shared" si="212"/>
        <v>0</v>
      </c>
      <c r="AH95" s="1339">
        <f t="shared" si="146"/>
        <v>0</v>
      </c>
      <c r="AI95" s="1340">
        <f>IF(SUM(AH95:AH$99)=0,0,F95&gt;0)</f>
        <v>0</v>
      </c>
      <c r="AJ95" s="1339">
        <f t="shared" si="147"/>
        <v>0</v>
      </c>
      <c r="AK95" s="1340">
        <f>IF(SUM(AH95:AH$99)=0,0,AND(AI95=FALSE,AJ95=0,SUM(AJ95:AJ$99)&gt;0))</f>
        <v>0</v>
      </c>
      <c r="AL95" s="1340">
        <f t="shared" si="148"/>
        <v>0</v>
      </c>
      <c r="AM95" s="1340">
        <f t="shared" si="149"/>
        <v>0</v>
      </c>
      <c r="AN95" s="1341">
        <f t="shared" si="150"/>
        <v>0</v>
      </c>
      <c r="AO95" s="1341">
        <f t="shared" si="151"/>
        <v>0</v>
      </c>
      <c r="AP95" s="264">
        <f t="shared" si="152"/>
        <v>0</v>
      </c>
      <c r="AQ95" s="264">
        <f t="shared" si="213"/>
        <v>0</v>
      </c>
      <c r="AR95" s="1340">
        <f t="shared" si="153"/>
        <v>0</v>
      </c>
      <c r="AS95" s="1340" t="str">
        <f t="shared" si="214"/>
        <v/>
      </c>
      <c r="AT95" s="1340">
        <f t="shared" si="154"/>
        <v>0</v>
      </c>
      <c r="AU95" s="898">
        <f t="shared" si="215"/>
        <v>0</v>
      </c>
      <c r="AV95" s="1340">
        <f t="shared" si="155"/>
        <v>0</v>
      </c>
      <c r="AW95" s="1340">
        <f t="shared" si="156"/>
        <v>0</v>
      </c>
      <c r="AX95" s="1340">
        <f t="shared" si="157"/>
        <v>0</v>
      </c>
      <c r="AY95" s="897">
        <f t="shared" si="216"/>
        <v>0</v>
      </c>
      <c r="AZ95" s="1340">
        <f t="shared" si="158"/>
        <v>0</v>
      </c>
      <c r="BA95" s="896">
        <f t="shared" si="217"/>
        <v>0</v>
      </c>
      <c r="BB95" s="899" t="str">
        <f t="shared" si="218"/>
        <v/>
      </c>
      <c r="BC95" s="899" t="str">
        <f t="shared" si="219"/>
        <v/>
      </c>
      <c r="BD95" s="1340">
        <f t="shared" si="159"/>
        <v>0</v>
      </c>
      <c r="BE95" s="1340">
        <f t="shared" si="160"/>
        <v>0</v>
      </c>
      <c r="BF95" s="1340">
        <f t="shared" si="161"/>
        <v>0</v>
      </c>
      <c r="BG95" s="1342" t="b">
        <f t="shared" si="162"/>
        <v>0</v>
      </c>
      <c r="BH95" s="299" t="str">
        <f t="shared" si="163"/>
        <v/>
      </c>
      <c r="BI95" s="1343">
        <f t="shared" si="164"/>
        <v>0</v>
      </c>
      <c r="BJ95" s="1344">
        <f t="shared" si="165"/>
        <v>0</v>
      </c>
      <c r="BK95" s="1344">
        <f t="shared" si="87"/>
        <v>0</v>
      </c>
      <c r="BL95" s="1345">
        <f t="shared" si="166"/>
        <v>0</v>
      </c>
      <c r="BM95" s="1346">
        <f t="shared" si="167"/>
        <v>0</v>
      </c>
      <c r="BN95" s="300">
        <f t="shared" si="168"/>
        <v>0</v>
      </c>
      <c r="BO95" s="300">
        <f t="shared" si="169"/>
        <v>0</v>
      </c>
      <c r="BP95" s="1344">
        <f t="shared" si="88"/>
        <v>0</v>
      </c>
      <c r="BQ95" s="301">
        <f t="shared" si="170"/>
        <v>0</v>
      </c>
      <c r="BR95" s="314"/>
      <c r="BS95" s="1343">
        <f t="shared" si="227"/>
        <v>0</v>
      </c>
      <c r="BT95" s="1344">
        <f t="shared" si="227"/>
        <v>0</v>
      </c>
      <c r="BU95" s="1344">
        <f t="shared" si="227"/>
        <v>0</v>
      </c>
      <c r="BV95" s="303">
        <f t="shared" si="227"/>
        <v>0</v>
      </c>
      <c r="BW95" s="304">
        <f t="shared" si="171"/>
        <v>0</v>
      </c>
      <c r="BX95" s="300">
        <f t="shared" si="172"/>
        <v>0</v>
      </c>
      <c r="BY95" s="1344">
        <f t="shared" si="89"/>
        <v>0</v>
      </c>
      <c r="BZ95" s="300">
        <f t="shared" si="220"/>
        <v>0</v>
      </c>
      <c r="CA95" s="301">
        <f t="shared" si="173"/>
        <v>0</v>
      </c>
      <c r="CB95" s="305" t="e">
        <f t="shared" si="174"/>
        <v>#DIV/0!</v>
      </c>
      <c r="CC95" s="304" t="e">
        <f t="shared" si="175"/>
        <v>#DIV/0!</v>
      </c>
      <c r="CD95" s="300">
        <f t="shared" si="176"/>
        <v>0</v>
      </c>
      <c r="CE95" s="306">
        <f t="shared" si="221"/>
        <v>0</v>
      </c>
      <c r="CF95" s="306">
        <f t="shared" si="177"/>
        <v>0</v>
      </c>
      <c r="CG95" s="307" t="e">
        <f t="shared" si="178"/>
        <v>#DIV/0!</v>
      </c>
      <c r="CH95" s="307" t="e">
        <f t="shared" si="179"/>
        <v>#DIV/0!</v>
      </c>
      <c r="CI95" s="308" t="e">
        <f t="shared" si="139"/>
        <v>#DIV/0!</v>
      </c>
      <c r="CJ95" s="309" t="e">
        <f t="shared" si="180"/>
        <v>#DIV/0!</v>
      </c>
      <c r="CK95" s="175" t="e">
        <f t="shared" si="222"/>
        <v>#DIV/0!</v>
      </c>
      <c r="CL95" s="175" t="str">
        <f t="shared" si="181"/>
        <v/>
      </c>
      <c r="CM95" s="310" t="e">
        <f t="shared" si="223"/>
        <v>#DIV/0!</v>
      </c>
      <c r="CN95" s="311" t="e">
        <f t="shared" si="224"/>
        <v>#DIV/0!</v>
      </c>
      <c r="CO95" s="311">
        <f t="shared" si="225"/>
        <v>0</v>
      </c>
      <c r="CP95" s="175">
        <f t="shared" si="182"/>
        <v>1</v>
      </c>
      <c r="CQ95" s="175">
        <f t="shared" si="183"/>
        <v>1</v>
      </c>
      <c r="CR95" s="175" t="str">
        <f t="shared" si="184"/>
        <v/>
      </c>
      <c r="CS95" s="175">
        <f t="shared" si="185"/>
        <v>0</v>
      </c>
      <c r="CT95" s="312">
        <f t="shared" si="186"/>
        <v>0</v>
      </c>
      <c r="CU95" s="175" t="str">
        <f t="shared" si="187"/>
        <v>OK</v>
      </c>
      <c r="CV95" s="313">
        <f t="shared" si="188"/>
        <v>0.05</v>
      </c>
      <c r="CW95" s="312" t="e">
        <f t="shared" si="189"/>
        <v>#DIV/0!</v>
      </c>
      <c r="CX95" s="312" t="e">
        <f t="shared" si="190"/>
        <v>#DIV/0!</v>
      </c>
      <c r="CY95" s="312" t="e">
        <f t="shared" si="191"/>
        <v>#DIV/0!</v>
      </c>
      <c r="CZ95" s="312" t="e">
        <f t="shared" si="192"/>
        <v>#DIV/0!</v>
      </c>
      <c r="DA95" s="312">
        <f t="shared" si="193"/>
        <v>1</v>
      </c>
      <c r="DB95" s="312">
        <f t="shared" si="194"/>
        <v>0</v>
      </c>
      <c r="DC95" s="175" t="str">
        <f t="shared" si="195"/>
        <v>Soft</v>
      </c>
      <c r="DD95" s="175"/>
      <c r="DE95" s="175">
        <f t="shared" si="196"/>
        <v>0</v>
      </c>
      <c r="DF95" s="312" t="e">
        <f t="shared" si="197"/>
        <v>#DIV/0!</v>
      </c>
      <c r="DG95" s="312" t="e">
        <f t="shared" si="198"/>
        <v>#DIV/0!</v>
      </c>
      <c r="DH95" s="312" t="e">
        <f t="shared" si="199"/>
        <v>#DIV/0!</v>
      </c>
      <c r="DI95" s="312" t="e">
        <f t="shared" si="200"/>
        <v>#DIV/0!</v>
      </c>
      <c r="DJ95" s="312" t="e">
        <f t="shared" si="226"/>
        <v>#DIV/0!</v>
      </c>
      <c r="DK95" s="175"/>
      <c r="DL95" s="175"/>
      <c r="DM95" s="175"/>
      <c r="DN95" s="175">
        <f t="shared" si="201"/>
        <v>1</v>
      </c>
      <c r="DO95" s="312" t="e">
        <f t="shared" si="202"/>
        <v>#DIV/0!</v>
      </c>
      <c r="DP95" s="312" t="e">
        <f t="shared" si="203"/>
        <v>#DIV/0!</v>
      </c>
      <c r="DQ95" s="312" t="e">
        <f t="shared" si="204"/>
        <v>#DIV/0!</v>
      </c>
      <c r="DR95" s="312" t="e">
        <f t="shared" si="205"/>
        <v>#DIV/0!</v>
      </c>
      <c r="DS95" s="312" t="e">
        <f t="shared" si="206"/>
        <v>#DIV/0!</v>
      </c>
      <c r="DT95" s="312" t="e">
        <f t="shared" si="207"/>
        <v>#DIV/0!</v>
      </c>
      <c r="DU95" s="312">
        <f t="shared" si="208"/>
        <v>0</v>
      </c>
      <c r="DV95" s="175"/>
      <c r="DW95" s="175" t="b">
        <f t="shared" si="209"/>
        <v>1</v>
      </c>
      <c r="DX95" s="175" t="b">
        <f t="shared" si="209"/>
        <v>1</v>
      </c>
      <c r="DY95" s="175" t="b">
        <f t="shared" si="209"/>
        <v>1</v>
      </c>
      <c r="DZ95" s="175" t="b">
        <f t="shared" si="209"/>
        <v>1</v>
      </c>
      <c r="EA95" s="175" t="b">
        <f t="shared" si="209"/>
        <v>1</v>
      </c>
      <c r="EB95" s="168"/>
    </row>
    <row r="96" spans="1:132" s="140" customFormat="1" ht="18.5" hidden="1" thickBot="1" x14ac:dyDescent="0.45">
      <c r="A96" s="150"/>
      <c r="B96" s="296" t="str">
        <f t="shared" si="73"/>
        <v>-</v>
      </c>
      <c r="C96" s="279">
        <v>77</v>
      </c>
      <c r="D96" s="1557"/>
      <c r="E96" s="1558"/>
      <c r="F96" s="977"/>
      <c r="G96" s="1103"/>
      <c r="H96" s="978"/>
      <c r="I96" s="965"/>
      <c r="J96" s="1325"/>
      <c r="K96" s="1326"/>
      <c r="L96" s="1326"/>
      <c r="M96" s="1326"/>
      <c r="N96" s="1327"/>
      <c r="O96" s="974"/>
      <c r="P96" s="975"/>
      <c r="Q96" s="976"/>
      <c r="R96" s="966"/>
      <c r="S96" s="280" t="str">
        <f t="shared" si="140"/>
        <v/>
      </c>
      <c r="T96" s="281" t="str">
        <f t="shared" si="141"/>
        <v/>
      </c>
      <c r="U96" s="282">
        <f t="shared" si="142"/>
        <v>0</v>
      </c>
      <c r="V96" s="259" t="str">
        <f t="shared" si="143"/>
        <v/>
      </c>
      <c r="W96" s="260" t="str">
        <f t="shared" si="144"/>
        <v/>
      </c>
      <c r="X96" s="283">
        <f t="shared" si="137"/>
        <v>0</v>
      </c>
      <c r="Y96" s="284" t="str">
        <f t="shared" si="145"/>
        <v/>
      </c>
      <c r="Z96" s="150"/>
      <c r="AA96" s="175"/>
      <c r="AB96" s="175">
        <v>77</v>
      </c>
      <c r="AC96" s="297" t="str">
        <f t="shared" si="138"/>
        <v>-</v>
      </c>
      <c r="AD96" s="297">
        <f t="shared" si="210"/>
        <v>0</v>
      </c>
      <c r="AE96" s="297">
        <f t="shared" si="211"/>
        <v>0</v>
      </c>
      <c r="AF96" s="297"/>
      <c r="AG96" s="298">
        <f t="shared" si="212"/>
        <v>0</v>
      </c>
      <c r="AH96" s="1339">
        <f t="shared" si="146"/>
        <v>0</v>
      </c>
      <c r="AI96" s="1340">
        <f>IF(SUM(AH96:AH$99)=0,0,F96&gt;0)</f>
        <v>0</v>
      </c>
      <c r="AJ96" s="1339">
        <f t="shared" si="147"/>
        <v>0</v>
      </c>
      <c r="AK96" s="1340">
        <f>IF(SUM(AH96:AH$99)=0,0,AND(AI96=FALSE,AJ96=0,SUM(AJ96:AJ$99)&gt;0))</f>
        <v>0</v>
      </c>
      <c r="AL96" s="1340">
        <f t="shared" si="148"/>
        <v>0</v>
      </c>
      <c r="AM96" s="1340">
        <f t="shared" si="149"/>
        <v>0</v>
      </c>
      <c r="AN96" s="1341">
        <f t="shared" si="150"/>
        <v>0</v>
      </c>
      <c r="AO96" s="1341">
        <f t="shared" si="151"/>
        <v>0</v>
      </c>
      <c r="AP96" s="264">
        <f t="shared" si="152"/>
        <v>0</v>
      </c>
      <c r="AQ96" s="264">
        <f t="shared" si="213"/>
        <v>0</v>
      </c>
      <c r="AR96" s="1340">
        <f t="shared" si="153"/>
        <v>0</v>
      </c>
      <c r="AS96" s="1340" t="str">
        <f t="shared" si="214"/>
        <v/>
      </c>
      <c r="AT96" s="1340">
        <f t="shared" si="154"/>
        <v>0</v>
      </c>
      <c r="AU96" s="898">
        <f t="shared" si="215"/>
        <v>0</v>
      </c>
      <c r="AV96" s="1340">
        <f t="shared" si="155"/>
        <v>0</v>
      </c>
      <c r="AW96" s="1340">
        <f t="shared" si="156"/>
        <v>0</v>
      </c>
      <c r="AX96" s="1340">
        <f t="shared" si="157"/>
        <v>0</v>
      </c>
      <c r="AY96" s="897">
        <f t="shared" si="216"/>
        <v>0</v>
      </c>
      <c r="AZ96" s="1340">
        <f t="shared" si="158"/>
        <v>0</v>
      </c>
      <c r="BA96" s="896">
        <f t="shared" si="217"/>
        <v>0</v>
      </c>
      <c r="BB96" s="899" t="str">
        <f t="shared" si="218"/>
        <v/>
      </c>
      <c r="BC96" s="899" t="str">
        <f t="shared" si="219"/>
        <v/>
      </c>
      <c r="BD96" s="1340">
        <f t="shared" si="159"/>
        <v>0</v>
      </c>
      <c r="BE96" s="1340">
        <f t="shared" si="160"/>
        <v>0</v>
      </c>
      <c r="BF96" s="1340">
        <f t="shared" si="161"/>
        <v>0</v>
      </c>
      <c r="BG96" s="1342" t="b">
        <f t="shared" si="162"/>
        <v>0</v>
      </c>
      <c r="BH96" s="299" t="str">
        <f t="shared" si="163"/>
        <v/>
      </c>
      <c r="BI96" s="1343">
        <f t="shared" si="164"/>
        <v>0</v>
      </c>
      <c r="BJ96" s="1344">
        <f t="shared" si="165"/>
        <v>0</v>
      </c>
      <c r="BK96" s="1344">
        <f t="shared" si="87"/>
        <v>0</v>
      </c>
      <c r="BL96" s="1345">
        <f t="shared" si="166"/>
        <v>0</v>
      </c>
      <c r="BM96" s="1346">
        <f t="shared" si="167"/>
        <v>0</v>
      </c>
      <c r="BN96" s="300">
        <f t="shared" si="168"/>
        <v>0</v>
      </c>
      <c r="BO96" s="300">
        <f t="shared" si="169"/>
        <v>0</v>
      </c>
      <c r="BP96" s="1344">
        <f t="shared" si="88"/>
        <v>0</v>
      </c>
      <c r="BQ96" s="301">
        <f t="shared" si="170"/>
        <v>0</v>
      </c>
      <c r="BR96" s="314"/>
      <c r="BS96" s="1343">
        <f t="shared" si="227"/>
        <v>0</v>
      </c>
      <c r="BT96" s="1344">
        <f t="shared" si="227"/>
        <v>0</v>
      </c>
      <c r="BU96" s="1344">
        <f t="shared" si="227"/>
        <v>0</v>
      </c>
      <c r="BV96" s="303">
        <f t="shared" si="227"/>
        <v>0</v>
      </c>
      <c r="BW96" s="304">
        <f t="shared" si="171"/>
        <v>0</v>
      </c>
      <c r="BX96" s="300">
        <f t="shared" si="172"/>
        <v>0</v>
      </c>
      <c r="BY96" s="1344">
        <f t="shared" si="89"/>
        <v>0</v>
      </c>
      <c r="BZ96" s="300">
        <f t="shared" si="220"/>
        <v>0</v>
      </c>
      <c r="CA96" s="301">
        <f t="shared" si="173"/>
        <v>0</v>
      </c>
      <c r="CB96" s="305" t="e">
        <f t="shared" si="174"/>
        <v>#DIV/0!</v>
      </c>
      <c r="CC96" s="304" t="e">
        <f t="shared" si="175"/>
        <v>#DIV/0!</v>
      </c>
      <c r="CD96" s="300">
        <f t="shared" si="176"/>
        <v>0</v>
      </c>
      <c r="CE96" s="306">
        <f t="shared" si="221"/>
        <v>0</v>
      </c>
      <c r="CF96" s="306">
        <f t="shared" si="177"/>
        <v>0</v>
      </c>
      <c r="CG96" s="307" t="e">
        <f t="shared" si="178"/>
        <v>#DIV/0!</v>
      </c>
      <c r="CH96" s="307" t="e">
        <f t="shared" si="179"/>
        <v>#DIV/0!</v>
      </c>
      <c r="CI96" s="308" t="e">
        <f t="shared" si="139"/>
        <v>#DIV/0!</v>
      </c>
      <c r="CJ96" s="309" t="e">
        <f t="shared" si="180"/>
        <v>#DIV/0!</v>
      </c>
      <c r="CK96" s="175" t="e">
        <f t="shared" si="222"/>
        <v>#DIV/0!</v>
      </c>
      <c r="CL96" s="175" t="str">
        <f t="shared" si="181"/>
        <v/>
      </c>
      <c r="CM96" s="310" t="e">
        <f t="shared" si="223"/>
        <v>#DIV/0!</v>
      </c>
      <c r="CN96" s="311" t="e">
        <f t="shared" si="224"/>
        <v>#DIV/0!</v>
      </c>
      <c r="CO96" s="311">
        <f t="shared" si="225"/>
        <v>0</v>
      </c>
      <c r="CP96" s="175">
        <f t="shared" si="182"/>
        <v>1</v>
      </c>
      <c r="CQ96" s="175">
        <f t="shared" si="183"/>
        <v>1</v>
      </c>
      <c r="CR96" s="175" t="str">
        <f t="shared" si="184"/>
        <v/>
      </c>
      <c r="CS96" s="175">
        <f t="shared" si="185"/>
        <v>0</v>
      </c>
      <c r="CT96" s="312">
        <f t="shared" si="186"/>
        <v>0</v>
      </c>
      <c r="CU96" s="175" t="str">
        <f t="shared" si="187"/>
        <v>OK</v>
      </c>
      <c r="CV96" s="313">
        <f t="shared" si="188"/>
        <v>0.05</v>
      </c>
      <c r="CW96" s="312" t="e">
        <f t="shared" si="189"/>
        <v>#DIV/0!</v>
      </c>
      <c r="CX96" s="312" t="e">
        <f t="shared" si="190"/>
        <v>#DIV/0!</v>
      </c>
      <c r="CY96" s="312" t="e">
        <f t="shared" si="191"/>
        <v>#DIV/0!</v>
      </c>
      <c r="CZ96" s="312" t="e">
        <f t="shared" si="192"/>
        <v>#DIV/0!</v>
      </c>
      <c r="DA96" s="312">
        <f t="shared" si="193"/>
        <v>1</v>
      </c>
      <c r="DB96" s="312">
        <f t="shared" si="194"/>
        <v>0</v>
      </c>
      <c r="DC96" s="175" t="str">
        <f t="shared" si="195"/>
        <v>Soft</v>
      </c>
      <c r="DD96" s="175"/>
      <c r="DE96" s="175">
        <f t="shared" si="196"/>
        <v>0</v>
      </c>
      <c r="DF96" s="312" t="e">
        <f t="shared" si="197"/>
        <v>#DIV/0!</v>
      </c>
      <c r="DG96" s="312" t="e">
        <f t="shared" si="198"/>
        <v>#DIV/0!</v>
      </c>
      <c r="DH96" s="312" t="e">
        <f t="shared" si="199"/>
        <v>#DIV/0!</v>
      </c>
      <c r="DI96" s="312" t="e">
        <f t="shared" si="200"/>
        <v>#DIV/0!</v>
      </c>
      <c r="DJ96" s="312" t="e">
        <f t="shared" si="226"/>
        <v>#DIV/0!</v>
      </c>
      <c r="DK96" s="175"/>
      <c r="DL96" s="175"/>
      <c r="DM96" s="175"/>
      <c r="DN96" s="175">
        <f t="shared" si="201"/>
        <v>1</v>
      </c>
      <c r="DO96" s="312" t="e">
        <f t="shared" si="202"/>
        <v>#DIV/0!</v>
      </c>
      <c r="DP96" s="312" t="e">
        <f t="shared" si="203"/>
        <v>#DIV/0!</v>
      </c>
      <c r="DQ96" s="312" t="e">
        <f t="shared" si="204"/>
        <v>#DIV/0!</v>
      </c>
      <c r="DR96" s="312" t="e">
        <f t="shared" si="205"/>
        <v>#DIV/0!</v>
      </c>
      <c r="DS96" s="312" t="e">
        <f t="shared" si="206"/>
        <v>#DIV/0!</v>
      </c>
      <c r="DT96" s="312" t="e">
        <f t="shared" si="207"/>
        <v>#DIV/0!</v>
      </c>
      <c r="DU96" s="312">
        <f t="shared" si="208"/>
        <v>0</v>
      </c>
      <c r="DV96" s="175"/>
      <c r="DW96" s="175" t="b">
        <f t="shared" si="209"/>
        <v>1</v>
      </c>
      <c r="DX96" s="175" t="b">
        <f t="shared" si="209"/>
        <v>1</v>
      </c>
      <c r="DY96" s="175" t="b">
        <f t="shared" si="209"/>
        <v>1</v>
      </c>
      <c r="DZ96" s="175" t="b">
        <f t="shared" si="209"/>
        <v>1</v>
      </c>
      <c r="EA96" s="175" t="b">
        <f t="shared" si="209"/>
        <v>1</v>
      </c>
      <c r="EB96" s="168"/>
    </row>
    <row r="97" spans="1:134" ht="18.5" hidden="1" thickBot="1" x14ac:dyDescent="0.45">
      <c r="A97" s="150"/>
      <c r="B97" s="296" t="str">
        <f t="shared" si="73"/>
        <v>-</v>
      </c>
      <c r="C97" s="279">
        <v>78</v>
      </c>
      <c r="D97" s="1557"/>
      <c r="E97" s="1558"/>
      <c r="F97" s="977"/>
      <c r="G97" s="1103"/>
      <c r="H97" s="978"/>
      <c r="I97" s="965"/>
      <c r="J97" s="1325"/>
      <c r="K97" s="1326"/>
      <c r="L97" s="1326"/>
      <c r="M97" s="1326"/>
      <c r="N97" s="1327"/>
      <c r="O97" s="974"/>
      <c r="P97" s="975"/>
      <c r="Q97" s="976"/>
      <c r="R97" s="966"/>
      <c r="S97" s="280" t="str">
        <f t="shared" si="140"/>
        <v/>
      </c>
      <c r="T97" s="281" t="str">
        <f t="shared" si="141"/>
        <v/>
      </c>
      <c r="U97" s="282">
        <f t="shared" si="142"/>
        <v>0</v>
      </c>
      <c r="V97" s="259" t="str">
        <f t="shared" si="143"/>
        <v/>
      </c>
      <c r="W97" s="260" t="str">
        <f t="shared" si="144"/>
        <v/>
      </c>
      <c r="X97" s="283">
        <f t="shared" si="137"/>
        <v>0</v>
      </c>
      <c r="Y97" s="284" t="str">
        <f t="shared" si="145"/>
        <v/>
      </c>
      <c r="Z97" s="150"/>
      <c r="AA97" s="175"/>
      <c r="AB97" s="175">
        <v>78</v>
      </c>
      <c r="AC97" s="297" t="str">
        <f t="shared" si="138"/>
        <v>-</v>
      </c>
      <c r="AD97" s="297">
        <f t="shared" si="210"/>
        <v>0</v>
      </c>
      <c r="AE97" s="297">
        <f t="shared" si="211"/>
        <v>0</v>
      </c>
      <c r="AF97" s="297"/>
      <c r="AG97" s="298">
        <f t="shared" si="212"/>
        <v>0</v>
      </c>
      <c r="AH97" s="1339">
        <f t="shared" si="146"/>
        <v>0</v>
      </c>
      <c r="AI97" s="1340">
        <f>IF(SUM(AH97:AH$99)=0,0,F97&gt;0)</f>
        <v>0</v>
      </c>
      <c r="AJ97" s="1339">
        <f t="shared" si="147"/>
        <v>0</v>
      </c>
      <c r="AK97" s="1340">
        <f>IF(SUM(AH97:AH$99)=0,0,AND(AI97=FALSE,AJ97=0,SUM(AJ97:AJ$99)&gt;0))</f>
        <v>0</v>
      </c>
      <c r="AL97" s="1340">
        <f t="shared" si="148"/>
        <v>0</v>
      </c>
      <c r="AM97" s="1340">
        <f t="shared" si="149"/>
        <v>0</v>
      </c>
      <c r="AN97" s="1341">
        <f t="shared" si="150"/>
        <v>0</v>
      </c>
      <c r="AO97" s="1341">
        <f t="shared" si="151"/>
        <v>0</v>
      </c>
      <c r="AP97" s="264">
        <f t="shared" si="152"/>
        <v>0</v>
      </c>
      <c r="AQ97" s="264">
        <f t="shared" si="213"/>
        <v>0</v>
      </c>
      <c r="AR97" s="1340">
        <f t="shared" si="153"/>
        <v>0</v>
      </c>
      <c r="AS97" s="1340" t="str">
        <f t="shared" si="214"/>
        <v/>
      </c>
      <c r="AT97" s="1340">
        <f t="shared" si="154"/>
        <v>0</v>
      </c>
      <c r="AU97" s="898">
        <f t="shared" si="215"/>
        <v>0</v>
      </c>
      <c r="AV97" s="1340">
        <f t="shared" si="155"/>
        <v>0</v>
      </c>
      <c r="AW97" s="1340">
        <f t="shared" si="156"/>
        <v>0</v>
      </c>
      <c r="AX97" s="1340">
        <f t="shared" si="157"/>
        <v>0</v>
      </c>
      <c r="AY97" s="897">
        <f t="shared" si="216"/>
        <v>0</v>
      </c>
      <c r="AZ97" s="1340">
        <f t="shared" si="158"/>
        <v>0</v>
      </c>
      <c r="BA97" s="896">
        <f t="shared" si="217"/>
        <v>0</v>
      </c>
      <c r="BB97" s="899" t="str">
        <f t="shared" si="218"/>
        <v/>
      </c>
      <c r="BC97" s="899" t="str">
        <f t="shared" si="219"/>
        <v/>
      </c>
      <c r="BD97" s="1340">
        <f t="shared" si="159"/>
        <v>0</v>
      </c>
      <c r="BE97" s="1340">
        <f t="shared" si="160"/>
        <v>0</v>
      </c>
      <c r="BF97" s="1340">
        <f t="shared" si="161"/>
        <v>0</v>
      </c>
      <c r="BG97" s="1342" t="b">
        <f t="shared" si="162"/>
        <v>0</v>
      </c>
      <c r="BH97" s="299" t="str">
        <f t="shared" si="163"/>
        <v/>
      </c>
      <c r="BI97" s="1343">
        <f t="shared" si="164"/>
        <v>0</v>
      </c>
      <c r="BJ97" s="1344">
        <f t="shared" si="165"/>
        <v>0</v>
      </c>
      <c r="BK97" s="1344">
        <f t="shared" si="87"/>
        <v>0</v>
      </c>
      <c r="BL97" s="1345">
        <f t="shared" si="166"/>
        <v>0</v>
      </c>
      <c r="BM97" s="1346">
        <f t="shared" si="167"/>
        <v>0</v>
      </c>
      <c r="BN97" s="300">
        <f t="shared" si="168"/>
        <v>0</v>
      </c>
      <c r="BO97" s="300">
        <f t="shared" si="169"/>
        <v>0</v>
      </c>
      <c r="BP97" s="1344">
        <f t="shared" si="88"/>
        <v>0</v>
      </c>
      <c r="BQ97" s="301">
        <f t="shared" si="170"/>
        <v>0</v>
      </c>
      <c r="BR97" s="314"/>
      <c r="BS97" s="1343">
        <f t="shared" si="227"/>
        <v>0</v>
      </c>
      <c r="BT97" s="1344">
        <f t="shared" si="227"/>
        <v>0</v>
      </c>
      <c r="BU97" s="1344">
        <f t="shared" si="227"/>
        <v>0</v>
      </c>
      <c r="BV97" s="303">
        <f t="shared" si="227"/>
        <v>0</v>
      </c>
      <c r="BW97" s="304">
        <f t="shared" si="171"/>
        <v>0</v>
      </c>
      <c r="BX97" s="300">
        <f t="shared" si="172"/>
        <v>0</v>
      </c>
      <c r="BY97" s="1344">
        <f t="shared" si="89"/>
        <v>0</v>
      </c>
      <c r="BZ97" s="300">
        <f t="shared" si="220"/>
        <v>0</v>
      </c>
      <c r="CA97" s="301">
        <f t="shared" si="173"/>
        <v>0</v>
      </c>
      <c r="CB97" s="305" t="e">
        <f t="shared" si="174"/>
        <v>#DIV/0!</v>
      </c>
      <c r="CC97" s="304" t="e">
        <f t="shared" si="175"/>
        <v>#DIV/0!</v>
      </c>
      <c r="CD97" s="300">
        <f t="shared" si="176"/>
        <v>0</v>
      </c>
      <c r="CE97" s="306">
        <f t="shared" si="221"/>
        <v>0</v>
      </c>
      <c r="CF97" s="306">
        <f t="shared" si="177"/>
        <v>0</v>
      </c>
      <c r="CG97" s="307" t="e">
        <f t="shared" si="178"/>
        <v>#DIV/0!</v>
      </c>
      <c r="CH97" s="307" t="e">
        <f t="shared" si="179"/>
        <v>#DIV/0!</v>
      </c>
      <c r="CI97" s="308" t="e">
        <f t="shared" si="139"/>
        <v>#DIV/0!</v>
      </c>
      <c r="CJ97" s="309" t="e">
        <f t="shared" si="180"/>
        <v>#DIV/0!</v>
      </c>
      <c r="CK97" s="175" t="e">
        <f t="shared" si="222"/>
        <v>#DIV/0!</v>
      </c>
      <c r="CL97" s="175" t="str">
        <f t="shared" si="181"/>
        <v/>
      </c>
      <c r="CM97" s="310" t="e">
        <f t="shared" si="223"/>
        <v>#DIV/0!</v>
      </c>
      <c r="CN97" s="311" t="e">
        <f t="shared" si="224"/>
        <v>#DIV/0!</v>
      </c>
      <c r="CO97" s="311">
        <f t="shared" si="225"/>
        <v>0</v>
      </c>
      <c r="CP97" s="175">
        <f t="shared" si="182"/>
        <v>1</v>
      </c>
      <c r="CQ97" s="175">
        <f t="shared" si="183"/>
        <v>1</v>
      </c>
      <c r="CR97" s="175" t="str">
        <f t="shared" si="184"/>
        <v/>
      </c>
      <c r="CS97" s="175">
        <f t="shared" si="185"/>
        <v>0</v>
      </c>
      <c r="CT97" s="312">
        <f t="shared" si="186"/>
        <v>0</v>
      </c>
      <c r="CU97" s="175" t="str">
        <f t="shared" si="187"/>
        <v>OK</v>
      </c>
      <c r="CV97" s="313">
        <f t="shared" si="188"/>
        <v>0.05</v>
      </c>
      <c r="CW97" s="312" t="e">
        <f t="shared" si="189"/>
        <v>#DIV/0!</v>
      </c>
      <c r="CX97" s="312" t="e">
        <f t="shared" si="190"/>
        <v>#DIV/0!</v>
      </c>
      <c r="CY97" s="312" t="e">
        <f t="shared" si="191"/>
        <v>#DIV/0!</v>
      </c>
      <c r="CZ97" s="312" t="e">
        <f t="shared" si="192"/>
        <v>#DIV/0!</v>
      </c>
      <c r="DA97" s="312">
        <f t="shared" si="193"/>
        <v>1</v>
      </c>
      <c r="DB97" s="312">
        <f t="shared" si="194"/>
        <v>0</v>
      </c>
      <c r="DC97" s="175" t="str">
        <f t="shared" si="195"/>
        <v>Soft</v>
      </c>
      <c r="DD97" s="175"/>
      <c r="DE97" s="175">
        <f t="shared" si="196"/>
        <v>0</v>
      </c>
      <c r="DF97" s="312" t="e">
        <f t="shared" si="197"/>
        <v>#DIV/0!</v>
      </c>
      <c r="DG97" s="312" t="e">
        <f t="shared" si="198"/>
        <v>#DIV/0!</v>
      </c>
      <c r="DH97" s="312" t="e">
        <f t="shared" si="199"/>
        <v>#DIV/0!</v>
      </c>
      <c r="DI97" s="312" t="e">
        <f t="shared" si="200"/>
        <v>#DIV/0!</v>
      </c>
      <c r="DJ97" s="312" t="e">
        <f t="shared" si="226"/>
        <v>#DIV/0!</v>
      </c>
      <c r="DK97" s="175"/>
      <c r="DL97" s="175"/>
      <c r="DM97" s="175"/>
      <c r="DN97" s="175">
        <f t="shared" si="201"/>
        <v>1</v>
      </c>
      <c r="DO97" s="312" t="e">
        <f t="shared" si="202"/>
        <v>#DIV/0!</v>
      </c>
      <c r="DP97" s="312" t="e">
        <f t="shared" si="203"/>
        <v>#DIV/0!</v>
      </c>
      <c r="DQ97" s="312" t="e">
        <f t="shared" si="204"/>
        <v>#DIV/0!</v>
      </c>
      <c r="DR97" s="312" t="e">
        <f t="shared" si="205"/>
        <v>#DIV/0!</v>
      </c>
      <c r="DS97" s="312" t="e">
        <f t="shared" si="206"/>
        <v>#DIV/0!</v>
      </c>
      <c r="DT97" s="312" t="e">
        <f t="shared" si="207"/>
        <v>#DIV/0!</v>
      </c>
      <c r="DU97" s="312">
        <f t="shared" si="208"/>
        <v>0</v>
      </c>
      <c r="DV97" s="175"/>
      <c r="DW97" s="175" t="b">
        <f t="shared" si="209"/>
        <v>1</v>
      </c>
      <c r="DX97" s="175" t="b">
        <f t="shared" si="209"/>
        <v>1</v>
      </c>
      <c r="DY97" s="175" t="b">
        <f t="shared" si="209"/>
        <v>1</v>
      </c>
      <c r="DZ97" s="175" t="b">
        <f t="shared" si="209"/>
        <v>1</v>
      </c>
      <c r="EA97" s="175" t="b">
        <f t="shared" si="209"/>
        <v>1</v>
      </c>
      <c r="EB97" s="168"/>
      <c r="EC97" s="140"/>
      <c r="ED97" s="140"/>
    </row>
    <row r="98" spans="1:134" ht="18.5" hidden="1" thickBot="1" x14ac:dyDescent="0.45">
      <c r="A98" s="150"/>
      <c r="B98" s="296" t="str">
        <f t="shared" si="73"/>
        <v>-</v>
      </c>
      <c r="C98" s="279">
        <v>79</v>
      </c>
      <c r="D98" s="1557"/>
      <c r="E98" s="1558"/>
      <c r="F98" s="977"/>
      <c r="G98" s="1103"/>
      <c r="H98" s="978"/>
      <c r="I98" s="965"/>
      <c r="J98" s="1325"/>
      <c r="K98" s="1326"/>
      <c r="L98" s="1326"/>
      <c r="M98" s="1326"/>
      <c r="N98" s="1327"/>
      <c r="O98" s="974"/>
      <c r="P98" s="975"/>
      <c r="Q98" s="976"/>
      <c r="R98" s="966"/>
      <c r="S98" s="280" t="str">
        <f t="shared" si="140"/>
        <v/>
      </c>
      <c r="T98" s="281" t="str">
        <f t="shared" si="141"/>
        <v/>
      </c>
      <c r="U98" s="282">
        <f t="shared" si="142"/>
        <v>0</v>
      </c>
      <c r="V98" s="259" t="str">
        <f t="shared" si="143"/>
        <v/>
      </c>
      <c r="W98" s="260" t="str">
        <f t="shared" si="144"/>
        <v/>
      </c>
      <c r="X98" s="283">
        <f t="shared" si="137"/>
        <v>0</v>
      </c>
      <c r="Y98" s="284" t="str">
        <f t="shared" si="145"/>
        <v/>
      </c>
      <c r="Z98" s="150"/>
      <c r="AA98" s="175"/>
      <c r="AB98" s="175">
        <v>79</v>
      </c>
      <c r="AC98" s="297" t="str">
        <f t="shared" si="138"/>
        <v>-</v>
      </c>
      <c r="AD98" s="297">
        <f t="shared" si="210"/>
        <v>0</v>
      </c>
      <c r="AE98" s="297">
        <f t="shared" si="211"/>
        <v>0</v>
      </c>
      <c r="AF98" s="297"/>
      <c r="AG98" s="298">
        <f t="shared" si="212"/>
        <v>0</v>
      </c>
      <c r="AH98" s="1339">
        <f t="shared" si="146"/>
        <v>0</v>
      </c>
      <c r="AI98" s="1340">
        <f>IF(SUM(AH98:AH$99)=0,0,F98&gt;0)</f>
        <v>0</v>
      </c>
      <c r="AJ98" s="1339">
        <f t="shared" si="147"/>
        <v>0</v>
      </c>
      <c r="AK98" s="1340">
        <f>IF(SUM(AH98:AH$99)=0,0,AND(AI98=FALSE,AJ98=0,SUM(AJ98:AJ$99)&gt;0))</f>
        <v>0</v>
      </c>
      <c r="AL98" s="1340">
        <f t="shared" si="148"/>
        <v>0</v>
      </c>
      <c r="AM98" s="1340">
        <f t="shared" si="149"/>
        <v>0</v>
      </c>
      <c r="AN98" s="1341">
        <f t="shared" si="150"/>
        <v>0</v>
      </c>
      <c r="AO98" s="1341">
        <f t="shared" si="151"/>
        <v>0</v>
      </c>
      <c r="AP98" s="264">
        <f t="shared" si="152"/>
        <v>0</v>
      </c>
      <c r="AQ98" s="264">
        <f t="shared" si="213"/>
        <v>0</v>
      </c>
      <c r="AR98" s="1340">
        <f t="shared" si="153"/>
        <v>0</v>
      </c>
      <c r="AS98" s="1340" t="str">
        <f t="shared" si="214"/>
        <v/>
      </c>
      <c r="AT98" s="1340">
        <f t="shared" si="154"/>
        <v>0</v>
      </c>
      <c r="AU98" s="898">
        <f t="shared" si="215"/>
        <v>0</v>
      </c>
      <c r="AV98" s="1340">
        <f t="shared" si="155"/>
        <v>0</v>
      </c>
      <c r="AW98" s="1340">
        <f t="shared" si="156"/>
        <v>0</v>
      </c>
      <c r="AX98" s="1340">
        <f t="shared" si="157"/>
        <v>0</v>
      </c>
      <c r="AY98" s="897">
        <f t="shared" si="216"/>
        <v>0</v>
      </c>
      <c r="AZ98" s="1340">
        <f t="shared" si="158"/>
        <v>0</v>
      </c>
      <c r="BA98" s="896">
        <f t="shared" si="217"/>
        <v>0</v>
      </c>
      <c r="BB98" s="899" t="str">
        <f t="shared" si="218"/>
        <v/>
      </c>
      <c r="BC98" s="899" t="str">
        <f t="shared" si="219"/>
        <v/>
      </c>
      <c r="BD98" s="1340">
        <f t="shared" si="159"/>
        <v>0</v>
      </c>
      <c r="BE98" s="1340">
        <f t="shared" si="160"/>
        <v>0</v>
      </c>
      <c r="BF98" s="1340">
        <f t="shared" si="161"/>
        <v>0</v>
      </c>
      <c r="BG98" s="1342" t="b">
        <f t="shared" si="162"/>
        <v>0</v>
      </c>
      <c r="BH98" s="299" t="str">
        <f t="shared" si="163"/>
        <v/>
      </c>
      <c r="BI98" s="1343">
        <f t="shared" si="164"/>
        <v>0</v>
      </c>
      <c r="BJ98" s="1344">
        <f t="shared" si="165"/>
        <v>0</v>
      </c>
      <c r="BK98" s="1344">
        <f t="shared" si="87"/>
        <v>0</v>
      </c>
      <c r="BL98" s="1345">
        <f t="shared" si="166"/>
        <v>0</v>
      </c>
      <c r="BM98" s="1346">
        <f t="shared" si="167"/>
        <v>0</v>
      </c>
      <c r="BN98" s="300">
        <f t="shared" si="168"/>
        <v>0</v>
      </c>
      <c r="BO98" s="300">
        <f t="shared" si="169"/>
        <v>0</v>
      </c>
      <c r="BP98" s="1344">
        <f t="shared" si="88"/>
        <v>0</v>
      </c>
      <c r="BQ98" s="301">
        <f t="shared" si="170"/>
        <v>0</v>
      </c>
      <c r="BR98" s="314"/>
      <c r="BS98" s="1343">
        <f t="shared" si="227"/>
        <v>0</v>
      </c>
      <c r="BT98" s="1344">
        <f t="shared" si="227"/>
        <v>0</v>
      </c>
      <c r="BU98" s="1344">
        <f t="shared" si="227"/>
        <v>0</v>
      </c>
      <c r="BV98" s="303">
        <f t="shared" si="227"/>
        <v>0</v>
      </c>
      <c r="BW98" s="304">
        <f t="shared" si="171"/>
        <v>0</v>
      </c>
      <c r="BX98" s="300">
        <f t="shared" si="172"/>
        <v>0</v>
      </c>
      <c r="BY98" s="1344">
        <f t="shared" si="89"/>
        <v>0</v>
      </c>
      <c r="BZ98" s="300">
        <f t="shared" si="220"/>
        <v>0</v>
      </c>
      <c r="CA98" s="301">
        <f t="shared" si="173"/>
        <v>0</v>
      </c>
      <c r="CB98" s="305" t="e">
        <f t="shared" si="174"/>
        <v>#DIV/0!</v>
      </c>
      <c r="CC98" s="304" t="e">
        <f t="shared" si="175"/>
        <v>#DIV/0!</v>
      </c>
      <c r="CD98" s="300">
        <f t="shared" si="176"/>
        <v>0</v>
      </c>
      <c r="CE98" s="306">
        <f t="shared" si="221"/>
        <v>0</v>
      </c>
      <c r="CF98" s="306">
        <f t="shared" si="177"/>
        <v>0</v>
      </c>
      <c r="CG98" s="307" t="e">
        <f t="shared" si="178"/>
        <v>#DIV/0!</v>
      </c>
      <c r="CH98" s="307" t="e">
        <f t="shared" si="179"/>
        <v>#DIV/0!</v>
      </c>
      <c r="CI98" s="308" t="e">
        <f t="shared" si="139"/>
        <v>#DIV/0!</v>
      </c>
      <c r="CJ98" s="309" t="e">
        <f t="shared" si="180"/>
        <v>#DIV/0!</v>
      </c>
      <c r="CK98" s="175" t="e">
        <f t="shared" si="222"/>
        <v>#DIV/0!</v>
      </c>
      <c r="CL98" s="175" t="str">
        <f t="shared" si="181"/>
        <v/>
      </c>
      <c r="CM98" s="310" t="e">
        <f t="shared" si="223"/>
        <v>#DIV/0!</v>
      </c>
      <c r="CN98" s="311" t="e">
        <f t="shared" si="224"/>
        <v>#DIV/0!</v>
      </c>
      <c r="CO98" s="311">
        <f t="shared" si="225"/>
        <v>0</v>
      </c>
      <c r="CP98" s="175">
        <f t="shared" si="182"/>
        <v>1</v>
      </c>
      <c r="CQ98" s="175">
        <f t="shared" si="183"/>
        <v>1</v>
      </c>
      <c r="CR98" s="175" t="str">
        <f t="shared" si="184"/>
        <v/>
      </c>
      <c r="CS98" s="175">
        <f t="shared" si="185"/>
        <v>0</v>
      </c>
      <c r="CT98" s="312">
        <f t="shared" si="186"/>
        <v>0</v>
      </c>
      <c r="CU98" s="175" t="str">
        <f t="shared" si="187"/>
        <v>OK</v>
      </c>
      <c r="CV98" s="313">
        <f t="shared" si="188"/>
        <v>0.05</v>
      </c>
      <c r="CW98" s="312" t="e">
        <f t="shared" si="189"/>
        <v>#DIV/0!</v>
      </c>
      <c r="CX98" s="312" t="e">
        <f t="shared" si="190"/>
        <v>#DIV/0!</v>
      </c>
      <c r="CY98" s="312" t="e">
        <f t="shared" si="191"/>
        <v>#DIV/0!</v>
      </c>
      <c r="CZ98" s="312" t="e">
        <f t="shared" si="192"/>
        <v>#DIV/0!</v>
      </c>
      <c r="DA98" s="312">
        <f t="shared" si="193"/>
        <v>1</v>
      </c>
      <c r="DB98" s="312">
        <f t="shared" si="194"/>
        <v>0</v>
      </c>
      <c r="DC98" s="175" t="str">
        <f t="shared" si="195"/>
        <v>Soft</v>
      </c>
      <c r="DD98" s="175"/>
      <c r="DE98" s="175">
        <f t="shared" si="196"/>
        <v>0</v>
      </c>
      <c r="DF98" s="312" t="e">
        <f t="shared" si="197"/>
        <v>#DIV/0!</v>
      </c>
      <c r="DG98" s="312" t="e">
        <f t="shared" si="198"/>
        <v>#DIV/0!</v>
      </c>
      <c r="DH98" s="312" t="e">
        <f t="shared" si="199"/>
        <v>#DIV/0!</v>
      </c>
      <c r="DI98" s="312" t="e">
        <f t="shared" si="200"/>
        <v>#DIV/0!</v>
      </c>
      <c r="DJ98" s="312" t="e">
        <f t="shared" si="226"/>
        <v>#DIV/0!</v>
      </c>
      <c r="DK98" s="175"/>
      <c r="DL98" s="175"/>
      <c r="DM98" s="175"/>
      <c r="DN98" s="175">
        <f t="shared" si="201"/>
        <v>1</v>
      </c>
      <c r="DO98" s="312" t="e">
        <f t="shared" si="202"/>
        <v>#DIV/0!</v>
      </c>
      <c r="DP98" s="312" t="e">
        <f t="shared" si="203"/>
        <v>#DIV/0!</v>
      </c>
      <c r="DQ98" s="312" t="e">
        <f t="shared" si="204"/>
        <v>#DIV/0!</v>
      </c>
      <c r="DR98" s="312" t="e">
        <f t="shared" si="205"/>
        <v>#DIV/0!</v>
      </c>
      <c r="DS98" s="312" t="e">
        <f t="shared" si="206"/>
        <v>#DIV/0!</v>
      </c>
      <c r="DT98" s="312" t="e">
        <f t="shared" si="207"/>
        <v>#DIV/0!</v>
      </c>
      <c r="DU98" s="312">
        <f t="shared" si="208"/>
        <v>0</v>
      </c>
      <c r="DV98" s="175"/>
      <c r="DW98" s="175" t="b">
        <f t="shared" si="209"/>
        <v>1</v>
      </c>
      <c r="DX98" s="175" t="b">
        <f t="shared" si="209"/>
        <v>1</v>
      </c>
      <c r="DY98" s="175" t="b">
        <f t="shared" si="209"/>
        <v>1</v>
      </c>
      <c r="DZ98" s="175" t="b">
        <f t="shared" si="209"/>
        <v>1</v>
      </c>
      <c r="EA98" s="175" t="b">
        <f t="shared" si="209"/>
        <v>1</v>
      </c>
      <c r="EB98" s="168"/>
      <c r="EC98" s="140"/>
      <c r="ED98" s="140"/>
    </row>
    <row r="99" spans="1:134" ht="18.5" hidden="1" thickBot="1" x14ac:dyDescent="0.45">
      <c r="A99" s="150"/>
      <c r="B99" s="296" t="str">
        <f t="shared" si="73"/>
        <v>-</v>
      </c>
      <c r="C99" s="279">
        <v>80</v>
      </c>
      <c r="D99" s="1559"/>
      <c r="E99" s="1560"/>
      <c r="F99" s="979"/>
      <c r="G99" s="1104"/>
      <c r="H99" s="980"/>
      <c r="I99" s="981"/>
      <c r="J99" s="1347"/>
      <c r="K99" s="1348"/>
      <c r="L99" s="1348"/>
      <c r="M99" s="1348"/>
      <c r="N99" s="1349"/>
      <c r="O99" s="982"/>
      <c r="P99" s="983"/>
      <c r="Q99" s="984"/>
      <c r="R99" s="985"/>
      <c r="S99" s="315" t="str">
        <f t="shared" si="140"/>
        <v/>
      </c>
      <c r="T99" s="316" t="str">
        <f t="shared" si="141"/>
        <v/>
      </c>
      <c r="U99" s="317">
        <f t="shared" si="142"/>
        <v>0</v>
      </c>
      <c r="V99" s="318" t="str">
        <f t="shared" si="143"/>
        <v/>
      </c>
      <c r="W99" s="900" t="str">
        <f t="shared" si="144"/>
        <v/>
      </c>
      <c r="X99" s="319">
        <f t="shared" si="4"/>
        <v>0</v>
      </c>
      <c r="Y99" s="320" t="str">
        <f t="shared" si="145"/>
        <v/>
      </c>
      <c r="Z99" s="150"/>
      <c r="AA99" s="175"/>
      <c r="AB99" s="175">
        <v>80</v>
      </c>
      <c r="AC99" s="297" t="str">
        <f t="shared" si="138"/>
        <v>-</v>
      </c>
      <c r="AD99" s="297">
        <f t="shared" si="210"/>
        <v>0</v>
      </c>
      <c r="AE99" s="297">
        <f t="shared" si="211"/>
        <v>0</v>
      </c>
      <c r="AF99" s="297"/>
      <c r="AG99" s="298">
        <f t="shared" si="212"/>
        <v>0</v>
      </c>
      <c r="AH99" s="1350">
        <f t="shared" si="146"/>
        <v>0</v>
      </c>
      <c r="AI99" s="1351">
        <f>IF(SUM(AH99:AH$99)=0,0,F99&gt;0)</f>
        <v>0</v>
      </c>
      <c r="AJ99" s="1350">
        <f t="shared" si="147"/>
        <v>0</v>
      </c>
      <c r="AK99" s="1352">
        <f>IF(SUM(AH99:AH$99)=0,0,AND(AI99=FALSE,AJ99=0,SUM(AJ99:AJ$99)&gt;0))</f>
        <v>0</v>
      </c>
      <c r="AL99" s="1352">
        <f t="shared" si="148"/>
        <v>0</v>
      </c>
      <c r="AM99" s="1352">
        <f t="shared" si="149"/>
        <v>0</v>
      </c>
      <c r="AN99" s="1353">
        <f t="shared" si="150"/>
        <v>0</v>
      </c>
      <c r="AO99" s="1353">
        <f t="shared" si="151"/>
        <v>0</v>
      </c>
      <c r="AP99" s="264">
        <f t="shared" si="152"/>
        <v>0</v>
      </c>
      <c r="AQ99" s="264">
        <f t="shared" si="213"/>
        <v>0</v>
      </c>
      <c r="AR99" s="1352">
        <f t="shared" si="153"/>
        <v>0</v>
      </c>
      <c r="AS99" s="1352" t="str">
        <f t="shared" si="214"/>
        <v/>
      </c>
      <c r="AT99" s="1352">
        <f t="shared" si="154"/>
        <v>0</v>
      </c>
      <c r="AU99" s="898">
        <f t="shared" si="215"/>
        <v>0</v>
      </c>
      <c r="AV99" s="1352">
        <f t="shared" si="155"/>
        <v>0</v>
      </c>
      <c r="AW99" s="1352">
        <f t="shared" si="156"/>
        <v>0</v>
      </c>
      <c r="AX99" s="1352">
        <f t="shared" si="157"/>
        <v>0</v>
      </c>
      <c r="AY99" s="897">
        <f t="shared" si="216"/>
        <v>0</v>
      </c>
      <c r="AZ99" s="1352">
        <f t="shared" si="158"/>
        <v>0</v>
      </c>
      <c r="BA99" s="896">
        <f t="shared" si="217"/>
        <v>0</v>
      </c>
      <c r="BB99" s="899" t="str">
        <f t="shared" si="218"/>
        <v/>
      </c>
      <c r="BC99" s="899" t="str">
        <f t="shared" si="219"/>
        <v/>
      </c>
      <c r="BD99" s="1352">
        <f t="shared" si="159"/>
        <v>0</v>
      </c>
      <c r="BE99" s="1352">
        <f t="shared" si="160"/>
        <v>0</v>
      </c>
      <c r="BF99" s="1352">
        <f t="shared" si="161"/>
        <v>0</v>
      </c>
      <c r="BG99" s="1354" t="b">
        <f t="shared" si="162"/>
        <v>0</v>
      </c>
      <c r="BH99" s="299" t="str">
        <f t="shared" si="163"/>
        <v/>
      </c>
      <c r="BI99" s="1355">
        <f t="shared" si="164"/>
        <v>0</v>
      </c>
      <c r="BJ99" s="1356">
        <f t="shared" si="165"/>
        <v>0</v>
      </c>
      <c r="BK99" s="1356">
        <f t="shared" si="87"/>
        <v>0</v>
      </c>
      <c r="BL99" s="1357">
        <f t="shared" si="166"/>
        <v>0</v>
      </c>
      <c r="BM99" s="1358">
        <f t="shared" si="167"/>
        <v>0</v>
      </c>
      <c r="BN99" s="300">
        <f t="shared" si="168"/>
        <v>0</v>
      </c>
      <c r="BO99" s="300">
        <f t="shared" si="169"/>
        <v>0</v>
      </c>
      <c r="BP99" s="1356">
        <f t="shared" si="88"/>
        <v>0</v>
      </c>
      <c r="BQ99" s="301">
        <f t="shared" si="170"/>
        <v>0</v>
      </c>
      <c r="BR99" s="314"/>
      <c r="BS99" s="1343">
        <f t="shared" si="227"/>
        <v>0</v>
      </c>
      <c r="BT99" s="1344">
        <f t="shared" si="227"/>
        <v>0</v>
      </c>
      <c r="BU99" s="1344">
        <f t="shared" si="227"/>
        <v>0</v>
      </c>
      <c r="BV99" s="303">
        <f t="shared" si="227"/>
        <v>0</v>
      </c>
      <c r="BW99" s="304">
        <f t="shared" si="171"/>
        <v>0</v>
      </c>
      <c r="BX99" s="300">
        <f t="shared" si="172"/>
        <v>0</v>
      </c>
      <c r="BY99" s="1356">
        <f t="shared" si="89"/>
        <v>0</v>
      </c>
      <c r="BZ99" s="300">
        <f t="shared" si="220"/>
        <v>0</v>
      </c>
      <c r="CA99" s="301">
        <f t="shared" si="173"/>
        <v>0</v>
      </c>
      <c r="CB99" s="305" t="e">
        <f t="shared" si="174"/>
        <v>#DIV/0!</v>
      </c>
      <c r="CC99" s="304" t="e">
        <f t="shared" si="175"/>
        <v>#DIV/0!</v>
      </c>
      <c r="CD99" s="300">
        <f t="shared" si="176"/>
        <v>0</v>
      </c>
      <c r="CE99" s="1359">
        <f t="shared" si="221"/>
        <v>0</v>
      </c>
      <c r="CF99" s="1359">
        <f t="shared" si="177"/>
        <v>0</v>
      </c>
      <c r="CG99" s="1360" t="e">
        <f t="shared" si="178"/>
        <v>#DIV/0!</v>
      </c>
      <c r="CH99" s="307" t="e">
        <f t="shared" si="179"/>
        <v>#DIV/0!</v>
      </c>
      <c r="CI99" s="1361" t="e">
        <f t="shared" si="92"/>
        <v>#DIV/0!</v>
      </c>
      <c r="CJ99" s="309" t="e">
        <f t="shared" si="180"/>
        <v>#DIV/0!</v>
      </c>
      <c r="CK99" s="175" t="e">
        <f t="shared" si="222"/>
        <v>#DIV/0!</v>
      </c>
      <c r="CL99" s="175" t="str">
        <f t="shared" si="181"/>
        <v/>
      </c>
      <c r="CM99" s="310" t="e">
        <f t="shared" si="223"/>
        <v>#DIV/0!</v>
      </c>
      <c r="CN99" s="311" t="e">
        <f t="shared" si="224"/>
        <v>#DIV/0!</v>
      </c>
      <c r="CO99" s="311">
        <f t="shared" si="225"/>
        <v>0</v>
      </c>
      <c r="CP99" s="175">
        <f t="shared" si="182"/>
        <v>1</v>
      </c>
      <c r="CQ99" s="175">
        <f t="shared" si="183"/>
        <v>1</v>
      </c>
      <c r="CR99" s="175" t="str">
        <f t="shared" si="184"/>
        <v/>
      </c>
      <c r="CS99" s="175">
        <f>IF(CR99=0,0,IF(CR99="",N99))</f>
        <v>0</v>
      </c>
      <c r="CT99" s="312">
        <f t="shared" si="186"/>
        <v>0</v>
      </c>
      <c r="CU99" s="175" t="str">
        <f t="shared" si="187"/>
        <v>OK</v>
      </c>
      <c r="CV99" s="313">
        <f t="shared" si="188"/>
        <v>0.05</v>
      </c>
      <c r="CW99" s="312" t="e">
        <f t="shared" si="189"/>
        <v>#DIV/0!</v>
      </c>
      <c r="CX99" s="312" t="e">
        <f t="shared" si="190"/>
        <v>#DIV/0!</v>
      </c>
      <c r="CY99" s="312" t="e">
        <f t="shared" si="191"/>
        <v>#DIV/0!</v>
      </c>
      <c r="CZ99" s="312" t="e">
        <f t="shared" si="192"/>
        <v>#DIV/0!</v>
      </c>
      <c r="DA99" s="312">
        <f t="shared" si="193"/>
        <v>1</v>
      </c>
      <c r="DB99" s="312">
        <f t="shared" si="194"/>
        <v>0</v>
      </c>
      <c r="DC99" s="175" t="str">
        <f t="shared" si="195"/>
        <v>Soft</v>
      </c>
      <c r="DD99" s="175"/>
      <c r="DE99" s="175">
        <f t="shared" si="196"/>
        <v>0</v>
      </c>
      <c r="DF99" s="312" t="e">
        <f t="shared" si="197"/>
        <v>#DIV/0!</v>
      </c>
      <c r="DG99" s="312" t="e">
        <f t="shared" si="198"/>
        <v>#DIV/0!</v>
      </c>
      <c r="DH99" s="312" t="e">
        <f t="shared" si="199"/>
        <v>#DIV/0!</v>
      </c>
      <c r="DI99" s="312" t="e">
        <f t="shared" si="200"/>
        <v>#DIV/0!</v>
      </c>
      <c r="DJ99" s="312" t="e">
        <f t="shared" si="226"/>
        <v>#DIV/0!</v>
      </c>
      <c r="DK99" s="175"/>
      <c r="DL99" s="175"/>
      <c r="DM99" s="175"/>
      <c r="DN99" s="175">
        <f t="shared" si="201"/>
        <v>1</v>
      </c>
      <c r="DO99" s="312" t="e">
        <f t="shared" si="202"/>
        <v>#DIV/0!</v>
      </c>
      <c r="DP99" s="312" t="e">
        <f t="shared" si="203"/>
        <v>#DIV/0!</v>
      </c>
      <c r="DQ99" s="312" t="e">
        <f t="shared" si="204"/>
        <v>#DIV/0!</v>
      </c>
      <c r="DR99" s="312" t="e">
        <f t="shared" si="205"/>
        <v>#DIV/0!</v>
      </c>
      <c r="DS99" s="312" t="e">
        <f t="shared" si="206"/>
        <v>#DIV/0!</v>
      </c>
      <c r="DT99" s="312" t="e">
        <f t="shared" si="207"/>
        <v>#DIV/0!</v>
      </c>
      <c r="DU99" s="312">
        <f t="shared" si="208"/>
        <v>0</v>
      </c>
      <c r="DV99" s="175"/>
      <c r="DW99" s="175" t="b">
        <f t="shared" si="209"/>
        <v>1</v>
      </c>
      <c r="DX99" s="175" t="b">
        <f t="shared" si="209"/>
        <v>1</v>
      </c>
      <c r="DY99" s="175" t="b">
        <f t="shared" si="209"/>
        <v>1</v>
      </c>
      <c r="DZ99" s="175" t="b">
        <f t="shared" si="209"/>
        <v>1</v>
      </c>
      <c r="EA99" s="175" t="b">
        <f t="shared" si="209"/>
        <v>1</v>
      </c>
      <c r="EB99" s="168"/>
      <c r="EC99" s="140"/>
      <c r="ED99" s="140"/>
    </row>
    <row r="100" spans="1:134" ht="17.5" x14ac:dyDescent="0.35">
      <c r="A100" s="150"/>
      <c r="B100" s="901"/>
      <c r="C100" s="901"/>
      <c r="D100" s="901"/>
      <c r="E100" s="901"/>
      <c r="F100" s="901"/>
      <c r="G100" s="901"/>
      <c r="H100" s="901"/>
      <c r="I100" s="901"/>
      <c r="J100" s="901"/>
      <c r="K100" s="901"/>
      <c r="L100" s="901"/>
      <c r="M100" s="901"/>
      <c r="N100" s="901"/>
      <c r="O100" s="901"/>
      <c r="P100" s="901"/>
      <c r="Q100" s="901"/>
      <c r="R100" s="901"/>
      <c r="S100" s="901"/>
      <c r="T100" s="901"/>
      <c r="U100" s="901"/>
      <c r="V100" s="901"/>
      <c r="W100" s="901"/>
      <c r="X100" s="901"/>
      <c r="Y100" s="901"/>
      <c r="Z100" s="150"/>
      <c r="AA100" s="141"/>
      <c r="AB100" s="141"/>
      <c r="AC100" s="141"/>
      <c r="AD100" s="141"/>
      <c r="AE100" s="141"/>
      <c r="AF100" s="141"/>
      <c r="AG100" s="141"/>
      <c r="AH100" s="902"/>
      <c r="AI100" s="902"/>
      <c r="AJ100" s="902"/>
      <c r="AK100" s="321"/>
      <c r="AL100" s="321"/>
      <c r="AM100" s="321"/>
      <c r="AN100" s="321"/>
      <c r="AO100" s="321"/>
      <c r="AP100" s="321"/>
      <c r="AQ100" s="321"/>
      <c r="AR100" s="321"/>
      <c r="AS100" s="321"/>
      <c r="AT100" s="321"/>
      <c r="AU100" s="321"/>
      <c r="AV100" s="321"/>
      <c r="AW100" s="321"/>
      <c r="AX100" s="321"/>
      <c r="AY100" s="321"/>
      <c r="AZ100" s="321"/>
      <c r="BA100" s="321"/>
      <c r="BB100" s="321"/>
      <c r="BC100" s="321"/>
      <c r="BD100" s="321"/>
      <c r="BE100" s="321"/>
      <c r="BF100" s="321"/>
      <c r="BG100" s="321"/>
      <c r="BH100" s="321"/>
      <c r="BI100" s="321"/>
      <c r="BJ100" s="321"/>
      <c r="BK100" s="321"/>
      <c r="BL100" s="321"/>
      <c r="BM100" s="321"/>
      <c r="BN100" s="321"/>
      <c r="BO100" s="321"/>
      <c r="BP100" s="321"/>
      <c r="BQ100" s="321"/>
      <c r="BR100" s="321"/>
      <c r="BS100" s="321"/>
      <c r="BT100" s="321"/>
      <c r="BU100" s="321"/>
      <c r="BV100" s="321"/>
      <c r="BW100" s="321"/>
      <c r="BX100" s="321"/>
      <c r="BY100" s="321"/>
      <c r="BZ100" s="321"/>
      <c r="CA100" s="321"/>
      <c r="CB100" s="321" t="e">
        <f>SUBTOTAL(9,CB20:CB99)</f>
        <v>#DIV/0!</v>
      </c>
      <c r="CC100" s="321"/>
      <c r="CD100" s="321"/>
      <c r="CE100" s="321"/>
      <c r="CF100" s="321"/>
      <c r="CG100" s="321"/>
      <c r="CH100" s="321"/>
      <c r="CI100" s="321"/>
      <c r="CJ100" s="321"/>
      <c r="CK100" s="321"/>
      <c r="CL100" s="141"/>
      <c r="CM100" s="141"/>
      <c r="CN100" s="322" t="e">
        <f>SUBTOTAL(9,CN20:CN99)</f>
        <v>#DIV/0!</v>
      </c>
      <c r="CO100" s="322"/>
      <c r="CP100" s="141"/>
      <c r="CQ100" s="141"/>
      <c r="CR100" s="141"/>
      <c r="CS100" s="141"/>
      <c r="CT100" s="278">
        <f>SUBTOTAL(9,CT20:CT99)</f>
        <v>0</v>
      </c>
      <c r="CU100" s="141" t="s">
        <v>1064</v>
      </c>
      <c r="CV100" s="141"/>
      <c r="CW100" s="141"/>
      <c r="CX100" s="141"/>
      <c r="CY100" s="141"/>
      <c r="CZ100" s="141"/>
      <c r="DA100" s="141"/>
      <c r="DB100" s="141"/>
      <c r="DC100" s="141"/>
      <c r="DD100" s="141"/>
      <c r="DE100" s="141"/>
      <c r="DF100" s="141"/>
      <c r="DG100" s="141"/>
      <c r="DH100" s="141"/>
      <c r="DI100" s="141"/>
      <c r="DJ100" s="141"/>
      <c r="DK100" s="141"/>
      <c r="DL100" s="141"/>
      <c r="DM100" s="141"/>
      <c r="DN100" s="141"/>
      <c r="DO100" s="141"/>
      <c r="DP100" s="141"/>
      <c r="DQ100" s="141"/>
      <c r="DR100" s="141"/>
      <c r="DS100" s="141"/>
      <c r="DT100" s="141"/>
      <c r="DU100" s="141"/>
      <c r="DV100" s="141"/>
      <c r="DW100" s="141"/>
      <c r="DX100" s="141"/>
      <c r="DY100" s="141"/>
      <c r="DZ100" s="141"/>
      <c r="EA100" s="141"/>
    </row>
    <row r="101" spans="1:134" ht="87.5" x14ac:dyDescent="0.4">
      <c r="A101" s="150"/>
      <c r="W101" s="1069"/>
      <c r="X101" s="1071" t="str">
        <f>IF(AND(AllInputsOK=TRUE,ShowPassCond=TRUE,ShowPassSHG=TRUE),"If inputs are valid","")</f>
        <v/>
      </c>
      <c r="Y101" s="1070" t="str">
        <f>IF(AND(AllInputsOK=TRUE,ShowPassCond=TRUE,ShowPassSHG=TRUE),"ü",IF(VisibleFailures&gt;0,"û",""))</f>
        <v/>
      </c>
      <c r="Z101" s="150"/>
      <c r="AA101" s="141"/>
      <c r="AB101" s="229"/>
      <c r="AC101" s="141"/>
      <c r="AD101" s="141"/>
      <c r="AE101" s="141"/>
      <c r="AF101" s="141"/>
      <c r="AG101" s="141"/>
      <c r="AH101" s="327" t="s">
        <v>1065</v>
      </c>
      <c r="AI101" s="141"/>
      <c r="AJ101" s="141"/>
      <c r="AK101" s="141"/>
      <c r="AL101" s="141"/>
      <c r="AM101" s="141"/>
      <c r="AN101" s="141"/>
      <c r="AO101" s="141"/>
      <c r="AP101" s="141"/>
      <c r="AQ101" s="141"/>
      <c r="AR101" s="141"/>
      <c r="AS101" s="141"/>
      <c r="AT101" s="141"/>
      <c r="AU101" s="141"/>
      <c r="AV101" s="141"/>
      <c r="AW101" s="141"/>
      <c r="AX101" s="141"/>
      <c r="AY101" s="141"/>
      <c r="AZ101" s="141"/>
      <c r="BA101" s="141"/>
      <c r="BB101" s="141"/>
      <c r="BC101" s="141"/>
      <c r="BD101" s="141"/>
      <c r="BE101" s="141"/>
      <c r="BF101" s="141"/>
      <c r="BG101" s="141"/>
      <c r="BH101" s="141"/>
      <c r="BI101" s="141"/>
      <c r="BJ101" s="141"/>
      <c r="BK101" s="141"/>
      <c r="BL101" s="141"/>
      <c r="BM101" s="141"/>
      <c r="BN101" s="141"/>
      <c r="BO101" s="141"/>
      <c r="BP101" s="141"/>
      <c r="BQ101" s="141"/>
      <c r="BR101" s="141"/>
      <c r="BS101" s="141"/>
      <c r="BT101" s="141"/>
      <c r="BU101" s="141"/>
      <c r="BV101" s="141"/>
      <c r="BW101" s="141"/>
      <c r="BX101" s="141"/>
      <c r="BY101" s="141"/>
      <c r="BZ101" s="141"/>
      <c r="CA101" s="141"/>
      <c r="CB101" s="141"/>
      <c r="CC101" s="141"/>
      <c r="CD101" s="141"/>
      <c r="CE101" s="141"/>
      <c r="CF101" s="141"/>
      <c r="CG101" s="141"/>
      <c r="CH101" s="141"/>
      <c r="CI101" s="141"/>
      <c r="CJ101" s="141"/>
      <c r="CK101" s="141"/>
      <c r="CL101" s="141"/>
      <c r="CM101" s="141"/>
      <c r="CN101" s="141"/>
      <c r="CO101" s="141"/>
      <c r="CP101" s="141"/>
      <c r="CQ101" s="141"/>
      <c r="CR101" s="141"/>
      <c r="CS101" s="141"/>
      <c r="CT101" s="271" t="e">
        <f>IF(CT100/(AreaA+AreaB+F12)&lt;0.05,0.05,CT100/(AreaA+AreaB+F12))</f>
        <v>#DIV/0!</v>
      </c>
      <c r="CU101" s="141" t="s">
        <v>1066</v>
      </c>
      <c r="CV101" s="141"/>
      <c r="CW101" s="141"/>
      <c r="CX101" s="141"/>
      <c r="CY101" s="141"/>
      <c r="CZ101" s="141"/>
      <c r="DA101" s="141"/>
      <c r="DB101" s="141"/>
      <c r="DC101" s="141"/>
      <c r="DD101" s="141"/>
      <c r="DE101" s="141"/>
      <c r="DF101" s="141"/>
      <c r="DG101" s="141"/>
      <c r="DH101" s="141"/>
      <c r="DI101" s="141"/>
      <c r="DJ101" s="141"/>
      <c r="DK101" s="141"/>
      <c r="DL101" s="141"/>
      <c r="DM101" s="141"/>
      <c r="DN101" s="141"/>
      <c r="DO101" s="141"/>
      <c r="DP101" s="141"/>
      <c r="DQ101" s="141"/>
      <c r="DR101" s="141"/>
      <c r="DS101" s="141"/>
      <c r="DT101" s="141"/>
      <c r="DU101" s="141"/>
      <c r="DV101" s="141"/>
      <c r="DW101" s="141"/>
      <c r="DX101" s="141"/>
      <c r="DY101" s="141"/>
      <c r="DZ101" s="141"/>
      <c r="EA101" s="141"/>
    </row>
    <row r="102" spans="1:134" ht="87.65" customHeight="1" x14ac:dyDescent="0.35">
      <c r="A102" s="150"/>
      <c r="Z102" s="150"/>
      <c r="AA102" s="141"/>
      <c r="AB102" s="141"/>
      <c r="AC102" s="141"/>
      <c r="AD102" s="141"/>
      <c r="AE102" s="141"/>
      <c r="AF102" s="141"/>
      <c r="AG102" s="141"/>
      <c r="AH102" s="141"/>
      <c r="AI102" s="141"/>
      <c r="AJ102" s="141"/>
      <c r="AK102" s="141"/>
      <c r="AL102" s="141"/>
      <c r="AM102" s="141"/>
      <c r="AN102" s="141"/>
      <c r="AO102" s="141"/>
      <c r="AP102" s="141"/>
      <c r="AQ102" s="141"/>
      <c r="AR102" s="141"/>
      <c r="AS102" s="141"/>
      <c r="AT102" s="141"/>
      <c r="AU102" s="141"/>
      <c r="AV102" s="141"/>
      <c r="AW102" s="141"/>
      <c r="AX102" s="141"/>
      <c r="AY102" s="141"/>
      <c r="AZ102" s="141"/>
      <c r="BA102" s="141"/>
      <c r="BB102" s="141"/>
      <c r="BC102" s="141"/>
      <c r="BD102" s="141"/>
      <c r="BE102" s="141"/>
      <c r="BF102" s="141"/>
      <c r="BG102" s="141"/>
      <c r="BH102" s="141"/>
      <c r="BI102" s="141"/>
      <c r="BJ102" s="141"/>
      <c r="BK102" s="141"/>
      <c r="BL102" s="141"/>
      <c r="BM102" s="141"/>
      <c r="BN102" s="141"/>
      <c r="BO102" s="141"/>
      <c r="BP102" s="141"/>
      <c r="BQ102" s="141"/>
      <c r="BR102" s="141"/>
      <c r="BS102" s="141"/>
      <c r="BT102" s="141"/>
      <c r="BU102" s="141"/>
      <c r="BV102" s="141"/>
      <c r="BW102" s="141"/>
      <c r="BX102" s="141"/>
      <c r="BY102" s="141"/>
      <c r="BZ102" s="141"/>
      <c r="CA102" s="141"/>
      <c r="CB102" s="141"/>
      <c r="CC102" s="141"/>
      <c r="CD102" s="141"/>
      <c r="CE102" s="141"/>
      <c r="CF102" s="141"/>
      <c r="CG102" s="141"/>
      <c r="CH102" s="141"/>
      <c r="CI102" s="141"/>
      <c r="CJ102" s="141"/>
      <c r="CK102" s="141"/>
      <c r="CL102" s="141"/>
      <c r="CM102" s="141"/>
      <c r="CN102" s="141"/>
      <c r="CO102" s="141"/>
      <c r="CP102" s="141"/>
      <c r="CQ102" s="141"/>
      <c r="CR102" s="141"/>
      <c r="CS102" s="141"/>
      <c r="CT102" s="141"/>
      <c r="CU102" s="141"/>
      <c r="CV102" s="141"/>
      <c r="CW102" s="141"/>
      <c r="CX102" s="141"/>
      <c r="CY102" s="141"/>
      <c r="CZ102" s="141"/>
      <c r="DA102" s="141"/>
      <c r="DB102" s="141"/>
      <c r="DC102" s="141"/>
      <c r="DD102" s="141"/>
      <c r="DE102" s="141"/>
      <c r="DF102" s="141"/>
      <c r="DG102" s="141"/>
      <c r="DH102" s="141"/>
      <c r="DI102" s="141"/>
      <c r="DJ102" s="141"/>
      <c r="DK102" s="141"/>
      <c r="DL102" s="141"/>
      <c r="DM102" s="141"/>
      <c r="DN102" s="141"/>
      <c r="DO102" s="141"/>
      <c r="DP102" s="141"/>
      <c r="DQ102" s="141"/>
      <c r="DR102" s="141"/>
      <c r="DS102" s="141"/>
      <c r="DT102" s="141"/>
      <c r="DU102" s="141"/>
      <c r="DV102" s="141"/>
      <c r="DW102" s="141"/>
      <c r="DX102" s="141"/>
      <c r="DY102" s="141"/>
      <c r="DZ102" s="141"/>
      <c r="EA102" s="141"/>
    </row>
    <row r="103" spans="1:134" ht="17.5" x14ac:dyDescent="0.35">
      <c r="A103" s="150"/>
      <c r="B103" s="328"/>
      <c r="C103" s="329"/>
      <c r="D103" s="329"/>
      <c r="E103" s="329"/>
      <c r="F103" s="329"/>
      <c r="G103" s="329"/>
      <c r="H103" s="329"/>
      <c r="I103" s="329"/>
      <c r="J103" s="329"/>
      <c r="K103" s="329"/>
      <c r="L103" s="329"/>
      <c r="M103" s="329"/>
      <c r="N103" s="329"/>
      <c r="O103" s="329"/>
      <c r="P103" s="330"/>
      <c r="Q103" s="330"/>
      <c r="R103" s="330"/>
      <c r="S103" s="330"/>
      <c r="T103" s="330"/>
      <c r="U103" s="330"/>
      <c r="V103" s="330"/>
      <c r="Z103" s="150"/>
      <c r="AA103" s="141"/>
      <c r="AB103" s="141"/>
      <c r="AC103" s="141"/>
      <c r="AD103" s="141"/>
      <c r="AE103" s="141"/>
      <c r="AF103" s="141"/>
      <c r="AG103" s="141"/>
      <c r="AH103" s="141"/>
      <c r="AI103" s="141"/>
      <c r="AJ103" s="141"/>
      <c r="AK103" s="141"/>
      <c r="AL103" s="141"/>
      <c r="AM103" s="141"/>
      <c r="AN103" s="141"/>
      <c r="AO103" s="141"/>
      <c r="AP103" s="141"/>
      <c r="AQ103" s="141"/>
      <c r="AR103" s="141"/>
      <c r="AS103" s="141"/>
      <c r="AT103" s="141"/>
      <c r="AU103" s="141"/>
      <c r="AV103" s="141"/>
      <c r="AW103" s="141"/>
      <c r="AX103" s="141"/>
      <c r="AY103" s="141"/>
      <c r="AZ103" s="141"/>
      <c r="BA103" s="141"/>
      <c r="BB103" s="141"/>
      <c r="BC103" s="141"/>
      <c r="BD103" s="141"/>
      <c r="BE103" s="141"/>
      <c r="BF103" s="141"/>
      <c r="BG103" s="141"/>
      <c r="BH103" s="141"/>
      <c r="BI103" s="141"/>
      <c r="BJ103" s="141"/>
      <c r="BK103" s="141"/>
      <c r="BL103" s="141"/>
      <c r="BM103" s="141"/>
      <c r="BN103" s="141"/>
      <c r="BO103" s="141"/>
      <c r="BP103" s="141"/>
      <c r="BQ103" s="141"/>
      <c r="BR103" s="141"/>
      <c r="BS103" s="141"/>
      <c r="BT103" s="141"/>
      <c r="BU103" s="141"/>
      <c r="BV103" s="141"/>
      <c r="BW103" s="141"/>
      <c r="BX103" s="141"/>
      <c r="BY103" s="141"/>
      <c r="BZ103" s="141"/>
      <c r="CA103" s="141"/>
      <c r="CB103" s="141"/>
      <c r="CC103" s="141"/>
      <c r="CD103" s="141"/>
      <c r="CE103" s="141"/>
      <c r="CF103" s="141"/>
      <c r="CG103" s="141"/>
      <c r="CH103" s="141"/>
      <c r="CI103" s="141"/>
      <c r="CJ103" s="141"/>
      <c r="CK103" s="141"/>
      <c r="CL103" s="141"/>
      <c r="CM103" s="141"/>
      <c r="CN103" s="141"/>
      <c r="CO103" s="141"/>
      <c r="CP103" s="141"/>
      <c r="CQ103" s="141"/>
      <c r="CR103" s="141"/>
      <c r="CS103" s="141"/>
      <c r="CT103" s="141"/>
      <c r="CU103" s="141"/>
      <c r="CV103" s="141"/>
      <c r="CW103" s="141"/>
      <c r="CX103" s="141"/>
      <c r="CY103" s="141"/>
      <c r="CZ103" s="141"/>
      <c r="DA103" s="141"/>
      <c r="DB103" s="141"/>
      <c r="DC103" s="141"/>
      <c r="DD103" s="141"/>
      <c r="DE103" s="141"/>
      <c r="DF103" s="141"/>
      <c r="DG103" s="141"/>
      <c r="DH103" s="141"/>
      <c r="DI103" s="141"/>
      <c r="DJ103" s="141"/>
      <c r="DK103" s="141"/>
      <c r="DL103" s="141"/>
      <c r="DM103" s="141"/>
      <c r="DN103" s="141"/>
      <c r="DO103" s="141"/>
      <c r="DP103" s="141"/>
      <c r="DQ103" s="141"/>
      <c r="DR103" s="141"/>
      <c r="DS103" s="141"/>
      <c r="DT103" s="141"/>
      <c r="DU103" s="141"/>
      <c r="DV103" s="141"/>
      <c r="DW103" s="141"/>
      <c r="DX103" s="141"/>
      <c r="DY103" s="141"/>
      <c r="DZ103" s="141"/>
      <c r="EA103" s="141"/>
    </row>
    <row r="104" spans="1:134" ht="9.75" customHeight="1" x14ac:dyDescent="0.35">
      <c r="B104" s="1561"/>
      <c r="C104" s="1561"/>
      <c r="D104" s="1561"/>
      <c r="E104" s="1561"/>
      <c r="F104" s="1561"/>
      <c r="G104" s="1561"/>
      <c r="H104" s="1561"/>
      <c r="I104" s="1561"/>
      <c r="J104" s="1561"/>
      <c r="K104" s="1561"/>
      <c r="L104" s="1561"/>
      <c r="M104" s="1561"/>
      <c r="N104" s="1561"/>
      <c r="O104" s="1561"/>
      <c r="P104" s="1561"/>
      <c r="Q104" s="1561"/>
      <c r="R104" s="1561"/>
      <c r="S104" s="1561"/>
      <c r="T104" s="1561"/>
      <c r="U104" s="1561"/>
      <c r="V104" s="1561"/>
      <c r="W104" s="1561"/>
      <c r="X104" s="1561"/>
      <c r="Y104" s="1561"/>
      <c r="Z104" s="150"/>
      <c r="AA104" s="141"/>
      <c r="AB104" s="141"/>
      <c r="AC104" s="141"/>
      <c r="AD104" s="141"/>
      <c r="AE104" s="141"/>
      <c r="AF104" s="141"/>
      <c r="AG104" s="141"/>
      <c r="AH104" s="141"/>
      <c r="AI104" s="141"/>
      <c r="AJ104" s="141"/>
      <c r="AK104" s="141"/>
      <c r="AL104" s="141"/>
      <c r="AM104" s="141"/>
      <c r="AN104" s="141"/>
      <c r="AO104" s="141"/>
      <c r="AP104" s="141"/>
      <c r="AQ104" s="141"/>
      <c r="AR104" s="141"/>
      <c r="AS104" s="141"/>
      <c r="AT104" s="141"/>
      <c r="AU104" s="141"/>
      <c r="AV104" s="141"/>
      <c r="AW104" s="141"/>
      <c r="AX104" s="141"/>
      <c r="AY104" s="141"/>
      <c r="AZ104" s="141"/>
      <c r="BA104" s="141"/>
      <c r="BB104" s="141"/>
      <c r="BC104" s="141"/>
      <c r="BD104" s="141"/>
      <c r="BE104" s="141"/>
      <c r="BF104" s="141"/>
      <c r="BG104" s="141"/>
      <c r="BH104" s="141"/>
      <c r="BI104" s="141"/>
      <c r="BJ104" s="141"/>
      <c r="BK104" s="141"/>
      <c r="BL104" s="141"/>
      <c r="BM104" s="141"/>
      <c r="BN104" s="141"/>
      <c r="BO104" s="141"/>
      <c r="BP104" s="141"/>
      <c r="BQ104" s="141"/>
      <c r="BR104" s="141"/>
      <c r="BS104" s="141"/>
      <c r="BT104" s="141"/>
      <c r="BU104" s="141"/>
      <c r="BV104" s="141"/>
      <c r="BW104" s="141"/>
      <c r="BX104" s="141"/>
      <c r="BY104" s="141"/>
      <c r="BZ104" s="141"/>
      <c r="CA104" s="141"/>
      <c r="CB104" s="141"/>
      <c r="CC104" s="141"/>
      <c r="CD104" s="141"/>
      <c r="CE104" s="141"/>
      <c r="CF104" s="141"/>
      <c r="CG104" s="141"/>
      <c r="CH104" s="141"/>
      <c r="CI104" s="141"/>
      <c r="CJ104" s="141"/>
      <c r="CK104" s="141"/>
      <c r="CL104" s="141"/>
      <c r="CM104" s="141"/>
      <c r="CN104" s="141"/>
      <c r="CO104" s="141"/>
      <c r="CP104" s="141"/>
      <c r="CQ104" s="141"/>
      <c r="CR104" s="141"/>
      <c r="CS104" s="141"/>
      <c r="CT104" s="141"/>
      <c r="CU104" s="141"/>
      <c r="CV104" s="141"/>
      <c r="CW104" s="141"/>
      <c r="CX104" s="141"/>
      <c r="CY104" s="141"/>
      <c r="CZ104" s="141"/>
      <c r="DA104" s="141"/>
      <c r="DB104" s="141"/>
      <c r="DC104" s="141"/>
      <c r="DD104" s="141"/>
      <c r="DE104" s="141"/>
      <c r="DF104" s="141"/>
      <c r="DG104" s="141"/>
      <c r="DH104" s="141"/>
      <c r="DI104" s="141"/>
      <c r="DJ104" s="141"/>
      <c r="DK104" s="141"/>
      <c r="DL104" s="141"/>
      <c r="DM104" s="141"/>
      <c r="DN104" s="141"/>
      <c r="DO104" s="141"/>
      <c r="DP104" s="141"/>
      <c r="DQ104" s="141"/>
      <c r="DR104" s="141"/>
      <c r="DS104" s="141"/>
      <c r="DT104" s="141"/>
      <c r="DU104" s="141"/>
      <c r="DV104" s="141"/>
      <c r="DW104" s="141"/>
      <c r="DX104" s="141"/>
      <c r="DY104" s="141"/>
      <c r="DZ104" s="141"/>
      <c r="EA104" s="141"/>
    </row>
    <row r="105" spans="1:134" x14ac:dyDescent="0.3">
      <c r="AA105" s="141"/>
      <c r="AB105" s="141"/>
      <c r="AC105" s="141"/>
      <c r="AD105" s="141"/>
      <c r="AE105" s="141"/>
      <c r="AF105" s="141"/>
      <c r="AG105" s="141"/>
      <c r="AH105" s="141"/>
      <c r="AI105" s="141"/>
      <c r="AJ105" s="141"/>
      <c r="AK105" s="141"/>
      <c r="AL105" s="141"/>
      <c r="AM105" s="141"/>
      <c r="AN105" s="141"/>
      <c r="AO105" s="141"/>
      <c r="AP105" s="141"/>
      <c r="AQ105" s="141"/>
      <c r="AR105" s="141"/>
      <c r="AS105" s="141"/>
      <c r="AT105" s="141"/>
      <c r="AU105" s="141"/>
      <c r="AV105" s="141"/>
      <c r="AW105" s="141"/>
      <c r="AX105" s="141"/>
      <c r="AY105" s="141"/>
      <c r="AZ105" s="141"/>
      <c r="BA105" s="141"/>
      <c r="BB105" s="141"/>
      <c r="BC105" s="141"/>
      <c r="BD105" s="141"/>
      <c r="BE105" s="141"/>
      <c r="BF105" s="141"/>
      <c r="BG105" s="141"/>
      <c r="BH105" s="141"/>
      <c r="BI105" s="141"/>
      <c r="BJ105" s="141"/>
      <c r="BK105" s="141"/>
      <c r="BL105" s="141"/>
      <c r="BM105" s="141"/>
      <c r="BN105" s="141"/>
      <c r="BO105" s="141"/>
      <c r="BP105" s="141"/>
      <c r="BQ105" s="141"/>
      <c r="BR105" s="141"/>
      <c r="BS105" s="141"/>
      <c r="BT105" s="141"/>
      <c r="BU105" s="141"/>
      <c r="BV105" s="141"/>
      <c r="BW105" s="141"/>
      <c r="BX105" s="141"/>
      <c r="BY105" s="141"/>
      <c r="BZ105" s="141"/>
      <c r="CA105" s="141"/>
      <c r="CB105" s="141"/>
      <c r="CC105" s="141"/>
      <c r="CD105" s="141"/>
      <c r="CE105" s="141"/>
      <c r="CF105" s="141"/>
      <c r="CG105" s="141"/>
      <c r="CH105" s="141"/>
      <c r="CI105" s="141"/>
      <c r="CJ105" s="141"/>
      <c r="CK105" s="141"/>
      <c r="CL105" s="141"/>
      <c r="CM105" s="141"/>
      <c r="CN105" s="141"/>
      <c r="CO105" s="141"/>
      <c r="CP105" s="141"/>
      <c r="CQ105" s="141"/>
      <c r="CR105" s="141"/>
      <c r="CS105" s="141"/>
      <c r="CT105" s="141"/>
      <c r="CU105" s="141"/>
      <c r="CV105" s="141"/>
      <c r="CW105" s="141"/>
      <c r="CX105" s="141"/>
      <c r="CY105" s="141"/>
      <c r="CZ105" s="141"/>
      <c r="DA105" s="141"/>
      <c r="DB105" s="141"/>
      <c r="DC105" s="141"/>
      <c r="DD105" s="141"/>
      <c r="DE105" s="141"/>
      <c r="DF105" s="141"/>
      <c r="DG105" s="141"/>
      <c r="DH105" s="141"/>
      <c r="DI105" s="141"/>
      <c r="DJ105" s="141"/>
      <c r="DK105" s="141"/>
      <c r="DL105" s="141"/>
      <c r="DM105" s="141"/>
      <c r="DN105" s="141"/>
      <c r="DO105" s="141"/>
      <c r="DP105" s="141"/>
      <c r="DQ105" s="141"/>
      <c r="DR105" s="141"/>
      <c r="DS105" s="141"/>
      <c r="DT105" s="141"/>
      <c r="DU105" s="141"/>
      <c r="DV105" s="141"/>
      <c r="DW105" s="141"/>
      <c r="DX105" s="141"/>
      <c r="DY105" s="141"/>
      <c r="DZ105" s="141"/>
      <c r="EA105" s="141"/>
    </row>
    <row r="106" spans="1:134" x14ac:dyDescent="0.3">
      <c r="AA106" s="141"/>
      <c r="AB106" s="141"/>
      <c r="AC106" s="141"/>
      <c r="AD106" s="141"/>
      <c r="AE106" s="141"/>
      <c r="AF106" s="141"/>
      <c r="AG106" s="141"/>
      <c r="AH106" s="141"/>
      <c r="AI106" s="141"/>
      <c r="AJ106" s="141"/>
      <c r="AK106" s="141"/>
      <c r="AL106" s="331"/>
      <c r="AM106" s="240"/>
      <c r="AN106" s="141"/>
      <c r="AO106" s="141"/>
      <c r="AP106" s="141"/>
      <c r="AQ106" s="141"/>
      <c r="AR106" s="141"/>
      <c r="AS106" s="141"/>
      <c r="AT106" s="141"/>
      <c r="AU106" s="141"/>
      <c r="AV106" s="141"/>
      <c r="AW106" s="141"/>
      <c r="AX106" s="141"/>
      <c r="AY106" s="141"/>
      <c r="AZ106" s="141"/>
      <c r="BA106" s="141"/>
      <c r="BB106" s="141"/>
      <c r="BC106" s="141"/>
      <c r="BD106" s="141"/>
      <c r="BE106" s="141"/>
      <c r="BF106" s="141"/>
      <c r="BG106" s="141"/>
      <c r="BH106" s="141"/>
      <c r="BI106" s="141"/>
      <c r="BJ106" s="141"/>
      <c r="BK106" s="141"/>
      <c r="BL106" s="141"/>
      <c r="BM106" s="141"/>
      <c r="BN106" s="141"/>
      <c r="BO106" s="141"/>
      <c r="BP106" s="141"/>
      <c r="BQ106" s="141"/>
      <c r="BR106" s="141"/>
      <c r="BS106" s="141"/>
      <c r="BT106" s="141"/>
      <c r="BU106" s="141"/>
      <c r="BV106" s="141"/>
      <c r="BW106" s="141"/>
      <c r="BX106" s="141"/>
      <c r="BY106" s="141"/>
      <c r="BZ106" s="141"/>
      <c r="CA106" s="141"/>
      <c r="CB106" s="141"/>
      <c r="CC106" s="141"/>
      <c r="CD106" s="141"/>
      <c r="CE106" s="141"/>
      <c r="CF106" s="141"/>
      <c r="CG106" s="141"/>
      <c r="CH106" s="141"/>
      <c r="CI106" s="141"/>
      <c r="CJ106" s="141"/>
      <c r="CK106" s="141"/>
      <c r="CL106" s="141"/>
      <c r="CM106" s="141"/>
      <c r="CN106" s="141"/>
      <c r="CO106" s="141"/>
      <c r="CP106" s="141"/>
      <c r="CQ106" s="141"/>
      <c r="CR106" s="141"/>
      <c r="CS106" s="141"/>
      <c r="CT106" s="141"/>
      <c r="CU106" s="141"/>
      <c r="CV106" s="141"/>
      <c r="CW106" s="141"/>
      <c r="CX106" s="141"/>
      <c r="CY106" s="141"/>
      <c r="CZ106" s="141"/>
      <c r="DA106" s="141"/>
      <c r="DB106" s="141"/>
      <c r="DC106" s="141"/>
      <c r="DD106" s="141"/>
      <c r="DE106" s="141"/>
      <c r="DF106" s="141"/>
      <c r="DG106" s="141"/>
      <c r="DH106" s="141"/>
      <c r="DI106" s="141"/>
      <c r="DJ106" s="141"/>
      <c r="DK106" s="141"/>
      <c r="DL106" s="141"/>
      <c r="DM106" s="141"/>
      <c r="DN106" s="141"/>
      <c r="DO106" s="141"/>
      <c r="DP106" s="141"/>
      <c r="DQ106" s="141"/>
      <c r="DR106" s="141"/>
      <c r="DS106" s="141"/>
      <c r="DT106" s="141"/>
      <c r="DU106" s="141"/>
      <c r="DV106" s="141"/>
      <c r="DW106" s="141"/>
      <c r="DX106" s="141"/>
      <c r="DY106" s="141"/>
      <c r="DZ106" s="141"/>
      <c r="EA106" s="141"/>
    </row>
    <row r="107" spans="1:134" x14ac:dyDescent="0.3">
      <c r="AA107" s="141"/>
      <c r="AB107" s="141"/>
      <c r="AC107" s="141"/>
      <c r="AD107" s="141"/>
      <c r="AE107" s="141"/>
      <c r="AF107" s="141"/>
      <c r="AG107" s="141"/>
      <c r="AH107" s="141"/>
      <c r="AI107" s="141"/>
      <c r="AJ107" s="141"/>
      <c r="AK107" s="141"/>
      <c r="AL107" s="331"/>
      <c r="AM107" s="240"/>
      <c r="AN107" s="141"/>
      <c r="AO107" s="141"/>
      <c r="AP107" s="141"/>
      <c r="AQ107" s="141"/>
      <c r="AR107" s="141"/>
      <c r="AS107" s="141"/>
      <c r="AT107" s="141"/>
      <c r="AU107" s="141"/>
      <c r="AV107" s="141"/>
      <c r="AW107" s="141"/>
      <c r="AX107" s="141"/>
      <c r="AY107" s="141"/>
      <c r="AZ107" s="141"/>
      <c r="BA107" s="141"/>
      <c r="BB107" s="141"/>
      <c r="BC107" s="141"/>
      <c r="BD107" s="141"/>
      <c r="BE107" s="141"/>
      <c r="BF107" s="141"/>
      <c r="BG107" s="141"/>
      <c r="BH107" s="141"/>
      <c r="BI107" s="141"/>
      <c r="BJ107" s="141"/>
      <c r="BK107" s="141"/>
      <c r="BL107" s="141"/>
      <c r="BM107" s="141"/>
      <c r="BN107" s="141"/>
      <c r="BO107" s="141"/>
      <c r="BP107" s="141"/>
      <c r="BQ107" s="141"/>
      <c r="BR107" s="141"/>
      <c r="BS107" s="141"/>
      <c r="BT107" s="141"/>
      <c r="BU107" s="141"/>
      <c r="BV107" s="141"/>
      <c r="BW107" s="141"/>
      <c r="BX107" s="141"/>
      <c r="BY107" s="141"/>
      <c r="BZ107" s="141"/>
      <c r="CA107" s="141"/>
      <c r="CB107" s="141"/>
      <c r="CC107" s="141"/>
      <c r="CD107" s="141"/>
      <c r="CE107" s="141"/>
      <c r="CF107" s="141"/>
      <c r="CG107" s="141"/>
      <c r="CH107" s="141"/>
      <c r="CI107" s="141"/>
      <c r="CJ107" s="141"/>
      <c r="CK107" s="141"/>
      <c r="CL107" s="141"/>
      <c r="CM107" s="141"/>
      <c r="CN107" s="141"/>
      <c r="CO107" s="141"/>
      <c r="CP107" s="141"/>
      <c r="CQ107" s="141"/>
      <c r="CR107" s="141"/>
      <c r="CS107" s="141"/>
      <c r="CT107" s="141"/>
      <c r="CU107" s="141"/>
      <c r="CV107" s="141"/>
      <c r="CW107" s="141"/>
      <c r="CX107" s="141"/>
      <c r="CY107" s="141"/>
      <c r="CZ107" s="141"/>
      <c r="DA107" s="141"/>
      <c r="DB107" s="141"/>
      <c r="DC107" s="141"/>
      <c r="DD107" s="141"/>
      <c r="DE107" s="141"/>
      <c r="DF107" s="141"/>
      <c r="DG107" s="141"/>
      <c r="DH107" s="141"/>
      <c r="DI107" s="141"/>
      <c r="DJ107" s="141"/>
      <c r="DK107" s="141"/>
      <c r="DL107" s="141"/>
      <c r="DM107" s="141"/>
      <c r="DN107" s="141"/>
      <c r="DO107" s="141"/>
      <c r="DP107" s="141"/>
      <c r="DQ107" s="141"/>
      <c r="DR107" s="141"/>
      <c r="DS107" s="141"/>
      <c r="DT107" s="141"/>
      <c r="DU107" s="141"/>
      <c r="DV107" s="141"/>
      <c r="DW107" s="141"/>
      <c r="DX107" s="141"/>
      <c r="DY107" s="141"/>
      <c r="DZ107" s="141"/>
      <c r="EA107" s="141"/>
    </row>
    <row r="108" spans="1:134" ht="26" x14ac:dyDescent="0.3">
      <c r="AA108" s="141"/>
      <c r="AB108" s="141"/>
      <c r="AC108" s="141"/>
      <c r="AD108" s="141"/>
      <c r="AE108" s="141"/>
      <c r="AF108" s="141"/>
      <c r="AG108" s="141"/>
      <c r="AH108" s="141"/>
      <c r="AI108" s="141"/>
      <c r="AJ108" s="141"/>
      <c r="AK108" s="141"/>
      <c r="AL108" s="331"/>
      <c r="AM108" s="240"/>
      <c r="AN108" s="141"/>
      <c r="AO108" s="141"/>
      <c r="AP108" s="141"/>
      <c r="AQ108" s="141"/>
      <c r="AR108" s="141"/>
      <c r="AS108" s="141"/>
      <c r="AT108" s="141"/>
      <c r="AU108" s="141"/>
      <c r="AV108" s="141"/>
      <c r="AW108" s="141"/>
      <c r="AX108" s="141"/>
      <c r="AY108" s="141"/>
      <c r="AZ108" s="141"/>
      <c r="BA108" s="141"/>
      <c r="BB108" s="141"/>
      <c r="BC108" s="141"/>
      <c r="BD108" s="141"/>
      <c r="BE108" s="141"/>
      <c r="BF108" s="141"/>
      <c r="BG108" s="141"/>
      <c r="BH108" s="141"/>
      <c r="BI108" s="141"/>
      <c r="BJ108" s="141"/>
      <c r="BK108" s="141"/>
      <c r="BL108" s="141"/>
      <c r="BM108" s="141"/>
      <c r="BN108" s="141"/>
      <c r="BO108" s="141"/>
      <c r="BP108" s="141"/>
      <c r="BQ108" s="141"/>
      <c r="BR108" s="141"/>
      <c r="BS108" s="141"/>
      <c r="BT108" s="141"/>
      <c r="BU108" s="141"/>
      <c r="BV108" s="141"/>
      <c r="BW108" s="141"/>
      <c r="BX108" s="141"/>
      <c r="BY108" s="141"/>
      <c r="BZ108" s="141"/>
      <c r="CA108" s="141"/>
      <c r="CB108" s="141"/>
      <c r="CC108" s="141"/>
      <c r="CD108" s="141"/>
      <c r="CE108" s="141"/>
      <c r="CF108" s="141"/>
      <c r="CG108" s="141"/>
      <c r="CH108" s="141"/>
      <c r="CI108" s="141"/>
      <c r="CJ108" s="141"/>
      <c r="CK108" s="141"/>
      <c r="CL108" s="141"/>
      <c r="CM108" s="141"/>
      <c r="CN108" s="141"/>
      <c r="CO108" s="141"/>
      <c r="CP108" s="254" t="s">
        <v>1067</v>
      </c>
      <c r="CQ108" s="254" t="s">
        <v>1060</v>
      </c>
      <c r="CR108" s="254" t="s">
        <v>1068</v>
      </c>
      <c r="CS108" s="254" t="s">
        <v>1069</v>
      </c>
      <c r="CT108" s="254" t="s">
        <v>1063</v>
      </c>
      <c r="CU108" s="254" t="s">
        <v>1070</v>
      </c>
      <c r="CV108" s="141"/>
      <c r="CW108" s="141"/>
      <c r="CX108" s="141"/>
      <c r="CY108" s="141"/>
      <c r="CZ108" s="141"/>
      <c r="DA108" s="141"/>
      <c r="DB108" s="141"/>
      <c r="DC108" s="141"/>
      <c r="DD108" s="254" t="s">
        <v>1069</v>
      </c>
      <c r="DE108" s="141" t="s">
        <v>1071</v>
      </c>
      <c r="DF108" s="141"/>
      <c r="DG108" s="141"/>
      <c r="DH108" s="141"/>
      <c r="DI108" s="141"/>
      <c r="DJ108" s="141" t="s">
        <v>21</v>
      </c>
      <c r="DK108" s="141"/>
      <c r="DL108" s="141" t="s">
        <v>1072</v>
      </c>
      <c r="DM108" s="141"/>
      <c r="DN108" s="141"/>
      <c r="DO108" s="141"/>
      <c r="DP108" s="141"/>
      <c r="DQ108" s="141"/>
      <c r="DR108" s="141"/>
      <c r="DS108" s="141"/>
      <c r="DT108" s="141"/>
      <c r="DU108" s="141"/>
      <c r="DV108" s="141"/>
      <c r="DW108" s="141"/>
      <c r="DX108" s="141"/>
      <c r="DY108" s="141"/>
      <c r="DZ108" s="141"/>
      <c r="EA108" s="141"/>
    </row>
    <row r="109" spans="1:134" x14ac:dyDescent="0.3">
      <c r="AA109" s="141"/>
      <c r="AB109" s="141"/>
      <c r="AC109" s="141"/>
      <c r="AD109" s="141"/>
      <c r="AE109" s="141"/>
      <c r="AF109" s="141"/>
      <c r="AG109" s="141"/>
      <c r="AH109" s="141"/>
      <c r="AI109" s="141"/>
      <c r="AJ109" s="141"/>
      <c r="AK109" s="141"/>
      <c r="AL109" s="331"/>
      <c r="AM109" s="240"/>
      <c r="AN109" s="141"/>
      <c r="AO109" s="141"/>
      <c r="AP109" s="141"/>
      <c r="AQ109" s="141"/>
      <c r="AR109" s="141"/>
      <c r="AS109" s="141"/>
      <c r="AT109" s="141"/>
      <c r="AU109" s="141"/>
      <c r="AV109" s="141"/>
      <c r="AW109" s="141"/>
      <c r="AX109" s="141"/>
      <c r="AY109" s="141"/>
      <c r="AZ109" s="141"/>
      <c r="BA109" s="141"/>
      <c r="BB109" s="141"/>
      <c r="BC109" s="141"/>
      <c r="BD109" s="141"/>
      <c r="BE109" s="141"/>
      <c r="BF109" s="141"/>
      <c r="BG109" s="141"/>
      <c r="BH109" s="141"/>
      <c r="BI109" s="141"/>
      <c r="BJ109" s="141"/>
      <c r="BK109" s="141"/>
      <c r="BL109" s="141"/>
      <c r="BM109" s="141"/>
      <c r="BN109" s="141"/>
      <c r="BO109" s="141"/>
      <c r="BP109" s="141"/>
      <c r="BQ109" s="141"/>
      <c r="BR109" s="141"/>
      <c r="BS109" s="141"/>
      <c r="BT109" s="141"/>
      <c r="BU109" s="141"/>
      <c r="BV109" s="141"/>
      <c r="BW109" s="141"/>
      <c r="BX109" s="141"/>
      <c r="BY109" s="141"/>
      <c r="BZ109" s="141"/>
      <c r="CA109" s="141"/>
      <c r="CB109" s="141"/>
      <c r="CC109" s="141"/>
      <c r="CD109" s="141"/>
      <c r="CE109" s="141"/>
      <c r="CF109" s="141"/>
      <c r="CG109" s="141"/>
      <c r="CH109" s="141"/>
      <c r="CI109" s="141"/>
      <c r="CJ109" s="141"/>
      <c r="CK109" s="141"/>
      <c r="CL109" s="141"/>
      <c r="CM109" s="141"/>
      <c r="CN109" s="141"/>
      <c r="CO109" s="141"/>
      <c r="CP109" s="141"/>
      <c r="CQ109" s="141"/>
      <c r="CR109" s="141"/>
      <c r="CS109" s="141"/>
      <c r="CT109" s="141"/>
      <c r="CU109" s="141"/>
      <c r="CV109" s="141"/>
      <c r="CW109" s="141"/>
      <c r="CX109" s="141"/>
      <c r="CY109" s="141"/>
      <c r="CZ109" s="141"/>
      <c r="DA109" s="141"/>
      <c r="DB109" s="141"/>
      <c r="DC109" s="141"/>
      <c r="DD109" s="141"/>
      <c r="DE109" s="141"/>
      <c r="DF109" s="141"/>
      <c r="DG109" s="141"/>
      <c r="DH109" s="141"/>
      <c r="DI109" s="141"/>
      <c r="DJ109" s="141" t="s">
        <v>1073</v>
      </c>
      <c r="DK109" s="141"/>
      <c r="DL109" s="141"/>
      <c r="DM109" s="141"/>
      <c r="DN109" s="141"/>
      <c r="DO109" s="141"/>
      <c r="DP109" s="141"/>
      <c r="DQ109" s="141"/>
      <c r="DR109" s="141"/>
      <c r="DS109" s="141"/>
      <c r="DT109" s="141"/>
      <c r="DU109" s="141"/>
      <c r="DV109" s="141"/>
      <c r="DW109" s="141"/>
      <c r="DX109" s="141"/>
      <c r="DY109" s="141"/>
      <c r="DZ109" s="141"/>
      <c r="EA109" s="141"/>
    </row>
    <row r="110" spans="1:134" x14ac:dyDescent="0.3">
      <c r="AA110" s="141"/>
      <c r="AB110" s="141"/>
      <c r="AC110" s="141"/>
      <c r="AD110" s="141"/>
      <c r="AE110" s="141"/>
      <c r="AF110" s="141"/>
      <c r="AG110" s="141"/>
      <c r="AH110" s="141"/>
      <c r="AI110" s="141"/>
      <c r="AJ110" s="141"/>
      <c r="AK110" s="141"/>
      <c r="AL110" s="331"/>
      <c r="AM110" s="240"/>
      <c r="AN110" s="141"/>
      <c r="AO110" s="141"/>
      <c r="AP110" s="141"/>
      <c r="AQ110" s="141"/>
      <c r="AR110" s="141"/>
      <c r="AS110" s="141"/>
      <c r="AT110" s="141"/>
      <c r="AU110" s="141"/>
      <c r="AV110" s="141"/>
      <c r="AW110" s="141"/>
      <c r="AX110" s="141"/>
      <c r="AY110" s="141"/>
      <c r="AZ110" s="141"/>
      <c r="BA110" s="141"/>
      <c r="BB110" s="141"/>
      <c r="BC110" s="141"/>
      <c r="BD110" s="141"/>
      <c r="BE110" s="141"/>
      <c r="BF110" s="141"/>
      <c r="BG110" s="141"/>
      <c r="BH110" s="141"/>
      <c r="BI110" s="141"/>
      <c r="BJ110" s="141"/>
      <c r="BK110" s="141"/>
      <c r="BL110" s="141"/>
      <c r="BM110" s="141"/>
      <c r="BN110" s="141"/>
      <c r="BO110" s="141"/>
      <c r="BP110" s="141"/>
      <c r="BQ110" s="141"/>
      <c r="BR110" s="141"/>
      <c r="BS110" s="141"/>
      <c r="BT110" s="141"/>
      <c r="BU110" s="141"/>
      <c r="BV110" s="141"/>
      <c r="BW110" s="141"/>
      <c r="BX110" s="141"/>
      <c r="BY110" s="141"/>
      <c r="BZ110" s="141"/>
      <c r="CA110" s="141"/>
      <c r="CB110" s="141"/>
      <c r="CC110" s="141"/>
      <c r="CD110" s="141"/>
      <c r="CE110" s="141"/>
      <c r="CF110" s="141"/>
      <c r="CG110" s="141"/>
      <c r="CH110" s="141"/>
      <c r="CI110" s="141"/>
      <c r="CJ110" s="141"/>
      <c r="CK110" s="141"/>
      <c r="CL110" s="141"/>
      <c r="CM110" s="141"/>
      <c r="CN110" s="141"/>
      <c r="CO110" s="141"/>
      <c r="CP110" s="141"/>
      <c r="CQ110" s="141" t="s">
        <v>194</v>
      </c>
      <c r="CR110" s="141" t="s">
        <v>1074</v>
      </c>
      <c r="CS110" s="141" t="s">
        <v>721</v>
      </c>
      <c r="CT110" s="141" t="s">
        <v>1075</v>
      </c>
      <c r="CU110" s="141" t="s">
        <v>1076</v>
      </c>
      <c r="CV110" s="141"/>
      <c r="CW110" s="141"/>
      <c r="CX110" s="141" t="s">
        <v>1077</v>
      </c>
      <c r="CY110" s="141" t="s">
        <v>1078</v>
      </c>
      <c r="CZ110" s="141" t="s">
        <v>1079</v>
      </c>
      <c r="DA110" s="141"/>
      <c r="DB110" s="141"/>
      <c r="DC110" s="141"/>
      <c r="DD110" s="141" t="s">
        <v>721</v>
      </c>
      <c r="DE110" s="141" t="s">
        <v>1080</v>
      </c>
      <c r="DF110" s="141" t="s">
        <v>1081</v>
      </c>
      <c r="DG110" s="141"/>
      <c r="DH110" s="141"/>
      <c r="DI110" s="141"/>
      <c r="DJ110" s="141" t="s">
        <v>1082</v>
      </c>
      <c r="DK110" s="141"/>
      <c r="DL110" s="141" t="s">
        <v>29</v>
      </c>
      <c r="DM110" s="141"/>
      <c r="DN110" s="141"/>
      <c r="DO110" s="141"/>
      <c r="DP110" s="141"/>
      <c r="DQ110" s="141"/>
      <c r="DR110" s="141"/>
      <c r="DS110" s="141"/>
      <c r="DT110" s="141"/>
      <c r="DU110" s="141"/>
      <c r="DV110" s="141"/>
      <c r="DW110" s="141"/>
      <c r="DX110" s="141"/>
      <c r="DY110" s="141"/>
      <c r="DZ110" s="141"/>
      <c r="EA110" s="141"/>
    </row>
    <row r="111" spans="1:134" ht="21" customHeight="1" x14ac:dyDescent="0.3">
      <c r="AA111" s="141"/>
      <c r="AB111" s="141"/>
      <c r="AC111" s="141"/>
      <c r="AD111" s="141"/>
      <c r="AE111" s="141"/>
      <c r="AF111" s="141"/>
      <c r="AG111" s="141"/>
      <c r="AH111" s="141"/>
      <c r="AI111" s="141"/>
      <c r="AJ111" s="141"/>
      <c r="AK111" s="141"/>
      <c r="AL111" s="331"/>
      <c r="AM111" s="240"/>
      <c r="AN111" s="141"/>
      <c r="AO111" s="141"/>
      <c r="AP111" s="141"/>
      <c r="AQ111" s="141"/>
      <c r="AR111" s="141"/>
      <c r="AS111" s="141"/>
      <c r="AT111" s="141"/>
      <c r="AU111" s="141"/>
      <c r="AV111" s="141"/>
      <c r="AW111" s="141"/>
      <c r="AX111" s="141"/>
      <c r="AY111" s="141"/>
      <c r="AZ111" s="141"/>
      <c r="BA111" s="141"/>
      <c r="BB111" s="141"/>
      <c r="BC111" s="141"/>
      <c r="BD111" s="141"/>
      <c r="BE111" s="141"/>
      <c r="BF111" s="141"/>
      <c r="BG111" s="141"/>
      <c r="BH111" s="141"/>
      <c r="BI111" s="141"/>
      <c r="BJ111" s="141"/>
      <c r="BK111" s="141"/>
      <c r="BL111" s="141"/>
      <c r="BM111" s="141"/>
      <c r="BN111" s="141"/>
      <c r="BO111" s="141"/>
      <c r="BP111" s="141"/>
      <c r="BQ111" s="141"/>
      <c r="BR111" s="141"/>
      <c r="BS111" s="141"/>
      <c r="BT111" s="141"/>
      <c r="BU111" s="141"/>
      <c r="BV111" s="141"/>
      <c r="BW111" s="141"/>
      <c r="BX111" s="141"/>
      <c r="BY111" s="141"/>
      <c r="BZ111" s="141"/>
      <c r="CA111" s="141"/>
      <c r="CB111" s="141"/>
      <c r="CC111" s="141"/>
      <c r="CD111" s="141"/>
      <c r="CE111" s="141"/>
      <c r="CF111" s="141"/>
      <c r="CG111" s="141"/>
      <c r="CH111" s="141"/>
      <c r="CI111" s="141"/>
      <c r="CJ111" s="141"/>
      <c r="CK111" s="141"/>
      <c r="CL111" s="141"/>
      <c r="CM111" s="141"/>
      <c r="CN111" s="141"/>
      <c r="CO111" s="141"/>
      <c r="CP111" s="141"/>
      <c r="CQ111" s="141" t="s">
        <v>722</v>
      </c>
      <c r="CR111" s="141" t="s">
        <v>1083</v>
      </c>
      <c r="CS111" s="141" t="s">
        <v>1084</v>
      </c>
      <c r="CT111" s="141" t="s">
        <v>1085</v>
      </c>
      <c r="CU111" s="141" t="s">
        <v>1086</v>
      </c>
      <c r="CV111" s="141"/>
      <c r="CW111" s="141"/>
      <c r="CX111" s="141"/>
      <c r="CY111" s="141"/>
      <c r="CZ111" s="141" t="s">
        <v>1087</v>
      </c>
      <c r="DA111" s="141"/>
      <c r="DB111" s="141"/>
      <c r="DC111" s="141"/>
      <c r="DD111" s="141" t="s">
        <v>1084</v>
      </c>
      <c r="DE111" s="141" t="s">
        <v>1088</v>
      </c>
      <c r="DF111" s="141" t="s">
        <v>1089</v>
      </c>
      <c r="DG111" s="141"/>
      <c r="DH111" s="141"/>
      <c r="DI111" s="141"/>
      <c r="DJ111" s="141"/>
      <c r="DK111" s="141"/>
      <c r="DL111" s="141" t="s">
        <v>1090</v>
      </c>
      <c r="DM111" s="141"/>
      <c r="DN111" s="141"/>
      <c r="DO111" s="141"/>
      <c r="DP111" s="141"/>
      <c r="DQ111" s="141"/>
      <c r="DR111" s="141"/>
      <c r="DS111" s="141"/>
      <c r="DT111" s="141"/>
      <c r="DU111" s="141"/>
      <c r="DV111" s="141"/>
      <c r="DW111" s="141"/>
      <c r="DX111" s="141"/>
      <c r="DY111" s="141"/>
      <c r="DZ111" s="141"/>
      <c r="EA111" s="141"/>
    </row>
    <row r="112" spans="1:134" ht="10" customHeight="1" x14ac:dyDescent="0.3">
      <c r="AA112" s="141"/>
      <c r="AB112" s="141"/>
      <c r="AC112" s="141"/>
      <c r="AD112" s="141"/>
      <c r="AE112" s="141"/>
      <c r="AF112" s="141"/>
      <c r="AG112" s="141"/>
      <c r="AH112" s="141"/>
      <c r="AI112" s="141"/>
      <c r="AJ112" s="141"/>
      <c r="AK112" s="141"/>
      <c r="AL112" s="331"/>
      <c r="AM112" s="240"/>
      <c r="AN112" s="141"/>
      <c r="AO112" s="141"/>
      <c r="AP112" s="141"/>
      <c r="AQ112" s="141"/>
      <c r="AR112" s="141"/>
      <c r="AS112" s="141"/>
      <c r="AT112" s="141"/>
      <c r="AU112" s="141"/>
      <c r="AV112" s="141"/>
      <c r="AW112" s="141"/>
      <c r="AX112" s="141"/>
      <c r="AY112" s="141"/>
      <c r="AZ112" s="141"/>
      <c r="BA112" s="141"/>
      <c r="BB112" s="141"/>
      <c r="BC112" s="141"/>
      <c r="BD112" s="141"/>
      <c r="BE112" s="141"/>
      <c r="BF112" s="141"/>
      <c r="BG112" s="141"/>
      <c r="BH112" s="141"/>
      <c r="BI112" s="141"/>
      <c r="BJ112" s="141"/>
      <c r="BK112" s="141"/>
      <c r="BL112" s="141"/>
      <c r="BM112" s="141"/>
      <c r="BN112" s="141"/>
      <c r="BO112" s="141"/>
      <c r="BP112" s="141"/>
      <c r="BQ112" s="141"/>
      <c r="BR112" s="141"/>
      <c r="BS112" s="141"/>
      <c r="BT112" s="141"/>
      <c r="BU112" s="141"/>
      <c r="BV112" s="141"/>
      <c r="BW112" s="141"/>
      <c r="BX112" s="141"/>
      <c r="BY112" s="141"/>
      <c r="BZ112" s="141"/>
      <c r="CA112" s="141"/>
      <c r="CB112" s="141"/>
      <c r="CC112" s="141"/>
      <c r="CD112" s="141"/>
      <c r="CE112" s="141"/>
      <c r="CF112" s="141"/>
      <c r="CG112" s="141"/>
      <c r="CH112" s="141"/>
      <c r="CI112" s="141"/>
      <c r="CJ112" s="141"/>
      <c r="CK112" s="141"/>
      <c r="CL112" s="141"/>
      <c r="CM112" s="141"/>
      <c r="CN112" s="141"/>
      <c r="CO112" s="141"/>
      <c r="CP112" s="141"/>
      <c r="CQ112" s="141" t="s">
        <v>1091</v>
      </c>
      <c r="CR112" s="141" t="s">
        <v>1092</v>
      </c>
      <c r="CS112" s="141" t="s">
        <v>1093</v>
      </c>
      <c r="CT112" s="141" t="s">
        <v>1094</v>
      </c>
      <c r="CU112" s="141" t="s">
        <v>1095</v>
      </c>
      <c r="CV112" s="141"/>
      <c r="CW112" s="141"/>
      <c r="CX112" s="141"/>
      <c r="CY112" s="141"/>
      <c r="CZ112" s="141" t="s">
        <v>1096</v>
      </c>
      <c r="DA112" s="141" t="s">
        <v>1097</v>
      </c>
      <c r="DB112" s="141" t="s">
        <v>1098</v>
      </c>
      <c r="DC112" s="141"/>
      <c r="DD112" s="141" t="s">
        <v>1093</v>
      </c>
      <c r="DE112" s="141" t="s">
        <v>1080</v>
      </c>
      <c r="DF112" s="141" t="s">
        <v>1093</v>
      </c>
      <c r="DG112" s="141"/>
      <c r="DH112" s="141"/>
      <c r="DI112" s="141"/>
      <c r="DJ112" s="141"/>
      <c r="DK112" s="141"/>
      <c r="DL112" s="141"/>
      <c r="DM112" s="141"/>
      <c r="DN112" s="141"/>
      <c r="DO112" s="141"/>
      <c r="DP112" s="141"/>
      <c r="DQ112" s="141"/>
      <c r="DR112" s="141"/>
      <c r="DS112" s="141"/>
      <c r="DT112" s="141"/>
      <c r="DU112" s="141"/>
      <c r="DV112" s="141"/>
      <c r="DW112" s="141"/>
      <c r="DX112" s="141"/>
      <c r="DY112" s="141"/>
      <c r="DZ112" s="141"/>
      <c r="EA112" s="141"/>
    </row>
    <row r="113" spans="1:132" s="147" customFormat="1" x14ac:dyDescent="0.3">
      <c r="AA113" s="141"/>
      <c r="AB113" s="141"/>
      <c r="AC113" s="141"/>
      <c r="AD113" s="141"/>
      <c r="AE113" s="141"/>
      <c r="AF113" s="141"/>
      <c r="AG113" s="141"/>
      <c r="AH113" s="141"/>
      <c r="AI113" s="141"/>
      <c r="AJ113" s="141"/>
      <c r="AK113" s="141"/>
      <c r="AL113" s="331"/>
      <c r="AM113" s="240"/>
      <c r="AN113" s="141"/>
      <c r="AO113" s="141"/>
      <c r="AP113" s="141"/>
      <c r="AQ113" s="141"/>
      <c r="AR113" s="141"/>
      <c r="AS113" s="141"/>
      <c r="AT113" s="141"/>
      <c r="AU113" s="141"/>
      <c r="AV113" s="141"/>
      <c r="AW113" s="141"/>
      <c r="AX113" s="141"/>
      <c r="AY113" s="141"/>
      <c r="AZ113" s="141"/>
      <c r="BA113" s="141"/>
      <c r="BB113" s="141"/>
      <c r="BC113" s="141"/>
      <c r="BD113" s="141"/>
      <c r="BE113" s="141"/>
      <c r="BF113" s="141"/>
      <c r="BG113" s="141"/>
      <c r="BH113" s="141"/>
      <c r="BI113" s="141"/>
      <c r="BJ113" s="141"/>
      <c r="BK113" s="141"/>
      <c r="BL113" s="141"/>
      <c r="BM113" s="141"/>
      <c r="BN113" s="141"/>
      <c r="BO113" s="141"/>
      <c r="BP113" s="141"/>
      <c r="BQ113" s="141"/>
      <c r="BR113" s="141"/>
      <c r="BS113" s="141"/>
      <c r="BT113" s="141"/>
      <c r="BU113" s="141"/>
      <c r="BV113" s="141"/>
      <c r="BW113" s="141"/>
      <c r="BX113" s="141"/>
      <c r="BY113" s="141"/>
      <c r="BZ113" s="141"/>
      <c r="CA113" s="141"/>
      <c r="CB113" s="141"/>
      <c r="CC113" s="141"/>
      <c r="CD113" s="141"/>
      <c r="CE113" s="141"/>
      <c r="CF113" s="141"/>
      <c r="CG113" s="141"/>
      <c r="CH113" s="141"/>
      <c r="CI113" s="141"/>
      <c r="CJ113" s="141"/>
      <c r="CK113" s="141"/>
      <c r="CL113" s="141"/>
      <c r="CM113" s="141"/>
      <c r="CN113" s="141"/>
      <c r="CO113" s="141"/>
      <c r="CP113" s="141"/>
      <c r="CQ113" s="141"/>
      <c r="CR113" s="141"/>
      <c r="CS113" s="141" t="s">
        <v>1099</v>
      </c>
      <c r="CT113" s="141"/>
      <c r="CU113" s="141" t="s">
        <v>1100</v>
      </c>
      <c r="CV113" s="141"/>
      <c r="CW113" s="141"/>
      <c r="CX113" s="141" t="s">
        <v>1086</v>
      </c>
      <c r="CY113" s="141" t="s">
        <v>1101</v>
      </c>
      <c r="CZ113" s="141">
        <v>0.9</v>
      </c>
      <c r="DA113" s="141">
        <v>0.45</v>
      </c>
      <c r="DB113" s="141">
        <v>0.3</v>
      </c>
      <c r="DC113" s="141"/>
      <c r="DD113" s="141" t="s">
        <v>1099</v>
      </c>
      <c r="DE113" s="141" t="s">
        <v>1080</v>
      </c>
      <c r="DF113" s="141" t="s">
        <v>1102</v>
      </c>
      <c r="DG113" s="141"/>
      <c r="DH113" s="141"/>
      <c r="DI113" s="141"/>
      <c r="DJ113" s="141"/>
      <c r="DK113" s="141"/>
      <c r="DL113" s="141"/>
      <c r="DM113" s="141"/>
      <c r="DN113" s="141"/>
      <c r="DO113" s="141"/>
      <c r="DP113" s="141"/>
      <c r="DQ113" s="141"/>
      <c r="DR113" s="141"/>
      <c r="DS113" s="141"/>
      <c r="DT113" s="141"/>
      <c r="DU113" s="141"/>
      <c r="DV113" s="141"/>
      <c r="DW113" s="141"/>
      <c r="DX113" s="141"/>
      <c r="DY113" s="141"/>
      <c r="DZ113" s="141"/>
      <c r="EA113" s="141"/>
    </row>
    <row r="114" spans="1:132" s="147" customFormat="1" hidden="1" x14ac:dyDescent="0.3">
      <c r="A114" s="332"/>
      <c r="B114" s="332"/>
      <c r="C114" s="332"/>
      <c r="D114" s="332"/>
      <c r="E114" s="332"/>
      <c r="F114" s="332"/>
      <c r="G114" s="332"/>
      <c r="H114" s="332"/>
      <c r="I114" s="332"/>
      <c r="J114" s="332"/>
      <c r="K114" s="332"/>
      <c r="L114" s="332"/>
      <c r="M114" s="332"/>
      <c r="N114" s="332"/>
      <c r="O114" s="332"/>
      <c r="P114" s="332"/>
      <c r="Q114" s="332"/>
      <c r="R114" s="332"/>
      <c r="S114" s="332"/>
      <c r="T114" s="332"/>
      <c r="U114" s="332"/>
      <c r="V114" s="332"/>
      <c r="W114" s="332"/>
      <c r="X114" s="332"/>
      <c r="Y114" s="332"/>
      <c r="Z114" s="332"/>
      <c r="AA114" s="141"/>
      <c r="AB114" s="141"/>
      <c r="AC114" s="141"/>
      <c r="AD114" s="141"/>
      <c r="AE114" s="141"/>
      <c r="AF114" s="141"/>
      <c r="AG114" s="141"/>
      <c r="AH114" s="141"/>
      <c r="AI114" s="141"/>
      <c r="AJ114" s="141"/>
      <c r="AK114" s="141"/>
      <c r="AL114" s="331"/>
      <c r="AM114" s="240"/>
      <c r="AN114" s="141"/>
      <c r="AO114" s="141"/>
      <c r="AP114" s="141"/>
      <c r="AQ114" s="141"/>
      <c r="AR114" s="141"/>
      <c r="AS114" s="141"/>
      <c r="AT114" s="141"/>
      <c r="AU114" s="141"/>
      <c r="AV114" s="141"/>
      <c r="AW114" s="141"/>
      <c r="AX114" s="141"/>
      <c r="AY114" s="141"/>
      <c r="AZ114" s="141"/>
      <c r="BA114" s="141"/>
      <c r="BB114" s="141"/>
      <c r="BC114" s="141"/>
      <c r="BD114" s="141"/>
      <c r="BE114" s="141"/>
      <c r="BF114" s="141"/>
      <c r="BG114" s="141"/>
      <c r="BH114" s="141"/>
      <c r="BI114" s="141"/>
      <c r="BJ114" s="141"/>
      <c r="BK114" s="141"/>
      <c r="BL114" s="141"/>
      <c r="BM114" s="141"/>
      <c r="BN114" s="141"/>
      <c r="BO114" s="141"/>
      <c r="BP114" s="141"/>
      <c r="BQ114" s="141"/>
      <c r="BR114" s="141"/>
      <c r="BS114" s="141"/>
      <c r="BT114" s="141"/>
      <c r="BU114" s="141"/>
      <c r="BV114" s="141"/>
      <c r="BW114" s="141"/>
      <c r="BX114" s="141"/>
      <c r="BY114" s="141"/>
      <c r="BZ114" s="141"/>
      <c r="CA114" s="141"/>
      <c r="CB114" s="141"/>
      <c r="CC114" s="141"/>
      <c r="CD114" s="141"/>
      <c r="CE114" s="141"/>
      <c r="CF114" s="141"/>
      <c r="CG114" s="141"/>
      <c r="CH114" s="141"/>
      <c r="CI114" s="141"/>
      <c r="CJ114" s="141"/>
      <c r="CK114" s="141"/>
      <c r="CL114" s="141"/>
      <c r="CM114" s="141"/>
      <c r="CN114" s="141"/>
      <c r="CO114" s="141"/>
      <c r="CP114" s="141"/>
      <c r="CQ114" s="141"/>
      <c r="CR114" s="141"/>
      <c r="CS114" s="141" t="s">
        <v>1103</v>
      </c>
      <c r="CT114" s="141"/>
      <c r="CU114" s="141" t="s">
        <v>1104</v>
      </c>
      <c r="CV114" s="141"/>
      <c r="CW114" s="141"/>
      <c r="CX114" s="141" t="s">
        <v>1095</v>
      </c>
      <c r="CY114" s="141" t="s">
        <v>1101</v>
      </c>
      <c r="CZ114" s="141">
        <v>0.9</v>
      </c>
      <c r="DA114" s="141">
        <v>0.45</v>
      </c>
      <c r="DB114" s="141">
        <v>0.6</v>
      </c>
      <c r="DC114" s="141"/>
      <c r="DD114" s="141" t="s">
        <v>722</v>
      </c>
      <c r="DE114" s="141" t="s">
        <v>1080</v>
      </c>
      <c r="DF114" s="141" t="s">
        <v>1088</v>
      </c>
      <c r="DG114" s="141"/>
      <c r="DH114" s="141"/>
      <c r="DI114" s="141"/>
      <c r="DJ114" s="141"/>
      <c r="DK114" s="141"/>
      <c r="DL114" s="141"/>
      <c r="DM114" s="141"/>
      <c r="DN114" s="141"/>
      <c r="DO114" s="141"/>
      <c r="DP114" s="141"/>
      <c r="DQ114" s="141"/>
      <c r="DR114" s="141"/>
      <c r="DS114" s="141"/>
      <c r="DT114" s="141"/>
      <c r="DU114" s="141"/>
      <c r="DV114" s="141"/>
      <c r="DW114" s="141"/>
      <c r="DX114" s="141"/>
      <c r="DY114" s="141"/>
      <c r="DZ114" s="141"/>
      <c r="EA114" s="141"/>
      <c r="EB114" s="332"/>
    </row>
    <row r="115" spans="1:132" s="147" customFormat="1" ht="13.5" hidden="1" thickBot="1" x14ac:dyDescent="0.35">
      <c r="A115" s="332"/>
      <c r="B115" s="332"/>
      <c r="C115" s="332"/>
      <c r="D115" s="332"/>
      <c r="E115" s="332"/>
      <c r="F115" s="332"/>
      <c r="G115" s="332"/>
      <c r="H115" s="332"/>
      <c r="I115" s="332"/>
      <c r="J115" s="332"/>
      <c r="K115" s="332"/>
      <c r="L115" s="332"/>
      <c r="M115" s="332"/>
      <c r="N115" s="332"/>
      <c r="O115" s="332"/>
      <c r="P115" s="332"/>
      <c r="Q115" s="332"/>
      <c r="R115" s="332"/>
      <c r="S115" s="332"/>
      <c r="T115" s="332"/>
      <c r="U115" s="332"/>
      <c r="V115" s="332"/>
      <c r="W115" s="332"/>
      <c r="X115" s="332"/>
      <c r="Y115" s="332"/>
      <c r="Z115" s="332"/>
      <c r="AA115" s="141"/>
      <c r="AB115" s="141"/>
      <c r="AC115" s="141"/>
      <c r="AD115" s="141"/>
      <c r="AE115" s="141"/>
      <c r="AF115" s="141"/>
      <c r="AG115" s="141"/>
      <c r="AH115" s="141"/>
      <c r="AI115" s="141"/>
      <c r="AJ115" s="141"/>
      <c r="AK115" s="141"/>
      <c r="AL115" s="331"/>
      <c r="AM115" s="240"/>
      <c r="AN115" s="141"/>
      <c r="AO115" s="141"/>
      <c r="AP115" s="141"/>
      <c r="AQ115" s="141"/>
      <c r="AR115" s="141"/>
      <c r="AS115" s="141"/>
      <c r="AT115" s="141"/>
      <c r="AU115" s="141"/>
      <c r="AV115" s="141"/>
      <c r="AW115" s="141"/>
      <c r="AX115" s="141"/>
      <c r="AY115" s="141"/>
      <c r="AZ115" s="141"/>
      <c r="BA115" s="141"/>
      <c r="BB115" s="141"/>
      <c r="BC115" s="141"/>
      <c r="BD115" s="141"/>
      <c r="BE115" s="141"/>
      <c r="BF115" s="141"/>
      <c r="BG115" s="141"/>
      <c r="BH115" s="141"/>
      <c r="BI115" s="141"/>
      <c r="BJ115" s="141"/>
      <c r="BK115" s="141"/>
      <c r="BL115" s="141"/>
      <c r="BM115" s="141"/>
      <c r="BN115" s="141"/>
      <c r="BO115" s="141"/>
      <c r="BP115" s="141"/>
      <c r="BQ115" s="141"/>
      <c r="BR115" s="141"/>
      <c r="BS115" s="141"/>
      <c r="BT115" s="141"/>
      <c r="BU115" s="141"/>
      <c r="BV115" s="141"/>
      <c r="BW115" s="141"/>
      <c r="BX115" s="141"/>
      <c r="BY115" s="141"/>
      <c r="BZ115" s="141"/>
      <c r="CA115" s="141"/>
      <c r="CB115" s="141"/>
      <c r="CC115" s="141"/>
      <c r="CD115" s="141"/>
      <c r="CE115" s="141"/>
      <c r="CF115" s="141"/>
      <c r="CG115" s="141"/>
      <c r="CH115" s="141"/>
      <c r="CI115" s="141"/>
      <c r="CJ115" s="141"/>
      <c r="CK115" s="141"/>
      <c r="CL115" s="141"/>
      <c r="CM115" s="141"/>
      <c r="CN115" s="141"/>
      <c r="CO115" s="141"/>
      <c r="CP115" s="141"/>
      <c r="CQ115" s="141"/>
      <c r="CR115" s="141"/>
      <c r="CS115" s="141" t="s">
        <v>722</v>
      </c>
      <c r="CT115" s="141"/>
      <c r="CU115" s="141" t="s">
        <v>1105</v>
      </c>
      <c r="CV115" s="141"/>
      <c r="CW115" s="141"/>
      <c r="CX115" s="141" t="s">
        <v>1106</v>
      </c>
      <c r="CY115" s="141" t="s">
        <v>1101</v>
      </c>
      <c r="CZ115" s="141">
        <v>0.45</v>
      </c>
      <c r="DA115" s="141">
        <v>0.22</v>
      </c>
      <c r="DB115" s="141">
        <v>0.16</v>
      </c>
      <c r="DC115" s="141"/>
      <c r="DD115" s="141" t="s">
        <v>1103</v>
      </c>
      <c r="DE115" s="141" t="s">
        <v>1088</v>
      </c>
      <c r="DF115" s="141" t="s">
        <v>1080</v>
      </c>
      <c r="DG115" s="141"/>
      <c r="DH115" s="141"/>
      <c r="DI115" s="141"/>
      <c r="DJ115" s="141"/>
      <c r="DK115" s="141"/>
      <c r="DL115" s="141"/>
      <c r="DM115" s="141"/>
      <c r="DN115" s="141"/>
      <c r="DO115" s="141"/>
      <c r="DP115" s="141"/>
      <c r="DQ115" s="141"/>
      <c r="DR115" s="141"/>
      <c r="DS115" s="141"/>
      <c r="DT115" s="141"/>
      <c r="DU115" s="141"/>
      <c r="DV115" s="141"/>
      <c r="DW115" s="141"/>
      <c r="DX115" s="141"/>
      <c r="DY115" s="141"/>
      <c r="DZ115" s="141"/>
      <c r="EA115" s="141"/>
      <c r="EB115" s="332"/>
    </row>
    <row r="116" spans="1:132" s="147" customFormat="1" hidden="1" x14ac:dyDescent="0.3">
      <c r="A116" s="332"/>
      <c r="B116" s="332"/>
      <c r="C116" s="332"/>
      <c r="D116" s="332"/>
      <c r="E116" s="332"/>
      <c r="F116" s="332"/>
      <c r="G116" s="332"/>
      <c r="H116" s="332"/>
      <c r="I116" s="332"/>
      <c r="J116" s="332"/>
      <c r="K116" s="332"/>
      <c r="L116" s="332"/>
      <c r="M116" s="332"/>
      <c r="N116" s="332"/>
      <c r="O116" s="332"/>
      <c r="P116" s="332"/>
      <c r="Q116" s="332"/>
      <c r="R116" s="332"/>
      <c r="S116" s="332"/>
      <c r="T116" s="332"/>
      <c r="U116" s="332"/>
      <c r="V116" s="332"/>
      <c r="W116" s="332"/>
      <c r="X116" s="332"/>
      <c r="Y116" s="332"/>
      <c r="Z116" s="332"/>
      <c r="AA116" s="141"/>
      <c r="AB116" s="141"/>
      <c r="AC116" s="141"/>
      <c r="AD116" s="141"/>
      <c r="AE116" s="141"/>
      <c r="AF116" s="141"/>
      <c r="AG116" s="141"/>
      <c r="AH116" s="141"/>
      <c r="AI116" s="141"/>
      <c r="AJ116" s="141"/>
      <c r="AK116" s="141"/>
      <c r="AL116" s="331"/>
      <c r="AM116" s="240"/>
      <c r="AN116" s="141"/>
      <c r="AO116" s="141"/>
      <c r="AP116" s="141"/>
      <c r="AQ116" s="141"/>
      <c r="AR116" s="141"/>
      <c r="AS116" s="141"/>
      <c r="AT116" s="141"/>
      <c r="AU116" s="141"/>
      <c r="AV116" s="141"/>
      <c r="AW116" s="141"/>
      <c r="AX116" s="141"/>
      <c r="AY116" s="141"/>
      <c r="AZ116" s="141"/>
      <c r="BA116" s="141"/>
      <c r="BB116" s="141"/>
      <c r="BC116" s="141"/>
      <c r="BD116" s="141"/>
      <c r="BE116" s="141"/>
      <c r="BF116" s="141"/>
      <c r="BG116" s="141"/>
      <c r="BH116" s="141"/>
      <c r="BI116" s="141"/>
      <c r="BJ116" s="141"/>
      <c r="BK116" s="141"/>
      <c r="BL116" s="141"/>
      <c r="BM116" s="141"/>
      <c r="BN116" s="141"/>
      <c r="BO116" s="141"/>
      <c r="BP116" s="141"/>
      <c r="BQ116" s="141"/>
      <c r="BR116" s="141"/>
      <c r="BS116" s="141"/>
      <c r="BT116" s="141"/>
      <c r="BU116" s="141"/>
      <c r="BV116" s="141"/>
      <c r="BW116" s="141"/>
      <c r="BX116" s="141"/>
      <c r="BY116" s="141"/>
      <c r="BZ116" s="141"/>
      <c r="CA116" s="141"/>
      <c r="CB116" s="141"/>
      <c r="CC116" s="141"/>
      <c r="CD116" s="141"/>
      <c r="CE116" s="141"/>
      <c r="CF116" s="141"/>
      <c r="CG116" s="141"/>
      <c r="CH116" s="141"/>
      <c r="CI116" s="141"/>
      <c r="CJ116" s="141"/>
      <c r="CK116" s="141"/>
      <c r="CL116" s="141"/>
      <c r="CM116" s="141"/>
      <c r="CN116" s="141"/>
      <c r="CO116" s="141"/>
      <c r="CP116" s="141"/>
      <c r="CQ116" s="141"/>
      <c r="CR116" s="141"/>
      <c r="CS116" s="141" t="s">
        <v>1107</v>
      </c>
      <c r="CT116" s="141"/>
      <c r="CU116" s="141" t="s">
        <v>1108</v>
      </c>
      <c r="CV116" s="141"/>
      <c r="CW116" s="141"/>
      <c r="CX116" s="141" t="s">
        <v>1076</v>
      </c>
      <c r="CY116" s="141" t="s">
        <v>1101</v>
      </c>
      <c r="CZ116" s="141">
        <v>0</v>
      </c>
      <c r="DA116" s="141">
        <v>0</v>
      </c>
      <c r="DB116" s="141">
        <v>0</v>
      </c>
      <c r="DC116" s="141"/>
      <c r="DD116" s="141" t="s">
        <v>1107</v>
      </c>
      <c r="DE116" s="141" t="s">
        <v>1088</v>
      </c>
      <c r="DF116" s="141" t="s">
        <v>1109</v>
      </c>
      <c r="DG116" s="141"/>
      <c r="DH116" s="141"/>
      <c r="DI116" s="333" t="s">
        <v>1110</v>
      </c>
      <c r="DJ116" s="334"/>
      <c r="DK116" s="141"/>
      <c r="DL116" s="141"/>
      <c r="DM116" s="141"/>
      <c r="DN116" s="141"/>
      <c r="DO116" s="141"/>
      <c r="DP116" s="141"/>
      <c r="DQ116" s="141"/>
      <c r="DR116" s="141"/>
      <c r="DS116" s="141"/>
      <c r="DT116" s="141"/>
      <c r="DU116" s="141"/>
      <c r="DV116" s="141"/>
      <c r="DW116" s="141"/>
      <c r="DX116" s="141"/>
      <c r="DY116" s="141"/>
      <c r="DZ116" s="141"/>
      <c r="EA116" s="141"/>
      <c r="EB116" s="332"/>
    </row>
    <row r="117" spans="1:132" s="147" customFormat="1" hidden="1" x14ac:dyDescent="0.3">
      <c r="A117" s="332"/>
      <c r="B117" s="332"/>
      <c r="C117" s="332"/>
      <c r="D117" s="332"/>
      <c r="E117" s="332"/>
      <c r="F117" s="332"/>
      <c r="G117" s="332"/>
      <c r="H117" s="332"/>
      <c r="I117" s="332"/>
      <c r="J117" s="332"/>
      <c r="K117" s="332"/>
      <c r="L117" s="332"/>
      <c r="M117" s="332"/>
      <c r="N117" s="332"/>
      <c r="O117" s="332"/>
      <c r="P117" s="332"/>
      <c r="Q117" s="332"/>
      <c r="R117" s="332"/>
      <c r="S117" s="332"/>
      <c r="T117" s="332"/>
      <c r="U117" s="332"/>
      <c r="V117" s="332"/>
      <c r="W117" s="332"/>
      <c r="X117" s="332"/>
      <c r="Y117" s="332"/>
      <c r="Z117" s="332"/>
      <c r="AA117" s="141"/>
      <c r="AB117" s="141"/>
      <c r="AC117" s="141"/>
      <c r="AD117" s="141"/>
      <c r="AE117" s="141"/>
      <c r="AF117" s="141"/>
      <c r="AG117" s="141"/>
      <c r="AH117" s="141"/>
      <c r="AI117" s="141"/>
      <c r="AJ117" s="141"/>
      <c r="AK117" s="141"/>
      <c r="AL117" s="331"/>
      <c r="AM117" s="240"/>
      <c r="AN117" s="141"/>
      <c r="AO117" s="141"/>
      <c r="AP117" s="141"/>
      <c r="AQ117" s="141"/>
      <c r="AR117" s="141"/>
      <c r="AS117" s="141"/>
      <c r="AT117" s="141"/>
      <c r="AU117" s="141"/>
      <c r="AV117" s="141"/>
      <c r="AW117" s="141"/>
      <c r="AX117" s="141"/>
      <c r="AY117" s="141"/>
      <c r="AZ117" s="141"/>
      <c r="BA117" s="141"/>
      <c r="BB117" s="141"/>
      <c r="BC117" s="141"/>
      <c r="BD117" s="141"/>
      <c r="BE117" s="141"/>
      <c r="BF117" s="141"/>
      <c r="BG117" s="141"/>
      <c r="BH117" s="141"/>
      <c r="BI117" s="141"/>
      <c r="BJ117" s="141"/>
      <c r="BK117" s="141"/>
      <c r="BL117" s="141"/>
      <c r="BM117" s="141"/>
      <c r="BN117" s="141"/>
      <c r="BO117" s="141"/>
      <c r="BP117" s="141"/>
      <c r="BQ117" s="141"/>
      <c r="BR117" s="141"/>
      <c r="BS117" s="141"/>
      <c r="BT117" s="141"/>
      <c r="BU117" s="141"/>
      <c r="BV117" s="141"/>
      <c r="BW117" s="141"/>
      <c r="BX117" s="141"/>
      <c r="BY117" s="141"/>
      <c r="BZ117" s="141"/>
      <c r="CA117" s="141"/>
      <c r="CB117" s="141"/>
      <c r="CC117" s="141"/>
      <c r="CD117" s="141"/>
      <c r="CE117" s="141"/>
      <c r="CF117" s="141"/>
      <c r="CG117" s="141"/>
      <c r="CH117" s="141"/>
      <c r="CI117" s="141"/>
      <c r="CJ117" s="141"/>
      <c r="CK117" s="141"/>
      <c r="CL117" s="141"/>
      <c r="CM117" s="141"/>
      <c r="CN117" s="141"/>
      <c r="CO117" s="141"/>
      <c r="CP117" s="141"/>
      <c r="CQ117" s="141"/>
      <c r="CR117" s="141"/>
      <c r="CS117" s="141" t="s">
        <v>1111</v>
      </c>
      <c r="CT117" s="141"/>
      <c r="CU117" s="141" t="s">
        <v>1112</v>
      </c>
      <c r="CV117" s="141"/>
      <c r="CW117" s="141"/>
      <c r="CX117" s="141" t="s">
        <v>1104</v>
      </c>
      <c r="CY117" s="141"/>
      <c r="CZ117" s="141">
        <v>0.9</v>
      </c>
      <c r="DA117" s="141">
        <v>0.9</v>
      </c>
      <c r="DB117" s="141">
        <v>0.9</v>
      </c>
      <c r="DC117" s="141"/>
      <c r="DD117" s="141" t="s">
        <v>1111</v>
      </c>
      <c r="DE117" s="141" t="s">
        <v>1088</v>
      </c>
      <c r="DF117" s="141" t="s">
        <v>1113</v>
      </c>
      <c r="DG117" s="141"/>
      <c r="DH117" s="141"/>
      <c r="DI117" s="335"/>
      <c r="DJ117" s="336"/>
      <c r="DK117" s="141"/>
      <c r="DL117" s="141"/>
      <c r="DM117" s="141"/>
      <c r="DN117" s="141"/>
      <c r="DO117" s="141"/>
      <c r="DP117" s="141"/>
      <c r="DQ117" s="141"/>
      <c r="DR117" s="141"/>
      <c r="DS117" s="141"/>
      <c r="DT117" s="141"/>
      <c r="DU117" s="141"/>
      <c r="DV117" s="141"/>
      <c r="DW117" s="141"/>
      <c r="DX117" s="141"/>
      <c r="DY117" s="141"/>
      <c r="DZ117" s="141"/>
      <c r="EA117" s="141"/>
      <c r="EB117" s="332"/>
    </row>
    <row r="118" spans="1:132" s="147" customFormat="1" hidden="1" x14ac:dyDescent="0.3">
      <c r="A118" s="332"/>
      <c r="B118" s="332"/>
      <c r="C118" s="332"/>
      <c r="D118" s="332"/>
      <c r="E118" s="332"/>
      <c r="F118" s="332"/>
      <c r="G118" s="332"/>
      <c r="H118" s="332"/>
      <c r="I118" s="332"/>
      <c r="J118" s="332"/>
      <c r="K118" s="332"/>
      <c r="L118" s="332"/>
      <c r="M118" s="332"/>
      <c r="N118" s="332"/>
      <c r="O118" s="332"/>
      <c r="P118" s="332"/>
      <c r="Q118" s="332"/>
      <c r="R118" s="332"/>
      <c r="S118" s="332"/>
      <c r="T118" s="332"/>
      <c r="U118" s="332"/>
      <c r="V118" s="332"/>
      <c r="W118" s="332"/>
      <c r="X118" s="332"/>
      <c r="Y118" s="332"/>
      <c r="Z118" s="332"/>
      <c r="AA118" s="141"/>
      <c r="AB118" s="141"/>
      <c r="AC118" s="141"/>
      <c r="AD118" s="141"/>
      <c r="AE118" s="141"/>
      <c r="AF118" s="141"/>
      <c r="AG118" s="141"/>
      <c r="AH118" s="141"/>
      <c r="AI118" s="141"/>
      <c r="AJ118" s="141"/>
      <c r="AK118" s="141"/>
      <c r="AL118" s="331"/>
      <c r="AM118" s="240"/>
      <c r="AN118" s="141"/>
      <c r="AO118" s="141"/>
      <c r="AP118" s="141"/>
      <c r="AQ118" s="141"/>
      <c r="AR118" s="141"/>
      <c r="AS118" s="141"/>
      <c r="AT118" s="141"/>
      <c r="AU118" s="141"/>
      <c r="AV118" s="141"/>
      <c r="AW118" s="141"/>
      <c r="AX118" s="141"/>
      <c r="AY118" s="141"/>
      <c r="AZ118" s="141"/>
      <c r="BA118" s="141"/>
      <c r="BB118" s="141"/>
      <c r="BC118" s="141"/>
      <c r="BD118" s="141"/>
      <c r="BE118" s="141"/>
      <c r="BF118" s="141"/>
      <c r="BG118" s="141"/>
      <c r="BH118" s="141"/>
      <c r="BI118" s="141"/>
      <c r="BJ118" s="141"/>
      <c r="BK118" s="141"/>
      <c r="BL118" s="141"/>
      <c r="BM118" s="141"/>
      <c r="BN118" s="141"/>
      <c r="BO118" s="141"/>
      <c r="BP118" s="141"/>
      <c r="BQ118" s="141"/>
      <c r="BR118" s="141"/>
      <c r="BS118" s="141"/>
      <c r="BT118" s="141"/>
      <c r="BU118" s="141"/>
      <c r="BV118" s="141"/>
      <c r="BW118" s="141"/>
      <c r="BX118" s="141"/>
      <c r="BY118" s="141"/>
      <c r="BZ118" s="141"/>
      <c r="CA118" s="141"/>
      <c r="CB118" s="141"/>
      <c r="CC118" s="141"/>
      <c r="CD118" s="141"/>
      <c r="CE118" s="141"/>
      <c r="CF118" s="141"/>
      <c r="CG118" s="141"/>
      <c r="CH118" s="141"/>
      <c r="CI118" s="141"/>
      <c r="CJ118" s="141"/>
      <c r="CK118" s="141"/>
      <c r="CL118" s="141"/>
      <c r="CM118" s="141"/>
      <c r="CN118" s="141"/>
      <c r="CO118" s="141"/>
      <c r="CP118" s="141"/>
      <c r="CQ118" s="141"/>
      <c r="CR118" s="141"/>
      <c r="CS118" s="141"/>
      <c r="CT118" s="141"/>
      <c r="CU118" s="337">
        <v>0</v>
      </c>
      <c r="CV118" s="141"/>
      <c r="CW118" s="141"/>
      <c r="CX118" s="141" t="s">
        <v>1105</v>
      </c>
      <c r="CY118" s="141" t="s">
        <v>1101</v>
      </c>
      <c r="CZ118" s="141">
        <v>0.9</v>
      </c>
      <c r="DA118" s="141">
        <v>0.9</v>
      </c>
      <c r="DB118" s="141">
        <v>0.9</v>
      </c>
      <c r="DC118" s="141"/>
      <c r="DD118" s="141"/>
      <c r="DE118" s="141"/>
      <c r="DF118" s="141"/>
      <c r="DG118" s="141"/>
      <c r="DH118" s="141"/>
      <c r="DI118" s="335"/>
      <c r="DJ118" s="336" t="s">
        <v>1114</v>
      </c>
      <c r="DK118" s="141"/>
      <c r="DL118" s="141"/>
      <c r="DM118" s="141"/>
      <c r="DN118" s="141"/>
      <c r="DO118" s="141"/>
      <c r="DP118" s="141"/>
      <c r="DQ118" s="141"/>
      <c r="DR118" s="141"/>
      <c r="DS118" s="141"/>
      <c r="DT118" s="141"/>
      <c r="DU118" s="141"/>
      <c r="DV118" s="141"/>
      <c r="DW118" s="141"/>
      <c r="DX118" s="141"/>
      <c r="DY118" s="141"/>
      <c r="DZ118" s="141"/>
      <c r="EA118" s="141"/>
      <c r="EB118" s="332"/>
    </row>
    <row r="119" spans="1:132" s="147" customFormat="1" hidden="1" x14ac:dyDescent="0.3">
      <c r="A119" s="332"/>
      <c r="B119" s="332"/>
      <c r="C119" s="332"/>
      <c r="D119" s="332"/>
      <c r="E119" s="332"/>
      <c r="F119" s="332"/>
      <c r="G119" s="332"/>
      <c r="H119" s="332"/>
      <c r="I119" s="332"/>
      <c r="J119" s="332"/>
      <c r="K119" s="332"/>
      <c r="L119" s="332"/>
      <c r="M119" s="332"/>
      <c r="N119" s="332"/>
      <c r="O119" s="332"/>
      <c r="P119" s="332"/>
      <c r="Q119" s="332"/>
      <c r="R119" s="332"/>
      <c r="S119" s="332"/>
      <c r="T119" s="332"/>
      <c r="U119" s="332"/>
      <c r="V119" s="332"/>
      <c r="W119" s="332"/>
      <c r="X119" s="332"/>
      <c r="Y119" s="332"/>
      <c r="Z119" s="332"/>
      <c r="AA119" s="141"/>
      <c r="AB119" s="141"/>
      <c r="AC119" s="141"/>
      <c r="AD119" s="141"/>
      <c r="AE119" s="141"/>
      <c r="AF119" s="141"/>
      <c r="AG119" s="141"/>
      <c r="AH119" s="141"/>
      <c r="AI119" s="141"/>
      <c r="AJ119" s="141"/>
      <c r="AK119" s="141"/>
      <c r="AL119" s="331"/>
      <c r="AM119" s="240"/>
      <c r="AN119" s="141"/>
      <c r="AO119" s="141"/>
      <c r="AP119" s="141"/>
      <c r="AQ119" s="141"/>
      <c r="AR119" s="141"/>
      <c r="AS119" s="141"/>
      <c r="AT119" s="141"/>
      <c r="AU119" s="141"/>
      <c r="AV119" s="141"/>
      <c r="AW119" s="141"/>
      <c r="AX119" s="141"/>
      <c r="AY119" s="141"/>
      <c r="AZ119" s="141"/>
      <c r="BA119" s="141"/>
      <c r="BB119" s="141"/>
      <c r="BC119" s="141"/>
      <c r="BD119" s="141"/>
      <c r="BE119" s="141"/>
      <c r="BF119" s="141"/>
      <c r="BG119" s="141"/>
      <c r="BH119" s="141"/>
      <c r="BI119" s="141"/>
      <c r="BJ119" s="141"/>
      <c r="BK119" s="141"/>
      <c r="BL119" s="141"/>
      <c r="BM119" s="141"/>
      <c r="BN119" s="141"/>
      <c r="BO119" s="141"/>
      <c r="BP119" s="141"/>
      <c r="BQ119" s="141"/>
      <c r="BR119" s="141"/>
      <c r="BS119" s="141"/>
      <c r="BT119" s="141"/>
      <c r="BU119" s="141"/>
      <c r="BV119" s="141"/>
      <c r="BW119" s="141"/>
      <c r="BX119" s="141"/>
      <c r="BY119" s="141"/>
      <c r="BZ119" s="141"/>
      <c r="CA119" s="141"/>
      <c r="CB119" s="141"/>
      <c r="CC119" s="141"/>
      <c r="CD119" s="141"/>
      <c r="CE119" s="141"/>
      <c r="CF119" s="141"/>
      <c r="CG119" s="141"/>
      <c r="CH119" s="141"/>
      <c r="CI119" s="141"/>
      <c r="CJ119" s="141"/>
      <c r="CK119" s="141"/>
      <c r="CL119" s="141"/>
      <c r="CM119" s="141"/>
      <c r="CN119" s="141"/>
      <c r="CO119" s="141"/>
      <c r="CP119" s="141"/>
      <c r="CQ119" s="141"/>
      <c r="CR119" s="141"/>
      <c r="CS119" s="141"/>
      <c r="CT119" s="141"/>
      <c r="CU119" s="337">
        <v>0.05</v>
      </c>
      <c r="CV119" s="141"/>
      <c r="CW119" s="141"/>
      <c r="CX119" s="141" t="s">
        <v>1108</v>
      </c>
      <c r="CY119" s="141" t="s">
        <v>1101</v>
      </c>
      <c r="CZ119" s="141">
        <v>0.45</v>
      </c>
      <c r="DA119" s="141">
        <v>0.45</v>
      </c>
      <c r="DB119" s="141">
        <v>0.3</v>
      </c>
      <c r="DC119" s="141"/>
      <c r="DD119" s="141"/>
      <c r="DE119" s="141"/>
      <c r="DF119" s="141"/>
      <c r="DG119" s="141"/>
      <c r="DH119" s="141"/>
      <c r="DI119" s="335">
        <v>1</v>
      </c>
      <c r="DJ119" s="336" t="s">
        <v>1039</v>
      </c>
      <c r="DK119" s="141"/>
      <c r="DL119" s="141"/>
      <c r="DM119" s="141"/>
      <c r="DN119" s="141"/>
      <c r="DO119" s="141"/>
      <c r="DP119" s="141"/>
      <c r="DQ119" s="141"/>
      <c r="DR119" s="141"/>
      <c r="DS119" s="141"/>
      <c r="DT119" s="141"/>
      <c r="DU119" s="141"/>
      <c r="DV119" s="141"/>
      <c r="DW119" s="141"/>
      <c r="DX119" s="141"/>
      <c r="DY119" s="141"/>
      <c r="DZ119" s="141"/>
      <c r="EA119" s="141"/>
      <c r="EB119" s="332"/>
    </row>
    <row r="120" spans="1:132" s="147" customFormat="1" hidden="1" x14ac:dyDescent="0.3">
      <c r="A120" s="332"/>
      <c r="B120" s="332"/>
      <c r="C120" s="332"/>
      <c r="D120" s="332"/>
      <c r="E120" s="332"/>
      <c r="F120" s="332"/>
      <c r="G120" s="332"/>
      <c r="H120" s="332"/>
      <c r="I120" s="332"/>
      <c r="J120" s="332"/>
      <c r="K120" s="332"/>
      <c r="L120" s="332"/>
      <c r="M120" s="332"/>
      <c r="N120" s="332"/>
      <c r="O120" s="332"/>
      <c r="P120" s="332"/>
      <c r="Q120" s="332"/>
      <c r="R120" s="332"/>
      <c r="S120" s="332"/>
      <c r="T120" s="332"/>
      <c r="U120" s="332"/>
      <c r="V120" s="332"/>
      <c r="W120" s="332"/>
      <c r="X120" s="332"/>
      <c r="Y120" s="332"/>
      <c r="Z120" s="332"/>
      <c r="AA120" s="141"/>
      <c r="AB120" s="141"/>
      <c r="AC120" s="141"/>
      <c r="AD120" s="141"/>
      <c r="AE120" s="141"/>
      <c r="AF120" s="141"/>
      <c r="AG120" s="141"/>
      <c r="AH120" s="141"/>
      <c r="AI120" s="141"/>
      <c r="AJ120" s="141"/>
      <c r="AK120" s="141"/>
      <c r="AL120" s="331"/>
      <c r="AM120" s="240"/>
      <c r="AN120" s="141"/>
      <c r="AO120" s="141"/>
      <c r="AP120" s="141"/>
      <c r="AQ120" s="141"/>
      <c r="AR120" s="141"/>
      <c r="AS120" s="141"/>
      <c r="AT120" s="141"/>
      <c r="AU120" s="141"/>
      <c r="AV120" s="141"/>
      <c r="AW120" s="141"/>
      <c r="AX120" s="141"/>
      <c r="AY120" s="141"/>
      <c r="AZ120" s="141"/>
      <c r="BA120" s="141"/>
      <c r="BB120" s="141"/>
      <c r="BC120" s="141"/>
      <c r="BD120" s="141"/>
      <c r="BE120" s="141"/>
      <c r="BF120" s="141"/>
      <c r="BG120" s="141"/>
      <c r="BH120" s="141"/>
      <c r="BI120" s="141"/>
      <c r="BJ120" s="141"/>
      <c r="BK120" s="141"/>
      <c r="BL120" s="141"/>
      <c r="BM120" s="141"/>
      <c r="BN120" s="141"/>
      <c r="BO120" s="141"/>
      <c r="BP120" s="141"/>
      <c r="BQ120" s="141"/>
      <c r="BR120" s="141"/>
      <c r="BS120" s="141"/>
      <c r="BT120" s="141"/>
      <c r="BU120" s="141"/>
      <c r="BV120" s="141"/>
      <c r="BW120" s="141"/>
      <c r="BX120" s="141"/>
      <c r="BY120" s="141"/>
      <c r="BZ120" s="141"/>
      <c r="CA120" s="141"/>
      <c r="CB120" s="141"/>
      <c r="CC120" s="141"/>
      <c r="CD120" s="141"/>
      <c r="CE120" s="141"/>
      <c r="CF120" s="141"/>
      <c r="CG120" s="141"/>
      <c r="CH120" s="141"/>
      <c r="CI120" s="141"/>
      <c r="CJ120" s="141"/>
      <c r="CK120" s="141"/>
      <c r="CL120" s="141"/>
      <c r="CM120" s="141"/>
      <c r="CN120" s="141"/>
      <c r="CO120" s="141"/>
      <c r="CP120" s="141"/>
      <c r="CQ120" s="141"/>
      <c r="CR120" s="141"/>
      <c r="CS120" s="141"/>
      <c r="CT120" s="141"/>
      <c r="CU120" s="337">
        <v>0.1</v>
      </c>
      <c r="CV120" s="141"/>
      <c r="CW120" s="141"/>
      <c r="CX120" s="141" t="s">
        <v>1112</v>
      </c>
      <c r="CY120" s="141" t="s">
        <v>1101</v>
      </c>
      <c r="CZ120" s="141">
        <v>0.45</v>
      </c>
      <c r="DA120" s="141">
        <v>0.45</v>
      </c>
      <c r="DB120" s="141">
        <v>0.3</v>
      </c>
      <c r="DC120" s="141"/>
      <c r="DD120" s="141"/>
      <c r="DE120" s="141"/>
      <c r="DF120" s="141"/>
      <c r="DG120" s="141"/>
      <c r="DH120" s="141"/>
      <c r="DI120" s="335">
        <v>2</v>
      </c>
      <c r="DJ120" s="336" t="s">
        <v>1068</v>
      </c>
      <c r="DK120" s="141"/>
      <c r="DL120" s="141"/>
      <c r="DM120" s="141"/>
      <c r="DN120" s="141"/>
      <c r="DO120" s="141"/>
      <c r="DP120" s="141"/>
      <c r="DQ120" s="141"/>
      <c r="DR120" s="141"/>
      <c r="DS120" s="141"/>
      <c r="DT120" s="141"/>
      <c r="DU120" s="141"/>
      <c r="DV120" s="141"/>
      <c r="DW120" s="141"/>
      <c r="DX120" s="141"/>
      <c r="DY120" s="141"/>
      <c r="DZ120" s="141"/>
      <c r="EA120" s="141"/>
      <c r="EB120" s="332"/>
    </row>
    <row r="121" spans="1:132" s="147" customFormat="1" hidden="1" x14ac:dyDescent="0.3">
      <c r="A121" s="332"/>
      <c r="B121" s="332"/>
      <c r="C121" s="332"/>
      <c r="D121" s="332"/>
      <c r="E121" s="332"/>
      <c r="F121" s="332"/>
      <c r="G121" s="332"/>
      <c r="H121" s="332"/>
      <c r="I121" s="332"/>
      <c r="J121" s="332"/>
      <c r="K121" s="332"/>
      <c r="L121" s="332"/>
      <c r="M121" s="332"/>
      <c r="N121" s="332"/>
      <c r="O121" s="332"/>
      <c r="P121" s="332"/>
      <c r="Q121" s="332"/>
      <c r="R121" s="332"/>
      <c r="S121" s="332"/>
      <c r="T121" s="332"/>
      <c r="U121" s="332"/>
      <c r="V121" s="332"/>
      <c r="W121" s="332"/>
      <c r="X121" s="332"/>
      <c r="Y121" s="332"/>
      <c r="Z121" s="332"/>
      <c r="AA121" s="141"/>
      <c r="AB121" s="141"/>
      <c r="AC121" s="141"/>
      <c r="AD121" s="141"/>
      <c r="AE121" s="141"/>
      <c r="AF121" s="141"/>
      <c r="AG121" s="141"/>
      <c r="AH121" s="141"/>
      <c r="AI121" s="141"/>
      <c r="AJ121" s="141"/>
      <c r="AK121" s="141"/>
      <c r="AL121" s="331"/>
      <c r="AM121" s="240"/>
      <c r="AN121" s="141"/>
      <c r="AO121" s="141"/>
      <c r="AP121" s="141"/>
      <c r="AQ121" s="141"/>
      <c r="AR121" s="141"/>
      <c r="AS121" s="141"/>
      <c r="AT121" s="141"/>
      <c r="AU121" s="141"/>
      <c r="AV121" s="141"/>
      <c r="AW121" s="141"/>
      <c r="AX121" s="141"/>
      <c r="AY121" s="141"/>
      <c r="AZ121" s="141"/>
      <c r="BA121" s="141"/>
      <c r="BB121" s="141"/>
      <c r="BC121" s="141"/>
      <c r="BD121" s="141"/>
      <c r="BE121" s="141"/>
      <c r="BF121" s="141"/>
      <c r="BG121" s="141"/>
      <c r="BH121" s="141"/>
      <c r="BI121" s="141"/>
      <c r="BJ121" s="141"/>
      <c r="BK121" s="141"/>
      <c r="BL121" s="141"/>
      <c r="BM121" s="141"/>
      <c r="BN121" s="141"/>
      <c r="BO121" s="141"/>
      <c r="BP121" s="141"/>
      <c r="BQ121" s="141"/>
      <c r="BR121" s="141"/>
      <c r="BS121" s="141"/>
      <c r="BT121" s="141"/>
      <c r="BU121" s="141"/>
      <c r="BV121" s="141"/>
      <c r="BW121" s="141"/>
      <c r="BX121" s="141"/>
      <c r="BY121" s="141"/>
      <c r="BZ121" s="141"/>
      <c r="CA121" s="141"/>
      <c r="CB121" s="141"/>
      <c r="CC121" s="141"/>
      <c r="CD121" s="141"/>
      <c r="CE121" s="141"/>
      <c r="CF121" s="141"/>
      <c r="CG121" s="141"/>
      <c r="CH121" s="141"/>
      <c r="CI121" s="141"/>
      <c r="CJ121" s="141"/>
      <c r="CK121" s="141"/>
      <c r="CL121" s="141"/>
      <c r="CM121" s="141"/>
      <c r="CN121" s="141"/>
      <c r="CO121" s="141"/>
      <c r="CP121" s="141"/>
      <c r="CQ121" s="141"/>
      <c r="CR121" s="141"/>
      <c r="CS121" s="141"/>
      <c r="CT121" s="141"/>
      <c r="CU121" s="337">
        <v>0.15</v>
      </c>
      <c r="CV121" s="141"/>
      <c r="CW121" s="141"/>
      <c r="CX121" s="141" t="s">
        <v>1086</v>
      </c>
      <c r="CY121" s="141" t="s">
        <v>1115</v>
      </c>
      <c r="CZ121" s="141">
        <v>0.6</v>
      </c>
      <c r="DA121" s="141">
        <v>0.3</v>
      </c>
      <c r="DB121" s="141">
        <v>0.2</v>
      </c>
      <c r="DC121" s="141"/>
      <c r="DD121" s="141"/>
      <c r="DE121" s="141"/>
      <c r="DF121" s="141"/>
      <c r="DG121" s="141"/>
      <c r="DH121" s="141"/>
      <c r="DI121" s="335">
        <v>3</v>
      </c>
      <c r="DJ121" s="336" t="s">
        <v>1040</v>
      </c>
      <c r="DK121" s="141"/>
      <c r="DL121" s="141"/>
      <c r="DM121" s="141"/>
      <c r="DN121" s="141"/>
      <c r="DO121" s="141"/>
      <c r="DP121" s="141"/>
      <c r="DQ121" s="141"/>
      <c r="DR121" s="141"/>
      <c r="DS121" s="141"/>
      <c r="DT121" s="141"/>
      <c r="DU121" s="141"/>
      <c r="DV121" s="141"/>
      <c r="DW121" s="141"/>
      <c r="DX121" s="141"/>
      <c r="DY121" s="141"/>
      <c r="DZ121" s="141"/>
      <c r="EA121" s="141"/>
      <c r="EB121" s="332"/>
    </row>
    <row r="122" spans="1:132" s="147" customFormat="1" hidden="1" x14ac:dyDescent="0.3">
      <c r="A122" s="332"/>
      <c r="B122" s="332"/>
      <c r="C122" s="332"/>
      <c r="D122" s="332"/>
      <c r="E122" s="332"/>
      <c r="F122" s="332"/>
      <c r="G122" s="332"/>
      <c r="H122" s="332"/>
      <c r="I122" s="332"/>
      <c r="J122" s="332"/>
      <c r="K122" s="332"/>
      <c r="L122" s="332"/>
      <c r="M122" s="332"/>
      <c r="N122" s="332"/>
      <c r="O122" s="332"/>
      <c r="P122" s="332"/>
      <c r="Q122" s="332"/>
      <c r="R122" s="332"/>
      <c r="S122" s="332"/>
      <c r="T122" s="332"/>
      <c r="U122" s="332"/>
      <c r="V122" s="332"/>
      <c r="W122" s="332"/>
      <c r="X122" s="332"/>
      <c r="Y122" s="332"/>
      <c r="Z122" s="332"/>
      <c r="AA122" s="141"/>
      <c r="AB122" s="141"/>
      <c r="AC122" s="141"/>
      <c r="AD122" s="141"/>
      <c r="AE122" s="141"/>
      <c r="AF122" s="141"/>
      <c r="AG122" s="141"/>
      <c r="AH122" s="141"/>
      <c r="AI122" s="141"/>
      <c r="AJ122" s="141"/>
      <c r="AK122" s="141"/>
      <c r="AL122" s="331"/>
      <c r="AM122" s="240"/>
      <c r="AN122" s="141"/>
      <c r="AO122" s="141"/>
      <c r="AP122" s="141"/>
      <c r="AQ122" s="141"/>
      <c r="AR122" s="141"/>
      <c r="AS122" s="141"/>
      <c r="AT122" s="141"/>
      <c r="AU122" s="141"/>
      <c r="AV122" s="141"/>
      <c r="AW122" s="141"/>
      <c r="AX122" s="141"/>
      <c r="AY122" s="141"/>
      <c r="AZ122" s="141"/>
      <c r="BA122" s="141"/>
      <c r="BB122" s="141"/>
      <c r="BC122" s="141"/>
      <c r="BD122" s="141"/>
      <c r="BE122" s="141"/>
      <c r="BF122" s="141"/>
      <c r="BG122" s="141"/>
      <c r="BH122" s="141"/>
      <c r="BI122" s="141"/>
      <c r="BJ122" s="141"/>
      <c r="BK122" s="141"/>
      <c r="BL122" s="141"/>
      <c r="BM122" s="141"/>
      <c r="BN122" s="141"/>
      <c r="BO122" s="141"/>
      <c r="BP122" s="141"/>
      <c r="BQ122" s="141"/>
      <c r="BR122" s="141"/>
      <c r="BS122" s="141"/>
      <c r="BT122" s="141"/>
      <c r="BU122" s="141"/>
      <c r="BV122" s="141"/>
      <c r="BW122" s="141"/>
      <c r="BX122" s="141"/>
      <c r="BY122" s="141"/>
      <c r="BZ122" s="141"/>
      <c r="CA122" s="141"/>
      <c r="CB122" s="141"/>
      <c r="CC122" s="141"/>
      <c r="CD122" s="141"/>
      <c r="CE122" s="141"/>
      <c r="CF122" s="141"/>
      <c r="CG122" s="141"/>
      <c r="CH122" s="141"/>
      <c r="CI122" s="141"/>
      <c r="CJ122" s="141"/>
      <c r="CK122" s="141"/>
      <c r="CL122" s="141"/>
      <c r="CM122" s="141"/>
      <c r="CN122" s="141"/>
      <c r="CO122" s="141"/>
      <c r="CP122" s="141"/>
      <c r="CQ122" s="141"/>
      <c r="CR122" s="141"/>
      <c r="CS122" s="141"/>
      <c r="CT122" s="141"/>
      <c r="CU122" s="337">
        <v>0.2</v>
      </c>
      <c r="CV122" s="141"/>
      <c r="CW122" s="141"/>
      <c r="CX122" s="141" t="s">
        <v>1095</v>
      </c>
      <c r="CY122" s="141" t="s">
        <v>1115</v>
      </c>
      <c r="CZ122" s="141">
        <v>0.6</v>
      </c>
      <c r="DA122" s="141">
        <v>0.3</v>
      </c>
      <c r="DB122" s="141">
        <v>0.4</v>
      </c>
      <c r="DC122" s="141"/>
      <c r="DD122" s="141"/>
      <c r="DE122" s="141"/>
      <c r="DF122" s="141"/>
      <c r="DG122" s="141"/>
      <c r="DH122" s="141"/>
      <c r="DI122" s="335">
        <v>4</v>
      </c>
      <c r="DJ122" s="336" t="s">
        <v>1041</v>
      </c>
      <c r="DK122" s="141"/>
      <c r="DL122" s="141"/>
      <c r="DM122" s="141"/>
      <c r="DN122" s="141"/>
      <c r="DO122" s="141"/>
      <c r="DP122" s="141"/>
      <c r="DQ122" s="141"/>
      <c r="DR122" s="141"/>
      <c r="DS122" s="141"/>
      <c r="DT122" s="141"/>
      <c r="DU122" s="141"/>
      <c r="DV122" s="141"/>
      <c r="DW122" s="141"/>
      <c r="DX122" s="141"/>
      <c r="DY122" s="141"/>
      <c r="DZ122" s="141"/>
      <c r="EA122" s="141"/>
      <c r="EB122" s="332"/>
    </row>
    <row r="123" spans="1:132" s="147" customFormat="1" hidden="1" x14ac:dyDescent="0.3">
      <c r="A123" s="332"/>
      <c r="B123" s="332"/>
      <c r="C123" s="332"/>
      <c r="D123" s="332"/>
      <c r="E123" s="332"/>
      <c r="F123" s="332"/>
      <c r="G123" s="332"/>
      <c r="H123" s="332"/>
      <c r="I123" s="332"/>
      <c r="J123" s="332"/>
      <c r="K123" s="332"/>
      <c r="L123" s="332"/>
      <c r="M123" s="332"/>
      <c r="N123" s="332"/>
      <c r="O123" s="332"/>
      <c r="P123" s="332"/>
      <c r="Q123" s="332"/>
      <c r="R123" s="332"/>
      <c r="S123" s="332"/>
      <c r="T123" s="332"/>
      <c r="U123" s="332"/>
      <c r="V123" s="332"/>
      <c r="W123" s="332"/>
      <c r="X123" s="332"/>
      <c r="Y123" s="332"/>
      <c r="Z123" s="332"/>
      <c r="AA123" s="141"/>
      <c r="AB123" s="141"/>
      <c r="AC123" s="141"/>
      <c r="AD123" s="141"/>
      <c r="AE123" s="141"/>
      <c r="AF123" s="141"/>
      <c r="AG123" s="141"/>
      <c r="AH123" s="141"/>
      <c r="AI123" s="141"/>
      <c r="AJ123" s="141"/>
      <c r="AK123" s="141"/>
      <c r="AL123" s="331"/>
      <c r="AM123" s="240"/>
      <c r="AN123" s="141"/>
      <c r="AO123" s="141"/>
      <c r="AP123" s="141"/>
      <c r="AQ123" s="141"/>
      <c r="AR123" s="141"/>
      <c r="AS123" s="141"/>
      <c r="AT123" s="141"/>
      <c r="AU123" s="141"/>
      <c r="AV123" s="141"/>
      <c r="AW123" s="141"/>
      <c r="AX123" s="141"/>
      <c r="AY123" s="141"/>
      <c r="AZ123" s="141"/>
      <c r="BA123" s="141"/>
      <c r="BB123" s="141"/>
      <c r="BC123" s="141"/>
      <c r="BD123" s="141"/>
      <c r="BE123" s="141"/>
      <c r="BF123" s="141"/>
      <c r="BG123" s="141"/>
      <c r="BH123" s="141"/>
      <c r="BI123" s="141"/>
      <c r="BJ123" s="141"/>
      <c r="BK123" s="141"/>
      <c r="BL123" s="141"/>
      <c r="BM123" s="141"/>
      <c r="BN123" s="141"/>
      <c r="BO123" s="141"/>
      <c r="BP123" s="141"/>
      <c r="BQ123" s="141"/>
      <c r="BR123" s="141"/>
      <c r="BS123" s="141"/>
      <c r="BT123" s="141"/>
      <c r="BU123" s="141"/>
      <c r="BV123" s="141"/>
      <c r="BW123" s="141"/>
      <c r="BX123" s="141"/>
      <c r="BY123" s="141"/>
      <c r="BZ123" s="141"/>
      <c r="CA123" s="141"/>
      <c r="CB123" s="141"/>
      <c r="CC123" s="141"/>
      <c r="CD123" s="141"/>
      <c r="CE123" s="141"/>
      <c r="CF123" s="141"/>
      <c r="CG123" s="141"/>
      <c r="CH123" s="141"/>
      <c r="CI123" s="141"/>
      <c r="CJ123" s="141"/>
      <c r="CK123" s="141"/>
      <c r="CL123" s="141"/>
      <c r="CM123" s="141"/>
      <c r="CN123" s="141"/>
      <c r="CO123" s="141"/>
      <c r="CP123" s="141"/>
      <c r="CQ123" s="141"/>
      <c r="CR123" s="141"/>
      <c r="CS123" s="141"/>
      <c r="CT123" s="141"/>
      <c r="CU123" s="337">
        <v>0.25</v>
      </c>
      <c r="CV123" s="141"/>
      <c r="CW123" s="141"/>
      <c r="CX123" s="141" t="s">
        <v>1106</v>
      </c>
      <c r="CY123" s="141" t="s">
        <v>1115</v>
      </c>
      <c r="CZ123" s="141">
        <v>0.45</v>
      </c>
      <c r="DA123" s="141">
        <v>0.22</v>
      </c>
      <c r="DB123" s="141">
        <v>0.16</v>
      </c>
      <c r="DC123" s="141"/>
      <c r="DD123" s="141"/>
      <c r="DE123" s="141"/>
      <c r="DF123" s="141"/>
      <c r="DG123" s="141"/>
      <c r="DH123" s="141"/>
      <c r="DI123" s="335">
        <v>5</v>
      </c>
      <c r="DJ123" s="336" t="s">
        <v>1042</v>
      </c>
      <c r="DK123" s="141"/>
      <c r="DL123" s="141"/>
      <c r="DM123" s="141"/>
      <c r="DN123" s="141"/>
      <c r="DO123" s="141"/>
      <c r="DP123" s="141"/>
      <c r="DQ123" s="141"/>
      <c r="DR123" s="141"/>
      <c r="DS123" s="141"/>
      <c r="DT123" s="141"/>
      <c r="DU123" s="141"/>
      <c r="DV123" s="141"/>
      <c r="DW123" s="141"/>
      <c r="DX123" s="141"/>
      <c r="DY123" s="141"/>
      <c r="DZ123" s="141"/>
      <c r="EA123" s="141"/>
      <c r="EB123" s="332"/>
    </row>
    <row r="124" spans="1:132" s="147" customFormat="1" hidden="1" x14ac:dyDescent="0.3">
      <c r="A124" s="332"/>
      <c r="B124" s="332"/>
      <c r="C124" s="332"/>
      <c r="D124" s="332"/>
      <c r="E124" s="332"/>
      <c r="F124" s="332"/>
      <c r="G124" s="332"/>
      <c r="H124" s="332"/>
      <c r="I124" s="332"/>
      <c r="J124" s="332"/>
      <c r="K124" s="332"/>
      <c r="L124" s="332"/>
      <c r="M124" s="332"/>
      <c r="N124" s="332"/>
      <c r="O124" s="332"/>
      <c r="P124" s="332"/>
      <c r="Q124" s="332"/>
      <c r="R124" s="332"/>
      <c r="S124" s="332"/>
      <c r="T124" s="332"/>
      <c r="U124" s="332"/>
      <c r="V124" s="332"/>
      <c r="W124" s="332"/>
      <c r="X124" s="332"/>
      <c r="Y124" s="332"/>
      <c r="Z124" s="332"/>
      <c r="AA124" s="141"/>
      <c r="AB124" s="141"/>
      <c r="AC124" s="141"/>
      <c r="AD124" s="141"/>
      <c r="AE124" s="141"/>
      <c r="AF124" s="141"/>
      <c r="AG124" s="141"/>
      <c r="AH124" s="141"/>
      <c r="AI124" s="141"/>
      <c r="AJ124" s="141"/>
      <c r="AK124" s="141"/>
      <c r="AL124" s="331"/>
      <c r="AM124" s="240"/>
      <c r="AN124" s="141"/>
      <c r="AO124" s="141"/>
      <c r="AP124" s="141"/>
      <c r="AQ124" s="141"/>
      <c r="AR124" s="141"/>
      <c r="AS124" s="141"/>
      <c r="AT124" s="141"/>
      <c r="AU124" s="141"/>
      <c r="AV124" s="141"/>
      <c r="AW124" s="141"/>
      <c r="AX124" s="141"/>
      <c r="AY124" s="141"/>
      <c r="AZ124" s="141"/>
      <c r="BA124" s="141"/>
      <c r="BB124" s="141"/>
      <c r="BC124" s="141"/>
      <c r="BD124" s="141"/>
      <c r="BE124" s="141"/>
      <c r="BF124" s="141"/>
      <c r="BG124" s="141"/>
      <c r="BH124" s="141"/>
      <c r="BI124" s="141"/>
      <c r="BJ124" s="141"/>
      <c r="BK124" s="141"/>
      <c r="BL124" s="141"/>
      <c r="BM124" s="141"/>
      <c r="BN124" s="141"/>
      <c r="BO124" s="141"/>
      <c r="BP124" s="141"/>
      <c r="BQ124" s="141"/>
      <c r="BR124" s="141"/>
      <c r="BS124" s="141"/>
      <c r="BT124" s="141"/>
      <c r="BU124" s="141"/>
      <c r="BV124" s="141"/>
      <c r="BW124" s="141"/>
      <c r="BX124" s="141"/>
      <c r="BY124" s="141"/>
      <c r="BZ124" s="141"/>
      <c r="CA124" s="141"/>
      <c r="CB124" s="141"/>
      <c r="CC124" s="141"/>
      <c r="CD124" s="141"/>
      <c r="CE124" s="141"/>
      <c r="CF124" s="141"/>
      <c r="CG124" s="141"/>
      <c r="CH124" s="141"/>
      <c r="CI124" s="141"/>
      <c r="CJ124" s="141"/>
      <c r="CK124" s="141"/>
      <c r="CL124" s="141"/>
      <c r="CM124" s="141"/>
      <c r="CN124" s="141"/>
      <c r="CO124" s="141"/>
      <c r="CP124" s="141"/>
      <c r="CQ124" s="141"/>
      <c r="CR124" s="141"/>
      <c r="CS124" s="141"/>
      <c r="CT124" s="141"/>
      <c r="CU124" s="337">
        <v>0.3</v>
      </c>
      <c r="CV124" s="141"/>
      <c r="CW124" s="141"/>
      <c r="CX124" s="141" t="s">
        <v>1076</v>
      </c>
      <c r="CY124" s="141" t="s">
        <v>1115</v>
      </c>
      <c r="CZ124" s="141">
        <v>0</v>
      </c>
      <c r="DA124" s="141">
        <v>0</v>
      </c>
      <c r="DB124" s="141">
        <v>0</v>
      </c>
      <c r="DC124" s="141"/>
      <c r="DD124" s="141">
        <v>1</v>
      </c>
      <c r="DE124" s="141">
        <v>1</v>
      </c>
      <c r="DF124" s="141"/>
      <c r="DG124" s="141"/>
      <c r="DH124" s="141"/>
      <c r="DI124" s="335">
        <v>6</v>
      </c>
      <c r="DJ124" s="336" t="s">
        <v>1043</v>
      </c>
      <c r="DK124" s="141"/>
      <c r="DL124" s="141"/>
      <c r="DM124" s="141"/>
      <c r="DN124" s="141"/>
      <c r="DO124" s="141"/>
      <c r="DP124" s="141"/>
      <c r="DQ124" s="141"/>
      <c r="DR124" s="141"/>
      <c r="DS124" s="141"/>
      <c r="DT124" s="141"/>
      <c r="DU124" s="141"/>
      <c r="DV124" s="141"/>
      <c r="DW124" s="141"/>
      <c r="DX124" s="141"/>
      <c r="DY124" s="141"/>
      <c r="DZ124" s="141"/>
      <c r="EA124" s="141"/>
      <c r="EB124" s="332"/>
    </row>
    <row r="125" spans="1:132" s="147" customFormat="1" hidden="1" x14ac:dyDescent="0.3">
      <c r="A125" s="332"/>
      <c r="B125" s="332"/>
      <c r="C125" s="332"/>
      <c r="D125" s="332"/>
      <c r="E125" s="332"/>
      <c r="F125" s="332"/>
      <c r="G125" s="332"/>
      <c r="H125" s="332"/>
      <c r="I125" s="332"/>
      <c r="J125" s="332"/>
      <c r="K125" s="332"/>
      <c r="L125" s="332"/>
      <c r="M125" s="332"/>
      <c r="N125" s="332"/>
      <c r="O125" s="332"/>
      <c r="P125" s="332"/>
      <c r="Q125" s="332"/>
      <c r="R125" s="332"/>
      <c r="S125" s="332"/>
      <c r="T125" s="332"/>
      <c r="U125" s="332"/>
      <c r="V125" s="332"/>
      <c r="W125" s="332"/>
      <c r="X125" s="332"/>
      <c r="Y125" s="332"/>
      <c r="Z125" s="332"/>
      <c r="AA125" s="141"/>
      <c r="AB125" s="141"/>
      <c r="AC125" s="141"/>
      <c r="AD125" s="141"/>
      <c r="AE125" s="141"/>
      <c r="AF125" s="141"/>
      <c r="AG125" s="141"/>
      <c r="AH125" s="141"/>
      <c r="AI125" s="141"/>
      <c r="AJ125" s="141"/>
      <c r="AK125" s="141"/>
      <c r="AL125" s="331"/>
      <c r="AM125" s="240"/>
      <c r="AN125" s="141"/>
      <c r="AO125" s="141"/>
      <c r="AP125" s="141"/>
      <c r="AQ125" s="141"/>
      <c r="AR125" s="141"/>
      <c r="AS125" s="141"/>
      <c r="AT125" s="141"/>
      <c r="AU125" s="141"/>
      <c r="AV125" s="141"/>
      <c r="AW125" s="141"/>
      <c r="AX125" s="141"/>
      <c r="AY125" s="141"/>
      <c r="AZ125" s="141"/>
      <c r="BA125" s="141"/>
      <c r="BB125" s="141"/>
      <c r="BC125" s="141"/>
      <c r="BD125" s="141"/>
      <c r="BE125" s="141"/>
      <c r="BF125" s="141"/>
      <c r="BG125" s="141"/>
      <c r="BH125" s="141"/>
      <c r="BI125" s="141"/>
      <c r="BJ125" s="141"/>
      <c r="BK125" s="141"/>
      <c r="BL125" s="141"/>
      <c r="BM125" s="141"/>
      <c r="BN125" s="141"/>
      <c r="BO125" s="141"/>
      <c r="BP125" s="141"/>
      <c r="BQ125" s="141"/>
      <c r="BR125" s="141"/>
      <c r="BS125" s="141"/>
      <c r="BT125" s="141"/>
      <c r="BU125" s="141"/>
      <c r="BV125" s="141"/>
      <c r="BW125" s="141"/>
      <c r="BX125" s="141"/>
      <c r="BY125" s="141"/>
      <c r="BZ125" s="141"/>
      <c r="CA125" s="141"/>
      <c r="CB125" s="141"/>
      <c r="CC125" s="141"/>
      <c r="CD125" s="141"/>
      <c r="CE125" s="141"/>
      <c r="CF125" s="141"/>
      <c r="CG125" s="141"/>
      <c r="CH125" s="141"/>
      <c r="CI125" s="141"/>
      <c r="CJ125" s="141"/>
      <c r="CK125" s="141"/>
      <c r="CL125" s="141"/>
      <c r="CM125" s="141"/>
      <c r="CN125" s="141"/>
      <c r="CO125" s="141"/>
      <c r="CP125" s="141"/>
      <c r="CQ125" s="141"/>
      <c r="CR125" s="141"/>
      <c r="CS125" s="141"/>
      <c r="CT125" s="141"/>
      <c r="CU125" s="337">
        <v>0.35</v>
      </c>
      <c r="CV125" s="141"/>
      <c r="CW125" s="141"/>
      <c r="CX125" s="141" t="s">
        <v>1104</v>
      </c>
      <c r="CY125" s="141"/>
      <c r="CZ125" s="141">
        <v>0.9</v>
      </c>
      <c r="DA125" s="141">
        <v>0.9</v>
      </c>
      <c r="DB125" s="141">
        <v>0.9</v>
      </c>
      <c r="DC125" s="141"/>
      <c r="DD125" s="141">
        <v>2</v>
      </c>
      <c r="DE125" s="141">
        <v>2</v>
      </c>
      <c r="DF125" s="141"/>
      <c r="DG125" s="141"/>
      <c r="DH125" s="141"/>
      <c r="DI125" s="335"/>
      <c r="DJ125" s="336"/>
      <c r="DK125" s="141"/>
      <c r="DL125" s="141"/>
      <c r="DM125" s="141"/>
      <c r="DN125" s="141"/>
      <c r="DO125" s="141"/>
      <c r="DP125" s="141"/>
      <c r="DQ125" s="141"/>
      <c r="DR125" s="141"/>
      <c r="DS125" s="141"/>
      <c r="DT125" s="141"/>
      <c r="DU125" s="141"/>
      <c r="DV125" s="141"/>
      <c r="DW125" s="141"/>
      <c r="DX125" s="141"/>
      <c r="DY125" s="141"/>
      <c r="DZ125" s="141"/>
      <c r="EA125" s="141"/>
      <c r="EB125" s="332"/>
    </row>
    <row r="126" spans="1:132" s="147" customFormat="1" hidden="1" x14ac:dyDescent="0.3">
      <c r="A126" s="332"/>
      <c r="B126" s="332"/>
      <c r="C126" s="332"/>
      <c r="D126" s="332"/>
      <c r="E126" s="332"/>
      <c r="F126" s="332"/>
      <c r="G126" s="332"/>
      <c r="H126" s="332"/>
      <c r="I126" s="332"/>
      <c r="J126" s="332"/>
      <c r="K126" s="332"/>
      <c r="L126" s="332"/>
      <c r="M126" s="332"/>
      <c r="N126" s="332"/>
      <c r="O126" s="332"/>
      <c r="P126" s="332"/>
      <c r="Q126" s="332"/>
      <c r="R126" s="332"/>
      <c r="S126" s="332"/>
      <c r="T126" s="332"/>
      <c r="U126" s="332"/>
      <c r="V126" s="332"/>
      <c r="W126" s="332"/>
      <c r="X126" s="332"/>
      <c r="Y126" s="332"/>
      <c r="Z126" s="332"/>
      <c r="AA126" s="141"/>
      <c r="AB126" s="141"/>
      <c r="AC126" s="141"/>
      <c r="AD126" s="141"/>
      <c r="AE126" s="141"/>
      <c r="AF126" s="141"/>
      <c r="AG126" s="141"/>
      <c r="AH126" s="141"/>
      <c r="AI126" s="141"/>
      <c r="AJ126" s="141"/>
      <c r="AK126" s="141"/>
      <c r="AL126" s="331"/>
      <c r="AM126" s="240"/>
      <c r="AN126" s="141"/>
      <c r="AO126" s="141"/>
      <c r="AP126" s="141"/>
      <c r="AQ126" s="141"/>
      <c r="AR126" s="141"/>
      <c r="AS126" s="141"/>
      <c r="AT126" s="141"/>
      <c r="AU126" s="141"/>
      <c r="AV126" s="141"/>
      <c r="AW126" s="141"/>
      <c r="AX126" s="141"/>
      <c r="AY126" s="141"/>
      <c r="AZ126" s="141"/>
      <c r="BA126" s="141"/>
      <c r="BB126" s="141"/>
      <c r="BC126" s="141"/>
      <c r="BD126" s="141"/>
      <c r="BE126" s="141"/>
      <c r="BF126" s="141"/>
      <c r="BG126" s="141"/>
      <c r="BH126" s="141"/>
      <c r="BI126" s="141"/>
      <c r="BJ126" s="141"/>
      <c r="BK126" s="141"/>
      <c r="BL126" s="141"/>
      <c r="BM126" s="141"/>
      <c r="BN126" s="141"/>
      <c r="BO126" s="141"/>
      <c r="BP126" s="141"/>
      <c r="BQ126" s="141"/>
      <c r="BR126" s="141"/>
      <c r="BS126" s="141"/>
      <c r="BT126" s="141"/>
      <c r="BU126" s="141"/>
      <c r="BV126" s="141"/>
      <c r="BW126" s="141"/>
      <c r="BX126" s="141"/>
      <c r="BY126" s="141"/>
      <c r="BZ126" s="141"/>
      <c r="CA126" s="141"/>
      <c r="CB126" s="141"/>
      <c r="CC126" s="141"/>
      <c r="CD126" s="141"/>
      <c r="CE126" s="141"/>
      <c r="CF126" s="141"/>
      <c r="CG126" s="141"/>
      <c r="CH126" s="141"/>
      <c r="CI126" s="141"/>
      <c r="CJ126" s="141"/>
      <c r="CK126" s="141"/>
      <c r="CL126" s="141"/>
      <c r="CM126" s="141"/>
      <c r="CN126" s="141"/>
      <c r="CO126" s="141"/>
      <c r="CP126" s="141"/>
      <c r="CQ126" s="141"/>
      <c r="CR126" s="141"/>
      <c r="CS126" s="141"/>
      <c r="CT126" s="141"/>
      <c r="CU126" s="337">
        <v>0.4</v>
      </c>
      <c r="CV126" s="141"/>
      <c r="CW126" s="141"/>
      <c r="CX126" s="141" t="s">
        <v>1105</v>
      </c>
      <c r="CY126" s="141" t="s">
        <v>1115</v>
      </c>
      <c r="CZ126" s="141">
        <v>0.6</v>
      </c>
      <c r="DA126" s="141">
        <v>0.6</v>
      </c>
      <c r="DB126" s="141">
        <v>0.6</v>
      </c>
      <c r="DC126" s="141"/>
      <c r="DD126" s="141">
        <v>3</v>
      </c>
      <c r="DE126" s="141">
        <v>3</v>
      </c>
      <c r="DF126" s="141"/>
      <c r="DG126" s="141"/>
      <c r="DH126" s="141"/>
      <c r="DI126" s="335"/>
      <c r="DJ126" s="336"/>
      <c r="DK126" s="141"/>
      <c r="DL126" s="141"/>
      <c r="DM126" s="141"/>
      <c r="DN126" s="141"/>
      <c r="DO126" s="141"/>
      <c r="DP126" s="141"/>
      <c r="DQ126" s="141"/>
      <c r="DR126" s="141"/>
      <c r="DS126" s="141"/>
      <c r="DT126" s="141"/>
      <c r="DU126" s="141"/>
      <c r="DV126" s="141"/>
      <c r="DW126" s="141"/>
      <c r="DX126" s="141"/>
      <c r="DY126" s="141"/>
      <c r="DZ126" s="141"/>
      <c r="EA126" s="141"/>
      <c r="EB126" s="332"/>
    </row>
    <row r="127" spans="1:132" s="147" customFormat="1" hidden="1" x14ac:dyDescent="0.3">
      <c r="A127" s="332"/>
      <c r="B127" s="332"/>
      <c r="C127" s="332"/>
      <c r="D127" s="332"/>
      <c r="E127" s="332"/>
      <c r="F127" s="332"/>
      <c r="G127" s="332"/>
      <c r="H127" s="332"/>
      <c r="I127" s="332"/>
      <c r="J127" s="332"/>
      <c r="K127" s="332"/>
      <c r="L127" s="332"/>
      <c r="M127" s="332"/>
      <c r="N127" s="332"/>
      <c r="O127" s="332"/>
      <c r="P127" s="332"/>
      <c r="Q127" s="332"/>
      <c r="R127" s="332"/>
      <c r="S127" s="332"/>
      <c r="T127" s="332"/>
      <c r="U127" s="332"/>
      <c r="V127" s="332"/>
      <c r="W127" s="332"/>
      <c r="X127" s="332"/>
      <c r="Y127" s="332"/>
      <c r="Z127" s="332"/>
      <c r="AA127" s="141"/>
      <c r="AB127" s="141"/>
      <c r="AC127" s="141"/>
      <c r="AD127" s="141"/>
      <c r="AE127" s="141"/>
      <c r="AF127" s="141"/>
      <c r="AG127" s="141"/>
      <c r="AH127" s="141"/>
      <c r="AI127" s="141"/>
      <c r="AJ127" s="141"/>
      <c r="AK127" s="141"/>
      <c r="AL127" s="331"/>
      <c r="AM127" s="240"/>
      <c r="AN127" s="141"/>
      <c r="AO127" s="141"/>
      <c r="AP127" s="141"/>
      <c r="AQ127" s="141"/>
      <c r="AR127" s="141"/>
      <c r="AS127" s="141"/>
      <c r="AT127" s="141"/>
      <c r="AU127" s="141"/>
      <c r="AV127" s="141"/>
      <c r="AW127" s="141"/>
      <c r="AX127" s="141"/>
      <c r="AY127" s="141"/>
      <c r="AZ127" s="141"/>
      <c r="BA127" s="141"/>
      <c r="BB127" s="141"/>
      <c r="BC127" s="141"/>
      <c r="BD127" s="141"/>
      <c r="BE127" s="141"/>
      <c r="BF127" s="141"/>
      <c r="BG127" s="141"/>
      <c r="BH127" s="141"/>
      <c r="BI127" s="141"/>
      <c r="BJ127" s="141"/>
      <c r="BK127" s="141"/>
      <c r="BL127" s="141"/>
      <c r="BM127" s="141"/>
      <c r="BN127" s="141"/>
      <c r="BO127" s="141"/>
      <c r="BP127" s="141"/>
      <c r="BQ127" s="141"/>
      <c r="BR127" s="141"/>
      <c r="BS127" s="141"/>
      <c r="BT127" s="141"/>
      <c r="BU127" s="141"/>
      <c r="BV127" s="141"/>
      <c r="BW127" s="141"/>
      <c r="BX127" s="141"/>
      <c r="BY127" s="141"/>
      <c r="BZ127" s="141"/>
      <c r="CA127" s="141"/>
      <c r="CB127" s="141"/>
      <c r="CC127" s="141"/>
      <c r="CD127" s="141"/>
      <c r="CE127" s="141"/>
      <c r="CF127" s="141"/>
      <c r="CG127" s="141"/>
      <c r="CH127" s="141"/>
      <c r="CI127" s="141"/>
      <c r="CJ127" s="141"/>
      <c r="CK127" s="141"/>
      <c r="CL127" s="141"/>
      <c r="CM127" s="141"/>
      <c r="CN127" s="141"/>
      <c r="CO127" s="141"/>
      <c r="CP127" s="141"/>
      <c r="CQ127" s="141"/>
      <c r="CR127" s="141"/>
      <c r="CS127" s="141"/>
      <c r="CT127" s="141"/>
      <c r="CU127" s="337">
        <v>0.45</v>
      </c>
      <c r="CV127" s="141"/>
      <c r="CW127" s="141"/>
      <c r="CX127" s="141" t="s">
        <v>1108</v>
      </c>
      <c r="CY127" s="141" t="s">
        <v>1115</v>
      </c>
      <c r="CZ127" s="141">
        <v>0.3</v>
      </c>
      <c r="DA127" s="141">
        <v>0.3</v>
      </c>
      <c r="DB127" s="141">
        <v>0.2</v>
      </c>
      <c r="DC127" s="141"/>
      <c r="DD127" s="141">
        <v>4</v>
      </c>
      <c r="DE127" s="141">
        <v>4</v>
      </c>
      <c r="DF127" s="141"/>
      <c r="DG127" s="141"/>
      <c r="DH127" s="141"/>
      <c r="DI127" s="335"/>
      <c r="DJ127" s="336" t="s">
        <v>1116</v>
      </c>
      <c r="DK127" s="141"/>
      <c r="DL127" s="141"/>
      <c r="DM127" s="141"/>
      <c r="DN127" s="141"/>
      <c r="DO127" s="141"/>
      <c r="DP127" s="141"/>
      <c r="DQ127" s="141"/>
      <c r="DR127" s="141"/>
      <c r="DS127" s="141"/>
      <c r="DT127" s="141"/>
      <c r="DU127" s="141"/>
      <c r="DV127" s="141"/>
      <c r="DW127" s="141"/>
      <c r="DX127" s="141"/>
      <c r="DY127" s="141"/>
      <c r="DZ127" s="141"/>
      <c r="EA127" s="141"/>
      <c r="EB127" s="332"/>
    </row>
    <row r="128" spans="1:132" s="147" customFormat="1" hidden="1" x14ac:dyDescent="0.3">
      <c r="A128" s="332"/>
      <c r="B128" s="332"/>
      <c r="C128" s="332"/>
      <c r="D128" s="332"/>
      <c r="E128" s="332"/>
      <c r="F128" s="332"/>
      <c r="G128" s="332"/>
      <c r="H128" s="332"/>
      <c r="I128" s="332"/>
      <c r="J128" s="332"/>
      <c r="K128" s="332"/>
      <c r="L128" s="332"/>
      <c r="M128" s="332"/>
      <c r="N128" s="332"/>
      <c r="O128" s="332"/>
      <c r="P128" s="332"/>
      <c r="Q128" s="332"/>
      <c r="R128" s="332"/>
      <c r="S128" s="332"/>
      <c r="T128" s="332"/>
      <c r="U128" s="332"/>
      <c r="V128" s="332"/>
      <c r="W128" s="332"/>
      <c r="X128" s="332"/>
      <c r="Y128" s="332"/>
      <c r="Z128" s="332"/>
      <c r="AA128" s="141"/>
      <c r="AB128" s="141"/>
      <c r="AC128" s="141"/>
      <c r="AD128" s="141"/>
      <c r="AE128" s="141"/>
      <c r="AF128" s="141"/>
      <c r="AG128" s="141"/>
      <c r="AH128" s="141"/>
      <c r="AI128" s="141"/>
      <c r="AJ128" s="141"/>
      <c r="AK128" s="141"/>
      <c r="AL128" s="331"/>
      <c r="AM128" s="240"/>
      <c r="AN128" s="141"/>
      <c r="AO128" s="141"/>
      <c r="AP128" s="141"/>
      <c r="AQ128" s="141"/>
      <c r="AR128" s="141"/>
      <c r="AS128" s="141"/>
      <c r="AT128" s="141"/>
      <c r="AU128" s="141"/>
      <c r="AV128" s="141"/>
      <c r="AW128" s="141"/>
      <c r="AX128" s="141"/>
      <c r="AY128" s="141"/>
      <c r="AZ128" s="141"/>
      <c r="BA128" s="141"/>
      <c r="BB128" s="141"/>
      <c r="BC128" s="141"/>
      <c r="BD128" s="141"/>
      <c r="BE128" s="141"/>
      <c r="BF128" s="141"/>
      <c r="BG128" s="141"/>
      <c r="BH128" s="141"/>
      <c r="BI128" s="141"/>
      <c r="BJ128" s="141"/>
      <c r="BK128" s="141"/>
      <c r="BL128" s="141"/>
      <c r="BM128" s="141"/>
      <c r="BN128" s="141"/>
      <c r="BO128" s="141"/>
      <c r="BP128" s="141"/>
      <c r="BQ128" s="141"/>
      <c r="BR128" s="141"/>
      <c r="BS128" s="141"/>
      <c r="BT128" s="141"/>
      <c r="BU128" s="141"/>
      <c r="BV128" s="141"/>
      <c r="BW128" s="141"/>
      <c r="BX128" s="141"/>
      <c r="BY128" s="141"/>
      <c r="BZ128" s="141"/>
      <c r="CA128" s="141"/>
      <c r="CB128" s="141"/>
      <c r="CC128" s="141"/>
      <c r="CD128" s="141"/>
      <c r="CE128" s="141"/>
      <c r="CF128" s="141"/>
      <c r="CG128" s="141"/>
      <c r="CH128" s="141"/>
      <c r="CI128" s="141"/>
      <c r="CJ128" s="141"/>
      <c r="CK128" s="141"/>
      <c r="CL128" s="141"/>
      <c r="CM128" s="141"/>
      <c r="CN128" s="141"/>
      <c r="CO128" s="141"/>
      <c r="CP128" s="141"/>
      <c r="CQ128" s="141"/>
      <c r="CR128" s="141"/>
      <c r="CS128" s="141"/>
      <c r="CT128" s="141"/>
      <c r="CU128" s="337">
        <v>0.5</v>
      </c>
      <c r="CV128" s="141"/>
      <c r="CW128" s="141"/>
      <c r="CX128" s="141" t="s">
        <v>1112</v>
      </c>
      <c r="CY128" s="141" t="s">
        <v>1115</v>
      </c>
      <c r="CZ128" s="141">
        <v>0.45</v>
      </c>
      <c r="DA128" s="141">
        <v>0.45</v>
      </c>
      <c r="DB128" s="141">
        <v>0.3</v>
      </c>
      <c r="DC128" s="141"/>
      <c r="DD128" s="141">
        <v>5</v>
      </c>
      <c r="DE128" s="141">
        <v>5</v>
      </c>
      <c r="DF128" s="141"/>
      <c r="DG128" s="141"/>
      <c r="DH128" s="141"/>
      <c r="DI128" s="335"/>
      <c r="DJ128" s="336"/>
      <c r="DK128" s="141"/>
      <c r="DL128" s="141"/>
      <c r="DM128" s="141"/>
      <c r="DN128" s="141"/>
      <c r="DO128" s="141"/>
      <c r="DP128" s="141"/>
      <c r="DQ128" s="141"/>
      <c r="DR128" s="141"/>
      <c r="DS128" s="141"/>
      <c r="DT128" s="141"/>
      <c r="DU128" s="141"/>
      <c r="DV128" s="141"/>
      <c r="DW128" s="141"/>
      <c r="DX128" s="141"/>
      <c r="DY128" s="141"/>
      <c r="DZ128" s="141"/>
      <c r="EA128" s="141"/>
      <c r="EB128" s="332"/>
    </row>
    <row r="129" spans="1:132" s="147" customFormat="1" hidden="1" x14ac:dyDescent="0.3">
      <c r="A129" s="332"/>
      <c r="B129" s="332"/>
      <c r="C129" s="332"/>
      <c r="D129" s="332"/>
      <c r="E129" s="332"/>
      <c r="F129" s="332"/>
      <c r="G129" s="332"/>
      <c r="H129" s="332"/>
      <c r="I129" s="332"/>
      <c r="J129" s="332"/>
      <c r="K129" s="332"/>
      <c r="L129" s="332"/>
      <c r="M129" s="332"/>
      <c r="N129" s="332"/>
      <c r="O129" s="332"/>
      <c r="P129" s="332"/>
      <c r="Q129" s="332"/>
      <c r="R129" s="332"/>
      <c r="S129" s="332"/>
      <c r="T129" s="332"/>
      <c r="U129" s="332"/>
      <c r="V129" s="332"/>
      <c r="W129" s="332"/>
      <c r="X129" s="332"/>
      <c r="Y129" s="332"/>
      <c r="Z129" s="332"/>
      <c r="AA129" s="141"/>
      <c r="AB129" s="141"/>
      <c r="AC129" s="141"/>
      <c r="AD129" s="141"/>
      <c r="AE129" s="141"/>
      <c r="AF129" s="141"/>
      <c r="AG129" s="141"/>
      <c r="AH129" s="141"/>
      <c r="AI129" s="141"/>
      <c r="AJ129" s="141"/>
      <c r="AK129" s="141"/>
      <c r="AL129" s="331"/>
      <c r="AM129" s="240"/>
      <c r="AN129" s="141"/>
      <c r="AO129" s="141"/>
      <c r="AP129" s="141"/>
      <c r="AQ129" s="141"/>
      <c r="AR129" s="141"/>
      <c r="AS129" s="141"/>
      <c r="AT129" s="141"/>
      <c r="AU129" s="141"/>
      <c r="AV129" s="141"/>
      <c r="AW129" s="141"/>
      <c r="AX129" s="141"/>
      <c r="AY129" s="141"/>
      <c r="AZ129" s="141"/>
      <c r="BA129" s="141"/>
      <c r="BB129" s="141"/>
      <c r="BC129" s="141"/>
      <c r="BD129" s="141"/>
      <c r="BE129" s="141"/>
      <c r="BF129" s="141"/>
      <c r="BG129" s="141"/>
      <c r="BH129" s="141"/>
      <c r="BI129" s="141"/>
      <c r="BJ129" s="141"/>
      <c r="BK129" s="141"/>
      <c r="BL129" s="141"/>
      <c r="BM129" s="141"/>
      <c r="BN129" s="141"/>
      <c r="BO129" s="141"/>
      <c r="BP129" s="141"/>
      <c r="BQ129" s="141"/>
      <c r="BR129" s="141"/>
      <c r="BS129" s="141"/>
      <c r="BT129" s="141"/>
      <c r="BU129" s="141"/>
      <c r="BV129" s="141"/>
      <c r="BW129" s="141"/>
      <c r="BX129" s="141"/>
      <c r="BY129" s="141"/>
      <c r="BZ129" s="141"/>
      <c r="CA129" s="141"/>
      <c r="CB129" s="141"/>
      <c r="CC129" s="141"/>
      <c r="CD129" s="141"/>
      <c r="CE129" s="141"/>
      <c r="CF129" s="141"/>
      <c r="CG129" s="141"/>
      <c r="CH129" s="141"/>
      <c r="CI129" s="141"/>
      <c r="CJ129" s="141"/>
      <c r="CK129" s="141"/>
      <c r="CL129" s="141"/>
      <c r="CM129" s="141"/>
      <c r="CN129" s="141"/>
      <c r="CO129" s="141"/>
      <c r="CP129" s="141"/>
      <c r="CQ129" s="141"/>
      <c r="CR129" s="141"/>
      <c r="CS129" s="141"/>
      <c r="CT129" s="141"/>
      <c r="CU129" s="337">
        <v>0.55000000000000004</v>
      </c>
      <c r="CV129" s="141"/>
      <c r="CW129" s="141"/>
      <c r="CX129" s="141"/>
      <c r="CY129" s="141"/>
      <c r="CZ129" s="141"/>
      <c r="DA129" s="141"/>
      <c r="DB129" s="141"/>
      <c r="DC129" s="141"/>
      <c r="DD129" s="141" t="s">
        <v>1117</v>
      </c>
      <c r="DE129" s="141">
        <v>6</v>
      </c>
      <c r="DF129" s="141"/>
      <c r="DG129" s="141"/>
      <c r="DH129" s="141"/>
      <c r="DI129" s="335"/>
      <c r="DJ129" s="336"/>
      <c r="DK129" s="141"/>
      <c r="DL129" s="141"/>
      <c r="DM129" s="141"/>
      <c r="DN129" s="141"/>
      <c r="DO129" s="141"/>
      <c r="DP129" s="141"/>
      <c r="DQ129" s="141"/>
      <c r="DR129" s="141"/>
      <c r="DS129" s="141"/>
      <c r="DT129" s="141"/>
      <c r="DU129" s="141"/>
      <c r="DV129" s="141"/>
      <c r="DW129" s="141"/>
      <c r="DX129" s="141"/>
      <c r="DY129" s="141"/>
      <c r="DZ129" s="141"/>
      <c r="EA129" s="141"/>
      <c r="EB129" s="332"/>
    </row>
    <row r="130" spans="1:132" s="147" customFormat="1" hidden="1" x14ac:dyDescent="0.3">
      <c r="A130" s="332"/>
      <c r="B130" s="332"/>
      <c r="C130" s="332"/>
      <c r="D130" s="332"/>
      <c r="E130" s="332"/>
      <c r="F130" s="332"/>
      <c r="G130" s="332"/>
      <c r="H130" s="332"/>
      <c r="I130" s="332"/>
      <c r="J130" s="332"/>
      <c r="K130" s="332"/>
      <c r="L130" s="332"/>
      <c r="M130" s="332"/>
      <c r="N130" s="332"/>
      <c r="O130" s="332"/>
      <c r="P130" s="332"/>
      <c r="Q130" s="332"/>
      <c r="R130" s="332"/>
      <c r="S130" s="332"/>
      <c r="T130" s="332"/>
      <c r="U130" s="332"/>
      <c r="V130" s="332"/>
      <c r="W130" s="332"/>
      <c r="X130" s="332"/>
      <c r="Y130" s="332"/>
      <c r="Z130" s="332"/>
      <c r="AA130" s="141"/>
      <c r="AB130" s="141"/>
      <c r="AC130" s="141"/>
      <c r="AD130" s="141"/>
      <c r="AE130" s="141"/>
      <c r="AF130" s="141"/>
      <c r="AG130" s="141"/>
      <c r="AH130" s="141"/>
      <c r="AI130" s="141"/>
      <c r="AJ130" s="141"/>
      <c r="AK130" s="141"/>
      <c r="AL130" s="331"/>
      <c r="AM130" s="240"/>
      <c r="AN130" s="141"/>
      <c r="AO130" s="141"/>
      <c r="AP130" s="141"/>
      <c r="AQ130" s="141"/>
      <c r="AR130" s="141"/>
      <c r="AS130" s="141"/>
      <c r="AT130" s="141"/>
      <c r="AU130" s="141"/>
      <c r="AV130" s="141"/>
      <c r="AW130" s="141"/>
      <c r="AX130" s="141"/>
      <c r="AY130" s="141"/>
      <c r="AZ130" s="141"/>
      <c r="BA130" s="141"/>
      <c r="BB130" s="141"/>
      <c r="BC130" s="141"/>
      <c r="BD130" s="141"/>
      <c r="BE130" s="141"/>
      <c r="BF130" s="141"/>
      <c r="BG130" s="141"/>
      <c r="BH130" s="141"/>
      <c r="BI130" s="141"/>
      <c r="BJ130" s="141"/>
      <c r="BK130" s="141"/>
      <c r="BL130" s="141"/>
      <c r="BM130" s="141"/>
      <c r="BN130" s="141"/>
      <c r="BO130" s="141"/>
      <c r="BP130" s="141"/>
      <c r="BQ130" s="141"/>
      <c r="BR130" s="141"/>
      <c r="BS130" s="141"/>
      <c r="BT130" s="141"/>
      <c r="BU130" s="141"/>
      <c r="BV130" s="141"/>
      <c r="BW130" s="141"/>
      <c r="BX130" s="141"/>
      <c r="BY130" s="141"/>
      <c r="BZ130" s="141"/>
      <c r="CA130" s="141"/>
      <c r="CB130" s="141"/>
      <c r="CC130" s="141"/>
      <c r="CD130" s="141"/>
      <c r="CE130" s="141"/>
      <c r="CF130" s="141"/>
      <c r="CG130" s="141"/>
      <c r="CH130" s="141"/>
      <c r="CI130" s="141"/>
      <c r="CJ130" s="141"/>
      <c r="CK130" s="141"/>
      <c r="CL130" s="141"/>
      <c r="CM130" s="141"/>
      <c r="CN130" s="141"/>
      <c r="CO130" s="141"/>
      <c r="CP130" s="141"/>
      <c r="CQ130" s="141"/>
      <c r="CR130" s="141"/>
      <c r="CS130" s="141"/>
      <c r="CT130" s="141"/>
      <c r="CU130" s="337">
        <v>0.6</v>
      </c>
      <c r="CV130" s="141"/>
      <c r="CW130" s="141"/>
      <c r="CX130" s="141"/>
      <c r="CY130" s="141"/>
      <c r="CZ130" s="141"/>
      <c r="DA130" s="141"/>
      <c r="DB130" s="141"/>
      <c r="DC130" s="141"/>
      <c r="DD130" s="141">
        <v>6</v>
      </c>
      <c r="DE130" s="141">
        <v>7</v>
      </c>
      <c r="DF130" s="141"/>
      <c r="DG130" s="141"/>
      <c r="DH130" s="141"/>
      <c r="DI130" s="335">
        <v>1</v>
      </c>
      <c r="DJ130" s="336" t="s">
        <v>1039</v>
      </c>
      <c r="DK130" s="141"/>
      <c r="DL130" s="141"/>
      <c r="DM130" s="141"/>
      <c r="DN130" s="141"/>
      <c r="DO130" s="141"/>
      <c r="DP130" s="141"/>
      <c r="DQ130" s="141"/>
      <c r="DR130" s="141"/>
      <c r="DS130" s="141"/>
      <c r="DT130" s="141"/>
      <c r="DU130" s="141"/>
      <c r="DV130" s="141"/>
      <c r="DW130" s="141"/>
      <c r="DX130" s="141"/>
      <c r="DY130" s="141"/>
      <c r="DZ130" s="141"/>
      <c r="EA130" s="141"/>
      <c r="EB130" s="332"/>
    </row>
    <row r="131" spans="1:132" s="147" customFormat="1" hidden="1" x14ac:dyDescent="0.3">
      <c r="A131" s="332"/>
      <c r="B131" s="332"/>
      <c r="C131" s="332"/>
      <c r="D131" s="332"/>
      <c r="E131" s="332"/>
      <c r="F131" s="332"/>
      <c r="G131" s="332"/>
      <c r="H131" s="332"/>
      <c r="I131" s="332"/>
      <c r="J131" s="332"/>
      <c r="K131" s="332"/>
      <c r="L131" s="332"/>
      <c r="M131" s="332"/>
      <c r="N131" s="332"/>
      <c r="O131" s="332"/>
      <c r="P131" s="332"/>
      <c r="Q131" s="332"/>
      <c r="R131" s="332"/>
      <c r="S131" s="332"/>
      <c r="T131" s="332"/>
      <c r="U131" s="332"/>
      <c r="V131" s="332"/>
      <c r="W131" s="332"/>
      <c r="X131" s="332"/>
      <c r="Y131" s="332"/>
      <c r="Z131" s="332"/>
      <c r="AA131" s="141"/>
      <c r="AB131" s="141"/>
      <c r="AC131" s="141"/>
      <c r="AD131" s="141"/>
      <c r="AE131" s="141"/>
      <c r="AF131" s="141"/>
      <c r="AG131" s="141"/>
      <c r="AH131" s="141"/>
      <c r="AI131" s="141"/>
      <c r="AJ131" s="141"/>
      <c r="AK131" s="141"/>
      <c r="AL131" s="331"/>
      <c r="AM131" s="240"/>
      <c r="AN131" s="141"/>
      <c r="AO131" s="141"/>
      <c r="AP131" s="141"/>
      <c r="AQ131" s="141"/>
      <c r="AR131" s="141"/>
      <c r="AS131" s="141"/>
      <c r="AT131" s="141"/>
      <c r="AU131" s="141"/>
      <c r="AV131" s="141"/>
      <c r="AW131" s="141"/>
      <c r="AX131" s="141"/>
      <c r="AY131" s="141"/>
      <c r="AZ131" s="141"/>
      <c r="BA131" s="141"/>
      <c r="BB131" s="141"/>
      <c r="BC131" s="141"/>
      <c r="BD131" s="141"/>
      <c r="BE131" s="141"/>
      <c r="BF131" s="141"/>
      <c r="BG131" s="141"/>
      <c r="BH131" s="141"/>
      <c r="BI131" s="141"/>
      <c r="BJ131" s="141"/>
      <c r="BK131" s="141"/>
      <c r="BL131" s="141"/>
      <c r="BM131" s="141"/>
      <c r="BN131" s="141"/>
      <c r="BO131" s="141"/>
      <c r="BP131" s="141"/>
      <c r="BQ131" s="141"/>
      <c r="BR131" s="141"/>
      <c r="BS131" s="141"/>
      <c r="BT131" s="141"/>
      <c r="BU131" s="141"/>
      <c r="BV131" s="141"/>
      <c r="BW131" s="141"/>
      <c r="BX131" s="141"/>
      <c r="BY131" s="141"/>
      <c r="BZ131" s="141"/>
      <c r="CA131" s="141"/>
      <c r="CB131" s="141"/>
      <c r="CC131" s="141"/>
      <c r="CD131" s="141"/>
      <c r="CE131" s="141"/>
      <c r="CF131" s="141"/>
      <c r="CG131" s="141"/>
      <c r="CH131" s="141"/>
      <c r="CI131" s="141"/>
      <c r="CJ131" s="141"/>
      <c r="CK131" s="141"/>
      <c r="CL131" s="141"/>
      <c r="CM131" s="141"/>
      <c r="CN131" s="141"/>
      <c r="CO131" s="141"/>
      <c r="CP131" s="141"/>
      <c r="CQ131" s="141"/>
      <c r="CR131" s="141"/>
      <c r="CS131" s="141"/>
      <c r="CT131" s="141"/>
      <c r="CU131" s="337">
        <v>0.65</v>
      </c>
      <c r="CV131" s="141"/>
      <c r="CW131" s="141"/>
      <c r="CX131" s="141"/>
      <c r="CY131" s="141"/>
      <c r="CZ131" s="141"/>
      <c r="DA131" s="141"/>
      <c r="DB131" s="141"/>
      <c r="DC131" s="141"/>
      <c r="DD131" s="141">
        <v>7</v>
      </c>
      <c r="DE131" s="141">
        <v>8</v>
      </c>
      <c r="DF131" s="141"/>
      <c r="DG131" s="141"/>
      <c r="DH131" s="141"/>
      <c r="DI131" s="335">
        <v>2</v>
      </c>
      <c r="DJ131" s="336" t="s">
        <v>1068</v>
      </c>
      <c r="DK131" s="141"/>
      <c r="DL131" s="141"/>
      <c r="DM131" s="141"/>
      <c r="DN131" s="141"/>
      <c r="DO131" s="141"/>
      <c r="DP131" s="141"/>
      <c r="DQ131" s="141"/>
      <c r="DR131" s="141"/>
      <c r="DS131" s="141"/>
      <c r="DT131" s="141"/>
      <c r="DU131" s="141"/>
      <c r="DV131" s="141"/>
      <c r="DW131" s="141"/>
      <c r="DX131" s="141"/>
      <c r="DY131" s="141"/>
      <c r="DZ131" s="141"/>
      <c r="EA131" s="141"/>
      <c r="EB131" s="332"/>
    </row>
    <row r="132" spans="1:132" s="147" customFormat="1" hidden="1" x14ac:dyDescent="0.3">
      <c r="A132" s="141"/>
      <c r="B132" s="141"/>
      <c r="C132" s="141"/>
      <c r="D132" s="141"/>
      <c r="E132" s="141"/>
      <c r="F132" s="141"/>
      <c r="G132" s="141"/>
      <c r="H132" s="141"/>
      <c r="I132" s="141"/>
      <c r="J132" s="141"/>
      <c r="K132" s="141"/>
      <c r="L132" s="141"/>
      <c r="M132" s="141"/>
      <c r="N132" s="141"/>
      <c r="O132" s="141"/>
      <c r="P132" s="141"/>
      <c r="Q132" s="141"/>
      <c r="R132" s="141"/>
      <c r="S132" s="141"/>
      <c r="T132" s="141"/>
      <c r="U132" s="141"/>
      <c r="V132" s="141"/>
      <c r="W132" s="141"/>
      <c r="X132" s="141"/>
      <c r="Y132" s="141"/>
      <c r="Z132" s="141"/>
      <c r="AA132" s="141"/>
      <c r="AB132" s="141"/>
      <c r="AC132" s="141"/>
      <c r="AD132" s="141"/>
      <c r="AE132" s="141"/>
      <c r="AF132" s="141"/>
      <c r="AG132" s="141"/>
      <c r="AH132" s="141"/>
      <c r="AI132" s="141"/>
      <c r="AJ132" s="141"/>
      <c r="AK132" s="141"/>
      <c r="AL132" s="331"/>
      <c r="AM132" s="141"/>
      <c r="AN132" s="141"/>
      <c r="AO132" s="141"/>
      <c r="AP132" s="141"/>
      <c r="AQ132" s="141"/>
      <c r="AR132" s="141"/>
      <c r="AS132" s="141"/>
      <c r="AT132" s="141"/>
      <c r="AU132" s="141"/>
      <c r="AV132" s="141"/>
      <c r="AW132" s="141"/>
      <c r="AX132" s="141"/>
      <c r="AY132" s="141"/>
      <c r="AZ132" s="141"/>
      <c r="BA132" s="141"/>
      <c r="BB132" s="141"/>
      <c r="BC132" s="141"/>
      <c r="BD132" s="141"/>
      <c r="BE132" s="141"/>
      <c r="BF132" s="141"/>
      <c r="BG132" s="141"/>
      <c r="BH132" s="141"/>
      <c r="BI132" s="141"/>
      <c r="BJ132" s="141"/>
      <c r="BK132" s="141"/>
      <c r="BL132" s="141"/>
      <c r="BM132" s="141"/>
      <c r="BN132" s="141"/>
      <c r="BO132" s="141"/>
      <c r="BP132" s="141"/>
      <c r="BQ132" s="141"/>
      <c r="BR132" s="141"/>
      <c r="BS132" s="141"/>
      <c r="BT132" s="141"/>
      <c r="BU132" s="141"/>
      <c r="BV132" s="141"/>
      <c r="BW132" s="141"/>
      <c r="BX132" s="141"/>
      <c r="BY132" s="141"/>
      <c r="BZ132" s="141"/>
      <c r="CA132" s="141"/>
      <c r="CB132" s="141"/>
      <c r="CC132" s="141"/>
      <c r="CD132" s="141"/>
      <c r="CE132" s="141"/>
      <c r="CF132" s="141"/>
      <c r="CG132" s="141"/>
      <c r="CH132" s="141"/>
      <c r="CI132" s="141"/>
      <c r="CJ132" s="141"/>
      <c r="CK132" s="141"/>
      <c r="CL132" s="141"/>
      <c r="CM132" s="141"/>
      <c r="CN132" s="141"/>
      <c r="CO132" s="141"/>
      <c r="CP132" s="141"/>
      <c r="CQ132" s="141"/>
      <c r="CR132" s="141"/>
      <c r="CS132" s="141"/>
      <c r="CT132" s="141"/>
      <c r="CU132" s="337">
        <v>0.7</v>
      </c>
      <c r="CV132" s="141"/>
      <c r="CW132" s="141"/>
      <c r="CX132" s="141"/>
      <c r="CY132" s="141"/>
      <c r="CZ132" s="141"/>
      <c r="DA132" s="141"/>
      <c r="DB132" s="141"/>
      <c r="DC132" s="141"/>
      <c r="DD132" s="141">
        <v>8</v>
      </c>
      <c r="DE132" s="141">
        <v>9</v>
      </c>
      <c r="DF132" s="141"/>
      <c r="DG132" s="141"/>
      <c r="DH132" s="141"/>
      <c r="DI132" s="335">
        <v>3</v>
      </c>
      <c r="DJ132" s="336" t="s">
        <v>1118</v>
      </c>
      <c r="DK132" s="141"/>
      <c r="DL132" s="141"/>
      <c r="DM132" s="141"/>
      <c r="DN132" s="141"/>
      <c r="DO132" s="141"/>
      <c r="DP132" s="141"/>
      <c r="DQ132" s="141"/>
      <c r="DR132" s="141"/>
      <c r="DS132" s="141"/>
      <c r="DT132" s="141"/>
      <c r="DU132" s="141"/>
      <c r="DV132" s="141"/>
      <c r="DW132" s="141"/>
      <c r="DX132" s="141"/>
      <c r="DY132" s="141"/>
      <c r="DZ132" s="141"/>
      <c r="EA132" s="141"/>
      <c r="EB132" s="338"/>
    </row>
    <row r="133" spans="1:132" s="147" customFormat="1" hidden="1" x14ac:dyDescent="0.3">
      <c r="A133" s="332"/>
      <c r="B133" s="332"/>
      <c r="C133" s="332"/>
      <c r="D133" s="332"/>
      <c r="E133" s="339" t="s">
        <v>1119</v>
      </c>
      <c r="F133" s="340" t="b">
        <f>COUNTA(TableInputs)=0</f>
        <v>1</v>
      </c>
      <c r="G133" s="332"/>
      <c r="H133" s="332"/>
      <c r="I133" s="332"/>
      <c r="J133" s="332"/>
      <c r="K133" s="332"/>
      <c r="L133" s="332"/>
      <c r="M133" s="332"/>
      <c r="N133" s="332"/>
      <c r="O133" s="332"/>
      <c r="P133" s="332"/>
      <c r="Q133" s="332"/>
      <c r="R133" s="341">
        <f>COUNTIF(R136:R154,"&gt;0")</f>
        <v>1</v>
      </c>
      <c r="S133" s="341">
        <f>COUNTIF(S136:S154,"&gt;0")</f>
        <v>0</v>
      </c>
      <c r="T133" s="332"/>
      <c r="U133" s="332"/>
      <c r="V133" s="342">
        <f>SUM(R133:S133)</f>
        <v>1</v>
      </c>
      <c r="W133" s="332"/>
      <c r="X133" s="332"/>
      <c r="Y133" s="332"/>
      <c r="Z133" s="332"/>
      <c r="AA133" s="141"/>
      <c r="AB133" s="141"/>
      <c r="AC133" s="141"/>
      <c r="AD133" s="141"/>
      <c r="AE133" s="141"/>
      <c r="AF133" s="141"/>
      <c r="AG133" s="141"/>
      <c r="AH133" s="141"/>
      <c r="AI133" s="141"/>
      <c r="AJ133" s="141"/>
      <c r="AK133" s="141"/>
      <c r="AL133" s="331"/>
      <c r="AM133" s="141"/>
      <c r="AN133" s="141"/>
      <c r="AO133" s="141"/>
      <c r="AP133" s="141"/>
      <c r="AQ133" s="141"/>
      <c r="AR133" s="141"/>
      <c r="AS133" s="141"/>
      <c r="AT133" s="141"/>
      <c r="AU133" s="141"/>
      <c r="AV133" s="141"/>
      <c r="AW133" s="141"/>
      <c r="AX133" s="141"/>
      <c r="AY133" s="141"/>
      <c r="AZ133" s="141"/>
      <c r="BA133" s="141"/>
      <c r="BB133" s="141"/>
      <c r="BC133" s="141"/>
      <c r="BD133" s="141"/>
      <c r="BE133" s="141"/>
      <c r="BF133" s="141"/>
      <c r="BG133" s="141"/>
      <c r="BH133" s="141"/>
      <c r="BI133" s="141"/>
      <c r="BJ133" s="141"/>
      <c r="BK133" s="141"/>
      <c r="BL133" s="141"/>
      <c r="BM133" s="141"/>
      <c r="BN133" s="141"/>
      <c r="BO133" s="141"/>
      <c r="BP133" s="141"/>
      <c r="BQ133" s="141"/>
      <c r="BR133" s="141"/>
      <c r="BS133" s="141"/>
      <c r="BT133" s="141"/>
      <c r="BU133" s="141"/>
      <c r="BV133" s="141"/>
      <c r="BW133" s="141"/>
      <c r="BX133" s="141"/>
      <c r="BY133" s="141"/>
      <c r="BZ133" s="141"/>
      <c r="CA133" s="141"/>
      <c r="CB133" s="141"/>
      <c r="CC133" s="141"/>
      <c r="CD133" s="141"/>
      <c r="CE133" s="141"/>
      <c r="CF133" s="141"/>
      <c r="CG133" s="141"/>
      <c r="CH133" s="141"/>
      <c r="CI133" s="141"/>
      <c r="CJ133" s="141"/>
      <c r="CK133" s="141"/>
      <c r="CL133" s="141"/>
      <c r="CM133" s="141"/>
      <c r="CN133" s="141"/>
      <c r="CO133" s="141"/>
      <c r="CP133" s="141"/>
      <c r="CQ133" s="141"/>
      <c r="CR133" s="141"/>
      <c r="CS133" s="141"/>
      <c r="CT133" s="141"/>
      <c r="CU133" s="337">
        <v>0.75</v>
      </c>
      <c r="CV133" s="141"/>
      <c r="CW133" s="141"/>
      <c r="CX133" s="141"/>
      <c r="CY133" s="141"/>
      <c r="CZ133" s="141"/>
      <c r="DA133" s="141"/>
      <c r="DB133" s="141"/>
      <c r="DC133" s="141"/>
      <c r="DD133" s="141"/>
      <c r="DE133" s="141"/>
      <c r="DF133" s="141"/>
      <c r="DG133" s="141"/>
      <c r="DH133" s="141"/>
      <c r="DI133" s="335">
        <v>4</v>
      </c>
      <c r="DJ133" s="336" t="s">
        <v>1120</v>
      </c>
      <c r="DK133" s="141"/>
      <c r="DL133" s="141"/>
      <c r="DM133" s="141"/>
      <c r="DN133" s="141"/>
      <c r="DO133" s="141"/>
      <c r="DP133" s="141"/>
      <c r="DQ133" s="141"/>
      <c r="DR133" s="141"/>
      <c r="DS133" s="141"/>
      <c r="DT133" s="141"/>
      <c r="DU133" s="141"/>
      <c r="DV133" s="141"/>
      <c r="DW133" s="141"/>
      <c r="DX133" s="141"/>
      <c r="DY133" s="141"/>
      <c r="DZ133" s="141"/>
      <c r="EA133" s="141"/>
      <c r="EB133" s="332"/>
    </row>
    <row r="134" spans="1:132" s="147" customFormat="1" hidden="1" x14ac:dyDescent="0.3">
      <c r="A134" s="332"/>
      <c r="B134" s="343"/>
      <c r="C134" s="343"/>
      <c r="D134" s="343"/>
      <c r="E134" s="343"/>
      <c r="F134" s="344" t="s">
        <v>1121</v>
      </c>
      <c r="G134" s="332"/>
      <c r="H134" s="345"/>
      <c r="I134" s="346"/>
      <c r="J134" s="346"/>
      <c r="K134" s="346"/>
      <c r="L134" s="346"/>
      <c r="M134" s="346"/>
      <c r="N134" s="346"/>
      <c r="O134" s="332"/>
      <c r="P134" s="332"/>
      <c r="Q134" s="332"/>
      <c r="R134" s="347" t="s">
        <v>1122</v>
      </c>
      <c r="S134" s="344" t="s">
        <v>1123</v>
      </c>
      <c r="T134" s="344"/>
      <c r="U134" s="332"/>
      <c r="V134" s="348" t="s">
        <v>1124</v>
      </c>
      <c r="W134" s="332"/>
      <c r="X134" s="332"/>
      <c r="Y134" s="332"/>
      <c r="Z134" s="332"/>
      <c r="AA134" s="141"/>
      <c r="AB134" s="141"/>
      <c r="AC134" s="141"/>
      <c r="AD134" s="141"/>
      <c r="AE134" s="141"/>
      <c r="AF134" s="141"/>
      <c r="AG134" s="141"/>
      <c r="AH134" s="141"/>
      <c r="AI134" s="141"/>
      <c r="AJ134" s="141"/>
      <c r="AK134" s="141"/>
      <c r="AL134" s="331"/>
      <c r="AM134" s="141"/>
      <c r="AN134" s="141"/>
      <c r="AO134" s="141"/>
      <c r="AP134" s="141"/>
      <c r="AQ134" s="141"/>
      <c r="AR134" s="141"/>
      <c r="AS134" s="141"/>
      <c r="AT134" s="141"/>
      <c r="AU134" s="141"/>
      <c r="AV134" s="141"/>
      <c r="AW134" s="141"/>
      <c r="AX134" s="141"/>
      <c r="AY134" s="141"/>
      <c r="AZ134" s="141"/>
      <c r="BA134" s="141"/>
      <c r="BB134" s="141"/>
      <c r="BC134" s="141"/>
      <c r="BD134" s="141"/>
      <c r="BE134" s="141"/>
      <c r="BF134" s="141"/>
      <c r="BG134" s="141"/>
      <c r="BH134" s="141"/>
      <c r="BI134" s="141"/>
      <c r="BJ134" s="141"/>
      <c r="BK134" s="141"/>
      <c r="BL134" s="141"/>
      <c r="BM134" s="141"/>
      <c r="BN134" s="141"/>
      <c r="BO134" s="141"/>
      <c r="BP134" s="141"/>
      <c r="BQ134" s="141"/>
      <c r="BR134" s="141"/>
      <c r="BS134" s="141"/>
      <c r="BT134" s="141"/>
      <c r="BU134" s="141"/>
      <c r="BV134" s="141"/>
      <c r="BW134" s="141"/>
      <c r="BX134" s="141"/>
      <c r="BY134" s="141"/>
      <c r="BZ134" s="141"/>
      <c r="CA134" s="141"/>
      <c r="CB134" s="141"/>
      <c r="CC134" s="141"/>
      <c r="CD134" s="141"/>
      <c r="CE134" s="141"/>
      <c r="CF134" s="141"/>
      <c r="CG134" s="141"/>
      <c r="CH134" s="141"/>
      <c r="CI134" s="141"/>
      <c r="CJ134" s="141"/>
      <c r="CK134" s="141"/>
      <c r="CL134" s="141"/>
      <c r="CM134" s="141"/>
      <c r="CN134" s="141"/>
      <c r="CO134" s="141"/>
      <c r="CP134" s="141"/>
      <c r="CQ134" s="141"/>
      <c r="CR134" s="141"/>
      <c r="CS134" s="141"/>
      <c r="CT134" s="141"/>
      <c r="CU134" s="337">
        <v>0.8</v>
      </c>
      <c r="CV134" s="141"/>
      <c r="CW134" s="141"/>
      <c r="CX134" s="141"/>
      <c r="CY134" s="141"/>
      <c r="CZ134" s="141"/>
      <c r="DA134" s="141"/>
      <c r="DB134" s="141"/>
      <c r="DC134" s="141"/>
      <c r="DD134" s="141">
        <v>1</v>
      </c>
      <c r="DE134" s="141"/>
      <c r="DF134" s="141"/>
      <c r="DG134" s="141"/>
      <c r="DH134" s="141"/>
      <c r="DI134" s="335">
        <v>5</v>
      </c>
      <c r="DJ134" s="336" t="s">
        <v>1040</v>
      </c>
      <c r="DK134" s="141"/>
      <c r="DL134" s="141"/>
      <c r="DM134" s="141"/>
      <c r="DN134" s="141"/>
      <c r="DO134" s="141"/>
      <c r="DP134" s="141"/>
      <c r="DQ134" s="141"/>
      <c r="DR134" s="141"/>
      <c r="DS134" s="141"/>
      <c r="DT134" s="141"/>
      <c r="DU134" s="141"/>
      <c r="DV134" s="141"/>
      <c r="DW134" s="141"/>
      <c r="DX134" s="141"/>
      <c r="DY134" s="141"/>
      <c r="DZ134" s="141"/>
      <c r="EA134" s="141"/>
      <c r="EB134" s="332"/>
    </row>
    <row r="135" spans="1:132" s="147" customFormat="1" ht="21.5" hidden="1" x14ac:dyDescent="0.3">
      <c r="A135" s="332"/>
      <c r="B135" s="349" t="s">
        <v>1125</v>
      </c>
      <c r="C135" s="349"/>
      <c r="D135" s="349"/>
      <c r="E135" s="349"/>
      <c r="F135" s="350" t="s">
        <v>1126</v>
      </c>
      <c r="G135" s="351"/>
      <c r="H135" s="352" t="s">
        <v>1127</v>
      </c>
      <c r="I135" s="332"/>
      <c r="J135" s="332"/>
      <c r="K135" s="332"/>
      <c r="L135" s="332"/>
      <c r="M135" s="332"/>
      <c r="N135" s="332"/>
      <c r="O135" s="332"/>
      <c r="P135" s="332"/>
      <c r="Q135" s="332"/>
      <c r="R135" s="332"/>
      <c r="S135" s="332"/>
      <c r="T135" s="332"/>
      <c r="U135" s="332"/>
      <c r="V135" s="332"/>
      <c r="W135" s="332"/>
      <c r="X135" s="332"/>
      <c r="Y135" s="332"/>
      <c r="Z135" s="332"/>
      <c r="AA135" s="141"/>
      <c r="AB135" s="141"/>
      <c r="AC135" s="141"/>
      <c r="AD135" s="141"/>
      <c r="AE135" s="141"/>
      <c r="AF135" s="141"/>
      <c r="AG135" s="141"/>
      <c r="AH135" s="141"/>
      <c r="AI135" s="141"/>
      <c r="AJ135" s="141"/>
      <c r="AK135" s="141"/>
      <c r="AL135" s="331"/>
      <c r="AM135" s="141"/>
      <c r="AN135" s="141"/>
      <c r="AO135" s="141"/>
      <c r="AP135" s="141"/>
      <c r="AQ135" s="141"/>
      <c r="AR135" s="141"/>
      <c r="AS135" s="141"/>
      <c r="AT135" s="141"/>
      <c r="AU135" s="141"/>
      <c r="AV135" s="141"/>
      <c r="AW135" s="141"/>
      <c r="AX135" s="141"/>
      <c r="AY135" s="141"/>
      <c r="AZ135" s="141"/>
      <c r="BA135" s="141"/>
      <c r="BB135" s="141"/>
      <c r="BC135" s="141"/>
      <c r="BD135" s="141"/>
      <c r="BE135" s="141"/>
      <c r="BF135" s="141"/>
      <c r="BG135" s="141"/>
      <c r="BH135" s="141"/>
      <c r="BI135" s="141"/>
      <c r="BJ135" s="141"/>
      <c r="BK135" s="141"/>
      <c r="BL135" s="141"/>
      <c r="BM135" s="141"/>
      <c r="BN135" s="141"/>
      <c r="BO135" s="141"/>
      <c r="BP135" s="141"/>
      <c r="BQ135" s="141"/>
      <c r="BR135" s="141"/>
      <c r="BS135" s="141"/>
      <c r="BT135" s="141"/>
      <c r="BU135" s="141"/>
      <c r="BV135" s="141"/>
      <c r="BW135" s="141"/>
      <c r="BX135" s="141"/>
      <c r="BY135" s="141"/>
      <c r="BZ135" s="141"/>
      <c r="CA135" s="141"/>
      <c r="CB135" s="141"/>
      <c r="CC135" s="141"/>
      <c r="CD135" s="141"/>
      <c r="CE135" s="141"/>
      <c r="CF135" s="141"/>
      <c r="CG135" s="141"/>
      <c r="CH135" s="141"/>
      <c r="CI135" s="141"/>
      <c r="CJ135" s="141"/>
      <c r="CK135" s="141"/>
      <c r="CL135" s="141"/>
      <c r="CM135" s="141"/>
      <c r="CN135" s="141"/>
      <c r="CO135" s="141"/>
      <c r="CP135" s="141"/>
      <c r="CQ135" s="141"/>
      <c r="CR135" s="141"/>
      <c r="CS135" s="141"/>
      <c r="CT135" s="141"/>
      <c r="CU135" s="337">
        <v>0.85</v>
      </c>
      <c r="CV135" s="141"/>
      <c r="CW135" s="141"/>
      <c r="CX135" s="141"/>
      <c r="CY135" s="141"/>
      <c r="CZ135" s="141"/>
      <c r="DA135" s="141"/>
      <c r="DB135" s="141"/>
      <c r="DC135" s="141"/>
      <c r="DD135" s="141">
        <v>2</v>
      </c>
      <c r="DE135" s="141"/>
      <c r="DF135" s="141"/>
      <c r="DG135" s="141"/>
      <c r="DH135" s="141"/>
      <c r="DI135" s="335">
        <v>6</v>
      </c>
      <c r="DJ135" s="336" t="s">
        <v>1041</v>
      </c>
      <c r="DK135" s="141"/>
      <c r="DL135" s="141"/>
      <c r="DM135" s="141"/>
      <c r="DN135" s="141"/>
      <c r="DO135" s="141"/>
      <c r="DP135" s="141"/>
      <c r="DQ135" s="141"/>
      <c r="DR135" s="141"/>
      <c r="DS135" s="141"/>
      <c r="DT135" s="141"/>
      <c r="DU135" s="141"/>
      <c r="DV135" s="141"/>
      <c r="DW135" s="141"/>
      <c r="DX135" s="141"/>
      <c r="DY135" s="141"/>
      <c r="DZ135" s="141"/>
      <c r="EA135" s="141"/>
      <c r="EB135" s="332"/>
    </row>
    <row r="136" spans="1:132" s="147" customFormat="1" hidden="1" x14ac:dyDescent="0.3">
      <c r="A136" s="332"/>
      <c r="B136" s="343"/>
      <c r="C136" s="343"/>
      <c r="D136" s="343"/>
      <c r="E136" s="353" t="s">
        <v>1128</v>
      </c>
      <c r="F136" s="1147" t="b">
        <f>AND(NoGlazing=TRUE,ISBLANK(Building))</f>
        <v>0</v>
      </c>
      <c r="G136" s="1148"/>
      <c r="H136" s="1149" t="str">
        <f>IF(F136=TRUE,"1. Enter a description of the building and the part(s) of it covered by this assessment.","")</f>
        <v/>
      </c>
      <c r="I136" s="332"/>
      <c r="J136" s="332"/>
      <c r="K136" s="332"/>
      <c r="L136" s="332"/>
      <c r="M136" s="332"/>
      <c r="N136" s="332"/>
      <c r="O136" s="332"/>
      <c r="P136" s="332"/>
      <c r="Q136" s="332"/>
      <c r="R136" s="354">
        <f>LEN(H136)</f>
        <v>0</v>
      </c>
      <c r="S136" s="332"/>
      <c r="T136" s="332"/>
      <c r="U136" s="332"/>
      <c r="V136" s="332"/>
      <c r="W136" s="332"/>
      <c r="X136" s="332"/>
      <c r="Y136" s="332"/>
      <c r="Z136" s="332"/>
      <c r="AA136" s="141"/>
      <c r="AB136" s="141"/>
      <c r="AC136" s="141"/>
      <c r="AD136" s="141"/>
      <c r="AE136" s="141"/>
      <c r="AF136" s="141"/>
      <c r="AG136" s="141"/>
      <c r="AH136" s="141"/>
      <c r="AI136" s="141"/>
      <c r="AJ136" s="141"/>
      <c r="AK136" s="141"/>
      <c r="AL136" s="331"/>
      <c r="AM136" s="141"/>
      <c r="AN136" s="141"/>
      <c r="AO136" s="141"/>
      <c r="AP136" s="141"/>
      <c r="AQ136" s="141"/>
      <c r="AR136" s="141"/>
      <c r="AS136" s="141"/>
      <c r="AT136" s="141"/>
      <c r="AU136" s="141"/>
      <c r="AV136" s="141"/>
      <c r="AW136" s="141"/>
      <c r="AX136" s="141"/>
      <c r="AY136" s="141"/>
      <c r="AZ136" s="141"/>
      <c r="BA136" s="141"/>
      <c r="BB136" s="141"/>
      <c r="BC136" s="141"/>
      <c r="BD136" s="141"/>
      <c r="BE136" s="141"/>
      <c r="BF136" s="141"/>
      <c r="BG136" s="141"/>
      <c r="BH136" s="141"/>
      <c r="BI136" s="141"/>
      <c r="BJ136" s="141"/>
      <c r="BK136" s="141"/>
      <c r="BL136" s="141"/>
      <c r="BM136" s="141"/>
      <c r="BN136" s="141"/>
      <c r="BO136" s="141"/>
      <c r="BP136" s="141"/>
      <c r="BQ136" s="141"/>
      <c r="BR136" s="141"/>
      <c r="BS136" s="141"/>
      <c r="BT136" s="141"/>
      <c r="BU136" s="141"/>
      <c r="BV136" s="141"/>
      <c r="BW136" s="141"/>
      <c r="BX136" s="141"/>
      <c r="BY136" s="141"/>
      <c r="BZ136" s="141"/>
      <c r="CA136" s="141"/>
      <c r="CB136" s="141"/>
      <c r="CC136" s="141"/>
      <c r="CD136" s="141"/>
      <c r="CE136" s="141"/>
      <c r="CF136" s="141"/>
      <c r="CG136" s="141"/>
      <c r="CH136" s="141"/>
      <c r="CI136" s="141"/>
      <c r="CJ136" s="141"/>
      <c r="CK136" s="141"/>
      <c r="CL136" s="141"/>
      <c r="CM136" s="141"/>
      <c r="CN136" s="141"/>
      <c r="CO136" s="141"/>
      <c r="CP136" s="141"/>
      <c r="CQ136" s="141"/>
      <c r="CR136" s="141"/>
      <c r="CS136" s="141"/>
      <c r="CT136" s="141"/>
      <c r="CU136" s="337">
        <v>0.9</v>
      </c>
      <c r="CV136" s="141"/>
      <c r="CW136" s="141"/>
      <c r="CX136" s="141"/>
      <c r="CY136" s="141"/>
      <c r="CZ136" s="141"/>
      <c r="DA136" s="141"/>
      <c r="DB136" s="141"/>
      <c r="DC136" s="141"/>
      <c r="DD136" s="141">
        <v>3</v>
      </c>
      <c r="DE136" s="141"/>
      <c r="DF136" s="141"/>
      <c r="DG136" s="141"/>
      <c r="DH136" s="141"/>
      <c r="DI136" s="335">
        <v>7</v>
      </c>
      <c r="DJ136" s="336" t="s">
        <v>1042</v>
      </c>
      <c r="DK136" s="141"/>
      <c r="DL136" s="141"/>
      <c r="DM136" s="141"/>
      <c r="DN136" s="141"/>
      <c r="DO136" s="141"/>
      <c r="DP136" s="141"/>
      <c r="DQ136" s="141"/>
      <c r="DR136" s="141"/>
      <c r="DS136" s="141"/>
      <c r="DT136" s="141"/>
      <c r="DU136" s="141"/>
      <c r="DV136" s="141"/>
      <c r="DW136" s="141"/>
      <c r="DX136" s="141"/>
      <c r="DY136" s="141"/>
      <c r="DZ136" s="141"/>
      <c r="EA136" s="141"/>
      <c r="EB136" s="332"/>
    </row>
    <row r="137" spans="1:132" s="147" customFormat="1" ht="13.5" hidden="1" thickBot="1" x14ac:dyDescent="0.35">
      <c r="A137" s="332"/>
      <c r="B137" s="343"/>
      <c r="C137" s="343"/>
      <c r="D137" s="343"/>
      <c r="E137" s="353" t="s">
        <v>1129</v>
      </c>
      <c r="F137" s="355" t="b">
        <f>AND(NoGlazing=FALSE,ISBLANK(Building))</f>
        <v>0</v>
      </c>
      <c r="G137" s="356"/>
      <c r="H137" s="1362" t="str">
        <f>IF(F137=TRUE,"No building identification","")</f>
        <v/>
      </c>
      <c r="I137" s="332"/>
      <c r="J137" s="332"/>
      <c r="K137" s="332"/>
      <c r="L137" s="332"/>
      <c r="M137" s="332"/>
      <c r="N137" s="332"/>
      <c r="O137" s="332"/>
      <c r="P137" s="332"/>
      <c r="Q137" s="332"/>
      <c r="R137" s="332"/>
      <c r="S137" s="354">
        <f>LEN(H137)</f>
        <v>0</v>
      </c>
      <c r="T137" s="332"/>
      <c r="U137" s="332"/>
      <c r="V137" s="332"/>
      <c r="W137" s="332"/>
      <c r="X137" s="332"/>
      <c r="Y137" s="332"/>
      <c r="Z137" s="332"/>
      <c r="AA137" s="141"/>
      <c r="AB137" s="141"/>
      <c r="AC137" s="141"/>
      <c r="AD137" s="141"/>
      <c r="AE137" s="141"/>
      <c r="AF137" s="141"/>
      <c r="AG137" s="141"/>
      <c r="AH137" s="141"/>
      <c r="AI137" s="141"/>
      <c r="AJ137" s="141"/>
      <c r="AK137" s="141"/>
      <c r="AL137" s="331"/>
      <c r="AM137" s="141"/>
      <c r="AN137" s="141"/>
      <c r="AO137" s="141"/>
      <c r="AP137" s="141"/>
      <c r="AQ137" s="141"/>
      <c r="AR137" s="141"/>
      <c r="AS137" s="141"/>
      <c r="AT137" s="141"/>
      <c r="AU137" s="141"/>
      <c r="AV137" s="141"/>
      <c r="AW137" s="141"/>
      <c r="AX137" s="141"/>
      <c r="AY137" s="141"/>
      <c r="AZ137" s="141"/>
      <c r="BA137" s="141"/>
      <c r="BB137" s="141"/>
      <c r="BC137" s="141"/>
      <c r="BD137" s="141"/>
      <c r="BE137" s="141"/>
      <c r="BF137" s="141"/>
      <c r="BG137" s="141"/>
      <c r="BH137" s="141"/>
      <c r="BI137" s="141"/>
      <c r="BJ137" s="141"/>
      <c r="BK137" s="141"/>
      <c r="BL137" s="141"/>
      <c r="BM137" s="141"/>
      <c r="BN137" s="141"/>
      <c r="BO137" s="141"/>
      <c r="BP137" s="141"/>
      <c r="BQ137" s="141"/>
      <c r="BR137" s="141"/>
      <c r="BS137" s="141"/>
      <c r="BT137" s="141"/>
      <c r="BU137" s="141"/>
      <c r="BV137" s="141"/>
      <c r="BW137" s="141"/>
      <c r="BX137" s="141"/>
      <c r="BY137" s="141"/>
      <c r="BZ137" s="141"/>
      <c r="CA137" s="141"/>
      <c r="CB137" s="141"/>
      <c r="CC137" s="141"/>
      <c r="CD137" s="141"/>
      <c r="CE137" s="141"/>
      <c r="CF137" s="141"/>
      <c r="CG137" s="141"/>
      <c r="CH137" s="141"/>
      <c r="CI137" s="141"/>
      <c r="CJ137" s="141"/>
      <c r="CK137" s="141"/>
      <c r="CL137" s="141"/>
      <c r="CM137" s="141"/>
      <c r="CN137" s="141"/>
      <c r="CO137" s="141"/>
      <c r="CP137" s="141"/>
      <c r="CQ137" s="141"/>
      <c r="CR137" s="141"/>
      <c r="CS137" s="141"/>
      <c r="CT137" s="141"/>
      <c r="CU137" s="141"/>
      <c r="CV137" s="141"/>
      <c r="CW137" s="141"/>
      <c r="CX137" s="141"/>
      <c r="CY137" s="141"/>
      <c r="CZ137" s="141"/>
      <c r="DA137" s="141"/>
      <c r="DB137" s="141"/>
      <c r="DC137" s="141"/>
      <c r="DD137" s="141">
        <v>4</v>
      </c>
      <c r="DE137" s="141"/>
      <c r="DF137" s="141"/>
      <c r="DG137" s="141"/>
      <c r="DH137" s="141"/>
      <c r="DI137" s="903">
        <v>8</v>
      </c>
      <c r="DJ137" s="904" t="s">
        <v>1043</v>
      </c>
      <c r="DK137" s="141"/>
      <c r="DL137" s="141"/>
      <c r="DM137" s="141"/>
      <c r="DN137" s="141"/>
      <c r="DO137" s="141"/>
      <c r="DP137" s="141"/>
      <c r="DQ137" s="141"/>
      <c r="DR137" s="141"/>
      <c r="DS137" s="141"/>
      <c r="DT137" s="141"/>
      <c r="DU137" s="141"/>
      <c r="DV137" s="141"/>
      <c r="DW137" s="141"/>
      <c r="DX137" s="141"/>
      <c r="DY137" s="141"/>
      <c r="DZ137" s="141"/>
      <c r="EA137" s="141"/>
      <c r="EB137" s="332"/>
    </row>
    <row r="138" spans="1:132" s="147" customFormat="1" hidden="1" x14ac:dyDescent="0.3">
      <c r="A138" s="332"/>
      <c r="B138" s="343"/>
      <c r="C138" s="343"/>
      <c r="D138" s="343"/>
      <c r="E138" s="353" t="s">
        <v>1130</v>
      </c>
      <c r="F138" s="1363" t="b">
        <f>AND(NoGlazing=TRUE,ISBLANK(Building)=FALSE,ISBLANK(Zone))</f>
        <v>0</v>
      </c>
      <c r="G138" s="332"/>
      <c r="H138" s="1364" t="str">
        <f>IF(F138=TRUE,"2. Enter zone","")</f>
        <v/>
      </c>
      <c r="I138" s="332"/>
      <c r="J138" s="332"/>
      <c r="K138" s="332"/>
      <c r="L138" s="332"/>
      <c r="M138" s="332"/>
      <c r="N138" s="332"/>
      <c r="O138" s="332"/>
      <c r="P138" s="332"/>
      <c r="Q138" s="332"/>
      <c r="R138" s="354">
        <f>LEN(H138)</f>
        <v>0</v>
      </c>
      <c r="S138" s="332"/>
      <c r="T138" s="332"/>
      <c r="U138" s="332"/>
      <c r="V138" s="332"/>
      <c r="W138" s="332"/>
      <c r="X138" s="332"/>
      <c r="Y138" s="332"/>
      <c r="Z138" s="332"/>
      <c r="AA138" s="141"/>
      <c r="AB138" s="141"/>
      <c r="AC138" s="141"/>
      <c r="AD138" s="141"/>
      <c r="AE138" s="141"/>
      <c r="AF138" s="141"/>
      <c r="AG138" s="141"/>
      <c r="AH138" s="141"/>
      <c r="AI138" s="141"/>
      <c r="AJ138" s="141"/>
      <c r="AK138" s="141"/>
      <c r="AL138" s="331"/>
      <c r="AM138" s="141"/>
      <c r="AN138" s="141"/>
      <c r="AO138" s="141"/>
      <c r="AP138" s="141"/>
      <c r="AQ138" s="141"/>
      <c r="AR138" s="141"/>
      <c r="AS138" s="141"/>
      <c r="AT138" s="141"/>
      <c r="AU138" s="141"/>
      <c r="AV138" s="141"/>
      <c r="AW138" s="141"/>
      <c r="AX138" s="141"/>
      <c r="AY138" s="141"/>
      <c r="AZ138" s="141"/>
      <c r="BA138" s="141"/>
      <c r="BB138" s="141"/>
      <c r="BC138" s="141"/>
      <c r="BD138" s="141"/>
      <c r="BE138" s="141"/>
      <c r="BF138" s="141"/>
      <c r="BG138" s="141"/>
      <c r="BH138" s="141"/>
      <c r="BI138" s="141"/>
      <c r="BJ138" s="141"/>
      <c r="BK138" s="141"/>
      <c r="BL138" s="141"/>
      <c r="BM138" s="141"/>
      <c r="BN138" s="141"/>
      <c r="BO138" s="141"/>
      <c r="BP138" s="141"/>
      <c r="BQ138" s="141"/>
      <c r="BR138" s="141"/>
      <c r="BS138" s="141"/>
      <c r="BT138" s="141"/>
      <c r="BU138" s="141"/>
      <c r="BV138" s="141"/>
      <c r="BW138" s="141"/>
      <c r="BX138" s="141"/>
      <c r="BY138" s="141"/>
      <c r="BZ138" s="141"/>
      <c r="CA138" s="141"/>
      <c r="CB138" s="141"/>
      <c r="CC138" s="141"/>
      <c r="CD138" s="141"/>
      <c r="CE138" s="141"/>
      <c r="CF138" s="141"/>
      <c r="CG138" s="141"/>
      <c r="CH138" s="141"/>
      <c r="CI138" s="141"/>
      <c r="CJ138" s="141"/>
      <c r="CK138" s="141"/>
      <c r="CL138" s="141"/>
      <c r="CM138" s="141"/>
      <c r="CN138" s="141"/>
      <c r="CO138" s="141"/>
      <c r="CP138" s="141"/>
      <c r="CQ138" s="141"/>
      <c r="CR138" s="141"/>
      <c r="CS138" s="141"/>
      <c r="CT138" s="141"/>
      <c r="CU138" s="141"/>
      <c r="CV138" s="141"/>
      <c r="CW138" s="141"/>
      <c r="CX138" s="141"/>
      <c r="CY138" s="141"/>
      <c r="CZ138" s="141"/>
      <c r="DA138" s="141"/>
      <c r="DB138" s="141"/>
      <c r="DC138" s="141"/>
      <c r="DD138" s="141">
        <v>5</v>
      </c>
      <c r="DE138" s="141"/>
      <c r="DF138" s="141"/>
      <c r="DG138" s="141"/>
      <c r="DH138" s="141"/>
      <c r="DI138" s="141"/>
      <c r="DJ138" s="141"/>
      <c r="DK138" s="141"/>
      <c r="DL138" s="141"/>
      <c r="DM138" s="141"/>
      <c r="DN138" s="141"/>
      <c r="DO138" s="141"/>
      <c r="DP138" s="141"/>
      <c r="DQ138" s="141"/>
      <c r="DR138" s="141"/>
      <c r="DS138" s="141"/>
      <c r="DT138" s="141"/>
      <c r="DU138" s="141"/>
      <c r="DV138" s="141"/>
      <c r="DW138" s="141"/>
      <c r="DX138" s="141"/>
      <c r="DY138" s="141"/>
      <c r="DZ138" s="141"/>
      <c r="EA138" s="141"/>
      <c r="EB138" s="332"/>
    </row>
    <row r="139" spans="1:132" s="147" customFormat="1" hidden="1" x14ac:dyDescent="0.3">
      <c r="A139" s="332"/>
      <c r="B139" s="343"/>
      <c r="C139" s="343"/>
      <c r="D139" s="343"/>
      <c r="E139" s="353" t="s">
        <v>1131</v>
      </c>
      <c r="F139" s="1363" t="b">
        <f>AND(NoGlazing=FALSE,ISBLANK(Zone))</f>
        <v>0</v>
      </c>
      <c r="G139" s="1365"/>
      <c r="H139" s="1362" t="str">
        <f>IF(F139=TRUE,"No zone","")</f>
        <v/>
      </c>
      <c r="I139" s="332"/>
      <c r="J139" s="332"/>
      <c r="K139" s="332"/>
      <c r="L139" s="332"/>
      <c r="M139" s="332"/>
      <c r="N139" s="332"/>
      <c r="O139" s="332"/>
      <c r="P139" s="332"/>
      <c r="Q139" s="332"/>
      <c r="R139" s="332"/>
      <c r="S139" s="354">
        <f>LEN(H139)</f>
        <v>0</v>
      </c>
      <c r="T139" s="332"/>
      <c r="U139" s="332"/>
      <c r="V139" s="332"/>
      <c r="W139" s="332"/>
      <c r="X139" s="332"/>
      <c r="Y139" s="332"/>
      <c r="Z139" s="332"/>
      <c r="AA139" s="141"/>
      <c r="AB139" s="141"/>
      <c r="AC139" s="141"/>
      <c r="AD139" s="141"/>
      <c r="AE139" s="141"/>
      <c r="AF139" s="141"/>
      <c r="AG139" s="141"/>
      <c r="AH139" s="141"/>
      <c r="AI139" s="141"/>
      <c r="AJ139" s="141"/>
      <c r="AK139" s="141"/>
      <c r="AL139" s="331"/>
      <c r="AM139" s="141"/>
      <c r="AN139" s="141"/>
      <c r="AO139" s="141"/>
      <c r="AP139" s="141"/>
      <c r="AQ139" s="141"/>
      <c r="AR139" s="141"/>
      <c r="AS139" s="141"/>
      <c r="AT139" s="141"/>
      <c r="AU139" s="141"/>
      <c r="AV139" s="141"/>
      <c r="AW139" s="141"/>
      <c r="AX139" s="141"/>
      <c r="AY139" s="141"/>
      <c r="AZ139" s="141"/>
      <c r="BA139" s="141"/>
      <c r="BB139" s="141"/>
      <c r="BC139" s="141"/>
      <c r="BD139" s="141"/>
      <c r="BE139" s="141"/>
      <c r="BF139" s="141"/>
      <c r="BG139" s="141"/>
      <c r="BH139" s="141"/>
      <c r="BI139" s="141"/>
      <c r="BJ139" s="141"/>
      <c r="BK139" s="141"/>
      <c r="BL139" s="141"/>
      <c r="BM139" s="141"/>
      <c r="BN139" s="141"/>
      <c r="BO139" s="141"/>
      <c r="BP139" s="141"/>
      <c r="BQ139" s="141"/>
      <c r="BR139" s="141"/>
      <c r="BS139" s="141"/>
      <c r="BT139" s="141"/>
      <c r="BU139" s="141"/>
      <c r="BV139" s="141"/>
      <c r="BW139" s="141"/>
      <c r="BX139" s="141"/>
      <c r="BY139" s="141"/>
      <c r="BZ139" s="141"/>
      <c r="CA139" s="141"/>
      <c r="CB139" s="141"/>
      <c r="CC139" s="141"/>
      <c r="CD139" s="141"/>
      <c r="CE139" s="141"/>
      <c r="CF139" s="141"/>
      <c r="CG139" s="141"/>
      <c r="CH139" s="141"/>
      <c r="CI139" s="141"/>
      <c r="CJ139" s="141"/>
      <c r="CK139" s="141"/>
      <c r="CL139" s="141"/>
      <c r="CM139" s="141"/>
      <c r="CN139" s="141"/>
      <c r="CO139" s="141"/>
      <c r="CP139" s="141"/>
      <c r="CQ139" s="141"/>
      <c r="CR139" s="141"/>
      <c r="CS139" s="141"/>
      <c r="CT139" s="141"/>
      <c r="CU139" s="141"/>
      <c r="CV139" s="141"/>
      <c r="CW139" s="141"/>
      <c r="CX139" s="141"/>
      <c r="CY139" s="141"/>
      <c r="CZ139" s="141"/>
      <c r="DA139" s="141"/>
      <c r="DB139" s="141"/>
      <c r="DC139" s="141"/>
      <c r="DD139" s="141">
        <v>6</v>
      </c>
      <c r="DE139" s="141"/>
      <c r="DF139" s="141"/>
      <c r="DG139" s="141"/>
      <c r="DH139" s="141"/>
      <c r="DI139" s="141"/>
      <c r="DJ139" s="141"/>
      <c r="DK139" s="141"/>
      <c r="DL139" s="141"/>
      <c r="DM139" s="141"/>
      <c r="DN139" s="141"/>
      <c r="DO139" s="141"/>
      <c r="DP139" s="141"/>
      <c r="DQ139" s="141"/>
      <c r="DR139" s="141"/>
      <c r="DS139" s="141"/>
      <c r="DT139" s="141"/>
      <c r="DU139" s="141"/>
      <c r="DV139" s="141"/>
      <c r="DW139" s="141"/>
      <c r="DX139" s="141"/>
      <c r="DY139" s="141"/>
      <c r="DZ139" s="141"/>
      <c r="EA139" s="141"/>
      <c r="EB139" s="332"/>
    </row>
    <row r="140" spans="1:132" s="147" customFormat="1" hidden="1" x14ac:dyDescent="0.3">
      <c r="A140" s="332"/>
      <c r="B140" s="343"/>
      <c r="C140" s="343"/>
      <c r="D140" s="343"/>
      <c r="E140" s="339"/>
      <c r="F140" s="1366" t="s">
        <v>1132</v>
      </c>
      <c r="G140" s="1367"/>
      <c r="H140" s="1365"/>
      <c r="I140" s="332"/>
      <c r="J140" s="332"/>
      <c r="K140" s="332"/>
      <c r="L140" s="332"/>
      <c r="M140" s="332"/>
      <c r="N140" s="332"/>
      <c r="O140" s="332"/>
      <c r="P140" s="332"/>
      <c r="Q140" s="332"/>
      <c r="R140" s="332"/>
      <c r="S140" s="332"/>
      <c r="T140" s="332"/>
      <c r="U140" s="332"/>
      <c r="V140" s="332"/>
      <c r="W140" s="332"/>
      <c r="X140" s="332"/>
      <c r="Y140" s="332"/>
      <c r="Z140" s="332"/>
      <c r="AA140" s="141"/>
      <c r="AB140" s="141"/>
      <c r="AC140" s="141"/>
      <c r="AD140" s="141"/>
      <c r="AE140" s="141"/>
      <c r="AF140" s="141"/>
      <c r="AG140" s="141"/>
      <c r="AH140" s="141"/>
      <c r="AI140" s="141"/>
      <c r="AJ140" s="141"/>
      <c r="AK140" s="141"/>
      <c r="AL140" s="331"/>
      <c r="AM140" s="141"/>
      <c r="AN140" s="141"/>
      <c r="AO140" s="141"/>
      <c r="AP140" s="141"/>
      <c r="AQ140" s="141"/>
      <c r="AR140" s="141"/>
      <c r="AS140" s="141"/>
      <c r="AT140" s="141"/>
      <c r="AU140" s="141"/>
      <c r="AV140" s="141"/>
      <c r="AW140" s="141"/>
      <c r="AX140" s="141"/>
      <c r="AY140" s="141"/>
      <c r="AZ140" s="141"/>
      <c r="BA140" s="141"/>
      <c r="BB140" s="141"/>
      <c r="BC140" s="141"/>
      <c r="BD140" s="141"/>
      <c r="BE140" s="141"/>
      <c r="BF140" s="141"/>
      <c r="BG140" s="141"/>
      <c r="BH140" s="141"/>
      <c r="BI140" s="141"/>
      <c r="BJ140" s="141"/>
      <c r="BK140" s="141"/>
      <c r="BL140" s="141"/>
      <c r="BM140" s="141"/>
      <c r="BN140" s="141"/>
      <c r="BO140" s="141"/>
      <c r="BP140" s="141"/>
      <c r="BQ140" s="141"/>
      <c r="BR140" s="141"/>
      <c r="BS140" s="141"/>
      <c r="BT140" s="141"/>
      <c r="BU140" s="141"/>
      <c r="BV140" s="141"/>
      <c r="BW140" s="141"/>
      <c r="BX140" s="141"/>
      <c r="BY140" s="141"/>
      <c r="BZ140" s="141"/>
      <c r="CA140" s="141"/>
      <c r="CB140" s="141"/>
      <c r="CC140" s="141"/>
      <c r="CD140" s="141"/>
      <c r="CE140" s="141"/>
      <c r="CF140" s="141"/>
      <c r="CG140" s="141"/>
      <c r="CH140" s="141"/>
      <c r="CI140" s="141"/>
      <c r="CJ140" s="141"/>
      <c r="CK140" s="141"/>
      <c r="CL140" s="141"/>
      <c r="CM140" s="141"/>
      <c r="CN140" s="141"/>
      <c r="CO140" s="141"/>
      <c r="CP140" s="141"/>
      <c r="CQ140" s="1368" t="s">
        <v>1133</v>
      </c>
      <c r="CR140" s="1368" t="s">
        <v>1134</v>
      </c>
      <c r="CS140" s="141"/>
      <c r="CT140" s="141"/>
      <c r="CU140" s="141"/>
      <c r="CV140" s="141"/>
      <c r="CW140" s="141"/>
      <c r="CX140" s="141"/>
      <c r="CY140" s="141"/>
      <c r="CZ140" s="141"/>
      <c r="DA140" s="141"/>
      <c r="DB140" s="141"/>
      <c r="DC140" s="141"/>
      <c r="DD140" s="141">
        <v>7</v>
      </c>
      <c r="DE140" s="141"/>
      <c r="DF140" s="141"/>
      <c r="DG140" s="141"/>
      <c r="DH140" s="141"/>
      <c r="DI140" s="141"/>
      <c r="DJ140" s="141"/>
      <c r="DK140" s="141"/>
      <c r="DL140" s="141"/>
      <c r="DM140" s="141"/>
      <c r="DN140" s="141"/>
      <c r="DO140" s="141"/>
      <c r="DP140" s="141"/>
      <c r="DQ140" s="141"/>
      <c r="DR140" s="141"/>
      <c r="DS140" s="141"/>
      <c r="DT140" s="141"/>
      <c r="DU140" s="141"/>
      <c r="DV140" s="141"/>
      <c r="DW140" s="141"/>
      <c r="DX140" s="141"/>
      <c r="DY140" s="141"/>
      <c r="DZ140" s="141"/>
      <c r="EA140" s="141"/>
      <c r="EB140" s="332"/>
    </row>
    <row r="141" spans="1:132" s="147" customFormat="1" hidden="1" x14ac:dyDescent="0.3">
      <c r="A141" s="332"/>
      <c r="B141" s="332"/>
      <c r="C141" s="332"/>
      <c r="D141" s="332"/>
      <c r="E141" s="353" t="s">
        <v>1135</v>
      </c>
      <c r="F141" s="1363" t="b">
        <f>AND(NoGlazing=TRUE,COUNTA(Building,Zone)=2,ISBLANK(Storey))</f>
        <v>0</v>
      </c>
      <c r="G141" s="1367"/>
      <c r="H141" s="1369" t="str">
        <f>IF(F141,"3. Enter storey","")</f>
        <v/>
      </c>
      <c r="I141" s="332"/>
      <c r="J141" s="332"/>
      <c r="K141" s="332"/>
      <c r="L141" s="332"/>
      <c r="M141" s="332"/>
      <c r="N141" s="332"/>
      <c r="O141" s="332"/>
      <c r="P141" s="332"/>
      <c r="Q141" s="332"/>
      <c r="R141" s="354">
        <f>LEN(H141)</f>
        <v>0</v>
      </c>
      <c r="S141" s="332"/>
      <c r="T141" s="332"/>
      <c r="U141" s="332"/>
      <c r="V141" s="332"/>
      <c r="W141" s="332"/>
      <c r="X141" s="332"/>
      <c r="Y141" s="332"/>
      <c r="Z141" s="332"/>
      <c r="AA141" s="141"/>
      <c r="AB141" s="141"/>
      <c r="AC141" s="141"/>
      <c r="AD141" s="141"/>
      <c r="AE141" s="141"/>
      <c r="AF141" s="141"/>
      <c r="AG141" s="141"/>
      <c r="AH141" s="141"/>
      <c r="AI141" s="141"/>
      <c r="AJ141" s="141"/>
      <c r="AK141" s="141"/>
      <c r="AL141" s="331"/>
      <c r="AM141" s="141"/>
      <c r="AN141" s="141"/>
      <c r="AO141" s="141"/>
      <c r="AP141" s="141"/>
      <c r="AQ141" s="141"/>
      <c r="AR141" s="141"/>
      <c r="AS141" s="141"/>
      <c r="AT141" s="141"/>
      <c r="AU141" s="141"/>
      <c r="AV141" s="141"/>
      <c r="AW141" s="141"/>
      <c r="AX141" s="141"/>
      <c r="AY141" s="141"/>
      <c r="AZ141" s="141"/>
      <c r="BA141" s="141"/>
      <c r="BB141" s="141"/>
      <c r="BC141" s="141"/>
      <c r="BD141" s="141"/>
      <c r="BE141" s="141"/>
      <c r="BF141" s="141"/>
      <c r="BG141" s="141"/>
      <c r="BH141" s="141"/>
      <c r="BI141" s="141"/>
      <c r="BJ141" s="141"/>
      <c r="BK141" s="141"/>
      <c r="BL141" s="141"/>
      <c r="BM141" s="141"/>
      <c r="BN141" s="141"/>
      <c r="BO141" s="141"/>
      <c r="BP141" s="141"/>
      <c r="BQ141" s="141"/>
      <c r="BR141" s="141"/>
      <c r="BS141" s="141"/>
      <c r="BT141" s="141"/>
      <c r="BU141" s="141"/>
      <c r="BV141" s="141"/>
      <c r="BW141" s="141"/>
      <c r="BX141" s="141"/>
      <c r="BY141" s="141"/>
      <c r="BZ141" s="141"/>
      <c r="CA141" s="141"/>
      <c r="CB141" s="141"/>
      <c r="CC141" s="141"/>
      <c r="CD141" s="141"/>
      <c r="CE141" s="141"/>
      <c r="CF141" s="141"/>
      <c r="CG141" s="141"/>
      <c r="CH141" s="141"/>
      <c r="CI141" s="141"/>
      <c r="CJ141" s="141"/>
      <c r="CK141" s="141"/>
      <c r="CL141" s="141"/>
      <c r="CM141" s="141"/>
      <c r="CN141" s="141"/>
      <c r="CO141" s="141"/>
      <c r="CP141" s="141"/>
      <c r="CQ141" s="1370">
        <f>ROW(C20)</f>
        <v>20</v>
      </c>
      <c r="CR141" s="1371">
        <f>CQ141+RowsPreferred</f>
        <v>25</v>
      </c>
      <c r="CS141" s="141"/>
      <c r="CT141" s="141"/>
      <c r="CU141" s="141"/>
      <c r="CV141" s="141"/>
      <c r="CW141" s="141"/>
      <c r="CX141" s="141"/>
      <c r="CY141" s="141"/>
      <c r="CZ141" s="141"/>
      <c r="DA141" s="141"/>
      <c r="DB141" s="141"/>
      <c r="DC141" s="141"/>
      <c r="DD141" s="141">
        <v>8</v>
      </c>
      <c r="DE141" s="141"/>
      <c r="DF141" s="141"/>
      <c r="DG141" s="141"/>
      <c r="DH141" s="141"/>
      <c r="DI141" s="141"/>
      <c r="DJ141" s="141"/>
      <c r="DK141" s="141"/>
      <c r="DL141" s="141"/>
      <c r="DM141" s="141"/>
      <c r="DN141" s="141"/>
      <c r="DO141" s="141"/>
      <c r="DP141" s="141"/>
      <c r="DQ141" s="141"/>
      <c r="DR141" s="141"/>
      <c r="DS141" s="141"/>
      <c r="DT141" s="141"/>
      <c r="DU141" s="141"/>
      <c r="DV141" s="141"/>
      <c r="DW141" s="141"/>
      <c r="DX141" s="141"/>
      <c r="DY141" s="141"/>
      <c r="DZ141" s="141"/>
      <c r="EA141" s="141"/>
      <c r="EB141" s="332"/>
    </row>
    <row r="142" spans="1:132" s="147" customFormat="1" hidden="1" x14ac:dyDescent="0.3">
      <c r="A142" s="332"/>
      <c r="B142" s="332"/>
      <c r="C142" s="332"/>
      <c r="D142" s="332"/>
      <c r="E142" s="353" t="s">
        <v>1136</v>
      </c>
      <c r="F142" s="1363" t="b">
        <f>AND(NoGlazing=FALSE,ISBLANK(Storey))</f>
        <v>0</v>
      </c>
      <c r="G142" s="1367"/>
      <c r="H142" s="1372" t="str">
        <f>IF(F142=TRUE,"No Storey ","")</f>
        <v/>
      </c>
      <c r="I142" s="332"/>
      <c r="J142" s="332"/>
      <c r="K142" s="332"/>
      <c r="L142" s="332"/>
      <c r="M142" s="332"/>
      <c r="N142" s="332"/>
      <c r="O142" s="332"/>
      <c r="P142" s="332"/>
      <c r="Q142" s="332"/>
      <c r="R142" s="332"/>
      <c r="S142" s="354">
        <f>LEN(H142)</f>
        <v>0</v>
      </c>
      <c r="T142" s="332"/>
      <c r="U142" s="332"/>
      <c r="V142" s="332"/>
      <c r="W142" s="332"/>
      <c r="X142" s="332"/>
      <c r="Y142" s="332"/>
      <c r="Z142" s="332"/>
      <c r="AA142" s="141"/>
      <c r="AB142" s="141"/>
      <c r="AC142" s="141"/>
      <c r="AD142" s="141"/>
      <c r="AE142" s="141"/>
      <c r="AF142" s="141"/>
      <c r="AG142" s="141"/>
      <c r="AH142" s="141"/>
      <c r="AI142" s="141"/>
      <c r="AJ142" s="141"/>
      <c r="AK142" s="141"/>
      <c r="AL142" s="331"/>
      <c r="AM142" s="141"/>
      <c r="AN142" s="141"/>
      <c r="AO142" s="141"/>
      <c r="AP142" s="141"/>
      <c r="AQ142" s="141"/>
      <c r="AR142" s="141"/>
      <c r="AS142" s="141"/>
      <c r="AT142" s="141"/>
      <c r="AU142" s="141"/>
      <c r="AV142" s="141"/>
      <c r="AW142" s="141"/>
      <c r="AX142" s="141"/>
      <c r="AY142" s="141"/>
      <c r="AZ142" s="141"/>
      <c r="BA142" s="141"/>
      <c r="BB142" s="141"/>
      <c r="BC142" s="141"/>
      <c r="BD142" s="141"/>
      <c r="BE142" s="141"/>
      <c r="BF142" s="141"/>
      <c r="BG142" s="141"/>
      <c r="BH142" s="141"/>
      <c r="BI142" s="141"/>
      <c r="BJ142" s="141"/>
      <c r="BK142" s="141"/>
      <c r="BL142" s="141"/>
      <c r="BM142" s="141"/>
      <c r="BN142" s="141"/>
      <c r="BO142" s="141"/>
      <c r="BP142" s="141"/>
      <c r="BQ142" s="141"/>
      <c r="BR142" s="141"/>
      <c r="BS142" s="141"/>
      <c r="BT142" s="141"/>
      <c r="BU142" s="141"/>
      <c r="BV142" s="141"/>
      <c r="BW142" s="141"/>
      <c r="BX142" s="141"/>
      <c r="BY142" s="141"/>
      <c r="BZ142" s="141"/>
      <c r="CA142" s="141"/>
      <c r="CB142" s="141"/>
      <c r="CC142" s="141"/>
      <c r="CD142" s="141"/>
      <c r="CE142" s="141"/>
      <c r="CF142" s="141"/>
      <c r="CG142" s="141"/>
      <c r="CH142" s="141"/>
      <c r="CI142" s="141"/>
      <c r="CJ142" s="141"/>
      <c r="CK142" s="141"/>
      <c r="CL142" s="141"/>
      <c r="CM142" s="141"/>
      <c r="CN142" s="141"/>
      <c r="CO142" s="141"/>
      <c r="CP142" s="141"/>
      <c r="CQ142" s="1368" t="s">
        <v>1137</v>
      </c>
      <c r="CR142" s="1368" t="s">
        <v>1138</v>
      </c>
      <c r="CS142" s="141"/>
      <c r="CT142" s="141"/>
      <c r="CU142" s="141"/>
      <c r="CV142" s="141"/>
      <c r="CW142" s="141"/>
      <c r="CX142" s="141"/>
      <c r="CY142" s="141"/>
      <c r="CZ142" s="141"/>
      <c r="DA142" s="141"/>
      <c r="DB142" s="141"/>
      <c r="DC142" s="141"/>
      <c r="DD142" s="141"/>
      <c r="DE142" s="141"/>
      <c r="DF142" s="141"/>
      <c r="DG142" s="141"/>
      <c r="DH142" s="141"/>
      <c r="DI142" s="141"/>
      <c r="DJ142" s="141"/>
      <c r="DK142" s="141"/>
      <c r="DL142" s="141"/>
      <c r="DM142" s="141"/>
      <c r="DN142" s="141"/>
      <c r="DO142" s="141"/>
      <c r="DP142" s="141"/>
      <c r="DQ142" s="141"/>
      <c r="DR142" s="141"/>
      <c r="DS142" s="141"/>
      <c r="DT142" s="141"/>
      <c r="DU142" s="141"/>
      <c r="DV142" s="141"/>
      <c r="DW142" s="141"/>
      <c r="DX142" s="141"/>
      <c r="DY142" s="141"/>
      <c r="DZ142" s="141"/>
      <c r="EA142" s="141"/>
      <c r="EB142" s="332"/>
    </row>
    <row r="143" spans="1:132" s="147" customFormat="1" hidden="1" x14ac:dyDescent="0.3">
      <c r="A143" s="332"/>
      <c r="B143" s="332"/>
      <c r="C143" s="332"/>
      <c r="D143" s="332"/>
      <c r="E143" s="353" t="s">
        <v>1139</v>
      </c>
      <c r="F143" s="1363" t="b">
        <f>COUNTA(Zone,Building,Storey)=3</f>
        <v>1</v>
      </c>
      <c r="G143" s="1366" t="s">
        <v>1140</v>
      </c>
      <c r="H143" s="1365"/>
      <c r="I143" s="357" t="s">
        <v>1141</v>
      </c>
      <c r="J143" s="357"/>
      <c r="K143" s="357"/>
      <c r="L143" s="357"/>
      <c r="M143" s="357"/>
      <c r="N143" s="357"/>
      <c r="O143" s="356"/>
      <c r="P143" s="358"/>
      <c r="Q143" s="356"/>
      <c r="R143" s="356"/>
      <c r="S143" s="359"/>
      <c r="T143" s="356"/>
      <c r="U143" s="356"/>
      <c r="V143" s="356"/>
      <c r="W143" s="356"/>
      <c r="X143" s="356"/>
      <c r="Y143" s="356"/>
      <c r="Z143" s="356"/>
      <c r="AA143" s="141"/>
      <c r="AB143" s="141"/>
      <c r="AC143" s="141"/>
      <c r="AD143" s="141"/>
      <c r="AE143" s="141"/>
      <c r="AF143" s="141"/>
      <c r="AG143" s="141"/>
      <c r="AH143" s="141"/>
      <c r="AI143" s="141"/>
      <c r="AJ143" s="141"/>
      <c r="AK143" s="141"/>
      <c r="AL143" s="331"/>
      <c r="AM143" s="141"/>
      <c r="AN143" s="141"/>
      <c r="AO143" s="141"/>
      <c r="AP143" s="141"/>
      <c r="AQ143" s="141"/>
      <c r="AR143" s="141"/>
      <c r="AS143" s="141"/>
      <c r="AT143" s="141"/>
      <c r="AU143" s="141"/>
      <c r="AV143" s="141"/>
      <c r="AW143" s="141"/>
      <c r="AX143" s="141"/>
      <c r="AY143" s="141"/>
      <c r="AZ143" s="141"/>
      <c r="BA143" s="141"/>
      <c r="BB143" s="141"/>
      <c r="BC143" s="141"/>
      <c r="BD143" s="141"/>
      <c r="BE143" s="141"/>
      <c r="BF143" s="141"/>
      <c r="BG143" s="141"/>
      <c r="BH143" s="141"/>
      <c r="BI143" s="141"/>
      <c r="BJ143" s="141"/>
      <c r="BK143" s="141"/>
      <c r="BL143" s="141"/>
      <c r="BM143" s="141"/>
      <c r="BN143" s="141"/>
      <c r="BO143" s="141"/>
      <c r="BP143" s="141"/>
      <c r="BQ143" s="141"/>
      <c r="BR143" s="141"/>
      <c r="BS143" s="141"/>
      <c r="BT143" s="141"/>
      <c r="BU143" s="141"/>
      <c r="BV143" s="141"/>
      <c r="BW143" s="141"/>
      <c r="BX143" s="141"/>
      <c r="BY143" s="141"/>
      <c r="BZ143" s="141"/>
      <c r="CA143" s="141"/>
      <c r="CB143" s="141"/>
      <c r="CC143" s="141"/>
      <c r="CD143" s="141"/>
      <c r="CE143" s="141"/>
      <c r="CF143" s="141"/>
      <c r="CG143" s="141"/>
      <c r="CH143" s="141"/>
      <c r="CI143" s="141"/>
      <c r="CJ143" s="141"/>
      <c r="CK143" s="141"/>
      <c r="CL143" s="141"/>
      <c r="CM143" s="141"/>
      <c r="CN143" s="141"/>
      <c r="CO143" s="141"/>
      <c r="CP143" s="141"/>
      <c r="CQ143" s="1370">
        <f>COLUMN(J20)</f>
        <v>10</v>
      </c>
      <c r="CR143" s="1370">
        <f>COLUMN(J20)</f>
        <v>10</v>
      </c>
      <c r="CS143" s="141"/>
      <c r="CT143" s="141"/>
      <c r="CU143" s="141"/>
      <c r="CV143" s="141"/>
      <c r="CW143" s="141"/>
      <c r="CX143" s="141"/>
      <c r="CY143" s="141"/>
      <c r="CZ143" s="141"/>
      <c r="DA143" s="141"/>
      <c r="DB143" s="141"/>
      <c r="DC143" s="141"/>
      <c r="DD143" s="141"/>
      <c r="DE143" s="141"/>
      <c r="DF143" s="141"/>
      <c r="DG143" s="141"/>
      <c r="DH143" s="141"/>
      <c r="DI143" s="141"/>
      <c r="DJ143" s="141"/>
      <c r="DK143" s="141"/>
      <c r="DL143" s="141"/>
      <c r="DM143" s="141"/>
      <c r="DN143" s="141"/>
      <c r="DO143" s="141"/>
      <c r="DP143" s="141"/>
      <c r="DQ143" s="141"/>
      <c r="DR143" s="141"/>
      <c r="DS143" s="141"/>
      <c r="DT143" s="141"/>
      <c r="DU143" s="141"/>
      <c r="DV143" s="141"/>
      <c r="DW143" s="141"/>
      <c r="DX143" s="141"/>
      <c r="DY143" s="141"/>
      <c r="DZ143" s="141"/>
      <c r="EA143" s="141"/>
      <c r="EB143" s="332"/>
    </row>
    <row r="144" spans="1:132" s="147" customFormat="1" hidden="1" x14ac:dyDescent="0.3">
      <c r="A144" s="332"/>
      <c r="B144" s="332"/>
      <c r="C144" s="332"/>
      <c r="D144" s="332"/>
      <c r="E144" s="332"/>
      <c r="F144" s="332"/>
      <c r="G144" s="332"/>
      <c r="H144" s="332"/>
      <c r="I144" s="332"/>
      <c r="J144" s="332"/>
      <c r="K144" s="332"/>
      <c r="L144" s="332"/>
      <c r="M144" s="332"/>
      <c r="N144" s="332"/>
      <c r="O144" s="332"/>
      <c r="P144" s="332"/>
      <c r="Q144" s="332"/>
      <c r="R144" s="332"/>
      <c r="S144" s="332"/>
      <c r="T144" s="332"/>
      <c r="U144" s="332"/>
      <c r="V144" s="332"/>
      <c r="W144" s="332"/>
      <c r="X144" s="332"/>
      <c r="Y144" s="332"/>
      <c r="Z144" s="332"/>
      <c r="AA144" s="141"/>
      <c r="AB144" s="141"/>
      <c r="AC144" s="141"/>
      <c r="AD144" s="141"/>
      <c r="AE144" s="141"/>
      <c r="AF144" s="141"/>
      <c r="AG144" s="141"/>
      <c r="AH144" s="141"/>
      <c r="AI144" s="141"/>
      <c r="AJ144" s="141"/>
      <c r="AK144" s="141"/>
      <c r="AL144" s="331"/>
      <c r="AM144" s="141"/>
      <c r="AN144" s="141"/>
      <c r="AO144" s="141"/>
      <c r="AP144" s="141"/>
      <c r="AQ144" s="141"/>
      <c r="AR144" s="141"/>
      <c r="AS144" s="141"/>
      <c r="AT144" s="141"/>
      <c r="AU144" s="141"/>
      <c r="AV144" s="141"/>
      <c r="AW144" s="141"/>
      <c r="AX144" s="141"/>
      <c r="AY144" s="141"/>
      <c r="AZ144" s="141"/>
      <c r="BA144" s="141"/>
      <c r="BB144" s="141"/>
      <c r="BC144" s="141"/>
      <c r="BD144" s="141"/>
      <c r="BE144" s="141"/>
      <c r="BF144" s="141"/>
      <c r="BG144" s="141"/>
      <c r="BH144" s="141"/>
      <c r="BI144" s="141"/>
      <c r="BJ144" s="141"/>
      <c r="BK144" s="141"/>
      <c r="BL144" s="141"/>
      <c r="BM144" s="141"/>
      <c r="BN144" s="141"/>
      <c r="BO144" s="141"/>
      <c r="BP144" s="141"/>
      <c r="BQ144" s="141"/>
      <c r="BR144" s="141"/>
      <c r="BS144" s="141"/>
      <c r="BT144" s="141"/>
      <c r="BU144" s="141"/>
      <c r="BV144" s="141"/>
      <c r="BW144" s="141"/>
      <c r="BX144" s="141"/>
      <c r="BY144" s="141"/>
      <c r="BZ144" s="141"/>
      <c r="CA144" s="141"/>
      <c r="CB144" s="141"/>
      <c r="CC144" s="141"/>
      <c r="CD144" s="141"/>
      <c r="CE144" s="141"/>
      <c r="CF144" s="141"/>
      <c r="CG144" s="141"/>
      <c r="CH144" s="141"/>
      <c r="CI144" s="141"/>
      <c r="CJ144" s="141"/>
      <c r="CK144" s="141"/>
      <c r="CL144" s="141"/>
      <c r="CM144" s="141"/>
      <c r="CN144" s="141"/>
      <c r="CO144" s="141"/>
      <c r="CP144" s="141"/>
      <c r="CQ144" s="1368" t="s">
        <v>5</v>
      </c>
      <c r="CR144" s="1368" t="s">
        <v>5</v>
      </c>
      <c r="CS144" s="141"/>
      <c r="CT144" s="141"/>
      <c r="CU144" s="141"/>
      <c r="CV144" s="141"/>
      <c r="CW144" s="141"/>
      <c r="CX144" s="141"/>
      <c r="CY144" s="141"/>
      <c r="CZ144" s="141"/>
      <c r="DA144" s="141"/>
      <c r="DB144" s="141"/>
      <c r="DC144" s="141"/>
      <c r="DD144" s="141"/>
      <c r="DE144" s="141"/>
      <c r="DF144" s="141"/>
      <c r="DG144" s="141"/>
      <c r="DH144" s="141"/>
      <c r="DI144" s="141"/>
      <c r="DJ144" s="141"/>
      <c r="DK144" s="141"/>
      <c r="DL144" s="141"/>
      <c r="DM144" s="141"/>
      <c r="DN144" s="141"/>
      <c r="DO144" s="141"/>
      <c r="DP144" s="141"/>
      <c r="DQ144" s="141"/>
      <c r="DR144" s="141"/>
      <c r="DS144" s="141"/>
      <c r="DT144" s="141"/>
      <c r="DU144" s="141"/>
      <c r="DV144" s="141"/>
      <c r="DW144" s="141"/>
      <c r="DX144" s="141"/>
      <c r="DY144" s="141"/>
      <c r="DZ144" s="141"/>
      <c r="EA144" s="141"/>
      <c r="EB144" s="332"/>
    </row>
    <row r="145" spans="1:132" s="147" customFormat="1" ht="26" hidden="1" x14ac:dyDescent="0.3">
      <c r="A145" s="332"/>
      <c r="B145" s="349" t="s">
        <v>1142</v>
      </c>
      <c r="C145" s="349"/>
      <c r="D145" s="349"/>
      <c r="E145" s="349"/>
      <c r="F145" s="350" t="s">
        <v>852</v>
      </c>
      <c r="G145" s="360"/>
      <c r="H145" s="360"/>
      <c r="I145" s="361"/>
      <c r="J145" s="361"/>
      <c r="K145" s="361"/>
      <c r="L145" s="361"/>
      <c r="M145" s="361"/>
      <c r="N145" s="361"/>
      <c r="O145" s="361"/>
      <c r="P145" s="361"/>
      <c r="Q145" s="361"/>
      <c r="R145" s="361"/>
      <c r="S145" s="361"/>
      <c r="T145" s="361"/>
      <c r="U145" s="362"/>
      <c r="V145" s="361"/>
      <c r="W145" s="361"/>
      <c r="X145" s="361"/>
      <c r="Y145" s="361"/>
      <c r="Z145" s="361"/>
      <c r="AA145" s="141"/>
      <c r="AB145" s="141"/>
      <c r="AC145" s="141"/>
      <c r="AD145" s="141"/>
      <c r="AE145" s="141"/>
      <c r="AF145" s="141"/>
      <c r="AG145" s="141"/>
      <c r="AH145" s="141"/>
      <c r="AI145" s="141"/>
      <c r="AJ145" s="141"/>
      <c r="AK145" s="141"/>
      <c r="AL145" s="331"/>
      <c r="AM145" s="141"/>
      <c r="AN145" s="141"/>
      <c r="AO145" s="141"/>
      <c r="AP145" s="141"/>
      <c r="AQ145" s="141"/>
      <c r="AR145" s="141"/>
      <c r="AS145" s="141"/>
      <c r="AT145" s="141"/>
      <c r="AU145" s="141"/>
      <c r="AV145" s="141"/>
      <c r="AW145" s="141"/>
      <c r="AX145" s="141"/>
      <c r="AY145" s="141"/>
      <c r="AZ145" s="141"/>
      <c r="BA145" s="141"/>
      <c r="BB145" s="141"/>
      <c r="BC145" s="141"/>
      <c r="BD145" s="141"/>
      <c r="BE145" s="141"/>
      <c r="BF145" s="141"/>
      <c r="BG145" s="141"/>
      <c r="BH145" s="141"/>
      <c r="BI145" s="141"/>
      <c r="BJ145" s="141"/>
      <c r="BK145" s="141"/>
      <c r="BL145" s="141"/>
      <c r="BM145" s="141"/>
      <c r="BN145" s="141"/>
      <c r="BO145" s="141"/>
      <c r="BP145" s="141"/>
      <c r="BQ145" s="141"/>
      <c r="BR145" s="141"/>
      <c r="BS145" s="141"/>
      <c r="BT145" s="141"/>
      <c r="BU145" s="141"/>
      <c r="BV145" s="141"/>
      <c r="BW145" s="141"/>
      <c r="BX145" s="141"/>
      <c r="BY145" s="141"/>
      <c r="BZ145" s="141"/>
      <c r="CA145" s="141"/>
      <c r="CB145" s="141"/>
      <c r="CC145" s="141"/>
      <c r="CD145" s="141"/>
      <c r="CE145" s="141"/>
      <c r="CF145" s="141"/>
      <c r="CG145" s="141"/>
      <c r="CH145" s="141"/>
      <c r="CI145" s="141"/>
      <c r="CJ145" s="141"/>
      <c r="CK145" s="141"/>
      <c r="CL145" s="141"/>
      <c r="CM145" s="141"/>
      <c r="CN145" s="141"/>
      <c r="CO145" s="141"/>
      <c r="CP145" s="1373" t="s">
        <v>1060</v>
      </c>
      <c r="CQ145" s="1370" t="str">
        <f>ADDRESS($CQ$141,10,1,1,)</f>
        <v>$J$20</v>
      </c>
      <c r="CR145" s="1370" t="str">
        <f>ADDRESS($CR$141,10,1,1,)</f>
        <v>$J$25</v>
      </c>
      <c r="CS145" s="141"/>
      <c r="CT145" s="141"/>
      <c r="CU145" s="141"/>
      <c r="CV145" s="141"/>
      <c r="CW145" s="141"/>
      <c r="CX145" s="141"/>
      <c r="CY145" s="141"/>
      <c r="CZ145" s="141"/>
      <c r="DA145" s="141"/>
      <c r="DB145" s="141"/>
      <c r="DC145" s="141"/>
      <c r="DD145" s="141"/>
      <c r="DE145" s="141"/>
      <c r="DF145" s="141"/>
      <c r="DG145" s="141"/>
      <c r="DH145" s="141"/>
      <c r="DI145" s="141"/>
      <c r="DJ145" s="141"/>
      <c r="DK145" s="141"/>
      <c r="DL145" s="141"/>
      <c r="DM145" s="141"/>
      <c r="DN145" s="141"/>
      <c r="DO145" s="141"/>
      <c r="DP145" s="141"/>
      <c r="DQ145" s="141"/>
      <c r="DR145" s="141"/>
      <c r="DS145" s="141"/>
      <c r="DT145" s="141"/>
      <c r="DU145" s="141"/>
      <c r="DV145" s="141"/>
      <c r="DW145" s="141"/>
      <c r="DX145" s="141"/>
      <c r="DY145" s="141"/>
      <c r="DZ145" s="141"/>
      <c r="EA145" s="141"/>
      <c r="EB145" s="332"/>
    </row>
    <row r="146" spans="1:132" s="147" customFormat="1" ht="26" hidden="1" x14ac:dyDescent="0.3">
      <c r="A146" s="332"/>
      <c r="B146" s="332"/>
      <c r="C146" s="332"/>
      <c r="D146" s="332"/>
      <c r="E146" s="353" t="s">
        <v>1143</v>
      </c>
      <c r="F146" s="1363" t="b">
        <f>AND(NoGlazing=TRUE,COUNTA(Building,Zone,Storey)=3,AreaAll=0)</f>
        <v>1</v>
      </c>
      <c r="G146" s="1150" t="s">
        <v>1144</v>
      </c>
      <c r="H146" s="1151" t="str">
        <f>IF(F146=TRUE,"4. Enter area(s) below for applicable floor type(s)","")</f>
        <v>4. Enter area(s) below for applicable floor type(s)</v>
      </c>
      <c r="I146" s="361"/>
      <c r="J146" s="361"/>
      <c r="K146" s="361"/>
      <c r="L146" s="361"/>
      <c r="M146" s="361"/>
      <c r="N146" s="361"/>
      <c r="O146" s="361"/>
      <c r="P146" s="361"/>
      <c r="Q146" s="361"/>
      <c r="R146" s="354">
        <f>LEN(H146)</f>
        <v>51</v>
      </c>
      <c r="S146" s="361"/>
      <c r="T146" s="361"/>
      <c r="U146" s="363"/>
      <c r="V146" s="361"/>
      <c r="W146" s="361"/>
      <c r="X146" s="361"/>
      <c r="Y146" s="361"/>
      <c r="Z146" s="361"/>
      <c r="AA146" s="141"/>
      <c r="AB146" s="141"/>
      <c r="AC146" s="141"/>
      <c r="AD146" s="141"/>
      <c r="AE146" s="141"/>
      <c r="AF146" s="141"/>
      <c r="AG146" s="141"/>
      <c r="AH146" s="141"/>
      <c r="AI146" s="141"/>
      <c r="AJ146" s="141"/>
      <c r="AK146" s="141"/>
      <c r="AL146" s="331"/>
      <c r="AM146" s="141"/>
      <c r="AN146" s="141"/>
      <c r="AO146" s="141"/>
      <c r="AP146" s="141"/>
      <c r="AQ146" s="141"/>
      <c r="AR146" s="141"/>
      <c r="AS146" s="141"/>
      <c r="AT146" s="141"/>
      <c r="AU146" s="141"/>
      <c r="AV146" s="141"/>
      <c r="AW146" s="141"/>
      <c r="AX146" s="141"/>
      <c r="AY146" s="141"/>
      <c r="AZ146" s="141"/>
      <c r="BA146" s="141"/>
      <c r="BB146" s="141"/>
      <c r="BC146" s="141"/>
      <c r="BD146" s="141"/>
      <c r="BE146" s="141"/>
      <c r="BF146" s="141"/>
      <c r="BG146" s="141"/>
      <c r="BH146" s="141"/>
      <c r="BI146" s="141"/>
      <c r="BJ146" s="141"/>
      <c r="BK146" s="141"/>
      <c r="BL146" s="141"/>
      <c r="BM146" s="141"/>
      <c r="BN146" s="141"/>
      <c r="BO146" s="141"/>
      <c r="BP146" s="141"/>
      <c r="BQ146" s="141"/>
      <c r="BR146" s="141"/>
      <c r="BS146" s="141"/>
      <c r="BT146" s="141"/>
      <c r="BU146" s="141"/>
      <c r="BV146" s="141"/>
      <c r="BW146" s="141"/>
      <c r="BX146" s="141"/>
      <c r="BY146" s="141"/>
      <c r="BZ146" s="141"/>
      <c r="CA146" s="141"/>
      <c r="CB146" s="141"/>
      <c r="CC146" s="141"/>
      <c r="CD146" s="141"/>
      <c r="CE146" s="141"/>
      <c r="CF146" s="141"/>
      <c r="CG146" s="141"/>
      <c r="CH146" s="141"/>
      <c r="CI146" s="141"/>
      <c r="CJ146" s="141"/>
      <c r="CK146" s="141"/>
      <c r="CL146" s="141"/>
      <c r="CM146" s="141"/>
      <c r="CN146" s="141"/>
      <c r="CO146" s="141"/>
      <c r="CP146" s="1373" t="s">
        <v>1061</v>
      </c>
      <c r="CQ146" s="1370" t="str">
        <f>ADDRESS(CQ141,11,1,1,)</f>
        <v>$K$20</v>
      </c>
      <c r="CR146" s="1370" t="str">
        <f>ADDRESS(CR141,11,1,1,)</f>
        <v>$K$25</v>
      </c>
      <c r="CS146" s="141"/>
      <c r="CT146" s="141"/>
      <c r="CU146" s="141"/>
      <c r="CV146" s="141"/>
      <c r="CW146" s="141"/>
      <c r="CX146" s="141"/>
      <c r="CY146" s="141"/>
      <c r="CZ146" s="141"/>
      <c r="DA146" s="141"/>
      <c r="DB146" s="141"/>
      <c r="DC146" s="141"/>
      <c r="DD146" s="141"/>
      <c r="DE146" s="141"/>
      <c r="DF146" s="141"/>
      <c r="DG146" s="141"/>
      <c r="DH146" s="141"/>
      <c r="DI146" s="141"/>
      <c r="DJ146" s="141"/>
      <c r="DK146" s="141"/>
      <c r="DL146" s="141"/>
      <c r="DM146" s="141"/>
      <c r="DN146" s="141"/>
      <c r="DO146" s="141"/>
      <c r="DP146" s="141"/>
      <c r="DQ146" s="141"/>
      <c r="DR146" s="141"/>
      <c r="DS146" s="141"/>
      <c r="DT146" s="141"/>
      <c r="DU146" s="141"/>
      <c r="DV146" s="141"/>
      <c r="DW146" s="141"/>
      <c r="DX146" s="141"/>
      <c r="DY146" s="141"/>
      <c r="DZ146" s="141"/>
      <c r="EA146" s="141"/>
      <c r="EB146" s="332"/>
    </row>
    <row r="147" spans="1:132" s="147" customFormat="1" ht="39" hidden="1" x14ac:dyDescent="0.3">
      <c r="A147" s="332"/>
      <c r="B147" s="332"/>
      <c r="C147" s="332"/>
      <c r="D147" s="332"/>
      <c r="E147" s="353" t="s">
        <v>1145</v>
      </c>
      <c r="F147" s="355" t="b">
        <f>AND(NoGlazing=FALSE,AreaAll=0)</f>
        <v>0</v>
      </c>
      <c r="G147" s="1367"/>
      <c r="H147" s="1374" t="str">
        <f>IF(F147=TRUE,"No area(s)","")</f>
        <v/>
      </c>
      <c r="I147" s="361"/>
      <c r="J147" s="361"/>
      <c r="K147" s="361"/>
      <c r="L147" s="361"/>
      <c r="M147" s="361"/>
      <c r="N147" s="361"/>
      <c r="O147" s="361"/>
      <c r="P147" s="361"/>
      <c r="Q147" s="361"/>
      <c r="R147" s="332"/>
      <c r="S147" s="354">
        <f>LEN(H147)</f>
        <v>0</v>
      </c>
      <c r="T147" s="361"/>
      <c r="U147" s="362"/>
      <c r="V147" s="361"/>
      <c r="W147" s="361"/>
      <c r="X147" s="361"/>
      <c r="Y147" s="361"/>
      <c r="Z147" s="361"/>
      <c r="AA147" s="141"/>
      <c r="AB147" s="141"/>
      <c r="AC147" s="141"/>
      <c r="AD147" s="141"/>
      <c r="AE147" s="141"/>
      <c r="AF147" s="141"/>
      <c r="AG147" s="141"/>
      <c r="AH147" s="141"/>
      <c r="AI147" s="141"/>
      <c r="AJ147" s="141"/>
      <c r="AK147" s="141"/>
      <c r="AL147" s="331"/>
      <c r="AM147" s="141"/>
      <c r="AN147" s="141"/>
      <c r="AO147" s="141"/>
      <c r="AP147" s="141"/>
      <c r="AQ147" s="141"/>
      <c r="AR147" s="141"/>
      <c r="AS147" s="141"/>
      <c r="AT147" s="141"/>
      <c r="AU147" s="141"/>
      <c r="AV147" s="141"/>
      <c r="AW147" s="141"/>
      <c r="AX147" s="141"/>
      <c r="AY147" s="141"/>
      <c r="AZ147" s="141"/>
      <c r="BA147" s="141"/>
      <c r="BB147" s="141"/>
      <c r="BC147" s="141"/>
      <c r="BD147" s="141"/>
      <c r="BE147" s="141"/>
      <c r="BF147" s="141"/>
      <c r="BG147" s="141"/>
      <c r="BH147" s="141"/>
      <c r="BI147" s="141"/>
      <c r="BJ147" s="141"/>
      <c r="BK147" s="141"/>
      <c r="BL147" s="141"/>
      <c r="BM147" s="141"/>
      <c r="BN147" s="141"/>
      <c r="BO147" s="141"/>
      <c r="BP147" s="141"/>
      <c r="BQ147" s="141"/>
      <c r="BR147" s="141"/>
      <c r="BS147" s="141"/>
      <c r="BT147" s="141"/>
      <c r="BU147" s="141"/>
      <c r="BV147" s="141"/>
      <c r="BW147" s="141"/>
      <c r="BX147" s="141"/>
      <c r="BY147" s="141"/>
      <c r="BZ147" s="141"/>
      <c r="CA147" s="141"/>
      <c r="CB147" s="141"/>
      <c r="CC147" s="141"/>
      <c r="CD147" s="141"/>
      <c r="CE147" s="141"/>
      <c r="CF147" s="141"/>
      <c r="CG147" s="141"/>
      <c r="CH147" s="141"/>
      <c r="CI147" s="141"/>
      <c r="CJ147" s="141"/>
      <c r="CK147" s="141"/>
      <c r="CL147" s="141"/>
      <c r="CM147" s="141"/>
      <c r="CN147" s="141"/>
      <c r="CO147" s="141"/>
      <c r="CP147" s="1373" t="s">
        <v>1062</v>
      </c>
      <c r="CQ147" s="1370" t="str">
        <f>ADDRESS($CQ$141,12,1,1,)</f>
        <v>$L$20</v>
      </c>
      <c r="CR147" s="1370" t="str">
        <f>ADDRESS($CR$141,12,1,1,)</f>
        <v>$L$25</v>
      </c>
      <c r="CS147" s="141"/>
      <c r="CT147" s="141"/>
      <c r="CU147" s="141"/>
      <c r="CV147" s="141"/>
      <c r="CW147" s="141"/>
      <c r="CX147" s="141"/>
      <c r="CY147" s="141"/>
      <c r="CZ147" s="141"/>
      <c r="DA147" s="141"/>
      <c r="DB147" s="141"/>
      <c r="DC147" s="141"/>
      <c r="DD147" s="141"/>
      <c r="DE147" s="141"/>
      <c r="DF147" s="141"/>
      <c r="DG147" s="141"/>
      <c r="DH147" s="141"/>
      <c r="DI147" s="141"/>
      <c r="DJ147" s="141"/>
      <c r="DK147" s="141"/>
      <c r="DL147" s="141"/>
      <c r="DM147" s="141"/>
      <c r="DN147" s="141"/>
      <c r="DO147" s="141"/>
      <c r="DP147" s="141"/>
      <c r="DQ147" s="141"/>
      <c r="DR147" s="141"/>
      <c r="DS147" s="141"/>
      <c r="DT147" s="141"/>
      <c r="DU147" s="141"/>
      <c r="DV147" s="141"/>
      <c r="DW147" s="141"/>
      <c r="DX147" s="141"/>
      <c r="DY147" s="141"/>
      <c r="DZ147" s="141"/>
      <c r="EA147" s="141"/>
      <c r="EB147" s="332"/>
    </row>
    <row r="148" spans="1:132" s="147" customFormat="1" ht="26" hidden="1" x14ac:dyDescent="0.3">
      <c r="A148" s="332"/>
      <c r="B148" s="332"/>
      <c r="C148" s="332"/>
      <c r="D148" s="332"/>
      <c r="E148" s="353" t="s">
        <v>1146</v>
      </c>
      <c r="F148" s="1363" t="b">
        <f>AND(NoGlazing=TRUE,First3Inputs=TRUE,AreaAll&gt;0,ISBLANK(WallConcession))</f>
        <v>0</v>
      </c>
      <c r="G148" s="1367"/>
      <c r="H148" s="1375" t="str">
        <f>IF(F148=TRUE,"INITIAL WALL INSULATION OPTION CHOICE NEEDED","")</f>
        <v/>
      </c>
      <c r="I148" s="361"/>
      <c r="J148" s="361"/>
      <c r="K148" s="361"/>
      <c r="L148" s="361"/>
      <c r="M148" s="361"/>
      <c r="N148" s="361"/>
      <c r="O148" s="361"/>
      <c r="P148" s="361"/>
      <c r="Q148" s="361"/>
      <c r="R148" s="354">
        <f t="shared" ref="R148:R149" si="228">LEN(H148)</f>
        <v>0</v>
      </c>
      <c r="S148" s="361"/>
      <c r="T148" s="361"/>
      <c r="U148" s="363"/>
      <c r="V148" s="361"/>
      <c r="W148" s="361"/>
      <c r="X148" s="361"/>
      <c r="Y148" s="361"/>
      <c r="Z148" s="361"/>
      <c r="AA148" s="141"/>
      <c r="AB148" s="321"/>
      <c r="AC148" s="141"/>
      <c r="AD148" s="364"/>
      <c r="AE148" s="364"/>
      <c r="AF148" s="364"/>
      <c r="AG148" s="141"/>
      <c r="AH148" s="141"/>
      <c r="AI148" s="141"/>
      <c r="AJ148" s="141"/>
      <c r="AK148" s="141"/>
      <c r="AL148" s="331"/>
      <c r="AM148" s="141"/>
      <c r="AN148" s="141"/>
      <c r="AO148" s="141"/>
      <c r="AP148" s="141"/>
      <c r="AQ148" s="141"/>
      <c r="AR148" s="141"/>
      <c r="AS148" s="141"/>
      <c r="AT148" s="141"/>
      <c r="AU148" s="141"/>
      <c r="AV148" s="141"/>
      <c r="AW148" s="141"/>
      <c r="AX148" s="141"/>
      <c r="AY148" s="141"/>
      <c r="AZ148" s="141"/>
      <c r="BA148" s="141"/>
      <c r="BB148" s="141"/>
      <c r="BC148" s="141"/>
      <c r="BD148" s="141"/>
      <c r="BE148" s="141"/>
      <c r="BF148" s="141"/>
      <c r="BG148" s="141"/>
      <c r="BH148" s="141"/>
      <c r="BI148" s="141"/>
      <c r="BJ148" s="141"/>
      <c r="BK148" s="141"/>
      <c r="BL148" s="141"/>
      <c r="BM148" s="141"/>
      <c r="BN148" s="141"/>
      <c r="BO148" s="141"/>
      <c r="BP148" s="141"/>
      <c r="BQ148" s="141"/>
      <c r="BR148" s="141"/>
      <c r="BS148" s="141"/>
      <c r="BT148" s="141"/>
      <c r="BU148" s="141"/>
      <c r="BV148" s="141"/>
      <c r="BW148" s="141"/>
      <c r="BX148" s="141"/>
      <c r="BY148" s="141"/>
      <c r="BZ148" s="141"/>
      <c r="CA148" s="141"/>
      <c r="CB148" s="141"/>
      <c r="CC148" s="141"/>
      <c r="CD148" s="141"/>
      <c r="CE148" s="141"/>
      <c r="CF148" s="141"/>
      <c r="CG148" s="141"/>
      <c r="CH148" s="141"/>
      <c r="CI148" s="141"/>
      <c r="CJ148" s="141"/>
      <c r="CK148" s="141"/>
      <c r="CL148" s="141"/>
      <c r="CM148" s="141"/>
      <c r="CN148" s="141"/>
      <c r="CO148" s="141"/>
      <c r="CP148" s="1373" t="s">
        <v>1063</v>
      </c>
      <c r="CQ148" s="1370" t="str">
        <f>ADDRESS($CQ$141,13,1,1,)</f>
        <v>$M$20</v>
      </c>
      <c r="CR148" s="1370" t="str">
        <f>ADDRESS($CR$141,13,1,1,)</f>
        <v>$M$25</v>
      </c>
      <c r="CS148" s="141"/>
      <c r="CT148" s="141"/>
      <c r="CU148" s="141"/>
      <c r="CV148" s="141"/>
      <c r="CW148" s="141"/>
      <c r="CX148" s="141"/>
      <c r="CY148" s="141"/>
      <c r="CZ148" s="141"/>
      <c r="DA148" s="141"/>
      <c r="DB148" s="141"/>
      <c r="DC148" s="141"/>
      <c r="DD148" s="141"/>
      <c r="DE148" s="141"/>
      <c r="DF148" s="141"/>
      <c r="DG148" s="141"/>
      <c r="DH148" s="141"/>
      <c r="DI148" s="141"/>
      <c r="DJ148" s="141"/>
      <c r="DK148" s="141"/>
      <c r="DL148" s="141"/>
      <c r="DM148" s="141"/>
      <c r="DN148" s="141"/>
      <c r="DO148" s="141"/>
      <c r="DP148" s="141"/>
      <c r="DQ148" s="141"/>
      <c r="DR148" s="141"/>
      <c r="DS148" s="141"/>
      <c r="DT148" s="141"/>
      <c r="DU148" s="141"/>
      <c r="DV148" s="141"/>
      <c r="DW148" s="141"/>
      <c r="DX148" s="141"/>
      <c r="DY148" s="141"/>
      <c r="DZ148" s="141"/>
      <c r="EA148" s="141"/>
      <c r="EB148" s="332"/>
    </row>
    <row r="149" spans="1:132" s="147" customFormat="1" hidden="1" x14ac:dyDescent="0.3">
      <c r="A149" s="332"/>
      <c r="B149" s="332"/>
      <c r="C149" s="332"/>
      <c r="D149" s="332"/>
      <c r="E149" s="353" t="s">
        <v>1147</v>
      </c>
      <c r="F149" s="355" t="b">
        <f>AND(NoGlazing=TRUE,First3Inputs=TRUE,AreaAll&gt;0,WallConcession&gt;0,ISBLANK(AirMovement))</f>
        <v>0</v>
      </c>
      <c r="G149" s="1376" t="s">
        <v>1148</v>
      </c>
      <c r="H149" s="1375" t="str">
        <f>IF(F149=TRUE,"6. Enter Air Movement","")</f>
        <v/>
      </c>
      <c r="I149" s="361"/>
      <c r="J149" s="361"/>
      <c r="K149" s="361"/>
      <c r="L149" s="361"/>
      <c r="M149" s="361"/>
      <c r="N149" s="361"/>
      <c r="O149" s="361"/>
      <c r="P149" s="361"/>
      <c r="Q149" s="361"/>
      <c r="R149" s="354">
        <f t="shared" si="228"/>
        <v>0</v>
      </c>
      <c r="S149" s="361"/>
      <c r="T149" s="361"/>
      <c r="U149" s="365"/>
      <c r="V149" s="361"/>
      <c r="W149" s="361"/>
      <c r="X149" s="361"/>
      <c r="Y149" s="361"/>
      <c r="Z149" s="361"/>
      <c r="AA149" s="141"/>
      <c r="AB149" s="141"/>
      <c r="AC149" s="141"/>
      <c r="AD149" s="141"/>
      <c r="AE149" s="141"/>
      <c r="AF149" s="141"/>
      <c r="AG149" s="141"/>
      <c r="AH149" s="141"/>
      <c r="AI149" s="141"/>
      <c r="AJ149" s="141"/>
      <c r="AK149" s="141"/>
      <c r="AL149" s="331"/>
      <c r="AM149" s="141"/>
      <c r="AN149" s="141"/>
      <c r="AO149" s="141"/>
      <c r="AP149" s="141"/>
      <c r="AQ149" s="141"/>
      <c r="AR149" s="141"/>
      <c r="AS149" s="141"/>
      <c r="AT149" s="141"/>
      <c r="AU149" s="141"/>
      <c r="AV149" s="141"/>
      <c r="AW149" s="141"/>
      <c r="AX149" s="141"/>
      <c r="AY149" s="141"/>
      <c r="AZ149" s="141"/>
      <c r="BA149" s="141"/>
      <c r="BB149" s="141"/>
      <c r="BC149" s="141"/>
      <c r="BD149" s="141"/>
      <c r="BE149" s="141"/>
      <c r="BF149" s="141"/>
      <c r="BG149" s="141"/>
      <c r="BH149" s="141"/>
      <c r="BI149" s="141"/>
      <c r="BJ149" s="141"/>
      <c r="BK149" s="141"/>
      <c r="BL149" s="141"/>
      <c r="BM149" s="141"/>
      <c r="BN149" s="141"/>
      <c r="BO149" s="141"/>
      <c r="BP149" s="141"/>
      <c r="BQ149" s="141"/>
      <c r="BR149" s="141"/>
      <c r="BS149" s="141"/>
      <c r="BT149" s="141"/>
      <c r="BU149" s="141"/>
      <c r="BV149" s="141"/>
      <c r="BW149" s="141"/>
      <c r="BX149" s="141"/>
      <c r="BY149" s="141"/>
      <c r="BZ149" s="141"/>
      <c r="CA149" s="141"/>
      <c r="CB149" s="141"/>
      <c r="CC149" s="141"/>
      <c r="CD149" s="141"/>
      <c r="CE149" s="141"/>
      <c r="CF149" s="141"/>
      <c r="CG149" s="141"/>
      <c r="CH149" s="141"/>
      <c r="CI149" s="141"/>
      <c r="CJ149" s="141"/>
      <c r="CK149" s="141"/>
      <c r="CL149" s="141"/>
      <c r="CM149" s="141"/>
      <c r="CN149" s="141"/>
      <c r="CO149" s="141"/>
      <c r="CP149" s="1373" t="s">
        <v>965</v>
      </c>
      <c r="CQ149" s="1370" t="str">
        <f>ADDRESS($CQ$141,14,1,1,)</f>
        <v>$N$20</v>
      </c>
      <c r="CR149" s="1370" t="str">
        <f>ADDRESS($CR$141,14,1,1,)</f>
        <v>$N$25</v>
      </c>
      <c r="CS149" s="141"/>
      <c r="CT149" s="141"/>
      <c r="CU149" s="141"/>
      <c r="CV149" s="141"/>
      <c r="CW149" s="141"/>
      <c r="CX149" s="141"/>
      <c r="CY149" s="141"/>
      <c r="CZ149" s="141"/>
      <c r="DA149" s="141"/>
      <c r="DB149" s="141"/>
      <c r="DC149" s="141"/>
      <c r="DD149" s="141"/>
      <c r="DE149" s="141"/>
      <c r="DF149" s="141"/>
      <c r="DG149" s="141"/>
      <c r="DH149" s="141"/>
      <c r="DI149" s="141"/>
      <c r="DJ149" s="141"/>
      <c r="DK149" s="141"/>
      <c r="DL149" s="141"/>
      <c r="DM149" s="141"/>
      <c r="DN149" s="141"/>
      <c r="DO149" s="141"/>
      <c r="DP149" s="141"/>
      <c r="DQ149" s="141"/>
      <c r="DR149" s="141"/>
      <c r="DS149" s="141"/>
      <c r="DT149" s="141"/>
      <c r="DU149" s="141"/>
      <c r="DV149" s="141"/>
      <c r="DW149" s="141"/>
      <c r="DX149" s="141"/>
      <c r="DY149" s="141"/>
      <c r="DZ149" s="141"/>
      <c r="EA149" s="141"/>
      <c r="EB149" s="332"/>
    </row>
    <row r="150" spans="1:132" s="147" customFormat="1" hidden="1" x14ac:dyDescent="0.3">
      <c r="A150" s="332"/>
      <c r="B150" s="332"/>
      <c r="C150" s="332"/>
      <c r="D150" s="332"/>
      <c r="E150" s="353" t="s">
        <v>1149</v>
      </c>
      <c r="F150" s="355" t="b">
        <f>AND(NoGlazing=FALSE,ISBLANK(AirMovement))</f>
        <v>0</v>
      </c>
      <c r="G150" s="1376" t="s">
        <v>1150</v>
      </c>
      <c r="H150" s="1374" t="str">
        <f>IF(F150=TRUE,"No Air Movement","")</f>
        <v/>
      </c>
      <c r="I150" s="361"/>
      <c r="J150" s="361"/>
      <c r="K150" s="361"/>
      <c r="L150" s="361"/>
      <c r="M150" s="361"/>
      <c r="N150" s="361"/>
      <c r="O150" s="361"/>
      <c r="P150" s="361"/>
      <c r="Q150" s="361"/>
      <c r="R150" s="332"/>
      <c r="S150" s="354">
        <f>LEN(H150)</f>
        <v>0</v>
      </c>
      <c r="T150" s="361"/>
      <c r="U150" s="362"/>
      <c r="V150" s="361"/>
      <c r="W150" s="361"/>
      <c r="X150" s="361"/>
      <c r="Y150" s="361"/>
      <c r="Z150" s="361"/>
      <c r="AA150" s="141"/>
      <c r="AB150" s="141"/>
      <c r="AC150" s="141"/>
      <c r="AD150" s="141"/>
      <c r="AE150" s="141"/>
      <c r="AF150" s="141"/>
      <c r="AG150" s="141"/>
      <c r="AH150" s="141"/>
      <c r="AI150" s="141"/>
      <c r="AJ150" s="141"/>
      <c r="AK150" s="141"/>
      <c r="AL150" s="141"/>
      <c r="AM150" s="141"/>
      <c r="AN150" s="141"/>
      <c r="AO150" s="141"/>
      <c r="AP150" s="141"/>
      <c r="AQ150" s="141"/>
      <c r="AR150" s="141"/>
      <c r="AS150" s="141"/>
      <c r="AT150" s="141"/>
      <c r="AU150" s="141"/>
      <c r="AV150" s="141"/>
      <c r="AW150" s="141"/>
      <c r="AX150" s="141"/>
      <c r="AY150" s="141"/>
      <c r="AZ150" s="141"/>
      <c r="BA150" s="141"/>
      <c r="BB150" s="141"/>
      <c r="BC150" s="141"/>
      <c r="BD150" s="141"/>
      <c r="BE150" s="141"/>
      <c r="BF150" s="141"/>
      <c r="BG150" s="141"/>
      <c r="BH150" s="141"/>
      <c r="BI150" s="141"/>
      <c r="BJ150" s="141"/>
      <c r="BK150" s="141"/>
      <c r="BL150" s="141"/>
      <c r="BM150" s="141"/>
      <c r="BN150" s="141"/>
      <c r="BO150" s="141"/>
      <c r="BP150" s="141"/>
      <c r="BQ150" s="141"/>
      <c r="BR150" s="141"/>
      <c r="BS150" s="141"/>
      <c r="BT150" s="141"/>
      <c r="BU150" s="141"/>
      <c r="BV150" s="141"/>
      <c r="BW150" s="141"/>
      <c r="BX150" s="141"/>
      <c r="BY150" s="141"/>
      <c r="BZ150" s="141"/>
      <c r="CA150" s="141"/>
      <c r="CB150" s="141"/>
      <c r="CC150" s="141"/>
      <c r="CD150" s="141"/>
      <c r="CE150" s="141"/>
      <c r="CF150" s="141"/>
      <c r="CG150" s="141"/>
      <c r="CH150" s="141"/>
      <c r="CI150" s="141"/>
      <c r="CJ150" s="141"/>
      <c r="CK150" s="141"/>
      <c r="CL150" s="141"/>
      <c r="CM150" s="141"/>
      <c r="CN150" s="141"/>
      <c r="CO150" s="141"/>
      <c r="CP150" s="141"/>
      <c r="CQ150" s="141"/>
      <c r="CR150" s="141"/>
      <c r="CS150" s="141"/>
      <c r="CT150" s="141"/>
      <c r="CU150" s="141"/>
      <c r="CV150" s="141"/>
      <c r="CW150" s="141"/>
      <c r="CX150" s="141"/>
      <c r="CY150" s="141"/>
      <c r="CZ150" s="141"/>
      <c r="DA150" s="141"/>
      <c r="DB150" s="141"/>
      <c r="DC150" s="141"/>
      <c r="DD150" s="141"/>
      <c r="DE150" s="141"/>
      <c r="DF150" s="141"/>
      <c r="DG150" s="141"/>
      <c r="DH150" s="141"/>
      <c r="DI150" s="141"/>
      <c r="DJ150" s="141"/>
      <c r="DK150" s="141"/>
      <c r="DL150" s="141"/>
      <c r="DM150" s="141"/>
      <c r="DN150" s="141"/>
      <c r="DO150" s="141"/>
      <c r="DP150" s="141"/>
      <c r="DQ150" s="141"/>
      <c r="DR150" s="141"/>
      <c r="DS150" s="141"/>
      <c r="DT150" s="141"/>
      <c r="DU150" s="141"/>
      <c r="DV150" s="141"/>
      <c r="DW150" s="141"/>
      <c r="DX150" s="141"/>
      <c r="DY150" s="141"/>
      <c r="DZ150" s="141"/>
      <c r="EA150" s="141"/>
      <c r="EB150" s="332"/>
    </row>
    <row r="151" spans="1:132" s="147" customFormat="1" hidden="1" x14ac:dyDescent="0.3">
      <c r="A151" s="332"/>
      <c r="B151" s="332"/>
      <c r="C151" s="332"/>
      <c r="D151" s="332"/>
      <c r="E151" s="353" t="s">
        <v>1151</v>
      </c>
      <c r="F151" s="355" t="b">
        <f>AND(AreaA&gt;0,AirMovement&gt;0)</f>
        <v>0</v>
      </c>
      <c r="G151" s="1377" t="s">
        <v>1152</v>
      </c>
      <c r="H151" s="1378"/>
      <c r="I151" s="361"/>
      <c r="J151" s="361"/>
      <c r="K151" s="361"/>
      <c r="L151" s="361"/>
      <c r="M151" s="361"/>
      <c r="N151" s="361"/>
      <c r="O151" s="361"/>
      <c r="P151" s="361"/>
      <c r="Q151" s="361"/>
      <c r="R151" s="361"/>
      <c r="S151" s="361"/>
      <c r="T151" s="361"/>
      <c r="U151" s="366"/>
      <c r="V151" s="361"/>
      <c r="W151" s="361"/>
      <c r="X151" s="361"/>
      <c r="Y151" s="361"/>
      <c r="Z151" s="361"/>
      <c r="AA151" s="141"/>
      <c r="AB151" s="141"/>
      <c r="AC151" s="141"/>
      <c r="AD151" s="141"/>
      <c r="AE151" s="141"/>
      <c r="AF151" s="141"/>
      <c r="AG151" s="141"/>
      <c r="AH151" s="141"/>
      <c r="AI151" s="141"/>
      <c r="AJ151" s="141"/>
      <c r="AK151" s="141"/>
      <c r="AL151" s="141"/>
      <c r="AM151" s="141"/>
      <c r="AN151" s="141"/>
      <c r="AO151" s="141"/>
      <c r="AP151" s="141"/>
      <c r="AQ151" s="141"/>
      <c r="AR151" s="141"/>
      <c r="AS151" s="141"/>
      <c r="AT151" s="141"/>
      <c r="AU151" s="141"/>
      <c r="AV151" s="141"/>
      <c r="AW151" s="141"/>
      <c r="AX151" s="141"/>
      <c r="AY151" s="141"/>
      <c r="AZ151" s="141"/>
      <c r="BA151" s="141"/>
      <c r="BB151" s="141"/>
      <c r="BC151" s="141"/>
      <c r="BD151" s="141"/>
      <c r="BE151" s="141"/>
      <c r="BF151" s="141"/>
      <c r="BG151" s="141"/>
      <c r="BH151" s="141"/>
      <c r="BI151" s="141"/>
      <c r="BJ151" s="141"/>
      <c r="BK151" s="141"/>
      <c r="BL151" s="141"/>
      <c r="BM151" s="141"/>
      <c r="BN151" s="141"/>
      <c r="BO151" s="141"/>
      <c r="BP151" s="141"/>
      <c r="BQ151" s="141"/>
      <c r="BR151" s="141"/>
      <c r="BS151" s="141"/>
      <c r="BT151" s="141"/>
      <c r="BU151" s="141"/>
      <c r="BV151" s="141"/>
      <c r="BW151" s="141"/>
      <c r="BX151" s="141"/>
      <c r="BY151" s="141"/>
      <c r="BZ151" s="141"/>
      <c r="CA151" s="141"/>
      <c r="CB151" s="141"/>
      <c r="CC151" s="141"/>
      <c r="CD151" s="141"/>
      <c r="CE151" s="141"/>
      <c r="CF151" s="141"/>
      <c r="CG151" s="141"/>
      <c r="CH151" s="141"/>
      <c r="CI151" s="141"/>
      <c r="CJ151" s="141"/>
      <c r="CK151" s="141"/>
      <c r="CL151" s="141"/>
      <c r="CM151" s="141"/>
      <c r="CN151" s="141"/>
      <c r="CO151" s="141"/>
      <c r="CP151" s="141"/>
      <c r="CQ151" s="141"/>
      <c r="CR151" s="141"/>
      <c r="CS151" s="141"/>
      <c r="CT151" s="141"/>
      <c r="CU151" s="141"/>
      <c r="CV151" s="141"/>
      <c r="CW151" s="141"/>
      <c r="CX151" s="141"/>
      <c r="CY151" s="141"/>
      <c r="CZ151" s="141"/>
      <c r="DA151" s="141"/>
      <c r="DB151" s="141"/>
      <c r="DC151" s="141"/>
      <c r="DD151" s="141"/>
      <c r="DE151" s="141"/>
      <c r="DF151" s="141"/>
      <c r="DG151" s="141"/>
      <c r="DH151" s="141"/>
      <c r="DI151" s="141"/>
      <c r="DJ151" s="141"/>
      <c r="DK151" s="141"/>
      <c r="DL151" s="141"/>
      <c r="DM151" s="141"/>
      <c r="DN151" s="141"/>
      <c r="DO151" s="141"/>
      <c r="DP151" s="141"/>
      <c r="DQ151" s="141"/>
      <c r="DR151" s="141"/>
      <c r="DS151" s="141"/>
      <c r="DT151" s="141"/>
      <c r="DU151" s="141"/>
      <c r="DV151" s="141"/>
      <c r="DW151" s="141"/>
      <c r="DX151" s="141"/>
      <c r="DY151" s="141"/>
      <c r="DZ151" s="141"/>
      <c r="EA151" s="141"/>
      <c r="EB151" s="332"/>
    </row>
    <row r="152" spans="1:132" s="147" customFormat="1" hidden="1" x14ac:dyDescent="0.3">
      <c r="A152" s="332"/>
      <c r="B152" s="332"/>
      <c r="C152" s="332"/>
      <c r="D152" s="332"/>
      <c r="E152" s="353" t="s">
        <v>1153</v>
      </c>
      <c r="F152" s="355" t="b">
        <f>AND(AreaB&gt;0,AirMovement&gt;0)</f>
        <v>0</v>
      </c>
      <c r="G152" s="1377" t="s">
        <v>1154</v>
      </c>
      <c r="H152" s="1378"/>
      <c r="I152" s="361"/>
      <c r="J152" s="361"/>
      <c r="K152" s="361"/>
      <c r="L152" s="361"/>
      <c r="M152" s="361"/>
      <c r="N152" s="361"/>
      <c r="O152" s="361"/>
      <c r="P152" s="361"/>
      <c r="Q152" s="361"/>
      <c r="R152" s="361"/>
      <c r="S152" s="361"/>
      <c r="T152" s="361"/>
      <c r="U152" s="361"/>
      <c r="V152" s="361"/>
      <c r="W152" s="361"/>
      <c r="X152" s="361"/>
      <c r="Y152" s="361"/>
      <c r="Z152" s="361"/>
      <c r="AA152" s="141"/>
      <c r="AB152" s="141"/>
      <c r="AC152" s="141"/>
      <c r="AD152" s="141"/>
      <c r="AE152" s="141"/>
      <c r="AF152" s="141"/>
      <c r="AG152" s="141"/>
      <c r="AH152" s="141"/>
      <c r="AI152" s="141"/>
      <c r="AJ152" s="141"/>
      <c r="AK152" s="141"/>
      <c r="AL152" s="141"/>
      <c r="AM152" s="141"/>
      <c r="AN152" s="141"/>
      <c r="AO152" s="141"/>
      <c r="AP152" s="141"/>
      <c r="AQ152" s="141"/>
      <c r="AR152" s="141"/>
      <c r="AS152" s="141"/>
      <c r="AT152" s="141"/>
      <c r="AU152" s="141"/>
      <c r="AV152" s="141"/>
      <c r="AW152" s="141"/>
      <c r="AX152" s="141"/>
      <c r="AY152" s="141"/>
      <c r="AZ152" s="141"/>
      <c r="BA152" s="141"/>
      <c r="BB152" s="141"/>
      <c r="BC152" s="141"/>
      <c r="BD152" s="141"/>
      <c r="BE152" s="141"/>
      <c r="BF152" s="141"/>
      <c r="BG152" s="141"/>
      <c r="BH152" s="141"/>
      <c r="BI152" s="141"/>
      <c r="BJ152" s="141"/>
      <c r="BK152" s="141"/>
      <c r="BL152" s="141"/>
      <c r="BM152" s="141"/>
      <c r="BN152" s="141"/>
      <c r="BO152" s="141"/>
      <c r="BP152" s="141"/>
      <c r="BQ152" s="141"/>
      <c r="BR152" s="141"/>
      <c r="BS152" s="141"/>
      <c r="BT152" s="141"/>
      <c r="BU152" s="141"/>
      <c r="BV152" s="141"/>
      <c r="BW152" s="141"/>
      <c r="BX152" s="141"/>
      <c r="BY152" s="141"/>
      <c r="BZ152" s="141"/>
      <c r="CA152" s="141"/>
      <c r="CB152" s="141"/>
      <c r="CC152" s="141"/>
      <c r="CD152" s="141"/>
      <c r="CE152" s="141"/>
      <c r="CF152" s="141"/>
      <c r="CG152" s="141"/>
      <c r="CH152" s="141"/>
      <c r="CI152" s="141"/>
      <c r="CJ152" s="141"/>
      <c r="CK152" s="141"/>
      <c r="CL152" s="141"/>
      <c r="CM152" s="141"/>
      <c r="CN152" s="141"/>
      <c r="CO152" s="141"/>
      <c r="CP152" s="141"/>
      <c r="CQ152" s="141"/>
      <c r="CR152" s="141"/>
      <c r="CS152" s="141"/>
      <c r="CT152" s="141"/>
      <c r="CU152" s="141"/>
      <c r="CV152" s="141"/>
      <c r="CW152" s="141"/>
      <c r="CX152" s="141"/>
      <c r="CY152" s="141"/>
      <c r="CZ152" s="141"/>
      <c r="DA152" s="141"/>
      <c r="DB152" s="141"/>
      <c r="DC152" s="141"/>
      <c r="DD152" s="141"/>
      <c r="DE152" s="141"/>
      <c r="DF152" s="141"/>
      <c r="DG152" s="141"/>
      <c r="DH152" s="141"/>
      <c r="DI152" s="141"/>
      <c r="DJ152" s="141"/>
      <c r="DK152" s="141"/>
      <c r="DL152" s="141"/>
      <c r="DM152" s="141"/>
      <c r="DN152" s="141"/>
      <c r="DO152" s="141"/>
      <c r="DP152" s="141"/>
      <c r="DQ152" s="141"/>
      <c r="DR152" s="141"/>
      <c r="DS152" s="141"/>
      <c r="DT152" s="141"/>
      <c r="DU152" s="141"/>
      <c r="DV152" s="141"/>
      <c r="DW152" s="141"/>
      <c r="DX152" s="141"/>
      <c r="DY152" s="141"/>
      <c r="DZ152" s="141"/>
      <c r="EA152" s="141"/>
      <c r="EB152" s="332"/>
    </row>
    <row r="153" spans="1:132" s="147" customFormat="1" hidden="1" x14ac:dyDescent="0.3">
      <c r="A153" s="332"/>
      <c r="B153" s="332"/>
      <c r="C153" s="332"/>
      <c r="D153" s="332"/>
      <c r="E153" s="367" t="s">
        <v>1155</v>
      </c>
      <c r="F153" s="355" t="b">
        <v>0</v>
      </c>
      <c r="G153" s="368" t="s">
        <v>1156</v>
      </c>
      <c r="H153" s="1379" t="str">
        <f>IF(AND(First3Inputs=TRUE,AreaAll&gt;0,AirMovement&gt;0,F153=TRUE,ISBLANK(WallConcession)=FALSE),"Selected wall concession is not available in climate zone "&amp;Zone,"")</f>
        <v/>
      </c>
      <c r="I153" s="361"/>
      <c r="J153" s="361"/>
      <c r="K153" s="361"/>
      <c r="L153" s="361"/>
      <c r="M153" s="361"/>
      <c r="N153" s="361"/>
      <c r="O153" s="361"/>
      <c r="P153" s="361"/>
      <c r="Q153" s="361"/>
      <c r="R153" s="332"/>
      <c r="S153" s="354">
        <f>LEN(H153)</f>
        <v>0</v>
      </c>
      <c r="T153" s="361"/>
      <c r="U153" s="363"/>
      <c r="V153" s="361"/>
      <c r="W153" s="361"/>
      <c r="X153" s="361"/>
      <c r="Y153" s="361"/>
      <c r="Z153" s="361"/>
      <c r="AA153" s="141"/>
      <c r="AB153" s="141"/>
      <c r="AC153" s="141"/>
      <c r="AD153" s="141"/>
      <c r="AE153" s="141"/>
      <c r="AF153" s="141"/>
      <c r="AG153" s="141"/>
      <c r="AH153" s="141"/>
      <c r="AI153" s="141"/>
      <c r="AJ153" s="141"/>
      <c r="AK153" s="141"/>
      <c r="AL153" s="141"/>
      <c r="AM153" s="141"/>
      <c r="AN153" s="141"/>
      <c r="AO153" s="141"/>
      <c r="AP153" s="141"/>
      <c r="AQ153" s="141"/>
      <c r="AR153" s="141"/>
      <c r="AS153" s="141"/>
      <c r="AT153" s="141"/>
      <c r="AU153" s="141"/>
      <c r="AV153" s="141"/>
      <c r="AW153" s="141"/>
      <c r="AX153" s="141"/>
      <c r="AY153" s="141"/>
      <c r="AZ153" s="141"/>
      <c r="BA153" s="141"/>
      <c r="BB153" s="141"/>
      <c r="BC153" s="141"/>
      <c r="BD153" s="141"/>
      <c r="BE153" s="141"/>
      <c r="BF153" s="141"/>
      <c r="BG153" s="141"/>
      <c r="BH153" s="141"/>
      <c r="BI153" s="141"/>
      <c r="BJ153" s="141"/>
      <c r="BK153" s="141"/>
      <c r="BL153" s="141"/>
      <c r="BM153" s="141"/>
      <c r="BN153" s="141"/>
      <c r="BO153" s="141"/>
      <c r="BP153" s="141"/>
      <c r="BQ153" s="141"/>
      <c r="BR153" s="141"/>
      <c r="BS153" s="141"/>
      <c r="BT153" s="141"/>
      <c r="BU153" s="141"/>
      <c r="BV153" s="141"/>
      <c r="BW153" s="141"/>
      <c r="BX153" s="141"/>
      <c r="BY153" s="141"/>
      <c r="BZ153" s="141"/>
      <c r="CA153" s="141"/>
      <c r="CB153" s="141"/>
      <c r="CC153" s="141"/>
      <c r="CD153" s="141"/>
      <c r="CE153" s="141"/>
      <c r="CF153" s="141"/>
      <c r="CG153" s="141"/>
      <c r="CH153" s="141"/>
      <c r="CI153" s="141"/>
      <c r="CJ153" s="141"/>
      <c r="CK153" s="141"/>
      <c r="CL153" s="141"/>
      <c r="CM153" s="141"/>
      <c r="CN153" s="141"/>
      <c r="CO153" s="141"/>
      <c r="CP153" s="141"/>
      <c r="CQ153" s="141"/>
      <c r="CR153" s="141"/>
      <c r="CS153" s="141"/>
      <c r="CT153" s="141"/>
      <c r="CU153" s="141"/>
      <c r="CV153" s="141"/>
      <c r="CW153" s="141"/>
      <c r="CX153" s="141"/>
      <c r="CY153" s="141"/>
      <c r="CZ153" s="141"/>
      <c r="DA153" s="141"/>
      <c r="DB153" s="141"/>
      <c r="DC153" s="141"/>
      <c r="DD153" s="141"/>
      <c r="DE153" s="141"/>
      <c r="DF153" s="141"/>
      <c r="DG153" s="141"/>
      <c r="DH153" s="141"/>
      <c r="DI153" s="141"/>
      <c r="DJ153" s="141"/>
      <c r="DK153" s="141"/>
      <c r="DL153" s="141"/>
      <c r="DM153" s="141"/>
      <c r="DN153" s="141"/>
      <c r="DO153" s="141"/>
      <c r="DP153" s="141"/>
      <c r="DQ153" s="141"/>
      <c r="DR153" s="141"/>
      <c r="DS153" s="141"/>
      <c r="DT153" s="141"/>
      <c r="DU153" s="141"/>
      <c r="DV153" s="141"/>
      <c r="DW153" s="141"/>
      <c r="DX153" s="141"/>
      <c r="DY153" s="141"/>
      <c r="DZ153" s="141"/>
      <c r="EA153" s="141"/>
      <c r="EB153" s="332"/>
    </row>
    <row r="154" spans="1:132" s="147" customFormat="1" hidden="1" x14ac:dyDescent="0.3">
      <c r="A154" s="332"/>
      <c r="B154" s="332"/>
      <c r="C154" s="332"/>
      <c r="D154" s="332"/>
      <c r="E154" s="353" t="s">
        <v>1157</v>
      </c>
      <c r="F154" s="355" t="b">
        <f>AND(NoGlazing=FALSE,COUNTA(Building,Zone,Storey,AirMovement)=4,AreaAll&gt;0,ISBLANK(J12)=TRUE)</f>
        <v>0</v>
      </c>
      <c r="G154" s="1367"/>
      <c r="H154" s="1374" t="str">
        <f>IF(F154=TRUE,"Wall insulation option is blank but other data is present","")</f>
        <v/>
      </c>
      <c r="I154" s="361"/>
      <c r="J154" s="361"/>
      <c r="K154" s="361"/>
      <c r="L154" s="361"/>
      <c r="M154" s="361"/>
      <c r="N154" s="361"/>
      <c r="O154" s="361"/>
      <c r="P154" s="361"/>
      <c r="Q154" s="361"/>
      <c r="R154" s="354"/>
      <c r="S154" s="354">
        <f>LEN(H154)</f>
        <v>0</v>
      </c>
      <c r="T154" s="361"/>
      <c r="U154" s="361"/>
      <c r="V154" s="361"/>
      <c r="W154" s="361"/>
      <c r="X154" s="361"/>
      <c r="Y154" s="361"/>
      <c r="Z154" s="361"/>
      <c r="AA154" s="141"/>
      <c r="AB154" s="141"/>
      <c r="AC154" s="141"/>
      <c r="AD154" s="141"/>
      <c r="AE154" s="141"/>
      <c r="AF154" s="141"/>
      <c r="AG154" s="141"/>
      <c r="AH154" s="141"/>
      <c r="AI154" s="141"/>
      <c r="AJ154" s="141"/>
      <c r="AK154" s="141"/>
      <c r="AL154" s="141"/>
      <c r="AM154" s="141"/>
      <c r="AN154" s="141"/>
      <c r="AO154" s="141"/>
      <c r="AP154" s="141"/>
      <c r="AQ154" s="141"/>
      <c r="AR154" s="141"/>
      <c r="AS154" s="141"/>
      <c r="AT154" s="141"/>
      <c r="AU154" s="141"/>
      <c r="AV154" s="141"/>
      <c r="AW154" s="141"/>
      <c r="AX154" s="141"/>
      <c r="AY154" s="141"/>
      <c r="AZ154" s="141"/>
      <c r="BA154" s="141"/>
      <c r="BB154" s="141"/>
      <c r="BC154" s="141"/>
      <c r="BD154" s="141"/>
      <c r="BE154" s="141"/>
      <c r="BF154" s="141"/>
      <c r="BG154" s="141"/>
      <c r="BH154" s="141"/>
      <c r="BI154" s="141"/>
      <c r="BJ154" s="141"/>
      <c r="BK154" s="141"/>
      <c r="BL154" s="141"/>
      <c r="BM154" s="141"/>
      <c r="BN154" s="141"/>
      <c r="BO154" s="141"/>
      <c r="BP154" s="141"/>
      <c r="BQ154" s="141"/>
      <c r="BR154" s="141"/>
      <c r="BS154" s="141"/>
      <c r="BT154" s="141"/>
      <c r="BU154" s="141"/>
      <c r="BV154" s="141"/>
      <c r="BW154" s="141"/>
      <c r="BX154" s="141"/>
      <c r="BY154" s="141"/>
      <c r="BZ154" s="141"/>
      <c r="CA154" s="141"/>
      <c r="CB154" s="141"/>
      <c r="CC154" s="141"/>
      <c r="CD154" s="141"/>
      <c r="CE154" s="141"/>
      <c r="CF154" s="141"/>
      <c r="CG154" s="141"/>
      <c r="CH154" s="141"/>
      <c r="CI154" s="141"/>
      <c r="CJ154" s="141"/>
      <c r="CK154" s="141"/>
      <c r="CL154" s="141"/>
      <c r="CM154" s="141"/>
      <c r="CN154" s="141"/>
      <c r="CO154" s="141"/>
      <c r="CP154" s="141"/>
      <c r="CQ154" s="141"/>
      <c r="CR154" s="141"/>
      <c r="CS154" s="141"/>
      <c r="CT154" s="141"/>
      <c r="CU154" s="141"/>
      <c r="CV154" s="141"/>
      <c r="CW154" s="141"/>
      <c r="CX154" s="141"/>
      <c r="CY154" s="141"/>
      <c r="CZ154" s="141"/>
      <c r="DA154" s="141"/>
      <c r="DB154" s="141"/>
      <c r="DC154" s="141"/>
      <c r="DD154" s="141"/>
      <c r="DE154" s="141"/>
      <c r="DF154" s="141"/>
      <c r="DG154" s="141"/>
      <c r="DH154" s="141"/>
      <c r="DI154" s="141"/>
      <c r="DJ154" s="141"/>
      <c r="DK154" s="141"/>
      <c r="DL154" s="141"/>
      <c r="DM154" s="141"/>
      <c r="DN154" s="141"/>
      <c r="DO154" s="141"/>
      <c r="DP154" s="141"/>
      <c r="DQ154" s="141"/>
      <c r="DR154" s="141"/>
      <c r="DS154" s="141"/>
      <c r="DT154" s="141"/>
      <c r="DU154" s="141"/>
      <c r="DV154" s="141"/>
      <c r="DW154" s="141"/>
      <c r="DX154" s="141"/>
      <c r="DY154" s="141"/>
      <c r="DZ154" s="141"/>
      <c r="EA154" s="141"/>
      <c r="EB154" s="332"/>
    </row>
    <row r="155" spans="1:132" s="147" customFormat="1" hidden="1" x14ac:dyDescent="0.3">
      <c r="A155" s="332"/>
      <c r="B155" s="332"/>
      <c r="C155" s="332"/>
      <c r="D155" s="332"/>
      <c r="E155" s="353" t="s">
        <v>1158</v>
      </c>
      <c r="F155" s="355" t="b">
        <f>AND(UpperInputsAlerts=0,F153=FALSE,NoGlazing=TRUE)</f>
        <v>0</v>
      </c>
      <c r="G155" s="1376" t="s">
        <v>1159</v>
      </c>
      <c r="H155" s="1380" t="str">
        <f>IF(TopInputsOK=TRUE,"7. Enter glazing details in this table. Input above and arrow near 'ID' alter the number of rows.","")</f>
        <v/>
      </c>
      <c r="I155" s="357" t="s">
        <v>1160</v>
      </c>
      <c r="J155" s="357"/>
      <c r="K155" s="357"/>
      <c r="L155" s="357"/>
      <c r="M155" s="357"/>
      <c r="N155" s="357"/>
      <c r="O155" s="369"/>
      <c r="P155" s="370"/>
      <c r="Q155" s="370"/>
      <c r="R155" s="370"/>
      <c r="S155" s="370"/>
      <c r="T155" s="370"/>
      <c r="U155" s="370"/>
      <c r="V155" s="370"/>
      <c r="W155" s="370"/>
      <c r="X155" s="370"/>
      <c r="Y155" s="370"/>
      <c r="Z155" s="370"/>
      <c r="AA155" s="141"/>
      <c r="AB155" s="141"/>
      <c r="AC155" s="141"/>
      <c r="AD155" s="141"/>
      <c r="AE155" s="141"/>
      <c r="AF155" s="141"/>
      <c r="AG155" s="141"/>
      <c r="AH155" s="141"/>
      <c r="AI155" s="141"/>
      <c r="AJ155" s="141"/>
      <c r="AK155" s="141"/>
      <c r="AL155" s="141"/>
      <c r="AM155" s="141"/>
      <c r="AN155" s="141"/>
      <c r="AO155" s="141"/>
      <c r="AP155" s="141"/>
      <c r="AQ155" s="141"/>
      <c r="AR155" s="141"/>
      <c r="AS155" s="141"/>
      <c r="AT155" s="141"/>
      <c r="AU155" s="141"/>
      <c r="AV155" s="141"/>
      <c r="AW155" s="141"/>
      <c r="AX155" s="141"/>
      <c r="AY155" s="141"/>
      <c r="AZ155" s="141"/>
      <c r="BA155" s="141"/>
      <c r="BB155" s="141"/>
      <c r="BC155" s="141"/>
      <c r="BD155" s="141"/>
      <c r="BE155" s="141"/>
      <c r="BF155" s="141"/>
      <c r="BG155" s="141"/>
      <c r="BH155" s="141"/>
      <c r="BI155" s="141"/>
      <c r="BJ155" s="141"/>
      <c r="BK155" s="141"/>
      <c r="BL155" s="141"/>
      <c r="BM155" s="141"/>
      <c r="BN155" s="141"/>
      <c r="BO155" s="141"/>
      <c r="BP155" s="141"/>
      <c r="BQ155" s="141"/>
      <c r="BR155" s="141"/>
      <c r="BS155" s="141"/>
      <c r="BT155" s="141"/>
      <c r="BU155" s="141"/>
      <c r="BV155" s="141"/>
      <c r="BW155" s="141"/>
      <c r="BX155" s="141"/>
      <c r="BY155" s="141"/>
      <c r="BZ155" s="141"/>
      <c r="CA155" s="141"/>
      <c r="CB155" s="141"/>
      <c r="CC155" s="141"/>
      <c r="CD155" s="141"/>
      <c r="CE155" s="141"/>
      <c r="CF155" s="141"/>
      <c r="CG155" s="141"/>
      <c r="CH155" s="141"/>
      <c r="CI155" s="141"/>
      <c r="CJ155" s="141"/>
      <c r="CK155" s="141"/>
      <c r="CL155" s="141"/>
      <c r="CM155" s="141"/>
      <c r="CN155" s="141"/>
      <c r="CO155" s="141"/>
      <c r="CP155" s="141"/>
      <c r="CQ155" s="141"/>
      <c r="CR155" s="141"/>
      <c r="CS155" s="141"/>
      <c r="CT155" s="141"/>
      <c r="CU155" s="141"/>
      <c r="CV155" s="141"/>
      <c r="CW155" s="141"/>
      <c r="CX155" s="141"/>
      <c r="CY155" s="141"/>
      <c r="CZ155" s="141"/>
      <c r="DA155" s="141"/>
      <c r="DB155" s="141"/>
      <c r="DC155" s="141"/>
      <c r="DD155" s="141"/>
      <c r="DE155" s="141"/>
      <c r="DF155" s="141"/>
      <c r="DG155" s="141"/>
      <c r="DH155" s="141"/>
      <c r="DI155" s="141"/>
      <c r="DJ155" s="141"/>
      <c r="DK155" s="141"/>
      <c r="DL155" s="141"/>
      <c r="DM155" s="141"/>
      <c r="DN155" s="141"/>
      <c r="DO155" s="141"/>
      <c r="DP155" s="141"/>
      <c r="DQ155" s="141"/>
      <c r="DR155" s="141"/>
      <c r="DS155" s="141"/>
      <c r="DT155" s="141"/>
      <c r="DU155" s="141"/>
      <c r="DV155" s="141"/>
      <c r="DW155" s="141"/>
      <c r="DX155" s="141"/>
      <c r="DY155" s="141"/>
      <c r="DZ155" s="141"/>
      <c r="EA155" s="141"/>
      <c r="EB155" s="332"/>
    </row>
    <row r="156" spans="1:132" s="147" customFormat="1" hidden="1" x14ac:dyDescent="0.3">
      <c r="A156" s="332"/>
      <c r="B156" s="332"/>
      <c r="C156" s="332"/>
      <c r="D156" s="332"/>
      <c r="E156" s="343"/>
      <c r="F156" s="344"/>
      <c r="G156" s="371"/>
      <c r="H156" s="371"/>
      <c r="I156" s="371"/>
      <c r="J156" s="371"/>
      <c r="K156" s="371"/>
      <c r="L156" s="371"/>
      <c r="M156" s="371"/>
      <c r="N156" s="371"/>
      <c r="O156" s="371"/>
      <c r="P156" s="371"/>
      <c r="Q156" s="361"/>
      <c r="R156" s="361"/>
      <c r="S156" s="361"/>
      <c r="T156" s="361"/>
      <c r="U156" s="361"/>
      <c r="V156" s="361"/>
      <c r="W156" s="361"/>
      <c r="X156" s="361"/>
      <c r="Y156" s="361"/>
      <c r="Z156" s="361"/>
      <c r="AA156" s="141"/>
      <c r="AB156" s="141"/>
      <c r="AC156" s="141"/>
      <c r="AD156" s="141"/>
      <c r="AE156" s="141"/>
      <c r="AF156" s="141"/>
      <c r="AG156" s="141"/>
      <c r="AH156" s="141"/>
      <c r="AI156" s="141"/>
      <c r="AJ156" s="141"/>
      <c r="AK156" s="141"/>
      <c r="AL156" s="141"/>
      <c r="AM156" s="141"/>
      <c r="AN156" s="141"/>
      <c r="AO156" s="141"/>
      <c r="AP156" s="141"/>
      <c r="AQ156" s="141"/>
      <c r="AR156" s="141"/>
      <c r="AS156" s="141"/>
      <c r="AT156" s="141"/>
      <c r="AU156" s="141"/>
      <c r="AV156" s="141"/>
      <c r="AW156" s="141"/>
      <c r="AX156" s="141"/>
      <c r="AY156" s="141"/>
      <c r="AZ156" s="141"/>
      <c r="BA156" s="141"/>
      <c r="BB156" s="141"/>
      <c r="BC156" s="141"/>
      <c r="BD156" s="141"/>
      <c r="BE156" s="141"/>
      <c r="BF156" s="141"/>
      <c r="BG156" s="141"/>
      <c r="BH156" s="141"/>
      <c r="BI156" s="141"/>
      <c r="BJ156" s="141"/>
      <c r="BK156" s="141"/>
      <c r="BL156" s="141"/>
      <c r="BM156" s="141"/>
      <c r="BN156" s="141"/>
      <c r="BO156" s="141"/>
      <c r="BP156" s="141"/>
      <c r="BQ156" s="141"/>
      <c r="BR156" s="141"/>
      <c r="BS156" s="141"/>
      <c r="BT156" s="141"/>
      <c r="BU156" s="141"/>
      <c r="BV156" s="141"/>
      <c r="BW156" s="141"/>
      <c r="BX156" s="141"/>
      <c r="BY156" s="141"/>
      <c r="BZ156" s="141"/>
      <c r="CA156" s="141"/>
      <c r="CB156" s="141"/>
      <c r="CC156" s="141"/>
      <c r="CD156" s="141"/>
      <c r="CE156" s="141"/>
      <c r="CF156" s="141"/>
      <c r="CG156" s="141"/>
      <c r="CH156" s="141"/>
      <c r="CI156" s="141"/>
      <c r="CJ156" s="141"/>
      <c r="CK156" s="141"/>
      <c r="CL156" s="141"/>
      <c r="CM156" s="141"/>
      <c r="CN156" s="141"/>
      <c r="CO156" s="141"/>
      <c r="CP156" s="141"/>
      <c r="CQ156" s="141"/>
      <c r="CR156" s="141"/>
      <c r="CS156" s="141"/>
      <c r="CT156" s="141"/>
      <c r="CU156" s="141"/>
      <c r="CV156" s="141"/>
      <c r="CW156" s="141"/>
      <c r="CX156" s="141"/>
      <c r="CY156" s="141"/>
      <c r="CZ156" s="141"/>
      <c r="DA156" s="141"/>
      <c r="DB156" s="141"/>
      <c r="DC156" s="141"/>
      <c r="DD156" s="141"/>
      <c r="DE156" s="141"/>
      <c r="DF156" s="141"/>
      <c r="DG156" s="141"/>
      <c r="DH156" s="141"/>
      <c r="DI156" s="141"/>
      <c r="DJ156" s="141"/>
      <c r="DK156" s="141"/>
      <c r="DL156" s="141"/>
      <c r="DM156" s="141"/>
      <c r="DN156" s="141"/>
      <c r="DO156" s="141"/>
      <c r="DP156" s="141"/>
      <c r="DQ156" s="141"/>
      <c r="DR156" s="141"/>
      <c r="DS156" s="141"/>
      <c r="DT156" s="141"/>
      <c r="DU156" s="141"/>
      <c r="DV156" s="141"/>
      <c r="DW156" s="141"/>
      <c r="DX156" s="141"/>
      <c r="DY156" s="141"/>
      <c r="DZ156" s="141"/>
      <c r="EA156" s="141"/>
      <c r="EB156" s="332"/>
    </row>
    <row r="157" spans="1:132" s="147" customFormat="1" hidden="1" x14ac:dyDescent="0.3">
      <c r="A157" s="332"/>
      <c r="B157" s="349" t="s">
        <v>1161</v>
      </c>
      <c r="C157" s="351"/>
      <c r="D157" s="351"/>
      <c r="E157" s="351"/>
      <c r="F157" s="372">
        <v>1</v>
      </c>
      <c r="G157" s="372">
        <v>2</v>
      </c>
      <c r="H157" s="372">
        <v>3</v>
      </c>
      <c r="I157" s="372">
        <v>4</v>
      </c>
      <c r="J157" s="372">
        <v>5</v>
      </c>
      <c r="K157" s="372">
        <v>6</v>
      </c>
      <c r="L157" s="372">
        <v>7</v>
      </c>
      <c r="M157" s="372">
        <v>8</v>
      </c>
      <c r="N157" s="361"/>
      <c r="O157" s="361"/>
      <c r="P157" s="361"/>
      <c r="Q157" s="361"/>
      <c r="R157" s="361"/>
      <c r="S157" s="361"/>
      <c r="T157" s="361"/>
      <c r="U157" s="361"/>
      <c r="V157" s="361"/>
      <c r="W157" s="361"/>
      <c r="X157" s="361"/>
      <c r="Y157" s="361"/>
      <c r="Z157" s="361"/>
      <c r="AA157" s="141"/>
      <c r="AB157" s="141"/>
      <c r="AC157" s="141"/>
      <c r="AD157" s="141"/>
      <c r="AE157" s="141"/>
      <c r="AF157" s="141"/>
      <c r="AG157" s="141"/>
      <c r="AH157" s="141"/>
      <c r="AI157" s="141"/>
      <c r="AJ157" s="141"/>
      <c r="AK157" s="141"/>
      <c r="AL157" s="141"/>
      <c r="AM157" s="141"/>
      <c r="AN157" s="141"/>
      <c r="AO157" s="141"/>
      <c r="AP157" s="141"/>
      <c r="AQ157" s="141"/>
      <c r="AR157" s="141"/>
      <c r="AS157" s="141"/>
      <c r="AT157" s="141"/>
      <c r="AU157" s="141"/>
      <c r="AV157" s="141"/>
      <c r="AW157" s="141"/>
      <c r="AX157" s="141"/>
      <c r="AY157" s="141"/>
      <c r="AZ157" s="141"/>
      <c r="BA157" s="141"/>
      <c r="BB157" s="141"/>
      <c r="BC157" s="141"/>
      <c r="BD157" s="141"/>
      <c r="BE157" s="141"/>
      <c r="BF157" s="141"/>
      <c r="BG157" s="141"/>
      <c r="BH157" s="141"/>
      <c r="BI157" s="141"/>
      <c r="BJ157" s="141"/>
      <c r="BK157" s="141"/>
      <c r="BL157" s="141"/>
      <c r="BM157" s="141"/>
      <c r="BN157" s="141"/>
      <c r="BO157" s="141"/>
      <c r="BP157" s="141"/>
      <c r="BQ157" s="141"/>
      <c r="BR157" s="141"/>
      <c r="BS157" s="141"/>
      <c r="BT157" s="141"/>
      <c r="BU157" s="141"/>
      <c r="BV157" s="141"/>
      <c r="BW157" s="141"/>
      <c r="BX157" s="141"/>
      <c r="BY157" s="141"/>
      <c r="BZ157" s="141"/>
      <c r="CA157" s="141"/>
      <c r="CB157" s="141"/>
      <c r="CC157" s="141"/>
      <c r="CD157" s="141"/>
      <c r="CE157" s="141"/>
      <c r="CF157" s="141"/>
      <c r="CG157" s="141"/>
      <c r="CH157" s="141"/>
      <c r="CI157" s="141"/>
      <c r="CJ157" s="141"/>
      <c r="CK157" s="141"/>
      <c r="CL157" s="141"/>
      <c r="CM157" s="141"/>
      <c r="CN157" s="141"/>
      <c r="CO157" s="141"/>
      <c r="CP157" s="141"/>
      <c r="CQ157" s="141"/>
      <c r="CR157" s="141"/>
      <c r="CS157" s="141"/>
      <c r="CT157" s="141"/>
      <c r="CU157" s="141"/>
      <c r="CV157" s="141"/>
      <c r="CW157" s="141"/>
      <c r="CX157" s="141"/>
      <c r="CY157" s="141"/>
      <c r="CZ157" s="141"/>
      <c r="DA157" s="141"/>
      <c r="DB157" s="141"/>
      <c r="DC157" s="141"/>
      <c r="DD157" s="141"/>
      <c r="DE157" s="141"/>
      <c r="DF157" s="141"/>
      <c r="DG157" s="141"/>
      <c r="DH157" s="141"/>
      <c r="DI157" s="141"/>
      <c r="DJ157" s="141"/>
      <c r="DK157" s="141"/>
      <c r="DL157" s="141"/>
      <c r="DM157" s="141"/>
      <c r="DN157" s="141"/>
      <c r="DO157" s="141"/>
      <c r="DP157" s="141"/>
      <c r="DQ157" s="141"/>
      <c r="DR157" s="141"/>
      <c r="DS157" s="141"/>
      <c r="DT157" s="141"/>
      <c r="DU157" s="141"/>
      <c r="DV157" s="141"/>
      <c r="DW157" s="141"/>
      <c r="DX157" s="141"/>
      <c r="DY157" s="141"/>
      <c r="DZ157" s="141"/>
      <c r="EA157" s="141"/>
      <c r="EB157" s="332"/>
    </row>
    <row r="158" spans="1:132" s="147" customFormat="1" hidden="1" x14ac:dyDescent="0.3">
      <c r="A158" s="332"/>
      <c r="B158" s="332"/>
      <c r="C158" s="332"/>
      <c r="D158" s="332"/>
      <c r="E158" s="353" t="s">
        <v>1162</v>
      </c>
      <c r="F158" s="373" t="str">
        <f t="shared" ref="F158:I158" si="229">IF(UpperInputsFlagged=0,INDEX(Orientations,1,F157),"")</f>
        <v/>
      </c>
      <c r="G158" s="373" t="str">
        <f t="shared" si="229"/>
        <v/>
      </c>
      <c r="H158" s="373" t="str">
        <f t="shared" si="229"/>
        <v/>
      </c>
      <c r="I158" s="373" t="str">
        <f t="shared" si="229"/>
        <v/>
      </c>
      <c r="J158" s="373" t="str">
        <f>IF(UpperInputsFlagged=0,INDEX(Orientations,1,J157),"")</f>
        <v/>
      </c>
      <c r="K158" s="373" t="str">
        <f>IF(UpperInputsFlagged=0,INDEX(Orientations,1,K157),"")</f>
        <v/>
      </c>
      <c r="L158" s="373" t="str">
        <f>IF(UpperInputsFlagged=0,INDEX(Orientations,1,L157),"")</f>
        <v/>
      </c>
      <c r="M158" s="373" t="str">
        <f>IF(UpperInputsFlagged=0,INDEX(Orientations,1,M157),"")</f>
        <v/>
      </c>
      <c r="N158" s="374" t="s">
        <v>1163</v>
      </c>
      <c r="O158" s="361"/>
      <c r="P158" s="361"/>
      <c r="Q158" s="361"/>
      <c r="R158" s="361"/>
      <c r="S158" s="361"/>
      <c r="T158" s="361"/>
      <c r="U158" s="361"/>
      <c r="V158" s="361"/>
      <c r="W158" s="361"/>
      <c r="X158" s="361"/>
      <c r="Y158" s="361"/>
      <c r="Z158" s="361"/>
      <c r="AA158" s="141"/>
      <c r="AB158" s="141"/>
      <c r="AC158" s="141"/>
      <c r="AD158" s="141"/>
      <c r="AE158" s="141"/>
      <c r="AF158" s="141"/>
      <c r="AG158" s="141"/>
      <c r="AH158" s="141"/>
      <c r="AI158" s="141"/>
      <c r="AJ158" s="141"/>
      <c r="AK158" s="141"/>
      <c r="AL158" s="141"/>
      <c r="AM158" s="141"/>
      <c r="AN158" s="141"/>
      <c r="AO158" s="141"/>
      <c r="AP158" s="141"/>
      <c r="AQ158" s="141"/>
      <c r="AR158" s="141"/>
      <c r="AS158" s="141"/>
      <c r="AT158" s="141"/>
      <c r="AU158" s="141"/>
      <c r="AV158" s="141"/>
      <c r="AW158" s="141"/>
      <c r="AX158" s="141"/>
      <c r="AY158" s="141"/>
      <c r="AZ158" s="141"/>
      <c r="BA158" s="141"/>
      <c r="BB158" s="141"/>
      <c r="BC158" s="141"/>
      <c r="BD158" s="141"/>
      <c r="BE158" s="141"/>
      <c r="BF158" s="141"/>
      <c r="BG158" s="141"/>
      <c r="BH158" s="141"/>
      <c r="BI158" s="141"/>
      <c r="BJ158" s="141"/>
      <c r="BK158" s="141"/>
      <c r="BL158" s="141"/>
      <c r="BM158" s="141"/>
      <c r="BN158" s="141"/>
      <c r="BO158" s="141"/>
      <c r="BP158" s="141"/>
      <c r="BQ158" s="141"/>
      <c r="BR158" s="141"/>
      <c r="BS158" s="141"/>
      <c r="BT158" s="141"/>
      <c r="BU158" s="141"/>
      <c r="BV158" s="141"/>
      <c r="BW158" s="141"/>
      <c r="BX158" s="141"/>
      <c r="BY158" s="141"/>
      <c r="BZ158" s="141"/>
      <c r="CA158" s="141"/>
      <c r="CB158" s="141"/>
      <c r="CC158" s="141"/>
      <c r="CD158" s="141"/>
      <c r="CE158" s="141"/>
      <c r="CF158" s="141"/>
      <c r="CG158" s="141"/>
      <c r="CH158" s="141"/>
      <c r="CI158" s="141"/>
      <c r="CJ158" s="141"/>
      <c r="CK158" s="141"/>
      <c r="CL158" s="141"/>
      <c r="CM158" s="141"/>
      <c r="CN158" s="141"/>
      <c r="CO158" s="141"/>
      <c r="CP158" s="141"/>
      <c r="CQ158" s="141"/>
      <c r="CR158" s="141"/>
      <c r="CS158" s="141"/>
      <c r="CT158" s="141"/>
      <c r="CU158" s="141"/>
      <c r="CV158" s="141"/>
      <c r="CW158" s="141"/>
      <c r="CX158" s="141"/>
      <c r="CY158" s="141"/>
      <c r="CZ158" s="141"/>
      <c r="DA158" s="141"/>
      <c r="DB158" s="141"/>
      <c r="DC158" s="141"/>
      <c r="DD158" s="141"/>
      <c r="DE158" s="141"/>
      <c r="DF158" s="141"/>
      <c r="DG158" s="141"/>
      <c r="DH158" s="141"/>
      <c r="DI158" s="141"/>
      <c r="DJ158" s="141"/>
      <c r="DK158" s="141"/>
      <c r="DL158" s="141"/>
      <c r="DM158" s="141"/>
      <c r="DN158" s="141"/>
      <c r="DO158" s="141"/>
      <c r="DP158" s="141"/>
      <c r="DQ158" s="141"/>
      <c r="DR158" s="141"/>
      <c r="DS158" s="141"/>
      <c r="DT158" s="141"/>
      <c r="DU158" s="141"/>
      <c r="DV158" s="141"/>
      <c r="DW158" s="141"/>
      <c r="DX158" s="141"/>
      <c r="DY158" s="141"/>
      <c r="DZ158" s="141"/>
      <c r="EA158" s="141"/>
      <c r="EB158" s="332"/>
    </row>
    <row r="159" spans="1:132" s="147" customFormat="1" hidden="1" x14ac:dyDescent="0.3">
      <c r="A159" s="332"/>
      <c r="B159" s="332"/>
      <c r="C159" s="332"/>
      <c r="D159" s="332"/>
      <c r="E159" s="343"/>
      <c r="F159" s="344"/>
      <c r="G159" s="371"/>
      <c r="H159" s="371"/>
      <c r="I159" s="371"/>
      <c r="J159" s="371"/>
      <c r="K159" s="371"/>
      <c r="L159" s="371"/>
      <c r="M159" s="371"/>
      <c r="N159" s="371"/>
      <c r="O159" s="371"/>
      <c r="P159" s="371"/>
      <c r="Q159" s="361"/>
      <c r="R159" s="361"/>
      <c r="S159" s="361"/>
      <c r="T159" s="361"/>
      <c r="U159" s="361"/>
      <c r="V159" s="361"/>
      <c r="W159" s="361"/>
      <c r="X159" s="361"/>
      <c r="Y159" s="361"/>
      <c r="Z159" s="361"/>
      <c r="AA159" s="141"/>
      <c r="AB159" s="141"/>
      <c r="AC159" s="141"/>
      <c r="AD159" s="141"/>
      <c r="AE159" s="141"/>
      <c r="AF159" s="141"/>
      <c r="AG159" s="141"/>
      <c r="AH159" s="141"/>
      <c r="AI159" s="141"/>
      <c r="AJ159" s="141"/>
      <c r="AK159" s="141"/>
      <c r="AL159" s="141"/>
      <c r="AM159" s="141"/>
      <c r="AN159" s="141"/>
      <c r="AO159" s="141"/>
      <c r="AP159" s="141"/>
      <c r="AQ159" s="141"/>
      <c r="AR159" s="141"/>
      <c r="AS159" s="141"/>
      <c r="AT159" s="141"/>
      <c r="AU159" s="141"/>
      <c r="AV159" s="141"/>
      <c r="AW159" s="141"/>
      <c r="AX159" s="141"/>
      <c r="AY159" s="141"/>
      <c r="AZ159" s="141"/>
      <c r="BA159" s="141"/>
      <c r="BB159" s="141"/>
      <c r="BC159" s="141"/>
      <c r="BD159" s="141"/>
      <c r="BE159" s="141"/>
      <c r="BF159" s="141"/>
      <c r="BG159" s="141"/>
      <c r="BH159" s="141"/>
      <c r="BI159" s="141"/>
      <c r="BJ159" s="141"/>
      <c r="BK159" s="141"/>
      <c r="BL159" s="141"/>
      <c r="BM159" s="141"/>
      <c r="BN159" s="141"/>
      <c r="BO159" s="141"/>
      <c r="BP159" s="141"/>
      <c r="BQ159" s="141"/>
      <c r="BR159" s="141"/>
      <c r="BS159" s="141"/>
      <c r="BT159" s="141"/>
      <c r="BU159" s="141"/>
      <c r="BV159" s="141"/>
      <c r="BW159" s="141"/>
      <c r="BX159" s="141"/>
      <c r="BY159" s="141"/>
      <c r="BZ159" s="141"/>
      <c r="CA159" s="141"/>
      <c r="CB159" s="141"/>
      <c r="CC159" s="141"/>
      <c r="CD159" s="141"/>
      <c r="CE159" s="141"/>
      <c r="CF159" s="141"/>
      <c r="CG159" s="141"/>
      <c r="CH159" s="141"/>
      <c r="CI159" s="141"/>
      <c r="CJ159" s="141"/>
      <c r="CK159" s="141"/>
      <c r="CL159" s="141"/>
      <c r="CM159" s="141"/>
      <c r="CN159" s="141"/>
      <c r="CO159" s="141"/>
      <c r="CP159" s="141"/>
      <c r="CQ159" s="141"/>
      <c r="CR159" s="141"/>
      <c r="CS159" s="141"/>
      <c r="CT159" s="141"/>
      <c r="CU159" s="141"/>
      <c r="CV159" s="141"/>
      <c r="CW159" s="141"/>
      <c r="CX159" s="141"/>
      <c r="CY159" s="141"/>
      <c r="CZ159" s="141"/>
      <c r="DA159" s="141"/>
      <c r="DB159" s="141"/>
      <c r="DC159" s="141"/>
      <c r="DD159" s="141"/>
      <c r="DE159" s="141"/>
      <c r="DF159" s="141"/>
      <c r="DG159" s="141"/>
      <c r="DH159" s="141"/>
      <c r="DI159" s="141"/>
      <c r="DJ159" s="141"/>
      <c r="DK159" s="141"/>
      <c r="DL159" s="141"/>
      <c r="DM159" s="141"/>
      <c r="DN159" s="141"/>
      <c r="DO159" s="141"/>
      <c r="DP159" s="141"/>
      <c r="DQ159" s="141"/>
      <c r="DR159" s="141"/>
      <c r="DS159" s="141"/>
      <c r="DT159" s="141"/>
      <c r="DU159" s="141"/>
      <c r="DV159" s="141"/>
      <c r="DW159" s="141"/>
      <c r="DX159" s="141"/>
      <c r="DY159" s="141"/>
      <c r="DZ159" s="141"/>
      <c r="EA159" s="141"/>
      <c r="EB159" s="332"/>
    </row>
    <row r="160" spans="1:132" s="147" customFormat="1" hidden="1" x14ac:dyDescent="0.3">
      <c r="A160" s="332"/>
      <c r="B160" s="349" t="s">
        <v>1164</v>
      </c>
      <c r="C160" s="349"/>
      <c r="D160" s="349"/>
      <c r="E160" s="349"/>
      <c r="F160" s="349"/>
      <c r="G160" s="349"/>
      <c r="H160" s="349"/>
      <c r="I160" s="349"/>
      <c r="J160" s="349"/>
      <c r="K160" s="349"/>
      <c r="L160" s="349"/>
      <c r="M160" s="349"/>
      <c r="N160" s="349"/>
      <c r="O160" s="349"/>
      <c r="P160" s="349"/>
      <c r="Q160" s="349"/>
      <c r="R160" s="349"/>
      <c r="S160" s="349"/>
      <c r="T160" s="349"/>
      <c r="U160" s="349"/>
      <c r="V160" s="349"/>
      <c r="W160" s="349"/>
      <c r="X160" s="349"/>
      <c r="Y160" s="349"/>
      <c r="Z160" s="349"/>
      <c r="AA160" s="141"/>
      <c r="AB160" s="141"/>
      <c r="AC160" s="141"/>
      <c r="AD160" s="141"/>
      <c r="AE160" s="141"/>
      <c r="AF160" s="141"/>
      <c r="AG160" s="141"/>
      <c r="AH160" s="141"/>
      <c r="AI160" s="141"/>
      <c r="AJ160" s="141"/>
      <c r="AK160" s="141"/>
      <c r="AL160" s="141"/>
      <c r="AM160" s="141"/>
      <c r="AN160" s="141"/>
      <c r="AO160" s="141"/>
      <c r="AP160" s="141"/>
      <c r="AQ160" s="141"/>
      <c r="AR160" s="141"/>
      <c r="AS160" s="141"/>
      <c r="AT160" s="141"/>
      <c r="AU160" s="141"/>
      <c r="AV160" s="141"/>
      <c r="AW160" s="141"/>
      <c r="AX160" s="141"/>
      <c r="AY160" s="141"/>
      <c r="AZ160" s="141"/>
      <c r="BA160" s="141"/>
      <c r="BB160" s="141"/>
      <c r="BC160" s="141"/>
      <c r="BD160" s="141"/>
      <c r="BE160" s="141"/>
      <c r="BF160" s="141"/>
      <c r="BG160" s="141"/>
      <c r="BH160" s="141"/>
      <c r="BI160" s="141"/>
      <c r="BJ160" s="141"/>
      <c r="BK160" s="141"/>
      <c r="BL160" s="141"/>
      <c r="BM160" s="141"/>
      <c r="BN160" s="141"/>
      <c r="BO160" s="141"/>
      <c r="BP160" s="141"/>
      <c r="BQ160" s="141"/>
      <c r="BR160" s="141"/>
      <c r="BS160" s="141"/>
      <c r="BT160" s="141"/>
      <c r="BU160" s="141"/>
      <c r="BV160" s="141"/>
      <c r="BW160" s="141"/>
      <c r="BX160" s="141"/>
      <c r="BY160" s="141"/>
      <c r="BZ160" s="141"/>
      <c r="CA160" s="141"/>
      <c r="CB160" s="141"/>
      <c r="CC160" s="141"/>
      <c r="CD160" s="141"/>
      <c r="CE160" s="141"/>
      <c r="CF160" s="141"/>
      <c r="CG160" s="141"/>
      <c r="CH160" s="141"/>
      <c r="CI160" s="141"/>
      <c r="CJ160" s="141"/>
      <c r="CK160" s="141"/>
      <c r="CL160" s="141"/>
      <c r="CM160" s="141"/>
      <c r="CN160" s="141"/>
      <c r="CO160" s="141"/>
      <c r="CP160" s="141"/>
      <c r="CQ160" s="141"/>
      <c r="CR160" s="141"/>
      <c r="CS160" s="141"/>
      <c r="CT160" s="141"/>
      <c r="CU160" s="141"/>
      <c r="CV160" s="141"/>
      <c r="CW160" s="141"/>
      <c r="CX160" s="141"/>
      <c r="CY160" s="141"/>
      <c r="CZ160" s="141"/>
      <c r="DA160" s="141"/>
      <c r="DB160" s="141"/>
      <c r="DC160" s="141"/>
      <c r="DD160" s="141"/>
      <c r="DE160" s="141"/>
      <c r="DF160" s="141"/>
      <c r="DG160" s="141"/>
      <c r="DH160" s="141"/>
      <c r="DI160" s="141"/>
      <c r="DJ160" s="141"/>
      <c r="DK160" s="141"/>
      <c r="DL160" s="141"/>
      <c r="DM160" s="141"/>
      <c r="DN160" s="141"/>
      <c r="DO160" s="141"/>
      <c r="DP160" s="141"/>
      <c r="DQ160" s="141"/>
      <c r="DR160" s="141"/>
      <c r="DS160" s="141"/>
      <c r="DT160" s="141"/>
      <c r="DU160" s="141"/>
      <c r="DV160" s="141"/>
      <c r="DW160" s="141"/>
      <c r="DX160" s="141"/>
      <c r="DY160" s="141"/>
      <c r="DZ160" s="141"/>
      <c r="EA160" s="141"/>
      <c r="EB160" s="332"/>
    </row>
    <row r="161" spans="1:132" s="147" customFormat="1" hidden="1" x14ac:dyDescent="0.3">
      <c r="A161" s="332"/>
      <c r="B161" s="332"/>
      <c r="C161" s="332"/>
      <c r="D161" s="332"/>
      <c r="E161" s="339" t="s">
        <v>1165</v>
      </c>
      <c r="F161" s="1152">
        <f>COUNT(Rows)</f>
        <v>80</v>
      </c>
      <c r="G161" s="1153" t="s">
        <v>1166</v>
      </c>
      <c r="H161" s="1154"/>
      <c r="I161" s="361"/>
      <c r="J161" s="361"/>
      <c r="K161" s="361"/>
      <c r="L161" s="361"/>
      <c r="M161" s="361"/>
      <c r="N161" s="361"/>
      <c r="O161" s="361"/>
      <c r="P161" s="361"/>
      <c r="Q161" s="361"/>
      <c r="R161" s="361"/>
      <c r="S161" s="361"/>
      <c r="T161" s="361"/>
      <c r="U161" s="361"/>
      <c r="V161" s="361"/>
      <c r="W161" s="361"/>
      <c r="X161" s="361"/>
      <c r="Y161" s="361"/>
      <c r="Z161" s="361"/>
      <c r="AA161" s="141"/>
      <c r="AB161" s="141"/>
      <c r="AC161" s="141"/>
      <c r="AD161" s="141"/>
      <c r="AE161" s="141"/>
      <c r="AF161" s="141"/>
      <c r="AG161" s="141"/>
      <c r="AH161" s="141"/>
      <c r="AI161" s="141"/>
      <c r="AJ161" s="141"/>
      <c r="AK161" s="141"/>
      <c r="AL161" s="141"/>
      <c r="AM161" s="141"/>
      <c r="AN161" s="141"/>
      <c r="AO161" s="141"/>
      <c r="AP161" s="141"/>
      <c r="AQ161" s="141"/>
      <c r="AR161" s="141"/>
      <c r="AS161" s="141"/>
      <c r="AT161" s="141"/>
      <c r="AU161" s="141"/>
      <c r="AV161" s="141"/>
      <c r="AW161" s="141"/>
      <c r="AX161" s="141"/>
      <c r="AY161" s="141"/>
      <c r="AZ161" s="141"/>
      <c r="BA161" s="141"/>
      <c r="BB161" s="141"/>
      <c r="BC161" s="141"/>
      <c r="BD161" s="141"/>
      <c r="BE161" s="141"/>
      <c r="BF161" s="141"/>
      <c r="BG161" s="141"/>
      <c r="BH161" s="141"/>
      <c r="BI161" s="141"/>
      <c r="BJ161" s="141"/>
      <c r="BK161" s="141"/>
      <c r="BL161" s="141"/>
      <c r="BM161" s="141"/>
      <c r="BN161" s="141"/>
      <c r="BO161" s="141"/>
      <c r="BP161" s="141"/>
      <c r="BQ161" s="141"/>
      <c r="BR161" s="141"/>
      <c r="BS161" s="141"/>
      <c r="BT161" s="141"/>
      <c r="BU161" s="141"/>
      <c r="BV161" s="141"/>
      <c r="BW161" s="141"/>
      <c r="BX161" s="141"/>
      <c r="BY161" s="141"/>
      <c r="BZ161" s="141"/>
      <c r="CA161" s="141"/>
      <c r="CB161" s="141"/>
      <c r="CC161" s="141"/>
      <c r="CD161" s="141"/>
      <c r="CE161" s="141"/>
      <c r="CF161" s="141"/>
      <c r="CG161" s="141"/>
      <c r="CH161" s="141"/>
      <c r="CI161" s="141"/>
      <c r="CJ161" s="141"/>
      <c r="CK161" s="141"/>
      <c r="CL161" s="141"/>
      <c r="CM161" s="141"/>
      <c r="CN161" s="141"/>
      <c r="CO161" s="141"/>
      <c r="CP161" s="141"/>
      <c r="CQ161" s="141"/>
      <c r="CR161" s="141"/>
      <c r="CS161" s="141"/>
      <c r="CT161" s="141"/>
      <c r="CU161" s="141"/>
      <c r="CV161" s="141"/>
      <c r="CW161" s="141"/>
      <c r="CX161" s="141"/>
      <c r="CY161" s="141"/>
      <c r="CZ161" s="141"/>
      <c r="DA161" s="141"/>
      <c r="DB161" s="141"/>
      <c r="DC161" s="141"/>
      <c r="DD161" s="141"/>
      <c r="DE161" s="141"/>
      <c r="DF161" s="141"/>
      <c r="DG161" s="141"/>
      <c r="DH161" s="141"/>
      <c r="DI161" s="141"/>
      <c r="DJ161" s="141"/>
      <c r="DK161" s="141"/>
      <c r="DL161" s="141"/>
      <c r="DM161" s="141"/>
      <c r="DN161" s="141"/>
      <c r="DO161" s="141"/>
      <c r="DP161" s="141"/>
      <c r="DQ161" s="141"/>
      <c r="DR161" s="141"/>
      <c r="DS161" s="141"/>
      <c r="DT161" s="141"/>
      <c r="DU161" s="141"/>
      <c r="DV161" s="141"/>
      <c r="DW161" s="141"/>
      <c r="DX161" s="141"/>
      <c r="DY161" s="141"/>
      <c r="DZ161" s="141"/>
      <c r="EA161" s="141"/>
      <c r="EB161" s="332"/>
    </row>
    <row r="162" spans="1:132" s="147" customFormat="1" hidden="1" x14ac:dyDescent="0.3">
      <c r="A162" s="332"/>
      <c r="B162" s="332"/>
      <c r="C162" s="332"/>
      <c r="D162" s="332"/>
      <c r="E162" s="339" t="s">
        <v>1167</v>
      </c>
      <c r="F162" s="1381">
        <f>SUBTOTAL(2,Rows)</f>
        <v>5</v>
      </c>
      <c r="G162" s="1382" t="s">
        <v>1168</v>
      </c>
      <c r="H162" s="1378"/>
      <c r="I162" s="361"/>
      <c r="J162" s="361"/>
      <c r="K162" s="361"/>
      <c r="L162" s="361"/>
      <c r="M162" s="361"/>
      <c r="N162" s="361"/>
      <c r="O162" s="361"/>
      <c r="P162" s="361"/>
      <c r="Q162" s="361"/>
      <c r="R162" s="361"/>
      <c r="S162" s="361"/>
      <c r="T162" s="361"/>
      <c r="U162" s="361"/>
      <c r="V162" s="361"/>
      <c r="W162" s="361"/>
      <c r="X162" s="361"/>
      <c r="Y162" s="361"/>
      <c r="Z162" s="361"/>
      <c r="AA162" s="141"/>
      <c r="AB162" s="141"/>
      <c r="AC162" s="141"/>
      <c r="AD162" s="141"/>
      <c r="AE162" s="141"/>
      <c r="AF162" s="141"/>
      <c r="AG162" s="141"/>
      <c r="AH162" s="141"/>
      <c r="AI162" s="141"/>
      <c r="AJ162" s="141"/>
      <c r="AK162" s="141"/>
      <c r="AL162" s="141"/>
      <c r="AM162" s="141"/>
      <c r="AN162" s="141"/>
      <c r="AO162" s="141"/>
      <c r="AP162" s="141"/>
      <c r="AQ162" s="141"/>
      <c r="AR162" s="141"/>
      <c r="AS162" s="141"/>
      <c r="AT162" s="141"/>
      <c r="AU162" s="141"/>
      <c r="AV162" s="141"/>
      <c r="AW162" s="141"/>
      <c r="AX162" s="141"/>
      <c r="AY162" s="141"/>
      <c r="AZ162" s="141"/>
      <c r="BA162" s="141"/>
      <c r="BB162" s="141"/>
      <c r="BC162" s="141"/>
      <c r="BD162" s="141"/>
      <c r="BE162" s="141"/>
      <c r="BF162" s="141"/>
      <c r="BG162" s="141"/>
      <c r="BH162" s="141"/>
      <c r="BI162" s="141"/>
      <c r="BJ162" s="141"/>
      <c r="BK162" s="141"/>
      <c r="BL162" s="141"/>
      <c r="BM162" s="141"/>
      <c r="BN162" s="141"/>
      <c r="BO162" s="141"/>
      <c r="BP162" s="141"/>
      <c r="BQ162" s="141"/>
      <c r="BR162" s="141"/>
      <c r="BS162" s="141"/>
      <c r="BT162" s="141"/>
      <c r="BU162" s="141"/>
      <c r="BV162" s="141"/>
      <c r="BW162" s="141"/>
      <c r="BX162" s="141"/>
      <c r="BY162" s="141"/>
      <c r="BZ162" s="141"/>
      <c r="CA162" s="141"/>
      <c r="CB162" s="141"/>
      <c r="CC162" s="141"/>
      <c r="CD162" s="141"/>
      <c r="CE162" s="141"/>
      <c r="CF162" s="141"/>
      <c r="CG162" s="141"/>
      <c r="CH162" s="141"/>
      <c r="CI162" s="141"/>
      <c r="CJ162" s="141"/>
      <c r="CK162" s="141"/>
      <c r="CL162" s="141"/>
      <c r="CM162" s="141"/>
      <c r="CN162" s="141"/>
      <c r="CO162" s="141"/>
      <c r="CP162" s="141"/>
      <c r="CQ162" s="141"/>
      <c r="CR162" s="141"/>
      <c r="CS162" s="141"/>
      <c r="CT162" s="141"/>
      <c r="CU162" s="141"/>
      <c r="CV162" s="141"/>
      <c r="CW162" s="141"/>
      <c r="CX162" s="141"/>
      <c r="CY162" s="141"/>
      <c r="CZ162" s="141"/>
      <c r="DA162" s="141"/>
      <c r="DB162" s="141"/>
      <c r="DC162" s="141"/>
      <c r="DD162" s="141"/>
      <c r="DE162" s="141"/>
      <c r="DF162" s="141"/>
      <c r="DG162" s="141"/>
      <c r="DH162" s="141"/>
      <c r="DI162" s="141"/>
      <c r="DJ162" s="141"/>
      <c r="DK162" s="141"/>
      <c r="DL162" s="141"/>
      <c r="DM162" s="141"/>
      <c r="DN162" s="141"/>
      <c r="DO162" s="141"/>
      <c r="DP162" s="141"/>
      <c r="DQ162" s="141"/>
      <c r="DR162" s="141"/>
      <c r="DS162" s="141"/>
      <c r="DT162" s="141"/>
      <c r="DU162" s="141"/>
      <c r="DV162" s="141"/>
      <c r="DW162" s="141"/>
      <c r="DX162" s="141"/>
      <c r="DY162" s="141"/>
      <c r="DZ162" s="141"/>
      <c r="EA162" s="141"/>
      <c r="EB162" s="332"/>
    </row>
    <row r="163" spans="1:132" s="147" customFormat="1" hidden="1" x14ac:dyDescent="0.3">
      <c r="A163" s="332"/>
      <c r="B163" s="332"/>
      <c r="C163" s="332"/>
      <c r="D163" s="332"/>
      <c r="E163" s="339" t="s">
        <v>1169</v>
      </c>
      <c r="F163" s="1381">
        <f>SUBTOTAL(9,AD20:AD99)</f>
        <v>0</v>
      </c>
      <c r="G163" s="1382" t="s">
        <v>1170</v>
      </c>
      <c r="H163" s="1367"/>
      <c r="I163" s="332"/>
      <c r="J163" s="332"/>
      <c r="K163" s="332"/>
      <c r="L163" s="332"/>
      <c r="M163" s="332"/>
      <c r="N163" s="332"/>
      <c r="O163" s="332"/>
      <c r="P163" s="332"/>
      <c r="Q163" s="361"/>
      <c r="R163" s="361"/>
      <c r="S163" s="361"/>
      <c r="T163" s="361"/>
      <c r="U163" s="361"/>
      <c r="V163" s="361"/>
      <c r="W163" s="361"/>
      <c r="X163" s="361"/>
      <c r="Y163" s="361"/>
      <c r="Z163" s="361"/>
      <c r="AA163" s="141"/>
      <c r="AB163" s="141"/>
      <c r="AC163" s="141"/>
      <c r="AD163" s="141"/>
      <c r="AE163" s="141"/>
      <c r="AF163" s="141"/>
      <c r="AG163" s="141"/>
      <c r="AH163" s="141"/>
      <c r="AI163" s="141"/>
      <c r="AJ163" s="141"/>
      <c r="AK163" s="141"/>
      <c r="AL163" s="141"/>
      <c r="AM163" s="141"/>
      <c r="AN163" s="141"/>
      <c r="AO163" s="141"/>
      <c r="AP163" s="141"/>
      <c r="AQ163" s="141"/>
      <c r="AR163" s="141"/>
      <c r="AS163" s="141"/>
      <c r="AT163" s="141"/>
      <c r="AU163" s="141"/>
      <c r="AV163" s="141"/>
      <c r="AW163" s="141"/>
      <c r="AX163" s="141"/>
      <c r="AY163" s="141"/>
      <c r="AZ163" s="141"/>
      <c r="BA163" s="141"/>
      <c r="BB163" s="141"/>
      <c r="BC163" s="141"/>
      <c r="BD163" s="141"/>
      <c r="BE163" s="141"/>
      <c r="BF163" s="141"/>
      <c r="BG163" s="141"/>
      <c r="BH163" s="141"/>
      <c r="BI163" s="141"/>
      <c r="BJ163" s="141"/>
      <c r="BK163" s="141"/>
      <c r="BL163" s="141"/>
      <c r="BM163" s="141"/>
      <c r="BN163" s="141"/>
      <c r="BO163" s="141"/>
      <c r="BP163" s="141"/>
      <c r="BQ163" s="141"/>
      <c r="BR163" s="141"/>
      <c r="BS163" s="141"/>
      <c r="BT163" s="141"/>
      <c r="BU163" s="141"/>
      <c r="BV163" s="141"/>
      <c r="BW163" s="141"/>
      <c r="BX163" s="141"/>
      <c r="BY163" s="141"/>
      <c r="BZ163" s="141"/>
      <c r="CA163" s="141"/>
      <c r="CB163" s="141"/>
      <c r="CC163" s="141"/>
      <c r="CD163" s="141"/>
      <c r="CE163" s="141"/>
      <c r="CF163" s="141"/>
      <c r="CG163" s="141"/>
      <c r="CH163" s="141"/>
      <c r="CI163" s="141"/>
      <c r="CJ163" s="141"/>
      <c r="CK163" s="141"/>
      <c r="CL163" s="141"/>
      <c r="CM163" s="141"/>
      <c r="CN163" s="141"/>
      <c r="CO163" s="141"/>
      <c r="CP163" s="141"/>
      <c r="CQ163" s="141"/>
      <c r="CR163" s="141"/>
      <c r="CS163" s="141"/>
      <c r="CT163" s="141"/>
      <c r="CU163" s="141"/>
      <c r="CV163" s="141"/>
      <c r="CW163" s="141"/>
      <c r="CX163" s="141"/>
      <c r="CY163" s="141"/>
      <c r="CZ163" s="141"/>
      <c r="DA163" s="141"/>
      <c r="DB163" s="141"/>
      <c r="DC163" s="141"/>
      <c r="DD163" s="141"/>
      <c r="DE163" s="141"/>
      <c r="DF163" s="141"/>
      <c r="DG163" s="141"/>
      <c r="DH163" s="141"/>
      <c r="DI163" s="141"/>
      <c r="DJ163" s="141"/>
      <c r="DK163" s="141"/>
      <c r="DL163" s="141"/>
      <c r="DM163" s="141"/>
      <c r="DN163" s="141"/>
      <c r="DO163" s="141"/>
      <c r="DP163" s="141"/>
      <c r="DQ163" s="141"/>
      <c r="DR163" s="141"/>
      <c r="DS163" s="141"/>
      <c r="DT163" s="141"/>
      <c r="DU163" s="141"/>
      <c r="DV163" s="141"/>
      <c r="DW163" s="141"/>
      <c r="DX163" s="141"/>
      <c r="DY163" s="141"/>
      <c r="DZ163" s="141"/>
      <c r="EA163" s="141"/>
      <c r="EB163" s="332"/>
    </row>
    <row r="164" spans="1:132" s="147" customFormat="1" hidden="1" x14ac:dyDescent="0.3">
      <c r="A164" s="332"/>
      <c r="B164" s="332"/>
      <c r="C164" s="332"/>
      <c r="D164" s="332"/>
      <c r="E164" s="339" t="s">
        <v>1171</v>
      </c>
      <c r="F164" s="1383">
        <f>RowsActive-ActiveDisplayed</f>
        <v>0</v>
      </c>
      <c r="G164" s="1382" t="s">
        <v>1172</v>
      </c>
      <c r="H164" s="1384" t="str">
        <f>IF(ActiveHidden&lt;&gt;0,ActiveHidden&amp;" row"&amp;IF(ActiveHidden=1,"","s")&amp;" containing glazing details "&amp;IF(ActiveHidden=1,"is","are")&amp;" hidden.
(Use input above and arrow at left to display at least "&amp;LastActive&amp;" row"&amp;IF(LastActive=1,".)","s.)"),"")</f>
        <v/>
      </c>
      <c r="I164" s="332"/>
      <c r="J164" s="332"/>
      <c r="K164" s="332"/>
      <c r="L164" s="332"/>
      <c r="M164" s="332"/>
      <c r="N164" s="332"/>
      <c r="O164" s="332"/>
      <c r="P164" s="332"/>
      <c r="Q164" s="361"/>
      <c r="R164" s="361"/>
      <c r="S164" s="361"/>
      <c r="T164" s="361"/>
      <c r="U164" s="361"/>
      <c r="V164" s="361"/>
      <c r="W164" s="361"/>
      <c r="X164" s="361"/>
      <c r="Y164" s="361"/>
      <c r="Z164" s="361"/>
      <c r="AA164" s="141"/>
      <c r="AB164" s="141"/>
      <c r="AC164" s="141"/>
      <c r="AD164" s="141"/>
      <c r="AE164" s="141"/>
      <c r="AF164" s="141"/>
      <c r="AG164" s="141"/>
      <c r="AH164" s="141"/>
      <c r="AI164" s="141"/>
      <c r="AJ164" s="141"/>
      <c r="AK164" s="141"/>
      <c r="AL164" s="141"/>
      <c r="AM164" s="141"/>
      <c r="AN164" s="141"/>
      <c r="AO164" s="141"/>
      <c r="AP164" s="141"/>
      <c r="AQ164" s="141"/>
      <c r="AR164" s="141"/>
      <c r="AS164" s="141"/>
      <c r="AT164" s="141"/>
      <c r="AU164" s="141"/>
      <c r="AV164" s="141"/>
      <c r="AW164" s="141"/>
      <c r="AX164" s="141"/>
      <c r="AY164" s="141"/>
      <c r="AZ164" s="141"/>
      <c r="BA164" s="141"/>
      <c r="BB164" s="141"/>
      <c r="BC164" s="141"/>
      <c r="BD164" s="141"/>
      <c r="BE164" s="141"/>
      <c r="BF164" s="141"/>
      <c r="BG164" s="141"/>
      <c r="BH164" s="141"/>
      <c r="BI164" s="141"/>
      <c r="BJ164" s="141"/>
      <c r="BK164" s="141"/>
      <c r="BL164" s="141"/>
      <c r="BM164" s="141"/>
      <c r="BN164" s="141"/>
      <c r="BO164" s="141"/>
      <c r="BP164" s="141"/>
      <c r="BQ164" s="141"/>
      <c r="BR164" s="141"/>
      <c r="BS164" s="141"/>
      <c r="BT164" s="141"/>
      <c r="BU164" s="141"/>
      <c r="BV164" s="141"/>
      <c r="BW164" s="141"/>
      <c r="BX164" s="141"/>
      <c r="BY164" s="141"/>
      <c r="BZ164" s="141"/>
      <c r="CA164" s="141"/>
      <c r="CB164" s="141"/>
      <c r="CC164" s="141"/>
      <c r="CD164" s="141"/>
      <c r="CE164" s="141"/>
      <c r="CF164" s="141"/>
      <c r="CG164" s="141"/>
      <c r="CH164" s="141"/>
      <c r="CI164" s="141"/>
      <c r="CJ164" s="141"/>
      <c r="CK164" s="141"/>
      <c r="CL164" s="141"/>
      <c r="CM164" s="141"/>
      <c r="CN164" s="141"/>
      <c r="CO164" s="141"/>
      <c r="CP164" s="141"/>
      <c r="CQ164" s="141"/>
      <c r="CR164" s="141"/>
      <c r="CS164" s="141"/>
      <c r="CT164" s="141"/>
      <c r="CU164" s="141"/>
      <c r="CV164" s="141"/>
      <c r="CW164" s="141"/>
      <c r="CX164" s="141"/>
      <c r="CY164" s="141"/>
      <c r="CZ164" s="141"/>
      <c r="DA164" s="141"/>
      <c r="DB164" s="141"/>
      <c r="DC164" s="141"/>
      <c r="DD164" s="141"/>
      <c r="DE164" s="141"/>
      <c r="DF164" s="141"/>
      <c r="DG164" s="141"/>
      <c r="DH164" s="141"/>
      <c r="DI164" s="141"/>
      <c r="DJ164" s="141"/>
      <c r="DK164" s="141"/>
      <c r="DL164" s="141"/>
      <c r="DM164" s="141"/>
      <c r="DN164" s="141"/>
      <c r="DO164" s="141"/>
      <c r="DP164" s="141"/>
      <c r="DQ164" s="141"/>
      <c r="DR164" s="141"/>
      <c r="DS164" s="141"/>
      <c r="DT164" s="141"/>
      <c r="DU164" s="141"/>
      <c r="DV164" s="141"/>
      <c r="DW164" s="141"/>
      <c r="DX164" s="141"/>
      <c r="DY164" s="141"/>
      <c r="DZ164" s="141"/>
      <c r="EA164" s="141"/>
      <c r="EB164" s="332"/>
    </row>
    <row r="165" spans="1:132" s="147" customFormat="1" hidden="1" x14ac:dyDescent="0.3">
      <c r="A165" s="332"/>
      <c r="B165" s="332"/>
      <c r="C165" s="332"/>
      <c r="D165" s="332"/>
      <c r="E165" s="375" t="s">
        <v>1173</v>
      </c>
      <c r="F165" s="373" t="s">
        <v>1174</v>
      </c>
      <c r="G165" s="373" t="s">
        <v>1175</v>
      </c>
      <c r="H165" s="373" t="s">
        <v>1176</v>
      </c>
      <c r="I165" s="374" t="s">
        <v>1177</v>
      </c>
      <c r="J165" s="374"/>
      <c r="K165" s="374"/>
      <c r="L165" s="374"/>
      <c r="M165" s="374"/>
      <c r="N165" s="374"/>
      <c r="O165" s="332"/>
      <c r="P165" s="332"/>
      <c r="Q165" s="332"/>
      <c r="R165" s="332"/>
      <c r="S165" s="332"/>
      <c r="T165" s="332"/>
      <c r="U165" s="361"/>
      <c r="V165" s="361"/>
      <c r="W165" s="361"/>
      <c r="X165" s="361"/>
      <c r="Y165" s="361"/>
      <c r="Z165" s="332"/>
      <c r="AA165" s="141"/>
      <c r="AB165" s="141"/>
      <c r="AC165" s="141"/>
      <c r="AD165" s="141"/>
      <c r="AE165" s="141"/>
      <c r="AF165" s="141"/>
      <c r="AG165" s="141"/>
      <c r="AH165" s="141"/>
      <c r="AI165" s="141"/>
      <c r="AJ165" s="141"/>
      <c r="AK165" s="141"/>
      <c r="AL165" s="141"/>
      <c r="AM165" s="141"/>
      <c r="AN165" s="141"/>
      <c r="AO165" s="141"/>
      <c r="AP165" s="141"/>
      <c r="AQ165" s="141"/>
      <c r="AR165" s="141"/>
      <c r="AS165" s="141"/>
      <c r="AT165" s="141"/>
      <c r="AU165" s="141"/>
      <c r="AV165" s="141"/>
      <c r="AW165" s="141"/>
      <c r="AX165" s="141"/>
      <c r="AY165" s="141"/>
      <c r="AZ165" s="141"/>
      <c r="BA165" s="141"/>
      <c r="BB165" s="141"/>
      <c r="BC165" s="141"/>
      <c r="BD165" s="141"/>
      <c r="BE165" s="141"/>
      <c r="BF165" s="141"/>
      <c r="BG165" s="141"/>
      <c r="BH165" s="141"/>
      <c r="BI165" s="141"/>
      <c r="BJ165" s="141"/>
      <c r="BK165" s="141"/>
      <c r="BL165" s="141"/>
      <c r="BM165" s="141"/>
      <c r="BN165" s="141"/>
      <c r="BO165" s="141"/>
      <c r="BP165" s="141"/>
      <c r="BQ165" s="141"/>
      <c r="BR165" s="141"/>
      <c r="BS165" s="141"/>
      <c r="BT165" s="141"/>
      <c r="BU165" s="141"/>
      <c r="BV165" s="141"/>
      <c r="BW165" s="141"/>
      <c r="BX165" s="141"/>
      <c r="BY165" s="141"/>
      <c r="BZ165" s="141"/>
      <c r="CA165" s="141"/>
      <c r="CB165" s="141"/>
      <c r="CC165" s="141"/>
      <c r="CD165" s="141"/>
      <c r="CE165" s="141"/>
      <c r="CF165" s="141"/>
      <c r="CG165" s="141"/>
      <c r="CH165" s="141"/>
      <c r="CI165" s="141"/>
      <c r="CJ165" s="141"/>
      <c r="CK165" s="141"/>
      <c r="CL165" s="141"/>
      <c r="CM165" s="141"/>
      <c r="CN165" s="141"/>
      <c r="CO165" s="141"/>
      <c r="CP165" s="141"/>
      <c r="CQ165" s="141"/>
      <c r="CR165" s="141"/>
      <c r="CS165" s="141"/>
      <c r="CT165" s="141"/>
      <c r="CU165" s="141"/>
      <c r="CV165" s="141"/>
      <c r="CW165" s="141"/>
      <c r="CX165" s="141"/>
      <c r="CY165" s="141"/>
      <c r="CZ165" s="141"/>
      <c r="DA165" s="141"/>
      <c r="DB165" s="141"/>
      <c r="DC165" s="141"/>
      <c r="DD165" s="141"/>
      <c r="DE165" s="141"/>
      <c r="DF165" s="141"/>
      <c r="DG165" s="141"/>
      <c r="DH165" s="141"/>
      <c r="DI165" s="141"/>
      <c r="DJ165" s="141"/>
      <c r="DK165" s="141"/>
      <c r="DL165" s="141"/>
      <c r="DM165" s="141"/>
      <c r="DN165" s="141"/>
      <c r="DO165" s="141"/>
      <c r="DP165" s="141"/>
      <c r="DQ165" s="141"/>
      <c r="DR165" s="141"/>
      <c r="DS165" s="141"/>
      <c r="DT165" s="141"/>
      <c r="DU165" s="141"/>
      <c r="DV165" s="141"/>
      <c r="DW165" s="141"/>
      <c r="DX165" s="141"/>
      <c r="DY165" s="141"/>
      <c r="DZ165" s="141"/>
      <c r="EA165" s="141"/>
      <c r="EB165" s="332"/>
    </row>
    <row r="166" spans="1:132" s="147" customFormat="1" hidden="1" x14ac:dyDescent="0.3">
      <c r="A166" s="332"/>
      <c r="B166" s="332"/>
      <c r="C166" s="332"/>
      <c r="D166" s="332"/>
      <c r="E166" s="332"/>
      <c r="F166" s="361"/>
      <c r="G166" s="332"/>
      <c r="H166" s="332"/>
      <c r="I166" s="332"/>
      <c r="J166" s="332"/>
      <c r="K166" s="332"/>
      <c r="L166" s="332"/>
      <c r="M166" s="332"/>
      <c r="N166" s="332"/>
      <c r="O166" s="332"/>
      <c r="P166" s="332"/>
      <c r="Q166" s="332"/>
      <c r="R166" s="332"/>
      <c r="S166" s="332"/>
      <c r="T166" s="332"/>
      <c r="U166" s="332"/>
      <c r="V166" s="332"/>
      <c r="W166" s="332"/>
      <c r="X166" s="332"/>
      <c r="Y166" s="332"/>
      <c r="Z166" s="332"/>
      <c r="AA166" s="141"/>
      <c r="AB166" s="141"/>
      <c r="AC166" s="141"/>
      <c r="AD166" s="141"/>
      <c r="AE166" s="141"/>
      <c r="AF166" s="141"/>
      <c r="AG166" s="141"/>
      <c r="AH166" s="141"/>
      <c r="AI166" s="141"/>
      <c r="AJ166" s="141"/>
      <c r="AK166" s="141"/>
      <c r="AL166" s="141"/>
      <c r="AM166" s="141"/>
      <c r="AN166" s="141"/>
      <c r="AO166" s="141"/>
      <c r="AP166" s="141"/>
      <c r="AQ166" s="141"/>
      <c r="AR166" s="141"/>
      <c r="AS166" s="141"/>
      <c r="AT166" s="141"/>
      <c r="AU166" s="141"/>
      <c r="AV166" s="141"/>
      <c r="AW166" s="141"/>
      <c r="AX166" s="141"/>
      <c r="AY166" s="141"/>
      <c r="AZ166" s="141"/>
      <c r="BA166" s="141"/>
      <c r="BB166" s="141"/>
      <c r="BC166" s="141"/>
      <c r="BD166" s="141"/>
      <c r="BE166" s="141"/>
      <c r="BF166" s="141"/>
      <c r="BG166" s="141"/>
      <c r="BH166" s="141"/>
      <c r="BI166" s="141"/>
      <c r="BJ166" s="141"/>
      <c r="BK166" s="141"/>
      <c r="BL166" s="141"/>
      <c r="BM166" s="141"/>
      <c r="BN166" s="141"/>
      <c r="BO166" s="141"/>
      <c r="BP166" s="141"/>
      <c r="BQ166" s="141"/>
      <c r="BR166" s="141"/>
      <c r="BS166" s="141"/>
      <c r="BT166" s="141"/>
      <c r="BU166" s="141"/>
      <c r="BV166" s="141"/>
      <c r="BW166" s="141"/>
      <c r="BX166" s="141"/>
      <c r="BY166" s="141"/>
      <c r="BZ166" s="141"/>
      <c r="CA166" s="141"/>
      <c r="CB166" s="141"/>
      <c r="CC166" s="141"/>
      <c r="CD166" s="141"/>
      <c r="CE166" s="141"/>
      <c r="CF166" s="141"/>
      <c r="CG166" s="141"/>
      <c r="CH166" s="141"/>
      <c r="CI166" s="141"/>
      <c r="CJ166" s="141"/>
      <c r="CK166" s="141"/>
      <c r="CL166" s="141"/>
      <c r="CM166" s="141"/>
      <c r="CN166" s="141"/>
      <c r="CO166" s="141"/>
      <c r="CP166" s="141"/>
      <c r="CQ166" s="141"/>
      <c r="CR166" s="141"/>
      <c r="CS166" s="141"/>
      <c r="CT166" s="141"/>
      <c r="CU166" s="141"/>
      <c r="CV166" s="141"/>
      <c r="CW166" s="141"/>
      <c r="CX166" s="141"/>
      <c r="CY166" s="141"/>
      <c r="CZ166" s="141"/>
      <c r="DA166" s="141"/>
      <c r="DB166" s="141"/>
      <c r="DC166" s="141"/>
      <c r="DD166" s="141"/>
      <c r="DE166" s="141"/>
      <c r="DF166" s="141"/>
      <c r="DG166" s="141"/>
      <c r="DH166" s="141"/>
      <c r="DI166" s="141"/>
      <c r="DJ166" s="141"/>
      <c r="DK166" s="141"/>
      <c r="DL166" s="141"/>
      <c r="DM166" s="141"/>
      <c r="DN166" s="141"/>
      <c r="DO166" s="141"/>
      <c r="DP166" s="141"/>
      <c r="DQ166" s="141"/>
      <c r="DR166" s="141"/>
      <c r="DS166" s="141"/>
      <c r="DT166" s="141"/>
      <c r="DU166" s="141"/>
      <c r="DV166" s="141"/>
      <c r="DW166" s="141"/>
      <c r="DX166" s="141"/>
      <c r="DY166" s="141"/>
      <c r="DZ166" s="141"/>
      <c r="EA166" s="141"/>
      <c r="EB166" s="332"/>
    </row>
    <row r="167" spans="1:132" s="147" customFormat="1" hidden="1" x14ac:dyDescent="0.3">
      <c r="A167" s="332"/>
      <c r="B167" s="349" t="s">
        <v>1178</v>
      </c>
      <c r="C167" s="351"/>
      <c r="D167" s="351"/>
      <c r="E167" s="351"/>
      <c r="F167" s="350" t="s">
        <v>852</v>
      </c>
      <c r="G167" s="332"/>
      <c r="H167" s="332"/>
      <c r="I167" s="332"/>
      <c r="J167" s="332"/>
      <c r="K167" s="332"/>
      <c r="L167" s="332"/>
      <c r="M167" s="332"/>
      <c r="N167" s="332"/>
      <c r="O167" s="332"/>
      <c r="P167" s="332"/>
      <c r="Q167" s="332"/>
      <c r="R167" s="332"/>
      <c r="S167" s="332"/>
      <c r="T167" s="332"/>
      <c r="U167" s="332"/>
      <c r="V167" s="332"/>
      <c r="W167" s="332"/>
      <c r="X167" s="332"/>
      <c r="Y167" s="332"/>
      <c r="Z167" s="332"/>
      <c r="AA167" s="141"/>
      <c r="AB167" s="141"/>
      <c r="AC167" s="141"/>
      <c r="AD167" s="141"/>
      <c r="AE167" s="141"/>
      <c r="AF167" s="141"/>
      <c r="AG167" s="141"/>
      <c r="AH167" s="141"/>
      <c r="AI167" s="141"/>
      <c r="AJ167" s="141"/>
      <c r="AK167" s="141"/>
      <c r="AL167" s="141"/>
      <c r="AM167" s="141"/>
      <c r="AN167" s="141"/>
      <c r="AO167" s="141"/>
      <c r="AP167" s="141"/>
      <c r="AQ167" s="141"/>
      <c r="AR167" s="141"/>
      <c r="AS167" s="141"/>
      <c r="AT167" s="141"/>
      <c r="AU167" s="141"/>
      <c r="AV167" s="141"/>
      <c r="AW167" s="141"/>
      <c r="AX167" s="141"/>
      <c r="AY167" s="141"/>
      <c r="AZ167" s="141"/>
      <c r="BA167" s="141"/>
      <c r="BB167" s="141"/>
      <c r="BC167" s="141"/>
      <c r="BD167" s="141"/>
      <c r="BE167" s="141"/>
      <c r="BF167" s="141"/>
      <c r="BG167" s="141"/>
      <c r="BH167" s="141"/>
      <c r="BI167" s="141"/>
      <c r="BJ167" s="141"/>
      <c r="BK167" s="141"/>
      <c r="BL167" s="141"/>
      <c r="BM167" s="141"/>
      <c r="BN167" s="141"/>
      <c r="BO167" s="141"/>
      <c r="BP167" s="141"/>
      <c r="BQ167" s="141"/>
      <c r="BR167" s="141"/>
      <c r="BS167" s="141"/>
      <c r="BT167" s="141"/>
      <c r="BU167" s="141"/>
      <c r="BV167" s="141"/>
      <c r="BW167" s="141"/>
      <c r="BX167" s="141"/>
      <c r="BY167" s="141"/>
      <c r="BZ167" s="141"/>
      <c r="CA167" s="141"/>
      <c r="CB167" s="141"/>
      <c r="CC167" s="141"/>
      <c r="CD167" s="141"/>
      <c r="CE167" s="141"/>
      <c r="CF167" s="141"/>
      <c r="CG167" s="141"/>
      <c r="CH167" s="141"/>
      <c r="CI167" s="141"/>
      <c r="CJ167" s="141"/>
      <c r="CK167" s="141"/>
      <c r="CL167" s="141"/>
      <c r="CM167" s="141"/>
      <c r="CN167" s="141"/>
      <c r="CO167" s="141"/>
      <c r="CP167" s="141"/>
      <c r="CQ167" s="141"/>
      <c r="CR167" s="141"/>
      <c r="CS167" s="141"/>
      <c r="CT167" s="141"/>
      <c r="CU167" s="141"/>
      <c r="CV167" s="141"/>
      <c r="CW167" s="141"/>
      <c r="CX167" s="141"/>
      <c r="CY167" s="141"/>
      <c r="CZ167" s="141"/>
      <c r="DA167" s="141"/>
      <c r="DB167" s="141"/>
      <c r="DC167" s="141"/>
      <c r="DD167" s="141"/>
      <c r="DE167" s="141"/>
      <c r="DF167" s="141"/>
      <c r="DG167" s="141"/>
      <c r="DH167" s="141"/>
      <c r="DI167" s="141"/>
      <c r="DJ167" s="141"/>
      <c r="DK167" s="141"/>
      <c r="DL167" s="141"/>
      <c r="DM167" s="141"/>
      <c r="DN167" s="141"/>
      <c r="DO167" s="141"/>
      <c r="DP167" s="141"/>
      <c r="DQ167" s="141"/>
      <c r="DR167" s="141"/>
      <c r="DS167" s="141"/>
      <c r="DT167" s="141"/>
      <c r="DU167" s="141"/>
      <c r="DV167" s="141"/>
      <c r="DW167" s="141"/>
      <c r="DX167" s="141"/>
      <c r="DY167" s="141"/>
      <c r="DZ167" s="141"/>
      <c r="EA167" s="141"/>
      <c r="EB167" s="332"/>
    </row>
    <row r="168" spans="1:132" s="147" customFormat="1" hidden="1" x14ac:dyDescent="0.3">
      <c r="A168" s="332"/>
      <c r="B168" s="332"/>
      <c r="C168" s="332"/>
      <c r="D168" s="332"/>
      <c r="E168" s="353" t="s">
        <v>1179</v>
      </c>
      <c r="F168" s="376">
        <f>COUNTA(SectorsListed)</f>
        <v>0</v>
      </c>
      <c r="G168" s="344" t="s">
        <v>1180</v>
      </c>
      <c r="H168" s="361"/>
      <c r="I168" s="361"/>
      <c r="J168" s="361"/>
      <c r="K168" s="361"/>
      <c r="L168" s="361"/>
      <c r="M168" s="361"/>
      <c r="N168" s="361"/>
      <c r="O168" s="332"/>
      <c r="P168" s="332"/>
      <c r="Q168" s="332"/>
      <c r="R168" s="332"/>
      <c r="S168" s="332"/>
      <c r="T168" s="332"/>
      <c r="U168" s="332"/>
      <c r="V168" s="332"/>
      <c r="W168" s="332"/>
      <c r="X168" s="332"/>
      <c r="Y168" s="332"/>
      <c r="Z168" s="332"/>
      <c r="AA168" s="141"/>
      <c r="AB168" s="141"/>
      <c r="AC168" s="141"/>
      <c r="AD168" s="141"/>
      <c r="AE168" s="141"/>
      <c r="AF168" s="141"/>
      <c r="AG168" s="141"/>
      <c r="AH168" s="141"/>
      <c r="AI168" s="141"/>
      <c r="AJ168" s="141"/>
      <c r="AK168" s="141"/>
      <c r="AL168" s="141"/>
      <c r="AM168" s="141"/>
      <c r="AN168" s="141"/>
      <c r="AO168" s="141"/>
      <c r="AP168" s="141"/>
      <c r="AQ168" s="141"/>
      <c r="AR168" s="141"/>
      <c r="AS168" s="141"/>
      <c r="AT168" s="141"/>
      <c r="AU168" s="141"/>
      <c r="AV168" s="141"/>
      <c r="AW168" s="141"/>
      <c r="AX168" s="141"/>
      <c r="AY168" s="141"/>
      <c r="AZ168" s="141"/>
      <c r="BA168" s="141"/>
      <c r="BB168" s="141"/>
      <c r="BC168" s="141"/>
      <c r="BD168" s="141"/>
      <c r="BE168" s="141"/>
      <c r="BF168" s="141"/>
      <c r="BG168" s="141"/>
      <c r="BH168" s="141"/>
      <c r="BI168" s="141"/>
      <c r="BJ168" s="141"/>
      <c r="BK168" s="141"/>
      <c r="BL168" s="141"/>
      <c r="BM168" s="141"/>
      <c r="BN168" s="141"/>
      <c r="BO168" s="141"/>
      <c r="BP168" s="141"/>
      <c r="BQ168" s="141"/>
      <c r="BR168" s="141"/>
      <c r="BS168" s="141"/>
      <c r="BT168" s="141"/>
      <c r="BU168" s="141"/>
      <c r="BV168" s="141"/>
      <c r="BW168" s="141"/>
      <c r="BX168" s="141"/>
      <c r="BY168" s="141"/>
      <c r="BZ168" s="141"/>
      <c r="CA168" s="141"/>
      <c r="CB168" s="141"/>
      <c r="CC168" s="141"/>
      <c r="CD168" s="141"/>
      <c r="CE168" s="141"/>
      <c r="CF168" s="141"/>
      <c r="CG168" s="141"/>
      <c r="CH168" s="141"/>
      <c r="CI168" s="141"/>
      <c r="CJ168" s="141"/>
      <c r="CK168" s="141"/>
      <c r="CL168" s="141"/>
      <c r="CM168" s="141"/>
      <c r="CN168" s="141"/>
      <c r="CO168" s="141"/>
      <c r="CP168" s="141"/>
      <c r="CQ168" s="141"/>
      <c r="CR168" s="141"/>
      <c r="CS168" s="141"/>
      <c r="CT168" s="141"/>
      <c r="CU168" s="141"/>
      <c r="CV168" s="141"/>
      <c r="CW168" s="141"/>
      <c r="CX168" s="141"/>
      <c r="CY168" s="141"/>
      <c r="CZ168" s="141"/>
      <c r="DA168" s="141"/>
      <c r="DB168" s="141"/>
      <c r="DC168" s="141"/>
      <c r="DD168" s="141"/>
      <c r="DE168" s="141"/>
      <c r="DF168" s="141"/>
      <c r="DG168" s="141"/>
      <c r="DH168" s="141"/>
      <c r="DI168" s="141"/>
      <c r="DJ168" s="141"/>
      <c r="DK168" s="141"/>
      <c r="DL168" s="141"/>
      <c r="DM168" s="141"/>
      <c r="DN168" s="141"/>
      <c r="DO168" s="141"/>
      <c r="DP168" s="141"/>
      <c r="DQ168" s="141"/>
      <c r="DR168" s="141"/>
      <c r="DS168" s="141"/>
      <c r="DT168" s="141"/>
      <c r="DU168" s="141"/>
      <c r="DV168" s="141"/>
      <c r="DW168" s="141"/>
      <c r="DX168" s="141"/>
      <c r="DY168" s="141"/>
      <c r="DZ168" s="141"/>
      <c r="EA168" s="141"/>
      <c r="EB168" s="332"/>
    </row>
    <row r="169" spans="1:132" s="147" customFormat="1" hidden="1" x14ac:dyDescent="0.3">
      <c r="A169" s="332"/>
      <c r="B169" s="332"/>
      <c r="C169" s="332"/>
      <c r="D169" s="332"/>
      <c r="E169" s="353" t="s">
        <v>1181</v>
      </c>
      <c r="F169" s="1385" t="b">
        <f>AND(F168&gt;0,AreaAll=0,ISBLANK(AirMovement))</f>
        <v>0</v>
      </c>
      <c r="G169" s="377"/>
      <c r="H169" s="377"/>
      <c r="I169" s="377"/>
      <c r="J169" s="377"/>
      <c r="K169" s="377"/>
      <c r="L169" s="377"/>
      <c r="M169" s="377"/>
      <c r="N169" s="377"/>
      <c r="O169" s="377"/>
      <c r="P169" s="377"/>
      <c r="Q169" s="377"/>
      <c r="R169" s="377"/>
      <c r="S169" s="377"/>
      <c r="T169" s="377"/>
      <c r="U169" s="377"/>
      <c r="V169" s="377"/>
      <c r="W169" s="377"/>
      <c r="X169" s="377"/>
      <c r="Y169" s="377"/>
      <c r="Z169" s="377"/>
      <c r="AA169" s="141"/>
      <c r="AB169" s="141"/>
      <c r="AC169" s="141"/>
      <c r="AD169" s="141"/>
      <c r="AE169" s="141"/>
      <c r="AF169" s="141"/>
      <c r="AG169" s="141"/>
      <c r="AH169" s="141"/>
      <c r="AI169" s="141"/>
      <c r="AJ169" s="141"/>
      <c r="AK169" s="141"/>
      <c r="AL169" s="141"/>
      <c r="AM169" s="141"/>
      <c r="AN169" s="141"/>
      <c r="AO169" s="141"/>
      <c r="AP169" s="141"/>
      <c r="AQ169" s="141"/>
      <c r="AR169" s="141"/>
      <c r="AS169" s="141"/>
      <c r="AT169" s="141"/>
      <c r="AU169" s="141"/>
      <c r="AV169" s="141"/>
      <c r="AW169" s="141"/>
      <c r="AX169" s="141"/>
      <c r="AY169" s="141"/>
      <c r="AZ169" s="141"/>
      <c r="BA169" s="141"/>
      <c r="BB169" s="141"/>
      <c r="BC169" s="141"/>
      <c r="BD169" s="141"/>
      <c r="BE169" s="141"/>
      <c r="BF169" s="141"/>
      <c r="BG169" s="141"/>
      <c r="BH169" s="141"/>
      <c r="BI169" s="141"/>
      <c r="BJ169" s="141"/>
      <c r="BK169" s="141"/>
      <c r="BL169" s="141"/>
      <c r="BM169" s="141"/>
      <c r="BN169" s="141"/>
      <c r="BO169" s="141"/>
      <c r="BP169" s="141"/>
      <c r="BQ169" s="141"/>
      <c r="BR169" s="141"/>
      <c r="BS169" s="141"/>
      <c r="BT169" s="141"/>
      <c r="BU169" s="141"/>
      <c r="BV169" s="141"/>
      <c r="BW169" s="141"/>
      <c r="BX169" s="141"/>
      <c r="BY169" s="141"/>
      <c r="BZ169" s="141"/>
      <c r="CA169" s="141"/>
      <c r="CB169" s="141"/>
      <c r="CC169" s="141"/>
      <c r="CD169" s="141"/>
      <c r="CE169" s="141"/>
      <c r="CF169" s="141"/>
      <c r="CG169" s="141"/>
      <c r="CH169" s="141"/>
      <c r="CI169" s="141"/>
      <c r="CJ169" s="141"/>
      <c r="CK169" s="141"/>
      <c r="CL169" s="141"/>
      <c r="CM169" s="141"/>
      <c r="CN169" s="141"/>
      <c r="CO169" s="141"/>
      <c r="CP169" s="141"/>
      <c r="CQ169" s="141"/>
      <c r="CR169" s="141"/>
      <c r="CS169" s="141"/>
      <c r="CT169" s="141"/>
      <c r="CU169" s="141"/>
      <c r="CV169" s="141"/>
      <c r="CW169" s="141"/>
      <c r="CX169" s="141"/>
      <c r="CY169" s="141"/>
      <c r="CZ169" s="141"/>
      <c r="DA169" s="141"/>
      <c r="DB169" s="141"/>
      <c r="DC169" s="141"/>
      <c r="DD169" s="141"/>
      <c r="DE169" s="141"/>
      <c r="DF169" s="141"/>
      <c r="DG169" s="141"/>
      <c r="DH169" s="141"/>
      <c r="DI169" s="141"/>
      <c r="DJ169" s="141"/>
      <c r="DK169" s="141"/>
      <c r="DL169" s="141"/>
      <c r="DM169" s="141"/>
      <c r="DN169" s="141"/>
      <c r="DO169" s="141"/>
      <c r="DP169" s="141"/>
      <c r="DQ169" s="141"/>
      <c r="DR169" s="141"/>
      <c r="DS169" s="141"/>
      <c r="DT169" s="141"/>
      <c r="DU169" s="141"/>
      <c r="DV169" s="141"/>
      <c r="DW169" s="141"/>
      <c r="DX169" s="141"/>
      <c r="DY169" s="141"/>
      <c r="DZ169" s="141"/>
      <c r="EA169" s="141"/>
      <c r="EB169" s="332"/>
    </row>
    <row r="170" spans="1:132" s="147" customFormat="1" hidden="1" x14ac:dyDescent="0.3">
      <c r="A170" s="332"/>
      <c r="B170" s="332"/>
      <c r="C170" s="332"/>
      <c r="D170" s="332"/>
      <c r="E170" s="353" t="s">
        <v>1182</v>
      </c>
      <c r="F170" s="1385" t="b">
        <f>AND(F168&gt;0,AreaAll=0,AirMovement&gt;0)</f>
        <v>0</v>
      </c>
      <c r="G170" s="377"/>
      <c r="H170" s="377"/>
      <c r="I170" s="377"/>
      <c r="J170" s="377"/>
      <c r="K170" s="377"/>
      <c r="L170" s="377"/>
      <c r="M170" s="377"/>
      <c r="N170" s="377"/>
      <c r="O170" s="377"/>
      <c r="P170" s="377"/>
      <c r="Q170" s="377"/>
      <c r="R170" s="377"/>
      <c r="S170" s="377"/>
      <c r="T170" s="377"/>
      <c r="U170" s="377"/>
      <c r="V170" s="377"/>
      <c r="W170" s="377"/>
      <c r="X170" s="377"/>
      <c r="Y170" s="377"/>
      <c r="Z170" s="377"/>
      <c r="AA170" s="141"/>
      <c r="AB170" s="141"/>
      <c r="AC170" s="141"/>
      <c r="AD170" s="141"/>
      <c r="AE170" s="141"/>
      <c r="AF170" s="141"/>
      <c r="AG170" s="141"/>
      <c r="AH170" s="141"/>
      <c r="AI170" s="141"/>
      <c r="AJ170" s="141"/>
      <c r="AK170" s="141"/>
      <c r="AL170" s="141"/>
      <c r="AM170" s="141"/>
      <c r="AN170" s="141"/>
      <c r="AO170" s="141"/>
      <c r="AP170" s="141"/>
      <c r="AQ170" s="141"/>
      <c r="AR170" s="141"/>
      <c r="AS170" s="141"/>
      <c r="AT170" s="141"/>
      <c r="AU170" s="141"/>
      <c r="AV170" s="141"/>
      <c r="AW170" s="141"/>
      <c r="AX170" s="141"/>
      <c r="AY170" s="141"/>
      <c r="AZ170" s="141"/>
      <c r="BA170" s="141"/>
      <c r="BB170" s="141"/>
      <c r="BC170" s="141"/>
      <c r="BD170" s="141"/>
      <c r="BE170" s="141"/>
      <c r="BF170" s="141"/>
      <c r="BG170" s="141"/>
      <c r="BH170" s="141"/>
      <c r="BI170" s="141"/>
      <c r="BJ170" s="141"/>
      <c r="BK170" s="141"/>
      <c r="BL170" s="141"/>
      <c r="BM170" s="141"/>
      <c r="BN170" s="141"/>
      <c r="BO170" s="141"/>
      <c r="BP170" s="141"/>
      <c r="BQ170" s="141"/>
      <c r="BR170" s="141"/>
      <c r="BS170" s="141"/>
      <c r="BT170" s="141"/>
      <c r="BU170" s="141"/>
      <c r="BV170" s="141"/>
      <c r="BW170" s="141"/>
      <c r="BX170" s="141"/>
      <c r="BY170" s="141"/>
      <c r="BZ170" s="141"/>
      <c r="CA170" s="141"/>
      <c r="CB170" s="141"/>
      <c r="CC170" s="141"/>
      <c r="CD170" s="141"/>
      <c r="CE170" s="141"/>
      <c r="CF170" s="141"/>
      <c r="CG170" s="141"/>
      <c r="CH170" s="141"/>
      <c r="CI170" s="141"/>
      <c r="CJ170" s="141"/>
      <c r="CK170" s="141"/>
      <c r="CL170" s="141"/>
      <c r="CM170" s="141"/>
      <c r="CN170" s="141"/>
      <c r="CO170" s="141"/>
      <c r="CP170" s="141"/>
      <c r="CQ170" s="141"/>
      <c r="CR170" s="141"/>
      <c r="CS170" s="141"/>
      <c r="CT170" s="141"/>
      <c r="CU170" s="141"/>
      <c r="CV170" s="141"/>
      <c r="CW170" s="141"/>
      <c r="CX170" s="141"/>
      <c r="CY170" s="141"/>
      <c r="CZ170" s="141"/>
      <c r="DA170" s="141"/>
      <c r="DB170" s="141"/>
      <c r="DC170" s="141"/>
      <c r="DD170" s="141"/>
      <c r="DE170" s="141"/>
      <c r="DF170" s="141"/>
      <c r="DG170" s="141"/>
      <c r="DH170" s="141"/>
      <c r="DI170" s="141"/>
      <c r="DJ170" s="141"/>
      <c r="DK170" s="141"/>
      <c r="DL170" s="141"/>
      <c r="DM170" s="141"/>
      <c r="DN170" s="141"/>
      <c r="DO170" s="141"/>
      <c r="DP170" s="141"/>
      <c r="DQ170" s="141"/>
      <c r="DR170" s="141"/>
      <c r="DS170" s="141"/>
      <c r="DT170" s="141"/>
      <c r="DU170" s="141"/>
      <c r="DV170" s="141"/>
      <c r="DW170" s="141"/>
      <c r="DX170" s="141"/>
      <c r="DY170" s="141"/>
      <c r="DZ170" s="141"/>
      <c r="EA170" s="141"/>
      <c r="EB170" s="332"/>
    </row>
    <row r="171" spans="1:132" s="147" customFormat="1" hidden="1" x14ac:dyDescent="0.3">
      <c r="A171" s="332"/>
      <c r="B171" s="332"/>
      <c r="C171" s="332"/>
      <c r="D171" s="332"/>
      <c r="E171" s="353" t="s">
        <v>1183</v>
      </c>
      <c r="F171" s="1363" t="b">
        <f>AND(F168&gt;0,AreaAll=0,ISBLANK(AirMovement))</f>
        <v>0</v>
      </c>
      <c r="G171" s="377"/>
      <c r="H171" s="377"/>
      <c r="I171" s="377"/>
      <c r="J171" s="377"/>
      <c r="K171" s="377"/>
      <c r="L171" s="377"/>
      <c r="M171" s="377"/>
      <c r="N171" s="377"/>
      <c r="O171" s="377"/>
      <c r="P171" s="377"/>
      <c r="Q171" s="377"/>
      <c r="R171" s="377"/>
      <c r="S171" s="377"/>
      <c r="T171" s="377"/>
      <c r="U171" s="377"/>
      <c r="V171" s="377"/>
      <c r="W171" s="377"/>
      <c r="X171" s="377"/>
      <c r="Y171" s="377"/>
      <c r="Z171" s="377"/>
      <c r="AA171" s="141"/>
      <c r="AB171" s="141"/>
      <c r="AC171" s="141"/>
      <c r="AD171" s="141"/>
      <c r="AE171" s="141"/>
      <c r="AF171" s="141"/>
      <c r="AG171" s="141"/>
      <c r="AH171" s="141"/>
      <c r="AI171" s="141"/>
      <c r="AJ171" s="141"/>
      <c r="AK171" s="141"/>
      <c r="AL171" s="141"/>
      <c r="AM171" s="141"/>
      <c r="AN171" s="141"/>
      <c r="AO171" s="141"/>
      <c r="AP171" s="141"/>
      <c r="AQ171" s="141"/>
      <c r="AR171" s="141"/>
      <c r="AS171" s="141"/>
      <c r="AT171" s="141"/>
      <c r="AU171" s="141"/>
      <c r="AV171" s="141"/>
      <c r="AW171" s="141"/>
      <c r="AX171" s="141"/>
      <c r="AY171" s="141"/>
      <c r="AZ171" s="141"/>
      <c r="BA171" s="141"/>
      <c r="BB171" s="141"/>
      <c r="BC171" s="141"/>
      <c r="BD171" s="141"/>
      <c r="BE171" s="141"/>
      <c r="BF171" s="141"/>
      <c r="BG171" s="141"/>
      <c r="BH171" s="141"/>
      <c r="BI171" s="141"/>
      <c r="BJ171" s="141"/>
      <c r="BK171" s="141"/>
      <c r="BL171" s="141"/>
      <c r="BM171" s="141"/>
      <c r="BN171" s="141"/>
      <c r="BO171" s="141"/>
      <c r="BP171" s="141"/>
      <c r="BQ171" s="141"/>
      <c r="BR171" s="141"/>
      <c r="BS171" s="141"/>
      <c r="BT171" s="141"/>
      <c r="BU171" s="141"/>
      <c r="BV171" s="141"/>
      <c r="BW171" s="141"/>
      <c r="BX171" s="141"/>
      <c r="BY171" s="141"/>
      <c r="BZ171" s="141"/>
      <c r="CA171" s="141"/>
      <c r="CB171" s="141"/>
      <c r="CC171" s="141"/>
      <c r="CD171" s="141"/>
      <c r="CE171" s="141"/>
      <c r="CF171" s="141"/>
      <c r="CG171" s="141"/>
      <c r="CH171" s="141"/>
      <c r="CI171" s="141"/>
      <c r="CJ171" s="141"/>
      <c r="CK171" s="141"/>
      <c r="CL171" s="141"/>
      <c r="CM171" s="141"/>
      <c r="CN171" s="141"/>
      <c r="CO171" s="141"/>
      <c r="CP171" s="141"/>
      <c r="CQ171" s="141"/>
      <c r="CR171" s="141"/>
      <c r="CS171" s="141"/>
      <c r="CT171" s="141"/>
      <c r="CU171" s="141"/>
      <c r="CV171" s="141"/>
      <c r="CW171" s="141"/>
      <c r="CX171" s="141"/>
      <c r="CY171" s="141"/>
      <c r="CZ171" s="141"/>
      <c r="DA171" s="141"/>
      <c r="DB171" s="141"/>
      <c r="DC171" s="141"/>
      <c r="DD171" s="141"/>
      <c r="DE171" s="141"/>
      <c r="DF171" s="141"/>
      <c r="DG171" s="141"/>
      <c r="DH171" s="141"/>
      <c r="DI171" s="141"/>
      <c r="DJ171" s="141"/>
      <c r="DK171" s="141"/>
      <c r="DL171" s="141"/>
      <c r="DM171" s="141"/>
      <c r="DN171" s="141"/>
      <c r="DO171" s="141"/>
      <c r="DP171" s="141"/>
      <c r="DQ171" s="141"/>
      <c r="DR171" s="141"/>
      <c r="DS171" s="141"/>
      <c r="DT171" s="141"/>
      <c r="DU171" s="141"/>
      <c r="DV171" s="141"/>
      <c r="DW171" s="141"/>
      <c r="DX171" s="141"/>
      <c r="DY171" s="141"/>
      <c r="DZ171" s="141"/>
      <c r="EA171" s="141"/>
      <c r="EB171" s="332"/>
    </row>
    <row r="172" spans="1:132" s="147" customFormat="1" hidden="1" x14ac:dyDescent="0.3">
      <c r="A172" s="332"/>
      <c r="B172" s="332"/>
      <c r="C172" s="332"/>
      <c r="D172" s="332"/>
      <c r="E172" s="332"/>
      <c r="F172" s="361"/>
      <c r="G172" s="332"/>
      <c r="H172" s="332"/>
      <c r="I172" s="332"/>
      <c r="J172" s="332"/>
      <c r="K172" s="332"/>
      <c r="L172" s="332"/>
      <c r="M172" s="332"/>
      <c r="N172" s="332"/>
      <c r="O172" s="332"/>
      <c r="P172" s="332"/>
      <c r="Q172" s="332"/>
      <c r="R172" s="332"/>
      <c r="S172" s="332"/>
      <c r="T172" s="332"/>
      <c r="U172" s="332"/>
      <c r="V172" s="332"/>
      <c r="W172" s="332"/>
      <c r="X172" s="332"/>
      <c r="Y172" s="332"/>
      <c r="Z172" s="332"/>
      <c r="AA172" s="141"/>
      <c r="AB172" s="141"/>
      <c r="AC172" s="141"/>
      <c r="AD172" s="141"/>
      <c r="AE172" s="141"/>
      <c r="AF172" s="141"/>
      <c r="AG172" s="141"/>
      <c r="AH172" s="141"/>
      <c r="AI172" s="141"/>
      <c r="AJ172" s="141"/>
      <c r="AK172" s="141"/>
      <c r="AL172" s="141"/>
      <c r="AM172" s="141"/>
      <c r="AN172" s="141"/>
      <c r="AO172" s="141"/>
      <c r="AP172" s="141"/>
      <c r="AQ172" s="141"/>
      <c r="AR172" s="141"/>
      <c r="AS172" s="141"/>
      <c r="AT172" s="141"/>
      <c r="AU172" s="141"/>
      <c r="AV172" s="141"/>
      <c r="AW172" s="141"/>
      <c r="AX172" s="141"/>
      <c r="AY172" s="141"/>
      <c r="AZ172" s="141"/>
      <c r="BA172" s="141"/>
      <c r="BB172" s="141"/>
      <c r="BC172" s="141"/>
      <c r="BD172" s="141"/>
      <c r="BE172" s="141"/>
      <c r="BF172" s="141"/>
      <c r="BG172" s="141"/>
      <c r="BH172" s="141"/>
      <c r="BI172" s="141"/>
      <c r="BJ172" s="141"/>
      <c r="BK172" s="141"/>
      <c r="BL172" s="141"/>
      <c r="BM172" s="141"/>
      <c r="BN172" s="141"/>
      <c r="BO172" s="141"/>
      <c r="BP172" s="141"/>
      <c r="BQ172" s="141"/>
      <c r="BR172" s="141"/>
      <c r="BS172" s="141"/>
      <c r="BT172" s="141"/>
      <c r="BU172" s="141"/>
      <c r="BV172" s="141"/>
      <c r="BW172" s="141"/>
      <c r="BX172" s="141"/>
      <c r="BY172" s="141"/>
      <c r="BZ172" s="141"/>
      <c r="CA172" s="141"/>
      <c r="CB172" s="141"/>
      <c r="CC172" s="141"/>
      <c r="CD172" s="141"/>
      <c r="CE172" s="141"/>
      <c r="CF172" s="141"/>
      <c r="CG172" s="141"/>
      <c r="CH172" s="141"/>
      <c r="CI172" s="141"/>
      <c r="CJ172" s="141"/>
      <c r="CK172" s="141"/>
      <c r="CL172" s="141"/>
      <c r="CM172" s="141"/>
      <c r="CN172" s="141"/>
      <c r="CO172" s="141"/>
      <c r="CP172" s="141"/>
      <c r="CQ172" s="141"/>
      <c r="CR172" s="141"/>
      <c r="CS172" s="141"/>
      <c r="CT172" s="141"/>
      <c r="CU172" s="141"/>
      <c r="CV172" s="141"/>
      <c r="CW172" s="141"/>
      <c r="CX172" s="141"/>
      <c r="CY172" s="141"/>
      <c r="CZ172" s="141"/>
      <c r="DA172" s="141"/>
      <c r="DB172" s="141"/>
      <c r="DC172" s="141"/>
      <c r="DD172" s="141"/>
      <c r="DE172" s="141"/>
      <c r="DF172" s="141"/>
      <c r="DG172" s="141"/>
      <c r="DH172" s="141"/>
      <c r="DI172" s="141"/>
      <c r="DJ172" s="141"/>
      <c r="DK172" s="141"/>
      <c r="DL172" s="141"/>
      <c r="DM172" s="141"/>
      <c r="DN172" s="141"/>
      <c r="DO172" s="141"/>
      <c r="DP172" s="141"/>
      <c r="DQ172" s="141"/>
      <c r="DR172" s="141"/>
      <c r="DS172" s="141"/>
      <c r="DT172" s="141"/>
      <c r="DU172" s="141"/>
      <c r="DV172" s="141"/>
      <c r="DW172" s="141"/>
      <c r="DX172" s="141"/>
      <c r="DY172" s="141"/>
      <c r="DZ172" s="141"/>
      <c r="EA172" s="141"/>
      <c r="EB172" s="332"/>
    </row>
    <row r="173" spans="1:132" s="147" customFormat="1" hidden="1" x14ac:dyDescent="0.3">
      <c r="A173" s="332"/>
      <c r="B173" s="349" t="s">
        <v>1184</v>
      </c>
      <c r="C173" s="351"/>
      <c r="D173" s="351"/>
      <c r="E173" s="351"/>
      <c r="F173" s="351"/>
      <c r="G173" s="351"/>
      <c r="H173" s="351"/>
      <c r="I173" s="351"/>
      <c r="J173" s="351"/>
      <c r="K173" s="351"/>
      <c r="L173" s="351"/>
      <c r="M173" s="351"/>
      <c r="N173" s="351"/>
      <c r="O173" s="351"/>
      <c r="P173" s="351"/>
      <c r="Q173" s="351"/>
      <c r="R173" s="351"/>
      <c r="S173" s="351"/>
      <c r="T173" s="351"/>
      <c r="U173" s="351"/>
      <c r="V173" s="351"/>
      <c r="W173" s="351"/>
      <c r="X173" s="351"/>
      <c r="Y173" s="351"/>
      <c r="Z173" s="351"/>
      <c r="AA173" s="141"/>
      <c r="AB173" s="141"/>
      <c r="AC173" s="141"/>
      <c r="AD173" s="141"/>
      <c r="AE173" s="141"/>
      <c r="AF173" s="141"/>
      <c r="AG173" s="141"/>
      <c r="AH173" s="141"/>
      <c r="AI173" s="141"/>
      <c r="AJ173" s="141"/>
      <c r="AK173" s="141"/>
      <c r="AL173" s="141"/>
      <c r="AM173" s="141"/>
      <c r="AN173" s="141"/>
      <c r="AO173" s="141"/>
      <c r="AP173" s="141"/>
      <c r="AQ173" s="141"/>
      <c r="AR173" s="141"/>
      <c r="AS173" s="141"/>
      <c r="AT173" s="141"/>
      <c r="AU173" s="141"/>
      <c r="AV173" s="141"/>
      <c r="AW173" s="141"/>
      <c r="AX173" s="141"/>
      <c r="AY173" s="141"/>
      <c r="AZ173" s="141"/>
      <c r="BA173" s="141"/>
      <c r="BB173" s="141"/>
      <c r="BC173" s="141"/>
      <c r="BD173" s="141"/>
      <c r="BE173" s="141"/>
      <c r="BF173" s="141"/>
      <c r="BG173" s="141"/>
      <c r="BH173" s="141"/>
      <c r="BI173" s="141"/>
      <c r="BJ173" s="141"/>
      <c r="BK173" s="141"/>
      <c r="BL173" s="141"/>
      <c r="BM173" s="141"/>
      <c r="BN173" s="141"/>
      <c r="BO173" s="141"/>
      <c r="BP173" s="141"/>
      <c r="BQ173" s="141"/>
      <c r="BR173" s="141"/>
      <c r="BS173" s="141"/>
      <c r="BT173" s="141"/>
      <c r="BU173" s="141"/>
      <c r="BV173" s="141"/>
      <c r="BW173" s="141"/>
      <c r="BX173" s="141"/>
      <c r="BY173" s="141"/>
      <c r="BZ173" s="141"/>
      <c r="CA173" s="141"/>
      <c r="CB173" s="141"/>
      <c r="CC173" s="141"/>
      <c r="CD173" s="141"/>
      <c r="CE173" s="141"/>
      <c r="CF173" s="141"/>
      <c r="CG173" s="141"/>
      <c r="CH173" s="141"/>
      <c r="CI173" s="141"/>
      <c r="CJ173" s="141"/>
      <c r="CK173" s="141"/>
      <c r="CL173" s="141"/>
      <c r="CM173" s="141"/>
      <c r="CN173" s="141"/>
      <c r="CO173" s="141"/>
      <c r="CP173" s="141"/>
      <c r="CQ173" s="141"/>
      <c r="CR173" s="141"/>
      <c r="CS173" s="141"/>
      <c r="CT173" s="141"/>
      <c r="CU173" s="141"/>
      <c r="CV173" s="141"/>
      <c r="CW173" s="141"/>
      <c r="CX173" s="141"/>
      <c r="CY173" s="141"/>
      <c r="CZ173" s="141"/>
      <c r="DA173" s="141"/>
      <c r="DB173" s="141"/>
      <c r="DC173" s="141"/>
      <c r="DD173" s="141"/>
      <c r="DE173" s="141"/>
      <c r="DF173" s="141"/>
      <c r="DG173" s="141"/>
      <c r="DH173" s="141"/>
      <c r="DI173" s="141"/>
      <c r="DJ173" s="141"/>
      <c r="DK173" s="141"/>
      <c r="DL173" s="141"/>
      <c r="DM173" s="141"/>
      <c r="DN173" s="141"/>
      <c r="DO173" s="141"/>
      <c r="DP173" s="141"/>
      <c r="DQ173" s="141"/>
      <c r="DR173" s="141"/>
      <c r="DS173" s="141"/>
      <c r="DT173" s="141"/>
      <c r="DU173" s="141"/>
      <c r="DV173" s="141"/>
      <c r="DW173" s="141"/>
      <c r="DX173" s="141"/>
      <c r="DY173" s="141"/>
      <c r="DZ173" s="141"/>
      <c r="EA173" s="141"/>
      <c r="EB173" s="332"/>
    </row>
    <row r="174" spans="1:132" s="147" customFormat="1" hidden="1" x14ac:dyDescent="0.3">
      <c r="A174" s="332"/>
      <c r="B174" s="378" t="s">
        <v>1185</v>
      </c>
      <c r="C174" s="332"/>
      <c r="D174" s="379"/>
      <c r="E174" s="378"/>
      <c r="F174" s="361"/>
      <c r="G174" s="332"/>
      <c r="H174" s="332"/>
      <c r="I174" s="332"/>
      <c r="J174" s="332"/>
      <c r="K174" s="332"/>
      <c r="L174" s="332"/>
      <c r="M174" s="332"/>
      <c r="N174" s="332"/>
      <c r="O174" s="380"/>
      <c r="P174" s="380"/>
      <c r="Q174" s="332"/>
      <c r="R174" s="332"/>
      <c r="S174" s="332"/>
      <c r="T174" s="332"/>
      <c r="U174" s="332"/>
      <c r="V174" s="332"/>
      <c r="W174" s="332"/>
      <c r="X174" s="332"/>
      <c r="Y174" s="332"/>
      <c r="Z174" s="332"/>
      <c r="AA174" s="141"/>
      <c r="AB174" s="141"/>
      <c r="AC174" s="141"/>
      <c r="AD174" s="141"/>
      <c r="AE174" s="141"/>
      <c r="AF174" s="141"/>
      <c r="AG174" s="141"/>
      <c r="AH174" s="141"/>
      <c r="AI174" s="141"/>
      <c r="AJ174" s="141"/>
      <c r="AK174" s="141"/>
      <c r="AL174" s="141"/>
      <c r="AM174" s="141"/>
      <c r="AN174" s="141"/>
      <c r="AO174" s="141"/>
      <c r="AP174" s="141"/>
      <c r="AQ174" s="141"/>
      <c r="AR174" s="141"/>
      <c r="AS174" s="141"/>
      <c r="AT174" s="141"/>
      <c r="AU174" s="141"/>
      <c r="AV174" s="141"/>
      <c r="AW174" s="141"/>
      <c r="AX174" s="141"/>
      <c r="AY174" s="141"/>
      <c r="AZ174" s="141"/>
      <c r="BA174" s="141"/>
      <c r="BB174" s="141"/>
      <c r="BC174" s="141"/>
      <c r="BD174" s="141"/>
      <c r="BE174" s="141"/>
      <c r="BF174" s="141"/>
      <c r="BG174" s="141"/>
      <c r="BH174" s="141"/>
      <c r="BI174" s="141"/>
      <c r="BJ174" s="141"/>
      <c r="BK174" s="141"/>
      <c r="BL174" s="141"/>
      <c r="BM174" s="141"/>
      <c r="BN174" s="141"/>
      <c r="BO174" s="141"/>
      <c r="BP174" s="141"/>
      <c r="BQ174" s="141"/>
      <c r="BR174" s="141"/>
      <c r="BS174" s="141"/>
      <c r="BT174" s="141"/>
      <c r="BU174" s="141"/>
      <c r="BV174" s="141"/>
      <c r="BW174" s="141"/>
      <c r="BX174" s="141"/>
      <c r="BY174" s="141"/>
      <c r="BZ174" s="141"/>
      <c r="CA174" s="141"/>
      <c r="CB174" s="141"/>
      <c r="CC174" s="141"/>
      <c r="CD174" s="141"/>
      <c r="CE174" s="141"/>
      <c r="CF174" s="141"/>
      <c r="CG174" s="141"/>
      <c r="CH174" s="141"/>
      <c r="CI174" s="141"/>
      <c r="CJ174" s="141"/>
      <c r="CK174" s="141"/>
      <c r="CL174" s="141"/>
      <c r="CM174" s="141"/>
      <c r="CN174" s="141"/>
      <c r="CO174" s="141"/>
      <c r="CP174" s="141"/>
      <c r="CQ174" s="141"/>
      <c r="CR174" s="141"/>
      <c r="CS174" s="141"/>
      <c r="CT174" s="141"/>
      <c r="CU174" s="141"/>
      <c r="CV174" s="141"/>
      <c r="CW174" s="141"/>
      <c r="CX174" s="141"/>
      <c r="CY174" s="141"/>
      <c r="CZ174" s="141"/>
      <c r="DA174" s="141"/>
      <c r="DB174" s="141"/>
      <c r="DC174" s="141"/>
      <c r="DD174" s="141"/>
      <c r="DE174" s="141"/>
      <c r="DF174" s="141"/>
      <c r="DG174" s="141"/>
      <c r="DH174" s="141"/>
      <c r="DI174" s="141"/>
      <c r="DJ174" s="141"/>
      <c r="DK174" s="141"/>
      <c r="DL174" s="141"/>
      <c r="DM174" s="141"/>
      <c r="DN174" s="141"/>
      <c r="DO174" s="141"/>
      <c r="DP174" s="141"/>
      <c r="DQ174" s="141"/>
      <c r="DR174" s="141"/>
      <c r="DS174" s="141"/>
      <c r="DT174" s="141"/>
      <c r="DU174" s="141"/>
      <c r="DV174" s="141"/>
      <c r="DW174" s="141"/>
      <c r="DX174" s="141"/>
      <c r="DY174" s="141"/>
      <c r="DZ174" s="141"/>
      <c r="EA174" s="141"/>
      <c r="EB174" s="332"/>
    </row>
    <row r="175" spans="1:132" s="147" customFormat="1" hidden="1" x14ac:dyDescent="0.3">
      <c r="A175" s="332"/>
      <c r="B175" s="332"/>
      <c r="C175" s="332"/>
      <c r="D175" s="379">
        <f>COUNTIF(G182:G192,Zone)</f>
        <v>2</v>
      </c>
      <c r="E175" s="378" t="s">
        <v>1186</v>
      </c>
      <c r="F175" s="361"/>
      <c r="G175" s="332"/>
      <c r="H175" s="332"/>
      <c r="I175" s="332"/>
      <c r="J175" s="332"/>
      <c r="K175" s="332"/>
      <c r="L175" s="332"/>
      <c r="M175" s="332"/>
      <c r="N175" s="332"/>
      <c r="O175" s="332"/>
      <c r="P175" s="332"/>
      <c r="Q175" s="332"/>
      <c r="R175" s="332"/>
      <c r="S175" s="332"/>
      <c r="T175" s="332"/>
      <c r="U175" s="332"/>
      <c r="V175" s="332"/>
      <c r="W175" s="332"/>
      <c r="X175" s="332"/>
      <c r="Y175" s="332"/>
      <c r="Z175" s="332"/>
      <c r="AA175" s="141"/>
      <c r="AB175" s="141"/>
      <c r="AC175" s="141"/>
      <c r="AD175" s="141"/>
      <c r="AE175" s="141"/>
      <c r="AF175" s="141"/>
      <c r="AG175" s="141"/>
      <c r="AH175" s="141"/>
      <c r="AI175" s="141"/>
      <c r="AJ175" s="141"/>
      <c r="AK175" s="141"/>
      <c r="AL175" s="141"/>
      <c r="AM175" s="141"/>
      <c r="AN175" s="141"/>
      <c r="AO175" s="141"/>
      <c r="AP175" s="141"/>
      <c r="AQ175" s="141"/>
      <c r="AR175" s="141"/>
      <c r="AS175" s="141"/>
      <c r="AT175" s="141"/>
      <c r="AU175" s="141"/>
      <c r="AV175" s="141"/>
      <c r="AW175" s="141"/>
      <c r="AX175" s="141"/>
      <c r="AY175" s="141"/>
      <c r="AZ175" s="141"/>
      <c r="BA175" s="141"/>
      <c r="BB175" s="141"/>
      <c r="BC175" s="141"/>
      <c r="BD175" s="141"/>
      <c r="BE175" s="141"/>
      <c r="BF175" s="141"/>
      <c r="BG175" s="141"/>
      <c r="BH175" s="141"/>
      <c r="BI175" s="141"/>
      <c r="BJ175" s="141"/>
      <c r="BK175" s="141"/>
      <c r="BL175" s="141"/>
      <c r="BM175" s="141"/>
      <c r="BN175" s="141"/>
      <c r="BO175" s="141"/>
      <c r="BP175" s="141"/>
      <c r="BQ175" s="141"/>
      <c r="BR175" s="141"/>
      <c r="BS175" s="141"/>
      <c r="BT175" s="141"/>
      <c r="BU175" s="141"/>
      <c r="BV175" s="141"/>
      <c r="BW175" s="141"/>
      <c r="BX175" s="141"/>
      <c r="BY175" s="141"/>
      <c r="BZ175" s="141"/>
      <c r="CA175" s="141"/>
      <c r="CB175" s="141"/>
      <c r="CC175" s="141"/>
      <c r="CD175" s="141"/>
      <c r="CE175" s="141"/>
      <c r="CF175" s="141"/>
      <c r="CG175" s="141"/>
      <c r="CH175" s="141"/>
      <c r="CI175" s="141"/>
      <c r="CJ175" s="141"/>
      <c r="CK175" s="141"/>
      <c r="CL175" s="141"/>
      <c r="CM175" s="141"/>
      <c r="CN175" s="141"/>
      <c r="CO175" s="141"/>
      <c r="CP175" s="141"/>
      <c r="CQ175" s="141"/>
      <c r="CR175" s="141"/>
      <c r="CS175" s="141"/>
      <c r="CT175" s="141"/>
      <c r="CU175" s="141"/>
      <c r="CV175" s="141"/>
      <c r="CW175" s="141"/>
      <c r="CX175" s="141"/>
      <c r="CY175" s="141"/>
      <c r="CZ175" s="141"/>
      <c r="DA175" s="141"/>
      <c r="DB175" s="141"/>
      <c r="DC175" s="141"/>
      <c r="DD175" s="141"/>
      <c r="DE175" s="141"/>
      <c r="DF175" s="141"/>
      <c r="DG175" s="141"/>
      <c r="DH175" s="141"/>
      <c r="DI175" s="141"/>
      <c r="DJ175" s="141"/>
      <c r="DK175" s="141"/>
      <c r="DL175" s="141"/>
      <c r="DM175" s="141"/>
      <c r="DN175" s="141"/>
      <c r="DO175" s="141"/>
      <c r="DP175" s="141"/>
      <c r="DQ175" s="141"/>
      <c r="DR175" s="141"/>
      <c r="DS175" s="141"/>
      <c r="DT175" s="141"/>
      <c r="DU175" s="141"/>
      <c r="DV175" s="141"/>
      <c r="DW175" s="141"/>
      <c r="DX175" s="141"/>
      <c r="DY175" s="141"/>
      <c r="DZ175" s="141"/>
      <c r="EA175" s="141"/>
      <c r="EB175" s="332"/>
    </row>
    <row r="176" spans="1:132" s="147" customFormat="1" hidden="1" x14ac:dyDescent="0.3">
      <c r="A176" s="332"/>
      <c r="B176" s="332"/>
      <c r="C176" s="332"/>
      <c r="D176" s="381">
        <v>0</v>
      </c>
      <c r="E176" s="382" t="s">
        <v>892</v>
      </c>
      <c r="F176" s="361"/>
      <c r="G176" s="332"/>
      <c r="H176" s="332"/>
      <c r="I176" s="344" t="s">
        <v>1187</v>
      </c>
      <c r="J176" s="344"/>
      <c r="K176" s="344"/>
      <c r="L176" s="344"/>
      <c r="M176" s="344"/>
      <c r="N176" s="344"/>
      <c r="O176" s="332"/>
      <c r="P176" s="332"/>
      <c r="Q176" s="332"/>
      <c r="R176" s="332"/>
      <c r="S176" s="332"/>
      <c r="T176" s="332"/>
      <c r="U176" s="332"/>
      <c r="V176" s="332"/>
      <c r="W176" s="332"/>
      <c r="X176" s="332"/>
      <c r="Y176" s="332"/>
      <c r="Z176" s="332"/>
      <c r="AA176" s="141"/>
      <c r="AB176" s="141"/>
      <c r="AC176" s="141"/>
      <c r="AD176" s="141"/>
      <c r="AE176" s="141"/>
      <c r="AF176" s="141"/>
      <c r="AG176" s="141"/>
      <c r="AH176" s="141"/>
      <c r="AI176" s="141"/>
      <c r="AJ176" s="141"/>
      <c r="AK176" s="141"/>
      <c r="AL176" s="141"/>
      <c r="AM176" s="141"/>
      <c r="AN176" s="141"/>
      <c r="AO176" s="141"/>
      <c r="AP176" s="141"/>
      <c r="AQ176" s="141"/>
      <c r="AR176" s="141"/>
      <c r="AS176" s="141"/>
      <c r="AT176" s="141"/>
      <c r="AU176" s="141"/>
      <c r="AV176" s="141"/>
      <c r="AW176" s="141"/>
      <c r="AX176" s="141"/>
      <c r="AY176" s="141"/>
      <c r="AZ176" s="141"/>
      <c r="BA176" s="141"/>
      <c r="BB176" s="141"/>
      <c r="BC176" s="141"/>
      <c r="BD176" s="141"/>
      <c r="BE176" s="141"/>
      <c r="BF176" s="141"/>
      <c r="BG176" s="141"/>
      <c r="BH176" s="141"/>
      <c r="BI176" s="141"/>
      <c r="BJ176" s="141"/>
      <c r="BK176" s="141"/>
      <c r="BL176" s="141"/>
      <c r="BM176" s="141"/>
      <c r="BN176" s="141"/>
      <c r="BO176" s="141"/>
      <c r="BP176" s="141"/>
      <c r="BQ176" s="141"/>
      <c r="BR176" s="141"/>
      <c r="BS176" s="141"/>
      <c r="BT176" s="141"/>
      <c r="BU176" s="141"/>
      <c r="BV176" s="141"/>
      <c r="BW176" s="141"/>
      <c r="BX176" s="141"/>
      <c r="BY176" s="141"/>
      <c r="BZ176" s="141"/>
      <c r="CA176" s="141"/>
      <c r="CB176" s="141"/>
      <c r="CC176" s="141"/>
      <c r="CD176" s="141"/>
      <c r="CE176" s="141"/>
      <c r="CF176" s="141"/>
      <c r="CG176" s="141"/>
      <c r="CH176" s="141"/>
      <c r="CI176" s="141"/>
      <c r="CJ176" s="141"/>
      <c r="CK176" s="141"/>
      <c r="CL176" s="141"/>
      <c r="CM176" s="141"/>
      <c r="CN176" s="141"/>
      <c r="CO176" s="141"/>
      <c r="CP176" s="141"/>
      <c r="CQ176" s="141"/>
      <c r="CR176" s="141"/>
      <c r="CS176" s="141"/>
      <c r="CT176" s="141"/>
      <c r="CU176" s="141"/>
      <c r="CV176" s="141"/>
      <c r="CW176" s="141"/>
      <c r="CX176" s="141"/>
      <c r="CY176" s="141"/>
      <c r="CZ176" s="141"/>
      <c r="DA176" s="141"/>
      <c r="DB176" s="141"/>
      <c r="DC176" s="141"/>
      <c r="DD176" s="141"/>
      <c r="DE176" s="141"/>
      <c r="DF176" s="141"/>
      <c r="DG176" s="141"/>
      <c r="DH176" s="141"/>
      <c r="DI176" s="141"/>
      <c r="DJ176" s="141"/>
      <c r="DK176" s="141"/>
      <c r="DL176" s="141"/>
      <c r="DM176" s="141"/>
      <c r="DN176" s="141"/>
      <c r="DO176" s="141"/>
      <c r="DP176" s="141"/>
      <c r="DQ176" s="141"/>
      <c r="DR176" s="141"/>
      <c r="DS176" s="141"/>
      <c r="DT176" s="141"/>
      <c r="DU176" s="141"/>
      <c r="DV176" s="141"/>
      <c r="DW176" s="141"/>
      <c r="DX176" s="141"/>
      <c r="DY176" s="141"/>
      <c r="DZ176" s="141"/>
      <c r="EA176" s="141"/>
      <c r="EB176" s="332"/>
    </row>
    <row r="177" spans="1:132" s="147" customFormat="1" hidden="1" x14ac:dyDescent="0.3">
      <c r="A177" s="332"/>
      <c r="B177" s="332"/>
      <c r="C177" s="332"/>
      <c r="D177" s="381">
        <v>1</v>
      </c>
      <c r="E177" s="383" t="str">
        <f>IF(D175=0,"",INDEX(F$182:F$192,MATCH(Zone,G$182:G$192,0),1))</f>
        <v>Table 3.12.1.3b Climate zone 5 Option (a)(ii)</v>
      </c>
      <c r="F177" s="361"/>
      <c r="G177" s="332"/>
      <c r="H177" s="332"/>
      <c r="I177" s="332"/>
      <c r="J177" s="332"/>
      <c r="K177" s="332"/>
      <c r="L177" s="332"/>
      <c r="M177" s="332"/>
      <c r="N177" s="332"/>
      <c r="O177" s="332"/>
      <c r="P177" s="332"/>
      <c r="Q177" s="332"/>
      <c r="R177" s="332"/>
      <c r="S177" s="332"/>
      <c r="T177" s="332"/>
      <c r="U177" s="332"/>
      <c r="V177" s="332"/>
      <c r="W177" s="332"/>
      <c r="X177" s="332"/>
      <c r="Y177" s="332"/>
      <c r="Z177" s="332"/>
      <c r="AA177" s="141"/>
      <c r="AB177" s="141"/>
      <c r="AC177" s="141"/>
      <c r="AD177" s="141"/>
      <c r="AE177" s="141"/>
      <c r="AF177" s="141"/>
      <c r="AG177" s="141"/>
      <c r="AH177" s="141"/>
      <c r="AI177" s="141"/>
      <c r="AJ177" s="141"/>
      <c r="AK177" s="141"/>
      <c r="AL177" s="141"/>
      <c r="AM177" s="141"/>
      <c r="AN177" s="141"/>
      <c r="AO177" s="141"/>
      <c r="AP177" s="141"/>
      <c r="AQ177" s="141"/>
      <c r="AR177" s="141"/>
      <c r="AS177" s="141"/>
      <c r="AT177" s="141"/>
      <c r="AU177" s="141"/>
      <c r="AV177" s="141"/>
      <c r="AW177" s="141"/>
      <c r="AX177" s="141"/>
      <c r="AY177" s="141"/>
      <c r="AZ177" s="141"/>
      <c r="BA177" s="141"/>
      <c r="BB177" s="141"/>
      <c r="BC177" s="141"/>
      <c r="BD177" s="141"/>
      <c r="BE177" s="141"/>
      <c r="BF177" s="141"/>
      <c r="BG177" s="141"/>
      <c r="BH177" s="141"/>
      <c r="BI177" s="141"/>
      <c r="BJ177" s="141"/>
      <c r="BK177" s="141"/>
      <c r="BL177" s="141"/>
      <c r="BM177" s="141"/>
      <c r="BN177" s="141"/>
      <c r="BO177" s="141"/>
      <c r="BP177" s="141"/>
      <c r="BQ177" s="141"/>
      <c r="BR177" s="141"/>
      <c r="BS177" s="141"/>
      <c r="BT177" s="141"/>
      <c r="BU177" s="141"/>
      <c r="BV177" s="141"/>
      <c r="BW177" s="141"/>
      <c r="BX177" s="141"/>
      <c r="BY177" s="141"/>
      <c r="BZ177" s="141"/>
      <c r="CA177" s="141"/>
      <c r="CB177" s="141"/>
      <c r="CC177" s="141"/>
      <c r="CD177" s="141"/>
      <c r="CE177" s="141"/>
      <c r="CF177" s="141"/>
      <c r="CG177" s="141"/>
      <c r="CH177" s="141"/>
      <c r="CI177" s="141"/>
      <c r="CJ177" s="141"/>
      <c r="CK177" s="141"/>
      <c r="CL177" s="141"/>
      <c r="CM177" s="141"/>
      <c r="CN177" s="141"/>
      <c r="CO177" s="141"/>
      <c r="CP177" s="141"/>
      <c r="CQ177" s="141"/>
      <c r="CR177" s="141"/>
      <c r="CS177" s="141"/>
      <c r="CT177" s="141"/>
      <c r="CU177" s="141"/>
      <c r="CV177" s="141"/>
      <c r="CW177" s="141"/>
      <c r="CX177" s="141"/>
      <c r="CY177" s="141"/>
      <c r="CZ177" s="141"/>
      <c r="DA177" s="141"/>
      <c r="DB177" s="141"/>
      <c r="DC177" s="141"/>
      <c r="DD177" s="141"/>
      <c r="DE177" s="141"/>
      <c r="DF177" s="141"/>
      <c r="DG177" s="141"/>
      <c r="DH177" s="141"/>
      <c r="DI177" s="141"/>
      <c r="DJ177" s="141"/>
      <c r="DK177" s="141"/>
      <c r="DL177" s="141"/>
      <c r="DM177" s="141"/>
      <c r="DN177" s="141"/>
      <c r="DO177" s="141"/>
      <c r="DP177" s="141"/>
      <c r="DQ177" s="141"/>
      <c r="DR177" s="141"/>
      <c r="DS177" s="141"/>
      <c r="DT177" s="141"/>
      <c r="DU177" s="141"/>
      <c r="DV177" s="141"/>
      <c r="DW177" s="141"/>
      <c r="DX177" s="141"/>
      <c r="DY177" s="141"/>
      <c r="DZ177" s="141"/>
      <c r="EA177" s="141"/>
      <c r="EB177" s="332"/>
    </row>
    <row r="178" spans="1:132" s="147" customFormat="1" hidden="1" x14ac:dyDescent="0.3">
      <c r="A178" s="332"/>
      <c r="B178" s="332"/>
      <c r="C178" s="332"/>
      <c r="D178" s="381">
        <v>2</v>
      </c>
      <c r="E178" s="383" t="str">
        <f>IF(COUNTIF(G$182:G$192,Zone)=2,INDEX(F$182:F$192,MATCH(Zone,G$182:G$192,0)+1,1),"")</f>
        <v>Table 3.12.1.3b Climate zone 5 Option (b)(ii)</v>
      </c>
      <c r="F178" s="361"/>
      <c r="G178" s="332"/>
      <c r="H178" s="332"/>
      <c r="I178" s="332"/>
      <c r="J178" s="332"/>
      <c r="K178" s="332"/>
      <c r="L178" s="332"/>
      <c r="M178" s="332"/>
      <c r="N178" s="332"/>
      <c r="O178" s="332"/>
      <c r="P178" s="332"/>
      <c r="Q178" s="332"/>
      <c r="R178" s="332"/>
      <c r="S178" s="332"/>
      <c r="T178" s="332"/>
      <c r="U178" s="332"/>
      <c r="V178" s="332"/>
      <c r="W178" s="332"/>
      <c r="X178" s="332"/>
      <c r="Y178" s="332"/>
      <c r="Z178" s="332"/>
      <c r="AA178" s="141"/>
      <c r="AB178" s="141"/>
      <c r="AC178" s="141"/>
      <c r="AD178" s="141"/>
      <c r="AE178" s="141"/>
      <c r="AF178" s="141"/>
      <c r="AG178" s="141"/>
      <c r="AH178" s="141"/>
      <c r="AI178" s="141"/>
      <c r="AJ178" s="141"/>
      <c r="AK178" s="141"/>
      <c r="AL178" s="141"/>
      <c r="AM178" s="141"/>
      <c r="AN178" s="141"/>
      <c r="AO178" s="141"/>
      <c r="AP178" s="141"/>
      <c r="AQ178" s="141"/>
      <c r="AR178" s="141"/>
      <c r="AS178" s="141"/>
      <c r="AT178" s="141"/>
      <c r="AU178" s="141"/>
      <c r="AV178" s="141"/>
      <c r="AW178" s="141"/>
      <c r="AX178" s="141"/>
      <c r="AY178" s="141"/>
      <c r="AZ178" s="141"/>
      <c r="BA178" s="141"/>
      <c r="BB178" s="141"/>
      <c r="BC178" s="141"/>
      <c r="BD178" s="141"/>
      <c r="BE178" s="141"/>
      <c r="BF178" s="141"/>
      <c r="BG178" s="141"/>
      <c r="BH178" s="141"/>
      <c r="BI178" s="141"/>
      <c r="BJ178" s="141"/>
      <c r="BK178" s="141"/>
      <c r="BL178" s="141"/>
      <c r="BM178" s="141"/>
      <c r="BN178" s="141"/>
      <c r="BO178" s="141"/>
      <c r="BP178" s="141"/>
      <c r="BQ178" s="141"/>
      <c r="BR178" s="141"/>
      <c r="BS178" s="141"/>
      <c r="BT178" s="141"/>
      <c r="BU178" s="141"/>
      <c r="BV178" s="141"/>
      <c r="BW178" s="141"/>
      <c r="BX178" s="141"/>
      <c r="BY178" s="141"/>
      <c r="BZ178" s="141"/>
      <c r="CA178" s="141"/>
      <c r="CB178" s="141"/>
      <c r="CC178" s="141"/>
      <c r="CD178" s="141"/>
      <c r="CE178" s="141"/>
      <c r="CF178" s="141"/>
      <c r="CG178" s="141"/>
      <c r="CH178" s="141"/>
      <c r="CI178" s="141"/>
      <c r="CJ178" s="141"/>
      <c r="CK178" s="141"/>
      <c r="CL178" s="141"/>
      <c r="CM178" s="141"/>
      <c r="CN178" s="141"/>
      <c r="CO178" s="141"/>
      <c r="CP178" s="141"/>
      <c r="CQ178" s="141"/>
      <c r="CR178" s="141"/>
      <c r="CS178" s="141"/>
      <c r="CT178" s="141"/>
      <c r="CU178" s="141"/>
      <c r="CV178" s="141"/>
      <c r="CW178" s="141"/>
      <c r="CX178" s="141"/>
      <c r="CY178" s="141"/>
      <c r="CZ178" s="141"/>
      <c r="DA178" s="141"/>
      <c r="DB178" s="141"/>
      <c r="DC178" s="141"/>
      <c r="DD178" s="141"/>
      <c r="DE178" s="141"/>
      <c r="DF178" s="141"/>
      <c r="DG178" s="141"/>
      <c r="DH178" s="141"/>
      <c r="DI178" s="141"/>
      <c r="DJ178" s="141"/>
      <c r="DK178" s="141"/>
      <c r="DL178" s="141"/>
      <c r="DM178" s="141"/>
      <c r="DN178" s="141"/>
      <c r="DO178" s="141"/>
      <c r="DP178" s="141"/>
      <c r="DQ178" s="141"/>
      <c r="DR178" s="141"/>
      <c r="DS178" s="141"/>
      <c r="DT178" s="141"/>
      <c r="DU178" s="141"/>
      <c r="DV178" s="141"/>
      <c r="DW178" s="141"/>
      <c r="DX178" s="141"/>
      <c r="DY178" s="141"/>
      <c r="DZ178" s="141"/>
      <c r="EA178" s="141"/>
      <c r="EB178" s="332"/>
    </row>
    <row r="179" spans="1:132" s="147" customFormat="1" hidden="1" x14ac:dyDescent="0.3">
      <c r="A179" s="332"/>
      <c r="B179" s="332"/>
      <c r="C179" s="332"/>
      <c r="D179" s="332"/>
      <c r="E179" s="332"/>
      <c r="F179" s="361"/>
      <c r="G179" s="332"/>
      <c r="H179" s="332"/>
      <c r="I179" s="332"/>
      <c r="J179" s="332"/>
      <c r="K179" s="332"/>
      <c r="L179" s="332"/>
      <c r="M179" s="332"/>
      <c r="N179" s="332"/>
      <c r="O179" s="332"/>
      <c r="P179" s="332"/>
      <c r="Q179" s="332"/>
      <c r="R179" s="332"/>
      <c r="S179" s="332"/>
      <c r="T179" s="332"/>
      <c r="U179" s="332"/>
      <c r="V179" s="332"/>
      <c r="W179" s="332"/>
      <c r="X179" s="332"/>
      <c r="Y179" s="332"/>
      <c r="Z179" s="332"/>
      <c r="AA179" s="141"/>
      <c r="AB179" s="141"/>
      <c r="AC179" s="141"/>
      <c r="AD179" s="141"/>
      <c r="AE179" s="141"/>
      <c r="AF179" s="141"/>
      <c r="AG179" s="141"/>
      <c r="AH179" s="141"/>
      <c r="AI179" s="141"/>
      <c r="AJ179" s="141"/>
      <c r="AK179" s="141"/>
      <c r="AL179" s="141"/>
      <c r="AM179" s="141"/>
      <c r="AN179" s="141"/>
      <c r="AO179" s="141"/>
      <c r="AP179" s="141"/>
      <c r="AQ179" s="141"/>
      <c r="AR179" s="141"/>
      <c r="AS179" s="141"/>
      <c r="AT179" s="141"/>
      <c r="AU179" s="141"/>
      <c r="AV179" s="141"/>
      <c r="AW179" s="141"/>
      <c r="AX179" s="141"/>
      <c r="AY179" s="141"/>
      <c r="AZ179" s="141"/>
      <c r="BA179" s="141"/>
      <c r="BB179" s="141"/>
      <c r="BC179" s="141"/>
      <c r="BD179" s="141"/>
      <c r="BE179" s="141"/>
      <c r="BF179" s="141"/>
      <c r="BG179" s="141"/>
      <c r="BH179" s="141"/>
      <c r="BI179" s="141"/>
      <c r="BJ179" s="141"/>
      <c r="BK179" s="141"/>
      <c r="BL179" s="141"/>
      <c r="BM179" s="141"/>
      <c r="BN179" s="141"/>
      <c r="BO179" s="141"/>
      <c r="BP179" s="141"/>
      <c r="BQ179" s="141"/>
      <c r="BR179" s="141"/>
      <c r="BS179" s="141"/>
      <c r="BT179" s="141"/>
      <c r="BU179" s="141"/>
      <c r="BV179" s="141"/>
      <c r="BW179" s="141"/>
      <c r="BX179" s="141"/>
      <c r="BY179" s="141"/>
      <c r="BZ179" s="141"/>
      <c r="CA179" s="141"/>
      <c r="CB179" s="141"/>
      <c r="CC179" s="141"/>
      <c r="CD179" s="141"/>
      <c r="CE179" s="141"/>
      <c r="CF179" s="141"/>
      <c r="CG179" s="141"/>
      <c r="CH179" s="141"/>
      <c r="CI179" s="141"/>
      <c r="CJ179" s="141"/>
      <c r="CK179" s="141"/>
      <c r="CL179" s="141"/>
      <c r="CM179" s="141"/>
      <c r="CN179" s="141"/>
      <c r="CO179" s="141"/>
      <c r="CP179" s="141"/>
      <c r="CQ179" s="141"/>
      <c r="CR179" s="141"/>
      <c r="CS179" s="141"/>
      <c r="CT179" s="141"/>
      <c r="CU179" s="141"/>
      <c r="CV179" s="141"/>
      <c r="CW179" s="141"/>
      <c r="CX179" s="141"/>
      <c r="CY179" s="141"/>
      <c r="CZ179" s="141"/>
      <c r="DA179" s="141"/>
      <c r="DB179" s="141"/>
      <c r="DC179" s="141"/>
      <c r="DD179" s="141"/>
      <c r="DE179" s="141"/>
      <c r="DF179" s="141"/>
      <c r="DG179" s="141"/>
      <c r="DH179" s="141"/>
      <c r="DI179" s="141"/>
      <c r="DJ179" s="141"/>
      <c r="DK179" s="141"/>
      <c r="DL179" s="141"/>
      <c r="DM179" s="141"/>
      <c r="DN179" s="141"/>
      <c r="DO179" s="141"/>
      <c r="DP179" s="141"/>
      <c r="DQ179" s="141"/>
      <c r="DR179" s="141"/>
      <c r="DS179" s="141"/>
      <c r="DT179" s="141"/>
      <c r="DU179" s="141"/>
      <c r="DV179" s="141"/>
      <c r="DW179" s="141"/>
      <c r="DX179" s="141"/>
      <c r="DY179" s="141"/>
      <c r="DZ179" s="141"/>
      <c r="EA179" s="141"/>
      <c r="EB179" s="332"/>
    </row>
    <row r="180" spans="1:132" s="147" customFormat="1" hidden="1" x14ac:dyDescent="0.3">
      <c r="A180" s="332"/>
      <c r="B180" s="332"/>
      <c r="C180" s="332"/>
      <c r="D180" s="332"/>
      <c r="E180" s="332"/>
      <c r="F180" s="350" t="s">
        <v>1188</v>
      </c>
      <c r="G180" s="350" t="s">
        <v>1189</v>
      </c>
      <c r="H180" s="350" t="s">
        <v>1190</v>
      </c>
      <c r="I180" s="350" t="s">
        <v>1191</v>
      </c>
      <c r="J180" s="350"/>
      <c r="K180" s="350"/>
      <c r="L180" s="350"/>
      <c r="M180" s="350"/>
      <c r="N180" s="350"/>
      <c r="O180" s="384" t="s">
        <v>1192</v>
      </c>
      <c r="P180" s="332"/>
      <c r="Q180" s="332"/>
      <c r="R180" s="332"/>
      <c r="S180" s="332"/>
      <c r="T180" s="332"/>
      <c r="U180" s="332"/>
      <c r="V180" s="332"/>
      <c r="W180" s="332"/>
      <c r="X180" s="332"/>
      <c r="Y180" s="332"/>
      <c r="Z180" s="332"/>
      <c r="AA180" s="141"/>
      <c r="AB180" s="141"/>
      <c r="AC180" s="141"/>
      <c r="AD180" s="141"/>
      <c r="AE180" s="141"/>
      <c r="AF180" s="141"/>
      <c r="AG180" s="141"/>
      <c r="AH180" s="141"/>
      <c r="AI180" s="141"/>
      <c r="AJ180" s="141"/>
      <c r="AK180" s="141"/>
      <c r="AL180" s="141"/>
      <c r="AM180" s="141"/>
      <c r="AN180" s="141"/>
      <c r="AO180" s="141"/>
      <c r="AP180" s="141"/>
      <c r="AQ180" s="141"/>
      <c r="AR180" s="141"/>
      <c r="AS180" s="141"/>
      <c r="AT180" s="141"/>
      <c r="AU180" s="141"/>
      <c r="AV180" s="141"/>
      <c r="AW180" s="141"/>
      <c r="AX180" s="141"/>
      <c r="AY180" s="141"/>
      <c r="AZ180" s="141"/>
      <c r="BA180" s="141"/>
      <c r="BB180" s="141"/>
      <c r="BC180" s="141"/>
      <c r="BD180" s="141"/>
      <c r="BE180" s="141"/>
      <c r="BF180" s="141"/>
      <c r="BG180" s="141"/>
      <c r="BH180" s="141"/>
      <c r="BI180" s="141"/>
      <c r="BJ180" s="141"/>
      <c r="BK180" s="141"/>
      <c r="BL180" s="141"/>
      <c r="BM180" s="141"/>
      <c r="BN180" s="141"/>
      <c r="BO180" s="141"/>
      <c r="BP180" s="141"/>
      <c r="BQ180" s="141"/>
      <c r="BR180" s="141"/>
      <c r="BS180" s="141"/>
      <c r="BT180" s="141"/>
      <c r="BU180" s="141"/>
      <c r="BV180" s="141"/>
      <c r="BW180" s="141"/>
      <c r="BX180" s="141"/>
      <c r="BY180" s="141"/>
      <c r="BZ180" s="141"/>
      <c r="CA180" s="141"/>
      <c r="CB180" s="141"/>
      <c r="CC180" s="141"/>
      <c r="CD180" s="141"/>
      <c r="CE180" s="141"/>
      <c r="CF180" s="141"/>
      <c r="CG180" s="141"/>
      <c r="CH180" s="141"/>
      <c r="CI180" s="141"/>
      <c r="CJ180" s="141"/>
      <c r="CK180" s="141"/>
      <c r="CL180" s="141"/>
      <c r="CM180" s="141"/>
      <c r="CN180" s="141"/>
      <c r="CO180" s="141"/>
      <c r="CP180" s="141"/>
      <c r="CQ180" s="141"/>
      <c r="CR180" s="141"/>
      <c r="CS180" s="141"/>
      <c r="CT180" s="141"/>
      <c r="CU180" s="141"/>
      <c r="CV180" s="141"/>
      <c r="CW180" s="141"/>
      <c r="CX180" s="141"/>
      <c r="CY180" s="141"/>
      <c r="CZ180" s="141"/>
      <c r="DA180" s="141"/>
      <c r="DB180" s="141"/>
      <c r="DC180" s="141"/>
      <c r="DD180" s="141"/>
      <c r="DE180" s="141"/>
      <c r="DF180" s="141"/>
      <c r="DG180" s="141"/>
      <c r="DH180" s="141"/>
      <c r="DI180" s="141"/>
      <c r="DJ180" s="141"/>
      <c r="DK180" s="141"/>
      <c r="DL180" s="141"/>
      <c r="DM180" s="141"/>
      <c r="DN180" s="141"/>
      <c r="DO180" s="141"/>
      <c r="DP180" s="141"/>
      <c r="DQ180" s="141"/>
      <c r="DR180" s="141"/>
      <c r="DS180" s="141"/>
      <c r="DT180" s="141"/>
      <c r="DU180" s="141"/>
      <c r="DV180" s="141"/>
      <c r="DW180" s="141"/>
      <c r="DX180" s="141"/>
      <c r="DY180" s="141"/>
      <c r="DZ180" s="141"/>
      <c r="EA180" s="141"/>
      <c r="EB180" s="332"/>
    </row>
    <row r="181" spans="1:132" s="147" customFormat="1" hidden="1" x14ac:dyDescent="0.3">
      <c r="A181" s="332"/>
      <c r="B181" s="332"/>
      <c r="C181" s="332"/>
      <c r="D181" s="332"/>
      <c r="E181" s="332"/>
      <c r="F181" s="385" t="str">
        <f>NoWallConcession</f>
        <v>No wall insulation concession used</v>
      </c>
      <c r="G181" s="380"/>
      <c r="H181" s="380"/>
      <c r="I181" s="380"/>
      <c r="J181" s="380"/>
      <c r="K181" s="380"/>
      <c r="L181" s="380"/>
      <c r="M181" s="380"/>
      <c r="N181" s="380"/>
      <c r="O181" s="386"/>
      <c r="P181" s="332"/>
      <c r="Q181" s="332"/>
      <c r="R181" s="332"/>
      <c r="S181" s="332"/>
      <c r="T181" s="332"/>
      <c r="U181" s="332"/>
      <c r="V181" s="332"/>
      <c r="W181" s="332"/>
      <c r="X181" s="332"/>
      <c r="Y181" s="332"/>
      <c r="Z181" s="332"/>
      <c r="AA181" s="141"/>
      <c r="AB181" s="141"/>
      <c r="AC181" s="141"/>
      <c r="AD181" s="141"/>
      <c r="AE181" s="141"/>
      <c r="AF181" s="141"/>
      <c r="AG181" s="141"/>
      <c r="AH181" s="141"/>
      <c r="AI181" s="141"/>
      <c r="AJ181" s="141"/>
      <c r="AK181" s="141"/>
      <c r="AL181" s="141"/>
      <c r="AM181" s="141"/>
      <c r="AN181" s="141"/>
      <c r="AO181" s="141"/>
      <c r="AP181" s="141"/>
      <c r="AQ181" s="141"/>
      <c r="AR181" s="141"/>
      <c r="AS181" s="141"/>
      <c r="AT181" s="141"/>
      <c r="AU181" s="141"/>
      <c r="AV181" s="141"/>
      <c r="AW181" s="141"/>
      <c r="AX181" s="141"/>
      <c r="AY181" s="141"/>
      <c r="AZ181" s="141"/>
      <c r="BA181" s="141"/>
      <c r="BB181" s="141"/>
      <c r="BC181" s="141"/>
      <c r="BD181" s="141"/>
      <c r="BE181" s="141"/>
      <c r="BF181" s="141"/>
      <c r="BG181" s="141"/>
      <c r="BH181" s="141"/>
      <c r="BI181" s="141"/>
      <c r="BJ181" s="141"/>
      <c r="BK181" s="141"/>
      <c r="BL181" s="141"/>
      <c r="BM181" s="141"/>
      <c r="BN181" s="141"/>
      <c r="BO181" s="141"/>
      <c r="BP181" s="141"/>
      <c r="BQ181" s="141"/>
      <c r="BR181" s="141"/>
      <c r="BS181" s="141"/>
      <c r="BT181" s="141"/>
      <c r="BU181" s="141"/>
      <c r="BV181" s="141"/>
      <c r="BW181" s="141"/>
      <c r="BX181" s="141"/>
      <c r="BY181" s="141"/>
      <c r="BZ181" s="141"/>
      <c r="CA181" s="141"/>
      <c r="CB181" s="141"/>
      <c r="CC181" s="141"/>
      <c r="CD181" s="141"/>
      <c r="CE181" s="141"/>
      <c r="CF181" s="141"/>
      <c r="CG181" s="141"/>
      <c r="CH181" s="141"/>
      <c r="CI181" s="141"/>
      <c r="CJ181" s="141"/>
      <c r="CK181" s="141"/>
      <c r="CL181" s="141"/>
      <c r="CM181" s="141"/>
      <c r="CN181" s="141"/>
      <c r="CO181" s="141"/>
      <c r="CP181" s="141"/>
      <c r="CQ181" s="141"/>
      <c r="CR181" s="141"/>
      <c r="CS181" s="141"/>
      <c r="CT181" s="141"/>
      <c r="CU181" s="141"/>
      <c r="CV181" s="141"/>
      <c r="CW181" s="141"/>
      <c r="CX181" s="141"/>
      <c r="CY181" s="141"/>
      <c r="CZ181" s="141"/>
      <c r="DA181" s="141"/>
      <c r="DB181" s="141"/>
      <c r="DC181" s="141"/>
      <c r="DD181" s="141"/>
      <c r="DE181" s="141"/>
      <c r="DF181" s="141"/>
      <c r="DG181" s="141"/>
      <c r="DH181" s="141"/>
      <c r="DI181" s="141"/>
      <c r="DJ181" s="141"/>
      <c r="DK181" s="141"/>
      <c r="DL181" s="141"/>
      <c r="DM181" s="141"/>
      <c r="DN181" s="141"/>
      <c r="DO181" s="141"/>
      <c r="DP181" s="141"/>
      <c r="DQ181" s="141"/>
      <c r="DR181" s="141"/>
      <c r="DS181" s="141"/>
      <c r="DT181" s="141"/>
      <c r="DU181" s="141"/>
      <c r="DV181" s="141"/>
      <c r="DW181" s="141"/>
      <c r="DX181" s="141"/>
      <c r="DY181" s="141"/>
      <c r="DZ181" s="141"/>
      <c r="EA181" s="141"/>
      <c r="EB181" s="332"/>
    </row>
    <row r="182" spans="1:132" s="147" customFormat="1" hidden="1" x14ac:dyDescent="0.3">
      <c r="A182" s="332"/>
      <c r="B182" s="332"/>
      <c r="C182" s="332"/>
      <c r="D182" s="332"/>
      <c r="E182" s="332"/>
      <c r="F182" s="353" t="s">
        <v>1193</v>
      </c>
      <c r="G182" s="332">
        <v>1</v>
      </c>
      <c r="H182" s="387"/>
      <c r="I182" s="387">
        <v>0</v>
      </c>
      <c r="J182" s="387"/>
      <c r="K182" s="387"/>
      <c r="L182" s="387"/>
      <c r="M182" s="387"/>
      <c r="N182" s="387"/>
      <c r="O182" s="332" t="s">
        <v>1194</v>
      </c>
      <c r="P182" s="332"/>
      <c r="Q182" s="332"/>
      <c r="R182" s="332"/>
      <c r="S182" s="332"/>
      <c r="T182" s="332"/>
      <c r="U182" s="332"/>
      <c r="V182" s="332"/>
      <c r="W182" s="332"/>
      <c r="X182" s="332"/>
      <c r="Y182" s="332"/>
      <c r="Z182" s="332"/>
      <c r="AA182" s="141"/>
      <c r="AB182" s="141"/>
      <c r="AC182" s="141"/>
      <c r="AD182" s="141"/>
      <c r="AE182" s="141"/>
      <c r="AF182" s="141"/>
      <c r="AG182" s="141"/>
      <c r="AH182" s="141"/>
      <c r="AI182" s="141"/>
      <c r="AJ182" s="141"/>
      <c r="AK182" s="141"/>
      <c r="AL182" s="141"/>
      <c r="AM182" s="141"/>
      <c r="AN182" s="141"/>
      <c r="AO182" s="141"/>
      <c r="AP182" s="141"/>
      <c r="AQ182" s="141"/>
      <c r="AR182" s="141"/>
      <c r="AS182" s="141"/>
      <c r="AT182" s="141"/>
      <c r="AU182" s="141"/>
      <c r="AV182" s="141"/>
      <c r="AW182" s="141"/>
      <c r="AX182" s="141"/>
      <c r="AY182" s="141"/>
      <c r="AZ182" s="141"/>
      <c r="BA182" s="141"/>
      <c r="BB182" s="141"/>
      <c r="BC182" s="141"/>
      <c r="BD182" s="141"/>
      <c r="BE182" s="141"/>
      <c r="BF182" s="141"/>
      <c r="BG182" s="141"/>
      <c r="BH182" s="141"/>
      <c r="BI182" s="141"/>
      <c r="BJ182" s="141"/>
      <c r="BK182" s="141"/>
      <c r="BL182" s="141"/>
      <c r="BM182" s="141"/>
      <c r="BN182" s="141"/>
      <c r="BO182" s="141"/>
      <c r="BP182" s="141"/>
      <c r="BQ182" s="141"/>
      <c r="BR182" s="141"/>
      <c r="BS182" s="141"/>
      <c r="BT182" s="141"/>
      <c r="BU182" s="141"/>
      <c r="BV182" s="141"/>
      <c r="BW182" s="141"/>
      <c r="BX182" s="141"/>
      <c r="BY182" s="141"/>
      <c r="BZ182" s="141"/>
      <c r="CA182" s="141"/>
      <c r="CB182" s="141"/>
      <c r="CC182" s="141"/>
      <c r="CD182" s="141"/>
      <c r="CE182" s="141"/>
      <c r="CF182" s="141"/>
      <c r="CG182" s="141"/>
      <c r="CH182" s="141"/>
      <c r="CI182" s="141"/>
      <c r="CJ182" s="141"/>
      <c r="CK182" s="141"/>
      <c r="CL182" s="141"/>
      <c r="CM182" s="141"/>
      <c r="CN182" s="141"/>
      <c r="CO182" s="141"/>
      <c r="CP182" s="141"/>
      <c r="CQ182" s="141"/>
      <c r="CR182" s="141"/>
      <c r="CS182" s="141"/>
      <c r="CT182" s="141"/>
      <c r="CU182" s="141"/>
      <c r="CV182" s="141"/>
      <c r="CW182" s="141"/>
      <c r="CX182" s="141"/>
      <c r="CY182" s="141"/>
      <c r="CZ182" s="141"/>
      <c r="DA182" s="141"/>
      <c r="DB182" s="141"/>
      <c r="DC182" s="141"/>
      <c r="DD182" s="141"/>
      <c r="DE182" s="141"/>
      <c r="DF182" s="141"/>
      <c r="DG182" s="141"/>
      <c r="DH182" s="141"/>
      <c r="DI182" s="141"/>
      <c r="DJ182" s="141"/>
      <c r="DK182" s="141"/>
      <c r="DL182" s="141"/>
      <c r="DM182" s="141"/>
      <c r="DN182" s="141"/>
      <c r="DO182" s="141"/>
      <c r="DP182" s="141"/>
      <c r="DQ182" s="141"/>
      <c r="DR182" s="141"/>
      <c r="DS182" s="141"/>
      <c r="DT182" s="141"/>
      <c r="DU182" s="141"/>
      <c r="DV182" s="141"/>
      <c r="DW182" s="141"/>
      <c r="DX182" s="141"/>
      <c r="DY182" s="141"/>
      <c r="DZ182" s="141"/>
      <c r="EA182" s="141"/>
      <c r="EB182" s="332"/>
    </row>
    <row r="183" spans="1:132" s="147" customFormat="1" hidden="1" x14ac:dyDescent="0.3">
      <c r="A183" s="332"/>
      <c r="B183" s="332"/>
      <c r="C183" s="332"/>
      <c r="D183" s="332"/>
      <c r="E183" s="332"/>
      <c r="F183" s="353" t="s">
        <v>1195</v>
      </c>
      <c r="G183" s="332">
        <v>2</v>
      </c>
      <c r="H183" s="387"/>
      <c r="I183" s="387">
        <v>0</v>
      </c>
      <c r="J183" s="387"/>
      <c r="K183" s="387"/>
      <c r="L183" s="387"/>
      <c r="M183" s="387"/>
      <c r="N183" s="387"/>
      <c r="O183" s="332" t="s">
        <v>1194</v>
      </c>
      <c r="P183" s="332"/>
      <c r="Q183" s="332"/>
      <c r="R183" s="332"/>
      <c r="S183" s="332"/>
      <c r="T183" s="332"/>
      <c r="U183" s="332"/>
      <c r="V183" s="332"/>
      <c r="W183" s="332"/>
      <c r="X183" s="332"/>
      <c r="Y183" s="332"/>
      <c r="Z183" s="332"/>
      <c r="AA183" s="141"/>
      <c r="AB183" s="141"/>
      <c r="AC183" s="141"/>
      <c r="AD183" s="141"/>
      <c r="AE183" s="141"/>
      <c r="AF183" s="141"/>
      <c r="AG183" s="141"/>
      <c r="AH183" s="141"/>
      <c r="AI183" s="141"/>
      <c r="AJ183" s="141"/>
      <c r="AK183" s="141"/>
      <c r="AL183" s="141"/>
      <c r="AM183" s="141"/>
      <c r="AN183" s="141"/>
      <c r="AO183" s="141"/>
      <c r="AP183" s="141"/>
      <c r="AQ183" s="141"/>
      <c r="AR183" s="141"/>
      <c r="AS183" s="141"/>
      <c r="AT183" s="141"/>
      <c r="AU183" s="141"/>
      <c r="AV183" s="141"/>
      <c r="AW183" s="141"/>
      <c r="AX183" s="141"/>
      <c r="AY183" s="141"/>
      <c r="AZ183" s="141"/>
      <c r="BA183" s="141"/>
      <c r="BB183" s="141"/>
      <c r="BC183" s="141"/>
      <c r="BD183" s="141"/>
      <c r="BE183" s="141"/>
      <c r="BF183" s="141"/>
      <c r="BG183" s="141"/>
      <c r="BH183" s="141"/>
      <c r="BI183" s="141"/>
      <c r="BJ183" s="141"/>
      <c r="BK183" s="141"/>
      <c r="BL183" s="141"/>
      <c r="BM183" s="141"/>
      <c r="BN183" s="141"/>
      <c r="BO183" s="141"/>
      <c r="BP183" s="141"/>
      <c r="BQ183" s="141"/>
      <c r="BR183" s="141"/>
      <c r="BS183" s="141"/>
      <c r="BT183" s="141"/>
      <c r="BU183" s="141"/>
      <c r="BV183" s="141"/>
      <c r="BW183" s="141"/>
      <c r="BX183" s="141"/>
      <c r="BY183" s="141"/>
      <c r="BZ183" s="141"/>
      <c r="CA183" s="141"/>
      <c r="CB183" s="141"/>
      <c r="CC183" s="141"/>
      <c r="CD183" s="141"/>
      <c r="CE183" s="141"/>
      <c r="CF183" s="141"/>
      <c r="CG183" s="141"/>
      <c r="CH183" s="141"/>
      <c r="CI183" s="141"/>
      <c r="CJ183" s="141"/>
      <c r="CK183" s="141"/>
      <c r="CL183" s="141"/>
      <c r="CM183" s="141"/>
      <c r="CN183" s="141"/>
      <c r="CO183" s="141"/>
      <c r="CP183" s="141"/>
      <c r="CQ183" s="141"/>
      <c r="CR183" s="141"/>
      <c r="CS183" s="141"/>
      <c r="CT183" s="141"/>
      <c r="CU183" s="141"/>
      <c r="CV183" s="141"/>
      <c r="CW183" s="141"/>
      <c r="CX183" s="141"/>
      <c r="CY183" s="141"/>
      <c r="CZ183" s="141"/>
      <c r="DA183" s="141"/>
      <c r="DB183" s="141"/>
      <c r="DC183" s="141"/>
      <c r="DD183" s="141"/>
      <c r="DE183" s="141"/>
      <c r="DF183" s="141"/>
      <c r="DG183" s="141"/>
      <c r="DH183" s="141"/>
      <c r="DI183" s="141"/>
      <c r="DJ183" s="141"/>
      <c r="DK183" s="141"/>
      <c r="DL183" s="141"/>
      <c r="DM183" s="141"/>
      <c r="DN183" s="141"/>
      <c r="DO183" s="141"/>
      <c r="DP183" s="141"/>
      <c r="DQ183" s="141"/>
      <c r="DR183" s="141"/>
      <c r="DS183" s="141"/>
      <c r="DT183" s="141"/>
      <c r="DU183" s="141"/>
      <c r="DV183" s="141"/>
      <c r="DW183" s="141"/>
      <c r="DX183" s="141"/>
      <c r="DY183" s="141"/>
      <c r="DZ183" s="141"/>
      <c r="EA183" s="141"/>
      <c r="EB183" s="332"/>
    </row>
    <row r="184" spans="1:132" s="147" customFormat="1" hidden="1" x14ac:dyDescent="0.3">
      <c r="A184" s="332"/>
      <c r="B184" s="332"/>
      <c r="C184" s="332"/>
      <c r="D184" s="332"/>
      <c r="E184" s="332"/>
      <c r="F184" s="353" t="s">
        <v>1196</v>
      </c>
      <c r="G184" s="332">
        <v>3</v>
      </c>
      <c r="H184" s="387"/>
      <c r="I184" s="387">
        <v>0</v>
      </c>
      <c r="J184" s="387"/>
      <c r="K184" s="387"/>
      <c r="L184" s="387"/>
      <c r="M184" s="387"/>
      <c r="N184" s="387"/>
      <c r="O184" s="332" t="s">
        <v>1194</v>
      </c>
      <c r="P184" s="332"/>
      <c r="Q184" s="332"/>
      <c r="R184" s="332"/>
      <c r="S184" s="332"/>
      <c r="T184" s="332"/>
      <c r="U184" s="332"/>
      <c r="V184" s="332"/>
      <c r="W184" s="332"/>
      <c r="X184" s="332"/>
      <c r="Y184" s="332"/>
      <c r="Z184" s="332"/>
      <c r="AA184" s="141"/>
      <c r="AB184" s="141"/>
      <c r="AC184" s="141"/>
      <c r="AD184" s="141"/>
      <c r="AE184" s="141"/>
      <c r="AF184" s="141"/>
      <c r="AG184" s="141"/>
      <c r="AH184" s="141"/>
      <c r="AI184" s="141"/>
      <c r="AJ184" s="141"/>
      <c r="AK184" s="141"/>
      <c r="AL184" s="141"/>
      <c r="AM184" s="141"/>
      <c r="AN184" s="141"/>
      <c r="AO184" s="141"/>
      <c r="AP184" s="141"/>
      <c r="AQ184" s="141"/>
      <c r="AR184" s="141"/>
      <c r="AS184" s="141"/>
      <c r="AT184" s="141"/>
      <c r="AU184" s="141"/>
      <c r="AV184" s="141"/>
      <c r="AW184" s="141"/>
      <c r="AX184" s="141"/>
      <c r="AY184" s="141"/>
      <c r="AZ184" s="141"/>
      <c r="BA184" s="141"/>
      <c r="BB184" s="141"/>
      <c r="BC184" s="141"/>
      <c r="BD184" s="141"/>
      <c r="BE184" s="141"/>
      <c r="BF184" s="141"/>
      <c r="BG184" s="141"/>
      <c r="BH184" s="141"/>
      <c r="BI184" s="141"/>
      <c r="BJ184" s="141"/>
      <c r="BK184" s="141"/>
      <c r="BL184" s="141"/>
      <c r="BM184" s="141"/>
      <c r="BN184" s="141"/>
      <c r="BO184" s="141"/>
      <c r="BP184" s="141"/>
      <c r="BQ184" s="141"/>
      <c r="BR184" s="141"/>
      <c r="BS184" s="141"/>
      <c r="BT184" s="141"/>
      <c r="BU184" s="141"/>
      <c r="BV184" s="141"/>
      <c r="BW184" s="141"/>
      <c r="BX184" s="141"/>
      <c r="BY184" s="141"/>
      <c r="BZ184" s="141"/>
      <c r="CA184" s="141"/>
      <c r="CB184" s="141"/>
      <c r="CC184" s="141"/>
      <c r="CD184" s="141"/>
      <c r="CE184" s="141"/>
      <c r="CF184" s="141"/>
      <c r="CG184" s="141"/>
      <c r="CH184" s="141"/>
      <c r="CI184" s="141"/>
      <c r="CJ184" s="141"/>
      <c r="CK184" s="141"/>
      <c r="CL184" s="141"/>
      <c r="CM184" s="141"/>
      <c r="CN184" s="141"/>
      <c r="CO184" s="141"/>
      <c r="CP184" s="141"/>
      <c r="CQ184" s="141"/>
      <c r="CR184" s="141"/>
      <c r="CS184" s="141"/>
      <c r="CT184" s="141"/>
      <c r="CU184" s="141"/>
      <c r="CV184" s="141"/>
      <c r="CW184" s="141"/>
      <c r="CX184" s="141"/>
      <c r="CY184" s="141"/>
      <c r="CZ184" s="141"/>
      <c r="DA184" s="141"/>
      <c r="DB184" s="141"/>
      <c r="DC184" s="141"/>
      <c r="DD184" s="141"/>
      <c r="DE184" s="141"/>
      <c r="DF184" s="141"/>
      <c r="DG184" s="141"/>
      <c r="DH184" s="141"/>
      <c r="DI184" s="141"/>
      <c r="DJ184" s="141"/>
      <c r="DK184" s="141"/>
      <c r="DL184" s="141"/>
      <c r="DM184" s="141"/>
      <c r="DN184" s="141"/>
      <c r="DO184" s="141"/>
      <c r="DP184" s="141"/>
      <c r="DQ184" s="141"/>
      <c r="DR184" s="141"/>
      <c r="DS184" s="141"/>
      <c r="DT184" s="141"/>
      <c r="DU184" s="141"/>
      <c r="DV184" s="141"/>
      <c r="DW184" s="141"/>
      <c r="DX184" s="141"/>
      <c r="DY184" s="141"/>
      <c r="DZ184" s="141"/>
      <c r="EA184" s="141"/>
      <c r="EB184" s="332"/>
    </row>
    <row r="185" spans="1:132" s="147" customFormat="1" hidden="1" x14ac:dyDescent="0.3">
      <c r="A185" s="332"/>
      <c r="B185" s="332"/>
      <c r="C185" s="332"/>
      <c r="D185" s="332"/>
      <c r="E185" s="332"/>
      <c r="F185" s="353" t="s">
        <v>1197</v>
      </c>
      <c r="G185" s="332">
        <v>4</v>
      </c>
      <c r="H185" s="387">
        <v>0</v>
      </c>
      <c r="I185" s="387"/>
      <c r="J185" s="387"/>
      <c r="K185" s="387"/>
      <c r="L185" s="387"/>
      <c r="M185" s="387"/>
      <c r="N185" s="387"/>
      <c r="O185" s="332" t="s">
        <v>1198</v>
      </c>
      <c r="P185" s="332"/>
      <c r="Q185" s="332"/>
      <c r="R185" s="332"/>
      <c r="S185" s="332"/>
      <c r="T185" s="332"/>
      <c r="U185" s="332"/>
      <c r="V185" s="332"/>
      <c r="W185" s="332"/>
      <c r="X185" s="332"/>
      <c r="Y185" s="332"/>
      <c r="Z185" s="332"/>
      <c r="AA185" s="141"/>
      <c r="AB185" s="141"/>
      <c r="AC185" s="141"/>
      <c r="AD185" s="141"/>
      <c r="AE185" s="141"/>
      <c r="AF185" s="141"/>
      <c r="AG185" s="141"/>
      <c r="AH185" s="141"/>
      <c r="AI185" s="141"/>
      <c r="AJ185" s="141"/>
      <c r="AK185" s="141"/>
      <c r="AL185" s="141"/>
      <c r="AM185" s="141"/>
      <c r="AN185" s="141"/>
      <c r="AO185" s="141"/>
      <c r="AP185" s="141"/>
      <c r="AQ185" s="141"/>
      <c r="AR185" s="141"/>
      <c r="AS185" s="141"/>
      <c r="AT185" s="141"/>
      <c r="AU185" s="141"/>
      <c r="AV185" s="141"/>
      <c r="AW185" s="141"/>
      <c r="AX185" s="141"/>
      <c r="AY185" s="141"/>
      <c r="AZ185" s="141"/>
      <c r="BA185" s="141"/>
      <c r="BB185" s="141"/>
      <c r="BC185" s="141"/>
      <c r="BD185" s="141"/>
      <c r="BE185" s="141"/>
      <c r="BF185" s="141"/>
      <c r="BG185" s="141"/>
      <c r="BH185" s="141"/>
      <c r="BI185" s="141"/>
      <c r="BJ185" s="141"/>
      <c r="BK185" s="141"/>
      <c r="BL185" s="141"/>
      <c r="BM185" s="141"/>
      <c r="BN185" s="141"/>
      <c r="BO185" s="141"/>
      <c r="BP185" s="141"/>
      <c r="BQ185" s="141"/>
      <c r="BR185" s="141"/>
      <c r="BS185" s="141"/>
      <c r="BT185" s="141"/>
      <c r="BU185" s="141"/>
      <c r="BV185" s="141"/>
      <c r="BW185" s="141"/>
      <c r="BX185" s="141"/>
      <c r="BY185" s="141"/>
      <c r="BZ185" s="141"/>
      <c r="CA185" s="141"/>
      <c r="CB185" s="141"/>
      <c r="CC185" s="141"/>
      <c r="CD185" s="141"/>
      <c r="CE185" s="141"/>
      <c r="CF185" s="141"/>
      <c r="CG185" s="141"/>
      <c r="CH185" s="141"/>
      <c r="CI185" s="141"/>
      <c r="CJ185" s="141"/>
      <c r="CK185" s="141"/>
      <c r="CL185" s="141"/>
      <c r="CM185" s="141"/>
      <c r="CN185" s="141"/>
      <c r="CO185" s="141"/>
      <c r="CP185" s="141"/>
      <c r="CQ185" s="141"/>
      <c r="CR185" s="141"/>
      <c r="CS185" s="141"/>
      <c r="CT185" s="141"/>
      <c r="CU185" s="141"/>
      <c r="CV185" s="141"/>
      <c r="CW185" s="141"/>
      <c r="CX185" s="141"/>
      <c r="CY185" s="141"/>
      <c r="CZ185" s="141"/>
      <c r="DA185" s="141"/>
      <c r="DB185" s="141"/>
      <c r="DC185" s="141"/>
      <c r="DD185" s="141"/>
      <c r="DE185" s="141"/>
      <c r="DF185" s="141"/>
      <c r="DG185" s="141"/>
      <c r="DH185" s="141"/>
      <c r="DI185" s="141"/>
      <c r="DJ185" s="141"/>
      <c r="DK185" s="141"/>
      <c r="DL185" s="141"/>
      <c r="DM185" s="141"/>
      <c r="DN185" s="141"/>
      <c r="DO185" s="141"/>
      <c r="DP185" s="141"/>
      <c r="DQ185" s="141"/>
      <c r="DR185" s="141"/>
      <c r="DS185" s="141"/>
      <c r="DT185" s="141"/>
      <c r="DU185" s="141"/>
      <c r="DV185" s="141"/>
      <c r="DW185" s="141"/>
      <c r="DX185" s="141"/>
      <c r="DY185" s="141"/>
      <c r="DZ185" s="141"/>
      <c r="EA185" s="141"/>
      <c r="EB185" s="332"/>
    </row>
    <row r="186" spans="1:132" s="147" customFormat="1" hidden="1" x14ac:dyDescent="0.3">
      <c r="A186" s="332"/>
      <c r="B186" s="332"/>
      <c r="C186" s="332"/>
      <c r="D186" s="332"/>
      <c r="E186" s="332"/>
      <c r="F186" s="353" t="s">
        <v>1199</v>
      </c>
      <c r="G186" s="332">
        <v>4</v>
      </c>
      <c r="H186" s="387">
        <v>0</v>
      </c>
      <c r="I186" s="387"/>
      <c r="J186" s="387"/>
      <c r="K186" s="387"/>
      <c r="L186" s="387"/>
      <c r="M186" s="387"/>
      <c r="N186" s="387"/>
      <c r="O186" s="332" t="s">
        <v>1200</v>
      </c>
      <c r="P186" s="332"/>
      <c r="Q186" s="332"/>
      <c r="R186" s="332"/>
      <c r="S186" s="332"/>
      <c r="T186" s="332"/>
      <c r="U186" s="332"/>
      <c r="V186" s="332"/>
      <c r="W186" s="332"/>
      <c r="X186" s="332"/>
      <c r="Y186" s="332"/>
      <c r="Z186" s="332"/>
      <c r="AA186" s="141"/>
      <c r="AB186" s="141"/>
      <c r="AC186" s="141"/>
      <c r="AD186" s="141"/>
      <c r="AE186" s="141"/>
      <c r="AF186" s="141"/>
      <c r="AG186" s="141"/>
      <c r="AH186" s="141"/>
      <c r="AI186" s="141"/>
      <c r="AJ186" s="141"/>
      <c r="AK186" s="141"/>
      <c r="AL186" s="141"/>
      <c r="AM186" s="141"/>
      <c r="AN186" s="141"/>
      <c r="AO186" s="141"/>
      <c r="AP186" s="141"/>
      <c r="AQ186" s="141"/>
      <c r="AR186" s="141"/>
      <c r="AS186" s="141"/>
      <c r="AT186" s="141"/>
      <c r="AU186" s="141"/>
      <c r="AV186" s="141"/>
      <c r="AW186" s="141"/>
      <c r="AX186" s="141"/>
      <c r="AY186" s="141"/>
      <c r="AZ186" s="141"/>
      <c r="BA186" s="141"/>
      <c r="BB186" s="141"/>
      <c r="BC186" s="141"/>
      <c r="BD186" s="141"/>
      <c r="BE186" s="141"/>
      <c r="BF186" s="141"/>
      <c r="BG186" s="141"/>
      <c r="BH186" s="141"/>
      <c r="BI186" s="141"/>
      <c r="BJ186" s="141"/>
      <c r="BK186" s="141"/>
      <c r="BL186" s="141"/>
      <c r="BM186" s="141"/>
      <c r="BN186" s="141"/>
      <c r="BO186" s="141"/>
      <c r="BP186" s="141"/>
      <c r="BQ186" s="141"/>
      <c r="BR186" s="141"/>
      <c r="BS186" s="141"/>
      <c r="BT186" s="141"/>
      <c r="BU186" s="141"/>
      <c r="BV186" s="141"/>
      <c r="BW186" s="141"/>
      <c r="BX186" s="141"/>
      <c r="BY186" s="141"/>
      <c r="BZ186" s="141"/>
      <c r="CA186" s="141"/>
      <c r="CB186" s="141"/>
      <c r="CC186" s="141"/>
      <c r="CD186" s="141"/>
      <c r="CE186" s="141"/>
      <c r="CF186" s="141"/>
      <c r="CG186" s="141"/>
      <c r="CH186" s="141"/>
      <c r="CI186" s="141"/>
      <c r="CJ186" s="141"/>
      <c r="CK186" s="141"/>
      <c r="CL186" s="141"/>
      <c r="CM186" s="141"/>
      <c r="CN186" s="141"/>
      <c r="CO186" s="141"/>
      <c r="CP186" s="141"/>
      <c r="CQ186" s="141"/>
      <c r="CR186" s="141"/>
      <c r="CS186" s="141"/>
      <c r="CT186" s="141"/>
      <c r="CU186" s="141"/>
      <c r="CV186" s="141"/>
      <c r="CW186" s="141"/>
      <c r="CX186" s="141"/>
      <c r="CY186" s="141"/>
      <c r="CZ186" s="141"/>
      <c r="DA186" s="141"/>
      <c r="DB186" s="141"/>
      <c r="DC186" s="141"/>
      <c r="DD186" s="141"/>
      <c r="DE186" s="141"/>
      <c r="DF186" s="141"/>
      <c r="DG186" s="141"/>
      <c r="DH186" s="141"/>
      <c r="DI186" s="141"/>
      <c r="DJ186" s="141"/>
      <c r="DK186" s="141"/>
      <c r="DL186" s="141"/>
      <c r="DM186" s="141"/>
      <c r="DN186" s="141"/>
      <c r="DO186" s="141"/>
      <c r="DP186" s="141"/>
      <c r="DQ186" s="141"/>
      <c r="DR186" s="141"/>
      <c r="DS186" s="141"/>
      <c r="DT186" s="141"/>
      <c r="DU186" s="141"/>
      <c r="DV186" s="141"/>
      <c r="DW186" s="141"/>
      <c r="DX186" s="141"/>
      <c r="DY186" s="141"/>
      <c r="DZ186" s="141"/>
      <c r="EA186" s="141"/>
      <c r="EB186" s="332"/>
    </row>
    <row r="187" spans="1:132" s="147" customFormat="1" hidden="1" x14ac:dyDescent="0.3">
      <c r="A187" s="332"/>
      <c r="B187" s="332"/>
      <c r="C187" s="332"/>
      <c r="D187" s="332"/>
      <c r="E187" s="332"/>
      <c r="F187" s="353" t="s">
        <v>1201</v>
      </c>
      <c r="G187" s="332">
        <v>5</v>
      </c>
      <c r="H187" s="387"/>
      <c r="I187" s="387">
        <v>0</v>
      </c>
      <c r="J187" s="387"/>
      <c r="K187" s="387"/>
      <c r="L187" s="387"/>
      <c r="M187" s="387"/>
      <c r="N187" s="387"/>
      <c r="O187" s="332" t="s">
        <v>1198</v>
      </c>
      <c r="P187" s="332"/>
      <c r="Q187" s="332"/>
      <c r="R187" s="332"/>
      <c r="S187" s="332"/>
      <c r="T187" s="332"/>
      <c r="U187" s="332"/>
      <c r="V187" s="332"/>
      <c r="W187" s="332"/>
      <c r="X187" s="332"/>
      <c r="Y187" s="332"/>
      <c r="Z187" s="332"/>
      <c r="AA187" s="141"/>
      <c r="AB187" s="141"/>
      <c r="AC187" s="141"/>
      <c r="AD187" s="141"/>
      <c r="AE187" s="141"/>
      <c r="AF187" s="141"/>
      <c r="AG187" s="141"/>
      <c r="AH187" s="141"/>
      <c r="AI187" s="141"/>
      <c r="AJ187" s="141"/>
      <c r="AK187" s="141"/>
      <c r="AL187" s="141"/>
      <c r="AM187" s="141"/>
      <c r="AN187" s="141"/>
      <c r="AO187" s="141"/>
      <c r="AP187" s="141"/>
      <c r="AQ187" s="141"/>
      <c r="AR187" s="141"/>
      <c r="AS187" s="141"/>
      <c r="AT187" s="141"/>
      <c r="AU187" s="141"/>
      <c r="AV187" s="141"/>
      <c r="AW187" s="141"/>
      <c r="AX187" s="141"/>
      <c r="AY187" s="141"/>
      <c r="AZ187" s="141"/>
      <c r="BA187" s="141"/>
      <c r="BB187" s="141"/>
      <c r="BC187" s="141"/>
      <c r="BD187" s="141"/>
      <c r="BE187" s="141"/>
      <c r="BF187" s="141"/>
      <c r="BG187" s="141"/>
      <c r="BH187" s="141"/>
      <c r="BI187" s="141"/>
      <c r="BJ187" s="141"/>
      <c r="BK187" s="141"/>
      <c r="BL187" s="141"/>
      <c r="BM187" s="141"/>
      <c r="BN187" s="141"/>
      <c r="BO187" s="141"/>
      <c r="BP187" s="141"/>
      <c r="BQ187" s="141"/>
      <c r="BR187" s="141"/>
      <c r="BS187" s="141"/>
      <c r="BT187" s="141"/>
      <c r="BU187" s="141"/>
      <c r="BV187" s="141"/>
      <c r="BW187" s="141"/>
      <c r="BX187" s="141"/>
      <c r="BY187" s="141"/>
      <c r="BZ187" s="141"/>
      <c r="CA187" s="141"/>
      <c r="CB187" s="141"/>
      <c r="CC187" s="141"/>
      <c r="CD187" s="141"/>
      <c r="CE187" s="141"/>
      <c r="CF187" s="141"/>
      <c r="CG187" s="141"/>
      <c r="CH187" s="141"/>
      <c r="CI187" s="141"/>
      <c r="CJ187" s="141"/>
      <c r="CK187" s="141"/>
      <c r="CL187" s="141"/>
      <c r="CM187" s="141"/>
      <c r="CN187" s="141"/>
      <c r="CO187" s="141"/>
      <c r="CP187" s="141"/>
      <c r="CQ187" s="141"/>
      <c r="CR187" s="141"/>
      <c r="CS187" s="141"/>
      <c r="CT187" s="141"/>
      <c r="CU187" s="141"/>
      <c r="CV187" s="141"/>
      <c r="CW187" s="141"/>
      <c r="CX187" s="141"/>
      <c r="CY187" s="141"/>
      <c r="CZ187" s="141"/>
      <c r="DA187" s="141"/>
      <c r="DB187" s="141"/>
      <c r="DC187" s="141"/>
      <c r="DD187" s="141"/>
      <c r="DE187" s="141"/>
      <c r="DF187" s="141"/>
      <c r="DG187" s="141"/>
      <c r="DH187" s="141"/>
      <c r="DI187" s="141"/>
      <c r="DJ187" s="141"/>
      <c r="DK187" s="141"/>
      <c r="DL187" s="141"/>
      <c r="DM187" s="141"/>
      <c r="DN187" s="141"/>
      <c r="DO187" s="141"/>
      <c r="DP187" s="141"/>
      <c r="DQ187" s="141"/>
      <c r="DR187" s="141"/>
      <c r="DS187" s="141"/>
      <c r="DT187" s="141"/>
      <c r="DU187" s="141"/>
      <c r="DV187" s="141"/>
      <c r="DW187" s="141"/>
      <c r="DX187" s="141"/>
      <c r="DY187" s="141"/>
      <c r="DZ187" s="141"/>
      <c r="EA187" s="141"/>
      <c r="EB187" s="332"/>
    </row>
    <row r="188" spans="1:132" s="147" customFormat="1" hidden="1" x14ac:dyDescent="0.3">
      <c r="A188" s="332"/>
      <c r="B188" s="332"/>
      <c r="C188" s="332"/>
      <c r="D188" s="332"/>
      <c r="E188" s="332"/>
      <c r="F188" s="353" t="s">
        <v>1202</v>
      </c>
      <c r="G188" s="332">
        <v>5</v>
      </c>
      <c r="H188" s="387"/>
      <c r="I188" s="387">
        <v>0</v>
      </c>
      <c r="J188" s="387"/>
      <c r="K188" s="387"/>
      <c r="L188" s="387"/>
      <c r="M188" s="387"/>
      <c r="N188" s="387"/>
      <c r="O188" s="332" t="s">
        <v>1203</v>
      </c>
      <c r="P188" s="332"/>
      <c r="Q188" s="332"/>
      <c r="R188" s="332"/>
      <c r="S188" s="332"/>
      <c r="T188" s="332"/>
      <c r="U188" s="332"/>
      <c r="V188" s="332"/>
      <c r="W188" s="332"/>
      <c r="X188" s="332"/>
      <c r="Y188" s="332"/>
      <c r="Z188" s="332"/>
      <c r="AA188" s="141"/>
      <c r="AB188" s="141"/>
      <c r="AC188" s="141"/>
      <c r="AD188" s="141"/>
      <c r="AE188" s="141"/>
      <c r="AF188" s="141"/>
      <c r="AG188" s="141"/>
      <c r="AH188" s="141"/>
      <c r="AI188" s="141"/>
      <c r="AJ188" s="141"/>
      <c r="AK188" s="141"/>
      <c r="AL188" s="141"/>
      <c r="AM188" s="141"/>
      <c r="AN188" s="141"/>
      <c r="AO188" s="141"/>
      <c r="AP188" s="141"/>
      <c r="AQ188" s="141"/>
      <c r="AR188" s="141"/>
      <c r="AS188" s="141"/>
      <c r="AT188" s="141"/>
      <c r="AU188" s="141"/>
      <c r="AV188" s="141"/>
      <c r="AW188" s="141"/>
      <c r="AX188" s="141"/>
      <c r="AY188" s="141"/>
      <c r="AZ188" s="141"/>
      <c r="BA188" s="141"/>
      <c r="BB188" s="141"/>
      <c r="BC188" s="141"/>
      <c r="BD188" s="141"/>
      <c r="BE188" s="141"/>
      <c r="BF188" s="141"/>
      <c r="BG188" s="141"/>
      <c r="BH188" s="141"/>
      <c r="BI188" s="141"/>
      <c r="BJ188" s="141"/>
      <c r="BK188" s="141"/>
      <c r="BL188" s="141"/>
      <c r="BM188" s="141"/>
      <c r="BN188" s="141"/>
      <c r="BO188" s="141"/>
      <c r="BP188" s="141"/>
      <c r="BQ188" s="141"/>
      <c r="BR188" s="141"/>
      <c r="BS188" s="141"/>
      <c r="BT188" s="141"/>
      <c r="BU188" s="141"/>
      <c r="BV188" s="141"/>
      <c r="BW188" s="141"/>
      <c r="BX188" s="141"/>
      <c r="BY188" s="141"/>
      <c r="BZ188" s="141"/>
      <c r="CA188" s="141"/>
      <c r="CB188" s="141"/>
      <c r="CC188" s="141"/>
      <c r="CD188" s="141"/>
      <c r="CE188" s="141"/>
      <c r="CF188" s="141"/>
      <c r="CG188" s="141"/>
      <c r="CH188" s="141"/>
      <c r="CI188" s="141"/>
      <c r="CJ188" s="141"/>
      <c r="CK188" s="141"/>
      <c r="CL188" s="141"/>
      <c r="CM188" s="141"/>
      <c r="CN188" s="141"/>
      <c r="CO188" s="141"/>
      <c r="CP188" s="141"/>
      <c r="CQ188" s="141"/>
      <c r="CR188" s="141"/>
      <c r="CS188" s="141"/>
      <c r="CT188" s="141"/>
      <c r="CU188" s="141"/>
      <c r="CV188" s="141"/>
      <c r="CW188" s="141"/>
      <c r="CX188" s="141"/>
      <c r="CY188" s="141"/>
      <c r="CZ188" s="141"/>
      <c r="DA188" s="141"/>
      <c r="DB188" s="141"/>
      <c r="DC188" s="141"/>
      <c r="DD188" s="141"/>
      <c r="DE188" s="141"/>
      <c r="DF188" s="141"/>
      <c r="DG188" s="141"/>
      <c r="DH188" s="141"/>
      <c r="DI188" s="141"/>
      <c r="DJ188" s="141"/>
      <c r="DK188" s="141"/>
      <c r="DL188" s="141"/>
      <c r="DM188" s="141"/>
      <c r="DN188" s="141"/>
      <c r="DO188" s="141"/>
      <c r="DP188" s="141"/>
      <c r="DQ188" s="141"/>
      <c r="DR188" s="141"/>
      <c r="DS188" s="141"/>
      <c r="DT188" s="141"/>
      <c r="DU188" s="141"/>
      <c r="DV188" s="141"/>
      <c r="DW188" s="141"/>
      <c r="DX188" s="141"/>
      <c r="DY188" s="141"/>
      <c r="DZ188" s="141"/>
      <c r="EA188" s="141"/>
      <c r="EB188" s="332"/>
    </row>
    <row r="189" spans="1:132" s="147" customFormat="1" hidden="1" x14ac:dyDescent="0.3">
      <c r="A189" s="332"/>
      <c r="B189" s="332"/>
      <c r="C189" s="332"/>
      <c r="D189" s="332"/>
      <c r="E189" s="332"/>
      <c r="F189" s="353" t="s">
        <v>1204</v>
      </c>
      <c r="G189" s="332">
        <v>6</v>
      </c>
      <c r="H189" s="387">
        <v>0</v>
      </c>
      <c r="I189" s="387"/>
      <c r="J189" s="387"/>
      <c r="K189" s="387"/>
      <c r="L189" s="387"/>
      <c r="M189" s="387"/>
      <c r="N189" s="387"/>
      <c r="O189" s="332" t="s">
        <v>1198</v>
      </c>
      <c r="P189" s="332"/>
      <c r="Q189" s="332"/>
      <c r="R189" s="332"/>
      <c r="S189" s="332"/>
      <c r="T189" s="332"/>
      <c r="U189" s="332"/>
      <c r="V189" s="332"/>
      <c r="W189" s="332"/>
      <c r="X189" s="332"/>
      <c r="Y189" s="332"/>
      <c r="Z189" s="332"/>
      <c r="AA189" s="141"/>
      <c r="AB189" s="141"/>
      <c r="AC189" s="141"/>
      <c r="AD189" s="141"/>
      <c r="AE189" s="141"/>
      <c r="AF189" s="141"/>
      <c r="AG189" s="141"/>
      <c r="AH189" s="141"/>
      <c r="AI189" s="141"/>
      <c r="AJ189" s="141"/>
      <c r="AK189" s="141"/>
      <c r="AL189" s="141"/>
      <c r="AM189" s="141"/>
      <c r="AN189" s="141"/>
      <c r="AO189" s="141"/>
      <c r="AP189" s="141"/>
      <c r="AQ189" s="141"/>
      <c r="AR189" s="141"/>
      <c r="AS189" s="141"/>
      <c r="AT189" s="141"/>
      <c r="AU189" s="141"/>
      <c r="AV189" s="141"/>
      <c r="AW189" s="141"/>
      <c r="AX189" s="141"/>
      <c r="AY189" s="141"/>
      <c r="AZ189" s="141"/>
      <c r="BA189" s="141"/>
      <c r="BB189" s="141"/>
      <c r="BC189" s="141"/>
      <c r="BD189" s="141"/>
      <c r="BE189" s="141"/>
      <c r="BF189" s="141"/>
      <c r="BG189" s="141"/>
      <c r="BH189" s="141"/>
      <c r="BI189" s="141"/>
      <c r="BJ189" s="141"/>
      <c r="BK189" s="141"/>
      <c r="BL189" s="141"/>
      <c r="BM189" s="141"/>
      <c r="BN189" s="141"/>
      <c r="BO189" s="141"/>
      <c r="BP189" s="141"/>
      <c r="BQ189" s="141"/>
      <c r="BR189" s="141"/>
      <c r="BS189" s="141"/>
      <c r="BT189" s="141"/>
      <c r="BU189" s="141"/>
      <c r="BV189" s="141"/>
      <c r="BW189" s="141"/>
      <c r="BX189" s="141"/>
      <c r="BY189" s="141"/>
      <c r="BZ189" s="141"/>
      <c r="CA189" s="141"/>
      <c r="CB189" s="141"/>
      <c r="CC189" s="141"/>
      <c r="CD189" s="141"/>
      <c r="CE189" s="141"/>
      <c r="CF189" s="141"/>
      <c r="CG189" s="141"/>
      <c r="CH189" s="141"/>
      <c r="CI189" s="141"/>
      <c r="CJ189" s="141"/>
      <c r="CK189" s="141"/>
      <c r="CL189" s="141"/>
      <c r="CM189" s="141"/>
      <c r="CN189" s="141"/>
      <c r="CO189" s="141"/>
      <c r="CP189" s="141"/>
      <c r="CQ189" s="141"/>
      <c r="CR189" s="141"/>
      <c r="CS189" s="141"/>
      <c r="CT189" s="141"/>
      <c r="CU189" s="141"/>
      <c r="CV189" s="141"/>
      <c r="CW189" s="141"/>
      <c r="CX189" s="141"/>
      <c r="CY189" s="141"/>
      <c r="CZ189" s="141"/>
      <c r="DA189" s="141"/>
      <c r="DB189" s="141"/>
      <c r="DC189" s="141"/>
      <c r="DD189" s="141"/>
      <c r="DE189" s="141"/>
      <c r="DF189" s="141"/>
      <c r="DG189" s="141"/>
      <c r="DH189" s="141"/>
      <c r="DI189" s="141"/>
      <c r="DJ189" s="141"/>
      <c r="DK189" s="141"/>
      <c r="DL189" s="141"/>
      <c r="DM189" s="141"/>
      <c r="DN189" s="141"/>
      <c r="DO189" s="141"/>
      <c r="DP189" s="141"/>
      <c r="DQ189" s="141"/>
      <c r="DR189" s="141"/>
      <c r="DS189" s="141"/>
      <c r="DT189" s="141"/>
      <c r="DU189" s="141"/>
      <c r="DV189" s="141"/>
      <c r="DW189" s="141"/>
      <c r="DX189" s="141"/>
      <c r="DY189" s="141"/>
      <c r="DZ189" s="141"/>
      <c r="EA189" s="141"/>
      <c r="EB189" s="332"/>
    </row>
    <row r="190" spans="1:132" s="147" customFormat="1" hidden="1" x14ac:dyDescent="0.3">
      <c r="A190" s="332"/>
      <c r="B190" s="332"/>
      <c r="C190" s="332"/>
      <c r="D190" s="332"/>
      <c r="E190" s="332"/>
      <c r="F190" s="353" t="s">
        <v>1205</v>
      </c>
      <c r="G190" s="332">
        <v>6</v>
      </c>
      <c r="H190" s="387">
        <v>0</v>
      </c>
      <c r="I190" s="387"/>
      <c r="J190" s="387"/>
      <c r="K190" s="387"/>
      <c r="L190" s="387"/>
      <c r="M190" s="387"/>
      <c r="N190" s="387"/>
      <c r="O190" s="332" t="s">
        <v>1200</v>
      </c>
      <c r="P190" s="332"/>
      <c r="Q190" s="332"/>
      <c r="R190" s="332"/>
      <c r="S190" s="332"/>
      <c r="T190" s="332"/>
      <c r="U190" s="332"/>
      <c r="V190" s="332"/>
      <c r="W190" s="332"/>
      <c r="X190" s="332"/>
      <c r="Y190" s="332"/>
      <c r="Z190" s="332"/>
      <c r="AA190" s="141"/>
      <c r="AB190" s="141"/>
      <c r="AC190" s="141"/>
      <c r="AD190" s="141"/>
      <c r="AE190" s="141"/>
      <c r="AF190" s="141"/>
      <c r="AG190" s="141"/>
      <c r="AH190" s="141"/>
      <c r="AI190" s="141"/>
      <c r="AJ190" s="141"/>
      <c r="AK190" s="141"/>
      <c r="AL190" s="141"/>
      <c r="AM190" s="141"/>
      <c r="AN190" s="141"/>
      <c r="AO190" s="141"/>
      <c r="AP190" s="141"/>
      <c r="AQ190" s="141"/>
      <c r="AR190" s="141"/>
      <c r="AS190" s="141"/>
      <c r="AT190" s="141"/>
      <c r="AU190" s="141"/>
      <c r="AV190" s="141"/>
      <c r="AW190" s="141"/>
      <c r="AX190" s="141"/>
      <c r="AY190" s="141"/>
      <c r="AZ190" s="141"/>
      <c r="BA190" s="141"/>
      <c r="BB190" s="141"/>
      <c r="BC190" s="141"/>
      <c r="BD190" s="141"/>
      <c r="BE190" s="141"/>
      <c r="BF190" s="141"/>
      <c r="BG190" s="141"/>
      <c r="BH190" s="141"/>
      <c r="BI190" s="141"/>
      <c r="BJ190" s="141"/>
      <c r="BK190" s="141"/>
      <c r="BL190" s="141"/>
      <c r="BM190" s="141"/>
      <c r="BN190" s="141"/>
      <c r="BO190" s="141"/>
      <c r="BP190" s="141"/>
      <c r="BQ190" s="141"/>
      <c r="BR190" s="141"/>
      <c r="BS190" s="141"/>
      <c r="BT190" s="141"/>
      <c r="BU190" s="141"/>
      <c r="BV190" s="141"/>
      <c r="BW190" s="141"/>
      <c r="BX190" s="141"/>
      <c r="BY190" s="141"/>
      <c r="BZ190" s="141"/>
      <c r="CA190" s="141"/>
      <c r="CB190" s="141"/>
      <c r="CC190" s="141"/>
      <c r="CD190" s="141"/>
      <c r="CE190" s="141"/>
      <c r="CF190" s="141"/>
      <c r="CG190" s="141"/>
      <c r="CH190" s="141"/>
      <c r="CI190" s="141"/>
      <c r="CJ190" s="141"/>
      <c r="CK190" s="141"/>
      <c r="CL190" s="141"/>
      <c r="CM190" s="141"/>
      <c r="CN190" s="141"/>
      <c r="CO190" s="141"/>
      <c r="CP190" s="141"/>
      <c r="CQ190" s="141"/>
      <c r="CR190" s="141"/>
      <c r="CS190" s="141"/>
      <c r="CT190" s="141"/>
      <c r="CU190" s="141"/>
      <c r="CV190" s="141"/>
      <c r="CW190" s="141"/>
      <c r="CX190" s="141"/>
      <c r="CY190" s="141"/>
      <c r="CZ190" s="141"/>
      <c r="DA190" s="141"/>
      <c r="DB190" s="141"/>
      <c r="DC190" s="141"/>
      <c r="DD190" s="141"/>
      <c r="DE190" s="141"/>
      <c r="DF190" s="141"/>
      <c r="DG190" s="141"/>
      <c r="DH190" s="141"/>
      <c r="DI190" s="141"/>
      <c r="DJ190" s="141"/>
      <c r="DK190" s="141"/>
      <c r="DL190" s="141"/>
      <c r="DM190" s="141"/>
      <c r="DN190" s="141"/>
      <c r="DO190" s="141"/>
      <c r="DP190" s="141"/>
      <c r="DQ190" s="141"/>
      <c r="DR190" s="141"/>
      <c r="DS190" s="141"/>
      <c r="DT190" s="141"/>
      <c r="DU190" s="141"/>
      <c r="DV190" s="141"/>
      <c r="DW190" s="141"/>
      <c r="DX190" s="141"/>
      <c r="DY190" s="141"/>
      <c r="DZ190" s="141"/>
      <c r="EA190" s="141"/>
      <c r="EB190" s="332"/>
    </row>
    <row r="191" spans="1:132" s="147" customFormat="1" hidden="1" x14ac:dyDescent="0.3">
      <c r="A191" s="332"/>
      <c r="B191" s="332"/>
      <c r="C191" s="332"/>
      <c r="D191" s="332"/>
      <c r="E191" s="332"/>
      <c r="F191" s="353" t="s">
        <v>1206</v>
      </c>
      <c r="G191" s="332">
        <v>7</v>
      </c>
      <c r="H191" s="387">
        <v>0</v>
      </c>
      <c r="I191" s="387"/>
      <c r="J191" s="387"/>
      <c r="K191" s="387"/>
      <c r="L191" s="387"/>
      <c r="M191" s="387"/>
      <c r="N191" s="387"/>
      <c r="O191" s="332" t="s">
        <v>1207</v>
      </c>
      <c r="P191" s="332"/>
      <c r="Q191" s="332"/>
      <c r="R191" s="332"/>
      <c r="S191" s="332"/>
      <c r="T191" s="332"/>
      <c r="U191" s="332"/>
      <c r="V191" s="332"/>
      <c r="W191" s="332"/>
      <c r="X191" s="332"/>
      <c r="Y191" s="332"/>
      <c r="Z191" s="332"/>
      <c r="AA191" s="141"/>
      <c r="AB191" s="141"/>
      <c r="AC191" s="141"/>
      <c r="AD191" s="141"/>
      <c r="AE191" s="141"/>
      <c r="AF191" s="141"/>
      <c r="AG191" s="141"/>
      <c r="AH191" s="141"/>
      <c r="AI191" s="141"/>
      <c r="AJ191" s="141"/>
      <c r="AK191" s="141"/>
      <c r="AL191" s="141"/>
      <c r="AM191" s="141"/>
      <c r="AN191" s="141"/>
      <c r="AO191" s="141"/>
      <c r="AP191" s="141"/>
      <c r="AQ191" s="141"/>
      <c r="AR191" s="141"/>
      <c r="AS191" s="141"/>
      <c r="AT191" s="141"/>
      <c r="AU191" s="141"/>
      <c r="AV191" s="141"/>
      <c r="AW191" s="141"/>
      <c r="AX191" s="141"/>
      <c r="AY191" s="141"/>
      <c r="AZ191" s="141"/>
      <c r="BA191" s="141"/>
      <c r="BB191" s="141"/>
      <c r="BC191" s="141"/>
      <c r="BD191" s="141"/>
      <c r="BE191" s="141"/>
      <c r="BF191" s="141"/>
      <c r="BG191" s="141"/>
      <c r="BH191" s="141"/>
      <c r="BI191" s="141"/>
      <c r="BJ191" s="141"/>
      <c r="BK191" s="141"/>
      <c r="BL191" s="141"/>
      <c r="BM191" s="141"/>
      <c r="BN191" s="141"/>
      <c r="BO191" s="141"/>
      <c r="BP191" s="141"/>
      <c r="BQ191" s="141"/>
      <c r="BR191" s="141"/>
      <c r="BS191" s="141"/>
      <c r="BT191" s="141"/>
      <c r="BU191" s="141"/>
      <c r="BV191" s="141"/>
      <c r="BW191" s="141"/>
      <c r="BX191" s="141"/>
      <c r="BY191" s="141"/>
      <c r="BZ191" s="141"/>
      <c r="CA191" s="141"/>
      <c r="CB191" s="141"/>
      <c r="CC191" s="141"/>
      <c r="CD191" s="141"/>
      <c r="CE191" s="141"/>
      <c r="CF191" s="141"/>
      <c r="CG191" s="141"/>
      <c r="CH191" s="141"/>
      <c r="CI191" s="141"/>
      <c r="CJ191" s="141"/>
      <c r="CK191" s="141"/>
      <c r="CL191" s="141"/>
      <c r="CM191" s="141"/>
      <c r="CN191" s="141"/>
      <c r="CO191" s="141"/>
      <c r="CP191" s="141"/>
      <c r="CQ191" s="141"/>
      <c r="CR191" s="141"/>
      <c r="CS191" s="141"/>
      <c r="CT191" s="141"/>
      <c r="CU191" s="141"/>
      <c r="CV191" s="141"/>
      <c r="CW191" s="141"/>
      <c r="CX191" s="141"/>
      <c r="CY191" s="141"/>
      <c r="CZ191" s="141"/>
      <c r="DA191" s="141"/>
      <c r="DB191" s="141"/>
      <c r="DC191" s="141"/>
      <c r="DD191" s="141"/>
      <c r="DE191" s="141"/>
      <c r="DF191" s="141"/>
      <c r="DG191" s="141"/>
      <c r="DH191" s="141"/>
      <c r="DI191" s="141"/>
      <c r="DJ191" s="141"/>
      <c r="DK191" s="141"/>
      <c r="DL191" s="141"/>
      <c r="DM191" s="141"/>
      <c r="DN191" s="141"/>
      <c r="DO191" s="141"/>
      <c r="DP191" s="141"/>
      <c r="DQ191" s="141"/>
      <c r="DR191" s="141"/>
      <c r="DS191" s="141"/>
      <c r="DT191" s="141"/>
      <c r="DU191" s="141"/>
      <c r="DV191" s="141"/>
      <c r="DW191" s="141"/>
      <c r="DX191" s="141"/>
      <c r="DY191" s="141"/>
      <c r="DZ191" s="141"/>
      <c r="EA191" s="141"/>
      <c r="EB191" s="332"/>
    </row>
    <row r="192" spans="1:132" s="147" customFormat="1" hidden="1" x14ac:dyDescent="0.3">
      <c r="A192" s="332"/>
      <c r="B192" s="332"/>
      <c r="C192" s="332"/>
      <c r="D192" s="332"/>
      <c r="E192" s="332"/>
      <c r="F192" s="353" t="s">
        <v>1208</v>
      </c>
      <c r="G192" s="332">
        <v>7</v>
      </c>
      <c r="H192" s="387">
        <v>0</v>
      </c>
      <c r="I192" s="387"/>
      <c r="J192" s="387"/>
      <c r="K192" s="387"/>
      <c r="L192" s="387"/>
      <c r="M192" s="387"/>
      <c r="N192" s="387"/>
      <c r="O192" s="332" t="s">
        <v>1209</v>
      </c>
      <c r="P192" s="332"/>
      <c r="Q192" s="332"/>
      <c r="R192" s="332"/>
      <c r="S192" s="332"/>
      <c r="T192" s="332"/>
      <c r="U192" s="332"/>
      <c r="V192" s="332"/>
      <c r="W192" s="332"/>
      <c r="X192" s="332"/>
      <c r="Y192" s="332"/>
      <c r="Z192" s="332"/>
      <c r="AA192" s="141"/>
      <c r="AB192" s="141"/>
      <c r="AC192" s="141"/>
      <c r="AD192" s="141"/>
      <c r="AE192" s="141"/>
      <c r="AF192" s="141"/>
      <c r="AG192" s="141"/>
      <c r="AH192" s="141"/>
      <c r="AI192" s="141"/>
      <c r="AJ192" s="141"/>
      <c r="AK192" s="141"/>
      <c r="AL192" s="141"/>
      <c r="AM192" s="141"/>
      <c r="AN192" s="141"/>
      <c r="AO192" s="141"/>
      <c r="AP192" s="141"/>
      <c r="AQ192" s="141"/>
      <c r="AR192" s="141"/>
      <c r="AS192" s="141"/>
      <c r="AT192" s="141"/>
      <c r="AU192" s="141"/>
      <c r="AV192" s="141"/>
      <c r="AW192" s="141"/>
      <c r="AX192" s="141"/>
      <c r="AY192" s="141"/>
      <c r="AZ192" s="141"/>
      <c r="BA192" s="141"/>
      <c r="BB192" s="141"/>
      <c r="BC192" s="141"/>
      <c r="BD192" s="141"/>
      <c r="BE192" s="141"/>
      <c r="BF192" s="141"/>
      <c r="BG192" s="141"/>
      <c r="BH192" s="141"/>
      <c r="BI192" s="141"/>
      <c r="BJ192" s="141"/>
      <c r="BK192" s="141"/>
      <c r="BL192" s="141"/>
      <c r="BM192" s="141"/>
      <c r="BN192" s="141"/>
      <c r="BO192" s="141"/>
      <c r="BP192" s="141"/>
      <c r="BQ192" s="141"/>
      <c r="BR192" s="141"/>
      <c r="BS192" s="141"/>
      <c r="BT192" s="141"/>
      <c r="BU192" s="141"/>
      <c r="BV192" s="141"/>
      <c r="BW192" s="141"/>
      <c r="BX192" s="141"/>
      <c r="BY192" s="141"/>
      <c r="BZ192" s="141"/>
      <c r="CA192" s="141"/>
      <c r="CB192" s="141"/>
      <c r="CC192" s="141"/>
      <c r="CD192" s="141"/>
      <c r="CE192" s="141"/>
      <c r="CF192" s="141"/>
      <c r="CG192" s="141"/>
      <c r="CH192" s="141"/>
      <c r="CI192" s="141"/>
      <c r="CJ192" s="141"/>
      <c r="CK192" s="141"/>
      <c r="CL192" s="141"/>
      <c r="CM192" s="141"/>
      <c r="CN192" s="141"/>
      <c r="CO192" s="141"/>
      <c r="CP192" s="141"/>
      <c r="CQ192" s="141"/>
      <c r="CR192" s="141"/>
      <c r="CS192" s="141"/>
      <c r="CT192" s="141"/>
      <c r="CU192" s="141"/>
      <c r="CV192" s="141"/>
      <c r="CW192" s="141"/>
      <c r="CX192" s="141"/>
      <c r="CY192" s="141"/>
      <c r="CZ192" s="141"/>
      <c r="DA192" s="141"/>
      <c r="DB192" s="141"/>
      <c r="DC192" s="141"/>
      <c r="DD192" s="141"/>
      <c r="DE192" s="141"/>
      <c r="DF192" s="141"/>
      <c r="DG192" s="141"/>
      <c r="DH192" s="141"/>
      <c r="DI192" s="141"/>
      <c r="DJ192" s="141"/>
      <c r="DK192" s="141"/>
      <c r="DL192" s="141"/>
      <c r="DM192" s="141"/>
      <c r="DN192" s="141"/>
      <c r="DO192" s="141"/>
      <c r="DP192" s="141"/>
      <c r="DQ192" s="141"/>
      <c r="DR192" s="141"/>
      <c r="DS192" s="141"/>
      <c r="DT192" s="141"/>
      <c r="DU192" s="141"/>
      <c r="DV192" s="141"/>
      <c r="DW192" s="141"/>
      <c r="DX192" s="141"/>
      <c r="DY192" s="141"/>
      <c r="DZ192" s="141"/>
      <c r="EA192" s="141"/>
      <c r="EB192" s="332"/>
    </row>
    <row r="193" spans="1:132" s="147" customFormat="1" x14ac:dyDescent="0.3">
      <c r="A193" s="141"/>
      <c r="B193" s="141"/>
      <c r="C193" s="141"/>
      <c r="D193" s="141"/>
      <c r="E193" s="141"/>
      <c r="F193" s="141"/>
      <c r="G193" s="141"/>
      <c r="H193" s="141"/>
      <c r="I193" s="141"/>
      <c r="J193" s="141"/>
      <c r="K193" s="141"/>
      <c r="L193" s="141"/>
      <c r="M193" s="141"/>
      <c r="N193" s="141"/>
      <c r="O193" s="141"/>
      <c r="P193" s="141"/>
      <c r="Q193" s="141"/>
      <c r="R193" s="141"/>
      <c r="S193" s="141"/>
      <c r="T193" s="141"/>
      <c r="U193" s="141"/>
      <c r="V193" s="141"/>
      <c r="W193" s="141"/>
      <c r="X193" s="141"/>
      <c r="Y193" s="141"/>
      <c r="Z193" s="141"/>
      <c r="AA193" s="141"/>
      <c r="AB193" s="141"/>
      <c r="AC193" s="141"/>
      <c r="AD193" s="141"/>
      <c r="AE193" s="141"/>
      <c r="AF193" s="141"/>
      <c r="AG193" s="141"/>
      <c r="AH193" s="141"/>
      <c r="AI193" s="141"/>
      <c r="AJ193" s="141"/>
      <c r="AK193" s="141"/>
      <c r="AL193" s="141"/>
      <c r="AM193" s="141"/>
      <c r="AN193" s="141"/>
      <c r="AO193" s="141"/>
      <c r="AP193" s="141"/>
      <c r="AQ193" s="141"/>
      <c r="AR193" s="141"/>
      <c r="AS193" s="141"/>
      <c r="AT193" s="141"/>
      <c r="AU193" s="141"/>
      <c r="AV193" s="141"/>
      <c r="AW193" s="141"/>
      <c r="AX193" s="141"/>
      <c r="AY193" s="141"/>
      <c r="AZ193" s="141"/>
      <c r="BA193" s="141"/>
      <c r="BB193" s="141"/>
      <c r="BC193" s="141"/>
      <c r="BD193" s="141"/>
      <c r="BE193" s="141"/>
      <c r="BF193" s="141"/>
      <c r="BG193" s="141"/>
      <c r="BH193" s="141"/>
      <c r="BI193" s="141"/>
      <c r="BJ193" s="141"/>
      <c r="BK193" s="141"/>
      <c r="BL193" s="141"/>
      <c r="BM193" s="141"/>
      <c r="BN193" s="141"/>
      <c r="BO193" s="141"/>
      <c r="BP193" s="141"/>
      <c r="BQ193" s="141"/>
      <c r="BR193" s="141"/>
      <c r="BS193" s="141"/>
      <c r="BT193" s="141"/>
      <c r="BU193" s="141"/>
      <c r="BV193" s="141"/>
      <c r="BW193" s="141"/>
      <c r="BX193" s="141"/>
      <c r="BY193" s="141"/>
      <c r="BZ193" s="141"/>
      <c r="CA193" s="141"/>
      <c r="CB193" s="141"/>
      <c r="CC193" s="141"/>
      <c r="CD193" s="141"/>
      <c r="CE193" s="141"/>
      <c r="CF193" s="141"/>
      <c r="CG193" s="141"/>
      <c r="CH193" s="141"/>
      <c r="CI193" s="141"/>
      <c r="CJ193" s="141"/>
      <c r="CK193" s="141"/>
      <c r="CL193" s="141"/>
      <c r="CM193" s="141"/>
      <c r="CN193" s="141"/>
      <c r="CO193" s="141"/>
      <c r="CP193" s="141"/>
      <c r="CQ193" s="141"/>
      <c r="CR193" s="141"/>
      <c r="CS193" s="141"/>
      <c r="CT193" s="141"/>
      <c r="CU193" s="141"/>
      <c r="CV193" s="141"/>
      <c r="CW193" s="141"/>
      <c r="CX193" s="141"/>
      <c r="CY193" s="141"/>
      <c r="CZ193" s="141"/>
      <c r="DA193" s="141"/>
      <c r="DB193" s="141"/>
      <c r="DC193" s="141"/>
      <c r="DD193" s="141"/>
      <c r="DE193" s="141"/>
      <c r="DF193" s="141"/>
      <c r="DG193" s="141"/>
      <c r="DH193" s="141"/>
      <c r="DI193" s="141"/>
      <c r="DJ193" s="141"/>
      <c r="DK193" s="141"/>
      <c r="DL193" s="141"/>
      <c r="DM193" s="141"/>
      <c r="DN193" s="141"/>
      <c r="DO193" s="141"/>
      <c r="DP193" s="141"/>
      <c r="DQ193" s="141"/>
      <c r="DR193" s="141"/>
      <c r="DS193" s="141"/>
      <c r="DT193" s="141"/>
      <c r="DU193" s="141"/>
      <c r="DV193" s="141"/>
      <c r="DW193" s="141"/>
      <c r="DX193" s="141"/>
      <c r="DY193" s="141"/>
      <c r="DZ193" s="141"/>
      <c r="EA193" s="141"/>
      <c r="EB193" s="338"/>
    </row>
    <row r="194" spans="1:132" s="147" customFormat="1" x14ac:dyDescent="0.3">
      <c r="A194" s="141"/>
      <c r="B194" s="141"/>
      <c r="C194" s="141"/>
      <c r="D194" s="141"/>
      <c r="E194" s="141"/>
      <c r="F194" s="141"/>
      <c r="G194" s="141"/>
      <c r="H194" s="141"/>
      <c r="I194" s="141"/>
      <c r="J194" s="141"/>
      <c r="K194" s="141"/>
      <c r="L194" s="141"/>
      <c r="M194" s="141"/>
      <c r="N194" s="141"/>
      <c r="O194" s="141"/>
      <c r="P194" s="141"/>
      <c r="Q194" s="141"/>
      <c r="R194" s="141"/>
      <c r="S194" s="141"/>
      <c r="T194" s="141"/>
      <c r="U194" s="141"/>
      <c r="V194" s="141"/>
      <c r="W194" s="141"/>
      <c r="X194" s="141"/>
      <c r="Y194" s="141"/>
      <c r="Z194" s="141"/>
      <c r="AA194" s="141"/>
      <c r="AB194" s="141"/>
      <c r="AC194" s="141"/>
      <c r="AD194" s="141"/>
      <c r="AE194" s="141"/>
      <c r="AF194" s="141"/>
      <c r="AG194" s="141"/>
      <c r="AH194" s="141"/>
      <c r="AI194" s="141"/>
      <c r="AJ194" s="141"/>
      <c r="AK194" s="141"/>
      <c r="AL194" s="141"/>
      <c r="AM194" s="141"/>
      <c r="AN194" s="141"/>
      <c r="AO194" s="141"/>
      <c r="AP194" s="141"/>
      <c r="AQ194" s="141"/>
      <c r="AR194" s="141"/>
      <c r="AS194" s="141"/>
      <c r="AT194" s="141"/>
      <c r="AU194" s="141"/>
      <c r="AV194" s="141"/>
      <c r="AW194" s="141"/>
      <c r="AX194" s="141"/>
      <c r="AY194" s="141"/>
      <c r="AZ194" s="141"/>
      <c r="BA194" s="141"/>
      <c r="BB194" s="141"/>
      <c r="BC194" s="141"/>
      <c r="BD194" s="141"/>
      <c r="BE194" s="141"/>
      <c r="BF194" s="141"/>
      <c r="BG194" s="141"/>
      <c r="BH194" s="141"/>
      <c r="BI194" s="141"/>
      <c r="BJ194" s="141"/>
      <c r="BK194" s="141"/>
      <c r="BL194" s="141"/>
      <c r="BM194" s="141"/>
      <c r="BN194" s="141"/>
      <c r="BO194" s="141"/>
      <c r="BP194" s="141"/>
      <c r="BQ194" s="141"/>
      <c r="BR194" s="141"/>
      <c r="BS194" s="141"/>
      <c r="BT194" s="141"/>
      <c r="BU194" s="141"/>
      <c r="BV194" s="141"/>
      <c r="BW194" s="141"/>
      <c r="BX194" s="141"/>
      <c r="BY194" s="141"/>
      <c r="BZ194" s="141"/>
      <c r="CA194" s="141"/>
      <c r="CB194" s="141"/>
      <c r="CC194" s="141"/>
      <c r="CD194" s="141"/>
      <c r="CE194" s="141"/>
      <c r="CF194" s="141"/>
      <c r="CG194" s="141"/>
      <c r="CH194" s="141"/>
      <c r="CI194" s="141"/>
      <c r="CJ194" s="141"/>
      <c r="CK194" s="141"/>
      <c r="CL194" s="141"/>
      <c r="CM194" s="141"/>
      <c r="CN194" s="141"/>
      <c r="CO194" s="141"/>
      <c r="CP194" s="141"/>
      <c r="CQ194" s="141"/>
      <c r="CR194" s="141"/>
      <c r="CS194" s="141"/>
      <c r="CT194" s="141"/>
      <c r="CU194" s="141"/>
      <c r="CV194" s="141"/>
      <c r="CW194" s="141"/>
      <c r="CX194" s="141"/>
      <c r="CY194" s="141"/>
      <c r="CZ194" s="141"/>
      <c r="DA194" s="141"/>
      <c r="DB194" s="141"/>
      <c r="DC194" s="141"/>
      <c r="DD194" s="141"/>
      <c r="DE194" s="141"/>
      <c r="DF194" s="141"/>
      <c r="DG194" s="141"/>
      <c r="DH194" s="141"/>
      <c r="DI194" s="141"/>
      <c r="DJ194" s="141"/>
      <c r="DK194" s="141"/>
      <c r="DL194" s="141"/>
      <c r="DM194" s="141"/>
      <c r="DN194" s="141"/>
      <c r="DO194" s="141"/>
      <c r="DP194" s="141"/>
      <c r="DQ194" s="141"/>
      <c r="DR194" s="141"/>
      <c r="DS194" s="141"/>
      <c r="DT194" s="141"/>
      <c r="DU194" s="141"/>
      <c r="DV194" s="141"/>
      <c r="DW194" s="141"/>
      <c r="DX194" s="141"/>
      <c r="DY194" s="141"/>
      <c r="DZ194" s="141"/>
      <c r="EA194" s="141"/>
      <c r="EB194" s="338"/>
    </row>
    <row r="195" spans="1:132" s="147" customFormat="1" x14ac:dyDescent="0.3">
      <c r="A195" s="332"/>
      <c r="B195" s="332"/>
      <c r="C195" s="332"/>
      <c r="D195" s="332"/>
      <c r="E195" s="332"/>
      <c r="F195" s="332"/>
      <c r="G195" s="332"/>
      <c r="H195" s="332"/>
      <c r="I195" s="332"/>
      <c r="J195" s="332"/>
      <c r="K195" s="332"/>
      <c r="L195" s="332"/>
      <c r="M195" s="332"/>
      <c r="N195" s="332"/>
      <c r="O195" s="332"/>
      <c r="P195" s="332"/>
      <c r="Q195" s="332"/>
      <c r="R195" s="332"/>
      <c r="S195" s="332"/>
      <c r="T195" s="332"/>
      <c r="U195" s="332"/>
      <c r="V195" s="332"/>
      <c r="W195" s="332"/>
      <c r="X195" s="332"/>
      <c r="Y195" s="332"/>
      <c r="Z195" s="332"/>
      <c r="AA195" s="141"/>
      <c r="AB195" s="141"/>
      <c r="AC195" s="141"/>
      <c r="AD195" s="141"/>
      <c r="AE195" s="141"/>
      <c r="AF195" s="141"/>
      <c r="AG195" s="141"/>
      <c r="AH195" s="141"/>
      <c r="AI195" s="141"/>
      <c r="AJ195" s="141"/>
      <c r="AK195" s="141"/>
      <c r="AL195" s="141"/>
      <c r="AM195" s="141"/>
      <c r="AN195" s="141"/>
      <c r="AO195" s="141"/>
      <c r="AP195" s="141"/>
      <c r="AQ195" s="141"/>
      <c r="AR195" s="141"/>
      <c r="AS195" s="141"/>
      <c r="AT195" s="141"/>
      <c r="AU195" s="141"/>
      <c r="AV195" s="141"/>
      <c r="AW195" s="141"/>
      <c r="AX195" s="141"/>
      <c r="AY195" s="141"/>
      <c r="AZ195" s="141"/>
      <c r="BA195" s="141"/>
      <c r="BB195" s="141"/>
      <c r="BC195" s="141"/>
      <c r="BD195" s="141"/>
      <c r="BE195" s="141"/>
      <c r="BF195" s="141"/>
      <c r="BG195" s="141"/>
      <c r="BH195" s="141"/>
      <c r="BI195" s="141"/>
      <c r="BJ195" s="141"/>
      <c r="BK195" s="141"/>
      <c r="BL195" s="141"/>
      <c r="BM195" s="141"/>
      <c r="BN195" s="141"/>
      <c r="BO195" s="141"/>
      <c r="BP195" s="141"/>
      <c r="BQ195" s="141"/>
      <c r="BR195" s="141"/>
      <c r="BS195" s="141"/>
      <c r="BT195" s="141"/>
      <c r="BU195" s="141"/>
      <c r="BV195" s="141"/>
      <c r="BW195" s="141"/>
      <c r="BX195" s="141"/>
      <c r="BY195" s="141"/>
      <c r="BZ195" s="141"/>
      <c r="CA195" s="141"/>
      <c r="CB195" s="141"/>
      <c r="CC195" s="141"/>
      <c r="CD195" s="141"/>
      <c r="CE195" s="141"/>
      <c r="CF195" s="141"/>
      <c r="CG195" s="141"/>
      <c r="CH195" s="141"/>
      <c r="CI195" s="141"/>
      <c r="CJ195" s="141"/>
      <c r="CK195" s="141"/>
      <c r="CL195" s="141"/>
      <c r="CM195" s="141"/>
      <c r="CN195" s="141"/>
      <c r="CO195" s="141"/>
      <c r="CP195" s="141"/>
      <c r="CQ195" s="141"/>
      <c r="CR195" s="141"/>
      <c r="CS195" s="141"/>
      <c r="CT195" s="141"/>
      <c r="CU195" s="141"/>
      <c r="CV195" s="141"/>
      <c r="CW195" s="141"/>
      <c r="CX195" s="141"/>
      <c r="CY195" s="141"/>
      <c r="CZ195" s="141"/>
      <c r="DA195" s="141"/>
      <c r="DB195" s="141"/>
      <c r="DC195" s="141"/>
      <c r="DD195" s="141"/>
      <c r="DE195" s="141"/>
      <c r="DF195" s="141"/>
      <c r="DG195" s="141"/>
      <c r="DH195" s="141"/>
      <c r="DI195" s="141"/>
      <c r="DJ195" s="141"/>
      <c r="DK195" s="141"/>
      <c r="DL195" s="141"/>
      <c r="DM195" s="141"/>
      <c r="DN195" s="141"/>
      <c r="DO195" s="141"/>
      <c r="DP195" s="141"/>
      <c r="DQ195" s="141"/>
      <c r="DR195" s="141"/>
      <c r="DS195" s="141"/>
      <c r="DT195" s="141"/>
      <c r="DU195" s="141"/>
      <c r="DV195" s="141"/>
      <c r="DW195" s="141"/>
      <c r="DX195" s="141"/>
      <c r="DY195" s="141"/>
      <c r="DZ195" s="141"/>
      <c r="EA195" s="141"/>
      <c r="EB195" s="332"/>
    </row>
    <row r="196" spans="1:132" s="147" customFormat="1" x14ac:dyDescent="0.3">
      <c r="A196" s="332"/>
      <c r="B196" s="332"/>
      <c r="C196" s="332"/>
      <c r="D196" s="332"/>
      <c r="E196" s="332"/>
      <c r="F196" s="332"/>
      <c r="G196" s="332"/>
      <c r="H196" s="332"/>
      <c r="I196" s="332"/>
      <c r="J196" s="332"/>
      <c r="K196" s="332"/>
      <c r="L196" s="332"/>
      <c r="M196" s="332"/>
      <c r="N196" s="332"/>
      <c r="O196" s="332"/>
      <c r="P196" s="332"/>
      <c r="Q196" s="332"/>
      <c r="R196" s="332"/>
      <c r="S196" s="332"/>
      <c r="T196" s="332"/>
      <c r="U196" s="332"/>
      <c r="V196" s="332"/>
      <c r="W196" s="332"/>
      <c r="X196" s="332"/>
      <c r="Y196" s="332"/>
      <c r="Z196" s="332"/>
      <c r="AA196" s="141"/>
      <c r="AB196" s="141"/>
      <c r="AC196" s="141"/>
      <c r="AD196" s="141"/>
      <c r="AE196" s="141"/>
      <c r="AF196" s="141"/>
      <c r="AG196" s="141"/>
      <c r="AH196" s="141"/>
      <c r="AI196" s="141"/>
      <c r="AJ196" s="141"/>
      <c r="AK196" s="141"/>
      <c r="AL196" s="141"/>
      <c r="AM196" s="141"/>
      <c r="AN196" s="141"/>
      <c r="AO196" s="141"/>
      <c r="AP196" s="141"/>
      <c r="AQ196" s="141"/>
      <c r="AR196" s="141"/>
      <c r="AS196" s="141"/>
      <c r="AT196" s="141"/>
      <c r="AU196" s="141"/>
      <c r="AV196" s="141"/>
      <c r="AW196" s="141"/>
      <c r="AX196" s="141"/>
      <c r="AY196" s="141"/>
      <c r="AZ196" s="141"/>
      <c r="BA196" s="141"/>
      <c r="BB196" s="141"/>
      <c r="BC196" s="141"/>
      <c r="BD196" s="141"/>
      <c r="BE196" s="141"/>
      <c r="BF196" s="141"/>
      <c r="BG196" s="141"/>
      <c r="BH196" s="141"/>
      <c r="BI196" s="141"/>
      <c r="BJ196" s="141"/>
      <c r="BK196" s="141"/>
      <c r="BL196" s="141"/>
      <c r="BM196" s="141"/>
      <c r="BN196" s="141"/>
      <c r="BO196" s="141"/>
      <c r="BP196" s="141"/>
      <c r="BQ196" s="141"/>
      <c r="BR196" s="141"/>
      <c r="BS196" s="141"/>
      <c r="BT196" s="141"/>
      <c r="BU196" s="141"/>
      <c r="BV196" s="141"/>
      <c r="BW196" s="141"/>
      <c r="BX196" s="141"/>
      <c r="BY196" s="141"/>
      <c r="BZ196" s="141"/>
      <c r="CA196" s="141"/>
      <c r="CB196" s="141"/>
      <c r="CC196" s="141"/>
      <c r="CD196" s="141"/>
      <c r="CE196" s="141"/>
      <c r="CF196" s="141"/>
      <c r="CG196" s="141"/>
      <c r="CH196" s="141"/>
      <c r="CI196" s="141"/>
      <c r="CJ196" s="141"/>
      <c r="CK196" s="141"/>
      <c r="CL196" s="141"/>
      <c r="CM196" s="141"/>
      <c r="CN196" s="141"/>
      <c r="CO196" s="141"/>
      <c r="CP196" s="141"/>
      <c r="CQ196" s="141"/>
      <c r="CR196" s="141"/>
      <c r="CS196" s="141"/>
      <c r="CT196" s="141"/>
      <c r="CU196" s="141"/>
      <c r="CV196" s="141"/>
      <c r="CW196" s="141"/>
      <c r="CX196" s="141"/>
      <c r="CY196" s="141"/>
      <c r="CZ196" s="141"/>
      <c r="DA196" s="141"/>
      <c r="DB196" s="141"/>
      <c r="DC196" s="141"/>
      <c r="DD196" s="141"/>
      <c r="DE196" s="141"/>
      <c r="DF196" s="141"/>
      <c r="DG196" s="141"/>
      <c r="DH196" s="141"/>
      <c r="DI196" s="141"/>
      <c r="DJ196" s="141"/>
      <c r="DK196" s="141"/>
      <c r="DL196" s="141"/>
      <c r="DM196" s="141"/>
      <c r="DN196" s="141"/>
      <c r="DO196" s="141"/>
      <c r="DP196" s="141"/>
      <c r="DQ196" s="141"/>
      <c r="DR196" s="141"/>
      <c r="DS196" s="141"/>
      <c r="DT196" s="141"/>
      <c r="DU196" s="141"/>
      <c r="DV196" s="141"/>
      <c r="DW196" s="141"/>
      <c r="DX196" s="141"/>
      <c r="DY196" s="141"/>
      <c r="DZ196" s="141"/>
      <c r="EA196" s="141"/>
      <c r="EB196" s="332"/>
    </row>
    <row r="197" spans="1:132" s="147" customFormat="1" x14ac:dyDescent="0.3">
      <c r="A197" s="332"/>
      <c r="B197" s="332"/>
      <c r="C197" s="332"/>
      <c r="D197" s="332"/>
      <c r="E197" s="332"/>
      <c r="F197" s="332"/>
      <c r="G197" s="332"/>
      <c r="H197" s="332"/>
      <c r="I197" s="332"/>
      <c r="J197" s="332"/>
      <c r="K197" s="332"/>
      <c r="L197" s="332"/>
      <c r="M197" s="332"/>
      <c r="N197" s="332"/>
      <c r="O197" s="332"/>
      <c r="P197" s="332"/>
      <c r="Q197" s="332"/>
      <c r="R197" s="332"/>
      <c r="S197" s="332"/>
      <c r="T197" s="332"/>
      <c r="U197" s="332"/>
      <c r="V197" s="332"/>
      <c r="W197" s="332"/>
      <c r="X197" s="332"/>
      <c r="Y197" s="332"/>
      <c r="Z197" s="332"/>
      <c r="AA197" s="141"/>
      <c r="AB197" s="141"/>
      <c r="AC197" s="141"/>
      <c r="AD197" s="141"/>
      <c r="AE197" s="141"/>
      <c r="AF197" s="141"/>
      <c r="AG197" s="141"/>
      <c r="AH197" s="141"/>
      <c r="AI197" s="141"/>
      <c r="AJ197" s="141"/>
      <c r="AK197" s="141"/>
      <c r="AL197" s="141"/>
      <c r="AM197" s="141"/>
      <c r="AN197" s="141"/>
      <c r="AO197" s="141"/>
      <c r="AP197" s="141"/>
      <c r="AQ197" s="141"/>
      <c r="AR197" s="141"/>
      <c r="AS197" s="141"/>
      <c r="AT197" s="141"/>
      <c r="AU197" s="141"/>
      <c r="AV197" s="141"/>
      <c r="AW197" s="141"/>
      <c r="AX197" s="141"/>
      <c r="AY197" s="141"/>
      <c r="AZ197" s="141"/>
      <c r="BA197" s="141"/>
      <c r="BB197" s="141"/>
      <c r="BC197" s="141"/>
      <c r="BD197" s="141"/>
      <c r="BE197" s="141"/>
      <c r="BF197" s="141"/>
      <c r="BG197" s="141"/>
      <c r="BH197" s="141"/>
      <c r="BI197" s="141"/>
      <c r="BJ197" s="141"/>
      <c r="BK197" s="141"/>
      <c r="BL197" s="141"/>
      <c r="BM197" s="141"/>
      <c r="BN197" s="141"/>
      <c r="BO197" s="141"/>
      <c r="BP197" s="141"/>
      <c r="BQ197" s="141"/>
      <c r="BR197" s="141"/>
      <c r="BS197" s="141"/>
      <c r="BT197" s="141"/>
      <c r="BU197" s="141"/>
      <c r="BV197" s="141"/>
      <c r="BW197" s="141"/>
      <c r="BX197" s="141"/>
      <c r="BY197" s="141"/>
      <c r="BZ197" s="141"/>
      <c r="CA197" s="141"/>
      <c r="CB197" s="141"/>
      <c r="CC197" s="141"/>
      <c r="CD197" s="141"/>
      <c r="CE197" s="141"/>
      <c r="CF197" s="141"/>
      <c r="CG197" s="141"/>
      <c r="CH197" s="141"/>
      <c r="CI197" s="141"/>
      <c r="CJ197" s="141"/>
      <c r="CK197" s="141"/>
      <c r="CL197" s="141"/>
      <c r="CM197" s="141"/>
      <c r="CN197" s="141"/>
      <c r="CO197" s="141"/>
      <c r="CP197" s="141"/>
      <c r="CQ197" s="141"/>
      <c r="CR197" s="141"/>
      <c r="CS197" s="141"/>
      <c r="CT197" s="141"/>
      <c r="CU197" s="141"/>
      <c r="CV197" s="141"/>
      <c r="CW197" s="141"/>
      <c r="CX197" s="141"/>
      <c r="CY197" s="141"/>
      <c r="CZ197" s="141"/>
      <c r="DA197" s="141"/>
      <c r="DB197" s="141"/>
      <c r="DC197" s="141"/>
      <c r="DD197" s="141"/>
      <c r="DE197" s="141"/>
      <c r="DF197" s="141"/>
      <c r="DG197" s="141"/>
      <c r="DH197" s="141"/>
      <c r="DI197" s="141"/>
      <c r="DJ197" s="141"/>
      <c r="DK197" s="141"/>
      <c r="DL197" s="141"/>
      <c r="DM197" s="141"/>
      <c r="DN197" s="141"/>
      <c r="DO197" s="141"/>
      <c r="DP197" s="141"/>
      <c r="DQ197" s="141"/>
      <c r="DR197" s="141"/>
      <c r="DS197" s="141"/>
      <c r="DT197" s="141"/>
      <c r="DU197" s="141"/>
      <c r="DV197" s="141"/>
      <c r="DW197" s="141"/>
      <c r="DX197" s="141"/>
      <c r="DY197" s="141"/>
      <c r="DZ197" s="141"/>
      <c r="EA197" s="141"/>
      <c r="EB197" s="332"/>
    </row>
    <row r="198" spans="1:132" s="147" customFormat="1" x14ac:dyDescent="0.3">
      <c r="A198" s="332"/>
      <c r="B198" s="332"/>
      <c r="C198" s="332"/>
      <c r="D198" s="332"/>
      <c r="E198" s="332"/>
      <c r="F198" s="332"/>
      <c r="G198" s="332"/>
      <c r="H198" s="332"/>
      <c r="I198" s="332"/>
      <c r="J198" s="332"/>
      <c r="K198" s="332"/>
      <c r="L198" s="332"/>
      <c r="M198" s="332"/>
      <c r="N198" s="332"/>
      <c r="O198" s="332"/>
      <c r="P198" s="332"/>
      <c r="Q198" s="332"/>
      <c r="R198" s="332"/>
      <c r="S198" s="332"/>
      <c r="T198" s="332"/>
      <c r="U198" s="332"/>
      <c r="V198" s="332"/>
      <c r="W198" s="332"/>
      <c r="X198" s="332"/>
      <c r="Y198" s="332"/>
      <c r="Z198" s="332"/>
      <c r="AA198" s="141"/>
      <c r="AB198" s="141"/>
      <c r="AC198" s="141"/>
      <c r="AD198" s="141"/>
      <c r="AE198" s="141"/>
      <c r="AF198" s="141"/>
      <c r="AG198" s="141"/>
      <c r="AH198" s="141"/>
      <c r="AI198" s="141"/>
      <c r="AJ198" s="141"/>
      <c r="AK198" s="141"/>
      <c r="AL198" s="141"/>
      <c r="AM198" s="141"/>
      <c r="AN198" s="141"/>
      <c r="AO198" s="141"/>
      <c r="AP198" s="141"/>
      <c r="AQ198" s="141"/>
      <c r="AR198" s="141"/>
      <c r="AS198" s="141"/>
      <c r="AT198" s="141"/>
      <c r="AU198" s="141"/>
      <c r="AV198" s="141"/>
      <c r="AW198" s="141"/>
      <c r="AX198" s="141"/>
      <c r="AY198" s="141"/>
      <c r="AZ198" s="141"/>
      <c r="BA198" s="141"/>
      <c r="BB198" s="141"/>
      <c r="BC198" s="141"/>
      <c r="BD198" s="141"/>
      <c r="BE198" s="141"/>
      <c r="BF198" s="141"/>
      <c r="BG198" s="141"/>
      <c r="BH198" s="141"/>
      <c r="BI198" s="141"/>
      <c r="BJ198" s="141"/>
      <c r="BK198" s="141"/>
      <c r="BL198" s="141"/>
      <c r="BM198" s="141"/>
      <c r="BN198" s="141"/>
      <c r="BO198" s="141"/>
      <c r="BP198" s="141"/>
      <c r="BQ198" s="141"/>
      <c r="BR198" s="141"/>
      <c r="BS198" s="141"/>
      <c r="BT198" s="141"/>
      <c r="BU198" s="141"/>
      <c r="BV198" s="141"/>
      <c r="BW198" s="141"/>
      <c r="BX198" s="141"/>
      <c r="BY198" s="141"/>
      <c r="BZ198" s="141"/>
      <c r="CA198" s="141"/>
      <c r="CB198" s="141"/>
      <c r="CC198" s="141"/>
      <c r="CD198" s="141"/>
      <c r="CE198" s="141"/>
      <c r="CF198" s="141"/>
      <c r="CG198" s="141"/>
      <c r="CH198" s="141"/>
      <c r="CI198" s="141"/>
      <c r="CJ198" s="141"/>
      <c r="CK198" s="141"/>
      <c r="CL198" s="141"/>
      <c r="CM198" s="141"/>
      <c r="CN198" s="141"/>
      <c r="CO198" s="141"/>
      <c r="CP198" s="141"/>
      <c r="CQ198" s="141"/>
      <c r="CR198" s="141"/>
      <c r="CS198" s="141"/>
      <c r="CT198" s="141"/>
      <c r="CU198" s="141"/>
      <c r="CV198" s="141"/>
      <c r="CW198" s="141"/>
      <c r="CX198" s="141"/>
      <c r="CY198" s="141"/>
      <c r="CZ198" s="141"/>
      <c r="DA198" s="141"/>
      <c r="DB198" s="141"/>
      <c r="DC198" s="141"/>
      <c r="DD198" s="141"/>
      <c r="DE198" s="141"/>
      <c r="DF198" s="141"/>
      <c r="DG198" s="141"/>
      <c r="DH198" s="141"/>
      <c r="DI198" s="141"/>
      <c r="DJ198" s="141"/>
      <c r="DK198" s="141"/>
      <c r="DL198" s="141"/>
      <c r="DM198" s="141"/>
      <c r="DN198" s="141"/>
      <c r="DO198" s="141"/>
      <c r="DP198" s="141"/>
      <c r="DQ198" s="141"/>
      <c r="DR198" s="141"/>
      <c r="DS198" s="141"/>
      <c r="DT198" s="141"/>
      <c r="DU198" s="141"/>
      <c r="DV198" s="141"/>
      <c r="DW198" s="141"/>
      <c r="DX198" s="141"/>
      <c r="DY198" s="141"/>
      <c r="DZ198" s="141"/>
      <c r="EA198" s="141"/>
      <c r="EB198" s="332"/>
    </row>
    <row r="199" spans="1:132" s="147" customFormat="1" x14ac:dyDescent="0.3">
      <c r="A199" s="332"/>
      <c r="B199" s="332"/>
      <c r="C199" s="332"/>
      <c r="D199" s="332"/>
      <c r="E199" s="332"/>
      <c r="F199" s="332"/>
      <c r="G199" s="332"/>
      <c r="H199" s="332"/>
      <c r="I199" s="332"/>
      <c r="J199" s="332"/>
      <c r="K199" s="332"/>
      <c r="L199" s="332"/>
      <c r="M199" s="332"/>
      <c r="N199" s="332"/>
      <c r="O199" s="332"/>
      <c r="P199" s="332"/>
      <c r="Q199" s="332"/>
      <c r="R199" s="332"/>
      <c r="S199" s="332"/>
      <c r="T199" s="332"/>
      <c r="U199" s="332"/>
      <c r="V199" s="332"/>
      <c r="W199" s="332"/>
      <c r="X199" s="332"/>
      <c r="Y199" s="332"/>
      <c r="Z199" s="332"/>
      <c r="AA199" s="141"/>
      <c r="AB199" s="141"/>
      <c r="AC199" s="141"/>
      <c r="AD199" s="141"/>
      <c r="AE199" s="141"/>
      <c r="AF199" s="141"/>
      <c r="AG199" s="141"/>
      <c r="AH199" s="141"/>
      <c r="AI199" s="141"/>
      <c r="AJ199" s="141"/>
      <c r="AK199" s="141"/>
      <c r="AL199" s="141"/>
      <c r="AM199" s="141"/>
      <c r="AN199" s="141"/>
      <c r="AO199" s="141"/>
      <c r="AP199" s="141"/>
      <c r="AQ199" s="141"/>
      <c r="AR199" s="141"/>
      <c r="AS199" s="141"/>
      <c r="AT199" s="141"/>
      <c r="AU199" s="141"/>
      <c r="AV199" s="141"/>
      <c r="AW199" s="141"/>
      <c r="AX199" s="141"/>
      <c r="AY199" s="141"/>
      <c r="AZ199" s="141"/>
      <c r="BA199" s="141"/>
      <c r="BB199" s="141"/>
      <c r="BC199" s="141"/>
      <c r="BD199" s="141"/>
      <c r="BE199" s="141"/>
      <c r="BF199" s="141"/>
      <c r="BG199" s="141"/>
      <c r="BH199" s="141"/>
      <c r="BI199" s="141"/>
      <c r="BJ199" s="141"/>
      <c r="BK199" s="141"/>
      <c r="BL199" s="141"/>
      <c r="BM199" s="141"/>
      <c r="BN199" s="141"/>
      <c r="BO199" s="141"/>
      <c r="BP199" s="141"/>
      <c r="BQ199" s="141"/>
      <c r="BR199" s="141"/>
      <c r="BS199" s="141"/>
      <c r="BT199" s="141"/>
      <c r="BU199" s="141"/>
      <c r="BV199" s="141"/>
      <c r="BW199" s="141"/>
      <c r="BX199" s="141"/>
      <c r="BY199" s="141"/>
      <c r="BZ199" s="141"/>
      <c r="CA199" s="141"/>
      <c r="CB199" s="141"/>
      <c r="CC199" s="141"/>
      <c r="CD199" s="141"/>
      <c r="CE199" s="141"/>
      <c r="CF199" s="141"/>
      <c r="CG199" s="141"/>
      <c r="CH199" s="141"/>
      <c r="CI199" s="141"/>
      <c r="CJ199" s="141"/>
      <c r="CK199" s="141"/>
      <c r="CL199" s="141"/>
      <c r="CM199" s="141"/>
      <c r="CN199" s="141"/>
      <c r="CO199" s="141"/>
      <c r="CP199" s="141"/>
      <c r="CQ199" s="141"/>
      <c r="CR199" s="141"/>
      <c r="CS199" s="141"/>
      <c r="CT199" s="141"/>
      <c r="CU199" s="141"/>
      <c r="CV199" s="141"/>
      <c r="CW199" s="141"/>
      <c r="CX199" s="141"/>
      <c r="CY199" s="141"/>
      <c r="CZ199" s="141"/>
      <c r="DA199" s="141"/>
      <c r="DB199" s="141"/>
      <c r="DC199" s="141"/>
      <c r="DD199" s="141"/>
      <c r="DE199" s="141"/>
      <c r="DF199" s="141"/>
      <c r="DG199" s="141"/>
      <c r="DH199" s="141"/>
      <c r="DI199" s="141"/>
      <c r="DJ199" s="141"/>
      <c r="DK199" s="141"/>
      <c r="DL199" s="141"/>
      <c r="DM199" s="141"/>
      <c r="DN199" s="141"/>
      <c r="DO199" s="141"/>
      <c r="DP199" s="141"/>
      <c r="DQ199" s="141"/>
      <c r="DR199" s="141"/>
      <c r="DS199" s="141"/>
      <c r="DT199" s="141"/>
      <c r="DU199" s="141"/>
      <c r="DV199" s="141"/>
      <c r="DW199" s="141"/>
      <c r="DX199" s="141"/>
      <c r="DY199" s="141"/>
      <c r="DZ199" s="141"/>
      <c r="EA199" s="141"/>
      <c r="EB199" s="332"/>
    </row>
    <row r="200" spans="1:132" s="147" customFormat="1" ht="7.5" customHeight="1" x14ac:dyDescent="0.3">
      <c r="A200" s="332"/>
      <c r="B200" s="332"/>
      <c r="C200" s="332"/>
      <c r="D200" s="332"/>
      <c r="E200" s="332"/>
      <c r="F200" s="332"/>
      <c r="G200" s="332"/>
      <c r="H200" s="332"/>
      <c r="I200" s="332"/>
      <c r="J200" s="332"/>
      <c r="K200" s="332"/>
      <c r="L200" s="332"/>
      <c r="M200" s="332"/>
      <c r="N200" s="332"/>
      <c r="O200" s="332"/>
      <c r="P200" s="332"/>
      <c r="Q200" s="332"/>
      <c r="R200" s="332"/>
      <c r="S200" s="332"/>
      <c r="T200" s="332"/>
      <c r="U200" s="332"/>
      <c r="V200" s="332"/>
      <c r="W200" s="332"/>
      <c r="X200" s="332"/>
      <c r="Y200" s="332"/>
      <c r="Z200" s="332"/>
      <c r="AA200" s="141"/>
      <c r="AB200" s="141"/>
      <c r="AC200" s="141"/>
      <c r="AD200" s="141"/>
      <c r="AE200" s="141"/>
      <c r="AF200" s="141"/>
      <c r="AG200" s="141"/>
      <c r="AH200" s="141"/>
      <c r="AI200" s="141"/>
      <c r="AJ200" s="141"/>
      <c r="AK200" s="141"/>
      <c r="AL200" s="141"/>
      <c r="AM200" s="141"/>
      <c r="AN200" s="141"/>
      <c r="AO200" s="141"/>
      <c r="AP200" s="141"/>
      <c r="AQ200" s="141"/>
      <c r="AR200" s="141"/>
      <c r="AS200" s="141"/>
      <c r="AT200" s="141"/>
      <c r="AU200" s="141"/>
      <c r="AV200" s="141"/>
      <c r="AW200" s="141"/>
      <c r="AX200" s="141"/>
      <c r="AY200" s="141"/>
      <c r="AZ200" s="141"/>
      <c r="BA200" s="141"/>
      <c r="BB200" s="141"/>
      <c r="BC200" s="141"/>
      <c r="BD200" s="141"/>
      <c r="BE200" s="141"/>
      <c r="BF200" s="141"/>
      <c r="BG200" s="141"/>
      <c r="BH200" s="141"/>
      <c r="BI200" s="141"/>
      <c r="BJ200" s="141"/>
      <c r="BK200" s="141"/>
      <c r="BL200" s="141"/>
      <c r="BM200" s="141"/>
      <c r="BN200" s="141"/>
      <c r="BO200" s="141"/>
      <c r="BP200" s="141"/>
      <c r="BQ200" s="141"/>
      <c r="BR200" s="141"/>
      <c r="BS200" s="141"/>
      <c r="BT200" s="141"/>
      <c r="BU200" s="141"/>
      <c r="BV200" s="141"/>
      <c r="BW200" s="141"/>
      <c r="BX200" s="141"/>
      <c r="BY200" s="141"/>
      <c r="BZ200" s="141"/>
      <c r="CA200" s="141"/>
      <c r="CB200" s="141"/>
      <c r="CC200" s="141"/>
      <c r="CD200" s="141"/>
      <c r="CE200" s="141"/>
      <c r="CF200" s="141"/>
      <c r="CG200" s="141"/>
      <c r="CH200" s="141"/>
      <c r="CI200" s="141"/>
      <c r="CJ200" s="141"/>
      <c r="CK200" s="141"/>
      <c r="CL200" s="141"/>
      <c r="CM200" s="141"/>
      <c r="CN200" s="141"/>
      <c r="CO200" s="141"/>
      <c r="CP200" s="141"/>
      <c r="CQ200" s="141"/>
      <c r="CR200" s="141"/>
      <c r="CS200" s="141"/>
      <c r="CT200" s="141"/>
      <c r="CU200" s="141"/>
      <c r="CV200" s="141"/>
      <c r="CW200" s="141"/>
      <c r="CX200" s="141"/>
      <c r="CY200" s="141"/>
      <c r="CZ200" s="141"/>
      <c r="DA200" s="141"/>
      <c r="DB200" s="141"/>
      <c r="DC200" s="141"/>
      <c r="DD200" s="141"/>
      <c r="DE200" s="141"/>
      <c r="DF200" s="141"/>
      <c r="DG200" s="141"/>
      <c r="DH200" s="141"/>
      <c r="DI200" s="141"/>
      <c r="DJ200" s="141"/>
      <c r="DK200" s="141"/>
      <c r="DL200" s="141"/>
      <c r="DM200" s="141"/>
      <c r="DN200" s="141"/>
      <c r="DO200" s="141"/>
      <c r="DP200" s="141"/>
      <c r="DQ200" s="141"/>
      <c r="DR200" s="141"/>
      <c r="DS200" s="141"/>
      <c r="DT200" s="141"/>
      <c r="DU200" s="141"/>
      <c r="DV200" s="141"/>
      <c r="DW200" s="141"/>
      <c r="DX200" s="141"/>
      <c r="DY200" s="141"/>
      <c r="DZ200" s="141"/>
      <c r="EA200" s="141"/>
      <c r="EB200" s="332"/>
    </row>
    <row r="201" spans="1:132" s="147" customFormat="1" ht="12.75" customHeight="1" x14ac:dyDescent="0.3">
      <c r="A201" s="332"/>
      <c r="B201" s="332"/>
      <c r="C201" s="332"/>
      <c r="D201" s="332"/>
      <c r="E201" s="332"/>
      <c r="F201" s="332"/>
      <c r="G201" s="332"/>
      <c r="H201" s="332"/>
      <c r="I201" s="332"/>
      <c r="J201" s="332"/>
      <c r="K201" s="332"/>
      <c r="L201" s="332"/>
      <c r="M201" s="332"/>
      <c r="N201" s="332"/>
      <c r="O201" s="332"/>
      <c r="P201" s="332"/>
      <c r="Q201" s="332"/>
      <c r="R201" s="332"/>
      <c r="S201" s="332"/>
      <c r="T201" s="332"/>
      <c r="U201" s="332"/>
      <c r="V201" s="332"/>
      <c r="W201" s="332"/>
      <c r="X201" s="332"/>
      <c r="Y201" s="332"/>
      <c r="Z201" s="332"/>
      <c r="AA201" s="141"/>
      <c r="AB201" s="141"/>
      <c r="AC201" s="141"/>
      <c r="AD201" s="141"/>
      <c r="AE201" s="141"/>
      <c r="AF201" s="141"/>
      <c r="AG201" s="141"/>
      <c r="AH201" s="141"/>
      <c r="AI201" s="141"/>
      <c r="AJ201" s="141"/>
      <c r="AK201" s="141"/>
      <c r="AL201" s="141"/>
      <c r="AM201" s="141"/>
      <c r="AN201" s="141"/>
      <c r="AO201" s="141"/>
      <c r="AP201" s="141"/>
      <c r="AQ201" s="141"/>
      <c r="AR201" s="141"/>
      <c r="AS201" s="141"/>
      <c r="AT201" s="141"/>
      <c r="AU201" s="141"/>
      <c r="AV201" s="141"/>
      <c r="AW201" s="141"/>
      <c r="AX201" s="141"/>
      <c r="AY201" s="141"/>
      <c r="AZ201" s="141"/>
      <c r="BA201" s="141"/>
      <c r="BB201" s="141"/>
      <c r="BC201" s="141"/>
      <c r="BD201" s="141"/>
      <c r="BE201" s="141"/>
      <c r="BF201" s="141"/>
      <c r="BG201" s="141"/>
      <c r="BH201" s="141"/>
      <c r="BI201" s="141"/>
      <c r="BJ201" s="141"/>
      <c r="BK201" s="141"/>
      <c r="BL201" s="141"/>
      <c r="BM201" s="141"/>
      <c r="BN201" s="141"/>
      <c r="BO201" s="141"/>
      <c r="BP201" s="141"/>
      <c r="BQ201" s="141"/>
      <c r="BR201" s="141"/>
      <c r="BS201" s="141"/>
      <c r="BT201" s="141"/>
      <c r="BU201" s="141"/>
      <c r="BV201" s="141"/>
      <c r="BW201" s="141"/>
      <c r="BX201" s="141"/>
      <c r="BY201" s="141"/>
      <c r="BZ201" s="141"/>
      <c r="CA201" s="141"/>
      <c r="CB201" s="141"/>
      <c r="CC201" s="141"/>
      <c r="CD201" s="141"/>
      <c r="CE201" s="141"/>
      <c r="CF201" s="141"/>
      <c r="CG201" s="141"/>
      <c r="CH201" s="141"/>
      <c r="CI201" s="141"/>
      <c r="CJ201" s="141"/>
      <c r="CK201" s="141"/>
      <c r="CL201" s="141"/>
      <c r="CM201" s="141"/>
      <c r="CN201" s="141"/>
      <c r="CO201" s="141"/>
      <c r="CP201" s="141"/>
      <c r="CQ201" s="141"/>
      <c r="CR201" s="141"/>
      <c r="CS201" s="141"/>
      <c r="CT201" s="141"/>
      <c r="CU201" s="141"/>
      <c r="CV201" s="141"/>
      <c r="CW201" s="141"/>
      <c r="CX201" s="141"/>
      <c r="CY201" s="141"/>
      <c r="CZ201" s="141"/>
      <c r="DA201" s="141"/>
      <c r="DB201" s="141"/>
      <c r="DC201" s="141"/>
      <c r="DD201" s="141"/>
      <c r="DE201" s="141"/>
      <c r="DF201" s="141"/>
      <c r="DG201" s="141"/>
      <c r="DH201" s="141"/>
      <c r="DI201" s="141"/>
      <c r="DJ201" s="141"/>
      <c r="DK201" s="141"/>
      <c r="DL201" s="141"/>
      <c r="DM201" s="141"/>
      <c r="DN201" s="141"/>
      <c r="DO201" s="141"/>
      <c r="DP201" s="141"/>
      <c r="DQ201" s="141"/>
      <c r="DR201" s="141"/>
      <c r="DS201" s="141"/>
      <c r="DT201" s="141"/>
      <c r="DU201" s="141"/>
      <c r="DV201" s="141"/>
      <c r="DW201" s="141"/>
      <c r="DX201" s="141"/>
      <c r="DY201" s="141"/>
      <c r="DZ201" s="141"/>
      <c r="EA201" s="141"/>
      <c r="EB201" s="332"/>
    </row>
    <row r="202" spans="1:132" s="147" customFormat="1" ht="9.75" customHeight="1" x14ac:dyDescent="0.3">
      <c r="A202" s="332"/>
      <c r="B202" s="332"/>
      <c r="C202" s="332"/>
      <c r="D202" s="332"/>
      <c r="E202" s="332"/>
      <c r="F202" s="332"/>
      <c r="G202" s="332"/>
      <c r="H202" s="332"/>
      <c r="I202" s="332"/>
      <c r="J202" s="332"/>
      <c r="K202" s="332"/>
      <c r="L202" s="332"/>
      <c r="M202" s="332"/>
      <c r="N202" s="332"/>
      <c r="O202" s="332"/>
      <c r="P202" s="332"/>
      <c r="Q202" s="332"/>
      <c r="R202" s="332"/>
      <c r="S202" s="332"/>
      <c r="T202" s="332"/>
      <c r="U202" s="332"/>
      <c r="V202" s="332"/>
      <c r="W202" s="332"/>
      <c r="X202" s="332"/>
      <c r="Y202" s="332"/>
      <c r="Z202" s="332"/>
      <c r="AA202" s="141"/>
      <c r="AB202" s="141"/>
      <c r="AC202" s="141"/>
      <c r="AD202" s="141"/>
      <c r="AE202" s="141"/>
      <c r="AF202" s="141"/>
      <c r="AG202" s="141"/>
      <c r="AH202" s="141"/>
      <c r="AI202" s="141"/>
      <c r="AJ202" s="141"/>
      <c r="AK202" s="141"/>
      <c r="AL202" s="141"/>
      <c r="AM202" s="141"/>
      <c r="AN202" s="141"/>
      <c r="AO202" s="141"/>
      <c r="AP202" s="141"/>
      <c r="AQ202" s="141"/>
      <c r="AR202" s="141"/>
      <c r="AS202" s="141"/>
      <c r="AT202" s="141"/>
      <c r="AU202" s="141"/>
      <c r="AV202" s="141"/>
      <c r="AW202" s="141"/>
      <c r="AX202" s="141"/>
      <c r="AY202" s="141"/>
      <c r="AZ202" s="141"/>
      <c r="BA202" s="141"/>
      <c r="BB202" s="141"/>
      <c r="BC202" s="141"/>
      <c r="BD202" s="141"/>
      <c r="BE202" s="141"/>
      <c r="BF202" s="141"/>
      <c r="BG202" s="141"/>
      <c r="BH202" s="141"/>
      <c r="BI202" s="141"/>
      <c r="BJ202" s="141"/>
      <c r="BK202" s="141"/>
      <c r="BL202" s="141"/>
      <c r="BM202" s="141"/>
      <c r="BN202" s="141"/>
      <c r="BO202" s="141"/>
      <c r="BP202" s="141"/>
      <c r="BQ202" s="141"/>
      <c r="BR202" s="141"/>
      <c r="BS202" s="141"/>
      <c r="BT202" s="141"/>
      <c r="BU202" s="141"/>
      <c r="BV202" s="141"/>
      <c r="BW202" s="141"/>
      <c r="BX202" s="141"/>
      <c r="BY202" s="141"/>
      <c r="BZ202" s="141"/>
      <c r="CA202" s="141"/>
      <c r="CB202" s="141"/>
      <c r="CC202" s="141"/>
      <c r="CD202" s="141"/>
      <c r="CE202" s="141"/>
      <c r="CF202" s="141"/>
      <c r="CG202" s="141"/>
      <c r="CH202" s="141"/>
      <c r="CI202" s="141"/>
      <c r="CJ202" s="141"/>
      <c r="CK202" s="141"/>
      <c r="CL202" s="141"/>
      <c r="CM202" s="141"/>
      <c r="CN202" s="141"/>
      <c r="CO202" s="141"/>
      <c r="CP202" s="141"/>
      <c r="CQ202" s="141"/>
      <c r="CR202" s="141"/>
      <c r="CS202" s="141"/>
      <c r="CT202" s="141"/>
      <c r="CU202" s="141"/>
      <c r="CV202" s="141"/>
      <c r="CW202" s="141"/>
      <c r="CX202" s="141"/>
      <c r="CY202" s="141"/>
      <c r="CZ202" s="141"/>
      <c r="DA202" s="141"/>
      <c r="DB202" s="141"/>
      <c r="DC202" s="141"/>
      <c r="DD202" s="141"/>
      <c r="DE202" s="141"/>
      <c r="DF202" s="141"/>
      <c r="DG202" s="141"/>
      <c r="DH202" s="141"/>
      <c r="DI202" s="141"/>
      <c r="DJ202" s="141"/>
      <c r="DK202" s="141"/>
      <c r="DL202" s="141"/>
      <c r="DM202" s="141"/>
      <c r="DN202" s="141"/>
      <c r="DO202" s="141"/>
      <c r="DP202" s="141"/>
      <c r="DQ202" s="141"/>
      <c r="DR202" s="141"/>
      <c r="DS202" s="141"/>
      <c r="DT202" s="141"/>
      <c r="DU202" s="141"/>
      <c r="DV202" s="141"/>
      <c r="DW202" s="141"/>
      <c r="DX202" s="141"/>
      <c r="DY202" s="141"/>
      <c r="DZ202" s="141"/>
      <c r="EA202" s="141"/>
      <c r="EB202" s="332"/>
    </row>
    <row r="203" spans="1:132" s="147" customFormat="1" ht="19.5" customHeight="1" x14ac:dyDescent="0.3">
      <c r="A203" s="332"/>
      <c r="B203" s="332"/>
      <c r="C203" s="332"/>
      <c r="D203" s="332"/>
      <c r="E203" s="332"/>
      <c r="F203" s="332"/>
      <c r="G203" s="332"/>
      <c r="H203" s="332"/>
      <c r="I203" s="332"/>
      <c r="J203" s="332"/>
      <c r="K203" s="332"/>
      <c r="L203" s="332"/>
      <c r="M203" s="332"/>
      <c r="N203" s="332"/>
      <c r="O203" s="332"/>
      <c r="P203" s="332"/>
      <c r="Q203" s="332"/>
      <c r="R203" s="332"/>
      <c r="S203" s="332"/>
      <c r="T203" s="332"/>
      <c r="U203" s="332"/>
      <c r="V203" s="332"/>
      <c r="W203" s="332"/>
      <c r="X203" s="332"/>
      <c r="Y203" s="332"/>
      <c r="Z203" s="332"/>
      <c r="AA203" s="141"/>
      <c r="AB203" s="141"/>
      <c r="AC203" s="141"/>
      <c r="AD203" s="141"/>
      <c r="AE203" s="141"/>
      <c r="AF203" s="141"/>
      <c r="AG203" s="141"/>
      <c r="AH203" s="141"/>
      <c r="AI203" s="141"/>
      <c r="AJ203" s="141"/>
      <c r="AK203" s="141"/>
      <c r="AL203" s="141"/>
      <c r="AM203" s="141"/>
      <c r="AN203" s="141"/>
      <c r="AO203" s="141"/>
      <c r="AP203" s="141"/>
      <c r="AQ203" s="141"/>
      <c r="AR203" s="141"/>
      <c r="AS203" s="141"/>
      <c r="AT203" s="141"/>
      <c r="AU203" s="141"/>
      <c r="AV203" s="141"/>
      <c r="AW203" s="141"/>
      <c r="AX203" s="141"/>
      <c r="AY203" s="141"/>
      <c r="AZ203" s="141"/>
      <c r="BA203" s="141"/>
      <c r="BB203" s="141"/>
      <c r="BC203" s="141"/>
      <c r="BD203" s="141"/>
      <c r="BE203" s="141"/>
      <c r="BF203" s="141"/>
      <c r="BG203" s="141"/>
      <c r="BH203" s="141"/>
      <c r="BI203" s="141"/>
      <c r="BJ203" s="141"/>
      <c r="BK203" s="141"/>
      <c r="BL203" s="141"/>
      <c r="BM203" s="141"/>
      <c r="BN203" s="141"/>
      <c r="BO203" s="141"/>
      <c r="BP203" s="141"/>
      <c r="BQ203" s="141"/>
      <c r="BR203" s="141"/>
      <c r="BS203" s="141"/>
      <c r="BT203" s="141"/>
      <c r="BU203" s="141"/>
      <c r="BV203" s="141"/>
      <c r="BW203" s="141"/>
      <c r="BX203" s="141"/>
      <c r="BY203" s="141"/>
      <c r="BZ203" s="141"/>
      <c r="CA203" s="141"/>
      <c r="CB203" s="141"/>
      <c r="CC203" s="141"/>
      <c r="CD203" s="141"/>
      <c r="CE203" s="141"/>
      <c r="CF203" s="141"/>
      <c r="CG203" s="141"/>
      <c r="CH203" s="141"/>
      <c r="CI203" s="141"/>
      <c r="CJ203" s="141"/>
      <c r="CK203" s="141"/>
      <c r="CL203" s="141"/>
      <c r="CM203" s="141"/>
      <c r="CN203" s="141"/>
      <c r="CO203" s="141"/>
      <c r="CP203" s="141"/>
      <c r="CQ203" s="141"/>
      <c r="CR203" s="141"/>
      <c r="CS203" s="141"/>
      <c r="CT203" s="141"/>
      <c r="CU203" s="141"/>
      <c r="CV203" s="141"/>
      <c r="CW203" s="141"/>
      <c r="CX203" s="141"/>
      <c r="CY203" s="141"/>
      <c r="CZ203" s="141"/>
      <c r="DA203" s="141"/>
      <c r="DB203" s="141"/>
      <c r="DC203" s="141"/>
      <c r="DD203" s="141"/>
      <c r="DE203" s="141"/>
      <c r="DF203" s="141"/>
      <c r="DG203" s="141"/>
      <c r="DH203" s="141"/>
      <c r="DI203" s="141"/>
      <c r="DJ203" s="141"/>
      <c r="DK203" s="141"/>
      <c r="DL203" s="141"/>
      <c r="DM203" s="141"/>
      <c r="DN203" s="141"/>
      <c r="DO203" s="141"/>
      <c r="DP203" s="141"/>
      <c r="DQ203" s="141"/>
      <c r="DR203" s="141"/>
      <c r="DS203" s="141"/>
      <c r="DT203" s="141"/>
      <c r="DU203" s="141"/>
      <c r="DV203" s="141"/>
      <c r="DW203" s="141"/>
      <c r="DX203" s="141"/>
      <c r="DY203" s="141"/>
      <c r="DZ203" s="141"/>
      <c r="EA203" s="141"/>
      <c r="EB203" s="332"/>
    </row>
    <row r="204" spans="1:132" s="147" customFormat="1" x14ac:dyDescent="0.3">
      <c r="A204" s="332"/>
      <c r="B204" s="332"/>
      <c r="C204" s="332"/>
      <c r="D204" s="332"/>
      <c r="E204" s="332"/>
      <c r="F204" s="332"/>
      <c r="G204" s="332"/>
      <c r="H204" s="332"/>
      <c r="I204" s="332"/>
      <c r="J204" s="332"/>
      <c r="K204" s="332"/>
      <c r="L204" s="332"/>
      <c r="M204" s="332"/>
      <c r="N204" s="332"/>
      <c r="O204" s="332"/>
      <c r="P204" s="332"/>
      <c r="Q204" s="332"/>
      <c r="R204" s="332"/>
      <c r="S204" s="332"/>
      <c r="T204" s="332"/>
      <c r="U204" s="332"/>
      <c r="V204" s="332"/>
      <c r="W204" s="332"/>
      <c r="X204" s="332"/>
      <c r="Y204" s="332"/>
      <c r="Z204" s="332"/>
      <c r="AA204" s="141"/>
      <c r="AB204" s="141"/>
      <c r="AC204" s="141"/>
      <c r="AD204" s="141"/>
      <c r="AE204" s="141"/>
      <c r="AF204" s="141"/>
      <c r="AG204" s="141"/>
      <c r="AH204" s="141"/>
      <c r="AI204" s="141"/>
      <c r="AJ204" s="141"/>
      <c r="AK204" s="141"/>
      <c r="AL204" s="141"/>
      <c r="AM204" s="141"/>
      <c r="AN204" s="141"/>
      <c r="AO204" s="141"/>
      <c r="AP204" s="141"/>
      <c r="AQ204" s="141"/>
      <c r="AR204" s="141"/>
      <c r="AS204" s="141"/>
      <c r="AT204" s="141"/>
      <c r="AU204" s="141"/>
      <c r="AV204" s="141"/>
      <c r="AW204" s="141"/>
      <c r="AX204" s="141"/>
      <c r="AY204" s="141"/>
      <c r="AZ204" s="141"/>
      <c r="BA204" s="141"/>
      <c r="BB204" s="141"/>
      <c r="BC204" s="141"/>
      <c r="BD204" s="141"/>
      <c r="BE204" s="141"/>
      <c r="BF204" s="141"/>
      <c r="BG204" s="141"/>
      <c r="BH204" s="141"/>
      <c r="BI204" s="141"/>
      <c r="BJ204" s="141"/>
      <c r="BK204" s="141"/>
      <c r="BL204" s="141"/>
      <c r="BM204" s="141"/>
      <c r="BN204" s="141"/>
      <c r="BO204" s="141"/>
      <c r="BP204" s="141"/>
      <c r="BQ204" s="141"/>
      <c r="BR204" s="141"/>
      <c r="BS204" s="141"/>
      <c r="BT204" s="141"/>
      <c r="BU204" s="141"/>
      <c r="BV204" s="141"/>
      <c r="BW204" s="141"/>
      <c r="BX204" s="141"/>
      <c r="BY204" s="141"/>
      <c r="BZ204" s="141"/>
      <c r="CA204" s="141"/>
      <c r="CB204" s="141"/>
      <c r="CC204" s="141"/>
      <c r="CD204" s="141"/>
      <c r="CE204" s="141"/>
      <c r="CF204" s="141"/>
      <c r="CG204" s="141"/>
      <c r="CH204" s="141"/>
      <c r="CI204" s="141"/>
      <c r="CJ204" s="141"/>
      <c r="CK204" s="141"/>
      <c r="CL204" s="141"/>
      <c r="CM204" s="141"/>
      <c r="CN204" s="141"/>
      <c r="CO204" s="141"/>
      <c r="CP204" s="141"/>
      <c r="CQ204" s="141"/>
      <c r="CR204" s="141"/>
      <c r="CS204" s="141"/>
      <c r="CT204" s="141"/>
      <c r="CU204" s="141"/>
      <c r="CV204" s="141"/>
      <c r="CW204" s="141"/>
      <c r="CX204" s="141"/>
      <c r="CY204" s="141"/>
      <c r="CZ204" s="141"/>
      <c r="DA204" s="141"/>
      <c r="DB204" s="141"/>
      <c r="DC204" s="141"/>
      <c r="DD204" s="141"/>
      <c r="DE204" s="141"/>
      <c r="DF204" s="141"/>
      <c r="DG204" s="141"/>
      <c r="DH204" s="141"/>
      <c r="DI204" s="141"/>
      <c r="DJ204" s="141"/>
      <c r="DK204" s="141"/>
      <c r="DL204" s="141"/>
      <c r="DM204" s="141"/>
      <c r="DN204" s="141"/>
      <c r="DO204" s="141"/>
      <c r="DP204" s="141"/>
      <c r="DQ204" s="141"/>
      <c r="DR204" s="141"/>
      <c r="DS204" s="141"/>
      <c r="DT204" s="141"/>
      <c r="DU204" s="141"/>
      <c r="DV204" s="141"/>
      <c r="DW204" s="141"/>
      <c r="DX204" s="141"/>
      <c r="DY204" s="141"/>
      <c r="DZ204" s="141"/>
      <c r="EA204" s="141"/>
      <c r="EB204" s="332"/>
    </row>
    <row r="205" spans="1:132" s="147" customFormat="1" ht="10" customHeight="1" x14ac:dyDescent="0.3">
      <c r="AA205" s="338"/>
      <c r="AB205" s="338"/>
      <c r="AC205" s="338"/>
      <c r="AD205" s="338"/>
      <c r="AE205" s="338"/>
      <c r="AF205" s="338"/>
      <c r="AG205" s="338"/>
      <c r="AH205" s="338"/>
      <c r="AI205" s="338"/>
      <c r="AJ205" s="338"/>
      <c r="AK205" s="338"/>
      <c r="AL205" s="338"/>
      <c r="AM205" s="338"/>
      <c r="AN205" s="338"/>
      <c r="AO205" s="338"/>
      <c r="AP205" s="338"/>
      <c r="AQ205" s="338"/>
      <c r="AR205" s="338"/>
      <c r="AS205" s="338"/>
      <c r="AT205" s="338"/>
      <c r="AU205" s="338"/>
      <c r="AV205" s="338"/>
      <c r="AW205" s="338"/>
      <c r="AX205" s="338"/>
      <c r="AY205" s="338"/>
      <c r="AZ205" s="338"/>
      <c r="BA205" s="338"/>
      <c r="BB205" s="338"/>
      <c r="BC205" s="338"/>
      <c r="BD205" s="338"/>
      <c r="BE205" s="338"/>
      <c r="BF205" s="338"/>
      <c r="BG205" s="338"/>
      <c r="BH205" s="338"/>
      <c r="BI205" s="338"/>
      <c r="BJ205" s="338"/>
      <c r="BK205" s="338"/>
      <c r="BL205" s="338"/>
      <c r="BM205" s="338"/>
      <c r="BN205" s="338"/>
      <c r="BO205" s="338"/>
      <c r="BP205" s="338"/>
      <c r="BQ205" s="338"/>
      <c r="BR205" s="338"/>
      <c r="BS205" s="338"/>
      <c r="BT205" s="338"/>
      <c r="BU205" s="338"/>
      <c r="BV205" s="338"/>
      <c r="BW205" s="338"/>
      <c r="BX205" s="338"/>
      <c r="BY205" s="338"/>
      <c r="BZ205" s="338"/>
      <c r="CA205" s="338"/>
      <c r="CB205" s="338"/>
      <c r="CC205" s="338"/>
      <c r="CD205" s="338"/>
      <c r="CE205" s="338"/>
      <c r="CF205" s="338"/>
      <c r="CG205" s="338"/>
      <c r="CH205" s="338"/>
      <c r="CI205" s="338"/>
      <c r="CJ205" s="338"/>
      <c r="CK205" s="338"/>
      <c r="CL205" s="338"/>
      <c r="CM205" s="338"/>
      <c r="CN205" s="338"/>
      <c r="CO205" s="338"/>
      <c r="CP205" s="338"/>
      <c r="CQ205" s="338"/>
      <c r="CR205" s="338"/>
      <c r="CS205" s="338"/>
      <c r="CT205" s="338"/>
      <c r="CU205" s="338"/>
      <c r="CV205" s="338"/>
      <c r="CW205" s="338"/>
      <c r="CX205" s="338"/>
      <c r="CY205" s="338"/>
      <c r="CZ205" s="338"/>
      <c r="DA205" s="338"/>
      <c r="DB205" s="338"/>
      <c r="DC205" s="338"/>
      <c r="DD205" s="338"/>
      <c r="DE205" s="338"/>
      <c r="DF205" s="338"/>
      <c r="DG205" s="338"/>
      <c r="DH205" s="338"/>
      <c r="DI205" s="338"/>
      <c r="DJ205" s="338"/>
      <c r="DK205" s="338"/>
      <c r="DL205" s="338"/>
      <c r="DM205" s="338"/>
      <c r="DN205" s="338"/>
      <c r="DO205" s="338"/>
      <c r="DP205" s="338"/>
      <c r="DQ205" s="338"/>
      <c r="DR205" s="338"/>
      <c r="DS205" s="338"/>
      <c r="DT205" s="338"/>
      <c r="DU205" s="338"/>
      <c r="DV205" s="338"/>
      <c r="DW205" s="338"/>
      <c r="DX205" s="338"/>
      <c r="DY205" s="338"/>
      <c r="DZ205" s="338"/>
      <c r="EA205" s="338"/>
    </row>
  </sheetData>
  <sheetProtection algorithmName="SHA-512" hashValue="V5cm+FDv5W4jq1gP7PbUPzMlzt9aYw7XU5CvIYvajjsnFSJYdKXtfRhjTCQGuHbeWuwyRonm512wl4nESY6LCw==" saltValue="cx2zvHFCw5aqiPoViQZUNA==" spinCount="100000" sheet="1" objects="1" scenarios="1" selectLockedCells="1" autoFilter="0"/>
  <autoFilter ref="B19:B99" xr:uid="{00000000-0009-0000-0000-000005000000}">
    <filterColumn colId="0">
      <filters>
        <filter val="5"/>
      </filters>
    </filterColumn>
  </autoFilter>
  <dataConsolidate/>
  <mergeCells count="101">
    <mergeCell ref="V3:W3"/>
    <mergeCell ref="B4:H4"/>
    <mergeCell ref="O6:S6"/>
    <mergeCell ref="T6:U6"/>
    <mergeCell ref="I7:N7"/>
    <mergeCell ref="AG16:AG18"/>
    <mergeCell ref="V17:W17"/>
    <mergeCell ref="X17:Y17"/>
    <mergeCell ref="G18:I18"/>
    <mergeCell ref="J18:N18"/>
    <mergeCell ref="V18:W18"/>
    <mergeCell ref="X18:Y18"/>
    <mergeCell ref="O8:V8"/>
    <mergeCell ref="O9:V9"/>
    <mergeCell ref="O10:V10"/>
    <mergeCell ref="O11:V11"/>
    <mergeCell ref="O12:V12"/>
    <mergeCell ref="W12:W13"/>
    <mergeCell ref="O13:V13"/>
    <mergeCell ref="D21:E21"/>
    <mergeCell ref="D26:E26"/>
    <mergeCell ref="D27:E27"/>
    <mergeCell ref="D28:E28"/>
    <mergeCell ref="D29:E29"/>
    <mergeCell ref="D30:E30"/>
    <mergeCell ref="D19:E19"/>
    <mergeCell ref="D20:E20"/>
    <mergeCell ref="D22:E22"/>
    <mergeCell ref="D23:E23"/>
    <mergeCell ref="D24:E24"/>
    <mergeCell ref="D25:E25"/>
    <mergeCell ref="D37:E37"/>
    <mergeCell ref="D38:E38"/>
    <mergeCell ref="D39:E39"/>
    <mergeCell ref="D40:E40"/>
    <mergeCell ref="D41:E41"/>
    <mergeCell ref="D42:E42"/>
    <mergeCell ref="D31:E31"/>
    <mergeCell ref="D32:E32"/>
    <mergeCell ref="D33:E33"/>
    <mergeCell ref="D34:E34"/>
    <mergeCell ref="D35:E35"/>
    <mergeCell ref="D36:E36"/>
    <mergeCell ref="D49:E49"/>
    <mergeCell ref="D50:E50"/>
    <mergeCell ref="D51:E51"/>
    <mergeCell ref="D52:E52"/>
    <mergeCell ref="D53:E53"/>
    <mergeCell ref="D54:E54"/>
    <mergeCell ref="D43:E43"/>
    <mergeCell ref="D44:E44"/>
    <mergeCell ref="D45:E45"/>
    <mergeCell ref="D46:E46"/>
    <mergeCell ref="D47:E47"/>
    <mergeCell ref="D48:E48"/>
    <mergeCell ref="D61:E61"/>
    <mergeCell ref="D62:E62"/>
    <mergeCell ref="D63:E63"/>
    <mergeCell ref="D64:E64"/>
    <mergeCell ref="D65:E65"/>
    <mergeCell ref="D66:E66"/>
    <mergeCell ref="D55:E55"/>
    <mergeCell ref="D56:E56"/>
    <mergeCell ref="D57:E57"/>
    <mergeCell ref="D58:E58"/>
    <mergeCell ref="D59:E59"/>
    <mergeCell ref="D60:E60"/>
    <mergeCell ref="D73:E73"/>
    <mergeCell ref="D74:E74"/>
    <mergeCell ref="D75:E75"/>
    <mergeCell ref="D76:E76"/>
    <mergeCell ref="D77:E77"/>
    <mergeCell ref="D78:E78"/>
    <mergeCell ref="D67:E67"/>
    <mergeCell ref="D68:E68"/>
    <mergeCell ref="D69:E69"/>
    <mergeCell ref="D70:E70"/>
    <mergeCell ref="D71:E71"/>
    <mergeCell ref="D72:E72"/>
    <mergeCell ref="D85:E85"/>
    <mergeCell ref="D86:E86"/>
    <mergeCell ref="D87:E87"/>
    <mergeCell ref="D88:E88"/>
    <mergeCell ref="D89:E89"/>
    <mergeCell ref="D90:E90"/>
    <mergeCell ref="D79:E79"/>
    <mergeCell ref="D80:E80"/>
    <mergeCell ref="D81:E81"/>
    <mergeCell ref="D82:E82"/>
    <mergeCell ref="D83:E83"/>
    <mergeCell ref="D84:E84"/>
    <mergeCell ref="D97:E97"/>
    <mergeCell ref="D98:E98"/>
    <mergeCell ref="D99:E99"/>
    <mergeCell ref="B104:Y104"/>
    <mergeCell ref="D91:E91"/>
    <mergeCell ref="D92:E92"/>
    <mergeCell ref="D93:E93"/>
    <mergeCell ref="D94:E94"/>
    <mergeCell ref="D95:E95"/>
    <mergeCell ref="D96:E96"/>
  </mergeCells>
  <conditionalFormatting sqref="B4 B5:R5">
    <cfRule type="expression" dxfId="906" priority="58" stopIfTrue="1">
      <formula>NOT(ISBLANK($B$4))</formula>
    </cfRule>
  </conditionalFormatting>
  <conditionalFormatting sqref="B12">
    <cfRule type="expression" dxfId="905" priority="26" stopIfTrue="1">
      <formula>VentPending=TRUE</formula>
    </cfRule>
    <cfRule type="expression" dxfId="904" priority="28" stopIfTrue="1">
      <formula>OrphanVent=TRUE</formula>
    </cfRule>
  </conditionalFormatting>
  <conditionalFormatting sqref="B14">
    <cfRule type="expression" dxfId="903" priority="52" stopIfTrue="1">
      <formula>VentsMissing=0</formula>
    </cfRule>
  </conditionalFormatting>
  <conditionalFormatting sqref="B17">
    <cfRule type="expression" dxfId="902" priority="22" stopIfTrue="1">
      <formula>AND(TopInputsOK=TRUE,TableEntries=COUNTA($D$20:$E$99))</formula>
    </cfRule>
  </conditionalFormatting>
  <conditionalFormatting sqref="B19">
    <cfRule type="expression" dxfId="901" priority="62" stopIfTrue="1">
      <formula>OR(RowsPreferred&lt;&gt;RowsDisplayed,ActiveHidden&lt;&gt;0)</formula>
    </cfRule>
  </conditionalFormatting>
  <conditionalFormatting sqref="B20:B99">
    <cfRule type="expression" dxfId="900" priority="60" stopIfTrue="1">
      <formula>AI20=TRUE</formula>
    </cfRule>
  </conditionalFormatting>
  <conditionalFormatting sqref="B9:D11">
    <cfRule type="expression" dxfId="899" priority="75" stopIfTrue="1">
      <formula>AND(COUNTA(TableInputs)&gt;0,ISBLANK(Storey))</formula>
    </cfRule>
  </conditionalFormatting>
  <conditionalFormatting sqref="C20 C22:C24 C26:C99">
    <cfRule type="expression" dxfId="898" priority="92" stopIfTrue="1">
      <formula>OR(COUNTA(D20)&gt;0,AK20=TRUE)</formula>
    </cfRule>
  </conditionalFormatting>
  <conditionalFormatting sqref="C20:C99">
    <cfRule type="expression" dxfId="897" priority="91" stopIfTrue="1">
      <formula>AI20=TRUE</formula>
    </cfRule>
  </conditionalFormatting>
  <conditionalFormatting sqref="C21">
    <cfRule type="expression" dxfId="896" priority="117" stopIfTrue="1">
      <formula>OR(COUNTA(#REF!)&gt;0,AK21=TRUE)</formula>
    </cfRule>
  </conditionalFormatting>
  <conditionalFormatting sqref="C25">
    <cfRule type="expression" dxfId="895" priority="115" stopIfTrue="1">
      <formula>OR(COUNTA(D21)&gt;0,AK25=TRUE)</formula>
    </cfRule>
  </conditionalFormatting>
  <conditionalFormatting sqref="D20:E20">
    <cfRule type="expression" dxfId="894" priority="4">
      <formula>$AI20=TRUE</formula>
    </cfRule>
  </conditionalFormatting>
  <conditionalFormatting sqref="D21:E21">
    <cfRule type="expression" dxfId="893" priority="121">
      <formula>$AI25=TRUE</formula>
    </cfRule>
  </conditionalFormatting>
  <conditionalFormatting sqref="D22:E34">
    <cfRule type="expression" dxfId="892" priority="1">
      <formula>$AI22=TRUE</formula>
    </cfRule>
  </conditionalFormatting>
  <conditionalFormatting sqref="E133 E136:E139 E141:E143 E146:E155 E169:E171">
    <cfRule type="expression" dxfId="891" priority="32" stopIfTrue="1">
      <formula>F133=TRUE</formula>
    </cfRule>
  </conditionalFormatting>
  <conditionalFormatting sqref="F6">
    <cfRule type="expression" dxfId="890" priority="23" stopIfTrue="1">
      <formula>EmptyA=TRUE</formula>
    </cfRule>
    <cfRule type="expression" dxfId="889" priority="24" stopIfTrue="1">
      <formula>$F$147=TRUE</formula>
    </cfRule>
  </conditionalFormatting>
  <conditionalFormatting sqref="F15">
    <cfRule type="expression" dxfId="888" priority="55" stopIfTrue="1">
      <formula>ActiveHidden&gt;0</formula>
    </cfRule>
  </conditionalFormatting>
  <conditionalFormatting sqref="F133 F136:F139 F141:F143 F146:F155 AB148 F169:F171">
    <cfRule type="cellIs" dxfId="887" priority="34" stopIfTrue="1" operator="equal">
      <formula>TRUE</formula>
    </cfRule>
  </conditionalFormatting>
  <conditionalFormatting sqref="F164">
    <cfRule type="cellIs" dxfId="886" priority="37" stopIfTrue="1" operator="greaterThan">
      <formula>0</formula>
    </cfRule>
  </conditionalFormatting>
  <conditionalFormatting sqref="F20:R34 D35:R99">
    <cfRule type="expression" dxfId="885" priority="10">
      <formula>$AI20=TRUE</formula>
    </cfRule>
  </conditionalFormatting>
  <conditionalFormatting sqref="G15">
    <cfRule type="expression" dxfId="884" priority="54" stopIfTrue="1">
      <formula>RowsPreferred&lt;&gt;RowsDisplayed</formula>
    </cfRule>
  </conditionalFormatting>
  <conditionalFormatting sqref="G139 H140 H143">
    <cfRule type="cellIs" dxfId="883" priority="36" stopIfTrue="1" operator="notEqual">
      <formula>0</formula>
    </cfRule>
  </conditionalFormatting>
  <conditionalFormatting sqref="G153">
    <cfRule type="expression" dxfId="882" priority="18" stopIfTrue="1">
      <formula>H153=TRUE</formula>
    </cfRule>
  </conditionalFormatting>
  <conditionalFormatting sqref="G169:Z171">
    <cfRule type="cellIs" dxfId="881" priority="35" stopIfTrue="1" operator="notEqual">
      <formula>0</formula>
    </cfRule>
  </conditionalFormatting>
  <conditionalFormatting sqref="H20:H99">
    <cfRule type="expression" dxfId="880" priority="6">
      <formula>AND($I20&lt;&gt;0,$G20*$H20&lt;$I20)</formula>
    </cfRule>
  </conditionalFormatting>
  <conditionalFormatting sqref="I20:I99">
    <cfRule type="expression" dxfId="879" priority="7">
      <formula>$G20*$H20&gt;$I20</formula>
    </cfRule>
  </conditionalFormatting>
  <conditionalFormatting sqref="J9:J11">
    <cfRule type="expression" dxfId="878" priority="30" stopIfTrue="1">
      <formula>OR(F154=TRUE,F155=TRUE)</formula>
    </cfRule>
    <cfRule type="expression" dxfId="877" priority="19" stopIfTrue="1">
      <formula>$F$148=TRUE</formula>
    </cfRule>
  </conditionalFormatting>
  <conditionalFormatting sqref="K6">
    <cfRule type="expression" dxfId="876" priority="14">
      <formula>NOT(ISBLANK($K$6))</formula>
    </cfRule>
  </conditionalFormatting>
  <conditionalFormatting sqref="P20:P99">
    <cfRule type="expression" dxfId="875" priority="9">
      <formula>$P20&gt;0.7</formula>
    </cfRule>
  </conditionalFormatting>
  <conditionalFormatting sqref="R20:R99">
    <cfRule type="expression" dxfId="874" priority="8">
      <formula>$Q20="device"</formula>
    </cfRule>
  </conditionalFormatting>
  <conditionalFormatting sqref="S20:S99">
    <cfRule type="expression" dxfId="873" priority="93" stopIfTrue="1">
      <formula>OR(AI20&lt;&gt;TRUE,InputIssues&gt;0)</formula>
    </cfRule>
    <cfRule type="expression" dxfId="872" priority="94" stopIfTrue="1">
      <formula>AND(AY20=TRUE,OR(Q20="device",S20&gt;2))</formula>
    </cfRule>
    <cfRule type="expression" dxfId="871" priority="95" stopIfTrue="1">
      <formula>AND(AY20=TRUE,BD20=TRUE)</formula>
    </cfRule>
  </conditionalFormatting>
  <conditionalFormatting sqref="T3">
    <cfRule type="expression" dxfId="870" priority="27" stopIfTrue="1">
      <formula>NoZoneTableActive=TRUE</formula>
    </cfRule>
    <cfRule type="expression" dxfId="869" priority="25" stopIfTrue="1">
      <formula>F138=TRUE</formula>
    </cfRule>
  </conditionalFormatting>
  <conditionalFormatting sqref="T4">
    <cfRule type="expression" dxfId="868" priority="76" stopIfTrue="1">
      <formula>NOT(ISBLANK($T$4))</formula>
    </cfRule>
  </conditionalFormatting>
  <conditionalFormatting sqref="T20:T99">
    <cfRule type="expression" dxfId="867" priority="59" stopIfTrue="1">
      <formula>OR(AI20&lt;&gt;TRUE,InputIssues&gt;0)</formula>
    </cfRule>
  </conditionalFormatting>
  <conditionalFormatting sqref="T6:U6">
    <cfRule type="expression" dxfId="866" priority="5">
      <formula>Zone=5</formula>
    </cfRule>
  </conditionalFormatting>
  <conditionalFormatting sqref="U20:U99">
    <cfRule type="expression" dxfId="865" priority="96" stopIfTrue="1">
      <formula>OR(AI20&lt;&gt;TRUE,InputIssues&gt;0)</formula>
    </cfRule>
    <cfRule type="expression" dxfId="864" priority="97" stopIfTrue="1">
      <formula>AND(AY20=TRUE,H20&gt;0,I20&gt;0,I20&lt;&gt;G20*H20)</formula>
    </cfRule>
  </conditionalFormatting>
  <conditionalFormatting sqref="V19">
    <cfRule type="expression" dxfId="863" priority="64" stopIfTrue="1">
      <formula>ShowPassCond=TRUE</formula>
    </cfRule>
    <cfRule type="expression" dxfId="862" priority="63" stopIfTrue="1">
      <formula>AND(VisibleFailures&gt;0,FailedConductance&lt;&gt;0,InputIssues=0)</formula>
    </cfRule>
  </conditionalFormatting>
  <conditionalFormatting sqref="V20:V99">
    <cfRule type="expression" dxfId="861" priority="82" stopIfTrue="1">
      <formula>OR(AI20=0,AI20=FALSE,AK20=TRUE,InputIssues&gt;0)</formula>
    </cfRule>
    <cfRule type="expression" dxfId="860" priority="83" stopIfTrue="1">
      <formula>AND(BG20=TRUE,CG20=TRUE,InputsAlert="")</formula>
    </cfRule>
    <cfRule type="expression" dxfId="859" priority="84" stopIfTrue="1">
      <formula>AND(AI20=TRUE,ShowPassCond=TRUE,InputIssues=0)</formula>
    </cfRule>
  </conditionalFormatting>
  <conditionalFormatting sqref="V18:W18">
    <cfRule type="expression" dxfId="858" priority="71" stopIfTrue="1">
      <formula>AND(VisibleFailures&gt;0,FailedConductance&lt;&gt;0,AllInputsOK=TRUE)</formula>
    </cfRule>
    <cfRule type="expression" dxfId="857" priority="72" stopIfTrue="1">
      <formula>ShowPassCond=TRUE</formula>
    </cfRule>
  </conditionalFormatting>
  <conditionalFormatting sqref="W19">
    <cfRule type="expression" dxfId="856" priority="66" stopIfTrue="1">
      <formula>ShowPassCond=TRUE</formula>
    </cfRule>
    <cfRule type="expression" dxfId="855" priority="65" stopIfTrue="1">
      <formula>AND(VisibleFailures&gt;0,FailedConductance&lt;&gt;0,inputiisues=0)</formula>
    </cfRule>
  </conditionalFormatting>
  <conditionalFormatting sqref="W20:W99">
    <cfRule type="expression" dxfId="854" priority="86" stopIfTrue="1">
      <formula>AND(BG20=TRUE,CG20=TRUE,InputsAlert="")</formula>
    </cfRule>
    <cfRule type="expression" dxfId="853" priority="85" stopIfTrue="1">
      <formula>OR(AI20=0,AI20=FALSE,AK20=TRUE,InputIssues&gt;0)</formula>
    </cfRule>
    <cfRule type="expression" dxfId="852" priority="87" stopIfTrue="1">
      <formula>AND(AI20=TRUE,ShowPassCond=TRUE,InputIssues=0)</formula>
    </cfRule>
  </conditionalFormatting>
  <conditionalFormatting sqref="X19">
    <cfRule type="expression" dxfId="851" priority="68" stopIfTrue="1">
      <formula>ShowPassSHG=TRUE</formula>
    </cfRule>
    <cfRule type="expression" dxfId="850" priority="67" stopIfTrue="1">
      <formula>AND(VisibleFailures&gt;0,FailedSHG&lt;&gt;0,InputIssues=0)</formula>
    </cfRule>
  </conditionalFormatting>
  <conditionalFormatting sqref="X20:X99">
    <cfRule type="expression" dxfId="849" priority="89" stopIfTrue="1">
      <formula>AND(BG20=TRUE,CH20=TRUE,InputsAlert="")</formula>
    </cfRule>
    <cfRule type="expression" dxfId="848" priority="88" stopIfTrue="1">
      <formula>OR(AI20=0,AI20=FALSE,AK20=TRUE,InputIssues&gt;0)</formula>
    </cfRule>
    <cfRule type="expression" dxfId="847" priority="90" stopIfTrue="1">
      <formula>AND(AI20=TRUE,ShowPassSHG=TRUE,InputIssues=0)</formula>
    </cfRule>
  </conditionalFormatting>
  <conditionalFormatting sqref="X18:Y18">
    <cfRule type="expression" dxfId="846" priority="73" stopIfTrue="1">
      <formula>AND(VisibleFailures&gt;0,FailedSHG&lt;&gt;0,AllInputsOK=TRUE)</formula>
    </cfRule>
    <cfRule type="expression" dxfId="845" priority="74" stopIfTrue="1">
      <formula>ShowPassSHG=TRUE</formula>
    </cfRule>
  </conditionalFormatting>
  <conditionalFormatting sqref="Y6:Y7">
    <cfRule type="expression" dxfId="844" priority="61" stopIfTrue="1">
      <formula>AND(Y6&lt;&gt;"",Y6&gt;0)</formula>
    </cfRule>
  </conditionalFormatting>
  <conditionalFormatting sqref="Y19">
    <cfRule type="expression" dxfId="843" priority="69" stopIfTrue="1">
      <formula>AND(VisibleFailures&gt;0,FailedSHG&lt;&gt;0)</formula>
    </cfRule>
    <cfRule type="expression" dxfId="842" priority="70" stopIfTrue="1">
      <formula>ShowPassSHG=TRUE</formula>
    </cfRule>
  </conditionalFormatting>
  <conditionalFormatting sqref="Y20:Y99">
    <cfRule type="expression" dxfId="841" priority="81" stopIfTrue="1">
      <formula>AND(AI20=TRUE,ShowPassSHG=TRUE,InputIssues=0)</formula>
    </cfRule>
    <cfRule type="expression" dxfId="840" priority="79" stopIfTrue="1">
      <formula>OR(AI20=0,AK20=TRUE,InputIssues&gt;0)</formula>
    </cfRule>
    <cfRule type="expression" dxfId="839" priority="80" stopIfTrue="1">
      <formula>AND(BG20=TRUE,CH20=TRUE)</formula>
    </cfRule>
  </conditionalFormatting>
  <conditionalFormatting sqref="Y101">
    <cfRule type="expression" dxfId="838" priority="2" stopIfTrue="1">
      <formula>VisibleFailures&gt;0</formula>
    </cfRule>
    <cfRule type="expression" dxfId="837" priority="3" stopIfTrue="1">
      <formula>AND(AllInputsOK=TRUE,ShowPassCond=TRUE,ShowPassSHG=TRUE)</formula>
    </cfRule>
  </conditionalFormatting>
  <conditionalFormatting sqref="AH2">
    <cfRule type="expression" dxfId="836" priority="17" stopIfTrue="1">
      <formula>AI2=TRUE</formula>
    </cfRule>
  </conditionalFormatting>
  <conditionalFormatting sqref="AH20:AH99 AJ20:AJ99">
    <cfRule type="cellIs" dxfId="835" priority="53" stopIfTrue="1" operator="notEqual">
      <formula>0</formula>
    </cfRule>
  </conditionalFormatting>
  <conditionalFormatting sqref="AH18:AJ18">
    <cfRule type="cellIs" dxfId="834" priority="50" stopIfTrue="1" operator="greaterThan">
      <formula>0</formula>
    </cfRule>
  </conditionalFormatting>
  <conditionalFormatting sqref="AI20:AI99 AY20:AZ99">
    <cfRule type="cellIs" dxfId="833" priority="46" stopIfTrue="1" operator="equal">
      <formula>TRUE</formula>
    </cfRule>
  </conditionalFormatting>
  <conditionalFormatting sqref="AJ2">
    <cfRule type="expression" dxfId="832" priority="16" stopIfTrue="1">
      <formula>AK2=TRUE</formula>
    </cfRule>
  </conditionalFormatting>
  <conditionalFormatting sqref="AK20:AK99">
    <cfRule type="cellIs" dxfId="831" priority="78" stopIfTrue="1" operator="equal">
      <formula>TRUE</formula>
    </cfRule>
  </conditionalFormatting>
  <conditionalFormatting sqref="AL20:AN99 AR20:AU99 AW20:AW99">
    <cfRule type="cellIs" dxfId="830" priority="77" stopIfTrue="1" operator="equal">
      <formula>TRUE</formula>
    </cfRule>
  </conditionalFormatting>
  <conditionalFormatting sqref="AO20:AQ99">
    <cfRule type="cellIs" dxfId="829" priority="51" stopIfTrue="1" operator="equal">
      <formula>TRUE</formula>
    </cfRule>
  </conditionalFormatting>
  <conditionalFormatting sqref="AV20:AV99">
    <cfRule type="cellIs" dxfId="828" priority="20" operator="equal">
      <formula>TRUE</formula>
    </cfRule>
  </conditionalFormatting>
  <conditionalFormatting sqref="AX20:AX99">
    <cfRule type="cellIs" dxfId="827" priority="21" operator="equal">
      <formula>TRUE</formula>
    </cfRule>
  </conditionalFormatting>
  <conditionalFormatting sqref="BA20:BA99">
    <cfRule type="cellIs" dxfId="826" priority="49" stopIfTrue="1" operator="notEqual">
      <formula>0</formula>
    </cfRule>
  </conditionalFormatting>
  <conditionalFormatting sqref="BB20:BC99">
    <cfRule type="expression" dxfId="825" priority="29" stopIfTrue="1">
      <formula>AND(AI20=FALSE,AJ20&gt;0,LEN(BB20)&gt;0)</formula>
    </cfRule>
    <cfRule type="expression" dxfId="824" priority="33" stopIfTrue="1">
      <formula>AND(AJ20&gt;0,LEN(BB20)&gt;0)</formula>
    </cfRule>
  </conditionalFormatting>
  <conditionalFormatting sqref="BD20:BD99">
    <cfRule type="cellIs" dxfId="823" priority="48" stopIfTrue="1" operator="equal">
      <formula>TRUE</formula>
    </cfRule>
  </conditionalFormatting>
  <conditionalFormatting sqref="BE20:BF99">
    <cfRule type="cellIs" dxfId="822" priority="47" stopIfTrue="1" operator="equal">
      <formula>TRUE</formula>
    </cfRule>
  </conditionalFormatting>
  <conditionalFormatting sqref="BG20:BG99">
    <cfRule type="cellIs" dxfId="821" priority="31" operator="equal">
      <formula>TRUE</formula>
    </cfRule>
  </conditionalFormatting>
  <conditionalFormatting sqref="BI20:BL99 BN20:BQ99 CC20:CF99">
    <cfRule type="cellIs" dxfId="820" priority="39" stopIfTrue="1" operator="equal">
      <formula>0</formula>
    </cfRule>
  </conditionalFormatting>
  <conditionalFormatting sqref="BM20:BM99">
    <cfRule type="cellIs" dxfId="819" priority="40" stopIfTrue="1" operator="equal">
      <formula>FALSE</formula>
    </cfRule>
    <cfRule type="cellIs" dxfId="818" priority="41" stopIfTrue="1" operator="notEqual">
      <formula>0</formula>
    </cfRule>
  </conditionalFormatting>
  <conditionalFormatting sqref="BN20:BO99 BW20:BX99">
    <cfRule type="cellIs" dxfId="817" priority="44" stopIfTrue="1" operator="equal">
      <formula>10</formula>
    </cfRule>
  </conditionalFormatting>
  <conditionalFormatting sqref="BS20:CA99">
    <cfRule type="cellIs" dxfId="816" priority="15" stopIfTrue="1" operator="equal">
      <formula>0</formula>
    </cfRule>
  </conditionalFormatting>
  <conditionalFormatting sqref="CC12:CD12 AK18 AM18:AX18">
    <cfRule type="cellIs" dxfId="815" priority="38" stopIfTrue="1" operator="greaterThan">
      <formula>0</formula>
    </cfRule>
  </conditionalFormatting>
  <conditionalFormatting sqref="CG20:CH99">
    <cfRule type="cellIs" dxfId="814" priority="43" stopIfTrue="1" operator="equal">
      <formula>TRUE</formula>
    </cfRule>
  </conditionalFormatting>
  <conditionalFormatting sqref="CI20:CJ99">
    <cfRule type="cellIs" dxfId="813" priority="42" stopIfTrue="1" operator="equal">
      <formula>""</formula>
    </cfRule>
  </conditionalFormatting>
  <conditionalFormatting sqref="CJ4 CC6:CC7">
    <cfRule type="cellIs" dxfId="812" priority="45" stopIfTrue="1" operator="lessThan">
      <formula>0</formula>
    </cfRule>
  </conditionalFormatting>
  <dataValidations count="25">
    <dataValidation type="list" allowBlank="1" showInputMessage="1" showErrorMessage="1" sqref="T6" xr:uid="{00000000-0002-0000-0500-000000000000}">
      <formula1>Brick_Cavity</formula1>
    </dataValidation>
    <dataValidation showErrorMessage="1" errorTitle="Invalid climate zone number" error="Only whole numbers between 1 and 8 (for climate zones 1-8) are permitted." promptTitle="BCA Climate Zone" prompt="Enter a whole number between 1 and 8." sqref="T4" xr:uid="{00000000-0002-0000-0500-000001000000}"/>
    <dataValidation type="custom" allowBlank="1" showErrorMessage="1" errorTitle="Invalid entry" error="Only 'Std','Standard' or 'High' or a multiple of 'Standard' can be used in this cell._x000a__x000a_A multiple of 'Standard' must be greater than 1 but less than 2. Enter just the number. A 'Std'  label will be added automatically." promptTitle="Air Movement" prompt="First calculate the applicable Air Movement level._x000a__x000a_Type 'Standard' or 'High' or a multiple of Standard if in between. A multiple can only be a number more than 1 but less than 2._x000a__x000a_Press Enter or Tab to leave the cell." sqref="B13:D13 E12" xr:uid="{00000000-0002-0000-0500-000002000000}">
      <formula1>AND(AND(MultipleAir&gt;=1,MultipleAir&lt;=2),OR(SuffixAir="Std",SuffixAir="High"))</formula1>
    </dataValidation>
    <dataValidation type="list" allowBlank="1" showInputMessage="1" showErrorMessage="1" sqref="F20:F22" xr:uid="{00000000-0002-0000-0500-000003000000}">
      <formula1>$F$158:$M$158</formula1>
    </dataValidation>
    <dataValidation allowBlank="1" showErrorMessage="1" sqref="CM18" xr:uid="{00000000-0002-0000-0500-000004000000}"/>
    <dataValidation type="whole" allowBlank="1" showInputMessage="1" showErrorMessage="1" errorTitle="Invalid entry" error="'Floor area' must be a whole number greater than zero. (No decimal places.)_x000a_Do not type the 'm²' label." promptTitle="Direct contact =" sqref="F7:F8 F12" xr:uid="{00000000-0002-0000-0500-000006000000}">
      <formula1>1</formula1>
      <formula2>999</formula2>
    </dataValidation>
    <dataValidation type="list" allowBlank="1" showErrorMessage="1" errorTitle="Invalid entry" error="If you have entered a % openability, it must be a multiple of 5% from 0% to 90%." sqref="N20:N99" xr:uid="{00000000-0002-0000-0500-000007000000}">
      <formula1>_Open_</formula1>
    </dataValidation>
    <dataValidation type="list" allowBlank="1" showErrorMessage="1" errorTitle="Invalid entry" error="The only possible entries are Dark, Medium or Light." sqref="M20:M99" xr:uid="{00000000-0002-0000-0500-000008000000}">
      <formula1>_F_</formula1>
    </dataValidation>
    <dataValidation type="list" allowBlank="1" showErrorMessage="1" errorTitle="Invalid entry" error="Select the type of floor covering from the drop down list. If you type in a covering and it doesn't match the list, this error message will display." sqref="L20:L99" xr:uid="{00000000-0002-0000-0500-000009000000}">
      <formula1>_Hard_</formula1>
    </dataValidation>
    <dataValidation type="list" allowBlank="1" showErrorMessage="1" errorTitle="Invalid entry" error="Select from the drop down list to pick valid entries." sqref="K20:K99" xr:uid="{00000000-0002-0000-0500-00000A000000}">
      <formula1>_Level_</formula1>
    </dataValidation>
    <dataValidation type="list" allowBlank="1" showErrorMessage="1" errorTitle="Invalid entry" error="Select from the drop down box. The only valid entries are Bedroom, Utility and Other. For an explanation of this, let the mouse hover over the column heading." sqref="J20:J99" xr:uid="{00000000-0002-0000-0500-00000B000000}">
      <formula1>_Bed_</formula1>
    </dataValidation>
    <dataValidation allowBlank="1" showInputMessage="1" showErrorMessage="1" errorTitle="Invalid entry" error="Select entry only from the drop down list." promptTitle="Wall insulation concessions" sqref="H12 J12:K12" xr:uid="{00000000-0002-0000-0500-00000C000000}"/>
    <dataValidation type="list" showErrorMessage="1" errorTitle="Invalid entry" error="Select a value from the drop down list (if available)._x000a__x000a_(Inputs above this table must be complete for the list to appear.)" promptTitle="Orientation sector" prompt="Select a sector from the drop down list._x000a__x000a_The list shows only when inputs above this table are complete." sqref="F23:F99" xr:uid="{00000000-0002-0000-0500-00000D000000}">
      <formula1>OrientationsA</formula1>
    </dataValidation>
    <dataValidation allowBlank="1" showErrorMessage="1" errorTitle="Invalid entry" error="Select entry only from the drop down list." sqref="J12:K12" xr:uid="{00000000-0002-0000-0500-00000E000000}"/>
    <dataValidation type="list" allowBlank="1" showInputMessage="1" showErrorMessage="1" errorTitle="Invalid entry" error="Please use only the values on the drop down list." promptTitle="Type of Exposure factor" prompt="In zones 2-8, this column can show Exposure factors for Solar heat gain (Es), for Conductance (Ew) or their relationship (Ew / Es). (The choice is for information and does not affect calculations.)" sqref="T19" xr:uid="{00000000-0002-0000-0500-00000F000000}">
      <formula1>ValidExposures</formula1>
    </dataValidation>
    <dataValidation type="whole" allowBlank="1" showInputMessage="1" showErrorMessage="1" errorTitle="Invalid entry" error="'Floor area' must be a whole number greater than zero. (No decimal places.)_x000a_Do not type the 'm²' label." promptTitle="Direct contact =" prompt="A floor in direct contact with the ground (including a concrete slab on ground or on consolidated fill)._x000a__x000a_Type only a whole number (without 'm²' label)." sqref="F9:F11" xr:uid="{00000000-0002-0000-0500-000010000000}">
      <formula1>1</formula1>
      <formula2>999</formula2>
    </dataValidation>
    <dataValidation type="custom" allowBlank="1" showInputMessage="1" showErrorMessage="1" errorTitle="Invalid entry" error="P must be a number greater than zero or the word 'device' (without the quotation marks)." promptTitle="Input advice:" prompt="If shading is provided by an external shading device complying with 13.3.4(b), enter 'device' (without the quotation marks)." sqref="Q20:Q99" xr:uid="{00000000-0002-0000-0500-000011000000}">
      <formula1>OR(AND(ISNUMBER(Q20),Q20&gt;=0),Q20="device")</formula1>
    </dataValidation>
    <dataValidation type="whole" allowBlank="1" showErrorMessage="1" errorTitle="Invalid entry" error="Please select a number large enough to display all rows containing data but no more than 80 (the maximum available in the table)." sqref="F15" xr:uid="{00000000-0002-0000-0500-000012000000}">
      <formula1>MAX(1,LastActive)</formula1>
      <formula2>RowsAvailable</formula2>
    </dataValidation>
    <dataValidation type="decimal" operator="greaterThan" allowBlank="1" showErrorMessage="1" errorTitle="Invalid entry" error="Height (if used) must be a number greater than zero." sqref="G20:G99" xr:uid="{00000000-0002-0000-0500-000013000000}">
      <formula1>0</formula1>
    </dataValidation>
    <dataValidation type="decimal" allowBlank="1" showErrorMessage="1" errorTitle="Value is outside the valid range" error="Total System U-values must be no more than 8.0 and no less than 1.0. Please enter a value within these limits._x000a__x000a_(In practice, values greater than 7.9 or less than 2.1 are unlikely to be realistic.)" sqref="O20:O99" xr:uid="{00000000-0002-0000-0500-000015000000}">
      <formula1>0.5</formula1>
      <formula2>8</formula2>
    </dataValidation>
    <dataValidation type="decimal" allowBlank="1" showErrorMessage="1" errorTitle="Value is outside the valid range" error="Total System SHGC values cannot be more than 1.00 or less than 0. Please enter a value within these limits. _x000a__x000a_In this calcultor any value over 0.7 is trimmed to 0.7. Values under 0.16 are unlikely to be realistic._x000a_" sqref="P20:P99" xr:uid="{00000000-0002-0000-0500-000016000000}">
      <formula1>0</formula1>
      <formula2>1</formula2>
    </dataValidation>
    <dataValidation type="decimal" operator="greaterThan" allowBlank="1" showInputMessage="1" showErrorMessage="1" errorTitle="Invalid height" error="No extra credit for a shading edge at or below the base of the glazing._x000a__x000a_Enter a number greater than zero (eg. 0.001 or larger)" prompt="P is halved if H is more than the glazing height plus 0.5m" sqref="R20:R99" xr:uid="{00000000-0002-0000-0500-000017000000}">
      <formula1>0</formula1>
    </dataValidation>
    <dataValidation type="whole" showErrorMessage="1" errorTitle="Invalid climate zone number" error="Only whole numbers between 1 and 8 (for climate zones 1-8) are permitted." promptTitle="BCA Climate Zone" prompt="Enter a whole number between 1 and 8." sqref="T5" xr:uid="{00000000-0002-0000-0500-000018000000}">
      <formula1>1</formula1>
      <formula2>8</formula2>
    </dataValidation>
    <dataValidation type="decimal" allowBlank="1" showInputMessage="1" showErrorMessage="1" errorTitle="Invalid entry" error="Area (when given) must be a number greater than zero." promptTitle="Input for window Area" prompt="This calculator allows you to enter the windows size parameters either by height and width or be height and area._x000a__x000a_Area is not needed when Height and Width are given (and will be ignored if equal to or smaller than Height x Width)." sqref="I20:I99" xr:uid="{00000000-0002-0000-0500-000019000000}">
      <formula1>0.01</formula1>
      <formula2>10000</formula2>
    </dataValidation>
    <dataValidation type="custom" allowBlank="1" showInputMessage="1" showErrorMessage="1" errorTitle="Invalid entry" error="Width (if used) must be a number greater than zero. _x000a__x000a_Not needed when an Area has already been given. Clear Area if intending to specify Height and Width." promptTitle="Input width of window" prompt="This calculator allows you to enter the windows size parameters either by height and width or be height and area._x000a__x000a_Width is not needed when an Area has already been given (Width will be ignored if Area is greather than Height x Width)" sqref="H20:H99" xr:uid="{00000000-0002-0000-0500-00001A000000}">
      <formula1>AND(H20&gt;0,COUNTA(I20)=0)</formula1>
    </dataValidation>
  </dataValidations>
  <printOptions horizontalCentered="1"/>
  <pageMargins left="0.23622047244094491" right="0.23622047244094491" top="0.74803149606299213" bottom="0.74803149606299213" header="0.31496062992125984" footer="0.31496062992125984"/>
  <pageSetup paperSize="9" scale="37" orientation="landscape" r:id="rId1"/>
  <headerFooter>
    <oddHeader>&amp;L&amp;"Inter,Italic"Report from &amp;F&amp;R&amp;"Inter,Italic"Printed &amp;D</oddHeader>
    <oddFooter>&amp;R&amp;"Inter,Italic"page &amp;P of &amp;N</oddFoot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4"/>
  <dimension ref="B1:CO153"/>
  <sheetViews>
    <sheetView topLeftCell="A40" workbookViewId="0">
      <selection activeCell="K75" sqref="K75"/>
    </sheetView>
  </sheetViews>
  <sheetFormatPr defaultColWidth="9" defaultRowHeight="12.5" x14ac:dyDescent="0.25"/>
  <cols>
    <col min="1" max="1" width="1.5" style="168" customWidth="1"/>
    <col min="2" max="2" width="7.83203125" style="168" customWidth="1"/>
    <col min="3" max="3" width="8" style="168" customWidth="1"/>
    <col min="4" max="12" width="9.08203125" style="168" customWidth="1"/>
    <col min="13" max="13" width="14.08203125" style="168" customWidth="1"/>
    <col min="14" max="14" width="11.58203125" style="168" customWidth="1"/>
    <col min="15" max="15" width="16.08203125" style="168" customWidth="1"/>
    <col min="16" max="24" width="6.08203125" style="168" customWidth="1"/>
    <col min="25" max="25" width="16.08203125" style="168" customWidth="1"/>
    <col min="26" max="31" width="6.08203125" style="168" customWidth="1"/>
    <col min="32" max="32" width="5" style="168" customWidth="1"/>
    <col min="33" max="33" width="6" style="168" customWidth="1"/>
    <col min="34" max="62" width="5" style="168" customWidth="1"/>
    <col min="63" max="63" width="1.5" style="168" customWidth="1"/>
    <col min="64" max="72" width="5" style="168" customWidth="1"/>
    <col min="73" max="73" width="1.5" style="168" customWidth="1"/>
    <col min="74" max="82" width="5" style="168" customWidth="1"/>
    <col min="83" max="83" width="1.5" style="168" customWidth="1"/>
    <col min="84" max="92" width="5" style="168" customWidth="1"/>
    <col min="93" max="16384" width="9" style="168"/>
  </cols>
  <sheetData>
    <row r="1" spans="2:93" ht="13" x14ac:dyDescent="0.3">
      <c r="B1" s="388" t="s">
        <v>1210</v>
      </c>
    </row>
    <row r="2" spans="2:93" ht="13" x14ac:dyDescent="0.3">
      <c r="B2" s="389" t="s">
        <v>1211</v>
      </c>
    </row>
    <row r="3" spans="2:93" ht="13" x14ac:dyDescent="0.3">
      <c r="B3" s="389" t="s">
        <v>1212</v>
      </c>
    </row>
    <row r="4" spans="2:93" ht="13" x14ac:dyDescent="0.3">
      <c r="B4" s="389" t="s">
        <v>1213</v>
      </c>
    </row>
    <row r="5" spans="2:93" ht="13" x14ac:dyDescent="0.3">
      <c r="B5" s="389" t="s">
        <v>1214</v>
      </c>
    </row>
    <row r="10" spans="2:93" ht="13" x14ac:dyDescent="0.3">
      <c r="B10" s="1386" t="s">
        <v>1215</v>
      </c>
      <c r="C10" s="1387"/>
      <c r="D10" s="1387"/>
      <c r="E10" s="1387"/>
      <c r="F10" s="1387"/>
      <c r="G10" s="1387"/>
      <c r="H10" s="1387"/>
      <c r="I10" s="1387"/>
      <c r="J10" s="1387"/>
      <c r="K10" s="1387"/>
      <c r="L10" s="1387"/>
      <c r="M10" s="1387"/>
      <c r="N10" s="1387"/>
      <c r="O10" s="1387"/>
      <c r="P10" s="1387"/>
      <c r="Q10" s="1387"/>
      <c r="R10" s="1387"/>
      <c r="S10" s="1387"/>
      <c r="T10" s="1387"/>
      <c r="U10" s="1387"/>
      <c r="V10" s="1387"/>
      <c r="W10" s="1387"/>
      <c r="X10" s="1387"/>
      <c r="Y10" s="1387"/>
      <c r="Z10" s="1387"/>
      <c r="AA10" s="1387"/>
      <c r="AB10" s="1387"/>
      <c r="AC10" s="1387"/>
      <c r="AD10" s="1387"/>
      <c r="AE10" s="1387"/>
      <c r="AF10" s="1387"/>
      <c r="AG10" s="1387"/>
      <c r="AH10" s="1387"/>
      <c r="AI10" s="1387"/>
      <c r="AJ10" s="1387"/>
      <c r="AK10" s="1387"/>
      <c r="AL10" s="1387"/>
      <c r="AM10" s="1387"/>
      <c r="AN10" s="1387"/>
      <c r="AO10" s="1387"/>
      <c r="AP10" s="1387"/>
      <c r="AQ10" s="1387"/>
      <c r="AR10" s="1387"/>
      <c r="AS10" s="1387"/>
      <c r="AT10" s="1387"/>
      <c r="AU10" s="1387"/>
      <c r="AV10" s="1387"/>
      <c r="AW10" s="1387"/>
      <c r="AX10" s="1387"/>
      <c r="AY10" s="1387"/>
      <c r="AZ10" s="1387"/>
      <c r="BA10" s="1387"/>
      <c r="BB10" s="1387"/>
      <c r="BC10" s="1387"/>
      <c r="BD10" s="1387"/>
      <c r="BE10" s="1387"/>
      <c r="BF10" s="1387"/>
      <c r="BG10" s="1387"/>
      <c r="BH10" s="1387"/>
      <c r="BI10" s="1387"/>
      <c r="BJ10" s="1387"/>
      <c r="BK10" s="1387"/>
      <c r="BL10" s="1387"/>
      <c r="BM10" s="1387"/>
      <c r="BN10" s="1387"/>
      <c r="BO10" s="1387"/>
      <c r="BP10" s="1387"/>
      <c r="BQ10" s="1387"/>
      <c r="BR10" s="1387"/>
      <c r="BS10" s="1387"/>
      <c r="BT10" s="1387"/>
      <c r="BU10" s="1387"/>
      <c r="BV10" s="1387"/>
      <c r="BW10" s="1387"/>
      <c r="BX10" s="1387"/>
      <c r="BY10" s="1387"/>
      <c r="BZ10" s="1387"/>
      <c r="CA10" s="1387"/>
      <c r="CB10" s="1387"/>
      <c r="CC10" s="1387"/>
      <c r="CD10" s="1387"/>
      <c r="CE10" s="1387"/>
      <c r="CF10" s="1387"/>
      <c r="CG10" s="1387"/>
      <c r="CH10" s="1387"/>
      <c r="CI10" s="1387"/>
      <c r="CJ10" s="1387"/>
      <c r="CK10" s="1387"/>
      <c r="CL10" s="1387"/>
      <c r="CM10" s="1387"/>
      <c r="CN10" s="1387"/>
      <c r="CO10" s="1387"/>
    </row>
    <row r="11" spans="2:93" ht="13" x14ac:dyDescent="0.3">
      <c r="B11" s="390" t="s">
        <v>1216</v>
      </c>
    </row>
    <row r="12" spans="2:93" ht="13" x14ac:dyDescent="0.3">
      <c r="B12" s="389" t="s">
        <v>1217</v>
      </c>
    </row>
    <row r="13" spans="2:93" ht="13" x14ac:dyDescent="0.3">
      <c r="B13" s="389" t="s">
        <v>1218</v>
      </c>
    </row>
    <row r="15" spans="2:93" ht="16.5" customHeight="1" x14ac:dyDescent="0.3">
      <c r="B15" s="390" t="s">
        <v>1219</v>
      </c>
    </row>
    <row r="16" spans="2:93" ht="16.5" customHeight="1" x14ac:dyDescent="0.25">
      <c r="C16" s="199" t="s">
        <v>1220</v>
      </c>
      <c r="D16" s="391">
        <v>1</v>
      </c>
      <c r="E16" s="391">
        <v>2</v>
      </c>
      <c r="F16" s="391">
        <v>3</v>
      </c>
      <c r="G16" s="391">
        <v>4</v>
      </c>
      <c r="H16" s="391">
        <v>5</v>
      </c>
      <c r="I16" s="391" t="s">
        <v>1117</v>
      </c>
      <c r="J16" s="391">
        <v>6</v>
      </c>
      <c r="K16" s="391">
        <v>7</v>
      </c>
      <c r="L16" s="391">
        <v>8</v>
      </c>
      <c r="AK16" s="168" t="s">
        <v>1221</v>
      </c>
    </row>
    <row r="17" spans="2:49" ht="16.5" customHeight="1" x14ac:dyDescent="0.4">
      <c r="B17" s="1388" t="s">
        <v>205</v>
      </c>
      <c r="C17" s="1155" t="s">
        <v>1222</v>
      </c>
      <c r="D17" s="1156">
        <v>1.65</v>
      </c>
      <c r="E17" s="1157">
        <f>'CZ02 Factors'!$P$28</f>
        <v>9.5989827330437247</v>
      </c>
      <c r="F17" s="1157">
        <f>'CZ03 Factors'!$P$28</f>
        <v>19.098974024000775</v>
      </c>
      <c r="G17" s="1157">
        <f>'CZ04 Factors'!$P$28</f>
        <v>10.2487168088355</v>
      </c>
      <c r="H17" s="1157">
        <f>'CZ05 Factors'!$P$28</f>
        <v>8.888073159950423</v>
      </c>
      <c r="I17" s="1157">
        <f>'CZ05 BC Factors'!$P$28</f>
        <v>8.7946581423304071</v>
      </c>
      <c r="J17" s="1157">
        <f>'CZ06 Factors'!$P$28</f>
        <v>8.4489529606611775</v>
      </c>
      <c r="K17" s="1157">
        <v>7.02</v>
      </c>
      <c r="L17" s="1158">
        <f>'CZ08 Factors'!$P$28</f>
        <v>4.9338192416188535</v>
      </c>
      <c r="AL17" s="168" t="s">
        <v>1223</v>
      </c>
    </row>
    <row r="18" spans="2:49" ht="16.5" customHeight="1" thickBot="1" x14ac:dyDescent="0.45">
      <c r="C18" s="1389" t="s">
        <v>1224</v>
      </c>
      <c r="D18" s="1390" t="e">
        <f ca="1">D26</f>
        <v>#DIV/0!</v>
      </c>
      <c r="E18" s="1390" t="e">
        <f t="shared" ref="E18:L18" ca="1" si="0">E26</f>
        <v>#DIV/0!</v>
      </c>
      <c r="F18" s="1390" t="e">
        <f t="shared" ca="1" si="0"/>
        <v>#DIV/0!</v>
      </c>
      <c r="G18" s="1390" t="e">
        <f t="shared" ca="1" si="0"/>
        <v>#DIV/0!</v>
      </c>
      <c r="H18" s="1390" t="e">
        <f t="shared" ca="1" si="0"/>
        <v>#DIV/0!</v>
      </c>
      <c r="I18" s="1390" t="e">
        <f t="shared" ca="1" si="0"/>
        <v>#DIV/0!</v>
      </c>
      <c r="J18" s="1390" t="e">
        <f t="shared" si="0"/>
        <v>#DIV/0!</v>
      </c>
      <c r="K18" s="1390" t="e">
        <f t="shared" ca="1" si="0"/>
        <v>#DIV/0!</v>
      </c>
      <c r="L18" s="1390" t="e">
        <f t="shared" ca="1" si="0"/>
        <v>#DIV/0!</v>
      </c>
      <c r="AK18" s="168" t="s">
        <v>1225</v>
      </c>
      <c r="AV18" s="168" t="s">
        <v>1226</v>
      </c>
    </row>
    <row r="19" spans="2:49" ht="16.5" customHeight="1" thickBot="1" x14ac:dyDescent="0.45">
      <c r="B19" s="392">
        <v>0.05</v>
      </c>
      <c r="C19" s="1389" t="s">
        <v>1227</v>
      </c>
      <c r="D19" s="1390">
        <f>'CZ01 Factors'!Q5</f>
        <v>6.7212360090037948E-2</v>
      </c>
      <c r="E19" s="1391">
        <v>5.9472570145539569E-2</v>
      </c>
      <c r="F19" s="1391">
        <f>'CZ03 Factors'!Q5</f>
        <v>9.4545843120608403E-2</v>
      </c>
      <c r="G19" s="1391">
        <f>'CZ04 Factors'!Q5</f>
        <v>6.0398408072358876E-2</v>
      </c>
      <c r="H19" s="1391">
        <f>'CZ05 Factors'!Q5</f>
        <v>4.8448242936761449E-2</v>
      </c>
      <c r="I19" s="1391">
        <f>'CZ05 BC Factors'!Q5</f>
        <v>6.5661352889837057E-2</v>
      </c>
      <c r="J19" s="1391">
        <f>'CZ06 Factors'!Q5</f>
        <v>7.8644415883341229E-2</v>
      </c>
      <c r="K19" s="1391">
        <f>'CZ07 Factors'!Q5</f>
        <v>7.6190221484248741E-2</v>
      </c>
      <c r="L19" s="1392">
        <f>'CZ08 Factors'!Q5</f>
        <v>0.1879170335479888</v>
      </c>
      <c r="P19" s="393" t="s">
        <v>1228</v>
      </c>
      <c r="Q19" s="394"/>
      <c r="AK19" s="1159" t="s">
        <v>1229</v>
      </c>
      <c r="AL19" s="1160" t="s">
        <v>1230</v>
      </c>
      <c r="AM19" s="1160" t="s">
        <v>1231</v>
      </c>
      <c r="AN19" s="1160" t="s">
        <v>1232</v>
      </c>
      <c r="AO19" s="1160" t="s">
        <v>1233</v>
      </c>
      <c r="AP19" s="1160" t="s">
        <v>1234</v>
      </c>
      <c r="AQ19" s="1160" t="s">
        <v>1235</v>
      </c>
      <c r="AR19" s="1160" t="s">
        <v>1236</v>
      </c>
      <c r="AS19" s="1161" t="s">
        <v>1237</v>
      </c>
      <c r="AV19" s="395" t="s">
        <v>1232</v>
      </c>
      <c r="AW19" s="396">
        <v>3</v>
      </c>
    </row>
    <row r="20" spans="2:49" ht="16.5" customHeight="1" thickBot="1" x14ac:dyDescent="0.45">
      <c r="B20" s="905">
        <v>0.1</v>
      </c>
      <c r="C20" s="1393" t="s">
        <v>1238</v>
      </c>
      <c r="D20" s="1162">
        <f>'CZ01 Factors'!Q6</f>
        <v>7.1833186922944811E-2</v>
      </c>
      <c r="E20" s="1163">
        <v>6.4026766119675116E-2</v>
      </c>
      <c r="F20" s="1163">
        <f>'CZ03 Factors'!Q6</f>
        <v>9.8522129991632124E-2</v>
      </c>
      <c r="G20" s="1163">
        <f>'CZ04 Factors'!Q6</f>
        <v>6.2590889275366393E-2</v>
      </c>
      <c r="H20" s="1163">
        <f>'CZ05 Factors'!Q6</f>
        <v>5.3754585621250045E-2</v>
      </c>
      <c r="I20" s="1163">
        <f>'CZ05 BC Factors'!Q6</f>
        <v>6.9470876699360862E-2</v>
      </c>
      <c r="J20" s="1163">
        <f>'CZ06 Factors'!Q6</f>
        <v>8.1692034930960278E-2</v>
      </c>
      <c r="K20" s="1163">
        <f>'CZ07 Factors'!Q6</f>
        <v>8.2141689371200491E-2</v>
      </c>
      <c r="L20" s="1164">
        <f>'CZ08 Factors'!Q6</f>
        <v>0.19036399917634542</v>
      </c>
      <c r="P20" s="168">
        <v>1</v>
      </c>
      <c r="Q20" s="168">
        <v>2</v>
      </c>
      <c r="R20" s="168">
        <v>3</v>
      </c>
      <c r="S20" s="168">
        <v>4</v>
      </c>
      <c r="T20" s="168">
        <v>5</v>
      </c>
      <c r="U20" s="168">
        <v>6</v>
      </c>
      <c r="V20" s="168">
        <v>7</v>
      </c>
      <c r="W20" s="168">
        <v>8</v>
      </c>
      <c r="X20" s="168">
        <v>9</v>
      </c>
      <c r="Z20" s="393" t="s">
        <v>1239</v>
      </c>
      <c r="AA20" s="394"/>
      <c r="AK20" s="168" t="s">
        <v>1240</v>
      </c>
      <c r="AL20" s="168">
        <v>1</v>
      </c>
      <c r="AM20" s="168">
        <v>2</v>
      </c>
      <c r="AN20" s="168">
        <v>3</v>
      </c>
      <c r="AO20" s="168">
        <v>4</v>
      </c>
      <c r="AP20" s="168">
        <v>5</v>
      </c>
      <c r="AQ20" s="168">
        <v>6</v>
      </c>
      <c r="AR20" s="168">
        <v>7</v>
      </c>
      <c r="AS20" s="168">
        <v>8</v>
      </c>
      <c r="AV20" s="397" t="s">
        <v>1230</v>
      </c>
      <c r="AW20" s="398">
        <v>1</v>
      </c>
    </row>
    <row r="21" spans="2:49" ht="16.5" customHeight="1" x14ac:dyDescent="0.4">
      <c r="B21" s="905">
        <v>0.15</v>
      </c>
      <c r="C21" s="1393" t="s">
        <v>1241</v>
      </c>
      <c r="D21" s="1162">
        <f>'CZ01 Factors'!Q7</f>
        <v>7.6967438959507972E-2</v>
      </c>
      <c r="E21" s="1163">
        <v>6.816694427798016E-2</v>
      </c>
      <c r="F21" s="1163">
        <f>'CZ03 Factors'!Q7</f>
        <v>0.10011264474004161</v>
      </c>
      <c r="G21" s="1163">
        <f>'CZ04 Factors'!Q7</f>
        <v>6.4052543410704738E-2</v>
      </c>
      <c r="H21" s="1163">
        <f>'CZ05 Factors'!Q7</f>
        <v>5.6875963670949214E-2</v>
      </c>
      <c r="I21" s="1163">
        <f>'CZ05 BC Factors'!Q7</f>
        <v>7.1375638604122771E-2</v>
      </c>
      <c r="J21" s="1163">
        <f>'CZ06 Factors'!Q7</f>
        <v>8.3215844454769802E-2</v>
      </c>
      <c r="K21" s="1163">
        <f>'CZ07 Factors'!Q7</f>
        <v>8.7101245943660296E-2</v>
      </c>
      <c r="L21" s="1164">
        <f>'CZ08 Factors'!Q7</f>
        <v>0.19444227522360641</v>
      </c>
      <c r="O21" s="168" t="s">
        <v>1114</v>
      </c>
      <c r="P21" s="399">
        <v>1</v>
      </c>
      <c r="Q21" s="400">
        <v>2</v>
      </c>
      <c r="R21" s="400">
        <v>3</v>
      </c>
      <c r="S21" s="400">
        <v>4</v>
      </c>
      <c r="T21" s="400">
        <v>5</v>
      </c>
      <c r="U21" s="400" t="s">
        <v>1117</v>
      </c>
      <c r="V21" s="400">
        <v>6</v>
      </c>
      <c r="W21" s="400">
        <v>7</v>
      </c>
      <c r="X21" s="401">
        <v>8</v>
      </c>
      <c r="Y21" s="168" t="s">
        <v>1242</v>
      </c>
      <c r="Z21" s="402">
        <v>1</v>
      </c>
      <c r="AA21" s="403">
        <v>2</v>
      </c>
      <c r="AB21" s="403">
        <v>3</v>
      </c>
      <c r="AC21" s="403">
        <v>4</v>
      </c>
      <c r="AD21" s="403">
        <v>5</v>
      </c>
      <c r="AE21" s="403" t="s">
        <v>1117</v>
      </c>
      <c r="AF21" s="403">
        <v>6</v>
      </c>
      <c r="AG21" s="403">
        <v>7</v>
      </c>
      <c r="AH21" s="404">
        <v>8</v>
      </c>
      <c r="AK21" s="1165">
        <v>1</v>
      </c>
      <c r="AL21" s="1166">
        <v>0</v>
      </c>
      <c r="AM21" s="1166">
        <v>0</v>
      </c>
      <c r="AN21" s="1166">
        <v>0</v>
      </c>
      <c r="AO21" s="1166">
        <v>0</v>
      </c>
      <c r="AP21" s="1166">
        <v>0</v>
      </c>
      <c r="AQ21" s="1166">
        <v>0</v>
      </c>
      <c r="AR21" s="1166">
        <v>0</v>
      </c>
      <c r="AS21" s="1167">
        <v>0</v>
      </c>
      <c r="AV21" s="397" t="s">
        <v>1231</v>
      </c>
      <c r="AW21" s="398">
        <v>2</v>
      </c>
    </row>
    <row r="22" spans="2:49" ht="16.5" customHeight="1" x14ac:dyDescent="0.4">
      <c r="B22" s="905">
        <v>0.2</v>
      </c>
      <c r="C22" s="1393" t="s">
        <v>1243</v>
      </c>
      <c r="D22" s="1162">
        <f>'CZ01 Factors'!Q8</f>
        <v>8.2672163444578145E-2</v>
      </c>
      <c r="E22" s="1163">
        <v>7.1930742603712017E-2</v>
      </c>
      <c r="F22" s="1163">
        <f>'CZ03 Factors'!Q8</f>
        <v>0.10074885063940539</v>
      </c>
      <c r="G22" s="1163">
        <f>'CZ04 Factors'!Q8</f>
        <v>6.502697950093031E-2</v>
      </c>
      <c r="H22" s="1163">
        <f>'CZ05 Factors'!Q8</f>
        <v>5.8712068406066367E-2</v>
      </c>
      <c r="I22" s="1163">
        <f>'CZ05 BC Factors'!Q8</f>
        <v>7.2328019556503725E-2</v>
      </c>
      <c r="J22" s="1163">
        <f>'CZ06 Factors'!Q8</f>
        <v>8.3977749216674558E-2</v>
      </c>
      <c r="K22" s="1163">
        <f>'CZ07 Factors'!Q8</f>
        <v>9.1234209754043463E-2</v>
      </c>
      <c r="L22" s="1164">
        <f>'CZ08 Factors'!Q8</f>
        <v>0.20123940196904144</v>
      </c>
      <c r="N22" s="168">
        <v>1</v>
      </c>
      <c r="O22" s="1165" t="s">
        <v>1039</v>
      </c>
      <c r="P22" s="405">
        <f>'CZ01 Factors'!N5</f>
        <v>0.6</v>
      </c>
      <c r="Q22" s="1394">
        <f>'CZ02 Factors'!N5</f>
        <v>0.6</v>
      </c>
      <c r="R22" s="1394">
        <f>'CZ03 Factors'!N5</f>
        <v>0.9</v>
      </c>
      <c r="S22" s="1394">
        <f>'CZ04 Factors'!N5</f>
        <v>0.35</v>
      </c>
      <c r="T22" s="1394">
        <f>'CZ05 Factors'!N5</f>
        <v>0.45</v>
      </c>
      <c r="U22" s="1394">
        <f>'CZ05 BC Factors'!N5</f>
        <v>0.5</v>
      </c>
      <c r="V22" s="1394">
        <f>'CZ06 Factors'!N5</f>
        <v>0.6</v>
      </c>
      <c r="W22" s="1394">
        <f>'CZ07 Factors'!N5</f>
        <v>0.4</v>
      </c>
      <c r="X22" s="406">
        <f>'CZ08 Factors'!N5</f>
        <v>0.7</v>
      </c>
      <c r="Y22" s="1166" t="s">
        <v>1039</v>
      </c>
      <c r="Z22" s="405">
        <f>'CZ01 Factors'!N24</f>
        <v>0.56999999999999995</v>
      </c>
      <c r="AA22" s="1394">
        <f>'CZ02 Factors'!N42</f>
        <v>0.4</v>
      </c>
      <c r="AB22" s="1394">
        <f>'CZ03 Factors'!N42</f>
        <v>0.7</v>
      </c>
      <c r="AC22" s="1394">
        <f>'CZ04 Factors'!N42</f>
        <v>0.8</v>
      </c>
      <c r="AD22" s="1394">
        <f>'CZ05 Factors'!N42</f>
        <v>0.52</v>
      </c>
      <c r="AE22" s="1394">
        <f>'CZ05 BC Factors'!N42</f>
        <v>0.35</v>
      </c>
      <c r="AF22" s="1394">
        <f>'CZ06 Factors'!N40</f>
        <v>0.8</v>
      </c>
      <c r="AG22" s="1394">
        <f>'CZ07 Factors'!N42</f>
        <v>0.4</v>
      </c>
      <c r="AH22" s="406">
        <f>'CZ08 Factors'!N42</f>
        <v>0.8</v>
      </c>
      <c r="AK22" s="1159">
        <v>2</v>
      </c>
      <c r="AL22" s="1168">
        <f>'CZ02 Factors'!P22</f>
        <v>1.1100000000000001</v>
      </c>
      <c r="AM22" s="1168">
        <f>'CZ02 Factors'!Q22</f>
        <v>0.97</v>
      </c>
      <c r="AN22" s="1168">
        <f>'CZ02 Factors'!R22</f>
        <v>0.83</v>
      </c>
      <c r="AO22" s="1168">
        <f>'CZ02 Factors'!S22</f>
        <v>0.81</v>
      </c>
      <c r="AP22" s="1168">
        <f>'CZ02 Factors'!T22</f>
        <v>0.79</v>
      </c>
      <c r="AQ22" s="1168">
        <f>'CZ02 Factors'!U22</f>
        <v>0.81499999999999995</v>
      </c>
      <c r="AR22" s="1168">
        <f>'CZ02 Factors'!V22</f>
        <v>0.84</v>
      </c>
      <c r="AS22" s="1169">
        <f>'CZ02 Factors'!W22</f>
        <v>0.97500000000000009</v>
      </c>
      <c r="AV22" s="397" t="s">
        <v>1237</v>
      </c>
      <c r="AW22" s="398">
        <v>8</v>
      </c>
    </row>
    <row r="23" spans="2:49" ht="16.5" customHeight="1" x14ac:dyDescent="0.3">
      <c r="B23" s="407" t="s">
        <v>1244</v>
      </c>
      <c r="C23" s="906" t="e">
        <f>IF('13.3 External Glazing'!$CT$101&lt;=0.05,0.05,'13.3 External Glazing'!$CT$101)</f>
        <v>#DIV/0!</v>
      </c>
      <c r="D23" s="408"/>
      <c r="E23" s="907"/>
      <c r="F23" s="907"/>
      <c r="G23" s="907"/>
      <c r="H23" s="907"/>
      <c r="I23" s="907"/>
      <c r="J23" s="907"/>
      <c r="K23" s="907"/>
      <c r="L23" s="908"/>
      <c r="N23" s="168">
        <v>2</v>
      </c>
      <c r="O23" s="1159" t="s">
        <v>1068</v>
      </c>
      <c r="P23" s="409">
        <f>'CZ01 Factors'!N6</f>
        <v>1.2</v>
      </c>
      <c r="Q23" s="1395">
        <f>'CZ02 Factors'!N6</f>
        <v>1.2</v>
      </c>
      <c r="R23" s="1395">
        <f>'CZ03 Factors'!N6</f>
        <v>1.7</v>
      </c>
      <c r="S23" s="1395">
        <f>'CZ04 Factors'!N6</f>
        <v>1.1000000000000001</v>
      </c>
      <c r="T23" s="1395">
        <f>'CZ05 Factors'!N6</f>
        <v>1.2</v>
      </c>
      <c r="U23" s="1395">
        <f>'CZ05 BC Factors'!N6</f>
        <v>1.4</v>
      </c>
      <c r="V23" s="1395">
        <f>'CZ06 Factors'!N6</f>
        <v>1.4</v>
      </c>
      <c r="W23" s="1395">
        <f>'CZ07 Factors'!N6</f>
        <v>1.4</v>
      </c>
      <c r="X23" s="410">
        <f>'CZ08 Factors'!N6</f>
        <v>1.1000000000000001</v>
      </c>
      <c r="Y23" s="1160" t="s">
        <v>1068</v>
      </c>
      <c r="Z23" s="409">
        <f>'CZ01 Factors'!N25</f>
        <v>1.35</v>
      </c>
      <c r="AA23" s="1395">
        <f>'CZ02 Factors'!N43</f>
        <v>1.1000000000000001</v>
      </c>
      <c r="AB23" s="1395">
        <f>'CZ03 Factors'!N43</f>
        <v>1.9</v>
      </c>
      <c r="AC23" s="1395">
        <f>'CZ04 Factors'!N43</f>
        <v>1.2</v>
      </c>
      <c r="AD23" s="1395">
        <f>'CZ05 Factors'!N43</f>
        <v>1.45</v>
      </c>
      <c r="AE23" s="1395">
        <f>'CZ05 BC Factors'!N43</f>
        <v>1.3</v>
      </c>
      <c r="AF23" s="1395">
        <f>'CZ06 Factors'!N41</f>
        <v>1.6</v>
      </c>
      <c r="AG23" s="1395">
        <f>'CZ07 Factors'!N43</f>
        <v>1.3</v>
      </c>
      <c r="AH23" s="410">
        <f>'CZ08 Factors'!N43</f>
        <v>1.6</v>
      </c>
      <c r="AK23" s="1165">
        <v>3</v>
      </c>
      <c r="AL23" s="1170">
        <f>'CZ03 Factors'!P22</f>
        <v>1.25</v>
      </c>
      <c r="AM23" s="1170">
        <f>'CZ03 Factors'!Q22</f>
        <v>1.08</v>
      </c>
      <c r="AN23" s="1170">
        <f>'CZ03 Factors'!R22</f>
        <v>0.91</v>
      </c>
      <c r="AO23" s="1170">
        <f>'CZ03 Factors'!S22</f>
        <v>0.85499999999999998</v>
      </c>
      <c r="AP23" s="1170">
        <f>'CZ03 Factors'!T22</f>
        <v>0.8</v>
      </c>
      <c r="AQ23" s="1170">
        <f>'CZ03 Factors'!U22</f>
        <v>1</v>
      </c>
      <c r="AR23" s="1170">
        <f>'CZ03 Factors'!V22</f>
        <v>1.2</v>
      </c>
      <c r="AS23" s="1171">
        <f>'CZ03 Factors'!W22</f>
        <v>1.2250000000000001</v>
      </c>
      <c r="AV23" s="397" t="s">
        <v>1234</v>
      </c>
      <c r="AW23" s="398">
        <v>5</v>
      </c>
    </row>
    <row r="24" spans="2:49" ht="16.5" customHeight="1" x14ac:dyDescent="0.25">
      <c r="B24" s="168" t="e">
        <f ca="1">OFFSET(B$18,$C24,0)</f>
        <v>#DIV/0!</v>
      </c>
      <c r="C24" s="168" t="e">
        <f>MATCH(C23,B19:B22,1)</f>
        <v>#DIV/0!</v>
      </c>
      <c r="D24" s="411" t="e">
        <f ca="1">OFFSET(D$18,$C24,0)</f>
        <v>#DIV/0!</v>
      </c>
      <c r="E24" s="411" t="e">
        <f t="shared" ref="E24:L25" ca="1" si="1">OFFSET(E$18,$C24,0)</f>
        <v>#DIV/0!</v>
      </c>
      <c r="F24" s="411" t="e">
        <f t="shared" ca="1" si="1"/>
        <v>#DIV/0!</v>
      </c>
      <c r="G24" s="411" t="e">
        <f t="shared" ca="1" si="1"/>
        <v>#DIV/0!</v>
      </c>
      <c r="H24" s="411" t="e">
        <f t="shared" ca="1" si="1"/>
        <v>#DIV/0!</v>
      </c>
      <c r="I24" s="411" t="e">
        <f t="shared" ca="1" si="1"/>
        <v>#DIV/0!</v>
      </c>
      <c r="J24" s="411" t="e">
        <f t="shared" ca="1" si="1"/>
        <v>#DIV/0!</v>
      </c>
      <c r="K24" s="411" t="e">
        <f t="shared" ca="1" si="1"/>
        <v>#DIV/0!</v>
      </c>
      <c r="L24" s="411" t="e">
        <f t="shared" ca="1" si="1"/>
        <v>#DIV/0!</v>
      </c>
      <c r="N24" s="168">
        <v>3</v>
      </c>
      <c r="O24" s="1165" t="s">
        <v>1040</v>
      </c>
      <c r="P24" s="405">
        <f>'CZ01 Factors'!N7</f>
        <v>1.1499999999999999</v>
      </c>
      <c r="Q24" s="1394">
        <f>'CZ02 Factors'!N7</f>
        <v>1.1894491104011204</v>
      </c>
      <c r="R24" s="1394">
        <f>'CZ03 Factors'!N7</f>
        <v>1.2119804587626077</v>
      </c>
      <c r="S24" s="1394">
        <f>'CZ04 Factors'!N7</f>
        <v>1.1877012868494365</v>
      </c>
      <c r="T24" s="1394">
        <f>'CZ05 Factors'!N7</f>
        <v>1.2028456629955802</v>
      </c>
      <c r="U24" s="1394">
        <f>'CZ05 BC Factors'!N7</f>
        <v>1.1776129100485737</v>
      </c>
      <c r="V24" s="1394">
        <f>'CZ06 Factors'!N7</f>
        <v>1</v>
      </c>
      <c r="W24" s="1394">
        <f>'CZ07 Factors'!N7</f>
        <v>1.1471114632390602</v>
      </c>
      <c r="X24" s="406">
        <f>'CZ08 Factors'!N7</f>
        <v>1</v>
      </c>
      <c r="Y24" s="1166" t="s">
        <v>1040</v>
      </c>
      <c r="Z24" s="405">
        <f>'CZ01 Factors'!N26</f>
        <v>1.19</v>
      </c>
      <c r="AA24" s="1394">
        <f>'CZ02 Factors'!N44</f>
        <v>1</v>
      </c>
      <c r="AB24" s="1394">
        <f>'CZ03 Factors'!N44</f>
        <v>1.2119804587626077</v>
      </c>
      <c r="AC24" s="1394">
        <f>'CZ04 Factors'!N44</f>
        <v>1</v>
      </c>
      <c r="AD24" s="1394">
        <f>'CZ05 Factors'!N44</f>
        <v>1</v>
      </c>
      <c r="AE24" s="1394">
        <f>'CZ05 BC Factors'!N44</f>
        <v>1</v>
      </c>
      <c r="AF24" s="1394">
        <f>'CZ06 Factors'!N42</f>
        <v>1</v>
      </c>
      <c r="AG24" s="1394">
        <f>'CZ07 Factors'!N44</f>
        <v>1</v>
      </c>
      <c r="AH24" s="406">
        <f>'CZ08 Factors'!N44</f>
        <v>0.98</v>
      </c>
      <c r="AK24" s="1159">
        <v>4</v>
      </c>
      <c r="AL24" s="1168">
        <f>'CZ04 Factors'!P22</f>
        <v>1.1499999999999999</v>
      </c>
      <c r="AM24" s="1168">
        <f>'CZ04 Factors'!Q22</f>
        <v>0.92499999999999993</v>
      </c>
      <c r="AN24" s="1168">
        <f>'CZ04 Factors'!R22</f>
        <v>0.7</v>
      </c>
      <c r="AO24" s="1168">
        <f>'CZ04 Factors'!S22</f>
        <v>0.75</v>
      </c>
      <c r="AP24" s="1168">
        <f>'CZ04 Factors'!T22</f>
        <v>0.8</v>
      </c>
      <c r="AQ24" s="1168">
        <f>'CZ04 Factors'!U22</f>
        <v>0.8</v>
      </c>
      <c r="AR24" s="1168">
        <f>'CZ04 Factors'!V22</f>
        <v>0.8</v>
      </c>
      <c r="AS24" s="1169">
        <f>'CZ04 Factors'!W22</f>
        <v>0.97499999999999998</v>
      </c>
      <c r="AV24" s="397" t="s">
        <v>1233</v>
      </c>
      <c r="AW24" s="398">
        <v>4</v>
      </c>
    </row>
    <row r="25" spans="2:49" ht="16.5" customHeight="1" thickBot="1" x14ac:dyDescent="0.3">
      <c r="B25" s="168" t="e">
        <f ca="1">OFFSET(B$18,$C25,0)</f>
        <v>#DIV/0!</v>
      </c>
      <c r="C25" s="168" t="e">
        <f>IF(C24+1&gt;4,4,C24+1)</f>
        <v>#DIV/0!</v>
      </c>
      <c r="D25" s="411" t="e">
        <f ca="1">OFFSET(D$18,$C25,0)</f>
        <v>#DIV/0!</v>
      </c>
      <c r="E25" s="411" t="e">
        <f t="shared" ca="1" si="1"/>
        <v>#DIV/0!</v>
      </c>
      <c r="F25" s="411" t="e">
        <f t="shared" ca="1" si="1"/>
        <v>#DIV/0!</v>
      </c>
      <c r="G25" s="411" t="e">
        <f t="shared" ca="1" si="1"/>
        <v>#DIV/0!</v>
      </c>
      <c r="H25" s="411" t="e">
        <f t="shared" ca="1" si="1"/>
        <v>#DIV/0!</v>
      </c>
      <c r="I25" s="411" t="e">
        <f t="shared" ca="1" si="1"/>
        <v>#DIV/0!</v>
      </c>
      <c r="J25" s="411" t="e">
        <f t="shared" ca="1" si="1"/>
        <v>#DIV/0!</v>
      </c>
      <c r="K25" s="411" t="e">
        <f t="shared" ca="1" si="1"/>
        <v>#DIV/0!</v>
      </c>
      <c r="L25" s="411" t="e">
        <f t="shared" ca="1" si="1"/>
        <v>#DIV/0!</v>
      </c>
      <c r="N25" s="168">
        <v>4</v>
      </c>
      <c r="O25" s="1159" t="s">
        <v>1041</v>
      </c>
      <c r="P25" s="409">
        <f>'CZ01 Factors'!N8</f>
        <v>1</v>
      </c>
      <c r="Q25" s="1395">
        <f>'CZ02 Factors'!N8</f>
        <v>1</v>
      </c>
      <c r="R25" s="1395">
        <f>'CZ03 Factors'!N8</f>
        <v>1</v>
      </c>
      <c r="S25" s="1395">
        <f>'CZ04 Factors'!N8</f>
        <v>1</v>
      </c>
      <c r="T25" s="1395">
        <f>'CZ05 Factors'!N8</f>
        <v>1</v>
      </c>
      <c r="U25" s="1395">
        <f>'CZ05 BC Factors'!N8</f>
        <v>1</v>
      </c>
      <c r="V25" s="1395">
        <f>'CZ06 Factors'!N8</f>
        <v>0.89933232292464516</v>
      </c>
      <c r="W25" s="1395">
        <f>'CZ07 Factors'!N8</f>
        <v>1</v>
      </c>
      <c r="X25" s="410">
        <f>'CZ08 Factors'!N8</f>
        <v>0.98</v>
      </c>
      <c r="Y25" s="1160" t="s">
        <v>1041</v>
      </c>
      <c r="Z25" s="409">
        <f>'CZ01 Factors'!N27</f>
        <v>1</v>
      </c>
      <c r="AA25" s="1395">
        <f>'CZ02 Factors'!N45</f>
        <v>0.9</v>
      </c>
      <c r="AB25" s="1395">
        <f>'CZ03 Factors'!N45</f>
        <v>1</v>
      </c>
      <c r="AC25" s="1395">
        <f>'CZ04 Factors'!N45</f>
        <v>0.8844579281689926</v>
      </c>
      <c r="AD25" s="1395">
        <f>'CZ05 Factors'!N45</f>
        <v>0.78</v>
      </c>
      <c r="AE25" s="1395">
        <f>'CZ05 BC Factors'!N45</f>
        <v>0.95</v>
      </c>
      <c r="AF25" s="1395">
        <f>'CZ06 Factors'!N43</f>
        <v>0.96</v>
      </c>
      <c r="AG25" s="1395">
        <f>'CZ07 Factors'!N45</f>
        <v>1</v>
      </c>
      <c r="AH25" s="410">
        <f>'CZ08 Factors'!N45</f>
        <v>0.92</v>
      </c>
      <c r="AK25" s="1165">
        <v>5</v>
      </c>
      <c r="AL25" s="1170">
        <f>'CZ05 Factors'!P22</f>
        <v>1.2</v>
      </c>
      <c r="AM25" s="1170">
        <f>'CZ05 Factors'!Q22</f>
        <v>1</v>
      </c>
      <c r="AN25" s="1170">
        <f>'CZ05 Factors'!R22</f>
        <v>0.8</v>
      </c>
      <c r="AO25" s="1170">
        <f>'CZ05 Factors'!S22</f>
        <v>0.75</v>
      </c>
      <c r="AP25" s="1170">
        <f>'CZ05 Factors'!T22</f>
        <v>0.7</v>
      </c>
      <c r="AQ25" s="1170">
        <f>'CZ05 Factors'!U22</f>
        <v>0.75</v>
      </c>
      <c r="AR25" s="1170">
        <f>'CZ05 Factors'!V22</f>
        <v>0.8</v>
      </c>
      <c r="AS25" s="1171">
        <f>'CZ05 Factors'!W22</f>
        <v>1</v>
      </c>
      <c r="AV25" s="397" t="s">
        <v>1235</v>
      </c>
      <c r="AW25" s="398">
        <v>6</v>
      </c>
    </row>
    <row r="26" spans="2:49" ht="16.5" customHeight="1" thickBot="1" x14ac:dyDescent="0.3">
      <c r="B26" s="412"/>
      <c r="C26" s="168" t="s">
        <v>1191</v>
      </c>
      <c r="D26" s="411" t="e">
        <f ca="1">IF($C23&gt;=$B25,D25,(D24+($C23-$B24)/($B25-$B24)*(D25-D24)))</f>
        <v>#DIV/0!</v>
      </c>
      <c r="E26" s="411" t="e">
        <f t="shared" ref="E26:L26" ca="1" si="2">IF($C23&gt;=$B25,E25,(E24+($C23-$B24)/($B25-$B24)*(E25-E24)))</f>
        <v>#DIV/0!</v>
      </c>
      <c r="F26" s="411" t="e">
        <f t="shared" ca="1" si="2"/>
        <v>#DIV/0!</v>
      </c>
      <c r="G26" s="411" t="e">
        <f t="shared" ca="1" si="2"/>
        <v>#DIV/0!</v>
      </c>
      <c r="H26" s="411" t="e">
        <f t="shared" ca="1" si="2"/>
        <v>#DIV/0!</v>
      </c>
      <c r="I26" s="411" t="e">
        <f t="shared" ca="1" si="2"/>
        <v>#DIV/0!</v>
      </c>
      <c r="J26" s="413" t="e">
        <f>IF($C23&gt;=$B22,J25,(J24+($C23-$B24)/($B25-$B24)*(J25-J24)))</f>
        <v>#DIV/0!</v>
      </c>
      <c r="K26" s="411" t="e">
        <f t="shared" ca="1" si="2"/>
        <v>#DIV/0!</v>
      </c>
      <c r="L26" s="411" t="e">
        <f t="shared" ca="1" si="2"/>
        <v>#DIV/0!</v>
      </c>
      <c r="N26" s="168">
        <v>5</v>
      </c>
      <c r="O26" s="1165" t="s">
        <v>1042</v>
      </c>
      <c r="P26" s="405">
        <f>'CZ01 Factors'!N9</f>
        <v>0.90781913797078717</v>
      </c>
      <c r="Q26" s="1394">
        <f>'CZ02 Factors'!N9</f>
        <v>0.90781913797078717</v>
      </c>
      <c r="R26" s="1394">
        <f>'CZ03 Factors'!N9</f>
        <v>0.8849782375332953</v>
      </c>
      <c r="S26" s="1394">
        <f>'CZ04 Factors'!N9</f>
        <v>0.8844579281689926</v>
      </c>
      <c r="T26" s="1394">
        <f>'CZ05 Factors'!N9</f>
        <v>0.88219252577636464</v>
      </c>
      <c r="U26" s="1394">
        <f>'CZ05 BC Factors'!N9</f>
        <v>0.88627958449847144</v>
      </c>
      <c r="V26" s="1394">
        <f>'CZ06 Factors'!N9</f>
        <v>0.83636060816966273</v>
      </c>
      <c r="W26" s="1394">
        <f>'CZ07 Factors'!N9</f>
        <v>0.90822848660489386</v>
      </c>
      <c r="X26" s="406">
        <f>'CZ08 Factors'!N9</f>
        <v>0.92</v>
      </c>
      <c r="Y26" s="1166" t="s">
        <v>1042</v>
      </c>
      <c r="Z26" s="405">
        <f>'CZ01 Factors'!N28</f>
        <v>0.87</v>
      </c>
      <c r="AA26" s="1394">
        <f>'CZ02 Factors'!N46</f>
        <v>0.68</v>
      </c>
      <c r="AB26" s="1394">
        <f>'CZ03 Factors'!N46</f>
        <v>0.8849782375332953</v>
      </c>
      <c r="AC26" s="1394">
        <f>'CZ04 Factors'!N46</f>
        <v>0.91</v>
      </c>
      <c r="AD26" s="1394">
        <f>'CZ05 Factors'!N46</f>
        <v>0.73</v>
      </c>
      <c r="AE26" s="1394">
        <f>'CZ05 BC Factors'!N46</f>
        <v>0.9</v>
      </c>
      <c r="AF26" s="1394">
        <f>'CZ06 Factors'!N44</f>
        <v>0.83</v>
      </c>
      <c r="AG26" s="1394">
        <f>'CZ07 Factors'!N46</f>
        <v>0.85</v>
      </c>
      <c r="AH26" s="406">
        <f>'CZ08 Factors'!N46</f>
        <v>0.89</v>
      </c>
      <c r="AK26" s="1159" t="s">
        <v>1117</v>
      </c>
      <c r="AL26" s="1168">
        <f>'CZ05 BC Factors'!P22</f>
        <v>1</v>
      </c>
      <c r="AM26" s="1168">
        <f>'CZ05 BC Factors'!Q22</f>
        <v>0.9</v>
      </c>
      <c r="AN26" s="1168">
        <f>'CZ05 BC Factors'!R22</f>
        <v>0.8</v>
      </c>
      <c r="AO26" s="1168">
        <f>'CZ05 BC Factors'!S22</f>
        <v>0.85000000000000009</v>
      </c>
      <c r="AP26" s="1168">
        <f>'CZ05 BC Factors'!T22</f>
        <v>0.9</v>
      </c>
      <c r="AQ26" s="1168">
        <f>'CZ05 BC Factors'!U22</f>
        <v>0.9</v>
      </c>
      <c r="AR26" s="1168">
        <f>'CZ05 BC Factors'!V22</f>
        <v>0.9</v>
      </c>
      <c r="AS26" s="1169">
        <f>'CZ05 BC Factors'!W22</f>
        <v>0.95</v>
      </c>
      <c r="AV26" s="909" t="s">
        <v>1236</v>
      </c>
      <c r="AW26" s="910">
        <v>7</v>
      </c>
    </row>
    <row r="27" spans="2:49" ht="16.5" customHeight="1" thickBot="1" x14ac:dyDescent="0.3">
      <c r="B27" s="412"/>
      <c r="N27" s="168">
        <v>6</v>
      </c>
      <c r="O27" s="1159" t="s">
        <v>1043</v>
      </c>
      <c r="P27" s="414">
        <f>'CZ01 Factors'!N10</f>
        <v>0.75</v>
      </c>
      <c r="Q27" s="415">
        <f>'CZ02 Factors'!N10</f>
        <v>0.75</v>
      </c>
      <c r="R27" s="415">
        <f>'CZ03 Factors'!N10</f>
        <v>0.89</v>
      </c>
      <c r="S27" s="415">
        <f>'CZ04 Factors'!N10</f>
        <v>0.91</v>
      </c>
      <c r="T27" s="415">
        <f>'CZ05 Factors'!N10</f>
        <v>0.65</v>
      </c>
      <c r="U27" s="415">
        <f>'CZ05 BC Factors'!N10</f>
        <v>0.6</v>
      </c>
      <c r="V27" s="415">
        <f>'CZ06 Factors'!N10</f>
        <v>0.8</v>
      </c>
      <c r="W27" s="415">
        <f>'CZ07 Factors'!N10</f>
        <v>0.85</v>
      </c>
      <c r="X27" s="416">
        <f>'CZ08 Factors'!N10</f>
        <v>0.89</v>
      </c>
      <c r="Y27" s="1160" t="s">
        <v>1043</v>
      </c>
      <c r="Z27" s="414">
        <v>1</v>
      </c>
      <c r="AA27" s="415">
        <v>1</v>
      </c>
      <c r="AB27" s="415">
        <v>1</v>
      </c>
      <c r="AC27" s="415">
        <v>1</v>
      </c>
      <c r="AD27" s="415">
        <v>1</v>
      </c>
      <c r="AE27" s="415">
        <v>1</v>
      </c>
      <c r="AF27" s="415">
        <v>1</v>
      </c>
      <c r="AG27" s="415">
        <v>1</v>
      </c>
      <c r="AH27" s="416">
        <v>1</v>
      </c>
      <c r="AK27" s="911">
        <v>6</v>
      </c>
      <c r="AL27" s="417">
        <f>'CZ06 Factors'!P22</f>
        <v>1.05</v>
      </c>
      <c r="AM27" s="417">
        <f>'CZ06 Factors'!Q22</f>
        <v>0.97500000000000009</v>
      </c>
      <c r="AN27" s="417">
        <f>'CZ06 Factors'!R22</f>
        <v>0.9</v>
      </c>
      <c r="AO27" s="417">
        <f>'CZ06 Factors'!S22</f>
        <v>0.85000000000000009</v>
      </c>
      <c r="AP27" s="417">
        <f>'CZ06 Factors'!T22</f>
        <v>0.8</v>
      </c>
      <c r="AQ27" s="417">
        <f>'CZ06 Factors'!U22</f>
        <v>0.85000000000000009</v>
      </c>
      <c r="AR27" s="417">
        <f>'CZ06 Factors'!V22</f>
        <v>0.9</v>
      </c>
      <c r="AS27" s="418">
        <f>'CZ06 Factors'!W22</f>
        <v>0.97500000000000009</v>
      </c>
    </row>
    <row r="28" spans="2:49" ht="16.5" customHeight="1" x14ac:dyDescent="0.25">
      <c r="B28" s="412"/>
      <c r="C28" s="912"/>
      <c r="D28" s="408"/>
      <c r="E28" s="907"/>
      <c r="F28" s="907"/>
      <c r="G28" s="907"/>
      <c r="H28" s="907"/>
      <c r="I28" s="907"/>
      <c r="J28" s="907"/>
      <c r="K28" s="907"/>
      <c r="L28" s="908"/>
      <c r="AK28" s="1159">
        <v>7</v>
      </c>
      <c r="AL28" s="1168">
        <f>'CZ07 Factors'!P22</f>
        <v>1.3</v>
      </c>
      <c r="AM28" s="1168">
        <f>'CZ07 Factors'!Q22</f>
        <v>1.05</v>
      </c>
      <c r="AN28" s="1168">
        <f>'CZ07 Factors'!R22</f>
        <v>0.8</v>
      </c>
      <c r="AO28" s="1168">
        <f>'CZ07 Factors'!S22</f>
        <v>0.8</v>
      </c>
      <c r="AP28" s="1168">
        <f>'CZ07 Factors'!T22</f>
        <v>0.8</v>
      </c>
      <c r="AQ28" s="1168">
        <f>'CZ07 Factors'!U22</f>
        <v>0.8</v>
      </c>
      <c r="AR28" s="1168">
        <f>'CZ07 Factors'!V22</f>
        <v>0.8</v>
      </c>
      <c r="AS28" s="1169">
        <f>'CZ07 Factors'!W22</f>
        <v>1.05</v>
      </c>
    </row>
    <row r="29" spans="2:49" ht="16.5" customHeight="1" x14ac:dyDescent="0.4">
      <c r="B29" s="419" t="s">
        <v>886</v>
      </c>
      <c r="C29" s="420" t="s">
        <v>1245</v>
      </c>
      <c r="D29" s="421">
        <v>1.65</v>
      </c>
      <c r="E29" s="422">
        <v>18.387</v>
      </c>
      <c r="F29" s="422">
        <v>14.641</v>
      </c>
      <c r="G29" s="422">
        <v>7.9290000000000003</v>
      </c>
      <c r="H29" s="422">
        <v>13.464</v>
      </c>
      <c r="I29" s="422"/>
      <c r="J29" s="422">
        <v>6.4180000000000001</v>
      </c>
      <c r="K29" s="422">
        <v>5.4859999999999998</v>
      </c>
      <c r="L29" s="423">
        <v>3.9870000000000001</v>
      </c>
      <c r="AK29" s="1165">
        <v>8</v>
      </c>
      <c r="AL29" s="1170">
        <f>'CZ08 Factors'!P22</f>
        <v>1.3</v>
      </c>
      <c r="AM29" s="1170">
        <f>'CZ08 Factors'!Q22</f>
        <v>1.1000000000000001</v>
      </c>
      <c r="AN29" s="1170">
        <f>'CZ08 Factors'!R22</f>
        <v>0.9</v>
      </c>
      <c r="AO29" s="1170">
        <f>'CZ08 Factors'!S22</f>
        <v>0.875</v>
      </c>
      <c r="AP29" s="1170">
        <f>'CZ08 Factors'!T22</f>
        <v>0.85</v>
      </c>
      <c r="AQ29" s="1170">
        <f>'CZ08 Factors'!U22</f>
        <v>0.875</v>
      </c>
      <c r="AR29" s="1170">
        <f>'CZ08 Factors'!V22</f>
        <v>0.9</v>
      </c>
      <c r="AS29" s="1171">
        <f>'CZ08 Factors'!W22</f>
        <v>1.1000000000000001</v>
      </c>
    </row>
    <row r="30" spans="2:49" ht="16.5" customHeight="1" thickBot="1" x14ac:dyDescent="0.45">
      <c r="B30" s="424"/>
      <c r="C30" s="1396" t="s">
        <v>1246</v>
      </c>
      <c r="D30" s="1397">
        <v>6.9000000000000006E-2</v>
      </c>
      <c r="E30" s="1398">
        <v>8.1000000000000003E-2</v>
      </c>
      <c r="F30" s="1398">
        <v>6.8000000000000005E-2</v>
      </c>
      <c r="G30" s="1398">
        <v>0.107</v>
      </c>
      <c r="H30" s="1398">
        <v>0.13400000000000001</v>
      </c>
      <c r="I30" s="1398"/>
      <c r="J30" s="1398">
        <v>0.16800000000000001</v>
      </c>
      <c r="K30" s="1398">
        <v>0.20799999999999999</v>
      </c>
      <c r="L30" s="1399">
        <v>0.25700000000000001</v>
      </c>
    </row>
    <row r="31" spans="2:49" ht="16.5" customHeight="1" thickBot="1" x14ac:dyDescent="0.3">
      <c r="D31" s="425" t="s">
        <v>1247</v>
      </c>
      <c r="P31" s="393" t="s">
        <v>1248</v>
      </c>
      <c r="Q31" s="394"/>
      <c r="Z31" s="393" t="s">
        <v>1249</v>
      </c>
      <c r="AA31" s="394"/>
      <c r="AK31" s="168" t="s">
        <v>1250</v>
      </c>
    </row>
    <row r="32" spans="2:49" ht="16.5" customHeight="1" x14ac:dyDescent="0.3">
      <c r="O32" s="168" t="s">
        <v>1251</v>
      </c>
      <c r="P32" s="399">
        <v>1</v>
      </c>
      <c r="Q32" s="400">
        <v>2</v>
      </c>
      <c r="R32" s="400">
        <v>3</v>
      </c>
      <c r="S32" s="400">
        <v>4</v>
      </c>
      <c r="T32" s="400">
        <v>5</v>
      </c>
      <c r="U32" s="400" t="s">
        <v>1117</v>
      </c>
      <c r="V32" s="400">
        <v>6</v>
      </c>
      <c r="W32" s="400">
        <v>7</v>
      </c>
      <c r="X32" s="401">
        <v>8</v>
      </c>
      <c r="Y32" s="168" t="s">
        <v>1252</v>
      </c>
      <c r="Z32" s="402">
        <v>1</v>
      </c>
      <c r="AA32" s="403">
        <v>2</v>
      </c>
      <c r="AB32" s="403">
        <v>3</v>
      </c>
      <c r="AC32" s="403">
        <v>4</v>
      </c>
      <c r="AD32" s="403">
        <v>5</v>
      </c>
      <c r="AE32" s="403" t="s">
        <v>1117</v>
      </c>
      <c r="AF32" s="403">
        <v>6</v>
      </c>
      <c r="AG32" s="403">
        <v>7</v>
      </c>
      <c r="AH32" s="404">
        <v>8</v>
      </c>
      <c r="AL32" s="168" t="s">
        <v>1223</v>
      </c>
    </row>
    <row r="33" spans="2:45" ht="16.5" customHeight="1" x14ac:dyDescent="0.3">
      <c r="B33" s="390" t="s">
        <v>1253</v>
      </c>
      <c r="N33" s="168">
        <v>1</v>
      </c>
      <c r="O33" s="1165" t="s">
        <v>1039</v>
      </c>
      <c r="P33" s="426"/>
      <c r="Q33" s="1394">
        <v>0.4</v>
      </c>
      <c r="R33" s="1394">
        <f>'CZ03 Factors'!N22</f>
        <v>0.26</v>
      </c>
      <c r="S33" s="1394">
        <f>'CZ04 Factors'!N22</f>
        <v>0.6</v>
      </c>
      <c r="T33" s="1394">
        <f>'CZ05 Factors'!N22</f>
        <v>0.6</v>
      </c>
      <c r="U33" s="1394">
        <f>'CZ05 BC Factors'!N22</f>
        <v>0.4</v>
      </c>
      <c r="V33" s="1394">
        <f>'CZ06 Factors'!N22</f>
        <v>0.6</v>
      </c>
      <c r="W33" s="1394">
        <f>'CZ07 Factors'!N22</f>
        <v>0.6</v>
      </c>
      <c r="X33" s="406">
        <f>'CZ08 Factors'!N22</f>
        <v>0.5</v>
      </c>
      <c r="Y33" s="1166" t="s">
        <v>1039</v>
      </c>
      <c r="Z33" s="405"/>
      <c r="AA33" s="1394">
        <f>'CZ02 Factors'!N59</f>
        <v>1</v>
      </c>
      <c r="AB33" s="1394">
        <f>'CZ03 Factors'!N59</f>
        <v>1</v>
      </c>
      <c r="AC33" s="1394">
        <f>'CZ04 Factors'!N59</f>
        <v>1</v>
      </c>
      <c r="AD33" s="1394">
        <f>'CZ05 Factors'!N59</f>
        <v>1</v>
      </c>
      <c r="AE33" s="1394">
        <f>'CZ05 BC Factors'!N59</f>
        <v>0.3</v>
      </c>
      <c r="AF33" s="1394">
        <f>'CZ06 Factors'!N57</f>
        <v>1</v>
      </c>
      <c r="AG33" s="1394">
        <f>'CZ07 Factors'!N59</f>
        <v>1</v>
      </c>
      <c r="AH33" s="406">
        <f>'CZ08 Factors'!N59</f>
        <v>1</v>
      </c>
      <c r="AK33" s="168" t="s">
        <v>1254</v>
      </c>
    </row>
    <row r="34" spans="2:45" ht="16.5" customHeight="1" x14ac:dyDescent="0.25">
      <c r="C34" s="199" t="s">
        <v>1220</v>
      </c>
      <c r="D34" s="391">
        <v>1</v>
      </c>
      <c r="E34" s="391">
        <v>2</v>
      </c>
      <c r="F34" s="391">
        <v>3</v>
      </c>
      <c r="G34" s="391">
        <v>4</v>
      </c>
      <c r="H34" s="391">
        <v>5</v>
      </c>
      <c r="I34" s="391" t="s">
        <v>1117</v>
      </c>
      <c r="J34" s="391">
        <v>6</v>
      </c>
      <c r="K34" s="391">
        <v>7</v>
      </c>
      <c r="L34" s="391">
        <v>8</v>
      </c>
      <c r="N34" s="168">
        <v>2</v>
      </c>
      <c r="O34" s="1159" t="s">
        <v>1068</v>
      </c>
      <c r="P34" s="427"/>
      <c r="Q34" s="1395">
        <v>1.1000000000000001</v>
      </c>
      <c r="R34" s="1395">
        <f>'CZ03 Factors'!N23</f>
        <v>1.19</v>
      </c>
      <c r="S34" s="1395">
        <f>'CZ04 Factors'!N23</f>
        <v>1.3</v>
      </c>
      <c r="T34" s="1395">
        <f>'CZ05 Factors'!N23</f>
        <v>1.3</v>
      </c>
      <c r="U34" s="1395">
        <f>'CZ05 BC Factors'!N23</f>
        <v>1.4</v>
      </c>
      <c r="V34" s="1395">
        <f>'CZ06 Factors'!N23</f>
        <v>1.3</v>
      </c>
      <c r="W34" s="1395">
        <f>'CZ07 Factors'!N23</f>
        <v>1.3</v>
      </c>
      <c r="X34" s="410">
        <f>'CZ08 Factors'!N23</f>
        <v>1.1499999999999999</v>
      </c>
      <c r="Y34" s="1160" t="s">
        <v>1068</v>
      </c>
      <c r="Z34" s="409"/>
      <c r="AA34" s="1395">
        <f>'CZ02 Factors'!N60</f>
        <v>1.2</v>
      </c>
      <c r="AB34" s="1395">
        <f>'CZ03 Factors'!N60</f>
        <v>1.3</v>
      </c>
      <c r="AC34" s="1395">
        <f>'CZ04 Factors'!N60</f>
        <v>1.4</v>
      </c>
      <c r="AD34" s="1395">
        <f>'CZ05 Factors'!N60</f>
        <v>1.2</v>
      </c>
      <c r="AE34" s="1395">
        <f>'CZ05 BC Factors'!N60</f>
        <v>1.1000000000000001</v>
      </c>
      <c r="AF34" s="1395">
        <f>'CZ06 Factors'!N58</f>
        <v>1.4</v>
      </c>
      <c r="AG34" s="1395">
        <f>'CZ07 Factors'!N60</f>
        <v>1.1000000000000001</v>
      </c>
      <c r="AH34" s="410">
        <f>'CZ08 Factors'!N60</f>
        <v>0.7</v>
      </c>
      <c r="AK34" s="1159" t="s">
        <v>1229</v>
      </c>
      <c r="AL34" s="1160" t="s">
        <v>1230</v>
      </c>
      <c r="AM34" s="1160" t="s">
        <v>1231</v>
      </c>
      <c r="AN34" s="1160" t="s">
        <v>1232</v>
      </c>
      <c r="AO34" s="1160" t="s">
        <v>1233</v>
      </c>
      <c r="AP34" s="1160" t="s">
        <v>1234</v>
      </c>
      <c r="AQ34" s="1160" t="s">
        <v>1235</v>
      </c>
      <c r="AR34" s="1160" t="s">
        <v>1236</v>
      </c>
      <c r="AS34" s="1161" t="s">
        <v>1237</v>
      </c>
    </row>
    <row r="35" spans="2:45" ht="16.5" customHeight="1" x14ac:dyDescent="0.4">
      <c r="B35" s="1388" t="s">
        <v>205</v>
      </c>
      <c r="C35" s="1155" t="s">
        <v>1222</v>
      </c>
      <c r="D35" s="1172">
        <v>1.4850000000000001</v>
      </c>
      <c r="E35" s="1173">
        <f>'CZ02 Factors'!$P$65</f>
        <v>9.3665972059342959</v>
      </c>
      <c r="F35" s="1173">
        <f>'CZ03 Factors'!$P$65</f>
        <v>14.745143611608942</v>
      </c>
      <c r="G35" s="1173">
        <f>'CZ04 Factors'!$P$65</f>
        <v>8.0399999999999991</v>
      </c>
      <c r="H35" s="1173">
        <f>'CZ05 Factors'!$P$65</f>
        <v>8.3159469233965719</v>
      </c>
      <c r="I35" s="1173">
        <f>'CZ05 BC Factors'!$P$65</f>
        <v>10.124958786367181</v>
      </c>
      <c r="J35" s="1173">
        <f>'CZ06 Factors'!$P$63</f>
        <v>6.0640475483087757</v>
      </c>
      <c r="K35" s="1173">
        <v>7.96</v>
      </c>
      <c r="L35" s="1174">
        <f>'CZ08 Factors'!$P$65</f>
        <v>9.4105230116780358</v>
      </c>
      <c r="N35" s="168">
        <v>3</v>
      </c>
      <c r="O35" s="1165" t="s">
        <v>1118</v>
      </c>
      <c r="P35" s="426"/>
      <c r="Q35" s="1394">
        <v>0.9</v>
      </c>
      <c r="R35" s="1394">
        <f>'CZ03 Factors'!N24</f>
        <v>1.1100000000000001</v>
      </c>
      <c r="S35" s="1394">
        <f>'CZ04 Factors'!N24</f>
        <v>1.1000000000000001</v>
      </c>
      <c r="T35" s="1394">
        <f>'CZ05 Factors'!N24</f>
        <v>1.2</v>
      </c>
      <c r="U35" s="1394">
        <f>'CZ05 BC Factors'!N24</f>
        <v>0.7</v>
      </c>
      <c r="V35" s="1394">
        <f>'CZ06 Factors'!N24</f>
        <v>1.1000000000000001</v>
      </c>
      <c r="W35" s="1394">
        <f>'CZ07 Factors'!N24</f>
        <v>1.08</v>
      </c>
      <c r="X35" s="406">
        <f>'CZ08 Factors'!N24</f>
        <v>0.83</v>
      </c>
      <c r="Y35" s="1166" t="s">
        <v>1118</v>
      </c>
      <c r="Z35" s="405"/>
      <c r="AA35" s="1394">
        <f>'CZ02 Factors'!N61</f>
        <v>0.7</v>
      </c>
      <c r="AB35" s="1394">
        <f>'CZ03 Factors'!N61</f>
        <v>0.7</v>
      </c>
      <c r="AC35" s="1394">
        <f>'CZ04 Factors'!N61</f>
        <v>0.95040000000000002</v>
      </c>
      <c r="AD35" s="1394">
        <f>'CZ05 Factors'!N61</f>
        <v>0.6</v>
      </c>
      <c r="AE35" s="1394">
        <f>'CZ05 BC Factors'!N61</f>
        <v>1.2</v>
      </c>
      <c r="AF35" s="1394">
        <f>'CZ06 Factors'!N59</f>
        <v>1.1000000000000001</v>
      </c>
      <c r="AG35" s="1394">
        <f>'CZ07 Factors'!N61</f>
        <v>0.8</v>
      </c>
      <c r="AH35" s="406">
        <f>'CZ08 Factors'!N61</f>
        <v>0.82</v>
      </c>
      <c r="AK35" s="168" t="s">
        <v>1240</v>
      </c>
      <c r="AL35" s="168">
        <v>1</v>
      </c>
      <c r="AM35" s="168">
        <v>2</v>
      </c>
      <c r="AN35" s="168">
        <v>3</v>
      </c>
      <c r="AO35" s="168">
        <v>4</v>
      </c>
      <c r="AP35" s="168">
        <v>5</v>
      </c>
      <c r="AQ35" s="168">
        <v>6</v>
      </c>
      <c r="AR35" s="168">
        <v>7</v>
      </c>
      <c r="AS35" s="168">
        <v>8</v>
      </c>
    </row>
    <row r="36" spans="2:45" ht="16.5" customHeight="1" x14ac:dyDescent="0.4">
      <c r="C36" s="1389" t="s">
        <v>1224</v>
      </c>
      <c r="D36" s="1400" t="e">
        <f ca="1">D44</f>
        <v>#DIV/0!</v>
      </c>
      <c r="E36" s="1400" t="e">
        <f t="shared" ref="E36:L36" ca="1" si="3">E44</f>
        <v>#DIV/0!</v>
      </c>
      <c r="F36" s="1400" t="e">
        <f t="shared" ca="1" si="3"/>
        <v>#DIV/0!</v>
      </c>
      <c r="G36" s="1400" t="e">
        <f t="shared" ca="1" si="3"/>
        <v>#DIV/0!</v>
      </c>
      <c r="H36" s="1400" t="e">
        <f t="shared" ca="1" si="3"/>
        <v>#DIV/0!</v>
      </c>
      <c r="I36" s="1400" t="e">
        <f t="shared" ca="1" si="3"/>
        <v>#DIV/0!</v>
      </c>
      <c r="J36" s="1400" t="e">
        <f t="shared" ca="1" si="3"/>
        <v>#DIV/0!</v>
      </c>
      <c r="K36" s="1400" t="e">
        <f t="shared" ca="1" si="3"/>
        <v>#DIV/0!</v>
      </c>
      <c r="L36" s="1400" t="e">
        <f t="shared" ca="1" si="3"/>
        <v>#DIV/0!</v>
      </c>
      <c r="N36" s="168">
        <v>4</v>
      </c>
      <c r="O36" s="1159" t="s">
        <v>1120</v>
      </c>
      <c r="P36" s="427"/>
      <c r="Q36" s="1395">
        <v>1.8</v>
      </c>
      <c r="R36" s="1395">
        <f>'CZ03 Factors'!N25</f>
        <v>0.79</v>
      </c>
      <c r="S36" s="1395">
        <f>'CZ04 Factors'!N25</f>
        <v>0.7</v>
      </c>
      <c r="T36" s="1395">
        <f>'CZ05 Factors'!N25</f>
        <v>1.2</v>
      </c>
      <c r="U36" s="1395">
        <f>'CZ05 BC Factors'!N25</f>
        <v>1</v>
      </c>
      <c r="V36" s="1395">
        <f>'CZ06 Factors'!N25</f>
        <v>0.7</v>
      </c>
      <c r="W36" s="1395">
        <f>'CZ07 Factors'!N25</f>
        <v>1.22</v>
      </c>
      <c r="X36" s="410">
        <f>'CZ08 Factors'!N25</f>
        <v>1.52</v>
      </c>
      <c r="Y36" s="1160" t="s">
        <v>1120</v>
      </c>
      <c r="Z36" s="409"/>
      <c r="AA36" s="1395">
        <f>'CZ02 Factors'!N62</f>
        <v>1.02</v>
      </c>
      <c r="AB36" s="1395">
        <f>'CZ03 Factors'!N62</f>
        <v>0.5</v>
      </c>
      <c r="AC36" s="1395">
        <f>'CZ04 Factors'!N62</f>
        <v>0.71279999999999999</v>
      </c>
      <c r="AD36" s="1395">
        <f>'CZ05 Factors'!N62</f>
        <v>0.56999999999999995</v>
      </c>
      <c r="AE36" s="1395">
        <f>'CZ05 BC Factors'!N62</f>
        <v>0.6</v>
      </c>
      <c r="AF36" s="1395">
        <f>'CZ06 Factors'!N60</f>
        <v>1.35</v>
      </c>
      <c r="AG36" s="1395">
        <f>'CZ07 Factors'!N62</f>
        <v>0.5</v>
      </c>
      <c r="AH36" s="410">
        <f>'CZ08 Factors'!N62</f>
        <v>0.32</v>
      </c>
      <c r="AK36" s="1165">
        <v>1</v>
      </c>
      <c r="AL36" s="1166">
        <v>0</v>
      </c>
      <c r="AM36" s="1166">
        <v>0</v>
      </c>
      <c r="AN36" s="1166">
        <v>0</v>
      </c>
      <c r="AO36" s="1166">
        <v>0</v>
      </c>
      <c r="AP36" s="1166">
        <v>0</v>
      </c>
      <c r="AQ36" s="1166">
        <v>0</v>
      </c>
      <c r="AR36" s="1166">
        <v>0</v>
      </c>
      <c r="AS36" s="1167">
        <v>0</v>
      </c>
    </row>
    <row r="37" spans="2:45" ht="16.5" customHeight="1" x14ac:dyDescent="0.4">
      <c r="B37" s="392">
        <v>0.05</v>
      </c>
      <c r="C37" s="1389" t="s">
        <v>1227</v>
      </c>
      <c r="D37" s="1400">
        <f>'CZ01 Factors'!Q24</f>
        <v>4.3094094436355757E-2</v>
      </c>
      <c r="E37" s="1401">
        <f>'CZ02 Factors'!Q42</f>
        <v>3.2395572687842586E-2</v>
      </c>
      <c r="F37" s="1401">
        <f>'CZ03 Factors'!Q42</f>
        <v>7.6785416005468912E-2</v>
      </c>
      <c r="G37" s="1401">
        <f>'CZ04 Factors'!Q42</f>
        <v>6.5104435561121124E-2</v>
      </c>
      <c r="H37" s="1401">
        <f>'CZ05 Factors'!Q42</f>
        <v>3.3440786209938164E-2</v>
      </c>
      <c r="I37" s="1401">
        <f>'CZ05 BC Factors'!Q42</f>
        <v>6.2971418540652399E-2</v>
      </c>
      <c r="J37" s="1401">
        <f>'CZ06 Factors'!Q40</f>
        <v>9.6321593718147414E-2</v>
      </c>
      <c r="K37" s="1401">
        <f>'CZ07 Factors'!Q42</f>
        <v>7.5038702786269285E-2</v>
      </c>
      <c r="L37" s="1402">
        <f>'CZ08 Factors'!Q42</f>
        <v>9.0942087158660312E-2</v>
      </c>
      <c r="N37" s="168">
        <v>5</v>
      </c>
      <c r="O37" s="1165" t="s">
        <v>1040</v>
      </c>
      <c r="P37" s="426"/>
      <c r="Q37" s="1394">
        <v>1.03250584222305</v>
      </c>
      <c r="R37" s="1394">
        <f>'CZ03 Factors'!N26</f>
        <v>1.0432576032414183</v>
      </c>
      <c r="S37" s="1394">
        <f>'CZ04 Factors'!N26</f>
        <v>1.0409384708681515</v>
      </c>
      <c r="T37" s="1394">
        <f>'CZ05 Factors'!N26</f>
        <v>1.0432004092050886</v>
      </c>
      <c r="U37" s="1394">
        <f>'CZ05 BC Factors'!N26</f>
        <v>1.0432549227550578</v>
      </c>
      <c r="V37" s="1394">
        <f>'CZ06 Factors'!N26</f>
        <v>1</v>
      </c>
      <c r="W37" s="1394">
        <f>'CZ07 Factors'!N26</f>
        <v>1.0473414870636766</v>
      </c>
      <c r="X37" s="406">
        <f>'CZ08 Factors'!N26</f>
        <v>1</v>
      </c>
      <c r="Y37" s="1166" t="s">
        <v>1040</v>
      </c>
      <c r="Z37" s="405"/>
      <c r="AA37" s="1394">
        <f>'CZ02 Factors'!N63</f>
        <v>1.03250584222305</v>
      </c>
      <c r="AB37" s="1394">
        <f>'CZ03 Factors'!N63</f>
        <v>1.0432576032414183</v>
      </c>
      <c r="AC37" s="1394">
        <f>'CZ04 Factors'!N63</f>
        <v>1.0409384708681515</v>
      </c>
      <c r="AD37" s="1394">
        <f>'CZ05 Factors'!N63</f>
        <v>1</v>
      </c>
      <c r="AE37" s="1394">
        <f>'CZ05 BC Factors'!N63</f>
        <v>1</v>
      </c>
      <c r="AF37" s="1394">
        <f>'CZ06 Factors'!N61</f>
        <v>1</v>
      </c>
      <c r="AG37" s="1394">
        <f>'CZ07 Factors'!N63</f>
        <v>1.0473414870636766</v>
      </c>
      <c r="AH37" s="406">
        <f>'CZ08 Factors'!N63</f>
        <v>1</v>
      </c>
      <c r="AK37" s="1159">
        <v>2</v>
      </c>
      <c r="AL37" s="1168">
        <f>'CZ02 Factors'!P59</f>
        <v>1.2</v>
      </c>
      <c r="AM37" s="1168">
        <f>'CZ02 Factors'!Q59</f>
        <v>0.97499999999999998</v>
      </c>
      <c r="AN37" s="1168">
        <f>'CZ02 Factors'!R59</f>
        <v>0.75</v>
      </c>
      <c r="AO37" s="1168">
        <f>'CZ02 Factors'!S59</f>
        <v>0.75</v>
      </c>
      <c r="AP37" s="1168">
        <f>'CZ02 Factors'!T59</f>
        <v>0.75</v>
      </c>
      <c r="AQ37" s="1168">
        <f>'CZ02 Factors'!U59</f>
        <v>0.77500000000000002</v>
      </c>
      <c r="AR37" s="1168">
        <f>'CZ02 Factors'!V59</f>
        <v>0.8</v>
      </c>
      <c r="AS37" s="1169">
        <f>'CZ02 Factors'!W59</f>
        <v>1</v>
      </c>
    </row>
    <row r="38" spans="2:45" ht="16.5" customHeight="1" x14ac:dyDescent="0.4">
      <c r="B38" s="905">
        <v>0.1</v>
      </c>
      <c r="C38" s="1393" t="s">
        <v>1238</v>
      </c>
      <c r="D38" s="1175">
        <f>'CZ01 Factors'!Q25</f>
        <v>4.9671538045378313E-2</v>
      </c>
      <c r="E38" s="1176">
        <f>'CZ02 Factors'!Q43</f>
        <v>4.0434670432203487E-2</v>
      </c>
      <c r="F38" s="1176">
        <f>'CZ03 Factors'!Q43</f>
        <v>7.8311774241739213E-2</v>
      </c>
      <c r="G38" s="1176">
        <f>'CZ04 Factors'!Q43</f>
        <v>6.9689428081950514E-2</v>
      </c>
      <c r="H38" s="1176">
        <f>'CZ05 Factors'!Q43</f>
        <v>4.2598935627559953E-2</v>
      </c>
      <c r="I38" s="1176">
        <f>'CZ05 BC Factors'!Q43</f>
        <v>6.8304751873985742E-2</v>
      </c>
      <c r="J38" s="1176">
        <f>'CZ06 Factors'!Q41</f>
        <v>9.8948064728480362E-2</v>
      </c>
      <c r="K38" s="1176">
        <f>'CZ07 Factors'!Q43</f>
        <v>7.7844298428481729E-2</v>
      </c>
      <c r="L38" s="1177">
        <f>'CZ08 Factors'!Q43</f>
        <v>9.3227801444374592E-2</v>
      </c>
      <c r="N38" s="168">
        <v>6</v>
      </c>
      <c r="O38" s="1159" t="s">
        <v>1041</v>
      </c>
      <c r="P38" s="427"/>
      <c r="Q38" s="1395">
        <v>1</v>
      </c>
      <c r="R38" s="1395">
        <f>'CZ03 Factors'!N27</f>
        <v>1</v>
      </c>
      <c r="S38" s="1395">
        <f>'CZ04 Factors'!N27</f>
        <v>1</v>
      </c>
      <c r="T38" s="1395">
        <f>'CZ05 Factors'!N27</f>
        <v>1</v>
      </c>
      <c r="U38" s="1395">
        <f>'CZ05 BC Factors'!N27</f>
        <v>1</v>
      </c>
      <c r="V38" s="1395">
        <f>'CZ06 Factors'!N27</f>
        <v>0.95768558840835138</v>
      </c>
      <c r="W38" s="1395">
        <f>'CZ07 Factors'!N27</f>
        <v>1</v>
      </c>
      <c r="X38" s="410">
        <f>'CZ08 Factors'!N27</f>
        <v>1</v>
      </c>
      <c r="Y38" s="1160" t="s">
        <v>1041</v>
      </c>
      <c r="Z38" s="409"/>
      <c r="AA38" s="1395">
        <f>'CZ02 Factors'!N64</f>
        <v>0.99</v>
      </c>
      <c r="AB38" s="1395">
        <f>'CZ03 Factors'!N64</f>
        <v>1</v>
      </c>
      <c r="AC38" s="1395">
        <f>'CZ04 Factors'!N64</f>
        <v>1</v>
      </c>
      <c r="AD38" s="1395">
        <f>'CZ05 Factors'!N64</f>
        <v>0.93</v>
      </c>
      <c r="AE38" s="1395">
        <f>'CZ05 BC Factors'!N64</f>
        <v>1</v>
      </c>
      <c r="AF38" s="1395">
        <f>'CZ06 Factors'!N62</f>
        <v>0.96</v>
      </c>
      <c r="AG38" s="1395">
        <f>'CZ07 Factors'!N64</f>
        <v>1</v>
      </c>
      <c r="AH38" s="410">
        <f>'CZ08 Factors'!N64</f>
        <v>1</v>
      </c>
      <c r="AK38" s="1165">
        <v>3</v>
      </c>
      <c r="AL38" s="1170">
        <f>'CZ03 Factors'!P59</f>
        <v>1.2</v>
      </c>
      <c r="AM38" s="1170">
        <f>'CZ03 Factors'!Q59</f>
        <v>1.1499999999999999</v>
      </c>
      <c r="AN38" s="1170">
        <f>'CZ03 Factors'!R59</f>
        <v>1.1000000000000001</v>
      </c>
      <c r="AO38" s="1170">
        <f>'CZ03 Factors'!S59</f>
        <v>0.95000000000000007</v>
      </c>
      <c r="AP38" s="1170">
        <f>'CZ03 Factors'!T59</f>
        <v>0.8</v>
      </c>
      <c r="AQ38" s="1170">
        <f>'CZ03 Factors'!U59</f>
        <v>1.0049999999999999</v>
      </c>
      <c r="AR38" s="1170">
        <f>'CZ03 Factors'!V59</f>
        <v>1.21</v>
      </c>
      <c r="AS38" s="1171">
        <f>'CZ03 Factors'!W59</f>
        <v>1.2050000000000001</v>
      </c>
    </row>
    <row r="39" spans="2:45" ht="16.5" customHeight="1" x14ac:dyDescent="0.4">
      <c r="B39" s="905">
        <v>0.15</v>
      </c>
      <c r="C39" s="1393" t="s">
        <v>1241</v>
      </c>
      <c r="D39" s="1175">
        <f>'CZ01 Factors'!Q26</f>
        <v>5.4056500451393354E-2</v>
      </c>
      <c r="E39" s="1176">
        <f>'CZ02 Factors'!Q44</f>
        <v>4.5794068928444093E-2</v>
      </c>
      <c r="F39" s="1176">
        <f>'CZ03 Factors'!Q44</f>
        <v>7.9159751039667159E-2</v>
      </c>
      <c r="G39" s="1176">
        <f>'CZ04 Factors'!Q44</f>
        <v>7.2102582040281776E-2</v>
      </c>
      <c r="H39" s="1176">
        <f>'CZ05 Factors'!Q44</f>
        <v>4.7686796415127602E-2</v>
      </c>
      <c r="I39" s="1176">
        <f>'CZ05 BC Factors'!Q44</f>
        <v>7.0971418540652406E-2</v>
      </c>
      <c r="J39" s="1176">
        <f>'CZ06 Factors'!Q42</f>
        <v>0.10014191518772261</v>
      </c>
      <c r="K39" s="1176">
        <f>'CZ07 Factors'!Q44</f>
        <v>7.8883407925597449E-2</v>
      </c>
      <c r="L39" s="1177">
        <f>'CZ08 Factors'!Q44</f>
        <v>9.4370658587231732E-2</v>
      </c>
      <c r="N39" s="168">
        <v>7</v>
      </c>
      <c r="O39" s="1165" t="s">
        <v>1042</v>
      </c>
      <c r="P39" s="426"/>
      <c r="Q39" s="1394">
        <v>0.97983567156805806</v>
      </c>
      <c r="R39" s="1394">
        <f>'CZ03 Factors'!N28</f>
        <v>0.97306303142169182</v>
      </c>
      <c r="S39" s="1394">
        <f>'CZ04 Factors'!N28</f>
        <v>0.97625430893937937</v>
      </c>
      <c r="T39" s="1394">
        <f>'CZ05 Factors'!N28</f>
        <v>0.97470132464735315</v>
      </c>
      <c r="U39" s="1394">
        <f>'CZ05 BC Factors'!N28</f>
        <v>0.97268939299298474</v>
      </c>
      <c r="V39" s="1394">
        <f>'CZ06 Factors'!N28</f>
        <v>0.93149565027128711</v>
      </c>
      <c r="W39" s="1394">
        <f>'CZ07 Factors'!N28</f>
        <v>0.9716373261423854</v>
      </c>
      <c r="X39" s="406">
        <f>'CZ08 Factors'!N28</f>
        <v>0.95769462688388218</v>
      </c>
      <c r="Y39" s="1166" t="s">
        <v>1042</v>
      </c>
      <c r="Z39" s="405"/>
      <c r="AA39" s="1394">
        <f>'CZ02 Factors'!N65</f>
        <v>0.97</v>
      </c>
      <c r="AB39" s="1394">
        <f>'CZ03 Factors'!N65</f>
        <v>0.97306303142169182</v>
      </c>
      <c r="AC39" s="1394">
        <f>'CZ04 Factors'!N65</f>
        <v>0.97625430893937937</v>
      </c>
      <c r="AD39" s="1394">
        <f>'CZ05 Factors'!N65</f>
        <v>0.9</v>
      </c>
      <c r="AE39" s="1394">
        <f>'CZ05 BC Factors'!N65</f>
        <v>0.9</v>
      </c>
      <c r="AF39" s="1394">
        <f>'CZ06 Factors'!N63</f>
        <v>0.83</v>
      </c>
      <c r="AG39" s="1394">
        <f>'CZ07 Factors'!N65</f>
        <v>0.9716373261423854</v>
      </c>
      <c r="AH39" s="406">
        <f>'CZ08 Factors'!N65</f>
        <v>0.95769462688388218</v>
      </c>
      <c r="AK39" s="1159">
        <v>4</v>
      </c>
      <c r="AL39" s="1168">
        <f>'CZ04 Factors'!P59</f>
        <v>1.2</v>
      </c>
      <c r="AM39" s="1168">
        <f>'CZ04 Factors'!Q59</f>
        <v>1.05</v>
      </c>
      <c r="AN39" s="1168">
        <f>'CZ04 Factors'!R59</f>
        <v>0.9</v>
      </c>
      <c r="AO39" s="1168">
        <f>'CZ04 Factors'!S59</f>
        <v>0.9</v>
      </c>
      <c r="AP39" s="1168">
        <f>'CZ04 Factors'!T59</f>
        <v>0.9</v>
      </c>
      <c r="AQ39" s="1168">
        <f>'CZ04 Factors'!U59</f>
        <v>0.9</v>
      </c>
      <c r="AR39" s="1168">
        <f>'CZ04 Factors'!V59</f>
        <v>0.9</v>
      </c>
      <c r="AS39" s="1169">
        <f>'CZ04 Factors'!W59</f>
        <v>1.05</v>
      </c>
    </row>
    <row r="40" spans="2:45" ht="16.5" customHeight="1" thickBot="1" x14ac:dyDescent="0.45">
      <c r="B40" s="905">
        <v>0.2</v>
      </c>
      <c r="C40" s="1393" t="s">
        <v>1243</v>
      </c>
      <c r="D40" s="1175">
        <f>'CZ01 Factors'!Q27</f>
        <v>5.6979808722070042E-2</v>
      </c>
      <c r="E40" s="1176">
        <f>'CZ02 Factors'!Q45</f>
        <v>4.9367001259271154E-2</v>
      </c>
      <c r="F40" s="1176">
        <f>'CZ03 Factors'!Q45</f>
        <v>7.963084926073824E-2</v>
      </c>
      <c r="G40" s="1176">
        <f>'CZ04 Factors'!Q45</f>
        <v>7.3372663070982433E-2</v>
      </c>
      <c r="H40" s="1176">
        <f>'CZ05 Factors'!Q45</f>
        <v>5.0513385741554076E-2</v>
      </c>
      <c r="I40" s="1176">
        <f>'CZ05 BC Factors'!Q45</f>
        <v>7.2304751873985745E-2</v>
      </c>
      <c r="J40" s="1176">
        <f>'CZ06 Factors'!Q43</f>
        <v>0.10068457448737819</v>
      </c>
      <c r="K40" s="1176">
        <f>'CZ07 Factors'!Q45</f>
        <v>7.9268263294899569E-2</v>
      </c>
      <c r="L40" s="1177">
        <f>'CZ08 Factors'!Q45</f>
        <v>9.4942087158660315E-2</v>
      </c>
      <c r="N40" s="168">
        <v>8</v>
      </c>
      <c r="O40" s="1159" t="s">
        <v>1043</v>
      </c>
      <c r="P40" s="428"/>
      <c r="Q40" s="415">
        <v>1.1399999999999999</v>
      </c>
      <c r="R40" s="415">
        <f>'CZ03 Factors'!N29</f>
        <v>1.1499999999999999</v>
      </c>
      <c r="S40" s="415">
        <f>'CZ04 Factors'!N29</f>
        <v>1.03</v>
      </c>
      <c r="T40" s="415">
        <f>'CZ05 Factors'!N29</f>
        <v>1.05</v>
      </c>
      <c r="U40" s="415">
        <f>'CZ05 BC Factors'!N29</f>
        <v>1.1000000000000001</v>
      </c>
      <c r="V40" s="415">
        <f>'CZ06 Factors'!N29</f>
        <v>0.95</v>
      </c>
      <c r="W40" s="415">
        <f>'CZ07 Factors'!N29</f>
        <v>1.03</v>
      </c>
      <c r="X40" s="416">
        <f>'CZ08 Factors'!N29</f>
        <v>0.91</v>
      </c>
      <c r="Y40" s="1160" t="s">
        <v>1043</v>
      </c>
      <c r="Z40" s="414"/>
      <c r="AA40" s="415">
        <v>1</v>
      </c>
      <c r="AB40" s="415">
        <v>1</v>
      </c>
      <c r="AC40" s="415">
        <v>1</v>
      </c>
      <c r="AD40" s="415">
        <v>1</v>
      </c>
      <c r="AE40" s="415">
        <v>1</v>
      </c>
      <c r="AF40" s="415">
        <v>1</v>
      </c>
      <c r="AG40" s="415">
        <v>1</v>
      </c>
      <c r="AH40" s="416">
        <v>1</v>
      </c>
      <c r="AK40" s="1165">
        <v>5</v>
      </c>
      <c r="AL40" s="1170">
        <f>'CZ05 Factors'!P59</f>
        <v>1.2</v>
      </c>
      <c r="AM40" s="1170">
        <f>'CZ05 Factors'!Q59</f>
        <v>1</v>
      </c>
      <c r="AN40" s="1170">
        <f>'CZ05 Factors'!R59</f>
        <v>0.8</v>
      </c>
      <c r="AO40" s="1170">
        <f>'CZ05 Factors'!S59</f>
        <v>0.8</v>
      </c>
      <c r="AP40" s="1170">
        <f>'CZ05 Factors'!T59</f>
        <v>0.8</v>
      </c>
      <c r="AQ40" s="1170">
        <f>'CZ05 Factors'!U59</f>
        <v>0.85000000000000009</v>
      </c>
      <c r="AR40" s="1170">
        <f>'CZ05 Factors'!V59</f>
        <v>0.9</v>
      </c>
      <c r="AS40" s="1171">
        <f>'CZ05 Factors'!W59</f>
        <v>1.05</v>
      </c>
    </row>
    <row r="41" spans="2:45" ht="16.5" customHeight="1" x14ac:dyDescent="0.3">
      <c r="B41" s="407" t="s">
        <v>1244</v>
      </c>
      <c r="C41" s="906" t="e">
        <f>'13.3 External Glazing'!$CT$101</f>
        <v>#DIV/0!</v>
      </c>
      <c r="D41" s="429"/>
      <c r="E41" s="913"/>
      <c r="F41" s="913"/>
      <c r="G41" s="913"/>
      <c r="H41" s="913"/>
      <c r="I41" s="913"/>
      <c r="J41" s="913"/>
      <c r="K41" s="913"/>
      <c r="L41" s="914"/>
      <c r="P41" s="168">
        <f>Zone</f>
        <v>5</v>
      </c>
      <c r="AK41" s="1159" t="s">
        <v>1117</v>
      </c>
      <c r="AL41" s="1168">
        <f>'CZ05 BC Factors'!P59</f>
        <v>1</v>
      </c>
      <c r="AM41" s="1168">
        <f>'CZ05 BC Factors'!Q59</f>
        <v>0.97499999999999998</v>
      </c>
      <c r="AN41" s="1168">
        <f>'CZ05 BC Factors'!R59</f>
        <v>0.95</v>
      </c>
      <c r="AO41" s="1168">
        <f>'CZ05 BC Factors'!S59</f>
        <v>0.92500000000000004</v>
      </c>
      <c r="AP41" s="1168">
        <f>'CZ05 BC Factors'!T59</f>
        <v>0.9</v>
      </c>
      <c r="AQ41" s="1168">
        <f>'CZ05 BC Factors'!U59</f>
        <v>0.92500000000000004</v>
      </c>
      <c r="AR41" s="1168">
        <f>'CZ05 BC Factors'!V59</f>
        <v>0.95</v>
      </c>
      <c r="AS41" s="1169">
        <f>'CZ05 BC Factors'!W59</f>
        <v>0.97499999999999998</v>
      </c>
    </row>
    <row r="42" spans="2:45" ht="16.5" customHeight="1" x14ac:dyDescent="0.25">
      <c r="B42" s="168" t="e">
        <f ca="1">OFFSET(B$36,$C42,0)</f>
        <v>#DIV/0!</v>
      </c>
      <c r="C42" s="168" t="e">
        <f>MATCH(C41,B37:B40,1)</f>
        <v>#DIV/0!</v>
      </c>
      <c r="D42" s="411" t="e">
        <f ca="1">OFFSET(D$36,$C42,0)</f>
        <v>#DIV/0!</v>
      </c>
      <c r="E42" s="411" t="e">
        <f t="shared" ref="E42:L43" ca="1" si="4">OFFSET(E$36,$C42,0)</f>
        <v>#DIV/0!</v>
      </c>
      <c r="F42" s="411" t="e">
        <f t="shared" ca="1" si="4"/>
        <v>#DIV/0!</v>
      </c>
      <c r="G42" s="411" t="e">
        <f t="shared" ca="1" si="4"/>
        <v>#DIV/0!</v>
      </c>
      <c r="H42" s="411" t="e">
        <f t="shared" ca="1" si="4"/>
        <v>#DIV/0!</v>
      </c>
      <c r="I42" s="411" t="e">
        <f t="shared" ca="1" si="4"/>
        <v>#DIV/0!</v>
      </c>
      <c r="J42" s="411" t="e">
        <f t="shared" ca="1" si="4"/>
        <v>#DIV/0!</v>
      </c>
      <c r="K42" s="411" t="e">
        <f t="shared" ca="1" si="4"/>
        <v>#DIV/0!</v>
      </c>
      <c r="L42" s="411" t="e">
        <f t="shared" ca="1" si="4"/>
        <v>#DIV/0!</v>
      </c>
      <c r="O42" s="168" t="s">
        <v>1255</v>
      </c>
      <c r="P42" s="168">
        <f>HLOOKUP(P41,W_Slab_Fact,4)</f>
        <v>1.2</v>
      </c>
      <c r="AK42" s="911">
        <v>6</v>
      </c>
      <c r="AL42" s="417">
        <f>'CZ06 Factors'!P57</f>
        <v>1</v>
      </c>
      <c r="AM42" s="417">
        <f>'CZ06 Factors'!Q57</f>
        <v>0.9</v>
      </c>
      <c r="AN42" s="417">
        <f>'CZ06 Factors'!R57</f>
        <v>0.8</v>
      </c>
      <c r="AO42" s="417">
        <f>'CZ06 Factors'!S57</f>
        <v>0.8</v>
      </c>
      <c r="AP42" s="417">
        <f>'CZ06 Factors'!T57</f>
        <v>0.8</v>
      </c>
      <c r="AQ42" s="417">
        <f>'CZ06 Factors'!U57</f>
        <v>0.8</v>
      </c>
      <c r="AR42" s="417">
        <f>'CZ06 Factors'!V57</f>
        <v>0.8</v>
      </c>
      <c r="AS42" s="418">
        <f>'CZ06 Factors'!W57</f>
        <v>0.9</v>
      </c>
    </row>
    <row r="43" spans="2:45" x14ac:dyDescent="0.25">
      <c r="B43" s="168" t="e">
        <f ca="1">OFFSET(B$36,$C43,0)</f>
        <v>#DIV/0!</v>
      </c>
      <c r="C43" s="168" t="e">
        <f>IF(C42+1&gt;4,4,C42+1)</f>
        <v>#DIV/0!</v>
      </c>
      <c r="D43" s="411" t="e">
        <f ca="1">OFFSET(D$36,$C43,0)</f>
        <v>#DIV/0!</v>
      </c>
      <c r="E43" s="411" t="e">
        <f t="shared" ca="1" si="4"/>
        <v>#DIV/0!</v>
      </c>
      <c r="F43" s="411" t="e">
        <f t="shared" ca="1" si="4"/>
        <v>#DIV/0!</v>
      </c>
      <c r="G43" s="411" t="e">
        <f t="shared" ca="1" si="4"/>
        <v>#DIV/0!</v>
      </c>
      <c r="H43" s="411" t="e">
        <f t="shared" ca="1" si="4"/>
        <v>#DIV/0!</v>
      </c>
      <c r="I43" s="411" t="e">
        <f t="shared" ca="1" si="4"/>
        <v>#DIV/0!</v>
      </c>
      <c r="J43" s="411" t="e">
        <f t="shared" ca="1" si="4"/>
        <v>#DIV/0!</v>
      </c>
      <c r="K43" s="411" t="e">
        <f t="shared" ca="1" si="4"/>
        <v>#DIV/0!</v>
      </c>
      <c r="L43" s="411" t="e">
        <f t="shared" ca="1" si="4"/>
        <v>#DIV/0!</v>
      </c>
      <c r="AK43" s="1159">
        <v>7</v>
      </c>
      <c r="AL43" s="1168">
        <f>'CZ07 Factors'!P59</f>
        <v>1.3</v>
      </c>
      <c r="AM43" s="1168">
        <f>'CZ07 Factors'!Q59</f>
        <v>1.1000000000000001</v>
      </c>
      <c r="AN43" s="1168">
        <f>'CZ07 Factors'!R59</f>
        <v>0.9</v>
      </c>
      <c r="AO43" s="1168">
        <f>'CZ07 Factors'!S59</f>
        <v>0.9</v>
      </c>
      <c r="AP43" s="1168">
        <f>'CZ07 Factors'!T59</f>
        <v>0.9</v>
      </c>
      <c r="AQ43" s="1168">
        <f>'CZ07 Factors'!U59</f>
        <v>0.9</v>
      </c>
      <c r="AR43" s="1168">
        <f>'CZ07 Factors'!V59</f>
        <v>0.9</v>
      </c>
      <c r="AS43" s="1169">
        <f>'CZ07 Factors'!W59</f>
        <v>1.1000000000000001</v>
      </c>
    </row>
    <row r="44" spans="2:45" x14ac:dyDescent="0.25">
      <c r="C44" s="168" t="s">
        <v>1191</v>
      </c>
      <c r="D44" s="411" t="e">
        <f ca="1">IF($C41&gt;=$B43,D43,(D42+($C41-$B42)/($B43-$B42)*(D43-D42)))</f>
        <v>#DIV/0!</v>
      </c>
      <c r="E44" s="411" t="e">
        <f t="shared" ref="E44:L44" ca="1" si="5">IF($C41&gt;=$B43,E43,(E42+($C41-$B42)/($B43-$B42)*(E43-E42)))</f>
        <v>#DIV/0!</v>
      </c>
      <c r="F44" s="411" t="e">
        <f t="shared" ca="1" si="5"/>
        <v>#DIV/0!</v>
      </c>
      <c r="G44" s="411" t="e">
        <f t="shared" ca="1" si="5"/>
        <v>#DIV/0!</v>
      </c>
      <c r="H44" s="411" t="e">
        <f t="shared" ca="1" si="5"/>
        <v>#DIV/0!</v>
      </c>
      <c r="I44" s="411" t="e">
        <f t="shared" ca="1" si="5"/>
        <v>#DIV/0!</v>
      </c>
      <c r="J44" s="411" t="e">
        <f t="shared" ca="1" si="5"/>
        <v>#DIV/0!</v>
      </c>
      <c r="K44" s="411" t="e">
        <f t="shared" ca="1" si="5"/>
        <v>#DIV/0!</v>
      </c>
      <c r="L44" s="411" t="e">
        <f t="shared" ca="1" si="5"/>
        <v>#DIV/0!</v>
      </c>
      <c r="AK44" s="1165">
        <v>8</v>
      </c>
      <c r="AL44" s="1170">
        <f>'CZ08 Factors'!P59</f>
        <v>1.2</v>
      </c>
      <c r="AM44" s="1170">
        <f>'CZ08 Factors'!Q59</f>
        <v>1</v>
      </c>
      <c r="AN44" s="1170">
        <f>'CZ08 Factors'!R59</f>
        <v>0.8</v>
      </c>
      <c r="AO44" s="1170">
        <f>'CZ08 Factors'!S59</f>
        <v>0.75</v>
      </c>
      <c r="AP44" s="1170">
        <f>'CZ08 Factors'!T59</f>
        <v>0.7</v>
      </c>
      <c r="AQ44" s="1170">
        <f>'CZ08 Factors'!U59</f>
        <v>0.75</v>
      </c>
      <c r="AR44" s="1170">
        <f>'CZ08 Factors'!V59</f>
        <v>0.8</v>
      </c>
      <c r="AS44" s="1171">
        <f>'CZ08 Factors'!W59</f>
        <v>1</v>
      </c>
    </row>
    <row r="45" spans="2:45" ht="15.5" x14ac:dyDescent="0.4">
      <c r="B45" s="419" t="s">
        <v>886</v>
      </c>
      <c r="C45" s="420" t="s">
        <v>1245</v>
      </c>
      <c r="D45" s="430">
        <v>1.4850000000000001</v>
      </c>
      <c r="E45" s="431">
        <v>16.547999999999998</v>
      </c>
      <c r="F45" s="431">
        <v>13.177</v>
      </c>
      <c r="G45" s="431">
        <v>7.1360000000000001</v>
      </c>
      <c r="H45" s="431">
        <v>12.118</v>
      </c>
      <c r="I45" s="431"/>
      <c r="J45" s="431">
        <v>5.7759999999999998</v>
      </c>
      <c r="K45" s="431">
        <v>4.9370000000000003</v>
      </c>
      <c r="L45" s="432">
        <v>3.5880000000000001</v>
      </c>
    </row>
    <row r="46" spans="2:45" ht="15.5" x14ac:dyDescent="0.4">
      <c r="B46" s="424"/>
      <c r="C46" s="1396" t="s">
        <v>1246</v>
      </c>
      <c r="D46" s="1403">
        <v>6.3E-2</v>
      </c>
      <c r="E46" s="1404">
        <v>7.3999999999999996E-2</v>
      </c>
      <c r="F46" s="1404">
        <v>6.2E-2</v>
      </c>
      <c r="G46" s="1404">
        <v>9.6000000000000002E-2</v>
      </c>
      <c r="H46" s="1404">
        <v>0.121</v>
      </c>
      <c r="I46" s="1404"/>
      <c r="J46" s="1404">
        <v>0.152</v>
      </c>
      <c r="K46" s="1404">
        <v>0.187</v>
      </c>
      <c r="L46" s="1405">
        <v>0.23200000000000001</v>
      </c>
      <c r="Q46" s="433"/>
      <c r="R46" s="433"/>
    </row>
    <row r="47" spans="2:45" x14ac:dyDescent="0.25">
      <c r="D47" s="425" t="s">
        <v>1256</v>
      </c>
      <c r="Q47" s="433"/>
      <c r="R47" s="433"/>
    </row>
    <row r="48" spans="2:45" x14ac:dyDescent="0.25">
      <c r="Q48" s="433"/>
      <c r="R48" s="433"/>
    </row>
    <row r="49" spans="2:92" x14ac:dyDescent="0.25">
      <c r="Q49" s="433"/>
      <c r="R49" s="433"/>
    </row>
    <row r="50" spans="2:92" x14ac:dyDescent="0.25">
      <c r="Q50" s="433"/>
      <c r="R50" s="433"/>
    </row>
    <row r="51" spans="2:92" x14ac:dyDescent="0.25">
      <c r="Q51" s="433"/>
      <c r="R51" s="433"/>
    </row>
    <row r="52" spans="2:92" x14ac:dyDescent="0.25">
      <c r="Q52" s="433"/>
      <c r="R52" s="433"/>
    </row>
    <row r="53" spans="2:92" x14ac:dyDescent="0.25">
      <c r="Q53" s="433"/>
      <c r="R53" s="433"/>
    </row>
    <row r="54" spans="2:92" ht="13" x14ac:dyDescent="0.3">
      <c r="B54" s="1386" t="s">
        <v>1257</v>
      </c>
      <c r="C54" s="1387"/>
      <c r="D54" s="1387"/>
      <c r="E54" s="1387"/>
      <c r="F54" s="1387"/>
      <c r="G54" s="1387"/>
      <c r="H54" s="1387"/>
      <c r="I54" s="1387"/>
      <c r="J54" s="1387"/>
      <c r="K54" s="1387"/>
      <c r="L54" s="1387"/>
      <c r="M54" s="1387"/>
      <c r="N54" s="1387"/>
      <c r="O54" s="1387"/>
      <c r="P54" s="1387"/>
      <c r="Q54" s="1387"/>
      <c r="R54" s="1387"/>
      <c r="S54" s="1387"/>
      <c r="T54" s="1387"/>
      <c r="U54" s="1387"/>
      <c r="V54" s="1387"/>
      <c r="W54" s="1387"/>
      <c r="X54" s="1387"/>
      <c r="Y54" s="1387"/>
      <c r="Z54" s="1387"/>
      <c r="AA54" s="1387"/>
      <c r="AB54" s="1387"/>
      <c r="AC54" s="1387"/>
      <c r="AD54" s="1387"/>
      <c r="AE54" s="1387"/>
      <c r="AF54" s="1387"/>
      <c r="AG54" s="1387"/>
      <c r="AH54" s="1387"/>
      <c r="AI54" s="1387"/>
      <c r="AJ54" s="1387"/>
      <c r="AK54" s="1387"/>
      <c r="AL54" s="1387"/>
      <c r="AM54" s="1387"/>
      <c r="AN54" s="1387"/>
      <c r="AO54" s="1387"/>
      <c r="AP54" s="1387"/>
      <c r="AQ54" s="1387"/>
      <c r="AR54" s="1387"/>
      <c r="AS54" s="1387"/>
      <c r="AT54" s="1387"/>
      <c r="AU54" s="1387"/>
      <c r="AV54" s="1387"/>
      <c r="AW54" s="1387"/>
      <c r="AX54" s="1387"/>
      <c r="AY54" s="1387"/>
      <c r="AZ54" s="1387"/>
      <c r="BA54" s="1387"/>
      <c r="BB54" s="1387"/>
      <c r="BC54" s="1387"/>
      <c r="BD54" s="1387"/>
      <c r="BE54" s="1387"/>
      <c r="BF54" s="1387"/>
      <c r="BG54" s="1387"/>
      <c r="BH54" s="1387"/>
      <c r="BI54" s="1387"/>
      <c r="BJ54" s="1387"/>
      <c r="BK54" s="1387"/>
      <c r="BL54" s="1387"/>
      <c r="BM54" s="1387"/>
      <c r="BN54" s="1387"/>
      <c r="BO54" s="1387"/>
      <c r="BP54" s="1387"/>
      <c r="BQ54" s="1387"/>
      <c r="BR54" s="1387"/>
      <c r="BS54" s="1387"/>
      <c r="BT54" s="1387"/>
      <c r="BU54" s="1387"/>
      <c r="BV54" s="1387"/>
      <c r="BW54" s="1387"/>
      <c r="BX54" s="1387"/>
      <c r="BY54" s="1387"/>
      <c r="BZ54" s="1387"/>
      <c r="CA54" s="1387"/>
      <c r="CB54" s="1387"/>
      <c r="CC54" s="1387"/>
      <c r="CD54" s="1387"/>
      <c r="CE54" s="1387"/>
      <c r="CF54" s="1387"/>
      <c r="CG54" s="1387"/>
      <c r="CH54" s="1387"/>
      <c r="CI54" s="1387"/>
      <c r="CJ54" s="1387"/>
      <c r="CK54" s="1387"/>
      <c r="CL54" s="1387"/>
      <c r="CM54" s="1387"/>
      <c r="CN54" s="1387"/>
    </row>
    <row r="55" spans="2:92" ht="13" x14ac:dyDescent="0.3">
      <c r="B55" s="390" t="s">
        <v>1258</v>
      </c>
      <c r="M55" s="434" t="e">
        <f>"("&amp;IF(ConstantsSource=#REF!,#REF!,#REF!)&amp;" source selected)"</f>
        <v>#REF!</v>
      </c>
    </row>
    <row r="56" spans="2:92" ht="13" x14ac:dyDescent="0.3">
      <c r="B56" s="389" t="s">
        <v>1259</v>
      </c>
    </row>
    <row r="59" spans="2:92" x14ac:dyDescent="0.25">
      <c r="D59" s="1406" t="s">
        <v>1230</v>
      </c>
      <c r="E59" s="1178" t="s">
        <v>1231</v>
      </c>
      <c r="F59" s="1178" t="s">
        <v>1232</v>
      </c>
      <c r="G59" s="1178" t="s">
        <v>1233</v>
      </c>
      <c r="H59" s="1178" t="s">
        <v>1234</v>
      </c>
      <c r="I59" s="1178" t="s">
        <v>1235</v>
      </c>
      <c r="J59" s="1178" t="s">
        <v>1236</v>
      </c>
      <c r="K59" s="1179" t="s">
        <v>1237</v>
      </c>
    </row>
    <row r="60" spans="2:92" x14ac:dyDescent="0.25">
      <c r="D60" s="425" t="s">
        <v>1260</v>
      </c>
    </row>
    <row r="61" spans="2:92" ht="13" x14ac:dyDescent="0.3">
      <c r="D61" s="389" t="s">
        <v>1261</v>
      </c>
    </row>
    <row r="62" spans="2:92" ht="13" x14ac:dyDescent="0.3">
      <c r="D62" s="389"/>
    </row>
    <row r="63" spans="2:92" ht="13" x14ac:dyDescent="0.3">
      <c r="B63" s="435" t="s">
        <v>1262</v>
      </c>
      <c r="C63" s="436"/>
      <c r="D63" s="436"/>
      <c r="E63" s="436"/>
      <c r="F63" s="436"/>
      <c r="G63" s="436"/>
      <c r="H63" s="436"/>
      <c r="I63" s="436"/>
      <c r="J63" s="436"/>
      <c r="K63" s="436"/>
      <c r="L63" s="436"/>
      <c r="M63" s="436"/>
      <c r="N63" s="436"/>
      <c r="O63" s="436"/>
      <c r="P63" s="436"/>
      <c r="Q63" s="436"/>
      <c r="R63" s="436"/>
      <c r="S63" s="436"/>
      <c r="T63" s="436"/>
      <c r="U63" s="436"/>
      <c r="V63" s="436"/>
      <c r="W63" s="436"/>
      <c r="X63" s="436"/>
      <c r="Y63" s="436"/>
      <c r="Z63" s="436"/>
      <c r="AA63" s="436"/>
      <c r="AB63" s="436"/>
      <c r="AC63" s="436"/>
      <c r="AD63" s="436"/>
      <c r="AE63" s="436"/>
      <c r="AF63" s="436"/>
      <c r="AG63" s="436"/>
      <c r="AH63" s="436"/>
      <c r="AI63" s="436"/>
      <c r="AJ63" s="436"/>
      <c r="AK63" s="436"/>
      <c r="AL63" s="436"/>
      <c r="AM63" s="436"/>
      <c r="AN63" s="436"/>
      <c r="AO63" s="436"/>
      <c r="AP63" s="436"/>
      <c r="AQ63" s="436"/>
      <c r="AR63" s="436"/>
      <c r="AS63" s="436"/>
      <c r="AT63" s="436"/>
      <c r="AU63" s="436"/>
      <c r="AV63" s="436"/>
      <c r="AW63" s="436"/>
      <c r="AX63" s="436"/>
      <c r="AY63" s="436"/>
      <c r="AZ63" s="436"/>
      <c r="BA63" s="436"/>
      <c r="BB63" s="436"/>
      <c r="BC63" s="436"/>
      <c r="BD63" s="436"/>
      <c r="BE63" s="436"/>
      <c r="BF63" s="436"/>
      <c r="BG63" s="436"/>
      <c r="BH63" s="436"/>
      <c r="BI63" s="436"/>
      <c r="BJ63" s="436"/>
      <c r="BK63" s="436"/>
      <c r="BL63" s="436"/>
      <c r="BM63" s="436"/>
      <c r="BN63" s="436"/>
      <c r="BO63" s="436"/>
      <c r="BP63" s="436"/>
      <c r="BQ63" s="436"/>
      <c r="BR63" s="436"/>
      <c r="BS63" s="436"/>
      <c r="BT63" s="436"/>
      <c r="BU63" s="436"/>
      <c r="BV63" s="436"/>
      <c r="BW63" s="436"/>
      <c r="BX63" s="436"/>
      <c r="BY63" s="436"/>
      <c r="BZ63" s="436"/>
      <c r="CA63" s="436"/>
      <c r="CB63" s="436"/>
      <c r="CC63" s="436"/>
      <c r="CD63" s="436"/>
      <c r="CE63" s="436"/>
      <c r="CF63" s="436"/>
      <c r="CG63" s="436"/>
      <c r="CH63" s="436"/>
      <c r="CI63" s="436"/>
      <c r="CJ63" s="436"/>
      <c r="CK63" s="436"/>
      <c r="CL63" s="436"/>
      <c r="CM63" s="436"/>
      <c r="CN63" s="436"/>
    </row>
    <row r="64" spans="2:92" ht="15.5" x14ac:dyDescent="0.35">
      <c r="B64" s="437" t="s">
        <v>1263</v>
      </c>
      <c r="C64" s="438" t="s">
        <v>1264</v>
      </c>
    </row>
    <row r="65" spans="2:91" ht="13" x14ac:dyDescent="0.3">
      <c r="C65" s="389" t="s">
        <v>1265</v>
      </c>
    </row>
    <row r="67" spans="2:91" ht="13" x14ac:dyDescent="0.3">
      <c r="C67" s="390" t="s">
        <v>1266</v>
      </c>
      <c r="M67" s="390" t="s">
        <v>1267</v>
      </c>
      <c r="W67" s="390" t="s">
        <v>1268</v>
      </c>
      <c r="AH67" s="390" t="s">
        <v>1269</v>
      </c>
      <c r="AR67" s="390" t="s">
        <v>1270</v>
      </c>
      <c r="BB67" s="390" t="s">
        <v>1270</v>
      </c>
      <c r="BL67" s="390" t="s">
        <v>1271</v>
      </c>
      <c r="BV67" s="390" t="s">
        <v>1272</v>
      </c>
      <c r="CF67" s="390" t="s">
        <v>1273</v>
      </c>
    </row>
    <row r="68" spans="2:91" ht="13" x14ac:dyDescent="0.3">
      <c r="C68" s="439" t="s">
        <v>1274</v>
      </c>
      <c r="M68" s="439" t="s">
        <v>1275</v>
      </c>
      <c r="W68" s="439" t="s">
        <v>1276</v>
      </c>
      <c r="AH68" s="439" t="s">
        <v>1277</v>
      </c>
      <c r="AR68" s="439" t="s">
        <v>1278</v>
      </c>
      <c r="BB68" s="439" t="s">
        <v>1279</v>
      </c>
      <c r="BC68" s="389" t="s">
        <v>1280</v>
      </c>
      <c r="BL68" s="439" t="s">
        <v>1281</v>
      </c>
      <c r="BV68" s="439" t="s">
        <v>1282</v>
      </c>
      <c r="CF68" s="439" t="s">
        <v>1283</v>
      </c>
    </row>
    <row r="69" spans="2:91" x14ac:dyDescent="0.25">
      <c r="C69" s="1407"/>
      <c r="D69" s="1408" t="s">
        <v>1230</v>
      </c>
      <c r="E69" s="1409" t="s">
        <v>1231</v>
      </c>
      <c r="F69" s="1409" t="s">
        <v>1232</v>
      </c>
      <c r="G69" s="1409" t="s">
        <v>1233</v>
      </c>
      <c r="H69" s="1409" t="s">
        <v>1234</v>
      </c>
      <c r="I69" s="1409" t="s">
        <v>1235</v>
      </c>
      <c r="J69" s="1409" t="s">
        <v>1236</v>
      </c>
      <c r="K69" s="1410" t="s">
        <v>1237</v>
      </c>
      <c r="M69" s="1407"/>
      <c r="N69" s="1408" t="s">
        <v>1230</v>
      </c>
      <c r="O69" s="1409" t="s">
        <v>1231</v>
      </c>
      <c r="P69" s="1409" t="s">
        <v>1232</v>
      </c>
      <c r="Q69" s="1409" t="s">
        <v>1233</v>
      </c>
      <c r="R69" s="1409" t="s">
        <v>1234</v>
      </c>
      <c r="S69" s="1409" t="s">
        <v>1235</v>
      </c>
      <c r="T69" s="1409" t="s">
        <v>1236</v>
      </c>
      <c r="U69" s="1410" t="s">
        <v>1237</v>
      </c>
      <c r="W69" s="1407"/>
      <c r="X69" s="1408" t="s">
        <v>1230</v>
      </c>
      <c r="Y69" s="1409" t="s">
        <v>1231</v>
      </c>
      <c r="Z69" s="1409" t="s">
        <v>1232</v>
      </c>
      <c r="AA69" s="1409" t="s">
        <v>1233</v>
      </c>
      <c r="AB69" s="1409" t="s">
        <v>1234</v>
      </c>
      <c r="AC69" s="1409" t="s">
        <v>1235</v>
      </c>
      <c r="AD69" s="1409" t="s">
        <v>1236</v>
      </c>
      <c r="AE69" s="1410" t="s">
        <v>1237</v>
      </c>
      <c r="AG69" s="1407"/>
      <c r="AH69" s="1408" t="s">
        <v>1230</v>
      </c>
      <c r="AI69" s="1409" t="s">
        <v>1231</v>
      </c>
      <c r="AJ69" s="1409" t="s">
        <v>1232</v>
      </c>
      <c r="AK69" s="1409" t="s">
        <v>1233</v>
      </c>
      <c r="AL69" s="1409" t="s">
        <v>1234</v>
      </c>
      <c r="AM69" s="1409" t="s">
        <v>1235</v>
      </c>
      <c r="AN69" s="1409" t="s">
        <v>1236</v>
      </c>
      <c r="AO69" s="1410" t="s">
        <v>1237</v>
      </c>
      <c r="AQ69" s="1407"/>
      <c r="AR69" s="1408" t="s">
        <v>1230</v>
      </c>
      <c r="AS69" s="1409" t="s">
        <v>1231</v>
      </c>
      <c r="AT69" s="1409" t="s">
        <v>1232</v>
      </c>
      <c r="AU69" s="1409" t="s">
        <v>1233</v>
      </c>
      <c r="AV69" s="1409" t="s">
        <v>1234</v>
      </c>
      <c r="AW69" s="1409" t="s">
        <v>1235</v>
      </c>
      <c r="AX69" s="1409" t="s">
        <v>1236</v>
      </c>
      <c r="AY69" s="1410" t="s">
        <v>1237</v>
      </c>
      <c r="AZ69" s="391"/>
      <c r="BA69" s="1407"/>
      <c r="BB69" s="1408" t="s">
        <v>1230</v>
      </c>
      <c r="BC69" s="1409" t="s">
        <v>1231</v>
      </c>
      <c r="BD69" s="1409" t="s">
        <v>1232</v>
      </c>
      <c r="BE69" s="1409" t="s">
        <v>1233</v>
      </c>
      <c r="BF69" s="1409" t="s">
        <v>1234</v>
      </c>
      <c r="BG69" s="1409" t="s">
        <v>1235</v>
      </c>
      <c r="BH69" s="1409" t="s">
        <v>1236</v>
      </c>
      <c r="BI69" s="1410" t="s">
        <v>1237</v>
      </c>
      <c r="BK69" s="1407"/>
      <c r="BL69" s="1408" t="s">
        <v>1230</v>
      </c>
      <c r="BM69" s="1409" t="s">
        <v>1231</v>
      </c>
      <c r="BN69" s="1409" t="s">
        <v>1232</v>
      </c>
      <c r="BO69" s="1409" t="s">
        <v>1233</v>
      </c>
      <c r="BP69" s="1409" t="s">
        <v>1234</v>
      </c>
      <c r="BQ69" s="1409" t="s">
        <v>1235</v>
      </c>
      <c r="BR69" s="1409" t="s">
        <v>1236</v>
      </c>
      <c r="BS69" s="1410" t="s">
        <v>1237</v>
      </c>
      <c r="BU69" s="1407"/>
      <c r="BV69" s="1408" t="s">
        <v>1230</v>
      </c>
      <c r="BW69" s="1409" t="s">
        <v>1231</v>
      </c>
      <c r="BX69" s="1409" t="s">
        <v>1232</v>
      </c>
      <c r="BY69" s="1409" t="s">
        <v>1233</v>
      </c>
      <c r="BZ69" s="1409" t="s">
        <v>1234</v>
      </c>
      <c r="CA69" s="1409" t="s">
        <v>1235</v>
      </c>
      <c r="CB69" s="1409" t="s">
        <v>1236</v>
      </c>
      <c r="CC69" s="1410" t="s">
        <v>1237</v>
      </c>
      <c r="CE69" s="1407"/>
      <c r="CF69" s="1408" t="s">
        <v>1230</v>
      </c>
      <c r="CG69" s="1409" t="s">
        <v>1231</v>
      </c>
      <c r="CH69" s="1409" t="s">
        <v>1232</v>
      </c>
      <c r="CI69" s="1409" t="s">
        <v>1233</v>
      </c>
      <c r="CJ69" s="1409" t="s">
        <v>1234</v>
      </c>
      <c r="CK69" s="1409" t="s">
        <v>1235</v>
      </c>
      <c r="CL69" s="1409" t="s">
        <v>1236</v>
      </c>
      <c r="CM69" s="1410" t="s">
        <v>1237</v>
      </c>
    </row>
    <row r="70" spans="2:91" x14ac:dyDescent="0.25">
      <c r="B70" s="440" t="s">
        <v>1284</v>
      </c>
      <c r="C70" s="441" t="s">
        <v>1285</v>
      </c>
      <c r="D70" s="1180">
        <v>0</v>
      </c>
      <c r="E70" s="1181">
        <v>45</v>
      </c>
      <c r="F70" s="1182">
        <v>90</v>
      </c>
      <c r="G70" s="1181">
        <v>135</v>
      </c>
      <c r="H70" s="1182">
        <v>180</v>
      </c>
      <c r="I70" s="1181">
        <v>225</v>
      </c>
      <c r="J70" s="1182">
        <v>270</v>
      </c>
      <c r="K70" s="1183">
        <v>315</v>
      </c>
      <c r="M70" s="441" t="s">
        <v>1285</v>
      </c>
      <c r="N70" s="1180">
        <v>0</v>
      </c>
      <c r="O70" s="1181">
        <v>45</v>
      </c>
      <c r="P70" s="1182">
        <v>90</v>
      </c>
      <c r="Q70" s="1181">
        <v>135</v>
      </c>
      <c r="R70" s="1182">
        <v>180</v>
      </c>
      <c r="S70" s="1181">
        <v>225</v>
      </c>
      <c r="T70" s="1182">
        <v>270</v>
      </c>
      <c r="U70" s="1183">
        <v>315</v>
      </c>
      <c r="W70" s="441" t="s">
        <v>1285</v>
      </c>
      <c r="X70" s="1180">
        <v>0</v>
      </c>
      <c r="Y70" s="1181">
        <v>45</v>
      </c>
      <c r="Z70" s="1182">
        <v>90</v>
      </c>
      <c r="AA70" s="1181">
        <v>135</v>
      </c>
      <c r="AB70" s="1182">
        <v>180</v>
      </c>
      <c r="AC70" s="1181">
        <v>225</v>
      </c>
      <c r="AD70" s="1182">
        <v>270</v>
      </c>
      <c r="AE70" s="1183">
        <v>315</v>
      </c>
      <c r="AG70" s="441" t="s">
        <v>1285</v>
      </c>
      <c r="AH70" s="1180">
        <v>0</v>
      </c>
      <c r="AI70" s="1181">
        <v>45</v>
      </c>
      <c r="AJ70" s="1182">
        <v>90</v>
      </c>
      <c r="AK70" s="1181">
        <v>135</v>
      </c>
      <c r="AL70" s="1182">
        <v>180</v>
      </c>
      <c r="AM70" s="1181">
        <v>225</v>
      </c>
      <c r="AN70" s="1182">
        <v>270</v>
      </c>
      <c r="AO70" s="1183">
        <v>315</v>
      </c>
      <c r="AQ70" s="441" t="s">
        <v>1285</v>
      </c>
      <c r="AR70" s="1180">
        <v>0</v>
      </c>
      <c r="AS70" s="1181">
        <v>45</v>
      </c>
      <c r="AT70" s="1182">
        <v>90</v>
      </c>
      <c r="AU70" s="1181">
        <v>135</v>
      </c>
      <c r="AV70" s="1182">
        <v>180</v>
      </c>
      <c r="AW70" s="1181">
        <v>225</v>
      </c>
      <c r="AX70" s="1182">
        <v>270</v>
      </c>
      <c r="AY70" s="1183">
        <v>315</v>
      </c>
      <c r="AZ70" s="442"/>
      <c r="BA70" s="441" t="s">
        <v>1285</v>
      </c>
      <c r="BB70" s="1180">
        <v>0</v>
      </c>
      <c r="BC70" s="1181">
        <v>45</v>
      </c>
      <c r="BD70" s="1182">
        <v>90</v>
      </c>
      <c r="BE70" s="1181">
        <v>135</v>
      </c>
      <c r="BF70" s="1182">
        <v>180</v>
      </c>
      <c r="BG70" s="1181">
        <v>225</v>
      </c>
      <c r="BH70" s="1182">
        <v>270</v>
      </c>
      <c r="BI70" s="1183">
        <v>315</v>
      </c>
      <c r="BK70" s="441" t="s">
        <v>1285</v>
      </c>
      <c r="BL70" s="1180">
        <v>0</v>
      </c>
      <c r="BM70" s="1181">
        <v>45</v>
      </c>
      <c r="BN70" s="1182">
        <v>90</v>
      </c>
      <c r="BO70" s="1181">
        <v>135</v>
      </c>
      <c r="BP70" s="1182">
        <v>180</v>
      </c>
      <c r="BQ70" s="1181">
        <v>225</v>
      </c>
      <c r="BR70" s="1182">
        <v>270</v>
      </c>
      <c r="BS70" s="1183">
        <v>315</v>
      </c>
      <c r="BU70" s="441" t="s">
        <v>1285</v>
      </c>
      <c r="BV70" s="1180">
        <v>0</v>
      </c>
      <c r="BW70" s="1181">
        <v>45</v>
      </c>
      <c r="BX70" s="1182">
        <v>90</v>
      </c>
      <c r="BY70" s="1181">
        <v>135</v>
      </c>
      <c r="BZ70" s="1182">
        <v>180</v>
      </c>
      <c r="CA70" s="1181">
        <v>225</v>
      </c>
      <c r="CB70" s="1182">
        <v>270</v>
      </c>
      <c r="CC70" s="1183">
        <v>315</v>
      </c>
      <c r="CE70" s="441" t="s">
        <v>1285</v>
      </c>
      <c r="CF70" s="1180">
        <v>0</v>
      </c>
      <c r="CG70" s="1181">
        <v>45</v>
      </c>
      <c r="CH70" s="1182">
        <v>90</v>
      </c>
      <c r="CI70" s="1181">
        <v>135</v>
      </c>
      <c r="CJ70" s="1182">
        <v>180</v>
      </c>
      <c r="CK70" s="1181">
        <v>225</v>
      </c>
      <c r="CL70" s="1182">
        <v>270</v>
      </c>
      <c r="CM70" s="1183">
        <v>315</v>
      </c>
    </row>
    <row r="71" spans="2:91" ht="13" x14ac:dyDescent="0.3">
      <c r="B71" s="443">
        <f t="shared" ref="B71:B83" si="6">B$86*C71</f>
        <v>0</v>
      </c>
      <c r="C71" s="444">
        <v>0</v>
      </c>
      <c r="D71" s="445">
        <f>'CZ01 Factors'!D3</f>
        <v>1.3520000000000001</v>
      </c>
      <c r="E71" s="1411">
        <f>'CZ01 Factors'!E3</f>
        <v>1.6421999999999999</v>
      </c>
      <c r="F71" s="446">
        <f>'CZ01 Factors'!F3</f>
        <v>1.6899000000000002</v>
      </c>
      <c r="G71" s="1411">
        <f>'CZ01 Factors'!G3</f>
        <v>1.6182000000000001</v>
      </c>
      <c r="H71" s="446">
        <f>'CZ01 Factors'!H3</f>
        <v>1.131</v>
      </c>
      <c r="I71" s="1411">
        <f>'CZ01 Factors'!I3</f>
        <v>1.651</v>
      </c>
      <c r="J71" s="446">
        <f>'CZ01 Factors'!J3</f>
        <v>1.7160000000000002</v>
      </c>
      <c r="K71" s="1412">
        <f>'CZ01 Factors'!K3</f>
        <v>1.6575000000000002</v>
      </c>
      <c r="M71" s="447">
        <v>0</v>
      </c>
      <c r="N71" s="445">
        <f>'CZ02 Factors'!D3</f>
        <v>0.59039999999999992</v>
      </c>
      <c r="O71" s="1411">
        <f>'CZ02 Factors'!E3</f>
        <v>1.0762499999999999</v>
      </c>
      <c r="P71" s="446">
        <f>'CZ02 Factors'!F3</f>
        <v>1.5005999999999999</v>
      </c>
      <c r="Q71" s="1411">
        <f>'CZ02 Factors'!G3</f>
        <v>0.92560000000000009</v>
      </c>
      <c r="R71" s="446">
        <f>'CZ02 Factors'!H3</f>
        <v>0.39600000000000002</v>
      </c>
      <c r="S71" s="1411">
        <f>'CZ02 Factors'!I3</f>
        <v>1.0528000000000002</v>
      </c>
      <c r="T71" s="446">
        <f>'CZ02 Factors'!J3</f>
        <v>1.7822000000000002</v>
      </c>
      <c r="U71" s="1412">
        <f>'CZ02 Factors'!K3</f>
        <v>1.1932500000000001</v>
      </c>
      <c r="W71" s="447">
        <v>0</v>
      </c>
      <c r="X71" s="445">
        <f>'CZ03 Factors'!D3</f>
        <v>0.95200000000000007</v>
      </c>
      <c r="Y71" s="1411">
        <f>'CZ03 Factors'!E3</f>
        <v>1.508</v>
      </c>
      <c r="Z71" s="446">
        <f>'CZ03 Factors'!F3</f>
        <v>1.704</v>
      </c>
      <c r="AA71" s="1411">
        <f>'CZ03 Factors'!G3</f>
        <v>1.5339999999999998</v>
      </c>
      <c r="AB71" s="446">
        <f>'CZ03 Factors'!H3</f>
        <v>0.92399999999999993</v>
      </c>
      <c r="AC71" s="1411">
        <f>'CZ03 Factors'!I3</f>
        <v>1.4499999999999997</v>
      </c>
      <c r="AD71" s="446">
        <f>'CZ03 Factors'!J3</f>
        <v>1.4960000000000002</v>
      </c>
      <c r="AE71" s="1412">
        <f>'CZ03 Factors'!K3</f>
        <v>1.4139999999999999</v>
      </c>
      <c r="AG71" s="447">
        <v>0</v>
      </c>
      <c r="AH71" s="445">
        <f>'CZ04 Factors'!D3</f>
        <v>0.82799999999999996</v>
      </c>
      <c r="AI71" s="1411">
        <f>'CZ04 Factors'!E3</f>
        <v>1.1304999999999998</v>
      </c>
      <c r="AJ71" s="446">
        <f>'CZ04 Factors'!F3</f>
        <v>1.0499999999999998</v>
      </c>
      <c r="AK71" s="1411">
        <f>'CZ04 Factors'!G3</f>
        <v>0.6825</v>
      </c>
      <c r="AL71" s="446">
        <f>'CZ04 Factors'!H3</f>
        <v>0.3135</v>
      </c>
      <c r="AM71" s="1411">
        <f>'CZ04 Factors'!I3</f>
        <v>0.98999999999999988</v>
      </c>
      <c r="AN71" s="446">
        <f>'CZ04 Factors'!J3</f>
        <v>1.8995</v>
      </c>
      <c r="AO71" s="1412">
        <f>'CZ04 Factors'!K3</f>
        <v>1.456</v>
      </c>
      <c r="AQ71" s="447">
        <v>0</v>
      </c>
      <c r="AR71" s="445">
        <f>'CZ05 Factors'!D3</f>
        <v>0.61499999999999999</v>
      </c>
      <c r="AS71" s="1411">
        <f>'CZ05 Factors'!E3</f>
        <v>0.79025000000000001</v>
      </c>
      <c r="AT71" s="446">
        <f>'CZ05 Factors'!F3</f>
        <v>0.83299999999999996</v>
      </c>
      <c r="AU71" s="1411">
        <f>'CZ05 Factors'!G3</f>
        <v>0.67199999999999993</v>
      </c>
      <c r="AV71" s="446">
        <f>'CZ05 Factors'!H3</f>
        <v>0.47599999999999998</v>
      </c>
      <c r="AW71" s="1411">
        <f>'CZ05 Factors'!I3</f>
        <v>1.04</v>
      </c>
      <c r="AX71" s="446">
        <f>'CZ05 Factors'!J3</f>
        <v>1.6900000000000002</v>
      </c>
      <c r="AY71" s="1412">
        <f>'CZ05 Factors'!K3</f>
        <v>1.1890000000000001</v>
      </c>
      <c r="AZ71" s="448"/>
      <c r="BA71" s="447">
        <v>0</v>
      </c>
      <c r="BB71" s="445">
        <f>'CZ05 BC Factors'!D3</f>
        <v>0.98399999999999987</v>
      </c>
      <c r="BC71" s="1411">
        <f>'CZ05 BC Factors'!E3</f>
        <v>1.1444999999999999</v>
      </c>
      <c r="BD71" s="446">
        <f>'CZ05 BC Factors'!F3</f>
        <v>1.071</v>
      </c>
      <c r="BE71" s="1411">
        <f>'CZ05 BC Factors'!G3</f>
        <v>0.6</v>
      </c>
      <c r="BF71" s="446">
        <f>'CZ05 BC Factors'!H3</f>
        <v>0.23799999999999999</v>
      </c>
      <c r="BG71" s="1411">
        <f>'CZ05 BC Factors'!I3</f>
        <v>0.77999999999999992</v>
      </c>
      <c r="BH71" s="446">
        <f>'CZ05 BC Factors'!J3</f>
        <v>1.4949999999999999</v>
      </c>
      <c r="BI71" s="1412">
        <f>'CZ05 BC Factors'!K3</f>
        <v>1.3629999999999998</v>
      </c>
      <c r="BK71" s="447">
        <v>0</v>
      </c>
      <c r="BL71" s="445">
        <f>'CZ06 Factors'!D3</f>
        <v>1.008</v>
      </c>
      <c r="BM71" s="1411">
        <f>'CZ06 Factors'!E3</f>
        <v>1.1880000000000002</v>
      </c>
      <c r="BN71" s="446">
        <f>'CZ06 Factors'!F3</f>
        <v>1.1499999999999999</v>
      </c>
      <c r="BO71" s="1411">
        <f>'CZ06 Factors'!G3</f>
        <v>0.78299999999999992</v>
      </c>
      <c r="BP71" s="446">
        <f>'CZ06 Factors'!H3</f>
        <v>0.48799999999999999</v>
      </c>
      <c r="BQ71" s="1411">
        <f>'CZ06 Factors'!I3</f>
        <v>1.1025</v>
      </c>
      <c r="BR71" s="446">
        <f>'CZ06 Factors'!J3</f>
        <v>1.8199999999999998</v>
      </c>
      <c r="BS71" s="1412">
        <f>'CZ06 Factors'!K3</f>
        <v>1.55</v>
      </c>
      <c r="BU71" s="447">
        <v>0</v>
      </c>
      <c r="BV71" s="445">
        <f>'CZ07 Factors'!D3</f>
        <v>1.056</v>
      </c>
      <c r="BW71" s="1411">
        <f>'CZ07 Factors'!E3</f>
        <v>1.2987000000000002</v>
      </c>
      <c r="BX71" s="446">
        <f>'CZ07 Factors'!F3</f>
        <v>1.3552000000000002</v>
      </c>
      <c r="BY71" s="1411">
        <f>'CZ07 Factors'!G3</f>
        <v>1.0904</v>
      </c>
      <c r="BZ71" s="446">
        <f>'CZ07 Factors'!H3</f>
        <v>0.76800000000000002</v>
      </c>
      <c r="CA71" s="1411">
        <f>'CZ07 Factors'!I3</f>
        <v>1.1147499999999999</v>
      </c>
      <c r="CB71" s="446">
        <f>'CZ07 Factors'!J3</f>
        <v>1.4874999999999998</v>
      </c>
      <c r="CC71" s="1412">
        <f>'CZ07 Factors'!K3</f>
        <v>1.3864999999999998</v>
      </c>
      <c r="CE71" s="447">
        <v>0</v>
      </c>
      <c r="CF71" s="445">
        <f>'CZ08 Factors'!D3</f>
        <v>1.02</v>
      </c>
      <c r="CG71" s="1411">
        <f>'CZ08 Factors'!E3</f>
        <v>1.6800000000000004</v>
      </c>
      <c r="CH71" s="446">
        <f>'CZ08 Factors'!F3</f>
        <v>2.16</v>
      </c>
      <c r="CI71" s="1411">
        <f>'CZ08 Factors'!G3</f>
        <v>1.3920000000000001</v>
      </c>
      <c r="CJ71" s="446">
        <f>'CZ08 Factors'!H3</f>
        <v>0.74800000000000011</v>
      </c>
      <c r="CK71" s="1411">
        <f>'CZ08 Factors'!I3</f>
        <v>2.121</v>
      </c>
      <c r="CL71" s="446">
        <f>'CZ08 Factors'!J3</f>
        <v>3.9370000000000003</v>
      </c>
      <c r="CM71" s="1412">
        <f>'CZ08 Factors'!K3</f>
        <v>2.4940000000000002</v>
      </c>
    </row>
    <row r="72" spans="2:91" x14ac:dyDescent="0.25">
      <c r="B72" s="443">
        <f t="shared" si="6"/>
        <v>105</v>
      </c>
      <c r="C72" s="1184">
        <v>0.05</v>
      </c>
      <c r="D72" s="1185">
        <f>'CZ01 Factors'!D4</f>
        <v>1.1440000000000001</v>
      </c>
      <c r="E72" s="1186">
        <f>'CZ01 Factors'!E4</f>
        <v>1.4466999999999999</v>
      </c>
      <c r="F72" s="1187">
        <f>'CZ01 Factors'!F4</f>
        <v>1.5589000000000002</v>
      </c>
      <c r="G72" s="1186">
        <f>'CZ01 Factors'!G4</f>
        <v>1.47465</v>
      </c>
      <c r="H72" s="1187">
        <f>'CZ01 Factors'!H4</f>
        <v>0.97500000000000009</v>
      </c>
      <c r="I72" s="1186">
        <f>'CZ01 Factors'!I4</f>
        <v>1.5209999999999999</v>
      </c>
      <c r="J72" s="1187">
        <f>'CZ01 Factors'!J4</f>
        <v>1.5990000000000002</v>
      </c>
      <c r="K72" s="1188">
        <f>'CZ01 Factors'!K4</f>
        <v>1.4625000000000001</v>
      </c>
      <c r="M72" s="1189">
        <v>0.05</v>
      </c>
      <c r="N72" s="1185">
        <f>'CZ02 Factors'!D4</f>
        <v>0.49199999999999994</v>
      </c>
      <c r="O72" s="1186">
        <f>'CZ02 Factors'!E4</f>
        <v>0.94299999999999995</v>
      </c>
      <c r="P72" s="1187">
        <f>'CZ02 Factors'!F4</f>
        <v>1.3530000000000002</v>
      </c>
      <c r="Q72" s="1186">
        <f>'CZ02 Factors'!G4</f>
        <v>0.81880000000000008</v>
      </c>
      <c r="R72" s="1187">
        <f>'CZ02 Factors'!H4</f>
        <v>0.33</v>
      </c>
      <c r="S72" s="1186">
        <f>'CZ02 Factors'!I4</f>
        <v>0.94940000000000002</v>
      </c>
      <c r="T72" s="1187">
        <f>'CZ02 Factors'!J4</f>
        <v>1.6359000000000001</v>
      </c>
      <c r="U72" s="1188">
        <f>'CZ02 Factors'!K4</f>
        <v>1.0642499999999999</v>
      </c>
      <c r="W72" s="1189">
        <v>0.05</v>
      </c>
      <c r="X72" s="1185">
        <f>'CZ03 Factors'!D4</f>
        <v>0.79899999999999993</v>
      </c>
      <c r="Y72" s="1186">
        <f>'CZ03 Factors'!E4</f>
        <v>1.3629999999999998</v>
      </c>
      <c r="Z72" s="1187">
        <f>'CZ03 Factors'!F4</f>
        <v>1.5840000000000001</v>
      </c>
      <c r="AA72" s="1186">
        <f>'CZ03 Factors'!G4</f>
        <v>1.4039999999999999</v>
      </c>
      <c r="AB72" s="1187">
        <f>'CZ03 Factors'!H4</f>
        <v>0.79799999999999982</v>
      </c>
      <c r="AC72" s="1186">
        <f>'CZ03 Factors'!I4</f>
        <v>1.3124999999999998</v>
      </c>
      <c r="AD72" s="1187">
        <f>'CZ03 Factors'!J4</f>
        <v>1.3860000000000001</v>
      </c>
      <c r="AE72" s="1188">
        <f>'CZ03 Factors'!K4</f>
        <v>1.26</v>
      </c>
      <c r="AG72" s="1189">
        <v>0.05</v>
      </c>
      <c r="AH72" s="1185">
        <f>'CZ04 Factors'!D4</f>
        <v>0.7014999999999999</v>
      </c>
      <c r="AI72" s="1186">
        <f>'CZ04 Factors'!E4</f>
        <v>1.0449999999999999</v>
      </c>
      <c r="AJ72" s="1187">
        <f>'CZ04 Factors'!F4</f>
        <v>0.98249999999999993</v>
      </c>
      <c r="AK72" s="1186">
        <f>'CZ04 Factors'!G4</f>
        <v>0.63049999999999995</v>
      </c>
      <c r="AL72" s="1187">
        <f>'CZ04 Factors'!H4</f>
        <v>0.26950000000000002</v>
      </c>
      <c r="AM72" s="1186">
        <f>'CZ04 Factors'!I4</f>
        <v>0.90999999999999992</v>
      </c>
      <c r="AN72" s="1187">
        <f>'CZ04 Factors'!J4</f>
        <v>1.7689999999999999</v>
      </c>
      <c r="AO72" s="1188">
        <f>'CZ04 Factors'!K4</f>
        <v>1.3259999999999998</v>
      </c>
      <c r="AQ72" s="1189">
        <v>0.05</v>
      </c>
      <c r="AR72" s="1185">
        <f>'CZ05 Factors'!D4</f>
        <v>0.51749999999999996</v>
      </c>
      <c r="AS72" s="1186">
        <f>'CZ05 Factors'!E4</f>
        <v>0.69599999999999995</v>
      </c>
      <c r="AT72" s="1187">
        <f>'CZ05 Factors'!F4</f>
        <v>0.74900000000000011</v>
      </c>
      <c r="AU72" s="1186">
        <f>'CZ05 Factors'!G4</f>
        <v>0.59499999999999986</v>
      </c>
      <c r="AV72" s="1187">
        <f>'CZ05 Factors'!H4</f>
        <v>0.39899999999999997</v>
      </c>
      <c r="AW72" s="1186">
        <f>'CZ05 Factors'!I4</f>
        <v>0.92</v>
      </c>
      <c r="AX72" s="1187">
        <f>'CZ05 Factors'!J4</f>
        <v>1.5470000000000002</v>
      </c>
      <c r="AY72" s="1188">
        <f>'CZ05 Factors'!K4</f>
        <v>1.0660000000000003</v>
      </c>
      <c r="AZ72" s="449"/>
      <c r="BA72" s="1189">
        <v>0.05</v>
      </c>
      <c r="BB72" s="1185">
        <f>'CZ05 BC Factors'!D4</f>
        <v>0.82799999999999985</v>
      </c>
      <c r="BC72" s="1186">
        <f>'CZ05 BC Factors'!E4</f>
        <v>1.0079999999999998</v>
      </c>
      <c r="BD72" s="1187">
        <f>'CZ05 BC Factors'!F4</f>
        <v>0.96300000000000008</v>
      </c>
      <c r="BE72" s="1186">
        <f>'CZ05 BC Factors'!G4</f>
        <v>0.53125</v>
      </c>
      <c r="BF72" s="1187">
        <f>'CZ05 BC Factors'!H4</f>
        <v>0.19949999999999998</v>
      </c>
      <c r="BG72" s="1186">
        <f>'CZ05 BC Factors'!I4</f>
        <v>0.69</v>
      </c>
      <c r="BH72" s="1187">
        <f>'CZ05 BC Factors'!J4</f>
        <v>1.3684999999999998</v>
      </c>
      <c r="BI72" s="1188">
        <f>'CZ05 BC Factors'!K4</f>
        <v>1.222</v>
      </c>
      <c r="BK72" s="1189">
        <v>0.05</v>
      </c>
      <c r="BL72" s="1185">
        <f>'CZ06 Factors'!D4</f>
        <v>0.85199999999999998</v>
      </c>
      <c r="BM72" s="1186">
        <f>'CZ06 Factors'!E4</f>
        <v>1.0669999999999999</v>
      </c>
      <c r="BN72" s="1187">
        <f>'CZ06 Factors'!F4</f>
        <v>1.05</v>
      </c>
      <c r="BO72" s="1186">
        <f>'CZ06 Factors'!G4</f>
        <v>0.70199999999999996</v>
      </c>
      <c r="BP72" s="1187">
        <f>'CZ06 Factors'!H4</f>
        <v>0.41600000000000004</v>
      </c>
      <c r="BQ72" s="1186">
        <f>'CZ06 Factors'!I4</f>
        <v>1.008</v>
      </c>
      <c r="BR72" s="1187">
        <f>'CZ06 Factors'!J4</f>
        <v>1.6900000000000002</v>
      </c>
      <c r="BS72" s="1188">
        <f>'CZ06 Factors'!K4</f>
        <v>1.4125000000000001</v>
      </c>
      <c r="BU72" s="1189">
        <v>0.05</v>
      </c>
      <c r="BV72" s="1185">
        <f>'CZ07 Factors'!D4</f>
        <v>0.91300000000000003</v>
      </c>
      <c r="BW72" s="1186">
        <f>'CZ07 Factors'!E4</f>
        <v>1.1655000000000004</v>
      </c>
      <c r="BX72" s="1187">
        <f>'CZ07 Factors'!F4</f>
        <v>1.2320000000000002</v>
      </c>
      <c r="BY72" s="1186">
        <f>'CZ07 Factors'!G4</f>
        <v>0.96279999999999999</v>
      </c>
      <c r="BZ72" s="1187">
        <f>'CZ07 Factors'!H4</f>
        <v>0.64800000000000002</v>
      </c>
      <c r="CA72" s="1186">
        <f>'CZ07 Factors'!I4</f>
        <v>0.99224999999999997</v>
      </c>
      <c r="CB72" s="1187">
        <f>'CZ07 Factors'!J4</f>
        <v>1.3625</v>
      </c>
      <c r="CC72" s="1188">
        <f>'CZ07 Factors'!K4</f>
        <v>1.25725</v>
      </c>
      <c r="CE72" s="1189">
        <v>0.05</v>
      </c>
      <c r="CF72" s="1185">
        <f>'CZ08 Factors'!D4</f>
        <v>0.85200000000000009</v>
      </c>
      <c r="CG72" s="1186">
        <f>'CZ08 Factors'!E4</f>
        <v>1.4850000000000001</v>
      </c>
      <c r="CH72" s="1187">
        <f>'CZ08 Factors'!F4</f>
        <v>1.9620000000000004</v>
      </c>
      <c r="CI72" s="1186">
        <f>'CZ08 Factors'!G4</f>
        <v>1.2325000000000002</v>
      </c>
      <c r="CJ72" s="1187">
        <f>'CZ08 Factors'!H4</f>
        <v>0.627</v>
      </c>
      <c r="CK72" s="1186">
        <f>'CZ08 Factors'!I4</f>
        <v>1.8900000000000001</v>
      </c>
      <c r="CL72" s="1187">
        <f>'CZ08 Factors'!J4</f>
        <v>3.5960000000000001</v>
      </c>
      <c r="CM72" s="1188">
        <f>'CZ08 Factors'!K4</f>
        <v>2.2360000000000007</v>
      </c>
    </row>
    <row r="73" spans="2:91" x14ac:dyDescent="0.25">
      <c r="B73" s="443">
        <f t="shared" si="6"/>
        <v>210</v>
      </c>
      <c r="C73" s="1184">
        <v>0.1</v>
      </c>
      <c r="D73" s="1185">
        <f>'CZ01 Factors'!D5</f>
        <v>1.0660000000000001</v>
      </c>
      <c r="E73" s="1186">
        <f>'CZ01 Factors'!E5</f>
        <v>1.3294000000000001</v>
      </c>
      <c r="F73" s="1187">
        <f>'CZ01 Factors'!F5</f>
        <v>1.4541000000000004</v>
      </c>
      <c r="G73" s="1186">
        <f>'CZ01 Factors'!G5</f>
        <v>1.39635</v>
      </c>
      <c r="H73" s="1187">
        <f>'CZ01 Factors'!H5</f>
        <v>0.88400000000000001</v>
      </c>
      <c r="I73" s="1186">
        <f>'CZ01 Factors'!I5</f>
        <v>1.417</v>
      </c>
      <c r="J73" s="1187">
        <f>'CZ01 Factors'!J5</f>
        <v>1.4949999999999999</v>
      </c>
      <c r="K73" s="1188">
        <f>'CZ01 Factors'!K5</f>
        <v>1.3455000000000001</v>
      </c>
      <c r="M73" s="1189">
        <v>0.1</v>
      </c>
      <c r="N73" s="1185">
        <f>'CZ02 Factors'!D5</f>
        <v>0.45099999999999996</v>
      </c>
      <c r="O73" s="1186">
        <f>'CZ02 Factors'!E5</f>
        <v>0.87124999999999986</v>
      </c>
      <c r="P73" s="1187">
        <f>'CZ02 Factors'!F5</f>
        <v>1.2792000000000001</v>
      </c>
      <c r="Q73" s="1186">
        <f>'CZ02 Factors'!G5</f>
        <v>0.76540000000000008</v>
      </c>
      <c r="R73" s="1187">
        <f>'CZ02 Factors'!H5</f>
        <v>0.3135</v>
      </c>
      <c r="S73" s="1186">
        <f>'CZ02 Factors'!I5</f>
        <v>0.88360000000000005</v>
      </c>
      <c r="T73" s="1187">
        <f>'CZ02 Factors'!J5</f>
        <v>1.5162</v>
      </c>
      <c r="U73" s="1188">
        <f>'CZ02 Factors'!K5</f>
        <v>0.96750000000000003</v>
      </c>
      <c r="W73" s="1189">
        <v>0.1</v>
      </c>
      <c r="X73" s="1185">
        <f>'CZ03 Factors'!D5</f>
        <v>0.748</v>
      </c>
      <c r="Y73" s="1186">
        <f>'CZ03 Factors'!E5</f>
        <v>1.2324999999999999</v>
      </c>
      <c r="Z73" s="1187">
        <f>'CZ03 Factors'!F5</f>
        <v>1.5</v>
      </c>
      <c r="AA73" s="1186">
        <f>'CZ03 Factors'!G5</f>
        <v>1.3259999999999998</v>
      </c>
      <c r="AB73" s="1187">
        <f>'CZ03 Factors'!H5</f>
        <v>0.75600000000000001</v>
      </c>
      <c r="AC73" s="1186">
        <f>'CZ03 Factors'!I5</f>
        <v>1.2374999999999998</v>
      </c>
      <c r="AD73" s="1187">
        <f>'CZ03 Factors'!J5</f>
        <v>1.3089999999999999</v>
      </c>
      <c r="AE73" s="1188">
        <f>'CZ03 Factors'!K5</f>
        <v>1.1619999999999999</v>
      </c>
      <c r="AG73" s="1189">
        <v>0.1</v>
      </c>
      <c r="AH73" s="1185">
        <f>'CZ04 Factors'!D5</f>
        <v>0.64400000000000002</v>
      </c>
      <c r="AI73" s="1186">
        <f>'CZ04 Factors'!E5</f>
        <v>0.94999999999999984</v>
      </c>
      <c r="AJ73" s="1187">
        <f>'CZ04 Factors'!F5</f>
        <v>0.92999999999999994</v>
      </c>
      <c r="AK73" s="1186">
        <f>'CZ04 Factors'!G5</f>
        <v>0.59150000000000003</v>
      </c>
      <c r="AL73" s="1187">
        <f>'CZ04 Factors'!H5</f>
        <v>0.253</v>
      </c>
      <c r="AM73" s="1186">
        <f>'CZ04 Factors'!I5</f>
        <v>0.84999999999999987</v>
      </c>
      <c r="AN73" s="1187">
        <f>'CZ04 Factors'!J5</f>
        <v>1.6964999999999999</v>
      </c>
      <c r="AO73" s="1188">
        <f>'CZ04 Factors'!K5</f>
        <v>1.2219999999999998</v>
      </c>
      <c r="AQ73" s="1189">
        <v>0.1</v>
      </c>
      <c r="AR73" s="1185">
        <f>'CZ05 Factors'!D5</f>
        <v>0.47249999999999998</v>
      </c>
      <c r="AS73" s="1186">
        <f>'CZ05 Factors'!E5</f>
        <v>0.6379999999999999</v>
      </c>
      <c r="AT73" s="1187">
        <f>'CZ05 Factors'!F5</f>
        <v>0.70700000000000007</v>
      </c>
      <c r="AU73" s="1186">
        <f>'CZ05 Factors'!G5</f>
        <v>0.55300000000000005</v>
      </c>
      <c r="AV73" s="1187">
        <f>'CZ05 Factors'!H5</f>
        <v>0.37799999999999995</v>
      </c>
      <c r="AW73" s="1186">
        <f>'CZ05 Factors'!I5</f>
        <v>0.86</v>
      </c>
      <c r="AX73" s="1187">
        <f>'CZ05 Factors'!J5</f>
        <v>1.4430000000000003</v>
      </c>
      <c r="AY73" s="1188">
        <f>'CZ05 Factors'!K5</f>
        <v>0.96350000000000013</v>
      </c>
      <c r="AZ73" s="449"/>
      <c r="BA73" s="1189">
        <v>0.1</v>
      </c>
      <c r="BB73" s="1185">
        <f>'CZ05 BC Factors'!D5</f>
        <v>0.75599999999999989</v>
      </c>
      <c r="BC73" s="1186">
        <f>'CZ05 BC Factors'!E5</f>
        <v>0.92399999999999982</v>
      </c>
      <c r="BD73" s="1187">
        <f>'CZ05 BC Factors'!F5</f>
        <v>0.90900000000000003</v>
      </c>
      <c r="BE73" s="1186">
        <f>'CZ05 BC Factors'!G5</f>
        <v>0.49375000000000002</v>
      </c>
      <c r="BF73" s="1187">
        <f>'CZ05 BC Factors'!H5</f>
        <v>0.18899999999999997</v>
      </c>
      <c r="BG73" s="1186">
        <f>'CZ05 BC Factors'!I5</f>
        <v>0.64499999999999991</v>
      </c>
      <c r="BH73" s="1187">
        <f>'CZ05 BC Factors'!J5</f>
        <v>1.2765</v>
      </c>
      <c r="BI73" s="1188">
        <f>'CZ05 BC Factors'!K5</f>
        <v>1.1044999999999998</v>
      </c>
      <c r="BK73" s="1189">
        <v>0.1</v>
      </c>
      <c r="BL73" s="1185">
        <f>'CZ06 Factors'!D5</f>
        <v>0.78</v>
      </c>
      <c r="BM73" s="1186">
        <f>'CZ06 Factors'!E5</f>
        <v>0.9900000000000001</v>
      </c>
      <c r="BN73" s="1187">
        <f>'CZ06 Factors'!F5</f>
        <v>0.99</v>
      </c>
      <c r="BO73" s="1186">
        <f>'CZ06 Factors'!G5</f>
        <v>0.66599999999999993</v>
      </c>
      <c r="BP73" s="1187">
        <f>'CZ06 Factors'!H5</f>
        <v>0.39200000000000002</v>
      </c>
      <c r="BQ73" s="1186">
        <f>'CZ06 Factors'!I5</f>
        <v>0.95550000000000002</v>
      </c>
      <c r="BR73" s="1187">
        <f>'CZ06 Factors'!J5</f>
        <v>1.625</v>
      </c>
      <c r="BS73" s="1188">
        <f>'CZ06 Factors'!K5</f>
        <v>1.3</v>
      </c>
      <c r="BU73" s="1189">
        <v>0.1</v>
      </c>
      <c r="BV73" s="1185">
        <f>'CZ07 Factors'!D5</f>
        <v>0.83600000000000008</v>
      </c>
      <c r="BW73" s="1186">
        <f>'CZ07 Factors'!E5</f>
        <v>1.0767000000000002</v>
      </c>
      <c r="BX73" s="1187">
        <f>'CZ07 Factors'!F5</f>
        <v>1.1648000000000003</v>
      </c>
      <c r="BY73" s="1186">
        <f>'CZ07 Factors'!G5</f>
        <v>0.92800000000000016</v>
      </c>
      <c r="BZ73" s="1187">
        <f>'CZ07 Factors'!H5</f>
        <v>0.61199999999999999</v>
      </c>
      <c r="CA73" s="1186">
        <f>'CZ07 Factors'!I5</f>
        <v>0.93099999999999994</v>
      </c>
      <c r="CB73" s="1187">
        <f>'CZ07 Factors'!J5</f>
        <v>1.2874999999999999</v>
      </c>
      <c r="CC73" s="1188">
        <f>'CZ07 Factors'!K5</f>
        <v>1.1515</v>
      </c>
      <c r="CE73" s="1189">
        <v>0.1</v>
      </c>
      <c r="CF73" s="1185">
        <f>'CZ08 Factors'!D5</f>
        <v>0.78</v>
      </c>
      <c r="CG73" s="1186">
        <f>'CZ08 Factors'!E5</f>
        <v>1.35</v>
      </c>
      <c r="CH73" s="1187">
        <f>'CZ08 Factors'!F5</f>
        <v>1.8360000000000003</v>
      </c>
      <c r="CI73" s="1186">
        <f>'CZ08 Factors'!G5</f>
        <v>1.1455000000000002</v>
      </c>
      <c r="CJ73" s="1187">
        <f>'CZ08 Factors'!H5</f>
        <v>0.59400000000000008</v>
      </c>
      <c r="CK73" s="1186">
        <f>'CZ08 Factors'!I5</f>
        <v>1.764</v>
      </c>
      <c r="CL73" s="1187">
        <f>'CZ08 Factors'!J5</f>
        <v>3.3790000000000004</v>
      </c>
      <c r="CM73" s="1188">
        <f>'CZ08 Factors'!K5</f>
        <v>2.0425000000000004</v>
      </c>
    </row>
    <row r="74" spans="2:91" x14ac:dyDescent="0.25">
      <c r="B74" s="443">
        <f t="shared" si="6"/>
        <v>420</v>
      </c>
      <c r="C74" s="1184">
        <v>0.2</v>
      </c>
      <c r="D74" s="1185">
        <f>'CZ01 Factors'!D6</f>
        <v>0.96199999999999997</v>
      </c>
      <c r="E74" s="1186">
        <f>'CZ01 Factors'!E6</f>
        <v>1.1534499999999999</v>
      </c>
      <c r="F74" s="1187">
        <f>'CZ01 Factors'!F6</f>
        <v>1.3230999999999999</v>
      </c>
      <c r="G74" s="1186">
        <f>'CZ01 Factors'!G6</f>
        <v>1.2267000000000001</v>
      </c>
      <c r="H74" s="1187">
        <f>'CZ01 Factors'!H6</f>
        <v>0.71499999999999997</v>
      </c>
      <c r="I74" s="1186">
        <f>'CZ01 Factors'!I6</f>
        <v>1.2219999999999998</v>
      </c>
      <c r="J74" s="1187">
        <f>'CZ01 Factors'!J6</f>
        <v>1.3</v>
      </c>
      <c r="K74" s="1188">
        <f>'CZ01 Factors'!K6</f>
        <v>1.1700000000000002</v>
      </c>
      <c r="M74" s="1189">
        <v>0.2</v>
      </c>
      <c r="N74" s="1185">
        <f>'CZ02 Factors'!D6</f>
        <v>0.38539999999999996</v>
      </c>
      <c r="O74" s="1186">
        <f>'CZ02 Factors'!E6</f>
        <v>0.75849999999999984</v>
      </c>
      <c r="P74" s="1187">
        <f>'CZ02 Factors'!F6</f>
        <v>1.1315999999999999</v>
      </c>
      <c r="Q74" s="1186">
        <f>'CZ02 Factors'!G6</f>
        <v>0.6764</v>
      </c>
      <c r="R74" s="1187">
        <f>'CZ02 Factors'!H6</f>
        <v>0.27500000000000002</v>
      </c>
      <c r="S74" s="1186">
        <f>'CZ02 Factors'!I6</f>
        <v>0.78959999999999997</v>
      </c>
      <c r="T74" s="1187">
        <f>'CZ02 Factors'!J6</f>
        <v>1.33</v>
      </c>
      <c r="U74" s="1188">
        <f>'CZ02 Factors'!K6</f>
        <v>0.83850000000000002</v>
      </c>
      <c r="W74" s="1189">
        <v>0.2</v>
      </c>
      <c r="X74" s="1185">
        <f>'CZ03 Factors'!D6</f>
        <v>0.64600000000000002</v>
      </c>
      <c r="Y74" s="1186">
        <f>'CZ03 Factors'!E6</f>
        <v>1.0585</v>
      </c>
      <c r="Z74" s="1187">
        <f>'CZ03 Factors'!F6</f>
        <v>1.32</v>
      </c>
      <c r="AA74" s="1186">
        <f>'CZ03 Factors'!G6</f>
        <v>1.17</v>
      </c>
      <c r="AB74" s="1187">
        <f>'CZ03 Factors'!H6</f>
        <v>0.64400000000000002</v>
      </c>
      <c r="AC74" s="1186">
        <f>'CZ03 Factors'!I6</f>
        <v>1.0874999999999999</v>
      </c>
      <c r="AD74" s="1187">
        <f>'CZ03 Factors'!J6</f>
        <v>1.1660000000000001</v>
      </c>
      <c r="AE74" s="1188">
        <f>'CZ03 Factors'!K6</f>
        <v>1.022</v>
      </c>
      <c r="AG74" s="1189">
        <v>0.2</v>
      </c>
      <c r="AH74" s="1185">
        <f>'CZ04 Factors'!D6</f>
        <v>0.49449999999999994</v>
      </c>
      <c r="AI74" s="1186">
        <f>'CZ04 Factors'!E6</f>
        <v>0.82650000000000001</v>
      </c>
      <c r="AJ74" s="1187">
        <f>'CZ04 Factors'!F6</f>
        <v>0.84</v>
      </c>
      <c r="AK74" s="1186">
        <f>'CZ04 Factors'!G6</f>
        <v>0.53299999999999992</v>
      </c>
      <c r="AL74" s="1187">
        <f>'CZ04 Factors'!H6</f>
        <v>0.22550000000000001</v>
      </c>
      <c r="AM74" s="1186">
        <f>'CZ04 Factors'!I6</f>
        <v>0.76</v>
      </c>
      <c r="AN74" s="1187">
        <f>'CZ04 Factors'!J6</f>
        <v>1.5225</v>
      </c>
      <c r="AO74" s="1188">
        <f>'CZ04 Factors'!K6</f>
        <v>1.0529999999999999</v>
      </c>
      <c r="AQ74" s="1189">
        <v>0.2</v>
      </c>
      <c r="AR74" s="1185">
        <f>'CZ05 Factors'!D6</f>
        <v>0.38250000000000001</v>
      </c>
      <c r="AS74" s="1186">
        <f>'CZ05 Factors'!E6</f>
        <v>0.55099999999999993</v>
      </c>
      <c r="AT74" s="1187">
        <f>'CZ05 Factors'!F6</f>
        <v>0.623</v>
      </c>
      <c r="AU74" s="1186">
        <f>'CZ05 Factors'!G6</f>
        <v>0.48999999999999994</v>
      </c>
      <c r="AV74" s="1187">
        <f>'CZ05 Factors'!H6</f>
        <v>0.33599999999999997</v>
      </c>
      <c r="AW74" s="1186">
        <f>'CZ05 Factors'!I6</f>
        <v>0.76</v>
      </c>
      <c r="AX74" s="1187">
        <f>'CZ05 Factors'!J6</f>
        <v>1.2870000000000001</v>
      </c>
      <c r="AY74" s="1188">
        <f>'CZ05 Factors'!K6</f>
        <v>0.85075000000000012</v>
      </c>
      <c r="AZ74" s="449"/>
      <c r="BA74" s="1189">
        <v>0.2</v>
      </c>
      <c r="BB74" s="1185">
        <f>'CZ05 BC Factors'!D6</f>
        <v>0.61199999999999988</v>
      </c>
      <c r="BC74" s="1186">
        <f>'CZ05 BC Factors'!E6</f>
        <v>0.79799999999999982</v>
      </c>
      <c r="BD74" s="1187">
        <f>'CZ05 BC Factors'!F6</f>
        <v>0.80099999999999993</v>
      </c>
      <c r="BE74" s="1186">
        <f>'CZ05 BC Factors'!G6</f>
        <v>0.43749999999999994</v>
      </c>
      <c r="BF74" s="1187">
        <f>'CZ05 BC Factors'!H6</f>
        <v>0.16799999999999998</v>
      </c>
      <c r="BG74" s="1186">
        <f>'CZ05 BC Factors'!I6</f>
        <v>0.56999999999999995</v>
      </c>
      <c r="BH74" s="1187">
        <f>'CZ05 BC Factors'!J6</f>
        <v>1.1384999999999998</v>
      </c>
      <c r="BI74" s="1188">
        <f>'CZ05 BC Factors'!K6</f>
        <v>0.97524999999999984</v>
      </c>
      <c r="BK74" s="1189">
        <v>0.2</v>
      </c>
      <c r="BL74" s="1185">
        <f>'CZ06 Factors'!D6</f>
        <v>0.624</v>
      </c>
      <c r="BM74" s="1186">
        <f>'CZ06 Factors'!E6</f>
        <v>0.84700000000000009</v>
      </c>
      <c r="BN74" s="1187">
        <f>'CZ06 Factors'!F6</f>
        <v>0.88</v>
      </c>
      <c r="BO74" s="1186">
        <f>'CZ06 Factors'!G6</f>
        <v>0.58499999999999996</v>
      </c>
      <c r="BP74" s="1187">
        <f>'CZ06 Factors'!H6</f>
        <v>0.35199999999999998</v>
      </c>
      <c r="BQ74" s="1186">
        <f>'CZ06 Factors'!I6</f>
        <v>0.86099999999999988</v>
      </c>
      <c r="BR74" s="1187">
        <f>'CZ06 Factors'!J6</f>
        <v>1.4560000000000002</v>
      </c>
      <c r="BS74" s="1188">
        <f>'CZ06 Factors'!K6</f>
        <v>1.1375</v>
      </c>
      <c r="BU74" s="1189">
        <v>0.2</v>
      </c>
      <c r="BV74" s="1185">
        <f>'CZ07 Factors'!D6</f>
        <v>0.68200000000000005</v>
      </c>
      <c r="BW74" s="1186">
        <f>'CZ07 Factors'!E6</f>
        <v>0.94350000000000012</v>
      </c>
      <c r="BX74" s="1187">
        <f>'CZ07 Factors'!F6</f>
        <v>1.0416000000000003</v>
      </c>
      <c r="BY74" s="1186">
        <f>'CZ07 Factors'!G6</f>
        <v>0.81199999999999994</v>
      </c>
      <c r="BZ74" s="1187">
        <f>'CZ07 Factors'!H6</f>
        <v>0.54</v>
      </c>
      <c r="CA74" s="1186">
        <f>'CZ07 Factors'!I6</f>
        <v>0.83299999999999996</v>
      </c>
      <c r="CB74" s="1187">
        <f>'CZ07 Factors'!J6</f>
        <v>1.1375</v>
      </c>
      <c r="CC74" s="1188">
        <f>'CZ07 Factors'!K6</f>
        <v>1.0105</v>
      </c>
      <c r="CE74" s="1189">
        <v>0.2</v>
      </c>
      <c r="CF74" s="1185">
        <f>'CZ08 Factors'!D6</f>
        <v>0.62400000000000011</v>
      </c>
      <c r="CG74" s="1186">
        <f>'CZ08 Factors'!E6</f>
        <v>1.1850000000000001</v>
      </c>
      <c r="CH74" s="1187">
        <f>'CZ08 Factors'!F6</f>
        <v>1.62</v>
      </c>
      <c r="CI74" s="1186">
        <f>'CZ08 Factors'!G6</f>
        <v>1.0150000000000001</v>
      </c>
      <c r="CJ74" s="1187">
        <f>'CZ08 Factors'!H6</f>
        <v>0.52800000000000002</v>
      </c>
      <c r="CK74" s="1186">
        <f>'CZ08 Factors'!I6</f>
        <v>1.5329999999999999</v>
      </c>
      <c r="CL74" s="1187">
        <f>'CZ08 Factors'!J6</f>
        <v>3.0380000000000003</v>
      </c>
      <c r="CM74" s="1188">
        <f>'CZ08 Factors'!K6</f>
        <v>1.7845000000000002</v>
      </c>
    </row>
    <row r="75" spans="2:91" x14ac:dyDescent="0.25">
      <c r="B75" s="443">
        <f t="shared" si="6"/>
        <v>840</v>
      </c>
      <c r="C75" s="1184">
        <v>0.4</v>
      </c>
      <c r="D75" s="1185">
        <f>'CZ01 Factors'!D7</f>
        <v>0.78</v>
      </c>
      <c r="E75" s="1186">
        <f>'CZ01 Factors'!E7</f>
        <v>0.87974999999999992</v>
      </c>
      <c r="F75" s="1187">
        <f>'CZ01 Factors'!F7</f>
        <v>1.0349000000000002</v>
      </c>
      <c r="G75" s="1186">
        <f>'CZ01 Factors'!G7</f>
        <v>0.90044999999999997</v>
      </c>
      <c r="H75" s="1187">
        <f>'CZ01 Factors'!H7</f>
        <v>0.54599999999999993</v>
      </c>
      <c r="I75" s="1186">
        <f>'CZ01 Factors'!I7</f>
        <v>0.97499999999999998</v>
      </c>
      <c r="J75" s="1187">
        <f>'CZ01 Factors'!J7</f>
        <v>1.079</v>
      </c>
      <c r="K75" s="1188">
        <f>'CZ01 Factors'!K7</f>
        <v>0.9165000000000002</v>
      </c>
      <c r="M75" s="1189">
        <v>0.4</v>
      </c>
      <c r="N75" s="1185">
        <f>'CZ02 Factors'!D7</f>
        <v>0.31980000000000003</v>
      </c>
      <c r="O75" s="1186">
        <f>'CZ02 Factors'!E7</f>
        <v>0.57399999999999995</v>
      </c>
      <c r="P75" s="1187">
        <f>'CZ02 Factors'!F7</f>
        <v>0.89789999999999992</v>
      </c>
      <c r="Q75" s="1186">
        <f>'CZ02 Factors'!G7</f>
        <v>0.54289999999999994</v>
      </c>
      <c r="R75" s="1187">
        <f>'CZ02 Factors'!H7</f>
        <v>0.22000000000000003</v>
      </c>
      <c r="S75" s="1186">
        <f>'CZ02 Factors'!I7</f>
        <v>0.62980000000000014</v>
      </c>
      <c r="T75" s="1187">
        <f>'CZ02 Factors'!J7</f>
        <v>1.1038999999999999</v>
      </c>
      <c r="U75" s="1188">
        <f>'CZ02 Factors'!K7</f>
        <v>0.64500000000000002</v>
      </c>
      <c r="W75" s="1189">
        <v>0.4</v>
      </c>
      <c r="X75" s="1185">
        <f>'CZ03 Factors'!D7</f>
        <v>0.54400000000000004</v>
      </c>
      <c r="Y75" s="1186">
        <f>'CZ03 Factors'!E7</f>
        <v>0.81200000000000017</v>
      </c>
      <c r="Z75" s="1187">
        <f>'CZ03 Factors'!F7</f>
        <v>1.056</v>
      </c>
      <c r="AA75" s="1186">
        <f>'CZ03 Factors'!G7</f>
        <v>0.92299999999999982</v>
      </c>
      <c r="AB75" s="1187">
        <f>'CZ03 Factors'!H7</f>
        <v>0.53199999999999992</v>
      </c>
      <c r="AC75" s="1186">
        <f>'CZ03 Factors'!I7</f>
        <v>0.89999999999999991</v>
      </c>
      <c r="AD75" s="1187">
        <f>'CZ03 Factors'!J7</f>
        <v>0.92400000000000004</v>
      </c>
      <c r="AE75" s="1188">
        <f>'CZ03 Factors'!K7</f>
        <v>0.78400000000000003</v>
      </c>
      <c r="AG75" s="1189">
        <v>0.4</v>
      </c>
      <c r="AH75" s="1185">
        <f>'CZ04 Factors'!D7</f>
        <v>0.34499999999999997</v>
      </c>
      <c r="AI75" s="1186">
        <f>'CZ04 Factors'!E7</f>
        <v>0.62699999999999989</v>
      </c>
      <c r="AJ75" s="1187">
        <f>'CZ04 Factors'!F7</f>
        <v>0.69</v>
      </c>
      <c r="AK75" s="1186">
        <f>'CZ04 Factors'!G7</f>
        <v>0.43550000000000005</v>
      </c>
      <c r="AL75" s="1187">
        <f>'CZ04 Factors'!H7</f>
        <v>0.18700000000000003</v>
      </c>
      <c r="AM75" s="1186">
        <f>'CZ04 Factors'!I7</f>
        <v>0.62</v>
      </c>
      <c r="AN75" s="1187">
        <f>'CZ04 Factors'!J7</f>
        <v>1.2324999999999999</v>
      </c>
      <c r="AO75" s="1188">
        <f>'CZ04 Factors'!K7</f>
        <v>0.80599999999999983</v>
      </c>
      <c r="AQ75" s="1189">
        <v>0.4</v>
      </c>
      <c r="AR75" s="1185">
        <f>'CZ05 Factors'!D7</f>
        <v>0.29250000000000004</v>
      </c>
      <c r="AS75" s="1186">
        <f>'CZ05 Factors'!E7</f>
        <v>0.42049999999999993</v>
      </c>
      <c r="AT75" s="1187">
        <f>'CZ05 Factors'!F7</f>
        <v>0.49699999999999994</v>
      </c>
      <c r="AU75" s="1186">
        <f>'CZ05 Factors'!G7</f>
        <v>0.39899999999999997</v>
      </c>
      <c r="AV75" s="1187">
        <f>'CZ05 Factors'!H7</f>
        <v>0.26600000000000001</v>
      </c>
      <c r="AW75" s="1186">
        <f>'CZ05 Factors'!I7</f>
        <v>0.62</v>
      </c>
      <c r="AX75" s="1187">
        <f>'CZ05 Factors'!J7</f>
        <v>1.0530000000000002</v>
      </c>
      <c r="AY75" s="1188">
        <f>'CZ05 Factors'!K7</f>
        <v>0.63550000000000006</v>
      </c>
      <c r="AZ75" s="449"/>
      <c r="BA75" s="1189">
        <v>0.4</v>
      </c>
      <c r="BB75" s="1185">
        <f>'CZ05 BC Factors'!D7</f>
        <v>0.46799999999999997</v>
      </c>
      <c r="BC75" s="1186">
        <f>'CZ05 BC Factors'!E7</f>
        <v>0.60899999999999987</v>
      </c>
      <c r="BD75" s="1187">
        <f>'CZ05 BC Factors'!F7</f>
        <v>0.63900000000000001</v>
      </c>
      <c r="BE75" s="1186">
        <f>'CZ05 BC Factors'!G7</f>
        <v>0.35625000000000001</v>
      </c>
      <c r="BF75" s="1187">
        <f>'CZ05 BC Factors'!H7</f>
        <v>0.13300000000000001</v>
      </c>
      <c r="BG75" s="1186">
        <f>'CZ05 BC Factors'!I7</f>
        <v>0.46499999999999997</v>
      </c>
      <c r="BH75" s="1187">
        <f>'CZ05 BC Factors'!J7</f>
        <v>0.93149999999999988</v>
      </c>
      <c r="BI75" s="1188">
        <f>'CZ05 BC Factors'!K7</f>
        <v>0.72849999999999993</v>
      </c>
      <c r="BK75" s="1189">
        <v>0.4</v>
      </c>
      <c r="BL75" s="1185">
        <f>'CZ06 Factors'!D7</f>
        <v>0.432</v>
      </c>
      <c r="BM75" s="1186">
        <f>'CZ06 Factors'!E7</f>
        <v>0.63800000000000001</v>
      </c>
      <c r="BN75" s="1187">
        <f>'CZ06 Factors'!F7</f>
        <v>0.71</v>
      </c>
      <c r="BO75" s="1186">
        <f>'CZ06 Factors'!G7</f>
        <v>0.48599999999999999</v>
      </c>
      <c r="BP75" s="1187">
        <f>'CZ06 Factors'!H7</f>
        <v>0.28799999999999998</v>
      </c>
      <c r="BQ75" s="1186">
        <f>'CZ06 Factors'!I7</f>
        <v>0.70350000000000013</v>
      </c>
      <c r="BR75" s="1187">
        <f>'CZ06 Factors'!J7</f>
        <v>1.17</v>
      </c>
      <c r="BS75" s="1188">
        <f>'CZ06 Factors'!K7</f>
        <v>0.86249999999999993</v>
      </c>
      <c r="BU75" s="1189">
        <v>0.4</v>
      </c>
      <c r="BV75" s="1185">
        <f>'CZ07 Factors'!D7</f>
        <v>0.44000000000000006</v>
      </c>
      <c r="BW75" s="1186">
        <f>'CZ07 Factors'!E7</f>
        <v>0.72150000000000014</v>
      </c>
      <c r="BX75" s="1187">
        <f>'CZ07 Factors'!F7</f>
        <v>0.85120000000000018</v>
      </c>
      <c r="BY75" s="1186">
        <f>'CZ07 Factors'!G7</f>
        <v>0.67280000000000006</v>
      </c>
      <c r="BZ75" s="1187">
        <f>'CZ07 Factors'!H7</f>
        <v>0.45600000000000002</v>
      </c>
      <c r="CA75" s="1186">
        <f>'CZ07 Factors'!I7</f>
        <v>0.67375000000000007</v>
      </c>
      <c r="CB75" s="1187">
        <f>'CZ07 Factors'!J7</f>
        <v>0.92499999999999993</v>
      </c>
      <c r="CC75" s="1188">
        <f>'CZ07 Factors'!K7</f>
        <v>0.75199999999999989</v>
      </c>
      <c r="CE75" s="1189">
        <v>0.4</v>
      </c>
      <c r="CF75" s="1185">
        <f>'CZ08 Factors'!D7</f>
        <v>0.46800000000000003</v>
      </c>
      <c r="CG75" s="1186">
        <f>'CZ08 Factors'!E7</f>
        <v>0.90000000000000013</v>
      </c>
      <c r="CH75" s="1187">
        <f>'CZ08 Factors'!F7</f>
        <v>1.3140000000000003</v>
      </c>
      <c r="CI75" s="1186">
        <f>'CZ08 Factors'!G7</f>
        <v>0.82650000000000012</v>
      </c>
      <c r="CJ75" s="1187">
        <f>'CZ08 Factors'!H7</f>
        <v>0.42900000000000005</v>
      </c>
      <c r="CK75" s="1186">
        <f>'CZ08 Factors'!I7</f>
        <v>1.2809999999999999</v>
      </c>
      <c r="CL75" s="1187">
        <f>'CZ08 Factors'!J7</f>
        <v>2.4490000000000003</v>
      </c>
      <c r="CM75" s="1188">
        <f>'CZ08 Factors'!K7</f>
        <v>1.3545000000000003</v>
      </c>
    </row>
    <row r="76" spans="2:91" x14ac:dyDescent="0.25">
      <c r="B76" s="443">
        <f t="shared" si="6"/>
        <v>1260</v>
      </c>
      <c r="C76" s="1184">
        <v>0.6</v>
      </c>
      <c r="D76" s="1185">
        <f>'CZ01 Factors'!D8</f>
        <v>0.65</v>
      </c>
      <c r="E76" s="1186">
        <f>'CZ01 Factors'!E8</f>
        <v>0.72334999999999994</v>
      </c>
      <c r="F76" s="1187">
        <f>'CZ01 Factors'!F8</f>
        <v>0.86460000000000015</v>
      </c>
      <c r="G76" s="1186">
        <f>'CZ01 Factors'!G8</f>
        <v>0.76995000000000002</v>
      </c>
      <c r="H76" s="1187">
        <f>'CZ01 Factors'!H8</f>
        <v>0.442</v>
      </c>
      <c r="I76" s="1186">
        <f>'CZ01 Factors'!I8</f>
        <v>0.78</v>
      </c>
      <c r="J76" s="1187">
        <f>'CZ01 Factors'!J8</f>
        <v>0.8580000000000001</v>
      </c>
      <c r="K76" s="1188">
        <f>'CZ01 Factors'!K8</f>
        <v>0.7410000000000001</v>
      </c>
      <c r="M76" s="1189">
        <v>0.6</v>
      </c>
      <c r="N76" s="1185">
        <f>'CZ02 Factors'!D8</f>
        <v>0.27060000000000001</v>
      </c>
      <c r="O76" s="1186">
        <f>'CZ02 Factors'!E8</f>
        <v>0.45099999999999996</v>
      </c>
      <c r="P76" s="1187">
        <f>'CZ02 Factors'!F8</f>
        <v>0.73799999999999999</v>
      </c>
      <c r="Q76" s="1186">
        <f>'CZ02 Factors'!G8</f>
        <v>0.43610000000000004</v>
      </c>
      <c r="R76" s="1187">
        <f>'CZ02 Factors'!H8</f>
        <v>0.18150000000000002</v>
      </c>
      <c r="S76" s="1186">
        <f>'CZ02 Factors'!I8</f>
        <v>0.51700000000000002</v>
      </c>
      <c r="T76" s="1187">
        <f>'CZ02 Factors'!J8</f>
        <v>0.89110000000000011</v>
      </c>
      <c r="U76" s="1188">
        <f>'CZ02 Factors'!K8</f>
        <v>0.48375000000000001</v>
      </c>
      <c r="W76" s="1189">
        <v>0.6</v>
      </c>
      <c r="X76" s="1185">
        <f>'CZ03 Factors'!D8</f>
        <v>0.47600000000000003</v>
      </c>
      <c r="Y76" s="1186">
        <f>'CZ03 Factors'!E8</f>
        <v>0.62349999999999994</v>
      </c>
      <c r="Z76" s="1187">
        <f>'CZ03 Factors'!F8</f>
        <v>0.8879999999999999</v>
      </c>
      <c r="AA76" s="1186">
        <f>'CZ03 Factors'!G8</f>
        <v>0.75399999999999989</v>
      </c>
      <c r="AB76" s="1187">
        <f>'CZ03 Factors'!H8</f>
        <v>0.43399999999999994</v>
      </c>
      <c r="AC76" s="1186">
        <f>'CZ03 Factors'!I8</f>
        <v>0.7124999999999998</v>
      </c>
      <c r="AD76" s="1187">
        <f>'CZ03 Factors'!J8</f>
        <v>0.78100000000000003</v>
      </c>
      <c r="AE76" s="1188">
        <f>'CZ03 Factors'!K8</f>
        <v>0.61599999999999999</v>
      </c>
      <c r="AG76" s="1189">
        <v>0.6</v>
      </c>
      <c r="AH76" s="1185">
        <f>'CZ04 Factors'!D8</f>
        <v>0.31050000000000005</v>
      </c>
      <c r="AI76" s="1186">
        <f>'CZ04 Factors'!E8</f>
        <v>0.47499999999999992</v>
      </c>
      <c r="AJ76" s="1187">
        <f>'CZ04 Factors'!F8</f>
        <v>0.55499999999999994</v>
      </c>
      <c r="AK76" s="1186">
        <f>'CZ04 Factors'!G8</f>
        <v>0.36399999999999999</v>
      </c>
      <c r="AL76" s="1187">
        <f>'CZ04 Factors'!H8</f>
        <v>0.1595</v>
      </c>
      <c r="AM76" s="1186">
        <f>'CZ04 Factors'!I8</f>
        <v>0.52999999999999992</v>
      </c>
      <c r="AN76" s="1187">
        <f>'CZ04 Factors'!J8</f>
        <v>1.0439999999999998</v>
      </c>
      <c r="AO76" s="1188">
        <f>'CZ04 Factors'!K8</f>
        <v>0.58499999999999996</v>
      </c>
      <c r="AQ76" s="1189">
        <v>0.6</v>
      </c>
      <c r="AR76" s="1185">
        <f>'CZ05 Factors'!D8</f>
        <v>0.26250000000000001</v>
      </c>
      <c r="AS76" s="1186">
        <f>'CZ05 Factors'!E8</f>
        <v>0.33349999999999996</v>
      </c>
      <c r="AT76" s="1187">
        <f>'CZ05 Factors'!F8</f>
        <v>0.40599999999999997</v>
      </c>
      <c r="AU76" s="1186">
        <f>'CZ05 Factors'!G8</f>
        <v>0.32899999999999996</v>
      </c>
      <c r="AV76" s="1187">
        <f>'CZ05 Factors'!H8</f>
        <v>0.23099999999999998</v>
      </c>
      <c r="AW76" s="1186">
        <f>'CZ05 Factors'!I8</f>
        <v>0.51</v>
      </c>
      <c r="AX76" s="1187">
        <f>'CZ05 Factors'!J8</f>
        <v>0.84500000000000008</v>
      </c>
      <c r="AY76" s="1188">
        <f>'CZ05 Factors'!K8</f>
        <v>0.49199999999999999</v>
      </c>
      <c r="AZ76" s="449"/>
      <c r="BA76" s="1189">
        <v>0.6</v>
      </c>
      <c r="BB76" s="1185">
        <f>'CZ05 BC Factors'!D8</f>
        <v>0.41999999999999993</v>
      </c>
      <c r="BC76" s="1186">
        <f>'CZ05 BC Factors'!E8</f>
        <v>0.48299999999999987</v>
      </c>
      <c r="BD76" s="1187">
        <f>'CZ05 BC Factors'!F8</f>
        <v>0.52200000000000002</v>
      </c>
      <c r="BE76" s="1186">
        <f>'CZ05 BC Factors'!G8</f>
        <v>0.29374999999999996</v>
      </c>
      <c r="BF76" s="1187">
        <f>'CZ05 BC Factors'!H8</f>
        <v>0.11549999999999999</v>
      </c>
      <c r="BG76" s="1186">
        <f>'CZ05 BC Factors'!I8</f>
        <v>0.38249999999999995</v>
      </c>
      <c r="BH76" s="1187">
        <f>'CZ05 BC Factors'!J8</f>
        <v>0.74749999999999994</v>
      </c>
      <c r="BI76" s="1188">
        <f>'CZ05 BC Factors'!K8</f>
        <v>0.56399999999999995</v>
      </c>
      <c r="BK76" s="1189">
        <v>0.6</v>
      </c>
      <c r="BL76" s="1185">
        <f>'CZ06 Factors'!D8</f>
        <v>0.36</v>
      </c>
      <c r="BM76" s="1186">
        <f>'CZ06 Factors'!E8</f>
        <v>0.47300000000000003</v>
      </c>
      <c r="BN76" s="1187">
        <f>'CZ06 Factors'!F8</f>
        <v>0.61</v>
      </c>
      <c r="BO76" s="1186">
        <f>'CZ06 Factors'!G8</f>
        <v>0.40499999999999997</v>
      </c>
      <c r="BP76" s="1187">
        <f>'CZ06 Factors'!H8</f>
        <v>0.248</v>
      </c>
      <c r="BQ76" s="1186">
        <f>'CZ06 Factors'!I8</f>
        <v>0.60899999999999999</v>
      </c>
      <c r="BR76" s="1187">
        <f>'CZ06 Factors'!J8</f>
        <v>0.98799999999999999</v>
      </c>
      <c r="BS76" s="1188">
        <f>'CZ06 Factors'!K8</f>
        <v>0.63750000000000007</v>
      </c>
      <c r="BU76" s="1189">
        <v>0.6</v>
      </c>
      <c r="BV76" s="1185">
        <f>'CZ07 Factors'!D8</f>
        <v>0.35200000000000004</v>
      </c>
      <c r="BW76" s="1186">
        <f>'CZ07 Factors'!E8</f>
        <v>0.56610000000000016</v>
      </c>
      <c r="BX76" s="1187">
        <f>'CZ07 Factors'!F8</f>
        <v>0.72800000000000009</v>
      </c>
      <c r="BY76" s="1186">
        <f>'CZ07 Factors'!G8</f>
        <v>0.57999999999999996</v>
      </c>
      <c r="BZ76" s="1187">
        <f>'CZ07 Factors'!H8</f>
        <v>0.39600000000000002</v>
      </c>
      <c r="CA76" s="1186">
        <f>'CZ07 Factors'!I8</f>
        <v>0.57574999999999987</v>
      </c>
      <c r="CB76" s="1187">
        <f>'CZ07 Factors'!J8</f>
        <v>0.78749999999999987</v>
      </c>
      <c r="CC76" s="1188">
        <f>'CZ07 Factors'!K8</f>
        <v>0.59924999999999995</v>
      </c>
      <c r="CE76" s="1189">
        <v>0.6</v>
      </c>
      <c r="CF76" s="1185">
        <f>'CZ08 Factors'!D8</f>
        <v>0.40800000000000003</v>
      </c>
      <c r="CG76" s="1186">
        <f>'CZ08 Factors'!E8</f>
        <v>0.69000000000000017</v>
      </c>
      <c r="CH76" s="1187">
        <f>'CZ08 Factors'!F8</f>
        <v>1.08</v>
      </c>
      <c r="CI76" s="1186">
        <f>'CZ08 Factors'!G8</f>
        <v>0.69600000000000006</v>
      </c>
      <c r="CJ76" s="1187">
        <f>'CZ08 Factors'!H8</f>
        <v>0.36300000000000004</v>
      </c>
      <c r="CK76" s="1186">
        <f>'CZ08 Factors'!I8</f>
        <v>1.05</v>
      </c>
      <c r="CL76" s="1187">
        <f>'CZ08 Factors'!J8</f>
        <v>2.0459999999999998</v>
      </c>
      <c r="CM76" s="1188">
        <f>'CZ08 Factors'!K8</f>
        <v>1.0535000000000001</v>
      </c>
    </row>
    <row r="77" spans="2:91" x14ac:dyDescent="0.25">
      <c r="B77" s="443">
        <f t="shared" si="6"/>
        <v>1680</v>
      </c>
      <c r="C77" s="1184">
        <v>0.8</v>
      </c>
      <c r="D77" s="1185">
        <f>'CZ01 Factors'!D9</f>
        <v>0.57200000000000006</v>
      </c>
      <c r="E77" s="1186">
        <f>'CZ01 Factors'!E9</f>
        <v>0.60604999999999998</v>
      </c>
      <c r="F77" s="1187">
        <f>'CZ01 Factors'!F9</f>
        <v>0.69430000000000014</v>
      </c>
      <c r="G77" s="1186">
        <f>'CZ01 Factors'!G9</f>
        <v>0.61335000000000006</v>
      </c>
      <c r="H77" s="1187">
        <f>'CZ01 Factors'!H9</f>
        <v>0.38999999999999996</v>
      </c>
      <c r="I77" s="1186">
        <f>'CZ01 Factors'!I9</f>
        <v>0.67600000000000005</v>
      </c>
      <c r="J77" s="1187">
        <f>'CZ01 Factors'!J9</f>
        <v>0.754</v>
      </c>
      <c r="K77" s="1188">
        <f>'CZ01 Factors'!K9</f>
        <v>0.62400000000000011</v>
      </c>
      <c r="M77" s="1189">
        <v>0.8</v>
      </c>
      <c r="N77" s="1185">
        <f>'CZ02 Factors'!D9</f>
        <v>0.23779999999999998</v>
      </c>
      <c r="O77" s="1186">
        <f>'CZ02 Factors'!E9</f>
        <v>0.37924999999999992</v>
      </c>
      <c r="P77" s="1187">
        <f>'CZ02 Factors'!F9</f>
        <v>0.61499999999999999</v>
      </c>
      <c r="Q77" s="1186">
        <f>'CZ02 Factors'!G9</f>
        <v>0.3649</v>
      </c>
      <c r="R77" s="1187">
        <f>'CZ02 Factors'!H9</f>
        <v>0.1595</v>
      </c>
      <c r="S77" s="1186">
        <f>'CZ02 Factors'!I9</f>
        <v>0.43240000000000006</v>
      </c>
      <c r="T77" s="1187">
        <f>'CZ02 Factors'!J9</f>
        <v>0.77139999999999997</v>
      </c>
      <c r="U77" s="1188">
        <f>'CZ02 Factors'!K9</f>
        <v>0.41925000000000001</v>
      </c>
      <c r="W77" s="1189">
        <v>0.8</v>
      </c>
      <c r="X77" s="1185">
        <f>'CZ03 Factors'!D9</f>
        <v>0.40799999999999997</v>
      </c>
      <c r="Y77" s="1186">
        <f>'CZ03 Factors'!E9</f>
        <v>0.50749999999999995</v>
      </c>
      <c r="Z77" s="1187">
        <f>'CZ03 Factors'!F9</f>
        <v>0.70799999999999996</v>
      </c>
      <c r="AA77" s="1186">
        <f>'CZ03 Factors'!G9</f>
        <v>0.61099999999999988</v>
      </c>
      <c r="AB77" s="1187">
        <f>'CZ03 Factors'!H9</f>
        <v>0.378</v>
      </c>
      <c r="AC77" s="1186">
        <f>'CZ03 Factors'!I9</f>
        <v>0.62499999999999989</v>
      </c>
      <c r="AD77" s="1187">
        <f>'CZ03 Factors'!J9</f>
        <v>0.66</v>
      </c>
      <c r="AE77" s="1188">
        <f>'CZ03 Factors'!K9</f>
        <v>0.48999999999999994</v>
      </c>
      <c r="AG77" s="1189">
        <v>0.8</v>
      </c>
      <c r="AH77" s="1185">
        <f>'CZ04 Factors'!D9</f>
        <v>0.27599999999999997</v>
      </c>
      <c r="AI77" s="1186">
        <f>'CZ04 Factors'!E9</f>
        <v>0.36099999999999999</v>
      </c>
      <c r="AJ77" s="1187">
        <f>'CZ04 Factors'!F9</f>
        <v>0.47249999999999992</v>
      </c>
      <c r="AK77" s="1186">
        <f>'CZ04 Factors'!G9</f>
        <v>0.31849999999999995</v>
      </c>
      <c r="AL77" s="1187">
        <f>'CZ04 Factors'!H9</f>
        <v>0.13750000000000001</v>
      </c>
      <c r="AM77" s="1186">
        <f>'CZ04 Factors'!I9</f>
        <v>0.45</v>
      </c>
      <c r="AN77" s="1187">
        <f>'CZ04 Factors'!J9</f>
        <v>0.85549999999999993</v>
      </c>
      <c r="AO77" s="1188">
        <f>'CZ04 Factors'!K9</f>
        <v>0.46799999999999992</v>
      </c>
      <c r="AQ77" s="1189">
        <v>0.8</v>
      </c>
      <c r="AR77" s="1185">
        <f>'CZ05 Factors'!D9</f>
        <v>0.22500000000000001</v>
      </c>
      <c r="AS77" s="1186">
        <f>'CZ05 Factors'!E9</f>
        <v>0.26824999999999999</v>
      </c>
      <c r="AT77" s="1187">
        <f>'CZ05 Factors'!F9</f>
        <v>0.35</v>
      </c>
      <c r="AU77" s="1186">
        <f>'CZ05 Factors'!G9</f>
        <v>0.27999999999999997</v>
      </c>
      <c r="AV77" s="1187">
        <f>'CZ05 Factors'!H9</f>
        <v>0.19600000000000001</v>
      </c>
      <c r="AW77" s="1186">
        <f>'CZ05 Factors'!I9</f>
        <v>0.43</v>
      </c>
      <c r="AX77" s="1187">
        <f>'CZ05 Factors'!J9</f>
        <v>0.67600000000000016</v>
      </c>
      <c r="AY77" s="1188">
        <f>'CZ05 Factors'!K9</f>
        <v>0.41000000000000003</v>
      </c>
      <c r="AZ77" s="449"/>
      <c r="BA77" s="1189">
        <v>0.8</v>
      </c>
      <c r="BB77" s="1185">
        <f>'CZ05 BC Factors'!D9</f>
        <v>0.35999999999999993</v>
      </c>
      <c r="BC77" s="1186">
        <f>'CZ05 BC Factors'!E9</f>
        <v>0.3884999999999999</v>
      </c>
      <c r="BD77" s="1187">
        <f>'CZ05 BC Factors'!F9</f>
        <v>0.45</v>
      </c>
      <c r="BE77" s="1186">
        <f>'CZ05 BC Factors'!G9</f>
        <v>0.25</v>
      </c>
      <c r="BF77" s="1187">
        <f>'CZ05 BC Factors'!H9</f>
        <v>9.8000000000000004E-2</v>
      </c>
      <c r="BG77" s="1186">
        <f>'CZ05 BC Factors'!I9</f>
        <v>0.32249999999999995</v>
      </c>
      <c r="BH77" s="1187">
        <f>'CZ05 BC Factors'!J9</f>
        <v>0.59799999999999998</v>
      </c>
      <c r="BI77" s="1188">
        <f>'CZ05 BC Factors'!K9</f>
        <v>0.47</v>
      </c>
      <c r="BK77" s="1189">
        <v>0.8</v>
      </c>
      <c r="BL77" s="1185">
        <f>'CZ06 Factors'!D9</f>
        <v>0.312</v>
      </c>
      <c r="BM77" s="1186">
        <f>'CZ06 Factors'!E9</f>
        <v>0.38500000000000001</v>
      </c>
      <c r="BN77" s="1187">
        <f>'CZ06 Factors'!F9</f>
        <v>0.5</v>
      </c>
      <c r="BO77" s="1186">
        <f>'CZ06 Factors'!G9</f>
        <v>0.34199999999999997</v>
      </c>
      <c r="BP77" s="1187">
        <f>'CZ06 Factors'!H9</f>
        <v>0.20800000000000002</v>
      </c>
      <c r="BQ77" s="1186">
        <f>'CZ06 Factors'!I9</f>
        <v>0.52500000000000002</v>
      </c>
      <c r="BR77" s="1187">
        <f>'CZ06 Factors'!J9</f>
        <v>0.85799999999999998</v>
      </c>
      <c r="BS77" s="1188">
        <f>'CZ06 Factors'!K9</f>
        <v>0.50000000000000011</v>
      </c>
      <c r="BU77" s="1189">
        <v>0.8</v>
      </c>
      <c r="BV77" s="1185">
        <f>'CZ07 Factors'!D9</f>
        <v>0.30800000000000005</v>
      </c>
      <c r="BW77" s="1186">
        <f>'CZ07 Factors'!E9</f>
        <v>0.44400000000000017</v>
      </c>
      <c r="BX77" s="1187">
        <f>'CZ07 Factors'!F9</f>
        <v>0.60480000000000023</v>
      </c>
      <c r="BY77" s="1186">
        <f>'CZ07 Factors'!G9</f>
        <v>0.51040000000000008</v>
      </c>
      <c r="BZ77" s="1187">
        <f>'CZ07 Factors'!H9</f>
        <v>0.33600000000000008</v>
      </c>
      <c r="CA77" s="1186">
        <f>'CZ07 Factors'!I9</f>
        <v>0.50224999999999986</v>
      </c>
      <c r="CB77" s="1187">
        <f>'CZ07 Factors'!J9</f>
        <v>0.66249999999999998</v>
      </c>
      <c r="CC77" s="1188">
        <f>'CZ07 Factors'!K9</f>
        <v>0.47000000000000003</v>
      </c>
      <c r="CE77" s="1189">
        <v>0.8</v>
      </c>
      <c r="CF77" s="1185">
        <f>'CZ08 Factors'!D9</f>
        <v>0.36000000000000004</v>
      </c>
      <c r="CG77" s="1186">
        <f>'CZ08 Factors'!E9</f>
        <v>0.55500000000000016</v>
      </c>
      <c r="CH77" s="1187">
        <f>'CZ08 Factors'!F9</f>
        <v>0.90000000000000013</v>
      </c>
      <c r="CI77" s="1186">
        <f>'CZ08 Factors'!G9</f>
        <v>0.59450000000000003</v>
      </c>
      <c r="CJ77" s="1187">
        <f>'CZ08 Factors'!H9</f>
        <v>0.31900000000000001</v>
      </c>
      <c r="CK77" s="1186">
        <f>'CZ08 Factors'!I9</f>
        <v>0.90300000000000002</v>
      </c>
      <c r="CL77" s="1187">
        <f>'CZ08 Factors'!J9</f>
        <v>1.6430000000000002</v>
      </c>
      <c r="CM77" s="1188">
        <f>'CZ08 Factors'!K9</f>
        <v>0.8600000000000001</v>
      </c>
    </row>
    <row r="78" spans="2:91" ht="13" x14ac:dyDescent="0.3">
      <c r="B78" s="443">
        <f t="shared" si="6"/>
        <v>2100</v>
      </c>
      <c r="C78" s="1190">
        <v>1</v>
      </c>
      <c r="D78" s="1191">
        <f>'CZ01 Factors'!D10</f>
        <v>0.49399999999999999</v>
      </c>
      <c r="E78" s="1192">
        <f>'CZ01 Factors'!E10</f>
        <v>0.50829999999999997</v>
      </c>
      <c r="F78" s="1193">
        <f>'CZ01 Factors'!F10</f>
        <v>0.58950000000000002</v>
      </c>
      <c r="G78" s="1192">
        <f>'CZ01 Factors'!G10</f>
        <v>0.53505000000000003</v>
      </c>
      <c r="H78" s="1193">
        <f>'CZ01 Factors'!H10</f>
        <v>0.32499999999999996</v>
      </c>
      <c r="I78" s="1192">
        <f>'CZ01 Factors'!I10</f>
        <v>0.55900000000000005</v>
      </c>
      <c r="J78" s="1193">
        <f>'CZ01 Factors'!J10</f>
        <v>0.624</v>
      </c>
      <c r="K78" s="1194">
        <f>'CZ01 Factors'!K10</f>
        <v>0.54600000000000015</v>
      </c>
      <c r="M78" s="1195">
        <v>1</v>
      </c>
      <c r="N78" s="1191">
        <f>'CZ02 Factors'!D10</f>
        <v>0.2132</v>
      </c>
      <c r="O78" s="1192">
        <f>'CZ02 Factors'!E10</f>
        <v>0.30749999999999994</v>
      </c>
      <c r="P78" s="1193">
        <f>'CZ02 Factors'!F10</f>
        <v>0.52889999999999993</v>
      </c>
      <c r="Q78" s="1192">
        <f>'CZ02 Factors'!G10</f>
        <v>0.3115</v>
      </c>
      <c r="R78" s="1193">
        <f>'CZ02 Factors'!H10</f>
        <v>0.13200000000000001</v>
      </c>
      <c r="S78" s="1192">
        <f>'CZ02 Factors'!I10</f>
        <v>0.37600000000000006</v>
      </c>
      <c r="T78" s="1193">
        <f>'CZ02 Factors'!J10</f>
        <v>0.62509999999999999</v>
      </c>
      <c r="U78" s="1194">
        <f>'CZ02 Factors'!K10</f>
        <v>0.34400000000000003</v>
      </c>
      <c r="W78" s="1195">
        <v>1</v>
      </c>
      <c r="X78" s="1191">
        <f>'CZ03 Factors'!D10</f>
        <v>0.34</v>
      </c>
      <c r="Y78" s="1192">
        <f>'CZ03 Factors'!E10</f>
        <v>0.42049999999999993</v>
      </c>
      <c r="Z78" s="1193">
        <f>'CZ03 Factors'!F10</f>
        <v>0.60000000000000009</v>
      </c>
      <c r="AA78" s="1192">
        <f>'CZ03 Factors'!G10</f>
        <v>0.52</v>
      </c>
      <c r="AB78" s="1193">
        <f>'CZ03 Factors'!H10</f>
        <v>0.33599999999999991</v>
      </c>
      <c r="AC78" s="1192">
        <f>'CZ03 Factors'!I10</f>
        <v>0.53749999999999998</v>
      </c>
      <c r="AD78" s="1193">
        <f>'CZ03 Factors'!J10</f>
        <v>0.58300000000000007</v>
      </c>
      <c r="AE78" s="1194">
        <f>'CZ03 Factors'!K10</f>
        <v>0.40599999999999997</v>
      </c>
      <c r="AG78" s="1195">
        <v>1</v>
      </c>
      <c r="AH78" s="1191">
        <f>'CZ04 Factors'!D10</f>
        <v>0.23</v>
      </c>
      <c r="AI78" s="1192">
        <f>'CZ04 Factors'!E10</f>
        <v>0.29449999999999998</v>
      </c>
      <c r="AJ78" s="1193">
        <f>'CZ04 Factors'!F10</f>
        <v>0.41249999999999998</v>
      </c>
      <c r="AK78" s="1192">
        <f>'CZ04 Factors'!G10</f>
        <v>0.27299999999999996</v>
      </c>
      <c r="AL78" s="1193">
        <f>'CZ04 Factors'!H10</f>
        <v>0.12100000000000001</v>
      </c>
      <c r="AM78" s="1192">
        <f>'CZ04 Factors'!I10</f>
        <v>0.39</v>
      </c>
      <c r="AN78" s="1193">
        <f>'CZ04 Factors'!J10</f>
        <v>0.73949999999999994</v>
      </c>
      <c r="AO78" s="1194">
        <f>'CZ04 Factors'!K10</f>
        <v>0.38999999999999996</v>
      </c>
      <c r="AQ78" s="1195">
        <v>1</v>
      </c>
      <c r="AR78" s="1191">
        <f>'CZ05 Factors'!D10</f>
        <v>0.19500000000000001</v>
      </c>
      <c r="AS78" s="1192">
        <f>'CZ05 Factors'!E10</f>
        <v>0.22474999999999998</v>
      </c>
      <c r="AT78" s="1193">
        <f>'CZ05 Factors'!F10</f>
        <v>0.29399999999999998</v>
      </c>
      <c r="AU78" s="1192">
        <f>'CZ05 Factors'!G10</f>
        <v>0.23799999999999999</v>
      </c>
      <c r="AV78" s="1193">
        <f>'CZ05 Factors'!H10</f>
        <v>0.17499999999999999</v>
      </c>
      <c r="AW78" s="1192">
        <f>'CZ05 Factors'!I10</f>
        <v>0.37</v>
      </c>
      <c r="AX78" s="1193">
        <f>'CZ05 Factors'!J10</f>
        <v>0.59800000000000009</v>
      </c>
      <c r="AY78" s="1194">
        <f>'CZ05 Factors'!K10</f>
        <v>0.31775000000000003</v>
      </c>
      <c r="AZ78" s="448"/>
      <c r="BA78" s="1195">
        <v>1</v>
      </c>
      <c r="BB78" s="1191">
        <f>'CZ05 BC Factors'!D10</f>
        <v>0.31199999999999994</v>
      </c>
      <c r="BC78" s="1192">
        <f>'CZ05 BC Factors'!E10</f>
        <v>0.3254999999999999</v>
      </c>
      <c r="BD78" s="1193">
        <f>'CZ05 BC Factors'!F10</f>
        <v>0.378</v>
      </c>
      <c r="BE78" s="1192">
        <f>'CZ05 BC Factors'!G10</f>
        <v>0.21249999999999999</v>
      </c>
      <c r="BF78" s="1193">
        <f>'CZ05 BC Factors'!H10</f>
        <v>8.7499999999999994E-2</v>
      </c>
      <c r="BG78" s="1192">
        <f>'CZ05 BC Factors'!I10</f>
        <v>0.27749999999999991</v>
      </c>
      <c r="BH78" s="1193">
        <f>'CZ05 BC Factors'!J10</f>
        <v>0.52900000000000003</v>
      </c>
      <c r="BI78" s="1194">
        <f>'CZ05 BC Factors'!K10</f>
        <v>0.36424999999999996</v>
      </c>
      <c r="BK78" s="1195">
        <v>1</v>
      </c>
      <c r="BL78" s="1191">
        <f>'CZ06 Factors'!D10</f>
        <v>0.26400000000000001</v>
      </c>
      <c r="BM78" s="1192">
        <f>'CZ06 Factors'!E10</f>
        <v>0.31900000000000001</v>
      </c>
      <c r="BN78" s="1193">
        <f>'CZ06 Factors'!F10</f>
        <v>0.42</v>
      </c>
      <c r="BO78" s="1192">
        <f>'CZ06 Factors'!G10</f>
        <v>0.28799999999999998</v>
      </c>
      <c r="BP78" s="1193">
        <f>'CZ06 Factors'!H10</f>
        <v>0.184</v>
      </c>
      <c r="BQ78" s="1192">
        <f>'CZ06 Factors'!I10</f>
        <v>0.441</v>
      </c>
      <c r="BR78" s="1193">
        <f>'CZ06 Factors'!J10</f>
        <v>0.72800000000000009</v>
      </c>
      <c r="BS78" s="1194">
        <f>'CZ06 Factors'!K10</f>
        <v>0.44999999999999996</v>
      </c>
      <c r="BU78" s="1195">
        <v>1</v>
      </c>
      <c r="BV78" s="1191">
        <f>'CZ07 Factors'!D10</f>
        <v>0.27500000000000002</v>
      </c>
      <c r="BW78" s="1192">
        <f>'CZ07 Factors'!E10</f>
        <v>0.36630000000000013</v>
      </c>
      <c r="BX78" s="1193">
        <f>'CZ07 Factors'!F10</f>
        <v>0.53760000000000008</v>
      </c>
      <c r="BY78" s="1192">
        <f>'CZ07 Factors'!G10</f>
        <v>0.42920000000000003</v>
      </c>
      <c r="BZ78" s="1193">
        <f>'CZ07 Factors'!H10</f>
        <v>0.3</v>
      </c>
      <c r="CA78" s="1192">
        <f>'CZ07 Factors'!I10</f>
        <v>0.42874999999999991</v>
      </c>
      <c r="CB78" s="1193">
        <f>'CZ07 Factors'!J10</f>
        <v>0.54999999999999993</v>
      </c>
      <c r="CC78" s="1194">
        <f>'CZ07 Factors'!K10</f>
        <v>0.37599999999999995</v>
      </c>
      <c r="CE78" s="1195">
        <v>1</v>
      </c>
      <c r="CF78" s="1191">
        <f>'CZ08 Factors'!D10</f>
        <v>0.3</v>
      </c>
      <c r="CG78" s="1192">
        <f>'CZ08 Factors'!E10</f>
        <v>0.45000000000000007</v>
      </c>
      <c r="CH78" s="1193">
        <f>'CZ08 Factors'!F10</f>
        <v>0.75600000000000001</v>
      </c>
      <c r="CI78" s="1192">
        <f>'CZ08 Factors'!G10</f>
        <v>0.50750000000000006</v>
      </c>
      <c r="CJ78" s="1193">
        <f>'CZ08 Factors'!H10</f>
        <v>0.27500000000000002</v>
      </c>
      <c r="CK78" s="1192">
        <f>'CZ08 Factors'!I10</f>
        <v>0.77700000000000002</v>
      </c>
      <c r="CL78" s="1193">
        <f>'CZ08 Factors'!J10</f>
        <v>1.4569999999999999</v>
      </c>
      <c r="CM78" s="1194">
        <f>'CZ08 Factors'!K10</f>
        <v>0.70950000000000013</v>
      </c>
    </row>
    <row r="79" spans="2:91" x14ac:dyDescent="0.25">
      <c r="B79" s="443">
        <f t="shared" si="6"/>
        <v>2520</v>
      </c>
      <c r="C79" s="1184">
        <v>1.2</v>
      </c>
      <c r="D79" s="1185">
        <f>'CZ01 Factors'!D11</f>
        <v>0.46800000000000003</v>
      </c>
      <c r="E79" s="1186">
        <f>'CZ01 Factors'!E11</f>
        <v>0.44964999999999999</v>
      </c>
      <c r="F79" s="1187">
        <f>'CZ01 Factors'!F11</f>
        <v>0.48470000000000008</v>
      </c>
      <c r="G79" s="1186">
        <f>'CZ01 Factors'!G11</f>
        <v>0.43065000000000009</v>
      </c>
      <c r="H79" s="1187">
        <f>'CZ01 Factors'!H11</f>
        <v>0.28600000000000003</v>
      </c>
      <c r="I79" s="1186">
        <f>'CZ01 Factors'!I11</f>
        <v>0.50700000000000001</v>
      </c>
      <c r="J79" s="1187">
        <f>'CZ01 Factors'!J11</f>
        <v>0.54600000000000004</v>
      </c>
      <c r="K79" s="1188">
        <f>'CZ01 Factors'!K11</f>
        <v>0.50700000000000012</v>
      </c>
      <c r="M79" s="1189">
        <v>1.2</v>
      </c>
      <c r="N79" s="1185">
        <f>'CZ02 Factors'!D11</f>
        <v>0.18859999999999999</v>
      </c>
      <c r="O79" s="1186">
        <f>'CZ02 Factors'!E11</f>
        <v>0.27675</v>
      </c>
      <c r="P79" s="1187">
        <f>'CZ02 Factors'!F11</f>
        <v>0.43049999999999994</v>
      </c>
      <c r="Q79" s="1186">
        <f>'CZ02 Factors'!G11</f>
        <v>0.26700000000000002</v>
      </c>
      <c r="R79" s="1187">
        <f>'CZ02 Factors'!H11</f>
        <v>0.12100000000000001</v>
      </c>
      <c r="S79" s="1186">
        <f>'CZ02 Factors'!I11</f>
        <v>0.31960000000000005</v>
      </c>
      <c r="T79" s="1187">
        <f>'CZ02 Factors'!J11</f>
        <v>0.54530000000000001</v>
      </c>
      <c r="U79" s="1188">
        <f>'CZ02 Factors'!K11</f>
        <v>0.30099999999999999</v>
      </c>
      <c r="W79" s="1189">
        <v>1.2</v>
      </c>
      <c r="X79" s="1185">
        <f>'CZ03 Factors'!D11</f>
        <v>0.32300000000000001</v>
      </c>
      <c r="Y79" s="1186">
        <f>'CZ03 Factors'!E11</f>
        <v>0.377</v>
      </c>
      <c r="Z79" s="1187">
        <f>'CZ03 Factors'!F11</f>
        <v>0.504</v>
      </c>
      <c r="AA79" s="1186">
        <f>'CZ03 Factors'!G11</f>
        <v>0.44199999999999995</v>
      </c>
      <c r="AB79" s="1187">
        <f>'CZ03 Factors'!H11</f>
        <v>0.29399999999999998</v>
      </c>
      <c r="AC79" s="1186">
        <f>'CZ03 Factors'!I11</f>
        <v>0.46249999999999997</v>
      </c>
      <c r="AD79" s="1187">
        <f>'CZ03 Factors'!J11</f>
        <v>0.47300000000000003</v>
      </c>
      <c r="AE79" s="1188">
        <f>'CZ03 Factors'!K11</f>
        <v>0.36399999999999999</v>
      </c>
      <c r="AG79" s="1189">
        <v>1.2</v>
      </c>
      <c r="AH79" s="1185">
        <f>'CZ04 Factors'!D11</f>
        <v>0.2185</v>
      </c>
      <c r="AI79" s="1186">
        <f>'CZ04 Factors'!E11</f>
        <v>0.247</v>
      </c>
      <c r="AJ79" s="1187">
        <f>'CZ04 Factors'!F11</f>
        <v>0.34499999999999997</v>
      </c>
      <c r="AK79" s="1186">
        <f>'CZ04 Factors'!G11</f>
        <v>0.24049999999999996</v>
      </c>
      <c r="AL79" s="1187">
        <f>'CZ04 Factors'!H11</f>
        <v>0.11000000000000001</v>
      </c>
      <c r="AM79" s="1186">
        <f>'CZ04 Factors'!I11</f>
        <v>0.35</v>
      </c>
      <c r="AN79" s="1187">
        <f>'CZ04 Factors'!J11</f>
        <v>0.65249999999999997</v>
      </c>
      <c r="AO79" s="1188">
        <f>'CZ04 Factors'!K11</f>
        <v>0.32499999999999996</v>
      </c>
      <c r="AQ79" s="1189">
        <v>1.2</v>
      </c>
      <c r="AR79" s="1185">
        <f>'CZ05 Factors'!D11</f>
        <v>0.18</v>
      </c>
      <c r="AS79" s="1186">
        <f>'CZ05 Factors'!E11</f>
        <v>0.1885</v>
      </c>
      <c r="AT79" s="1187">
        <f>'CZ05 Factors'!F11</f>
        <v>0.25199999999999995</v>
      </c>
      <c r="AU79" s="1186">
        <f>'CZ05 Factors'!G11</f>
        <v>0.20999999999999996</v>
      </c>
      <c r="AV79" s="1187">
        <f>'CZ05 Factors'!H11</f>
        <v>0.15399999999999997</v>
      </c>
      <c r="AW79" s="1186">
        <f>'CZ05 Factors'!I11</f>
        <v>0.33</v>
      </c>
      <c r="AX79" s="1187">
        <f>'CZ05 Factors'!J11</f>
        <v>0.52000000000000013</v>
      </c>
      <c r="AY79" s="1188">
        <f>'CZ05 Factors'!K11</f>
        <v>0.27675000000000005</v>
      </c>
      <c r="AZ79" s="449"/>
      <c r="BA79" s="1189">
        <v>1.2</v>
      </c>
      <c r="BB79" s="1185">
        <f>'CZ05 BC Factors'!D11</f>
        <v>0.28799999999999992</v>
      </c>
      <c r="BC79" s="1186">
        <f>'CZ05 BC Factors'!E11</f>
        <v>0.27299999999999996</v>
      </c>
      <c r="BD79" s="1187">
        <f>'CZ05 BC Factors'!F11</f>
        <v>0.32399999999999995</v>
      </c>
      <c r="BE79" s="1186">
        <f>'CZ05 BC Factors'!G11</f>
        <v>0.1875</v>
      </c>
      <c r="BF79" s="1187">
        <f>'CZ05 BC Factors'!H11</f>
        <v>7.6999999999999985E-2</v>
      </c>
      <c r="BG79" s="1186">
        <f>'CZ05 BC Factors'!I11</f>
        <v>0.24749999999999997</v>
      </c>
      <c r="BH79" s="1187">
        <f>'CZ05 BC Factors'!J11</f>
        <v>0.45999999999999996</v>
      </c>
      <c r="BI79" s="1188">
        <f>'CZ05 BC Factors'!K11</f>
        <v>0.31724999999999998</v>
      </c>
      <c r="BK79" s="1189">
        <v>1.2</v>
      </c>
      <c r="BL79" s="1185">
        <f>'CZ06 Factors'!D11</f>
        <v>0.24000000000000002</v>
      </c>
      <c r="BM79" s="1186">
        <f>'CZ06 Factors'!E11</f>
        <v>0.26400000000000001</v>
      </c>
      <c r="BN79" s="1187">
        <f>'CZ06 Factors'!F11</f>
        <v>0.37</v>
      </c>
      <c r="BO79" s="1186">
        <f>'CZ06 Factors'!G11</f>
        <v>0.26099999999999995</v>
      </c>
      <c r="BP79" s="1187">
        <f>'CZ06 Factors'!H11</f>
        <v>0.184</v>
      </c>
      <c r="BQ79" s="1186">
        <f>'CZ06 Factors'!I11</f>
        <v>0.40950000000000003</v>
      </c>
      <c r="BR79" s="1187">
        <f>'CZ06 Factors'!J11</f>
        <v>0.624</v>
      </c>
      <c r="BS79" s="1188">
        <f>'CZ06 Factors'!K11</f>
        <v>0.36249999999999999</v>
      </c>
      <c r="BU79" s="1189">
        <v>1.2</v>
      </c>
      <c r="BV79" s="1185">
        <f>'CZ07 Factors'!D11</f>
        <v>0.24200000000000002</v>
      </c>
      <c r="BW79" s="1186">
        <f>'CZ07 Factors'!E11</f>
        <v>0.31080000000000008</v>
      </c>
      <c r="BX79" s="1187">
        <f>'CZ07 Factors'!F11</f>
        <v>0.45920000000000005</v>
      </c>
      <c r="BY79" s="1186">
        <f>'CZ07 Factors'!G11</f>
        <v>0.39440000000000003</v>
      </c>
      <c r="BZ79" s="1187">
        <f>'CZ07 Factors'!H11</f>
        <v>0.27600000000000002</v>
      </c>
      <c r="CA79" s="1186">
        <f>'CZ07 Factors'!I11</f>
        <v>0.37974999999999998</v>
      </c>
      <c r="CB79" s="1187">
        <f>'CZ07 Factors'!J11</f>
        <v>0.47499999999999998</v>
      </c>
      <c r="CC79" s="1188">
        <f>'CZ07 Factors'!K11</f>
        <v>0.31724999999999998</v>
      </c>
      <c r="CE79" s="1189">
        <v>1.2</v>
      </c>
      <c r="CF79" s="1185">
        <f>'CZ08 Factors'!D11</f>
        <v>0.27600000000000002</v>
      </c>
      <c r="CG79" s="1186">
        <f>'CZ08 Factors'!E11</f>
        <v>0.4200000000000001</v>
      </c>
      <c r="CH79" s="1187">
        <f>'CZ08 Factors'!F11</f>
        <v>0.66600000000000004</v>
      </c>
      <c r="CI79" s="1186">
        <f>'CZ08 Factors'!G11</f>
        <v>0.44950000000000007</v>
      </c>
      <c r="CJ79" s="1187">
        <f>'CZ08 Factors'!H11</f>
        <v>0.253</v>
      </c>
      <c r="CK79" s="1186">
        <f>'CZ08 Factors'!I11</f>
        <v>0.69300000000000006</v>
      </c>
      <c r="CL79" s="1187">
        <f>'CZ08 Factors'!J11</f>
        <v>1.2090000000000001</v>
      </c>
      <c r="CM79" s="1188">
        <f>'CZ08 Factors'!K11</f>
        <v>0.55900000000000016</v>
      </c>
    </row>
    <row r="80" spans="2:91" x14ac:dyDescent="0.25">
      <c r="B80" s="443">
        <f t="shared" si="6"/>
        <v>2940</v>
      </c>
      <c r="C80" s="1184">
        <v>1.4</v>
      </c>
      <c r="D80" s="1185">
        <f>'CZ01 Factors'!D12</f>
        <v>0.44200000000000006</v>
      </c>
      <c r="E80" s="1186">
        <f>'CZ01 Factors'!E12</f>
        <v>0.41054999999999997</v>
      </c>
      <c r="F80" s="1187">
        <f>'CZ01 Factors'!F12</f>
        <v>0.41920000000000002</v>
      </c>
      <c r="G80" s="1186">
        <f>'CZ01 Factors'!G12</f>
        <v>0.39149999999999996</v>
      </c>
      <c r="H80" s="1187">
        <f>'CZ01 Factors'!H12</f>
        <v>0.28600000000000003</v>
      </c>
      <c r="I80" s="1186">
        <f>'CZ01 Factors'!I12</f>
        <v>0.41599999999999998</v>
      </c>
      <c r="J80" s="1187">
        <f>'CZ01 Factors'!J12</f>
        <v>0.48099999999999998</v>
      </c>
      <c r="K80" s="1188">
        <f>'CZ01 Factors'!K12</f>
        <v>0.4290000000000001</v>
      </c>
      <c r="M80" s="1189">
        <v>1.4</v>
      </c>
      <c r="N80" s="1185">
        <f>'CZ02 Factors'!D12</f>
        <v>0.17219999999999999</v>
      </c>
      <c r="O80" s="1186">
        <f>'CZ02 Factors'!E12</f>
        <v>0.24599999999999997</v>
      </c>
      <c r="P80" s="1187">
        <f>'CZ02 Factors'!F12</f>
        <v>0.39360000000000001</v>
      </c>
      <c r="Q80" s="1186">
        <f>'CZ02 Factors'!G12</f>
        <v>0.24920000000000006</v>
      </c>
      <c r="R80" s="1187">
        <f>'CZ02 Factors'!H12</f>
        <v>0.11550000000000002</v>
      </c>
      <c r="S80" s="1186">
        <f>'CZ02 Factors'!I12</f>
        <v>0.28200000000000003</v>
      </c>
      <c r="T80" s="1187">
        <f>'CZ02 Factors'!J12</f>
        <v>0.47880000000000006</v>
      </c>
      <c r="U80" s="1188">
        <f>'CZ02 Factors'!K12</f>
        <v>0.25800000000000001</v>
      </c>
      <c r="W80" s="1189">
        <v>1.4</v>
      </c>
      <c r="X80" s="1185">
        <f>'CZ03 Factors'!D12</f>
        <v>0.28899999999999998</v>
      </c>
      <c r="Y80" s="1186">
        <f>'CZ03 Factors'!E12</f>
        <v>0.31900000000000001</v>
      </c>
      <c r="Z80" s="1187">
        <f>'CZ03 Factors'!F12</f>
        <v>0.42</v>
      </c>
      <c r="AA80" s="1186">
        <f>'CZ03 Factors'!G12</f>
        <v>0.40299999999999997</v>
      </c>
      <c r="AB80" s="1187">
        <f>'CZ03 Factors'!H12</f>
        <v>0.27999999999999997</v>
      </c>
      <c r="AC80" s="1186">
        <f>'CZ03 Factors'!I12</f>
        <v>0.4</v>
      </c>
      <c r="AD80" s="1187">
        <f>'CZ03 Factors'!J12</f>
        <v>0.45100000000000007</v>
      </c>
      <c r="AE80" s="1188">
        <f>'CZ03 Factors'!K12</f>
        <v>0.32200000000000001</v>
      </c>
      <c r="AG80" s="1189">
        <v>1.4</v>
      </c>
      <c r="AH80" s="1185">
        <f>'CZ04 Factors'!D12</f>
        <v>0.184</v>
      </c>
      <c r="AI80" s="1186">
        <f>'CZ04 Factors'!E12</f>
        <v>0.21849999999999997</v>
      </c>
      <c r="AJ80" s="1187">
        <f>'CZ04 Factors'!F12</f>
        <v>0.29249999999999998</v>
      </c>
      <c r="AK80" s="1186">
        <f>'CZ04 Factors'!G12</f>
        <v>0.221</v>
      </c>
      <c r="AL80" s="1187">
        <f>'CZ04 Factors'!H12</f>
        <v>9.3500000000000014E-2</v>
      </c>
      <c r="AM80" s="1186">
        <f>'CZ04 Factors'!I12</f>
        <v>0.33</v>
      </c>
      <c r="AN80" s="1187">
        <f>'CZ04 Factors'!J12</f>
        <v>0.55099999999999993</v>
      </c>
      <c r="AO80" s="1188">
        <f>'CZ04 Factors'!K12</f>
        <v>0.27299999999999996</v>
      </c>
      <c r="AQ80" s="1189">
        <v>1.4</v>
      </c>
      <c r="AR80" s="1185">
        <f>'CZ05 Factors'!D12</f>
        <v>0.1575</v>
      </c>
      <c r="AS80" s="1186">
        <f>'CZ05 Factors'!E12</f>
        <v>0.16674999999999998</v>
      </c>
      <c r="AT80" s="1187">
        <f>'CZ05 Factors'!F12</f>
        <v>0.22400000000000003</v>
      </c>
      <c r="AU80" s="1186">
        <f>'CZ05 Factors'!G12</f>
        <v>0.18900000000000003</v>
      </c>
      <c r="AV80" s="1187">
        <f>'CZ05 Factors'!H12</f>
        <v>0.13999999999999999</v>
      </c>
      <c r="AW80" s="1186">
        <f>'CZ05 Factors'!I12</f>
        <v>0.28999999999999998</v>
      </c>
      <c r="AX80" s="1187">
        <f>'CZ05 Factors'!J12</f>
        <v>0.44200000000000006</v>
      </c>
      <c r="AY80" s="1188">
        <f>'CZ05 Factors'!K12</f>
        <v>0.246</v>
      </c>
      <c r="AZ80" s="449"/>
      <c r="BA80" s="1189">
        <v>1.4</v>
      </c>
      <c r="BB80" s="1185">
        <f>'CZ05 BC Factors'!D12</f>
        <v>0.25199999999999995</v>
      </c>
      <c r="BC80" s="1186">
        <f>'CZ05 BC Factors'!E12</f>
        <v>0.24149999999999994</v>
      </c>
      <c r="BD80" s="1187">
        <f>'CZ05 BC Factors'!F12</f>
        <v>0.28800000000000003</v>
      </c>
      <c r="BE80" s="1186">
        <f>'CZ05 BC Factors'!G12</f>
        <v>0.16875000000000004</v>
      </c>
      <c r="BF80" s="1187">
        <f>'CZ05 BC Factors'!H12</f>
        <v>6.9999999999999993E-2</v>
      </c>
      <c r="BG80" s="1186">
        <f>'CZ05 BC Factors'!I12</f>
        <v>0.21749999999999994</v>
      </c>
      <c r="BH80" s="1187">
        <f>'CZ05 BC Factors'!J12</f>
        <v>0.39100000000000001</v>
      </c>
      <c r="BI80" s="1188">
        <f>'CZ05 BC Factors'!K12</f>
        <v>0.28199999999999997</v>
      </c>
      <c r="BK80" s="1189">
        <v>1.4</v>
      </c>
      <c r="BL80" s="1185">
        <f>'CZ06 Factors'!D12</f>
        <v>0.216</v>
      </c>
      <c r="BM80" s="1186">
        <f>'CZ06 Factors'!E12</f>
        <v>0.24200000000000002</v>
      </c>
      <c r="BN80" s="1187">
        <f>'CZ06 Factors'!F12</f>
        <v>0.32</v>
      </c>
      <c r="BO80" s="1186">
        <f>'CZ06 Factors'!G12</f>
        <v>0.23399999999999999</v>
      </c>
      <c r="BP80" s="1187">
        <f>'CZ06 Factors'!H12</f>
        <v>0.152</v>
      </c>
      <c r="BQ80" s="1186">
        <f>'CZ06 Factors'!I12</f>
        <v>0.35700000000000004</v>
      </c>
      <c r="BR80" s="1187">
        <f>'CZ06 Factors'!J12</f>
        <v>0.54599999999999993</v>
      </c>
      <c r="BS80" s="1188">
        <f>'CZ06 Factors'!K12</f>
        <v>0.32500000000000001</v>
      </c>
      <c r="BU80" s="1189">
        <v>1.4</v>
      </c>
      <c r="BV80" s="1185">
        <f>'CZ07 Factors'!D12</f>
        <v>0.20900000000000002</v>
      </c>
      <c r="BW80" s="1186">
        <f>'CZ07 Factors'!E12</f>
        <v>0.25530000000000008</v>
      </c>
      <c r="BX80" s="1187">
        <f>'CZ07 Factors'!F12</f>
        <v>0.40320000000000006</v>
      </c>
      <c r="BY80" s="1186">
        <f>'CZ07 Factors'!G12</f>
        <v>0.34800000000000003</v>
      </c>
      <c r="BZ80" s="1187">
        <f>'CZ07 Factors'!H12</f>
        <v>0.252</v>
      </c>
      <c r="CA80" s="1186">
        <f>'CZ07 Factors'!I12</f>
        <v>0.34299999999999997</v>
      </c>
      <c r="CB80" s="1187">
        <f>'CZ07 Factors'!J12</f>
        <v>0.41249999999999998</v>
      </c>
      <c r="CC80" s="1188">
        <f>'CZ07 Factors'!K12</f>
        <v>0.28199999999999997</v>
      </c>
      <c r="CE80" s="1189">
        <v>1.4</v>
      </c>
      <c r="CF80" s="1185">
        <f>'CZ08 Factors'!D12</f>
        <v>0.252</v>
      </c>
      <c r="CG80" s="1186">
        <f>'CZ08 Factors'!E12</f>
        <v>0.34500000000000008</v>
      </c>
      <c r="CH80" s="1187">
        <f>'CZ08 Factors'!F12</f>
        <v>0.57600000000000007</v>
      </c>
      <c r="CI80" s="1186">
        <f>'CZ08 Factors'!G12</f>
        <v>0.42049999999999998</v>
      </c>
      <c r="CJ80" s="1187">
        <f>'CZ08 Factors'!H12</f>
        <v>0.22000000000000003</v>
      </c>
      <c r="CK80" s="1186">
        <f>'CZ08 Factors'!I12</f>
        <v>0.60899999999999999</v>
      </c>
      <c r="CL80" s="1187">
        <f>'CZ08 Factors'!J12</f>
        <v>1.0540000000000003</v>
      </c>
      <c r="CM80" s="1188">
        <f>'CZ08 Factors'!K12</f>
        <v>0.51600000000000001</v>
      </c>
    </row>
    <row r="81" spans="2:91" x14ac:dyDescent="0.25">
      <c r="B81" s="443">
        <f t="shared" si="6"/>
        <v>3360</v>
      </c>
      <c r="C81" s="1184">
        <v>1.6</v>
      </c>
      <c r="D81" s="1185">
        <f>'CZ01 Factors'!D13</f>
        <v>0.39</v>
      </c>
      <c r="E81" s="1186">
        <f>'CZ01 Factors'!E13</f>
        <v>0.35189999999999994</v>
      </c>
      <c r="F81" s="1187">
        <f>'CZ01 Factors'!F13</f>
        <v>0.36680000000000007</v>
      </c>
      <c r="G81" s="1186">
        <f>'CZ01 Factors'!G13</f>
        <v>0.33930000000000005</v>
      </c>
      <c r="H81" s="1187">
        <f>'CZ01 Factors'!H13</f>
        <v>0.23399999999999999</v>
      </c>
      <c r="I81" s="1186">
        <f>'CZ01 Factors'!I13</f>
        <v>0.377</v>
      </c>
      <c r="J81" s="1187">
        <f>'CZ01 Factors'!J13</f>
        <v>0.44200000000000006</v>
      </c>
      <c r="K81" s="1188">
        <f>'CZ01 Factors'!K13</f>
        <v>0.40950000000000009</v>
      </c>
      <c r="M81" s="1189">
        <v>1.6</v>
      </c>
      <c r="N81" s="1185">
        <f>'CZ02 Factors'!D13</f>
        <v>0.15579999999999999</v>
      </c>
      <c r="O81" s="1186">
        <f>'CZ02 Factors'!E13</f>
        <v>0.23574999999999999</v>
      </c>
      <c r="P81" s="1187">
        <f>'CZ02 Factors'!F13</f>
        <v>0.34440000000000004</v>
      </c>
      <c r="Q81" s="1186">
        <f>'CZ02 Factors'!G13</f>
        <v>0.2225</v>
      </c>
      <c r="R81" s="1187">
        <f>'CZ02 Factors'!H13</f>
        <v>0.10450000000000001</v>
      </c>
      <c r="S81" s="1186">
        <f>'CZ02 Factors'!I13</f>
        <v>0.25380000000000003</v>
      </c>
      <c r="T81" s="1187">
        <f>'CZ02 Factors'!J13</f>
        <v>0.4123</v>
      </c>
      <c r="U81" s="1188">
        <f>'CZ02 Factors'!K13</f>
        <v>0.23649999999999999</v>
      </c>
      <c r="W81" s="1189">
        <v>1.6</v>
      </c>
      <c r="X81" s="1185">
        <f>'CZ03 Factors'!D13</f>
        <v>0.28899999999999998</v>
      </c>
      <c r="Y81" s="1186">
        <f>'CZ03 Factors'!E13</f>
        <v>0.29000000000000004</v>
      </c>
      <c r="Z81" s="1187">
        <f>'CZ03 Factors'!F13</f>
        <v>0.39600000000000002</v>
      </c>
      <c r="AA81" s="1186">
        <f>'CZ03 Factors'!G13</f>
        <v>0.35099999999999998</v>
      </c>
      <c r="AB81" s="1187">
        <f>'CZ03 Factors'!H13</f>
        <v>0.22399999999999998</v>
      </c>
      <c r="AC81" s="1186">
        <f>'CZ03 Factors'!I13</f>
        <v>0.38749999999999996</v>
      </c>
      <c r="AD81" s="1187">
        <f>'CZ03 Factors'!J13</f>
        <v>0.38500000000000001</v>
      </c>
      <c r="AE81" s="1188">
        <f>'CZ03 Factors'!K13</f>
        <v>0.29399999999999998</v>
      </c>
      <c r="AG81" s="1189">
        <v>1.6</v>
      </c>
      <c r="AH81" s="1185">
        <f>'CZ04 Factors'!D13</f>
        <v>0.184</v>
      </c>
      <c r="AI81" s="1186">
        <f>'CZ04 Factors'!E13</f>
        <v>0.18999999999999997</v>
      </c>
      <c r="AJ81" s="1187">
        <f>'CZ04 Factors'!F13</f>
        <v>0.28499999999999998</v>
      </c>
      <c r="AK81" s="1186">
        <f>'CZ04 Factors'!G13</f>
        <v>0.19499999999999998</v>
      </c>
      <c r="AL81" s="1187">
        <f>'CZ04 Factors'!H13</f>
        <v>8.8000000000000009E-2</v>
      </c>
      <c r="AM81" s="1186">
        <f>'CZ04 Factors'!I13</f>
        <v>0.28999999999999998</v>
      </c>
      <c r="AN81" s="1187">
        <f>'CZ04 Factors'!J13</f>
        <v>0.47849999999999993</v>
      </c>
      <c r="AO81" s="1188">
        <f>'CZ04 Factors'!K13</f>
        <v>0.26</v>
      </c>
      <c r="AQ81" s="1189">
        <v>1.6</v>
      </c>
      <c r="AR81" s="1185">
        <f>'CZ05 Factors'!D13</f>
        <v>0.15000000000000002</v>
      </c>
      <c r="AS81" s="1186">
        <f>'CZ05 Factors'!E13</f>
        <v>0.15949999999999998</v>
      </c>
      <c r="AT81" s="1187">
        <f>'CZ05 Factors'!F13</f>
        <v>0.20299999999999999</v>
      </c>
      <c r="AU81" s="1186">
        <f>'CZ05 Factors'!G13</f>
        <v>0.16099999999999998</v>
      </c>
      <c r="AV81" s="1187">
        <f>'CZ05 Factors'!H13</f>
        <v>0.12599999999999997</v>
      </c>
      <c r="AW81" s="1186">
        <f>'CZ05 Factors'!I13</f>
        <v>0.27</v>
      </c>
      <c r="AX81" s="1187">
        <f>'CZ05 Factors'!J13</f>
        <v>0.39</v>
      </c>
      <c r="AY81" s="1188">
        <f>'CZ05 Factors'!K13</f>
        <v>0.21525000000000002</v>
      </c>
      <c r="AZ81" s="449"/>
      <c r="BA81" s="1189">
        <v>1.6</v>
      </c>
      <c r="BB81" s="1185">
        <f>'CZ05 BC Factors'!D13</f>
        <v>0.24</v>
      </c>
      <c r="BC81" s="1186">
        <f>'CZ05 BC Factors'!E13</f>
        <v>0.23099999999999996</v>
      </c>
      <c r="BD81" s="1187">
        <f>'CZ05 BC Factors'!F13</f>
        <v>0.26100000000000001</v>
      </c>
      <c r="BE81" s="1186">
        <f>'CZ05 BC Factors'!G13</f>
        <v>0.14374999999999999</v>
      </c>
      <c r="BF81" s="1187">
        <f>'CZ05 BC Factors'!H13</f>
        <v>6.2999999999999987E-2</v>
      </c>
      <c r="BG81" s="1186">
        <f>'CZ05 BC Factors'!I13</f>
        <v>0.20249999999999999</v>
      </c>
      <c r="BH81" s="1187">
        <f>'CZ05 BC Factors'!J13</f>
        <v>0.34499999999999997</v>
      </c>
      <c r="BI81" s="1188">
        <f>'CZ05 BC Factors'!K13</f>
        <v>0.24674999999999997</v>
      </c>
      <c r="BK81" s="1189">
        <v>1.6</v>
      </c>
      <c r="BL81" s="1185">
        <f>'CZ06 Factors'!D13</f>
        <v>0.19200000000000003</v>
      </c>
      <c r="BM81" s="1186">
        <f>'CZ06 Factors'!E13</f>
        <v>0.20900000000000005</v>
      </c>
      <c r="BN81" s="1187">
        <f>'CZ06 Factors'!F13</f>
        <v>0.28000000000000003</v>
      </c>
      <c r="BO81" s="1186">
        <f>'CZ06 Factors'!G13</f>
        <v>0.21599999999999997</v>
      </c>
      <c r="BP81" s="1187">
        <f>'CZ06 Factors'!H13</f>
        <v>0.14399999999999999</v>
      </c>
      <c r="BQ81" s="1186">
        <f>'CZ06 Factors'!I13</f>
        <v>0.32550000000000001</v>
      </c>
      <c r="BR81" s="1187">
        <f>'CZ06 Factors'!J13</f>
        <v>0.49399999999999999</v>
      </c>
      <c r="BS81" s="1188">
        <f>'CZ06 Factors'!K13</f>
        <v>0.26250000000000001</v>
      </c>
      <c r="BU81" s="1189">
        <v>1.6</v>
      </c>
      <c r="BV81" s="1185">
        <f>'CZ07 Factors'!D13</f>
        <v>0.19800000000000001</v>
      </c>
      <c r="BW81" s="1186">
        <f>'CZ07 Factors'!E13</f>
        <v>0.23310000000000003</v>
      </c>
      <c r="BX81" s="1187">
        <f>'CZ07 Factors'!F13</f>
        <v>0.3696000000000001</v>
      </c>
      <c r="BY81" s="1186">
        <f>'CZ07 Factors'!G13</f>
        <v>0.31320000000000003</v>
      </c>
      <c r="BZ81" s="1187">
        <f>'CZ07 Factors'!H13</f>
        <v>0.24</v>
      </c>
      <c r="CA81" s="1186">
        <f>'CZ07 Factors'!I13</f>
        <v>0.31849999999999995</v>
      </c>
      <c r="CB81" s="1187">
        <f>'CZ07 Factors'!J13</f>
        <v>0.38749999999999996</v>
      </c>
      <c r="CC81" s="1188">
        <f>'CZ07 Factors'!K13</f>
        <v>0.24674999999999997</v>
      </c>
      <c r="CE81" s="1189">
        <v>1.6</v>
      </c>
      <c r="CF81" s="1185">
        <f>'CZ08 Factors'!D13</f>
        <v>0.24000000000000002</v>
      </c>
      <c r="CG81" s="1186">
        <f>'CZ08 Factors'!E13</f>
        <v>0.315</v>
      </c>
      <c r="CH81" s="1187">
        <f>'CZ08 Factors'!F13</f>
        <v>0.54</v>
      </c>
      <c r="CI81" s="1186">
        <f>'CZ08 Factors'!G13</f>
        <v>0.36250000000000004</v>
      </c>
      <c r="CJ81" s="1187">
        <f>'CZ08 Factors'!H13</f>
        <v>0.19799999999999998</v>
      </c>
      <c r="CK81" s="1186">
        <f>'CZ08 Factors'!I13</f>
        <v>0.52500000000000002</v>
      </c>
      <c r="CL81" s="1187">
        <f>'CZ08 Factors'!J13</f>
        <v>0.96099999999999997</v>
      </c>
      <c r="CM81" s="1188">
        <f>'CZ08 Factors'!K13</f>
        <v>0.47300000000000009</v>
      </c>
    </row>
    <row r="82" spans="2:91" x14ac:dyDescent="0.25">
      <c r="B82" s="443">
        <f t="shared" si="6"/>
        <v>3780</v>
      </c>
      <c r="C82" s="1184">
        <v>1.8</v>
      </c>
      <c r="D82" s="1185">
        <f>'CZ01 Factors'!D14</f>
        <v>0.33800000000000002</v>
      </c>
      <c r="E82" s="1186">
        <f>'CZ01 Factors'!E14</f>
        <v>0.35189999999999994</v>
      </c>
      <c r="F82" s="1187">
        <f>'CZ01 Factors'!F14</f>
        <v>0.35370000000000007</v>
      </c>
      <c r="G82" s="1186">
        <f>'CZ01 Factors'!G14</f>
        <v>0.28710000000000002</v>
      </c>
      <c r="H82" s="1187">
        <f>'CZ01 Factors'!H14</f>
        <v>0.221</v>
      </c>
      <c r="I82" s="1186">
        <f>'CZ01 Factors'!I14</f>
        <v>0.36400000000000005</v>
      </c>
      <c r="J82" s="1187">
        <f>'CZ01 Factors'!J14</f>
        <v>0.39</v>
      </c>
      <c r="K82" s="1188">
        <f>'CZ01 Factors'!K14</f>
        <v>0.35100000000000003</v>
      </c>
      <c r="M82" s="1189">
        <v>1.8</v>
      </c>
      <c r="N82" s="1185">
        <f>'CZ02 Factors'!D14</f>
        <v>0.1394</v>
      </c>
      <c r="O82" s="1186">
        <f>'CZ02 Factors'!E14</f>
        <v>0.20499999999999999</v>
      </c>
      <c r="P82" s="1187">
        <f>'CZ02 Factors'!F14</f>
        <v>0.29519999999999996</v>
      </c>
      <c r="Q82" s="1186">
        <f>'CZ02 Factors'!G14</f>
        <v>0.19580000000000003</v>
      </c>
      <c r="R82" s="1187">
        <f>'CZ02 Factors'!H14</f>
        <v>9.3500000000000014E-2</v>
      </c>
      <c r="S82" s="1186">
        <f>'CZ02 Factors'!I14</f>
        <v>0.24440000000000003</v>
      </c>
      <c r="T82" s="1187">
        <f>'CZ02 Factors'!J14</f>
        <v>0.37240000000000006</v>
      </c>
      <c r="U82" s="1188">
        <f>'CZ02 Factors'!K14</f>
        <v>0.21500000000000002</v>
      </c>
      <c r="W82" s="1189">
        <v>1.8</v>
      </c>
      <c r="X82" s="1185">
        <f>'CZ03 Factors'!D14</f>
        <v>0.255</v>
      </c>
      <c r="Y82" s="1186">
        <f>'CZ03 Factors'!E14</f>
        <v>0.27549999999999997</v>
      </c>
      <c r="Z82" s="1187">
        <f>'CZ03 Factors'!F14</f>
        <v>0.36</v>
      </c>
      <c r="AA82" s="1186">
        <f>'CZ03 Factors'!G14</f>
        <v>0.312</v>
      </c>
      <c r="AB82" s="1187">
        <f>'CZ03 Factors'!H14</f>
        <v>0.22399999999999998</v>
      </c>
      <c r="AC82" s="1186">
        <f>'CZ03 Factors'!I14</f>
        <v>0.35</v>
      </c>
      <c r="AD82" s="1187">
        <f>'CZ03 Factors'!J14</f>
        <v>0.36300000000000004</v>
      </c>
      <c r="AE82" s="1188">
        <f>'CZ03 Factors'!K14</f>
        <v>0.26599999999999996</v>
      </c>
      <c r="AG82" s="1189">
        <v>1.8</v>
      </c>
      <c r="AH82" s="1185">
        <f>'CZ04 Factors'!D14</f>
        <v>0.161</v>
      </c>
      <c r="AI82" s="1186">
        <f>'CZ04 Factors'!E14</f>
        <v>0.17099999999999996</v>
      </c>
      <c r="AJ82" s="1187">
        <f>'CZ04 Factors'!F14</f>
        <v>0.24</v>
      </c>
      <c r="AK82" s="1186">
        <f>'CZ04 Factors'!G14</f>
        <v>0.17550000000000002</v>
      </c>
      <c r="AL82" s="1187">
        <f>'CZ04 Factors'!H14</f>
        <v>7.7000000000000013E-2</v>
      </c>
      <c r="AM82" s="1186">
        <f>'CZ04 Factors'!I14</f>
        <v>0.24999999999999997</v>
      </c>
      <c r="AN82" s="1187">
        <f>'CZ04 Factors'!J14</f>
        <v>0.46399999999999997</v>
      </c>
      <c r="AO82" s="1188">
        <f>'CZ04 Factors'!K14</f>
        <v>0.22099999999999997</v>
      </c>
      <c r="AQ82" s="1189">
        <v>1.8</v>
      </c>
      <c r="AR82" s="1185">
        <f>'CZ05 Factors'!D14</f>
        <v>0.13500000000000001</v>
      </c>
      <c r="AS82" s="1186">
        <f>'CZ05 Factors'!E14</f>
        <v>0.14500000000000002</v>
      </c>
      <c r="AT82" s="1187">
        <f>'CZ05 Factors'!F14</f>
        <v>0.17499999999999999</v>
      </c>
      <c r="AU82" s="1186">
        <f>'CZ05 Factors'!G14</f>
        <v>0.14699999999999999</v>
      </c>
      <c r="AV82" s="1187">
        <f>'CZ05 Factors'!H14</f>
        <v>0.11899999999999999</v>
      </c>
      <c r="AW82" s="1186">
        <f>'CZ05 Factors'!I14</f>
        <v>0.23</v>
      </c>
      <c r="AX82" s="1187">
        <f>'CZ05 Factors'!J14</f>
        <v>0.35100000000000003</v>
      </c>
      <c r="AY82" s="1188">
        <f>'CZ05 Factors'!K14</f>
        <v>0.20500000000000002</v>
      </c>
      <c r="AZ82" s="449"/>
      <c r="BA82" s="1189">
        <v>1.8</v>
      </c>
      <c r="BB82" s="1185">
        <f>'CZ05 BC Factors'!D14</f>
        <v>0.21599999999999997</v>
      </c>
      <c r="BC82" s="1186">
        <f>'CZ05 BC Factors'!E14</f>
        <v>0.21</v>
      </c>
      <c r="BD82" s="1187">
        <f>'CZ05 BC Factors'!F14</f>
        <v>0.22500000000000001</v>
      </c>
      <c r="BE82" s="1186">
        <f>'CZ05 BC Factors'!G14</f>
        <v>0.13125000000000001</v>
      </c>
      <c r="BF82" s="1187">
        <f>'CZ05 BC Factors'!H14</f>
        <v>5.9499999999999997E-2</v>
      </c>
      <c r="BG82" s="1186">
        <f>'CZ05 BC Factors'!I14</f>
        <v>0.17249999999999999</v>
      </c>
      <c r="BH82" s="1187">
        <f>'CZ05 BC Factors'!J14</f>
        <v>0.3105</v>
      </c>
      <c r="BI82" s="1188">
        <f>'CZ05 BC Factors'!K14</f>
        <v>0.23499999999999999</v>
      </c>
      <c r="BK82" s="1189">
        <v>1.8</v>
      </c>
      <c r="BL82" s="1185">
        <f>'CZ06 Factors'!D14</f>
        <v>0.18</v>
      </c>
      <c r="BM82" s="1186">
        <f>'CZ06 Factors'!E14</f>
        <v>0.19800000000000001</v>
      </c>
      <c r="BN82" s="1187">
        <f>'CZ06 Factors'!F14</f>
        <v>0.26</v>
      </c>
      <c r="BO82" s="1186">
        <f>'CZ06 Factors'!G14</f>
        <v>0.19800000000000001</v>
      </c>
      <c r="BP82" s="1187">
        <f>'CZ06 Factors'!H14</f>
        <v>0.13600000000000001</v>
      </c>
      <c r="BQ82" s="1186">
        <f>'CZ06 Factors'!I14</f>
        <v>0.29399999999999998</v>
      </c>
      <c r="BR82" s="1187">
        <f>'CZ06 Factors'!J14</f>
        <v>0.442</v>
      </c>
      <c r="BS82" s="1188">
        <f>'CZ06 Factors'!K14</f>
        <v>0.25000000000000006</v>
      </c>
      <c r="BU82" s="1189">
        <v>1.8</v>
      </c>
      <c r="BV82" s="1185">
        <f>'CZ07 Factors'!D14</f>
        <v>0.18700000000000003</v>
      </c>
      <c r="BW82" s="1186">
        <f>'CZ07 Factors'!E14</f>
        <v>0.22200000000000009</v>
      </c>
      <c r="BX82" s="1187">
        <f>'CZ07 Factors'!F14</f>
        <v>0.3136000000000001</v>
      </c>
      <c r="BY82" s="1186">
        <f>'CZ07 Factors'!G14</f>
        <v>0.27839999999999998</v>
      </c>
      <c r="BZ82" s="1187">
        <f>'CZ07 Factors'!H14</f>
        <v>0.216</v>
      </c>
      <c r="CA82" s="1186">
        <f>'CZ07 Factors'!I14</f>
        <v>0.29399999999999998</v>
      </c>
      <c r="CB82" s="1187">
        <f>'CZ07 Factors'!J14</f>
        <v>0.33750000000000002</v>
      </c>
      <c r="CC82" s="1188">
        <f>'CZ07 Factors'!K14</f>
        <v>0.22325</v>
      </c>
      <c r="CE82" s="1189">
        <v>1.8</v>
      </c>
      <c r="CF82" s="1185">
        <f>'CZ08 Factors'!D14</f>
        <v>0.22800000000000001</v>
      </c>
      <c r="CG82" s="1186">
        <f>'CZ08 Factors'!E14</f>
        <v>0.3000000000000001</v>
      </c>
      <c r="CH82" s="1187">
        <f>'CZ08 Factors'!F14</f>
        <v>0.45000000000000007</v>
      </c>
      <c r="CI82" s="1186">
        <f>'CZ08 Factors'!G14</f>
        <v>0.31900000000000006</v>
      </c>
      <c r="CJ82" s="1187">
        <f>'CZ08 Factors'!H14</f>
        <v>0.18700000000000003</v>
      </c>
      <c r="CK82" s="1186">
        <f>'CZ08 Factors'!I14</f>
        <v>0.48300000000000004</v>
      </c>
      <c r="CL82" s="1187">
        <f>'CZ08 Factors'!J14</f>
        <v>0.8680000000000001</v>
      </c>
      <c r="CM82" s="1188">
        <f>'CZ08 Factors'!K14</f>
        <v>0.43000000000000005</v>
      </c>
    </row>
    <row r="83" spans="2:91" ht="13" x14ac:dyDescent="0.3">
      <c r="B83" s="443">
        <f t="shared" si="6"/>
        <v>4200</v>
      </c>
      <c r="C83" s="1196">
        <v>2</v>
      </c>
      <c r="D83" s="1197">
        <f>'CZ01 Factors'!D15</f>
        <v>0.312</v>
      </c>
      <c r="E83" s="1198">
        <f>'CZ01 Factors'!E15</f>
        <v>0.33235000000000003</v>
      </c>
      <c r="F83" s="1199">
        <f>'CZ01 Factors'!F15</f>
        <v>0.30130000000000007</v>
      </c>
      <c r="G83" s="1198">
        <f>'CZ01 Factors'!G15</f>
        <v>0.27405000000000002</v>
      </c>
      <c r="H83" s="1199">
        <f>'CZ01 Factors'!H15</f>
        <v>0.20799999999999999</v>
      </c>
      <c r="I83" s="1198">
        <f>'CZ01 Factors'!I15</f>
        <v>0.312</v>
      </c>
      <c r="J83" s="1199">
        <f>'CZ01 Factors'!J15</f>
        <v>0.36400000000000005</v>
      </c>
      <c r="K83" s="1200">
        <f>'CZ01 Factors'!K15</f>
        <v>0.33150000000000007</v>
      </c>
      <c r="M83" s="1201">
        <v>2</v>
      </c>
      <c r="N83" s="1197">
        <f>'CZ02 Factors'!D15</f>
        <v>0.1394</v>
      </c>
      <c r="O83" s="1198">
        <f>'CZ02 Factors'!E15</f>
        <v>0.19474999999999998</v>
      </c>
      <c r="P83" s="1199">
        <f>'CZ02 Factors'!F15</f>
        <v>0.27060000000000001</v>
      </c>
      <c r="Q83" s="1198">
        <f>'CZ02 Factors'!G15</f>
        <v>0.18689999999999998</v>
      </c>
      <c r="R83" s="1199">
        <f>'CZ02 Factors'!H15</f>
        <v>8.8000000000000009E-2</v>
      </c>
      <c r="S83" s="1198">
        <f>'CZ02 Factors'!I15</f>
        <v>0.20680000000000004</v>
      </c>
      <c r="T83" s="1199">
        <f>'CZ02 Factors'!J15</f>
        <v>0.35910000000000003</v>
      </c>
      <c r="U83" s="1200">
        <f>'CZ02 Factors'!K15</f>
        <v>0.20425000000000001</v>
      </c>
      <c r="W83" s="1201">
        <v>2</v>
      </c>
      <c r="X83" s="1197">
        <f>'CZ03 Factors'!D15</f>
        <v>0.255</v>
      </c>
      <c r="Y83" s="1198">
        <f>'CZ03 Factors'!E15</f>
        <v>0.26100000000000001</v>
      </c>
      <c r="Z83" s="1199">
        <f>'CZ03 Factors'!F15</f>
        <v>0.30000000000000004</v>
      </c>
      <c r="AA83" s="1198">
        <f>'CZ03 Factors'!G15</f>
        <v>0.312</v>
      </c>
      <c r="AB83" s="1199">
        <f>'CZ03 Factors'!H15</f>
        <v>0.20999999999999996</v>
      </c>
      <c r="AC83" s="1198">
        <f>'CZ03 Factors'!I15</f>
        <v>0.29999999999999993</v>
      </c>
      <c r="AD83" s="1199">
        <f>'CZ03 Factors'!J15</f>
        <v>0.29700000000000004</v>
      </c>
      <c r="AE83" s="1200">
        <f>'CZ03 Factors'!K15</f>
        <v>0.23799999999999999</v>
      </c>
      <c r="AG83" s="1201">
        <v>2</v>
      </c>
      <c r="AH83" s="1197">
        <f>'CZ04 Factors'!D15</f>
        <v>0.14950000000000002</v>
      </c>
      <c r="AI83" s="1198">
        <f>'CZ04 Factors'!E15</f>
        <v>0.1615</v>
      </c>
      <c r="AJ83" s="1199">
        <f>'CZ04 Factors'!F15</f>
        <v>0.21</v>
      </c>
      <c r="AK83" s="1198">
        <f>'CZ04 Factors'!G15</f>
        <v>0.14949999999999999</v>
      </c>
      <c r="AL83" s="1199">
        <f>'CZ04 Factors'!H15</f>
        <v>7.7000000000000013E-2</v>
      </c>
      <c r="AM83" s="1198">
        <f>'CZ04 Factors'!I15</f>
        <v>0.24</v>
      </c>
      <c r="AN83" s="1199">
        <f>'CZ04 Factors'!J15</f>
        <v>0.377</v>
      </c>
      <c r="AO83" s="1200">
        <f>'CZ04 Factors'!K15</f>
        <v>0.20799999999999999</v>
      </c>
      <c r="AQ83" s="1201">
        <v>2</v>
      </c>
      <c r="AR83" s="1197">
        <f>'CZ05 Factors'!D15</f>
        <v>0.1275</v>
      </c>
      <c r="AS83" s="1198">
        <f>'CZ05 Factors'!E15</f>
        <v>0.12325000000000001</v>
      </c>
      <c r="AT83" s="1199">
        <f>'CZ05 Factors'!F15</f>
        <v>0.16800000000000001</v>
      </c>
      <c r="AU83" s="1198">
        <f>'CZ05 Factors'!G15</f>
        <v>0.14699999999999999</v>
      </c>
      <c r="AV83" s="1199">
        <f>'CZ05 Factors'!H15</f>
        <v>0.11199999999999999</v>
      </c>
      <c r="AW83" s="1198">
        <f>'CZ05 Factors'!I15</f>
        <v>0.21</v>
      </c>
      <c r="AX83" s="1199">
        <f>'CZ05 Factors'!J15</f>
        <v>0.32500000000000001</v>
      </c>
      <c r="AY83" s="1200">
        <f>'CZ05 Factors'!K15</f>
        <v>0.19475000000000003</v>
      </c>
      <c r="AZ83" s="448"/>
      <c r="BA83" s="1201">
        <v>2</v>
      </c>
      <c r="BB83" s="1197">
        <f>'CZ05 BC Factors'!D15</f>
        <v>0.20399999999999999</v>
      </c>
      <c r="BC83" s="1198">
        <f>'CZ05 BC Factors'!E15</f>
        <v>0.17849999999999999</v>
      </c>
      <c r="BD83" s="1199">
        <f>'CZ05 BC Factors'!F15</f>
        <v>0.216</v>
      </c>
      <c r="BE83" s="1198">
        <f>'CZ05 BC Factors'!G15</f>
        <v>0.13125000000000001</v>
      </c>
      <c r="BF83" s="1199">
        <f>'CZ05 BC Factors'!H15</f>
        <v>5.5999999999999994E-2</v>
      </c>
      <c r="BG83" s="1198">
        <f>'CZ05 BC Factors'!I15</f>
        <v>0.15749999999999997</v>
      </c>
      <c r="BH83" s="1199">
        <f>'CZ05 BC Factors'!J15</f>
        <v>0.28749999999999998</v>
      </c>
      <c r="BI83" s="1200">
        <f>'CZ05 BC Factors'!K15</f>
        <v>0.22325</v>
      </c>
      <c r="BK83" s="1201">
        <v>2</v>
      </c>
      <c r="BL83" s="1197">
        <f>'CZ06 Factors'!D15</f>
        <v>0.16800000000000001</v>
      </c>
      <c r="BM83" s="1198">
        <f>'CZ06 Factors'!E15</f>
        <v>0.18700000000000003</v>
      </c>
      <c r="BN83" s="1199">
        <f>'CZ06 Factors'!F15</f>
        <v>0.24</v>
      </c>
      <c r="BO83" s="1198">
        <f>'CZ06 Factors'!G15</f>
        <v>0.18899999999999997</v>
      </c>
      <c r="BP83" s="1199">
        <f>'CZ06 Factors'!H15</f>
        <v>0.13600000000000001</v>
      </c>
      <c r="BQ83" s="1198">
        <f>'CZ06 Factors'!I15</f>
        <v>0.27300000000000002</v>
      </c>
      <c r="BR83" s="1199">
        <f>'CZ06 Factors'!J15</f>
        <v>0.40300000000000002</v>
      </c>
      <c r="BS83" s="1200">
        <f>'CZ06 Factors'!K15</f>
        <v>0.21250000000000002</v>
      </c>
      <c r="BU83" s="1201">
        <v>2</v>
      </c>
      <c r="BV83" s="1197">
        <f>'CZ07 Factors'!D15</f>
        <v>0.17600000000000002</v>
      </c>
      <c r="BW83" s="1198">
        <f>'CZ07 Factors'!E15</f>
        <v>0.21090000000000003</v>
      </c>
      <c r="BX83" s="1199">
        <f>'CZ07 Factors'!F15</f>
        <v>0.30240000000000011</v>
      </c>
      <c r="BY83" s="1198">
        <f>'CZ07 Factors'!G15</f>
        <v>0.26680000000000004</v>
      </c>
      <c r="BZ83" s="1199">
        <f>'CZ07 Factors'!H15</f>
        <v>0.216</v>
      </c>
      <c r="CA83" s="1198">
        <f>'CZ07 Factors'!I15</f>
        <v>0.25724999999999998</v>
      </c>
      <c r="CB83" s="1199">
        <f>'CZ07 Factors'!J15</f>
        <v>0.31249999999999994</v>
      </c>
      <c r="CC83" s="1200">
        <f>'CZ07 Factors'!K15</f>
        <v>0.21149999999999999</v>
      </c>
      <c r="CE83" s="1201">
        <v>2</v>
      </c>
      <c r="CF83" s="1197">
        <f>'CZ08 Factors'!D15</f>
        <v>0.192</v>
      </c>
      <c r="CG83" s="1198">
        <f>'CZ08 Factors'!E15</f>
        <v>0.27</v>
      </c>
      <c r="CH83" s="1199">
        <f>'CZ08 Factors'!F15</f>
        <v>0.41400000000000003</v>
      </c>
      <c r="CI83" s="1198">
        <f>'CZ08 Factors'!G15</f>
        <v>0.30450000000000005</v>
      </c>
      <c r="CJ83" s="1199">
        <f>'CZ08 Factors'!H15</f>
        <v>0.17600000000000002</v>
      </c>
      <c r="CK83" s="1198">
        <f>'CZ08 Factors'!I15</f>
        <v>0.46200000000000002</v>
      </c>
      <c r="CL83" s="1199">
        <f>'CZ08 Factors'!J15</f>
        <v>0.74399999999999999</v>
      </c>
      <c r="CM83" s="1200">
        <f>'CZ08 Factors'!K15</f>
        <v>0.40850000000000009</v>
      </c>
    </row>
    <row r="84" spans="2:91" x14ac:dyDescent="0.25">
      <c r="C84" s="425" t="s">
        <v>1286</v>
      </c>
    </row>
    <row r="86" spans="2:91" ht="13" x14ac:dyDescent="0.3">
      <c r="B86" s="450">
        <v>2100</v>
      </c>
      <c r="C86" s="168" t="s">
        <v>1287</v>
      </c>
    </row>
    <row r="87" spans="2:91" ht="13" x14ac:dyDescent="0.3">
      <c r="B87" s="389" t="s">
        <v>1288</v>
      </c>
    </row>
    <row r="88" spans="2:91" x14ac:dyDescent="0.25">
      <c r="B88" s="451"/>
      <c r="C88" s="451"/>
      <c r="D88" s="451"/>
      <c r="E88" s="451"/>
      <c r="F88" s="451"/>
      <c r="G88" s="451"/>
      <c r="H88" s="451"/>
      <c r="I88" s="451"/>
      <c r="J88" s="451"/>
      <c r="K88" s="451"/>
      <c r="L88" s="451"/>
      <c r="M88" s="451"/>
      <c r="N88" s="451"/>
      <c r="O88" s="451"/>
      <c r="P88" s="451"/>
      <c r="Q88" s="451"/>
      <c r="R88" s="451"/>
      <c r="S88" s="451"/>
      <c r="T88" s="451"/>
      <c r="U88" s="451"/>
      <c r="V88" s="451"/>
      <c r="W88" s="451"/>
      <c r="X88" s="451"/>
      <c r="Y88" s="451"/>
      <c r="Z88" s="451"/>
      <c r="AA88" s="451"/>
      <c r="AB88" s="451"/>
      <c r="AC88" s="451"/>
      <c r="AD88" s="451"/>
      <c r="AE88" s="451"/>
      <c r="AF88" s="451"/>
      <c r="AG88" s="451"/>
      <c r="AH88" s="451"/>
      <c r="AI88" s="451"/>
      <c r="AJ88" s="451"/>
      <c r="AK88" s="451"/>
      <c r="AL88" s="451"/>
      <c r="AM88" s="451"/>
      <c r="AN88" s="451"/>
      <c r="AO88" s="451"/>
      <c r="AP88" s="451"/>
      <c r="AQ88" s="451"/>
      <c r="AR88" s="451"/>
      <c r="AS88" s="451"/>
      <c r="AT88" s="451"/>
      <c r="AU88" s="451"/>
      <c r="AV88" s="451"/>
      <c r="AW88" s="451"/>
      <c r="AX88" s="451"/>
      <c r="AY88" s="451"/>
      <c r="AZ88" s="451"/>
      <c r="BA88" s="451"/>
      <c r="BB88" s="451"/>
      <c r="BC88" s="451"/>
      <c r="BD88" s="451"/>
      <c r="BE88" s="451"/>
      <c r="BF88" s="451"/>
      <c r="BG88" s="451"/>
      <c r="BH88" s="451"/>
      <c r="BI88" s="451"/>
      <c r="BJ88" s="451"/>
      <c r="BK88" s="451"/>
      <c r="BL88" s="451"/>
      <c r="BM88" s="451"/>
      <c r="BN88" s="451"/>
      <c r="BO88" s="451"/>
      <c r="BP88" s="451"/>
      <c r="BQ88" s="451"/>
      <c r="BR88" s="451"/>
      <c r="BS88" s="451"/>
      <c r="BT88" s="451"/>
      <c r="BU88" s="451"/>
      <c r="BV88" s="451"/>
      <c r="BW88" s="451"/>
      <c r="BX88" s="451"/>
      <c r="BY88" s="451"/>
      <c r="BZ88" s="451"/>
      <c r="CA88" s="451"/>
      <c r="CB88" s="451"/>
      <c r="CC88" s="451"/>
      <c r="CD88" s="451"/>
      <c r="CE88" s="451"/>
      <c r="CF88" s="451"/>
      <c r="CG88" s="451"/>
      <c r="CH88" s="451"/>
      <c r="CI88" s="451"/>
      <c r="CJ88" s="451"/>
      <c r="CK88" s="451"/>
      <c r="CL88" s="451"/>
      <c r="CM88" s="451"/>
    </row>
    <row r="89" spans="2:91" ht="15.5" x14ac:dyDescent="0.35">
      <c r="B89" s="437" t="s">
        <v>1289</v>
      </c>
      <c r="C89" s="452" t="s">
        <v>1290</v>
      </c>
    </row>
    <row r="90" spans="2:91" ht="13" x14ac:dyDescent="0.3">
      <c r="C90" s="389" t="s">
        <v>1291</v>
      </c>
    </row>
    <row r="92" spans="2:91" ht="13" x14ac:dyDescent="0.3">
      <c r="C92" s="390" t="s">
        <v>1266</v>
      </c>
      <c r="M92" s="390" t="s">
        <v>1267</v>
      </c>
      <c r="W92" s="390" t="s">
        <v>1268</v>
      </c>
      <c r="AG92" s="390" t="s">
        <v>1269</v>
      </c>
      <c r="AQ92" s="390" t="s">
        <v>1270</v>
      </c>
      <c r="BA92" s="390" t="s">
        <v>1270</v>
      </c>
      <c r="BK92" s="390" t="s">
        <v>1271</v>
      </c>
      <c r="BU92" s="390" t="s">
        <v>1272</v>
      </c>
      <c r="CE92" s="390" t="s">
        <v>1273</v>
      </c>
    </row>
    <row r="93" spans="2:91" x14ac:dyDescent="0.25">
      <c r="C93" s="1407"/>
      <c r="D93" s="1408" t="s">
        <v>1230</v>
      </c>
      <c r="E93" s="1409" t="s">
        <v>1231</v>
      </c>
      <c r="F93" s="1409" t="s">
        <v>1232</v>
      </c>
      <c r="G93" s="1409" t="s">
        <v>1233</v>
      </c>
      <c r="H93" s="1409" t="s">
        <v>1234</v>
      </c>
      <c r="I93" s="1409" t="s">
        <v>1235</v>
      </c>
      <c r="J93" s="1409" t="s">
        <v>1236</v>
      </c>
      <c r="K93" s="1410" t="s">
        <v>1237</v>
      </c>
      <c r="M93" s="1407"/>
      <c r="N93" s="1408" t="s">
        <v>1230</v>
      </c>
      <c r="O93" s="1409" t="s">
        <v>1231</v>
      </c>
      <c r="P93" s="1409" t="s">
        <v>1232</v>
      </c>
      <c r="Q93" s="1409" t="s">
        <v>1233</v>
      </c>
      <c r="R93" s="1409" t="s">
        <v>1234</v>
      </c>
      <c r="S93" s="1409" t="s">
        <v>1235</v>
      </c>
      <c r="T93" s="1409" t="s">
        <v>1236</v>
      </c>
      <c r="U93" s="1410" t="s">
        <v>1237</v>
      </c>
      <c r="W93" s="1407"/>
      <c r="X93" s="1408" t="s">
        <v>1230</v>
      </c>
      <c r="Y93" s="1409" t="s">
        <v>1231</v>
      </c>
      <c r="Z93" s="1409" t="s">
        <v>1232</v>
      </c>
      <c r="AA93" s="1409" t="s">
        <v>1233</v>
      </c>
      <c r="AB93" s="1409" t="s">
        <v>1234</v>
      </c>
      <c r="AC93" s="1409" t="s">
        <v>1235</v>
      </c>
      <c r="AD93" s="1409" t="s">
        <v>1236</v>
      </c>
      <c r="AE93" s="1410" t="s">
        <v>1237</v>
      </c>
      <c r="AG93" s="1407"/>
      <c r="AH93" s="1408" t="s">
        <v>1230</v>
      </c>
      <c r="AI93" s="1409" t="s">
        <v>1231</v>
      </c>
      <c r="AJ93" s="1409" t="s">
        <v>1232</v>
      </c>
      <c r="AK93" s="1409" t="s">
        <v>1233</v>
      </c>
      <c r="AL93" s="1409" t="s">
        <v>1234</v>
      </c>
      <c r="AM93" s="1409" t="s">
        <v>1235</v>
      </c>
      <c r="AN93" s="1409" t="s">
        <v>1236</v>
      </c>
      <c r="AO93" s="1410" t="s">
        <v>1237</v>
      </c>
      <c r="AQ93" s="1407"/>
      <c r="AR93" s="1408" t="s">
        <v>1230</v>
      </c>
      <c r="AS93" s="1409" t="s">
        <v>1231</v>
      </c>
      <c r="AT93" s="1409" t="s">
        <v>1232</v>
      </c>
      <c r="AU93" s="1409" t="s">
        <v>1233</v>
      </c>
      <c r="AV93" s="1409" t="s">
        <v>1234</v>
      </c>
      <c r="AW93" s="1409" t="s">
        <v>1235</v>
      </c>
      <c r="AX93" s="1409" t="s">
        <v>1236</v>
      </c>
      <c r="AY93" s="1410" t="s">
        <v>1237</v>
      </c>
      <c r="AZ93" s="391"/>
      <c r="BA93" s="1407"/>
      <c r="BB93" s="1408" t="s">
        <v>1230</v>
      </c>
      <c r="BC93" s="1409" t="s">
        <v>1231</v>
      </c>
      <c r="BD93" s="1409" t="s">
        <v>1232</v>
      </c>
      <c r="BE93" s="1409" t="s">
        <v>1233</v>
      </c>
      <c r="BF93" s="1409" t="s">
        <v>1234</v>
      </c>
      <c r="BG93" s="1409" t="s">
        <v>1235</v>
      </c>
      <c r="BH93" s="1409" t="s">
        <v>1236</v>
      </c>
      <c r="BI93" s="1410" t="s">
        <v>1237</v>
      </c>
      <c r="BK93" s="1407"/>
      <c r="BL93" s="1408" t="s">
        <v>1230</v>
      </c>
      <c r="BM93" s="1409" t="s">
        <v>1231</v>
      </c>
      <c r="BN93" s="1409" t="s">
        <v>1232</v>
      </c>
      <c r="BO93" s="1409" t="s">
        <v>1233</v>
      </c>
      <c r="BP93" s="1409" t="s">
        <v>1234</v>
      </c>
      <c r="BQ93" s="1409" t="s">
        <v>1235</v>
      </c>
      <c r="BR93" s="1409" t="s">
        <v>1236</v>
      </c>
      <c r="BS93" s="1410" t="s">
        <v>1237</v>
      </c>
      <c r="BU93" s="1407"/>
      <c r="BV93" s="1408" t="s">
        <v>1230</v>
      </c>
      <c r="BW93" s="1409" t="s">
        <v>1231</v>
      </c>
      <c r="BX93" s="1409" t="s">
        <v>1232</v>
      </c>
      <c r="BY93" s="1409" t="s">
        <v>1233</v>
      </c>
      <c r="BZ93" s="1409" t="s">
        <v>1234</v>
      </c>
      <c r="CA93" s="1409" t="s">
        <v>1235</v>
      </c>
      <c r="CB93" s="1409" t="s">
        <v>1236</v>
      </c>
      <c r="CC93" s="1410" t="s">
        <v>1237</v>
      </c>
      <c r="CE93" s="1407"/>
      <c r="CF93" s="1408" t="s">
        <v>1230</v>
      </c>
      <c r="CG93" s="1409" t="s">
        <v>1231</v>
      </c>
      <c r="CH93" s="1409" t="s">
        <v>1232</v>
      </c>
      <c r="CI93" s="1409" t="s">
        <v>1233</v>
      </c>
      <c r="CJ93" s="1409" t="s">
        <v>1234</v>
      </c>
      <c r="CK93" s="1409" t="s">
        <v>1235</v>
      </c>
      <c r="CL93" s="1409" t="s">
        <v>1236</v>
      </c>
      <c r="CM93" s="1410" t="s">
        <v>1237</v>
      </c>
    </row>
    <row r="94" spans="2:91" x14ac:dyDescent="0.25">
      <c r="C94" s="441" t="s">
        <v>1285</v>
      </c>
      <c r="D94" s="1180">
        <v>0</v>
      </c>
      <c r="E94" s="1181">
        <v>45</v>
      </c>
      <c r="F94" s="1182">
        <v>90</v>
      </c>
      <c r="G94" s="1181">
        <v>135</v>
      </c>
      <c r="H94" s="1182">
        <v>180</v>
      </c>
      <c r="I94" s="1181">
        <v>225</v>
      </c>
      <c r="J94" s="1182">
        <v>270</v>
      </c>
      <c r="K94" s="1183">
        <v>315</v>
      </c>
      <c r="M94" s="441" t="s">
        <v>1285</v>
      </c>
      <c r="N94" s="1180">
        <v>0</v>
      </c>
      <c r="O94" s="1181">
        <v>45</v>
      </c>
      <c r="P94" s="1182">
        <v>90</v>
      </c>
      <c r="Q94" s="1181">
        <v>135</v>
      </c>
      <c r="R94" s="1182">
        <v>180</v>
      </c>
      <c r="S94" s="1181">
        <v>225</v>
      </c>
      <c r="T94" s="1182">
        <v>270</v>
      </c>
      <c r="U94" s="1183">
        <v>315</v>
      </c>
      <c r="W94" s="441" t="s">
        <v>1285</v>
      </c>
      <c r="X94" s="1180">
        <v>0</v>
      </c>
      <c r="Y94" s="1181">
        <v>45</v>
      </c>
      <c r="Z94" s="1182">
        <v>90</v>
      </c>
      <c r="AA94" s="1181">
        <v>135</v>
      </c>
      <c r="AB94" s="1182">
        <v>180</v>
      </c>
      <c r="AC94" s="1181">
        <v>225</v>
      </c>
      <c r="AD94" s="1182">
        <v>270</v>
      </c>
      <c r="AE94" s="1183">
        <v>315</v>
      </c>
      <c r="AG94" s="441" t="s">
        <v>1285</v>
      </c>
      <c r="AH94" s="1180">
        <v>0</v>
      </c>
      <c r="AI94" s="1181">
        <v>45</v>
      </c>
      <c r="AJ94" s="1182">
        <v>90</v>
      </c>
      <c r="AK94" s="1181">
        <v>135</v>
      </c>
      <c r="AL94" s="1182">
        <v>180</v>
      </c>
      <c r="AM94" s="1181">
        <v>225</v>
      </c>
      <c r="AN94" s="1182">
        <v>270</v>
      </c>
      <c r="AO94" s="1183">
        <v>315</v>
      </c>
      <c r="AQ94" s="441" t="s">
        <v>1285</v>
      </c>
      <c r="AR94" s="1180">
        <v>0</v>
      </c>
      <c r="AS94" s="1181">
        <v>45</v>
      </c>
      <c r="AT94" s="1182">
        <v>90</v>
      </c>
      <c r="AU94" s="1181">
        <v>135</v>
      </c>
      <c r="AV94" s="1182">
        <v>180</v>
      </c>
      <c r="AW94" s="1181">
        <v>225</v>
      </c>
      <c r="AX94" s="1182">
        <v>270</v>
      </c>
      <c r="AY94" s="1183">
        <v>315</v>
      </c>
      <c r="AZ94" s="442"/>
      <c r="BA94" s="441" t="s">
        <v>1285</v>
      </c>
      <c r="BB94" s="1180">
        <v>0</v>
      </c>
      <c r="BC94" s="1181">
        <v>45</v>
      </c>
      <c r="BD94" s="1182">
        <v>90</v>
      </c>
      <c r="BE94" s="1181">
        <v>135</v>
      </c>
      <c r="BF94" s="1182">
        <v>180</v>
      </c>
      <c r="BG94" s="1181">
        <v>225</v>
      </c>
      <c r="BH94" s="1182">
        <v>270</v>
      </c>
      <c r="BI94" s="1183">
        <v>315</v>
      </c>
      <c r="BK94" s="441" t="s">
        <v>1285</v>
      </c>
      <c r="BL94" s="1180">
        <v>0</v>
      </c>
      <c r="BM94" s="1181">
        <v>45</v>
      </c>
      <c r="BN94" s="1182">
        <v>90</v>
      </c>
      <c r="BO94" s="1181">
        <v>135</v>
      </c>
      <c r="BP94" s="1182">
        <v>180</v>
      </c>
      <c r="BQ94" s="1181">
        <v>225</v>
      </c>
      <c r="BR94" s="1182">
        <v>270</v>
      </c>
      <c r="BS94" s="1183">
        <v>315</v>
      </c>
      <c r="BU94" s="441" t="s">
        <v>1285</v>
      </c>
      <c r="BV94" s="1180">
        <v>0</v>
      </c>
      <c r="BW94" s="1181">
        <v>45</v>
      </c>
      <c r="BX94" s="1182">
        <v>90</v>
      </c>
      <c r="BY94" s="1181">
        <v>135</v>
      </c>
      <c r="BZ94" s="1182">
        <v>180</v>
      </c>
      <c r="CA94" s="1181">
        <v>225</v>
      </c>
      <c r="CB94" s="1182">
        <v>270</v>
      </c>
      <c r="CC94" s="1183">
        <v>315</v>
      </c>
      <c r="CE94" s="441" t="s">
        <v>1285</v>
      </c>
      <c r="CF94" s="1180">
        <v>0</v>
      </c>
      <c r="CG94" s="1181">
        <v>45</v>
      </c>
      <c r="CH94" s="1182">
        <v>90</v>
      </c>
      <c r="CI94" s="1181">
        <v>135</v>
      </c>
      <c r="CJ94" s="1182">
        <v>180</v>
      </c>
      <c r="CK94" s="1181">
        <v>225</v>
      </c>
      <c r="CL94" s="1182">
        <v>270</v>
      </c>
      <c r="CM94" s="1183">
        <v>315</v>
      </c>
    </row>
    <row r="95" spans="2:91" ht="13" x14ac:dyDescent="0.3">
      <c r="C95" s="453">
        <v>0</v>
      </c>
      <c r="D95" s="445"/>
      <c r="E95" s="1411"/>
      <c r="F95" s="446"/>
      <c r="G95" s="1411"/>
      <c r="H95" s="446"/>
      <c r="I95" s="1411"/>
      <c r="J95" s="446"/>
      <c r="K95" s="1412"/>
      <c r="M95" s="453">
        <v>0</v>
      </c>
      <c r="N95" s="445">
        <f>'CZ02 Factors'!D21</f>
        <v>1.4880000000000002</v>
      </c>
      <c r="O95" s="1411">
        <f>'CZ02 Factors'!E21</f>
        <v>1.476</v>
      </c>
      <c r="P95" s="446">
        <f>'CZ02 Factors'!F21</f>
        <v>1.075</v>
      </c>
      <c r="Q95" s="1411">
        <f>'CZ02 Factors'!G21</f>
        <v>0.47000000000000003</v>
      </c>
      <c r="R95" s="446">
        <f>'CZ02 Factors'!H21</f>
        <v>0.40700000000000003</v>
      </c>
      <c r="S95" s="1411">
        <f>'CZ02 Factors'!I21</f>
        <v>0.46124999999999994</v>
      </c>
      <c r="T95" s="446">
        <f>'CZ02 Factors'!J21</f>
        <v>1.0465</v>
      </c>
      <c r="U95" s="1412">
        <f>'CZ02 Factors'!K21</f>
        <v>1.4430000000000001</v>
      </c>
      <c r="W95" s="453">
        <v>0</v>
      </c>
      <c r="X95" s="445">
        <f>'CZ03 Factors'!D21</f>
        <v>1.3632</v>
      </c>
      <c r="Y95" s="1411">
        <f>'CZ03 Factors'!E21</f>
        <v>1.1621999999999999</v>
      </c>
      <c r="Z95" s="446">
        <f>'CZ03 Factors'!F21</f>
        <v>0.748</v>
      </c>
      <c r="AA95" s="1411">
        <f>'CZ03 Factors'!G21</f>
        <v>0.37760000000000005</v>
      </c>
      <c r="AB95" s="446">
        <f>'CZ03 Factors'!H21</f>
        <v>0.3775</v>
      </c>
      <c r="AC95" s="1411">
        <f>'CZ03 Factors'!I21</f>
        <v>0.43064999999999998</v>
      </c>
      <c r="AD95" s="446">
        <f>'CZ03 Factors'!J21</f>
        <v>1.0449999999999999</v>
      </c>
      <c r="AE95" s="1412">
        <f>'CZ03 Factors'!K21</f>
        <v>1.4118000000000002</v>
      </c>
      <c r="AG95" s="453">
        <v>0</v>
      </c>
      <c r="AH95" s="445">
        <f>'CZ04 Factors'!D21</f>
        <v>1.4775</v>
      </c>
      <c r="AI95" s="1411">
        <f>'CZ04 Factors'!E21</f>
        <v>1.3967500000000002</v>
      </c>
      <c r="AJ95" s="446">
        <f>'CZ04 Factors'!F21</f>
        <v>0.91300000000000003</v>
      </c>
      <c r="AK95" s="1411">
        <f>'CZ04 Factors'!G21</f>
        <v>0.46800000000000003</v>
      </c>
      <c r="AL95" s="446">
        <f>'CZ04 Factors'!H21</f>
        <v>0.45499999999999996</v>
      </c>
      <c r="AM95" s="1411">
        <f>'CZ04 Factors'!I21</f>
        <v>0.50700000000000001</v>
      </c>
      <c r="AN95" s="446">
        <f>'CZ04 Factors'!J21</f>
        <v>1.105</v>
      </c>
      <c r="AO95" s="1412">
        <f>'CZ04 Factors'!K21</f>
        <v>1.5682499999999999</v>
      </c>
      <c r="AQ95" s="453">
        <v>0</v>
      </c>
      <c r="AR95" s="445">
        <f>'CZ05 Factors'!D21</f>
        <v>1.6079999999999999</v>
      </c>
      <c r="AS95" s="1411">
        <f>'CZ05 Factors'!E21</f>
        <v>1.554</v>
      </c>
      <c r="AT95" s="446">
        <f>'CZ05 Factors'!F21</f>
        <v>1.0010000000000001</v>
      </c>
      <c r="AU95" s="1411">
        <f>'CZ05 Factors'!G21</f>
        <v>0.4875000000000001</v>
      </c>
      <c r="AV95" s="446">
        <f>'CZ05 Factors'!H21</f>
        <v>0.44400000000000001</v>
      </c>
      <c r="AW95" s="1411">
        <f>'CZ05 Factors'!I21</f>
        <v>0.46800000000000008</v>
      </c>
      <c r="AX95" s="446">
        <f>'CZ05 Factors'!J21</f>
        <v>1.02</v>
      </c>
      <c r="AY95" s="1412">
        <f>'CZ05 Factors'!K21</f>
        <v>1.58</v>
      </c>
      <c r="AZ95" s="448"/>
      <c r="BA95" s="453">
        <v>0</v>
      </c>
      <c r="BB95" s="445">
        <f>'CZ05 BC Factors'!D21</f>
        <v>1.6079999999999999</v>
      </c>
      <c r="BC95" s="1411">
        <f>'CZ05 BC Factors'!E21</f>
        <v>1.554</v>
      </c>
      <c r="BD95" s="446">
        <f>'CZ05 BC Factors'!F21</f>
        <v>1.0010000000000001</v>
      </c>
      <c r="BE95" s="1411">
        <f>'CZ05 BC Factors'!G21</f>
        <v>0.42900000000000005</v>
      </c>
      <c r="BF95" s="446">
        <f>'CZ05 BC Factors'!H21</f>
        <v>0.33300000000000002</v>
      </c>
      <c r="BG95" s="1411">
        <f>'CZ05 BC Factors'!I21</f>
        <v>0.42900000000000005</v>
      </c>
      <c r="BH95" s="446">
        <f>'CZ05 BC Factors'!J21</f>
        <v>1.105</v>
      </c>
      <c r="BI95" s="1412">
        <f>'CZ05 BC Factors'!K21</f>
        <v>1.6589999999999998</v>
      </c>
      <c r="BK95" s="453">
        <v>0</v>
      </c>
      <c r="BL95" s="445">
        <f>'CZ06 Factors'!D21</f>
        <v>1.52</v>
      </c>
      <c r="BM95" s="1411">
        <f>'CZ06 Factors'!E21</f>
        <v>1.4400000000000002</v>
      </c>
      <c r="BN95" s="446">
        <f>'CZ06 Factors'!F21</f>
        <v>1.2800000000000002</v>
      </c>
      <c r="BO95" s="1411">
        <f>'CZ06 Factors'!G21</f>
        <v>0.76500000000000012</v>
      </c>
      <c r="BP95" s="446">
        <f>'CZ06 Factors'!H21</f>
        <v>0.77400000000000002</v>
      </c>
      <c r="BQ95" s="1411">
        <f>'CZ06 Factors'!I21</f>
        <v>0.74250000000000005</v>
      </c>
      <c r="BR95" s="446">
        <f>'CZ06 Factors'!J21</f>
        <v>1.32</v>
      </c>
      <c r="BS95" s="1412">
        <f>'CZ06 Factors'!K21</f>
        <v>1.4533333333333334</v>
      </c>
      <c r="BU95" s="453">
        <v>0</v>
      </c>
      <c r="BV95" s="445">
        <f>'CZ07 Factors'!D21</f>
        <v>1.8720000000000001</v>
      </c>
      <c r="BW95" s="1411">
        <f>'CZ07 Factors'!E21</f>
        <v>1.9152499999999999</v>
      </c>
      <c r="BX95" s="446">
        <f>'CZ07 Factors'!F21</f>
        <v>1.2035</v>
      </c>
      <c r="BY95" s="1411">
        <f>'CZ07 Factors'!G21</f>
        <v>0.52249999999999996</v>
      </c>
      <c r="BZ95" s="446">
        <f>'CZ07 Factors'!H21</f>
        <v>0.45499999999999996</v>
      </c>
      <c r="CA95" s="1411">
        <f>'CZ07 Factors'!I21</f>
        <v>0.53200000000000003</v>
      </c>
      <c r="CB95" s="446">
        <f>'CZ07 Factors'!J21</f>
        <v>1.125</v>
      </c>
      <c r="CC95" s="1412">
        <f>'CZ07 Factors'!K21</f>
        <v>1.8</v>
      </c>
      <c r="CE95" s="453">
        <v>0</v>
      </c>
      <c r="CF95" s="445">
        <f>'CZ08 Factors'!D21</f>
        <v>2.2967</v>
      </c>
      <c r="CG95" s="1411">
        <f>'CZ08 Factors'!E21</f>
        <v>2.3975999999999997</v>
      </c>
      <c r="CH95" s="446">
        <f>'CZ08 Factors'!F21</f>
        <v>1.6604999999999999</v>
      </c>
      <c r="CI95" s="1411">
        <f>'CZ08 Factors'!G21</f>
        <v>0.66974999999999985</v>
      </c>
      <c r="CJ95" s="446">
        <f>'CZ08 Factors'!H21</f>
        <v>0.36000000000000004</v>
      </c>
      <c r="CK95" s="1411">
        <f>'CZ08 Factors'!I21</f>
        <v>0.64859999999999995</v>
      </c>
      <c r="CL95" s="446">
        <f>'CZ08 Factors'!J21</f>
        <v>1.5876000000000001</v>
      </c>
      <c r="CM95" s="1412">
        <f>'CZ08 Factors'!K21</f>
        <v>2.2995000000000001</v>
      </c>
    </row>
    <row r="96" spans="2:91" x14ac:dyDescent="0.25">
      <c r="C96" s="1202">
        <v>0.05</v>
      </c>
      <c r="D96" s="1185"/>
      <c r="E96" s="1186"/>
      <c r="F96" s="1187"/>
      <c r="G96" s="1186"/>
      <c r="H96" s="1187"/>
      <c r="I96" s="1186"/>
      <c r="J96" s="1187"/>
      <c r="K96" s="1188"/>
      <c r="M96" s="1202">
        <v>0.05</v>
      </c>
      <c r="N96" s="1185">
        <f>'CZ02 Factors'!D22</f>
        <v>1.4400000000000002</v>
      </c>
      <c r="O96" s="1186">
        <f>'CZ02 Factors'!E22</f>
        <v>1.40425</v>
      </c>
      <c r="P96" s="1187">
        <f>'CZ02 Factors'!F22</f>
        <v>1</v>
      </c>
      <c r="Q96" s="1186">
        <f>'CZ02 Factors'!G22</f>
        <v>0.39950000000000002</v>
      </c>
      <c r="R96" s="1187">
        <f>'CZ02 Factors'!H22</f>
        <v>0.34100000000000003</v>
      </c>
      <c r="S96" s="1186">
        <f>'CZ02 Factors'!I22</f>
        <v>0.40499999999999997</v>
      </c>
      <c r="T96" s="1187">
        <f>'CZ02 Factors'!J22</f>
        <v>0.96599999999999997</v>
      </c>
      <c r="U96" s="1188">
        <f>'CZ02 Factors'!K22</f>
        <v>1.3845000000000001</v>
      </c>
      <c r="W96" s="1202">
        <v>0.05</v>
      </c>
      <c r="X96" s="1185">
        <f>'CZ03 Factors'!D22</f>
        <v>1.349</v>
      </c>
      <c r="Y96" s="1186">
        <f>'CZ03 Factors'!E22</f>
        <v>1.1231999999999998</v>
      </c>
      <c r="Z96" s="1187">
        <f>'CZ03 Factors'!F22</f>
        <v>0.69699999999999995</v>
      </c>
      <c r="AA96" s="1186">
        <f>'CZ03 Factors'!G22</f>
        <v>0.33040000000000008</v>
      </c>
      <c r="AB96" s="1187">
        <f>'CZ03 Factors'!H22</f>
        <v>0.3322</v>
      </c>
      <c r="AC96" s="1186">
        <f>'CZ03 Factors'!I22</f>
        <v>0.37844999999999995</v>
      </c>
      <c r="AD96" s="1187">
        <f>'CZ03 Factors'!J22</f>
        <v>1.0010000000000001</v>
      </c>
      <c r="AE96" s="1188">
        <f>'CZ03 Factors'!K22</f>
        <v>1.3756000000000002</v>
      </c>
      <c r="AG96" s="1202">
        <v>0.05</v>
      </c>
      <c r="AH96" s="1185">
        <f>'CZ04 Factors'!D22</f>
        <v>1.4475</v>
      </c>
      <c r="AI96" s="1186">
        <f>'CZ04 Factors'!E22</f>
        <v>1.3412500000000003</v>
      </c>
      <c r="AJ96" s="1187">
        <f>'CZ04 Factors'!F22</f>
        <v>0.83600000000000008</v>
      </c>
      <c r="AK96" s="1186">
        <f>'CZ04 Factors'!G22</f>
        <v>0.39600000000000002</v>
      </c>
      <c r="AL96" s="1187">
        <f>'CZ04 Factors'!H22</f>
        <v>0.37699999999999995</v>
      </c>
      <c r="AM96" s="1186">
        <f>'CZ04 Factors'!I22</f>
        <v>0.42899999999999999</v>
      </c>
      <c r="AN96" s="1187">
        <f>'CZ04 Factors'!J22</f>
        <v>1.0269999999999999</v>
      </c>
      <c r="AO96" s="1188">
        <f>'CZ04 Factors'!K22</f>
        <v>1.5067499999999998</v>
      </c>
      <c r="AQ96" s="1202">
        <v>0.05</v>
      </c>
      <c r="AR96" s="1185">
        <f>'CZ05 Factors'!D22</f>
        <v>1.56</v>
      </c>
      <c r="AS96" s="1186">
        <f>'CZ05 Factors'!E22</f>
        <v>1.4910000000000001</v>
      </c>
      <c r="AT96" s="1187">
        <f>'CZ05 Factors'!F22</f>
        <v>0.91</v>
      </c>
      <c r="AU96" s="1186">
        <f>'CZ05 Factors'!G22</f>
        <v>0.41250000000000009</v>
      </c>
      <c r="AV96" s="1187">
        <f>'CZ05 Factors'!H22</f>
        <v>0.372</v>
      </c>
      <c r="AW96" s="1186">
        <f>'CZ05 Factors'!I22</f>
        <v>0.39600000000000007</v>
      </c>
      <c r="AX96" s="1187">
        <f>'CZ05 Factors'!J22</f>
        <v>0.93600000000000005</v>
      </c>
      <c r="AY96" s="1188">
        <f>'CZ05 Factors'!K22</f>
        <v>1.51</v>
      </c>
      <c r="AZ96" s="449"/>
      <c r="BA96" s="1202">
        <v>0.05</v>
      </c>
      <c r="BB96" s="1185">
        <f>'CZ05 BC Factors'!D22</f>
        <v>1.56</v>
      </c>
      <c r="BC96" s="1186">
        <f>'CZ05 BC Factors'!E22</f>
        <v>1.4910000000000001</v>
      </c>
      <c r="BD96" s="1187">
        <f>'CZ05 BC Factors'!F22</f>
        <v>0.91</v>
      </c>
      <c r="BE96" s="1186">
        <f>'CZ05 BC Factors'!G22</f>
        <v>0.36300000000000004</v>
      </c>
      <c r="BF96" s="1187">
        <f>'CZ05 BC Factors'!H22</f>
        <v>0.27900000000000003</v>
      </c>
      <c r="BG96" s="1186">
        <f>'CZ05 BC Factors'!I22</f>
        <v>0.36300000000000004</v>
      </c>
      <c r="BH96" s="1187">
        <f>'CZ05 BC Factors'!J22</f>
        <v>1.014</v>
      </c>
      <c r="BI96" s="1188">
        <f>'CZ05 BC Factors'!K22</f>
        <v>1.5854999999999997</v>
      </c>
      <c r="BK96" s="1202">
        <v>0.05</v>
      </c>
      <c r="BL96" s="1185">
        <f>'CZ06 Factors'!D22</f>
        <v>1.4720000000000002</v>
      </c>
      <c r="BM96" s="1186">
        <f>'CZ06 Factors'!E22</f>
        <v>1.3594405594405599</v>
      </c>
      <c r="BN96" s="1187">
        <f>'CZ06 Factors'!F22</f>
        <v>1.1680000000000001</v>
      </c>
      <c r="BO96" s="1186">
        <f>'CZ06 Factors'!G22</f>
        <v>0.64600000000000013</v>
      </c>
      <c r="BP96" s="1187">
        <f>'CZ06 Factors'!H22</f>
        <v>0.64800000000000002</v>
      </c>
      <c r="BQ96" s="1186">
        <f>'CZ06 Factors'!I22</f>
        <v>0.627</v>
      </c>
      <c r="BR96" s="1187">
        <f>'CZ06 Factors'!J22</f>
        <v>1.2150000000000001</v>
      </c>
      <c r="BS96" s="1188">
        <f>'CZ06 Factors'!K22</f>
        <v>1.3773420479302831</v>
      </c>
      <c r="BU96" s="1202">
        <v>0.05</v>
      </c>
      <c r="BV96" s="1185">
        <f>'CZ07 Factors'!D22</f>
        <v>1.8089999999999999</v>
      </c>
      <c r="BW96" s="1186">
        <f>'CZ07 Factors'!E22</f>
        <v>1.8330000000000002</v>
      </c>
      <c r="BX96" s="1187">
        <f>'CZ07 Factors'!F22</f>
        <v>1.1165</v>
      </c>
      <c r="BY96" s="1186">
        <f>'CZ07 Factors'!G22</f>
        <v>0.43999999999999995</v>
      </c>
      <c r="BZ96" s="1187">
        <f>'CZ07 Factors'!H22</f>
        <v>0.37699999999999995</v>
      </c>
      <c r="CA96" s="1186">
        <f>'CZ07 Factors'!I22</f>
        <v>0.44800000000000001</v>
      </c>
      <c r="CB96" s="1187">
        <f>'CZ07 Factors'!J22</f>
        <v>1.0349999999999999</v>
      </c>
      <c r="CC96" s="1188">
        <f>'CZ07 Factors'!K22</f>
        <v>1.728</v>
      </c>
      <c r="CE96" s="1202">
        <v>0.05</v>
      </c>
      <c r="CF96" s="1185">
        <f>'CZ08 Factors'!D22</f>
        <v>2.2253000000000003</v>
      </c>
      <c r="CG96" s="1186">
        <f>'CZ08 Factors'!E22</f>
        <v>2.2841999999999998</v>
      </c>
      <c r="CH96" s="1187">
        <f>'CZ08 Factors'!F22</f>
        <v>1.4964999999999997</v>
      </c>
      <c r="CI96" s="1186">
        <f>'CZ08 Factors'!G22</f>
        <v>0.55574999999999997</v>
      </c>
      <c r="CJ96" s="1187">
        <f>'CZ08 Factors'!H22</f>
        <v>0.30400000000000005</v>
      </c>
      <c r="CK96" s="1186">
        <f>'CZ08 Factors'!I22</f>
        <v>0.53820000000000001</v>
      </c>
      <c r="CL96" s="1187">
        <f>'CZ08 Factors'!J22</f>
        <v>1.4307999999999998</v>
      </c>
      <c r="CM96" s="1188">
        <f>'CZ08 Factors'!K22</f>
        <v>2.1892499999999999</v>
      </c>
    </row>
    <row r="97" spans="2:91" x14ac:dyDescent="0.25">
      <c r="C97" s="1202">
        <v>0.1</v>
      </c>
      <c r="D97" s="1185"/>
      <c r="E97" s="1186"/>
      <c r="F97" s="1187"/>
      <c r="G97" s="1186"/>
      <c r="H97" s="1187"/>
      <c r="I97" s="1186"/>
      <c r="J97" s="1187"/>
      <c r="K97" s="1188"/>
      <c r="M97" s="1202">
        <v>0.1</v>
      </c>
      <c r="N97" s="1185">
        <f>'CZ02 Factors'!D23</f>
        <v>1.3840000000000001</v>
      </c>
      <c r="O97" s="1186">
        <f>'CZ02 Factors'!E23</f>
        <v>1.3632500000000001</v>
      </c>
      <c r="P97" s="1187">
        <f>'CZ02 Factors'!F23</f>
        <v>0.95</v>
      </c>
      <c r="Q97" s="1186">
        <f>'CZ02 Factors'!G23</f>
        <v>0.376</v>
      </c>
      <c r="R97" s="1187">
        <f>'CZ02 Factors'!H23</f>
        <v>0.31900000000000001</v>
      </c>
      <c r="S97" s="1186">
        <f>'CZ02 Factors'!I23</f>
        <v>0.38250000000000001</v>
      </c>
      <c r="T97" s="1187">
        <f>'CZ02 Factors'!J23</f>
        <v>0.93149999999999999</v>
      </c>
      <c r="U97" s="1188">
        <f>'CZ02 Factors'!K23</f>
        <v>1.3065000000000002</v>
      </c>
      <c r="W97" s="1202">
        <v>0.1</v>
      </c>
      <c r="X97" s="1185">
        <f>'CZ03 Factors'!D23</f>
        <v>1.2496</v>
      </c>
      <c r="Y97" s="1186">
        <f>'CZ03 Factors'!E23</f>
        <v>1.0686</v>
      </c>
      <c r="Z97" s="1187">
        <f>'CZ03 Factors'!F23</f>
        <v>0.66300000000000003</v>
      </c>
      <c r="AA97" s="1186">
        <f>'CZ03 Factors'!G23</f>
        <v>0.31860000000000005</v>
      </c>
      <c r="AB97" s="1187">
        <f>'CZ03 Factors'!H23</f>
        <v>0.31709999999999999</v>
      </c>
      <c r="AC97" s="1186">
        <f>'CZ03 Factors'!I23</f>
        <v>0.3654</v>
      </c>
      <c r="AD97" s="1187">
        <f>'CZ03 Factors'!J23</f>
        <v>0.95699999999999996</v>
      </c>
      <c r="AE97" s="1188">
        <f>'CZ03 Factors'!K23</f>
        <v>1.3032000000000001</v>
      </c>
      <c r="AG97" s="1202">
        <v>0.1</v>
      </c>
      <c r="AH97" s="1185">
        <f>'CZ04 Factors'!D23</f>
        <v>1.4325000000000001</v>
      </c>
      <c r="AI97" s="1186">
        <f>'CZ04 Factors'!E23</f>
        <v>1.2950000000000002</v>
      </c>
      <c r="AJ97" s="1187">
        <f>'CZ04 Factors'!F23</f>
        <v>0.81400000000000006</v>
      </c>
      <c r="AK97" s="1186">
        <f>'CZ04 Factors'!G23</f>
        <v>0.372</v>
      </c>
      <c r="AL97" s="1187">
        <f>'CZ04 Factors'!H23</f>
        <v>0.36400000000000005</v>
      </c>
      <c r="AM97" s="1186">
        <f>'CZ04 Factors'!I23</f>
        <v>0.40299999999999997</v>
      </c>
      <c r="AN97" s="1187">
        <f>'CZ04 Factors'!J23</f>
        <v>0.97499999999999998</v>
      </c>
      <c r="AO97" s="1188">
        <f>'CZ04 Factors'!K23</f>
        <v>1.4554999999999998</v>
      </c>
      <c r="AQ97" s="1202">
        <v>0.1</v>
      </c>
      <c r="AR97" s="1185">
        <f>'CZ05 Factors'!D23</f>
        <v>1.56</v>
      </c>
      <c r="AS97" s="1186">
        <f>'CZ05 Factors'!E23</f>
        <v>1.4280000000000002</v>
      </c>
      <c r="AT97" s="1187">
        <f>'CZ05 Factors'!F23</f>
        <v>0.85800000000000021</v>
      </c>
      <c r="AU97" s="1186">
        <f>'CZ05 Factors'!G23</f>
        <v>0.38750000000000007</v>
      </c>
      <c r="AV97" s="1187">
        <f>'CZ05 Factors'!H23</f>
        <v>0.36</v>
      </c>
      <c r="AW97" s="1186">
        <f>'CZ05 Factors'!I23</f>
        <v>0.38400000000000006</v>
      </c>
      <c r="AX97" s="1187">
        <f>'CZ05 Factors'!J23</f>
        <v>0.9</v>
      </c>
      <c r="AY97" s="1188">
        <f>'CZ05 Factors'!K23</f>
        <v>1.47</v>
      </c>
      <c r="AZ97" s="449"/>
      <c r="BA97" s="1202">
        <v>0.1</v>
      </c>
      <c r="BB97" s="1185">
        <f>'CZ05 BC Factors'!D23</f>
        <v>1.56</v>
      </c>
      <c r="BC97" s="1186">
        <f>'CZ05 BC Factors'!E23</f>
        <v>1.4280000000000002</v>
      </c>
      <c r="BD97" s="1187">
        <f>'CZ05 BC Factors'!F23</f>
        <v>0.85800000000000021</v>
      </c>
      <c r="BE97" s="1186">
        <f>'CZ05 BC Factors'!G23</f>
        <v>0.34100000000000003</v>
      </c>
      <c r="BF97" s="1187">
        <f>'CZ05 BC Factors'!H23</f>
        <v>0.27</v>
      </c>
      <c r="BG97" s="1186">
        <f>'CZ05 BC Factors'!I23</f>
        <v>0.35200000000000004</v>
      </c>
      <c r="BH97" s="1187">
        <f>'CZ05 BC Factors'!J23</f>
        <v>0.97499999999999998</v>
      </c>
      <c r="BI97" s="1188">
        <f>'CZ05 BC Factors'!K23</f>
        <v>1.5434999999999997</v>
      </c>
      <c r="BK97" s="1202">
        <v>0.1</v>
      </c>
      <c r="BL97" s="1185">
        <f>'CZ06 Factors'!D23</f>
        <v>1.4560000000000002</v>
      </c>
      <c r="BM97" s="1186">
        <f>'CZ06 Factors'!E23</f>
        <v>1.3090909090909093</v>
      </c>
      <c r="BN97" s="1187">
        <f>'CZ06 Factors'!F23</f>
        <v>1.1200000000000001</v>
      </c>
      <c r="BO97" s="1186">
        <f>'CZ06 Factors'!G23</f>
        <v>0.6120000000000001</v>
      </c>
      <c r="BP97" s="1187">
        <f>'CZ06 Factors'!H23</f>
        <v>0.6120000000000001</v>
      </c>
      <c r="BQ97" s="1186">
        <f>'CZ06 Factors'!I23</f>
        <v>0.59399999999999997</v>
      </c>
      <c r="BR97" s="1187">
        <f>'CZ06 Factors'!J23</f>
        <v>1.1400000000000001</v>
      </c>
      <c r="BS97" s="1188">
        <f>'CZ06 Factors'!K23</f>
        <v>1.3488453159041394</v>
      </c>
      <c r="BU97" s="1202">
        <v>0.1</v>
      </c>
      <c r="BV97" s="1185">
        <f>'CZ07 Factors'!D23</f>
        <v>1.8089999999999999</v>
      </c>
      <c r="BW97" s="1186">
        <f>'CZ07 Factors'!E23</f>
        <v>1.7977500000000002</v>
      </c>
      <c r="BX97" s="1187">
        <f>'CZ07 Factors'!F23</f>
        <v>1.0585</v>
      </c>
      <c r="BY97" s="1186">
        <f>'CZ07 Factors'!G23</f>
        <v>0.41249999999999998</v>
      </c>
      <c r="BZ97" s="1187">
        <f>'CZ07 Factors'!H23</f>
        <v>0.36400000000000005</v>
      </c>
      <c r="CA97" s="1186">
        <f>'CZ07 Factors'!I23</f>
        <v>0.42000000000000004</v>
      </c>
      <c r="CB97" s="1187">
        <f>'CZ07 Factors'!J23</f>
        <v>0.99</v>
      </c>
      <c r="CC97" s="1188">
        <f>'CZ07 Factors'!K23</f>
        <v>1.6919999999999999</v>
      </c>
      <c r="CE97" s="1202">
        <v>0.1</v>
      </c>
      <c r="CF97" s="1185">
        <f>'CZ08 Factors'!D23</f>
        <v>2.2015000000000002</v>
      </c>
      <c r="CG97" s="1186">
        <f>'CZ08 Factors'!E23</f>
        <v>2.2031999999999998</v>
      </c>
      <c r="CH97" s="1187">
        <f>'CZ08 Factors'!F23</f>
        <v>1.4349999999999996</v>
      </c>
      <c r="CI97" s="1186">
        <f>'CZ08 Factors'!G23</f>
        <v>0.52724999999999989</v>
      </c>
      <c r="CJ97" s="1187">
        <f>'CZ08 Factors'!H23</f>
        <v>0.27999999999999997</v>
      </c>
      <c r="CK97" s="1186">
        <f>'CZ08 Factors'!I23</f>
        <v>0.51059999999999994</v>
      </c>
      <c r="CL97" s="1187">
        <f>'CZ08 Factors'!J23</f>
        <v>1.3719999999999999</v>
      </c>
      <c r="CM97" s="1188">
        <f>'CZ08 Factors'!K23</f>
        <v>2.1105000000000005</v>
      </c>
    </row>
    <row r="98" spans="2:91" x14ac:dyDescent="0.25">
      <c r="C98" s="1202">
        <v>0.2</v>
      </c>
      <c r="D98" s="1185"/>
      <c r="E98" s="1186"/>
      <c r="F98" s="1187"/>
      <c r="G98" s="1186"/>
      <c r="H98" s="1187"/>
      <c r="I98" s="1186"/>
      <c r="J98" s="1187"/>
      <c r="K98" s="1188"/>
      <c r="M98" s="1202">
        <v>0.2</v>
      </c>
      <c r="N98" s="1185">
        <f>'CZ02 Factors'!D24</f>
        <v>1.2080000000000002</v>
      </c>
      <c r="O98" s="1186">
        <f>'CZ02 Factors'!E24</f>
        <v>1.2095</v>
      </c>
      <c r="P98" s="1187">
        <f>'CZ02 Factors'!F24</f>
        <v>0.85000000000000009</v>
      </c>
      <c r="Q98" s="1186">
        <f>'CZ02 Factors'!G24</f>
        <v>0.34074999999999994</v>
      </c>
      <c r="R98" s="1187">
        <f>'CZ02 Factors'!H24</f>
        <v>0.29700000000000004</v>
      </c>
      <c r="S98" s="1186">
        <f>'CZ02 Factors'!I24</f>
        <v>0.33749999999999997</v>
      </c>
      <c r="T98" s="1187">
        <f>'CZ02 Factors'!J24</f>
        <v>0.83949999999999991</v>
      </c>
      <c r="U98" s="1188">
        <f>'CZ02 Factors'!K24</f>
        <v>1.17</v>
      </c>
      <c r="W98" s="1202">
        <v>0.2</v>
      </c>
      <c r="X98" s="1185">
        <f>'CZ03 Factors'!D24</f>
        <v>1.1147</v>
      </c>
      <c r="Y98" s="1186">
        <f>'CZ03 Factors'!E24</f>
        <v>0.9516</v>
      </c>
      <c r="Z98" s="1187">
        <f>'CZ03 Factors'!F24</f>
        <v>0.59499999999999997</v>
      </c>
      <c r="AA98" s="1186">
        <f>'CZ03 Factors'!G24</f>
        <v>0.28320000000000001</v>
      </c>
      <c r="AB98" s="1187">
        <f>'CZ03 Factors'!H24</f>
        <v>0.30200000000000005</v>
      </c>
      <c r="AC98" s="1186">
        <f>'CZ03 Factors'!I24</f>
        <v>0.32624999999999998</v>
      </c>
      <c r="AD98" s="1187">
        <f>'CZ03 Factors'!J24</f>
        <v>0.8580000000000001</v>
      </c>
      <c r="AE98" s="1188">
        <f>'CZ03 Factors'!K24</f>
        <v>1.1765000000000001</v>
      </c>
      <c r="AG98" s="1202">
        <v>0.2</v>
      </c>
      <c r="AH98" s="1185">
        <f>'CZ04 Factors'!D24</f>
        <v>1.2150000000000001</v>
      </c>
      <c r="AI98" s="1186">
        <f>'CZ04 Factors'!E24</f>
        <v>1.1840000000000002</v>
      </c>
      <c r="AJ98" s="1187">
        <f>'CZ04 Factors'!F24</f>
        <v>0.7370000000000001</v>
      </c>
      <c r="AK98" s="1186">
        <f>'CZ04 Factors'!G24</f>
        <v>0.33600000000000002</v>
      </c>
      <c r="AL98" s="1187">
        <f>'CZ04 Factors'!H24</f>
        <v>0.32499999999999996</v>
      </c>
      <c r="AM98" s="1186">
        <f>'CZ04 Factors'!I24</f>
        <v>0.36399999999999999</v>
      </c>
      <c r="AN98" s="1187">
        <f>'CZ04 Factors'!J24</f>
        <v>0.88400000000000001</v>
      </c>
      <c r="AO98" s="1188">
        <f>'CZ04 Factors'!K24</f>
        <v>1.3120000000000001</v>
      </c>
      <c r="AQ98" s="1202">
        <v>0.2</v>
      </c>
      <c r="AR98" s="1185">
        <f>'CZ05 Factors'!D24</f>
        <v>1.304</v>
      </c>
      <c r="AS98" s="1186">
        <f>'CZ05 Factors'!E24</f>
        <v>1.2705</v>
      </c>
      <c r="AT98" s="1187">
        <f>'CZ05 Factors'!F24</f>
        <v>0.76700000000000002</v>
      </c>
      <c r="AU98" s="1186">
        <f>'CZ05 Factors'!G24</f>
        <v>0.35000000000000009</v>
      </c>
      <c r="AV98" s="1187">
        <f>'CZ05 Factors'!H24</f>
        <v>0.32400000000000007</v>
      </c>
      <c r="AW98" s="1186">
        <f>'CZ05 Factors'!I24</f>
        <v>0.33600000000000008</v>
      </c>
      <c r="AX98" s="1187">
        <f>'CZ05 Factors'!J24</f>
        <v>0.80400000000000005</v>
      </c>
      <c r="AY98" s="1188">
        <f>'CZ05 Factors'!K24</f>
        <v>1.32</v>
      </c>
      <c r="AZ98" s="449"/>
      <c r="BA98" s="1202">
        <v>0.2</v>
      </c>
      <c r="BB98" s="1185">
        <f>'CZ05 BC Factors'!D24</f>
        <v>1.304</v>
      </c>
      <c r="BC98" s="1186">
        <f>'CZ05 BC Factors'!E24</f>
        <v>1.2705</v>
      </c>
      <c r="BD98" s="1187">
        <f>'CZ05 BC Factors'!F24</f>
        <v>0.76700000000000002</v>
      </c>
      <c r="BE98" s="1186">
        <f>'CZ05 BC Factors'!G24</f>
        <v>0.30800000000000005</v>
      </c>
      <c r="BF98" s="1187">
        <f>'CZ05 BC Factors'!H24</f>
        <v>0.24300000000000005</v>
      </c>
      <c r="BG98" s="1186">
        <f>'CZ05 BC Factors'!I24</f>
        <v>0.30800000000000005</v>
      </c>
      <c r="BH98" s="1187">
        <f>'CZ05 BC Factors'!J24</f>
        <v>0.87100000000000011</v>
      </c>
      <c r="BI98" s="1188">
        <f>'CZ05 BC Factors'!K24</f>
        <v>1.3859999999999999</v>
      </c>
      <c r="BK98" s="1202">
        <v>0.2</v>
      </c>
      <c r="BL98" s="1185">
        <f>'CZ06 Factors'!D24</f>
        <v>1.2480000000000002</v>
      </c>
      <c r="BM98" s="1186">
        <f>'CZ06 Factors'!E24</f>
        <v>1.1781818181818182</v>
      </c>
      <c r="BN98" s="1187">
        <f>'CZ06 Factors'!F24</f>
        <v>0.9920000000000001</v>
      </c>
      <c r="BO98" s="1186">
        <f>'CZ06 Factors'!G24</f>
        <v>0.54400000000000015</v>
      </c>
      <c r="BP98" s="1187">
        <f>'CZ06 Factors'!H24</f>
        <v>0.54</v>
      </c>
      <c r="BQ98" s="1186">
        <f>'CZ06 Factors'!I24</f>
        <v>0.52800000000000002</v>
      </c>
      <c r="BR98" s="1187">
        <f>'CZ06 Factors'!J24</f>
        <v>1.05</v>
      </c>
      <c r="BS98" s="1188">
        <f>'CZ06 Factors'!K24</f>
        <v>1.2348583877995642</v>
      </c>
      <c r="BU98" s="1202">
        <v>0.2</v>
      </c>
      <c r="BV98" s="1185">
        <f>'CZ07 Factors'!D24</f>
        <v>1.7009999999999998</v>
      </c>
      <c r="BW98" s="1186">
        <f>'CZ07 Factors'!E24</f>
        <v>1.68025</v>
      </c>
      <c r="BX98" s="1187">
        <f>'CZ07 Factors'!F24</f>
        <v>0.9860000000000001</v>
      </c>
      <c r="BY98" s="1186">
        <f>'CZ07 Factors'!G24</f>
        <v>0.37124999999999997</v>
      </c>
      <c r="BZ98" s="1187">
        <f>'CZ07 Factors'!H24</f>
        <v>0.32499999999999996</v>
      </c>
      <c r="CA98" s="1186">
        <f>'CZ07 Factors'!I24</f>
        <v>0.378</v>
      </c>
      <c r="CB98" s="1187">
        <f>'CZ07 Factors'!J24</f>
        <v>0.89999999999999991</v>
      </c>
      <c r="CC98" s="1188">
        <f>'CZ07 Factors'!K24</f>
        <v>1.536</v>
      </c>
      <c r="CE98" s="1202">
        <v>0.2</v>
      </c>
      <c r="CF98" s="1185">
        <f>'CZ08 Factors'!D24</f>
        <v>1.8564000000000003</v>
      </c>
      <c r="CG98" s="1186">
        <f>'CZ08 Factors'!E24</f>
        <v>1.9763999999999997</v>
      </c>
      <c r="CH98" s="1187">
        <f>'CZ08 Factors'!F24</f>
        <v>1.2914999999999996</v>
      </c>
      <c r="CI98" s="1186">
        <f>'CZ08 Factors'!G24</f>
        <v>0.47025</v>
      </c>
      <c r="CJ98" s="1187">
        <f>'CZ08 Factors'!H24</f>
        <v>0.25600000000000006</v>
      </c>
      <c r="CK98" s="1186">
        <f>'CZ08 Factors'!I24</f>
        <v>0.45540000000000003</v>
      </c>
      <c r="CL98" s="1187">
        <f>'CZ08 Factors'!J24</f>
        <v>1.2347999999999999</v>
      </c>
      <c r="CM98" s="1188">
        <f>'CZ08 Factors'!K24</f>
        <v>1.89</v>
      </c>
    </row>
    <row r="99" spans="2:91" x14ac:dyDescent="0.25">
      <c r="C99" s="1202">
        <v>0.4</v>
      </c>
      <c r="D99" s="1185"/>
      <c r="E99" s="1186"/>
      <c r="F99" s="1187"/>
      <c r="G99" s="1186"/>
      <c r="H99" s="1187"/>
      <c r="I99" s="1186"/>
      <c r="J99" s="1187"/>
      <c r="K99" s="1188"/>
      <c r="M99" s="1202">
        <v>0.4</v>
      </c>
      <c r="N99" s="1185">
        <f>'CZ02 Factors'!D25</f>
        <v>1</v>
      </c>
      <c r="O99" s="1186">
        <f>'CZ02 Factors'!E25</f>
        <v>0.97375</v>
      </c>
      <c r="P99" s="1187">
        <f>'CZ02 Factors'!F25</f>
        <v>0.67499999999999993</v>
      </c>
      <c r="Q99" s="1186">
        <f>'CZ02 Factors'!G25</f>
        <v>0.28200000000000003</v>
      </c>
      <c r="R99" s="1187">
        <f>'CZ02 Factors'!H25</f>
        <v>0.253</v>
      </c>
      <c r="S99" s="1186">
        <f>'CZ02 Factors'!I25</f>
        <v>0.28124999999999994</v>
      </c>
      <c r="T99" s="1187">
        <f>'CZ02 Factors'!J25</f>
        <v>0.7014999999999999</v>
      </c>
      <c r="U99" s="1188">
        <f>'CZ02 Factors'!K25</f>
        <v>0.96525000000000016</v>
      </c>
      <c r="W99" s="1202">
        <v>0.4</v>
      </c>
      <c r="X99" s="1185">
        <f>'CZ03 Factors'!D25</f>
        <v>0.88750000000000007</v>
      </c>
      <c r="Y99" s="1186">
        <f>'CZ03 Factors'!E25</f>
        <v>0.77999999999999992</v>
      </c>
      <c r="Z99" s="1187">
        <f>'CZ03 Factors'!F25</f>
        <v>0.51</v>
      </c>
      <c r="AA99" s="1186">
        <f>'CZ03 Factors'!G25</f>
        <v>0.23600000000000004</v>
      </c>
      <c r="AB99" s="1187">
        <f>'CZ03 Factors'!H25</f>
        <v>0.27179999999999999</v>
      </c>
      <c r="AC99" s="1186">
        <f>'CZ03 Factors'!I25</f>
        <v>0.27404999999999996</v>
      </c>
      <c r="AD99" s="1187">
        <f>'CZ03 Factors'!J25</f>
        <v>0.73699999999999999</v>
      </c>
      <c r="AE99" s="1188">
        <f>'CZ03 Factors'!K25</f>
        <v>0.97740000000000005</v>
      </c>
      <c r="AG99" s="1202">
        <v>0.4</v>
      </c>
      <c r="AH99" s="1185">
        <f>'CZ04 Factors'!D25</f>
        <v>1.1100000000000001</v>
      </c>
      <c r="AI99" s="1186">
        <f>'CZ04 Factors'!E25</f>
        <v>1.0082500000000001</v>
      </c>
      <c r="AJ99" s="1187">
        <f>'CZ04 Factors'!F25</f>
        <v>0.6160000000000001</v>
      </c>
      <c r="AK99" s="1186">
        <f>'CZ04 Factors'!G25</f>
        <v>0.28799999999999998</v>
      </c>
      <c r="AL99" s="1187">
        <f>'CZ04 Factors'!H25</f>
        <v>0.28600000000000003</v>
      </c>
      <c r="AM99" s="1186">
        <f>'CZ04 Factors'!I25</f>
        <v>0.31199999999999994</v>
      </c>
      <c r="AN99" s="1187">
        <f>'CZ04 Factors'!J25</f>
        <v>0.754</v>
      </c>
      <c r="AO99" s="1188">
        <f>'CZ04 Factors'!K25</f>
        <v>1.1274999999999999</v>
      </c>
      <c r="AQ99" s="1202">
        <v>0.4</v>
      </c>
      <c r="AR99" s="1185">
        <f>'CZ05 Factors'!D25</f>
        <v>1.1919999999999999</v>
      </c>
      <c r="AS99" s="1186">
        <f>'CZ05 Factors'!E25</f>
        <v>1.05</v>
      </c>
      <c r="AT99" s="1187">
        <f>'CZ05 Factors'!F25</f>
        <v>0.63700000000000001</v>
      </c>
      <c r="AU99" s="1186">
        <f>'CZ05 Factors'!G25</f>
        <v>0.30000000000000004</v>
      </c>
      <c r="AV99" s="1187">
        <f>'CZ05 Factors'!H25</f>
        <v>0.27599999999999997</v>
      </c>
      <c r="AW99" s="1186">
        <f>'CZ05 Factors'!I25</f>
        <v>0.28800000000000003</v>
      </c>
      <c r="AX99" s="1187">
        <f>'CZ05 Factors'!J25</f>
        <v>0.66</v>
      </c>
      <c r="AY99" s="1188">
        <f>'CZ05 Factors'!K25</f>
        <v>1.1000000000000001</v>
      </c>
      <c r="AZ99" s="449"/>
      <c r="BA99" s="1202">
        <v>0.4</v>
      </c>
      <c r="BB99" s="1185">
        <f>'CZ05 BC Factors'!D25</f>
        <v>1.1919999999999999</v>
      </c>
      <c r="BC99" s="1186">
        <f>'CZ05 BC Factors'!E25</f>
        <v>1.05</v>
      </c>
      <c r="BD99" s="1187">
        <f>'CZ05 BC Factors'!F25</f>
        <v>0.63700000000000001</v>
      </c>
      <c r="BE99" s="1186">
        <f>'CZ05 BC Factors'!G25</f>
        <v>0.26400000000000001</v>
      </c>
      <c r="BF99" s="1187">
        <f>'CZ05 BC Factors'!H25</f>
        <v>0.20700000000000002</v>
      </c>
      <c r="BG99" s="1186">
        <f>'CZ05 BC Factors'!I25</f>
        <v>0.26400000000000001</v>
      </c>
      <c r="BH99" s="1187">
        <f>'CZ05 BC Factors'!J25</f>
        <v>0.71500000000000008</v>
      </c>
      <c r="BI99" s="1188">
        <f>'CZ05 BC Factors'!K25</f>
        <v>1.155</v>
      </c>
      <c r="BK99" s="1202">
        <v>0.4</v>
      </c>
      <c r="BL99" s="1185">
        <f>'CZ06 Factors'!D25</f>
        <v>1.1440000000000001</v>
      </c>
      <c r="BM99" s="1186">
        <f>'CZ06 Factors'!E25</f>
        <v>1.0170629370629374</v>
      </c>
      <c r="BN99" s="1187">
        <f>'CZ06 Factors'!F25</f>
        <v>0.84800000000000009</v>
      </c>
      <c r="BO99" s="1186">
        <f>'CZ06 Factors'!G25</f>
        <v>0.45900000000000007</v>
      </c>
      <c r="BP99" s="1187">
        <f>'CZ06 Factors'!H25</f>
        <v>0.46800000000000008</v>
      </c>
      <c r="BQ99" s="1186">
        <f>'CZ06 Factors'!I25</f>
        <v>0.44550000000000001</v>
      </c>
      <c r="BR99" s="1187">
        <f>'CZ06 Factors'!J25</f>
        <v>0.9</v>
      </c>
      <c r="BS99" s="1188">
        <f>'CZ06 Factors'!K25</f>
        <v>1.0448801742919389</v>
      </c>
      <c r="BU99" s="1202">
        <v>0.4</v>
      </c>
      <c r="BV99" s="1185">
        <f>'CZ07 Factors'!D25</f>
        <v>1.4580000000000002</v>
      </c>
      <c r="BW99" s="1186">
        <f>'CZ07 Factors'!E25</f>
        <v>1.4570000000000001</v>
      </c>
      <c r="BX99" s="1187">
        <f>'CZ07 Factors'!F25</f>
        <v>0.84100000000000008</v>
      </c>
      <c r="BY99" s="1186">
        <f>'CZ07 Factors'!G25</f>
        <v>0.31624999999999998</v>
      </c>
      <c r="BZ99" s="1187">
        <f>'CZ07 Factors'!H25</f>
        <v>0.27299999999999996</v>
      </c>
      <c r="CA99" s="1186">
        <f>'CZ07 Factors'!I25</f>
        <v>0.32200000000000001</v>
      </c>
      <c r="CB99" s="1187">
        <f>'CZ07 Factors'!J25</f>
        <v>0.75</v>
      </c>
      <c r="CC99" s="1188">
        <f>'CZ07 Factors'!K25</f>
        <v>1.3559999999999999</v>
      </c>
      <c r="CE99" s="1202">
        <v>0.4</v>
      </c>
      <c r="CF99" s="1185">
        <f>'CZ08 Factors'!D25</f>
        <v>1.6778999999999997</v>
      </c>
      <c r="CG99" s="1186">
        <f>'CZ08 Factors'!E25</f>
        <v>1.6523999999999999</v>
      </c>
      <c r="CH99" s="1187">
        <f>'CZ08 Factors'!F25</f>
        <v>1.0454999999999999</v>
      </c>
      <c r="CI99" s="1186">
        <f>'CZ08 Factors'!G25</f>
        <v>0.39899999999999997</v>
      </c>
      <c r="CJ99" s="1187">
        <f>'CZ08 Factors'!H25</f>
        <v>0.21600000000000003</v>
      </c>
      <c r="CK99" s="1186">
        <f>'CZ08 Factors'!I25</f>
        <v>0.38640000000000002</v>
      </c>
      <c r="CL99" s="1187">
        <f>'CZ08 Factors'!J25</f>
        <v>0.99960000000000016</v>
      </c>
      <c r="CM99" s="1188">
        <f>'CZ08 Factors'!K25</f>
        <v>1.5592500000000002</v>
      </c>
    </row>
    <row r="100" spans="2:91" x14ac:dyDescent="0.25">
      <c r="C100" s="1202">
        <v>0.6</v>
      </c>
      <c r="D100" s="1185"/>
      <c r="E100" s="1186"/>
      <c r="F100" s="1187"/>
      <c r="G100" s="1186"/>
      <c r="H100" s="1187"/>
      <c r="I100" s="1186"/>
      <c r="J100" s="1187"/>
      <c r="K100" s="1188"/>
      <c r="M100" s="1202">
        <v>0.6</v>
      </c>
      <c r="N100" s="1185">
        <f>'CZ02 Factors'!D26</f>
        <v>0.83200000000000007</v>
      </c>
      <c r="O100" s="1186">
        <f>'CZ02 Factors'!E26</f>
        <v>0.7995000000000001</v>
      </c>
      <c r="P100" s="1187">
        <f>'CZ02 Factors'!F26</f>
        <v>0.6</v>
      </c>
      <c r="Q100" s="1186">
        <f>'CZ02 Factors'!G26</f>
        <v>0.24674999999999997</v>
      </c>
      <c r="R100" s="1187">
        <f>'CZ02 Factors'!H26</f>
        <v>0.22000000000000003</v>
      </c>
      <c r="S100" s="1186">
        <f>'CZ02 Factors'!I26</f>
        <v>0.24749999999999997</v>
      </c>
      <c r="T100" s="1187">
        <f>'CZ02 Factors'!J26</f>
        <v>0.58650000000000002</v>
      </c>
      <c r="U100" s="1188">
        <f>'CZ02 Factors'!K26</f>
        <v>0.80924999999999991</v>
      </c>
      <c r="W100" s="1202">
        <v>0.6</v>
      </c>
      <c r="X100" s="1185">
        <f>'CZ03 Factors'!D26</f>
        <v>0.66739999999999999</v>
      </c>
      <c r="Y100" s="1186">
        <f>'CZ03 Factors'!E26</f>
        <v>0.60060000000000002</v>
      </c>
      <c r="Z100" s="1187">
        <f>'CZ03 Factors'!F26</f>
        <v>0.40799999999999997</v>
      </c>
      <c r="AA100" s="1186">
        <f>'CZ03 Factors'!G26</f>
        <v>0.21240000000000003</v>
      </c>
      <c r="AB100" s="1187">
        <f>'CZ03 Factors'!H26</f>
        <v>0.25670000000000004</v>
      </c>
      <c r="AC100" s="1186">
        <f>'CZ03 Factors'!I26</f>
        <v>0.23489999999999997</v>
      </c>
      <c r="AD100" s="1187">
        <f>'CZ03 Factors'!J26</f>
        <v>0.59400000000000008</v>
      </c>
      <c r="AE100" s="1188">
        <f>'CZ03 Factors'!K26</f>
        <v>0.78735000000000011</v>
      </c>
      <c r="AG100" s="1202">
        <v>0.6</v>
      </c>
      <c r="AH100" s="1185">
        <f>'CZ04 Factors'!D26</f>
        <v>0.91499999999999992</v>
      </c>
      <c r="AI100" s="1186">
        <f>'CZ04 Factors'!E26</f>
        <v>0.83250000000000013</v>
      </c>
      <c r="AJ100" s="1187">
        <f>'CZ04 Factors'!F26</f>
        <v>0.53900000000000003</v>
      </c>
      <c r="AK100" s="1186">
        <f>'CZ04 Factors'!G26</f>
        <v>0.252</v>
      </c>
      <c r="AL100" s="1187">
        <f>'CZ04 Factors'!H26</f>
        <v>0.247</v>
      </c>
      <c r="AM100" s="1186">
        <f>'CZ04 Factors'!I26</f>
        <v>0.27299999999999996</v>
      </c>
      <c r="AN100" s="1187">
        <f>'CZ04 Factors'!J26</f>
        <v>0.6369999999999999</v>
      </c>
      <c r="AO100" s="1188">
        <f>'CZ04 Factors'!K26</f>
        <v>0.92249999999999999</v>
      </c>
      <c r="AQ100" s="1202">
        <v>0.6</v>
      </c>
      <c r="AR100" s="1185">
        <f>'CZ05 Factors'!D26</f>
        <v>0.96799999999999997</v>
      </c>
      <c r="AS100" s="1186">
        <f>'CZ05 Factors'!E26</f>
        <v>0.87149999999999994</v>
      </c>
      <c r="AT100" s="1187">
        <f>'CZ05 Factors'!F26</f>
        <v>0.52000000000000013</v>
      </c>
      <c r="AU100" s="1186">
        <f>'CZ05 Factors'!G26</f>
        <v>0.26250000000000007</v>
      </c>
      <c r="AV100" s="1187">
        <f>'CZ05 Factors'!H26</f>
        <v>0.252</v>
      </c>
      <c r="AW100" s="1186">
        <f>'CZ05 Factors'!I26</f>
        <v>0.25200000000000006</v>
      </c>
      <c r="AX100" s="1187">
        <f>'CZ05 Factors'!J26</f>
        <v>0.56400000000000006</v>
      </c>
      <c r="AY100" s="1188">
        <f>'CZ05 Factors'!K26</f>
        <v>0.90000000000000013</v>
      </c>
      <c r="AZ100" s="449"/>
      <c r="BA100" s="1202">
        <v>0.6</v>
      </c>
      <c r="BB100" s="1185">
        <f>'CZ05 BC Factors'!D26</f>
        <v>0.96799999999999997</v>
      </c>
      <c r="BC100" s="1186">
        <f>'CZ05 BC Factors'!E26</f>
        <v>0.87149999999999994</v>
      </c>
      <c r="BD100" s="1187">
        <f>'CZ05 BC Factors'!F26</f>
        <v>0.52000000000000013</v>
      </c>
      <c r="BE100" s="1186">
        <f>'CZ05 BC Factors'!G26</f>
        <v>0.23100000000000001</v>
      </c>
      <c r="BF100" s="1187">
        <f>'CZ05 BC Factors'!H26</f>
        <v>0.189</v>
      </c>
      <c r="BG100" s="1186">
        <f>'CZ05 BC Factors'!I26</f>
        <v>0.23100000000000001</v>
      </c>
      <c r="BH100" s="1187">
        <f>'CZ05 BC Factors'!J26</f>
        <v>0.61099999999999999</v>
      </c>
      <c r="BI100" s="1188">
        <f>'CZ05 BC Factors'!K26</f>
        <v>0.94499999999999995</v>
      </c>
      <c r="BK100" s="1202">
        <v>0.6</v>
      </c>
      <c r="BL100" s="1185">
        <f>'CZ06 Factors'!D26</f>
        <v>0.97599999999999998</v>
      </c>
      <c r="BM100" s="1186">
        <f>'CZ06 Factors'!E26</f>
        <v>0.86601398601398616</v>
      </c>
      <c r="BN100" s="1187">
        <f>'CZ06 Factors'!F26</f>
        <v>0.7200000000000002</v>
      </c>
      <c r="BO100" s="1186">
        <f>'CZ06 Factors'!G26</f>
        <v>0.39100000000000001</v>
      </c>
      <c r="BP100" s="1187">
        <f>'CZ06 Factors'!H26</f>
        <v>0.41400000000000003</v>
      </c>
      <c r="BQ100" s="1186">
        <f>'CZ06 Factors'!I26</f>
        <v>0.3795</v>
      </c>
      <c r="BR100" s="1187">
        <f>'CZ06 Factors'!J26</f>
        <v>0.78</v>
      </c>
      <c r="BS100" s="1188">
        <f>'CZ06 Factors'!K26</f>
        <v>0.90239651416122013</v>
      </c>
      <c r="BU100" s="1202">
        <v>0.6</v>
      </c>
      <c r="BV100" s="1185">
        <f>'CZ07 Factors'!D26</f>
        <v>1.3410000000000002</v>
      </c>
      <c r="BW100" s="1186">
        <f>'CZ07 Factors'!E26</f>
        <v>1.2807500000000003</v>
      </c>
      <c r="BX100" s="1187">
        <f>'CZ07 Factors'!F26</f>
        <v>0.72500000000000009</v>
      </c>
      <c r="BY100" s="1186">
        <f>'CZ07 Factors'!G26</f>
        <v>0.27499999999999997</v>
      </c>
      <c r="BZ100" s="1187">
        <f>'CZ07 Factors'!H26</f>
        <v>0.247</v>
      </c>
      <c r="CA100" s="1186">
        <f>'CZ07 Factors'!I26</f>
        <v>0.28000000000000003</v>
      </c>
      <c r="CB100" s="1187">
        <f>'CZ07 Factors'!J26</f>
        <v>0.66</v>
      </c>
      <c r="CC100" s="1188">
        <f>'CZ07 Factors'!K26</f>
        <v>1.1520000000000001</v>
      </c>
      <c r="CE100" s="1202">
        <v>0.6</v>
      </c>
      <c r="CF100" s="1185">
        <f>'CZ08 Factors'!D26</f>
        <v>1.4041999999999999</v>
      </c>
      <c r="CG100" s="1186">
        <f>'CZ08 Factors'!E26</f>
        <v>1.3445999999999998</v>
      </c>
      <c r="CH100" s="1187">
        <f>'CZ08 Factors'!F26</f>
        <v>0.90199999999999991</v>
      </c>
      <c r="CI100" s="1186">
        <f>'CZ08 Factors'!G26</f>
        <v>0.34199999999999992</v>
      </c>
      <c r="CJ100" s="1187">
        <f>'CZ08 Factors'!H26</f>
        <v>0.19200000000000003</v>
      </c>
      <c r="CK100" s="1186">
        <f>'CZ08 Factors'!I26</f>
        <v>0.33119999999999994</v>
      </c>
      <c r="CL100" s="1187">
        <f>'CZ08 Factors'!J26</f>
        <v>0.86240000000000006</v>
      </c>
      <c r="CM100" s="1188">
        <f>'CZ08 Factors'!K26</f>
        <v>1.2915000000000001</v>
      </c>
    </row>
    <row r="101" spans="2:91" x14ac:dyDescent="0.25">
      <c r="C101" s="1202">
        <v>0.8</v>
      </c>
      <c r="D101" s="1185"/>
      <c r="E101" s="1186"/>
      <c r="F101" s="1187"/>
      <c r="G101" s="1186"/>
      <c r="H101" s="1187"/>
      <c r="I101" s="1186"/>
      <c r="J101" s="1187"/>
      <c r="K101" s="1188"/>
      <c r="M101" s="1202">
        <v>0.8</v>
      </c>
      <c r="N101" s="1185">
        <f>'CZ02 Factors'!D27</f>
        <v>0.62400000000000011</v>
      </c>
      <c r="O101" s="1186">
        <f>'CZ02 Factors'!E27</f>
        <v>0.63550000000000006</v>
      </c>
      <c r="P101" s="1187">
        <f>'CZ02 Factors'!F27</f>
        <v>0.48749999999999999</v>
      </c>
      <c r="Q101" s="1186">
        <f>'CZ02 Factors'!G27</f>
        <v>0.21149999999999999</v>
      </c>
      <c r="R101" s="1187">
        <f>'CZ02 Factors'!H27</f>
        <v>0.20899999999999999</v>
      </c>
      <c r="S101" s="1186">
        <f>'CZ02 Factors'!I27</f>
        <v>0.22499999999999998</v>
      </c>
      <c r="T101" s="1187">
        <f>'CZ02 Factors'!J27</f>
        <v>0.50600000000000001</v>
      </c>
      <c r="U101" s="1188">
        <f>'CZ02 Factors'!K27</f>
        <v>0.66300000000000003</v>
      </c>
      <c r="W101" s="1202">
        <v>0.8</v>
      </c>
      <c r="X101" s="1185">
        <f>'CZ03 Factors'!D27</f>
        <v>0.44729999999999998</v>
      </c>
      <c r="Y101" s="1186">
        <f>'CZ03 Factors'!E27</f>
        <v>0.4758</v>
      </c>
      <c r="Z101" s="1187">
        <f>'CZ03 Factors'!F27</f>
        <v>0.36549999999999999</v>
      </c>
      <c r="AA101" s="1186">
        <f>'CZ03 Factors'!G27</f>
        <v>0.18880000000000002</v>
      </c>
      <c r="AB101" s="1187">
        <f>'CZ03 Factors'!H27</f>
        <v>0.22649999999999998</v>
      </c>
      <c r="AC101" s="1186">
        <f>'CZ03 Factors'!I27</f>
        <v>0.22184999999999999</v>
      </c>
      <c r="AD101" s="1187">
        <f>'CZ03 Factors'!J27</f>
        <v>0.50600000000000001</v>
      </c>
      <c r="AE101" s="1188">
        <f>'CZ03 Factors'!K27</f>
        <v>0.63350000000000006</v>
      </c>
      <c r="AG101" s="1202">
        <v>0.8</v>
      </c>
      <c r="AH101" s="1185">
        <f>'CZ04 Factors'!D27</f>
        <v>0.79500000000000015</v>
      </c>
      <c r="AI101" s="1186">
        <f>'CZ04 Factors'!E27</f>
        <v>0.68450000000000011</v>
      </c>
      <c r="AJ101" s="1187">
        <f>'CZ04 Factors'!F27</f>
        <v>0.47300000000000003</v>
      </c>
      <c r="AK101" s="1186">
        <f>'CZ04 Factors'!G27</f>
        <v>0.22800000000000001</v>
      </c>
      <c r="AL101" s="1187">
        <f>'CZ04 Factors'!H27</f>
        <v>0.23400000000000001</v>
      </c>
      <c r="AM101" s="1186">
        <f>'CZ04 Factors'!I27</f>
        <v>0.247</v>
      </c>
      <c r="AN101" s="1187">
        <f>'CZ04 Factors'!J27</f>
        <v>0.57200000000000006</v>
      </c>
      <c r="AO101" s="1188">
        <f>'CZ04 Factors'!K27</f>
        <v>0.76874999999999993</v>
      </c>
      <c r="AQ101" s="1202">
        <v>0.8</v>
      </c>
      <c r="AR101" s="1185">
        <f>'CZ05 Factors'!D27</f>
        <v>0.78400000000000003</v>
      </c>
      <c r="AS101" s="1186">
        <f>'CZ05 Factors'!E27</f>
        <v>0.71400000000000008</v>
      </c>
      <c r="AT101" s="1187">
        <f>'CZ05 Factors'!F27</f>
        <v>0.45500000000000002</v>
      </c>
      <c r="AU101" s="1186">
        <f>'CZ05 Factors'!G27</f>
        <v>0.23750000000000004</v>
      </c>
      <c r="AV101" s="1187">
        <f>'CZ05 Factors'!H27</f>
        <v>0.22799999999999998</v>
      </c>
      <c r="AW101" s="1186">
        <f>'CZ05 Factors'!I27</f>
        <v>0.22800000000000004</v>
      </c>
      <c r="AX101" s="1187">
        <f>'CZ05 Factors'!J27</f>
        <v>0.504</v>
      </c>
      <c r="AY101" s="1188">
        <f>'CZ05 Factors'!K27</f>
        <v>0.73</v>
      </c>
      <c r="AZ101" s="449"/>
      <c r="BA101" s="1202">
        <v>0.8</v>
      </c>
      <c r="BB101" s="1185">
        <f>'CZ05 BC Factors'!D27</f>
        <v>0.78400000000000003</v>
      </c>
      <c r="BC101" s="1186">
        <f>'CZ05 BC Factors'!E27</f>
        <v>0.71400000000000008</v>
      </c>
      <c r="BD101" s="1187">
        <f>'CZ05 BC Factors'!F27</f>
        <v>0.45500000000000002</v>
      </c>
      <c r="BE101" s="1186">
        <f>'CZ05 BC Factors'!G27</f>
        <v>0.20900000000000002</v>
      </c>
      <c r="BF101" s="1187">
        <f>'CZ05 BC Factors'!H27</f>
        <v>0.17100000000000001</v>
      </c>
      <c r="BG101" s="1186">
        <f>'CZ05 BC Factors'!I27</f>
        <v>0.20900000000000002</v>
      </c>
      <c r="BH101" s="1187">
        <f>'CZ05 BC Factors'!J27</f>
        <v>0.54600000000000004</v>
      </c>
      <c r="BI101" s="1188">
        <f>'CZ05 BC Factors'!K27</f>
        <v>0.76649999999999985</v>
      </c>
      <c r="BK101" s="1202">
        <v>0.8</v>
      </c>
      <c r="BL101" s="1185">
        <f>'CZ06 Factors'!D27</f>
        <v>0.86400000000000021</v>
      </c>
      <c r="BM101" s="1186">
        <f>'CZ06 Factors'!E27</f>
        <v>0.73510489510489518</v>
      </c>
      <c r="BN101" s="1187">
        <f>'CZ06 Factors'!F27</f>
        <v>0.6080000000000001</v>
      </c>
      <c r="BO101" s="1186">
        <f>'CZ06 Factors'!G27</f>
        <v>0.35700000000000004</v>
      </c>
      <c r="BP101" s="1187">
        <f>'CZ06 Factors'!H27</f>
        <v>0.378</v>
      </c>
      <c r="BQ101" s="1186">
        <f>'CZ06 Factors'!I27</f>
        <v>0.36299999999999999</v>
      </c>
      <c r="BR101" s="1187">
        <f>'CZ06 Factors'!J27</f>
        <v>0.69000000000000006</v>
      </c>
      <c r="BS101" s="1188">
        <f>'CZ06 Factors'!K27</f>
        <v>0.75041394335511991</v>
      </c>
      <c r="BU101" s="1202">
        <v>0.8</v>
      </c>
      <c r="BV101" s="1185">
        <f>'CZ07 Factors'!D27</f>
        <v>1.143</v>
      </c>
      <c r="BW101" s="1186">
        <f>'CZ07 Factors'!E27</f>
        <v>1.1045</v>
      </c>
      <c r="BX101" s="1187">
        <f>'CZ07 Factors'!F27</f>
        <v>0.63800000000000001</v>
      </c>
      <c r="BY101" s="1186">
        <f>'CZ07 Factors'!G27</f>
        <v>0.24749999999999997</v>
      </c>
      <c r="BZ101" s="1187">
        <f>'CZ07 Factors'!H27</f>
        <v>0.221</v>
      </c>
      <c r="CA101" s="1186">
        <f>'CZ07 Factors'!I27</f>
        <v>0.252</v>
      </c>
      <c r="CB101" s="1187">
        <f>'CZ07 Factors'!J27</f>
        <v>0.58499999999999996</v>
      </c>
      <c r="CC101" s="1188">
        <f>'CZ07 Factors'!K27</f>
        <v>0.996</v>
      </c>
      <c r="CE101" s="1202">
        <v>0.8</v>
      </c>
      <c r="CF101" s="1185">
        <f>'CZ08 Factors'!D27</f>
        <v>1.1900000000000002</v>
      </c>
      <c r="CG101" s="1186">
        <f>'CZ08 Factors'!E27</f>
        <v>1.1015999999999999</v>
      </c>
      <c r="CH101" s="1187">
        <f>'CZ08 Factors'!F27</f>
        <v>0.75849999999999984</v>
      </c>
      <c r="CI101" s="1186">
        <f>'CZ08 Factors'!G27</f>
        <v>0.29924999999999996</v>
      </c>
      <c r="CJ101" s="1187">
        <f>'CZ08 Factors'!H27</f>
        <v>0.17600000000000002</v>
      </c>
      <c r="CK101" s="1186">
        <f>'CZ08 Factors'!I27</f>
        <v>0.2898</v>
      </c>
      <c r="CL101" s="1187">
        <f>'CZ08 Factors'!J27</f>
        <v>0.7056</v>
      </c>
      <c r="CM101" s="1188">
        <f>'CZ08 Factors'!K27</f>
        <v>1.0552500000000002</v>
      </c>
    </row>
    <row r="102" spans="2:91" ht="13" x14ac:dyDescent="0.3">
      <c r="C102" s="1203">
        <v>1</v>
      </c>
      <c r="D102" s="1191"/>
      <c r="E102" s="1192"/>
      <c r="F102" s="1193"/>
      <c r="G102" s="1192"/>
      <c r="H102" s="1193"/>
      <c r="I102" s="1192"/>
      <c r="J102" s="1193"/>
      <c r="K102" s="1194"/>
      <c r="M102" s="1203">
        <v>1</v>
      </c>
      <c r="N102" s="1191">
        <f>'CZ02 Factors'!D28</f>
        <v>0.43200000000000011</v>
      </c>
      <c r="O102" s="1192">
        <f>'CZ02 Factors'!E28</f>
        <v>0.54325000000000001</v>
      </c>
      <c r="P102" s="1193">
        <f>'CZ02 Factors'!F28</f>
        <v>0.39999999999999997</v>
      </c>
      <c r="Q102" s="1192">
        <f>'CZ02 Factors'!G28</f>
        <v>0.19975000000000001</v>
      </c>
      <c r="R102" s="1193">
        <f>'CZ02 Factors'!H28</f>
        <v>0.19800000000000001</v>
      </c>
      <c r="S102" s="1192">
        <f>'CZ02 Factors'!I28</f>
        <v>0.19125</v>
      </c>
      <c r="T102" s="1193">
        <f>'CZ02 Factors'!J28</f>
        <v>0.42549999999999999</v>
      </c>
      <c r="U102" s="1194">
        <f>'CZ02 Factors'!K28</f>
        <v>0.54600000000000004</v>
      </c>
      <c r="W102" s="1203">
        <v>1</v>
      </c>
      <c r="X102" s="1191">
        <f>'CZ03 Factors'!D28</f>
        <v>0.29820000000000002</v>
      </c>
      <c r="Y102" s="1192">
        <f>'CZ03 Factors'!E28</f>
        <v>0.40559999999999996</v>
      </c>
      <c r="Z102" s="1193">
        <f>'CZ03 Factors'!F28</f>
        <v>0.29749999999999999</v>
      </c>
      <c r="AA102" s="1192">
        <f>'CZ03 Factors'!G28</f>
        <v>0.16520000000000004</v>
      </c>
      <c r="AB102" s="1193">
        <f>'CZ03 Factors'!H28</f>
        <v>0.21140000000000003</v>
      </c>
      <c r="AC102" s="1192">
        <f>'CZ03 Factors'!I28</f>
        <v>0.20879999999999999</v>
      </c>
      <c r="AD102" s="1193">
        <f>'CZ03 Factors'!J28</f>
        <v>0.45099999999999996</v>
      </c>
      <c r="AE102" s="1194">
        <f>'CZ03 Factors'!K28</f>
        <v>0.50680000000000003</v>
      </c>
      <c r="AG102" s="1203">
        <v>1</v>
      </c>
      <c r="AH102" s="1191">
        <f>'CZ04 Factors'!D28</f>
        <v>0.63750000000000007</v>
      </c>
      <c r="AI102" s="1192">
        <f>'CZ04 Factors'!E28</f>
        <v>0.61050000000000004</v>
      </c>
      <c r="AJ102" s="1193">
        <f>'CZ04 Factors'!F28</f>
        <v>0.40700000000000003</v>
      </c>
      <c r="AK102" s="1192">
        <f>'CZ04 Factors'!G28</f>
        <v>0.20400000000000001</v>
      </c>
      <c r="AL102" s="1193">
        <f>'CZ04 Factors'!H28</f>
        <v>0.20799999999999999</v>
      </c>
      <c r="AM102" s="1192">
        <f>'CZ04 Factors'!I28</f>
        <v>0.221</v>
      </c>
      <c r="AN102" s="1193">
        <f>'CZ04 Factors'!J28</f>
        <v>0.48099999999999998</v>
      </c>
      <c r="AO102" s="1194">
        <f>'CZ04 Factors'!K28</f>
        <v>0.65600000000000003</v>
      </c>
      <c r="AQ102" s="1203">
        <v>1</v>
      </c>
      <c r="AR102" s="1191">
        <f>'CZ05 Factors'!D28</f>
        <v>0.64000000000000012</v>
      </c>
      <c r="AS102" s="1192">
        <f>'CZ05 Factors'!E28</f>
        <v>0.54600000000000004</v>
      </c>
      <c r="AT102" s="1193">
        <f>'CZ05 Factors'!F28</f>
        <v>0.36400000000000005</v>
      </c>
      <c r="AU102" s="1192">
        <f>'CZ05 Factors'!G28</f>
        <v>0.21250000000000005</v>
      </c>
      <c r="AV102" s="1193">
        <f>'CZ05 Factors'!H28</f>
        <v>0.216</v>
      </c>
      <c r="AW102" s="1192">
        <f>'CZ05 Factors'!I28</f>
        <v>0.20400000000000004</v>
      </c>
      <c r="AX102" s="1193">
        <f>'CZ05 Factors'!J28</f>
        <v>0.432</v>
      </c>
      <c r="AY102" s="1194">
        <f>'CZ05 Factors'!K28</f>
        <v>0.63</v>
      </c>
      <c r="AZ102" s="448"/>
      <c r="BA102" s="1203">
        <v>1</v>
      </c>
      <c r="BB102" s="1191">
        <f>'CZ05 BC Factors'!D28</f>
        <v>0.64000000000000012</v>
      </c>
      <c r="BC102" s="1192">
        <f>'CZ05 BC Factors'!E28</f>
        <v>0.54600000000000004</v>
      </c>
      <c r="BD102" s="1193">
        <f>'CZ05 BC Factors'!F28</f>
        <v>0.36400000000000005</v>
      </c>
      <c r="BE102" s="1192">
        <f>'CZ05 BC Factors'!G28</f>
        <v>0.18700000000000003</v>
      </c>
      <c r="BF102" s="1193">
        <f>'CZ05 BC Factors'!H28</f>
        <v>0.16200000000000001</v>
      </c>
      <c r="BG102" s="1192">
        <f>'CZ05 BC Factors'!I28</f>
        <v>0.18700000000000003</v>
      </c>
      <c r="BH102" s="1193">
        <f>'CZ05 BC Factors'!J28</f>
        <v>0.46799999999999997</v>
      </c>
      <c r="BI102" s="1194">
        <f>'CZ05 BC Factors'!K28</f>
        <v>0.66149999999999987</v>
      </c>
      <c r="BK102" s="1203">
        <v>1</v>
      </c>
      <c r="BL102" s="1191">
        <f>'CZ06 Factors'!D28</f>
        <v>0.68800000000000006</v>
      </c>
      <c r="BM102" s="1192">
        <f>'CZ06 Factors'!E28</f>
        <v>0.58405594405594408</v>
      </c>
      <c r="BN102" s="1193">
        <f>'CZ06 Factors'!F28</f>
        <v>0.54400000000000004</v>
      </c>
      <c r="BO102" s="1192">
        <f>'CZ06 Factors'!G28</f>
        <v>0.32300000000000006</v>
      </c>
      <c r="BP102" s="1193">
        <f>'CZ06 Factors'!H28</f>
        <v>0.34200000000000003</v>
      </c>
      <c r="BQ102" s="1192">
        <f>'CZ06 Factors'!I28</f>
        <v>0.3135</v>
      </c>
      <c r="BR102" s="1193">
        <f>'CZ06 Factors'!J28</f>
        <v>0.58500000000000008</v>
      </c>
      <c r="BS102" s="1194">
        <f>'CZ06 Factors'!K28</f>
        <v>0.65542483660130713</v>
      </c>
      <c r="BU102" s="1203">
        <v>1</v>
      </c>
      <c r="BV102" s="1191">
        <f>'CZ07 Factors'!D28</f>
        <v>1.0439999999999998</v>
      </c>
      <c r="BW102" s="1192">
        <f>'CZ07 Factors'!E28</f>
        <v>0.97525000000000006</v>
      </c>
      <c r="BX102" s="1193">
        <f>'CZ07 Factors'!F28</f>
        <v>0.59450000000000003</v>
      </c>
      <c r="BY102" s="1192">
        <f>'CZ07 Factors'!G28</f>
        <v>0.21999999999999997</v>
      </c>
      <c r="BZ102" s="1193">
        <f>'CZ07 Factors'!H28</f>
        <v>0.20799999999999999</v>
      </c>
      <c r="CA102" s="1192">
        <f>'CZ07 Factors'!I28</f>
        <v>0.224</v>
      </c>
      <c r="CB102" s="1193">
        <f>'CZ07 Factors'!J28</f>
        <v>0.51</v>
      </c>
      <c r="CC102" s="1194">
        <f>'CZ07 Factors'!K28</f>
        <v>0.85199999999999998</v>
      </c>
      <c r="CE102" s="1203">
        <v>1</v>
      </c>
      <c r="CF102" s="1191">
        <f>'CZ08 Factors'!D28</f>
        <v>0.94010000000000005</v>
      </c>
      <c r="CG102" s="1192">
        <f>'CZ08 Factors'!E28</f>
        <v>0.95579999999999987</v>
      </c>
      <c r="CH102" s="1193">
        <f>'CZ08 Factors'!F28</f>
        <v>0.65599999999999992</v>
      </c>
      <c r="CI102" s="1192">
        <f>'CZ08 Factors'!G28</f>
        <v>0.28499999999999998</v>
      </c>
      <c r="CJ102" s="1193">
        <f>'CZ08 Factors'!H28</f>
        <v>0.16000000000000003</v>
      </c>
      <c r="CK102" s="1192">
        <f>'CZ08 Factors'!I28</f>
        <v>0.26219999999999999</v>
      </c>
      <c r="CL102" s="1193">
        <f>'CZ08 Factors'!J28</f>
        <v>0.58799999999999997</v>
      </c>
      <c r="CM102" s="1194">
        <f>'CZ08 Factors'!K28</f>
        <v>0.91349999999999998</v>
      </c>
    </row>
    <row r="103" spans="2:91" x14ac:dyDescent="0.25">
      <c r="C103" s="1202">
        <v>1.2</v>
      </c>
      <c r="D103" s="1185"/>
      <c r="E103" s="1186"/>
      <c r="F103" s="1187"/>
      <c r="G103" s="1186"/>
      <c r="H103" s="1187"/>
      <c r="I103" s="1186"/>
      <c r="J103" s="1187"/>
      <c r="K103" s="1188"/>
      <c r="M103" s="1202">
        <v>1.2</v>
      </c>
      <c r="N103" s="1185">
        <f>'CZ02 Factors'!D29</f>
        <v>0.26400000000000007</v>
      </c>
      <c r="O103" s="1186">
        <f>'CZ02 Factors'!E29</f>
        <v>0.43049999999999999</v>
      </c>
      <c r="P103" s="1187">
        <f>'CZ02 Factors'!F29</f>
        <v>0.35000000000000003</v>
      </c>
      <c r="Q103" s="1186">
        <f>'CZ02 Factors'!G29</f>
        <v>0.17624999999999999</v>
      </c>
      <c r="R103" s="1187">
        <f>'CZ02 Factors'!H29</f>
        <v>0.18700000000000003</v>
      </c>
      <c r="S103" s="1186">
        <f>'CZ02 Factors'!I29</f>
        <v>0.18</v>
      </c>
      <c r="T103" s="1187">
        <f>'CZ02 Factors'!J29</f>
        <v>0.40249999999999997</v>
      </c>
      <c r="U103" s="1188">
        <f>'CZ02 Factors'!K29</f>
        <v>0.44850000000000001</v>
      </c>
      <c r="W103" s="1202">
        <v>1.2</v>
      </c>
      <c r="X103" s="1185">
        <f>'CZ03 Factors'!D29</f>
        <v>0.20589999999999997</v>
      </c>
      <c r="Y103" s="1186">
        <f>'CZ03 Factors'!E29</f>
        <v>0.312</v>
      </c>
      <c r="Z103" s="1187">
        <f>'CZ03 Factors'!F29</f>
        <v>0.26350000000000001</v>
      </c>
      <c r="AA103" s="1186">
        <f>'CZ03 Factors'!G29</f>
        <v>0.15340000000000001</v>
      </c>
      <c r="AB103" s="1187">
        <f>'CZ03 Factors'!H29</f>
        <v>0.21140000000000003</v>
      </c>
      <c r="AC103" s="1186">
        <f>'CZ03 Factors'!I29</f>
        <v>0.1827</v>
      </c>
      <c r="AD103" s="1187">
        <f>'CZ03 Factors'!J29</f>
        <v>0.37400000000000005</v>
      </c>
      <c r="AE103" s="1188">
        <f>'CZ03 Factors'!K29</f>
        <v>0.43440000000000001</v>
      </c>
      <c r="AG103" s="1202">
        <v>1.2</v>
      </c>
      <c r="AH103" s="1185">
        <f>'CZ04 Factors'!D29</f>
        <v>0.45749999999999996</v>
      </c>
      <c r="AI103" s="1186">
        <f>'CZ04 Factors'!E29</f>
        <v>0.47175000000000006</v>
      </c>
      <c r="AJ103" s="1187">
        <f>'CZ04 Factors'!F29</f>
        <v>0.36300000000000004</v>
      </c>
      <c r="AK103" s="1186">
        <f>'CZ04 Factors'!G29</f>
        <v>0.18</v>
      </c>
      <c r="AL103" s="1187">
        <f>'CZ04 Factors'!H29</f>
        <v>0.20799999999999999</v>
      </c>
      <c r="AM103" s="1186">
        <f>'CZ04 Factors'!I29</f>
        <v>0.20799999999999999</v>
      </c>
      <c r="AN103" s="1187">
        <f>'CZ04 Factors'!J29</f>
        <v>0.442</v>
      </c>
      <c r="AO103" s="1188">
        <f>'CZ04 Factors'!K29</f>
        <v>0.57400000000000007</v>
      </c>
      <c r="AQ103" s="1202">
        <v>1.2</v>
      </c>
      <c r="AR103" s="1185">
        <f>'CZ05 Factors'!D29</f>
        <v>0.43200000000000005</v>
      </c>
      <c r="AS103" s="1186">
        <f>'CZ05 Factors'!E29</f>
        <v>0.48299999999999998</v>
      </c>
      <c r="AT103" s="1187">
        <f>'CZ05 Factors'!F29</f>
        <v>0.32500000000000001</v>
      </c>
      <c r="AU103" s="1186">
        <f>'CZ05 Factors'!G29</f>
        <v>0.20000000000000004</v>
      </c>
      <c r="AV103" s="1187">
        <f>'CZ05 Factors'!H29</f>
        <v>0.20400000000000001</v>
      </c>
      <c r="AW103" s="1186">
        <f>'CZ05 Factors'!I29</f>
        <v>0.19200000000000003</v>
      </c>
      <c r="AX103" s="1187">
        <f>'CZ05 Factors'!J29</f>
        <v>0.34800000000000003</v>
      </c>
      <c r="AY103" s="1188">
        <f>'CZ05 Factors'!K29</f>
        <v>0.49999999999999994</v>
      </c>
      <c r="AZ103" s="449"/>
      <c r="BA103" s="1202">
        <v>1.2</v>
      </c>
      <c r="BB103" s="1185">
        <f>'CZ05 BC Factors'!D29</f>
        <v>0.43200000000000005</v>
      </c>
      <c r="BC103" s="1186">
        <f>'CZ05 BC Factors'!E29</f>
        <v>0.48299999999999998</v>
      </c>
      <c r="BD103" s="1187">
        <f>'CZ05 BC Factors'!F29</f>
        <v>0.32500000000000001</v>
      </c>
      <c r="BE103" s="1186">
        <f>'CZ05 BC Factors'!G29</f>
        <v>0.17600000000000002</v>
      </c>
      <c r="BF103" s="1187">
        <f>'CZ05 BC Factors'!H29</f>
        <v>0.15300000000000002</v>
      </c>
      <c r="BG103" s="1186">
        <f>'CZ05 BC Factors'!I29</f>
        <v>0.17600000000000002</v>
      </c>
      <c r="BH103" s="1187">
        <f>'CZ05 BC Factors'!J29</f>
        <v>0.377</v>
      </c>
      <c r="BI103" s="1188">
        <f>'CZ05 BC Factors'!K29</f>
        <v>0.52499999999999991</v>
      </c>
      <c r="BK103" s="1202">
        <v>1.2</v>
      </c>
      <c r="BL103" s="1185">
        <f>'CZ06 Factors'!D29</f>
        <v>0.55999999999999994</v>
      </c>
      <c r="BM103" s="1186">
        <f>'CZ06 Factors'!E29</f>
        <v>0.54377622377622392</v>
      </c>
      <c r="BN103" s="1187">
        <f>'CZ06 Factors'!F29</f>
        <v>0.46400000000000002</v>
      </c>
      <c r="BO103" s="1186">
        <f>'CZ06 Factors'!G29</f>
        <v>0.30600000000000005</v>
      </c>
      <c r="BP103" s="1187">
        <f>'CZ06 Factors'!H29</f>
        <v>0.30600000000000005</v>
      </c>
      <c r="BQ103" s="1186">
        <f>'CZ06 Factors'!I29</f>
        <v>0.29699999999999999</v>
      </c>
      <c r="BR103" s="1187">
        <f>'CZ06 Factors'!J29</f>
        <v>0.54</v>
      </c>
      <c r="BS103" s="1188">
        <f>'CZ06 Factors'!K29</f>
        <v>0.55093681917211323</v>
      </c>
      <c r="BU103" s="1202">
        <v>1.2</v>
      </c>
      <c r="BV103" s="1185">
        <f>'CZ07 Factors'!D29</f>
        <v>0.81900000000000006</v>
      </c>
      <c r="BW103" s="1186">
        <f>'CZ07 Factors'!E29</f>
        <v>0.82250000000000001</v>
      </c>
      <c r="BX103" s="1187">
        <f>'CZ07 Factors'!F29</f>
        <v>0.49300000000000005</v>
      </c>
      <c r="BY103" s="1186">
        <f>'CZ07 Factors'!G29</f>
        <v>0.20624999999999999</v>
      </c>
      <c r="BZ103" s="1187">
        <f>'CZ07 Factors'!H29</f>
        <v>0.19500000000000001</v>
      </c>
      <c r="CA103" s="1186">
        <f>'CZ07 Factors'!I29</f>
        <v>0.21000000000000002</v>
      </c>
      <c r="CB103" s="1187">
        <f>'CZ07 Factors'!J29</f>
        <v>0.44999999999999996</v>
      </c>
      <c r="CC103" s="1188">
        <f>'CZ07 Factors'!K29</f>
        <v>0.75600000000000001</v>
      </c>
      <c r="CE103" s="1202">
        <v>1.2</v>
      </c>
      <c r="CF103" s="1185">
        <f>'CZ08 Factors'!D29</f>
        <v>0.64260000000000006</v>
      </c>
      <c r="CG103" s="1186">
        <f>'CZ08 Factors'!E29</f>
        <v>0.74519999999999986</v>
      </c>
      <c r="CH103" s="1187">
        <f>'CZ08 Factors'!F29</f>
        <v>0.57400000000000007</v>
      </c>
      <c r="CI103" s="1186">
        <f>'CZ08 Factors'!G29</f>
        <v>0.25649999999999995</v>
      </c>
      <c r="CJ103" s="1187">
        <f>'CZ08 Factors'!H29</f>
        <v>0.15200000000000002</v>
      </c>
      <c r="CK103" s="1186">
        <f>'CZ08 Factors'!I29</f>
        <v>0.24839999999999998</v>
      </c>
      <c r="CL103" s="1187">
        <f>'CZ08 Factors'!J29</f>
        <v>0.5292</v>
      </c>
      <c r="CM103" s="1188">
        <f>'CZ08 Factors'!K29</f>
        <v>0.74025000000000007</v>
      </c>
    </row>
    <row r="104" spans="2:91" x14ac:dyDescent="0.25">
      <c r="C104" s="1202">
        <v>1.4</v>
      </c>
      <c r="D104" s="1185"/>
      <c r="E104" s="1186"/>
      <c r="F104" s="1187"/>
      <c r="G104" s="1186"/>
      <c r="H104" s="1187"/>
      <c r="I104" s="1186"/>
      <c r="J104" s="1187"/>
      <c r="K104" s="1188"/>
      <c r="M104" s="1202">
        <v>1.4</v>
      </c>
      <c r="N104" s="1185">
        <f>'CZ02 Factors'!D30</f>
        <v>0.22400000000000003</v>
      </c>
      <c r="O104" s="1186">
        <f>'CZ02 Factors'!E30</f>
        <v>0.36899999999999999</v>
      </c>
      <c r="P104" s="1187">
        <f>'CZ02 Factors'!F30</f>
        <v>0.28750000000000003</v>
      </c>
      <c r="Q104" s="1186">
        <f>'CZ02 Factors'!G30</f>
        <v>0.16450000000000004</v>
      </c>
      <c r="R104" s="1187">
        <f>'CZ02 Factors'!H30</f>
        <v>0.17600000000000002</v>
      </c>
      <c r="S104" s="1186">
        <f>'CZ02 Factors'!I30</f>
        <v>0.16874999999999998</v>
      </c>
      <c r="T104" s="1187">
        <f>'CZ02 Factors'!J30</f>
        <v>0.35649999999999998</v>
      </c>
      <c r="U104" s="1188">
        <f>'CZ02 Factors'!K30</f>
        <v>0.3705</v>
      </c>
      <c r="W104" s="1202">
        <v>1.4</v>
      </c>
      <c r="X104" s="1185">
        <f>'CZ03 Factors'!D30</f>
        <v>0.1633</v>
      </c>
      <c r="Y104" s="1186">
        <f>'CZ03 Factors'!E30</f>
        <v>0.28079999999999994</v>
      </c>
      <c r="Z104" s="1187">
        <f>'CZ03 Factors'!F30</f>
        <v>0.21250000000000002</v>
      </c>
      <c r="AA104" s="1186">
        <f>'CZ03 Factors'!G30</f>
        <v>0.1416</v>
      </c>
      <c r="AB104" s="1187">
        <f>'CZ03 Factors'!H30</f>
        <v>0.1963</v>
      </c>
      <c r="AC104" s="1186">
        <f>'CZ03 Factors'!I30</f>
        <v>0.16965</v>
      </c>
      <c r="AD104" s="1187">
        <f>'CZ03 Factors'!J30</f>
        <v>0.32999999999999996</v>
      </c>
      <c r="AE104" s="1188">
        <f>'CZ03 Factors'!K30</f>
        <v>0.37104999999999999</v>
      </c>
      <c r="AG104" s="1202">
        <v>1.4</v>
      </c>
      <c r="AH104" s="1185">
        <f>'CZ04 Factors'!D30</f>
        <v>0.35249999999999998</v>
      </c>
      <c r="AI104" s="1186">
        <f>'CZ04 Factors'!E30</f>
        <v>0.43475000000000003</v>
      </c>
      <c r="AJ104" s="1187">
        <f>'CZ04 Factors'!F30</f>
        <v>0.33</v>
      </c>
      <c r="AK104" s="1186">
        <f>'CZ04 Factors'!G30</f>
        <v>0.16800000000000001</v>
      </c>
      <c r="AL104" s="1187">
        <f>'CZ04 Factors'!H30</f>
        <v>0.19500000000000001</v>
      </c>
      <c r="AM104" s="1186">
        <f>'CZ04 Factors'!I30</f>
        <v>0.19499999999999998</v>
      </c>
      <c r="AN104" s="1187">
        <f>'CZ04 Factors'!J30</f>
        <v>0.39</v>
      </c>
      <c r="AO104" s="1188">
        <f>'CZ04 Factors'!K30</f>
        <v>0.4817499999999999</v>
      </c>
      <c r="AQ104" s="1202">
        <v>1.4</v>
      </c>
      <c r="AR104" s="1185">
        <f>'CZ05 Factors'!D30</f>
        <v>0.32000000000000006</v>
      </c>
      <c r="AS104" s="1186">
        <f>'CZ05 Factors'!E30</f>
        <v>0.35700000000000004</v>
      </c>
      <c r="AT104" s="1187">
        <f>'CZ05 Factors'!F30</f>
        <v>0.27300000000000002</v>
      </c>
      <c r="AU104" s="1186">
        <f>'CZ05 Factors'!G30</f>
        <v>0.18750000000000003</v>
      </c>
      <c r="AV104" s="1187">
        <f>'CZ05 Factors'!H30</f>
        <v>0.192</v>
      </c>
      <c r="AW104" s="1186">
        <f>'CZ05 Factors'!I30</f>
        <v>0.18000000000000002</v>
      </c>
      <c r="AX104" s="1187">
        <f>'CZ05 Factors'!J30</f>
        <v>0.33600000000000008</v>
      </c>
      <c r="AY104" s="1188">
        <f>'CZ05 Factors'!K30</f>
        <v>0.43000000000000005</v>
      </c>
      <c r="AZ104" s="449"/>
      <c r="BA104" s="1202">
        <v>1.4</v>
      </c>
      <c r="BB104" s="1185">
        <f>'CZ05 BC Factors'!D30</f>
        <v>0.32000000000000006</v>
      </c>
      <c r="BC104" s="1186">
        <f>'CZ05 BC Factors'!E30</f>
        <v>0.35700000000000004</v>
      </c>
      <c r="BD104" s="1187">
        <f>'CZ05 BC Factors'!F30</f>
        <v>0.27300000000000002</v>
      </c>
      <c r="BE104" s="1186">
        <f>'CZ05 BC Factors'!G30</f>
        <v>0.16500000000000001</v>
      </c>
      <c r="BF104" s="1187">
        <f>'CZ05 BC Factors'!H30</f>
        <v>0.14400000000000002</v>
      </c>
      <c r="BG104" s="1186">
        <f>'CZ05 BC Factors'!I30</f>
        <v>0.16500000000000001</v>
      </c>
      <c r="BH104" s="1187">
        <f>'CZ05 BC Factors'!J30</f>
        <v>0.36400000000000005</v>
      </c>
      <c r="BI104" s="1188">
        <f>'CZ05 BC Factors'!K30</f>
        <v>0.45149999999999996</v>
      </c>
      <c r="BK104" s="1202">
        <v>1.4</v>
      </c>
      <c r="BL104" s="1185">
        <f>'CZ06 Factors'!D30</f>
        <v>0.42400000000000004</v>
      </c>
      <c r="BM104" s="1186">
        <f>'CZ06 Factors'!E30</f>
        <v>0.41286713286713295</v>
      </c>
      <c r="BN104" s="1187">
        <f>'CZ06 Factors'!F30</f>
        <v>0.41600000000000009</v>
      </c>
      <c r="BO104" s="1186">
        <f>'CZ06 Factors'!G30</f>
        <v>0.27200000000000008</v>
      </c>
      <c r="BP104" s="1187">
        <f>'CZ06 Factors'!H30</f>
        <v>0.30600000000000005</v>
      </c>
      <c r="BQ104" s="1186">
        <f>'CZ06 Factors'!I30</f>
        <v>0.28050000000000003</v>
      </c>
      <c r="BR104" s="1187">
        <f>'CZ06 Factors'!J30</f>
        <v>0.48000000000000004</v>
      </c>
      <c r="BS104" s="1188">
        <f>'CZ06 Factors'!K30</f>
        <v>0.49394335511982573</v>
      </c>
      <c r="BU104" s="1202">
        <v>1.4</v>
      </c>
      <c r="BV104" s="1185">
        <f>'CZ07 Factors'!D30</f>
        <v>0.747</v>
      </c>
      <c r="BW104" s="1186">
        <f>'CZ07 Factors'!E30</f>
        <v>0.79900000000000004</v>
      </c>
      <c r="BX104" s="1187">
        <f>'CZ07 Factors'!F30</f>
        <v>0.47850000000000009</v>
      </c>
      <c r="BY104" s="1186">
        <f>'CZ07 Factors'!G30</f>
        <v>0.1925</v>
      </c>
      <c r="BZ104" s="1187">
        <f>'CZ07 Factors'!H30</f>
        <v>0.18200000000000002</v>
      </c>
      <c r="CA104" s="1186">
        <f>'CZ07 Factors'!I30</f>
        <v>0.19600000000000004</v>
      </c>
      <c r="CB104" s="1187">
        <f>'CZ07 Factors'!J30</f>
        <v>0.40500000000000003</v>
      </c>
      <c r="CC104" s="1188">
        <f>'CZ07 Factors'!K30</f>
        <v>0.57600000000000007</v>
      </c>
      <c r="CE104" s="1202">
        <v>1.4</v>
      </c>
      <c r="CF104" s="1185">
        <f>'CZ08 Factors'!D30</f>
        <v>0.52359999999999995</v>
      </c>
      <c r="CG104" s="1186">
        <f>'CZ08 Factors'!E30</f>
        <v>0.68039999999999989</v>
      </c>
      <c r="CH104" s="1187">
        <f>'CZ08 Factors'!F30</f>
        <v>0.51249999999999996</v>
      </c>
      <c r="CI104" s="1186">
        <f>'CZ08 Factors'!G30</f>
        <v>0.24224999999999997</v>
      </c>
      <c r="CJ104" s="1187">
        <f>'CZ08 Factors'!H30</f>
        <v>0.14400000000000002</v>
      </c>
      <c r="CK104" s="1186">
        <f>'CZ08 Factors'!I30</f>
        <v>0.2346</v>
      </c>
      <c r="CL104" s="1187">
        <f>'CZ08 Factors'!J30</f>
        <v>0.47039999999999998</v>
      </c>
      <c r="CM104" s="1188">
        <f>'CZ08 Factors'!K30</f>
        <v>0.59850000000000003</v>
      </c>
    </row>
    <row r="105" spans="2:91" x14ac:dyDescent="0.25">
      <c r="C105" s="1202">
        <v>1.6</v>
      </c>
      <c r="D105" s="1185"/>
      <c r="E105" s="1186"/>
      <c r="F105" s="1187"/>
      <c r="G105" s="1186"/>
      <c r="H105" s="1187"/>
      <c r="I105" s="1186"/>
      <c r="J105" s="1187"/>
      <c r="K105" s="1188"/>
      <c r="M105" s="1202">
        <v>1.6</v>
      </c>
      <c r="N105" s="1185">
        <f>'CZ02 Factors'!D31</f>
        <v>0.17600000000000002</v>
      </c>
      <c r="O105" s="1186">
        <f>'CZ02 Factors'!E31</f>
        <v>0.29725000000000001</v>
      </c>
      <c r="P105" s="1187">
        <f>'CZ02 Factors'!F31</f>
        <v>0.27500000000000002</v>
      </c>
      <c r="Q105" s="1186">
        <f>'CZ02 Factors'!G31</f>
        <v>0.16450000000000004</v>
      </c>
      <c r="R105" s="1187">
        <f>'CZ02 Factors'!H31</f>
        <v>0.16500000000000001</v>
      </c>
      <c r="S105" s="1186">
        <f>'CZ02 Factors'!I31</f>
        <v>0.1575</v>
      </c>
      <c r="T105" s="1187">
        <f>'CZ02 Factors'!J31</f>
        <v>0.29899999999999999</v>
      </c>
      <c r="U105" s="1188">
        <f>'CZ02 Factors'!K31</f>
        <v>0.33150000000000002</v>
      </c>
      <c r="W105" s="1202">
        <v>1.6</v>
      </c>
      <c r="X105" s="1185">
        <f>'CZ03 Factors'!D31</f>
        <v>0.1207</v>
      </c>
      <c r="Y105" s="1186">
        <f>'CZ03 Factors'!E31</f>
        <v>0.24179999999999999</v>
      </c>
      <c r="Z105" s="1187">
        <f>'CZ03 Factors'!F31</f>
        <v>0.20399999999999999</v>
      </c>
      <c r="AA105" s="1186">
        <f>'CZ03 Factors'!G31</f>
        <v>0.12980000000000003</v>
      </c>
      <c r="AB105" s="1187">
        <f>'CZ03 Factors'!H31</f>
        <v>0.1812</v>
      </c>
      <c r="AC105" s="1186">
        <f>'CZ03 Factors'!I31</f>
        <v>0.15659999999999996</v>
      </c>
      <c r="AD105" s="1187">
        <f>'CZ03 Factors'!J31</f>
        <v>0.31900000000000001</v>
      </c>
      <c r="AE105" s="1188">
        <f>'CZ03 Factors'!K31</f>
        <v>0.30770000000000003</v>
      </c>
      <c r="AG105" s="1202">
        <v>1.6</v>
      </c>
      <c r="AH105" s="1185">
        <f>'CZ04 Factors'!D31</f>
        <v>0.25500000000000006</v>
      </c>
      <c r="AI105" s="1186">
        <f>'CZ04 Factors'!E31</f>
        <v>0.37925000000000003</v>
      </c>
      <c r="AJ105" s="1187">
        <f>'CZ04 Factors'!F31</f>
        <v>0.30800000000000005</v>
      </c>
      <c r="AK105" s="1186">
        <f>'CZ04 Factors'!G31</f>
        <v>0.16800000000000001</v>
      </c>
      <c r="AL105" s="1187">
        <f>'CZ04 Factors'!H31</f>
        <v>0.18200000000000002</v>
      </c>
      <c r="AM105" s="1186">
        <f>'CZ04 Factors'!I31</f>
        <v>0.182</v>
      </c>
      <c r="AN105" s="1187">
        <f>'CZ04 Factors'!J31</f>
        <v>0.33800000000000002</v>
      </c>
      <c r="AO105" s="1188">
        <f>'CZ04 Factors'!K31</f>
        <v>0.42024999999999996</v>
      </c>
      <c r="AQ105" s="1202">
        <v>1.6</v>
      </c>
      <c r="AR105" s="1185">
        <f>'CZ05 Factors'!D31</f>
        <v>0.22400000000000003</v>
      </c>
      <c r="AS105" s="1186">
        <f>'CZ05 Factors'!E31</f>
        <v>0.315</v>
      </c>
      <c r="AT105" s="1187">
        <f>'CZ05 Factors'!F31</f>
        <v>0.24700000000000003</v>
      </c>
      <c r="AU105" s="1186">
        <f>'CZ05 Factors'!G31</f>
        <v>0.17500000000000004</v>
      </c>
      <c r="AV105" s="1187">
        <f>'CZ05 Factors'!H31</f>
        <v>0.16800000000000001</v>
      </c>
      <c r="AW105" s="1186">
        <f>'CZ05 Factors'!I31</f>
        <v>0.15600000000000003</v>
      </c>
      <c r="AX105" s="1187">
        <f>'CZ05 Factors'!J31</f>
        <v>0.27600000000000002</v>
      </c>
      <c r="AY105" s="1188">
        <f>'CZ05 Factors'!K31</f>
        <v>0.36</v>
      </c>
      <c r="AZ105" s="449"/>
      <c r="BA105" s="1202">
        <v>1.6</v>
      </c>
      <c r="BB105" s="1185">
        <f>'CZ05 BC Factors'!D31</f>
        <v>0.22400000000000003</v>
      </c>
      <c r="BC105" s="1186">
        <f>'CZ05 BC Factors'!E31</f>
        <v>0.315</v>
      </c>
      <c r="BD105" s="1187">
        <f>'CZ05 BC Factors'!F31</f>
        <v>0.24700000000000003</v>
      </c>
      <c r="BE105" s="1186">
        <f>'CZ05 BC Factors'!G31</f>
        <v>0.15400000000000003</v>
      </c>
      <c r="BF105" s="1187">
        <f>'CZ05 BC Factors'!H31</f>
        <v>0.126</v>
      </c>
      <c r="BG105" s="1186">
        <f>'CZ05 BC Factors'!I31</f>
        <v>0.14300000000000002</v>
      </c>
      <c r="BH105" s="1187">
        <f>'CZ05 BC Factors'!J31</f>
        <v>0.29900000000000004</v>
      </c>
      <c r="BI105" s="1188">
        <f>'CZ05 BC Factors'!K31</f>
        <v>0.37799999999999995</v>
      </c>
      <c r="BK105" s="1202">
        <v>1.6</v>
      </c>
      <c r="BL105" s="1185">
        <f>'CZ06 Factors'!D31</f>
        <v>0.35199999999999998</v>
      </c>
      <c r="BM105" s="1186">
        <f>'CZ06 Factors'!E31</f>
        <v>0.37258741258741263</v>
      </c>
      <c r="BN105" s="1187">
        <f>'CZ06 Factors'!F31</f>
        <v>0.35200000000000004</v>
      </c>
      <c r="BO105" s="1186">
        <f>'CZ06 Factors'!G31</f>
        <v>0.255</v>
      </c>
      <c r="BP105" s="1187">
        <f>'CZ06 Factors'!H31</f>
        <v>0.28799999999999998</v>
      </c>
      <c r="BQ105" s="1186">
        <f>'CZ06 Factors'!I31</f>
        <v>0.2475</v>
      </c>
      <c r="BR105" s="1187">
        <f>'CZ06 Factors'!J31</f>
        <v>0.4200000000000001</v>
      </c>
      <c r="BS105" s="1188">
        <f>'CZ06 Factors'!K31</f>
        <v>0.41795206971677556</v>
      </c>
      <c r="BU105" s="1202">
        <v>1.6</v>
      </c>
      <c r="BV105" s="1185">
        <f>'CZ07 Factors'!D31</f>
        <v>0.57600000000000007</v>
      </c>
      <c r="BW105" s="1186">
        <f>'CZ07 Factors'!E31</f>
        <v>0.5757500000000001</v>
      </c>
      <c r="BX105" s="1187">
        <f>'CZ07 Factors'!F31</f>
        <v>0.435</v>
      </c>
      <c r="BY105" s="1186">
        <f>'CZ07 Factors'!G31</f>
        <v>0.17874999999999999</v>
      </c>
      <c r="BZ105" s="1187">
        <f>'CZ07 Factors'!H31</f>
        <v>0.16899999999999998</v>
      </c>
      <c r="CA105" s="1186">
        <f>'CZ07 Factors'!I31</f>
        <v>0.16800000000000001</v>
      </c>
      <c r="CB105" s="1187">
        <f>'CZ07 Factors'!J31</f>
        <v>0.375</v>
      </c>
      <c r="CC105" s="1188">
        <f>'CZ07 Factors'!K31</f>
        <v>0.54</v>
      </c>
      <c r="CE105" s="1202">
        <v>1.6</v>
      </c>
      <c r="CF105" s="1185">
        <f>'CZ08 Factors'!D31</f>
        <v>0.36890000000000001</v>
      </c>
      <c r="CG105" s="1186">
        <f>'CZ08 Factors'!E31</f>
        <v>0.50219999999999998</v>
      </c>
      <c r="CH105" s="1187">
        <f>'CZ08 Factors'!F31</f>
        <v>0.43049999999999994</v>
      </c>
      <c r="CI105" s="1186">
        <f>'CZ08 Factors'!G31</f>
        <v>0.22799999999999998</v>
      </c>
      <c r="CJ105" s="1187">
        <f>'CZ08 Factors'!H31</f>
        <v>0.13600000000000001</v>
      </c>
      <c r="CK105" s="1186">
        <f>'CZ08 Factors'!I31</f>
        <v>0.20699999999999999</v>
      </c>
      <c r="CL105" s="1187">
        <f>'CZ08 Factors'!J31</f>
        <v>0.43120000000000003</v>
      </c>
      <c r="CM105" s="1188">
        <f>'CZ08 Factors'!K31</f>
        <v>0.504</v>
      </c>
    </row>
    <row r="106" spans="2:91" x14ac:dyDescent="0.25">
      <c r="C106" s="1202">
        <v>1.8</v>
      </c>
      <c r="D106" s="1185"/>
      <c r="E106" s="1186"/>
      <c r="F106" s="1187"/>
      <c r="G106" s="1186"/>
      <c r="H106" s="1187"/>
      <c r="I106" s="1186"/>
      <c r="J106" s="1187"/>
      <c r="K106" s="1188"/>
      <c r="M106" s="1202">
        <v>1.8</v>
      </c>
      <c r="N106" s="1185">
        <f>'CZ02 Factors'!D32</f>
        <v>0.15200000000000002</v>
      </c>
      <c r="O106" s="1186">
        <f>'CZ02 Factors'!E32</f>
        <v>0.25624999999999998</v>
      </c>
      <c r="P106" s="1187">
        <f>'CZ02 Factors'!F32</f>
        <v>0.23749999999999999</v>
      </c>
      <c r="Q106" s="1186">
        <f>'CZ02 Factors'!G32</f>
        <v>0.15275000000000002</v>
      </c>
      <c r="R106" s="1187">
        <f>'CZ02 Factors'!H32</f>
        <v>0.15400000000000003</v>
      </c>
      <c r="S106" s="1186">
        <f>'CZ02 Factors'!I32</f>
        <v>0.14624999999999999</v>
      </c>
      <c r="T106" s="1187">
        <f>'CZ02 Factors'!J32</f>
        <v>0.26450000000000001</v>
      </c>
      <c r="U106" s="1188">
        <f>'CZ02 Factors'!K32</f>
        <v>0.27300000000000002</v>
      </c>
      <c r="W106" s="1202">
        <v>1.8</v>
      </c>
      <c r="X106" s="1185">
        <f>'CZ03 Factors'!D32</f>
        <v>0.1065</v>
      </c>
      <c r="Y106" s="1186">
        <f>'CZ03 Factors'!E32</f>
        <v>0.1716</v>
      </c>
      <c r="Z106" s="1187">
        <f>'CZ03 Factors'!F32</f>
        <v>0.1615</v>
      </c>
      <c r="AA106" s="1186">
        <f>'CZ03 Factors'!G32</f>
        <v>0.12980000000000003</v>
      </c>
      <c r="AB106" s="1187">
        <f>'CZ03 Factors'!H32</f>
        <v>0.1812</v>
      </c>
      <c r="AC106" s="1186">
        <f>'CZ03 Factors'!I32</f>
        <v>0.14354999999999998</v>
      </c>
      <c r="AD106" s="1187">
        <f>'CZ03 Factors'!J32</f>
        <v>0.26400000000000001</v>
      </c>
      <c r="AE106" s="1188">
        <f>'CZ03 Factors'!K32</f>
        <v>0.28055000000000002</v>
      </c>
      <c r="AG106" s="1202">
        <v>1.8</v>
      </c>
      <c r="AH106" s="1185">
        <f>'CZ04 Factors'!D32</f>
        <v>0.19500000000000001</v>
      </c>
      <c r="AI106" s="1186">
        <f>'CZ04 Factors'!E32</f>
        <v>0.32375000000000004</v>
      </c>
      <c r="AJ106" s="1187">
        <f>'CZ04 Factors'!F32</f>
        <v>0.27500000000000002</v>
      </c>
      <c r="AK106" s="1186">
        <f>'CZ04 Factors'!G32</f>
        <v>0.156</v>
      </c>
      <c r="AL106" s="1187">
        <f>'CZ04 Factors'!H32</f>
        <v>0.18200000000000002</v>
      </c>
      <c r="AM106" s="1186">
        <f>'CZ04 Factors'!I32</f>
        <v>0.16899999999999998</v>
      </c>
      <c r="AN106" s="1187">
        <f>'CZ04 Factors'!J32</f>
        <v>0.312</v>
      </c>
      <c r="AO106" s="1188">
        <f>'CZ04 Factors'!K32</f>
        <v>0.35874999999999996</v>
      </c>
      <c r="AQ106" s="1202">
        <v>1.8</v>
      </c>
      <c r="AR106" s="1185">
        <f>'CZ05 Factors'!D32</f>
        <v>0.17600000000000002</v>
      </c>
      <c r="AS106" s="1186">
        <f>'CZ05 Factors'!E32</f>
        <v>0.26250000000000001</v>
      </c>
      <c r="AT106" s="1187">
        <f>'CZ05 Factors'!F32</f>
        <v>0.20800000000000002</v>
      </c>
      <c r="AU106" s="1186">
        <f>'CZ05 Factors'!G32</f>
        <v>0.16250000000000003</v>
      </c>
      <c r="AV106" s="1187">
        <f>'CZ05 Factors'!H32</f>
        <v>0.16800000000000001</v>
      </c>
      <c r="AW106" s="1186">
        <f>'CZ05 Factors'!I32</f>
        <v>0.15600000000000003</v>
      </c>
      <c r="AX106" s="1187">
        <f>'CZ05 Factors'!J32</f>
        <v>0.24000000000000002</v>
      </c>
      <c r="AY106" s="1188">
        <f>'CZ05 Factors'!K32</f>
        <v>0.32</v>
      </c>
      <c r="AZ106" s="449"/>
      <c r="BA106" s="1202">
        <v>1.8</v>
      </c>
      <c r="BB106" s="1185">
        <f>'CZ05 BC Factors'!D32</f>
        <v>0.17600000000000002</v>
      </c>
      <c r="BC106" s="1186">
        <f>'CZ05 BC Factors'!E32</f>
        <v>0.26250000000000001</v>
      </c>
      <c r="BD106" s="1187">
        <f>'CZ05 BC Factors'!F32</f>
        <v>0.20800000000000002</v>
      </c>
      <c r="BE106" s="1186">
        <f>'CZ05 BC Factors'!G32</f>
        <v>0.14300000000000002</v>
      </c>
      <c r="BF106" s="1187">
        <f>'CZ05 BC Factors'!H32</f>
        <v>0.126</v>
      </c>
      <c r="BG106" s="1186">
        <f>'CZ05 BC Factors'!I32</f>
        <v>0.14300000000000002</v>
      </c>
      <c r="BH106" s="1187">
        <f>'CZ05 BC Factors'!J32</f>
        <v>0.26</v>
      </c>
      <c r="BI106" s="1188">
        <f>'CZ05 BC Factors'!K32</f>
        <v>0.33599999999999997</v>
      </c>
      <c r="BK106" s="1202">
        <v>1.8</v>
      </c>
      <c r="BL106" s="1185">
        <f>'CZ06 Factors'!D32</f>
        <v>0.25600000000000006</v>
      </c>
      <c r="BM106" s="1186">
        <f>'CZ06 Factors'!E32</f>
        <v>0.30209790209790216</v>
      </c>
      <c r="BN106" s="1187">
        <f>'CZ06 Factors'!F32</f>
        <v>0.33600000000000002</v>
      </c>
      <c r="BO106" s="1186">
        <f>'CZ06 Factors'!G32</f>
        <v>0.23800000000000004</v>
      </c>
      <c r="BP106" s="1187">
        <f>'CZ06 Factors'!H32</f>
        <v>0.27</v>
      </c>
      <c r="BQ106" s="1186">
        <f>'CZ06 Factors'!I32</f>
        <v>0.23100000000000001</v>
      </c>
      <c r="BR106" s="1187">
        <f>'CZ06 Factors'!J32</f>
        <v>0.40500000000000003</v>
      </c>
      <c r="BS106" s="1188">
        <f>'CZ06 Factors'!K32</f>
        <v>0.37995642701525056</v>
      </c>
      <c r="BU106" s="1202">
        <v>1.8</v>
      </c>
      <c r="BV106" s="1185">
        <f>'CZ07 Factors'!D32</f>
        <v>0.46800000000000003</v>
      </c>
      <c r="BW106" s="1186">
        <f>'CZ07 Factors'!E32</f>
        <v>0.55225000000000002</v>
      </c>
      <c r="BX106" s="1187">
        <f>'CZ07 Factors'!F32</f>
        <v>0.34799999999999998</v>
      </c>
      <c r="BY106" s="1186">
        <f>'CZ07 Factors'!G32</f>
        <v>0.16499999999999998</v>
      </c>
      <c r="BZ106" s="1187">
        <f>'CZ07 Factors'!H32</f>
        <v>0.16899999999999998</v>
      </c>
      <c r="CA106" s="1186">
        <f>'CZ07 Factors'!I32</f>
        <v>0.16800000000000001</v>
      </c>
      <c r="CB106" s="1187">
        <f>'CZ07 Factors'!J32</f>
        <v>0.34500000000000003</v>
      </c>
      <c r="CC106" s="1188">
        <f>'CZ07 Factors'!K32</f>
        <v>0.46800000000000003</v>
      </c>
      <c r="CE106" s="1202">
        <v>1.8</v>
      </c>
      <c r="CF106" s="1185">
        <f>'CZ08 Factors'!D32</f>
        <v>0.2737</v>
      </c>
      <c r="CG106" s="1186">
        <f>'CZ08 Factors'!E32</f>
        <v>0.45359999999999995</v>
      </c>
      <c r="CH106" s="1187">
        <f>'CZ08 Factors'!F32</f>
        <v>0.38949999999999996</v>
      </c>
      <c r="CI106" s="1186">
        <f>'CZ08 Factors'!G32</f>
        <v>0.19949999999999998</v>
      </c>
      <c r="CJ106" s="1187">
        <f>'CZ08 Factors'!H32</f>
        <v>0.12800000000000003</v>
      </c>
      <c r="CK106" s="1186">
        <f>'CZ08 Factors'!I32</f>
        <v>0.19320000000000001</v>
      </c>
      <c r="CL106" s="1187">
        <f>'CZ08 Factors'!J32</f>
        <v>0.37240000000000001</v>
      </c>
      <c r="CM106" s="1188">
        <f>'CZ08 Factors'!K32</f>
        <v>0.45674999999999999</v>
      </c>
    </row>
    <row r="107" spans="2:91" ht="13" x14ac:dyDescent="0.3">
      <c r="C107" s="1204">
        <v>2</v>
      </c>
      <c r="D107" s="1197"/>
      <c r="E107" s="1198"/>
      <c r="F107" s="1199"/>
      <c r="G107" s="1198"/>
      <c r="H107" s="1199"/>
      <c r="I107" s="1198"/>
      <c r="J107" s="1199"/>
      <c r="K107" s="1200"/>
      <c r="M107" s="1204">
        <v>2</v>
      </c>
      <c r="N107" s="1197">
        <f>'CZ02 Factors'!D33</f>
        <v>0.12000000000000001</v>
      </c>
      <c r="O107" s="1198">
        <f>'CZ02 Factors'!E33</f>
        <v>0.19475000000000001</v>
      </c>
      <c r="P107" s="1199">
        <f>'CZ02 Factors'!F33</f>
        <v>0.21250000000000002</v>
      </c>
      <c r="Q107" s="1198">
        <f>'CZ02 Factors'!G33</f>
        <v>0.14100000000000001</v>
      </c>
      <c r="R107" s="1199">
        <f>'CZ02 Factors'!H33</f>
        <v>0.15400000000000003</v>
      </c>
      <c r="S107" s="1198">
        <f>'CZ02 Factors'!I33</f>
        <v>0.14624999999999999</v>
      </c>
      <c r="T107" s="1199">
        <f>'CZ02 Factors'!J33</f>
        <v>0.253</v>
      </c>
      <c r="U107" s="1200">
        <f>'CZ02 Factors'!K33</f>
        <v>0.26325000000000004</v>
      </c>
      <c r="W107" s="1204">
        <v>2</v>
      </c>
      <c r="X107" s="1197">
        <f>'CZ03 Factors'!D33</f>
        <v>9.2300000000000007E-2</v>
      </c>
      <c r="Y107" s="1198">
        <f>'CZ03 Factors'!E33</f>
        <v>0.1716</v>
      </c>
      <c r="Z107" s="1199">
        <f>'CZ03 Factors'!F33</f>
        <v>0.153</v>
      </c>
      <c r="AA107" s="1198">
        <f>'CZ03 Factors'!G33</f>
        <v>0.11800000000000002</v>
      </c>
      <c r="AB107" s="1199">
        <f>'CZ03 Factors'!H33</f>
        <v>0.1812</v>
      </c>
      <c r="AC107" s="1198">
        <f>'CZ03 Factors'!I33</f>
        <v>0.14354999999999998</v>
      </c>
      <c r="AD107" s="1199">
        <f>'CZ03 Factors'!J33</f>
        <v>0.24199999999999999</v>
      </c>
      <c r="AE107" s="1200">
        <f>'CZ03 Factors'!K33</f>
        <v>0.24435000000000001</v>
      </c>
      <c r="AG107" s="1204">
        <v>2</v>
      </c>
      <c r="AH107" s="1197">
        <f>'CZ04 Factors'!D33</f>
        <v>0.18</v>
      </c>
      <c r="AI107" s="1198">
        <f>'CZ04 Factors'!E33</f>
        <v>0.29600000000000004</v>
      </c>
      <c r="AJ107" s="1199">
        <f>'CZ04 Factors'!F33</f>
        <v>0.24200000000000002</v>
      </c>
      <c r="AK107" s="1198">
        <f>'CZ04 Factors'!G33</f>
        <v>0.14399999999999999</v>
      </c>
      <c r="AL107" s="1199">
        <f>'CZ04 Factors'!H33</f>
        <v>0.16899999999999998</v>
      </c>
      <c r="AM107" s="1198">
        <f>'CZ04 Factors'!I33</f>
        <v>0.15599999999999997</v>
      </c>
      <c r="AN107" s="1199">
        <f>'CZ04 Factors'!J33</f>
        <v>0.28600000000000003</v>
      </c>
      <c r="AO107" s="1200">
        <f>'CZ04 Factors'!K33</f>
        <v>0.29724999999999996</v>
      </c>
      <c r="AQ107" s="1204">
        <v>2</v>
      </c>
      <c r="AR107" s="1197">
        <f>'CZ05 Factors'!D33</f>
        <v>0.14399999999999999</v>
      </c>
      <c r="AS107" s="1198">
        <f>'CZ05 Factors'!E33</f>
        <v>0.19949999999999998</v>
      </c>
      <c r="AT107" s="1199">
        <f>'CZ05 Factors'!F33</f>
        <v>0.19500000000000001</v>
      </c>
      <c r="AU107" s="1198">
        <f>'CZ05 Factors'!G33</f>
        <v>0.15000000000000002</v>
      </c>
      <c r="AV107" s="1199">
        <f>'CZ05 Factors'!H33</f>
        <v>0.16800000000000001</v>
      </c>
      <c r="AW107" s="1198">
        <f>'CZ05 Factors'!I33</f>
        <v>0.14400000000000002</v>
      </c>
      <c r="AX107" s="1199">
        <f>'CZ05 Factors'!J33</f>
        <v>0.22800000000000001</v>
      </c>
      <c r="AY107" s="1200">
        <f>'CZ05 Factors'!K33</f>
        <v>0.23999999999999996</v>
      </c>
      <c r="AZ107" s="448"/>
      <c r="BA107" s="1204">
        <v>2</v>
      </c>
      <c r="BB107" s="1197">
        <f>'CZ05 BC Factors'!D33</f>
        <v>0.14399999999999999</v>
      </c>
      <c r="BC107" s="1198">
        <f>'CZ05 BC Factors'!E33</f>
        <v>0.19949999999999998</v>
      </c>
      <c r="BD107" s="1199">
        <f>'CZ05 BC Factors'!F33</f>
        <v>0.19500000000000001</v>
      </c>
      <c r="BE107" s="1198">
        <f>'CZ05 BC Factors'!G33</f>
        <v>0.13200000000000001</v>
      </c>
      <c r="BF107" s="1199">
        <f>'CZ05 BC Factors'!H33</f>
        <v>0.126</v>
      </c>
      <c r="BG107" s="1198">
        <f>'CZ05 BC Factors'!I33</f>
        <v>0.13200000000000001</v>
      </c>
      <c r="BH107" s="1199">
        <f>'CZ05 BC Factors'!J33</f>
        <v>0.247</v>
      </c>
      <c r="BI107" s="1200">
        <f>'CZ05 BC Factors'!K33</f>
        <v>0.25199999999999995</v>
      </c>
      <c r="BK107" s="1204">
        <v>2</v>
      </c>
      <c r="BL107" s="1197">
        <f>'CZ06 Factors'!D33</f>
        <v>0.19999999999999998</v>
      </c>
      <c r="BM107" s="1198">
        <f>'CZ06 Factors'!E33</f>
        <v>0.27188811188811196</v>
      </c>
      <c r="BN107" s="1199">
        <f>'CZ06 Factors'!F33</f>
        <v>0.32000000000000006</v>
      </c>
      <c r="BO107" s="1198">
        <f>'CZ06 Factors'!G33</f>
        <v>0.22100000000000006</v>
      </c>
      <c r="BP107" s="1199">
        <f>'CZ06 Factors'!H33</f>
        <v>0.252</v>
      </c>
      <c r="BQ107" s="1198">
        <f>'CZ06 Factors'!I33</f>
        <v>0.23100000000000001</v>
      </c>
      <c r="BR107" s="1199">
        <f>'CZ06 Factors'!J33</f>
        <v>0.36</v>
      </c>
      <c r="BS107" s="1200">
        <f>'CZ06 Factors'!K33</f>
        <v>0.30396514161220045</v>
      </c>
      <c r="BU107" s="1204">
        <v>2</v>
      </c>
      <c r="BV107" s="1197">
        <f>'CZ07 Factors'!D33</f>
        <v>0.35100000000000003</v>
      </c>
      <c r="BW107" s="1198">
        <f>'CZ07 Factors'!E33</f>
        <v>0.45825000000000005</v>
      </c>
      <c r="BX107" s="1199">
        <f>'CZ07 Factors'!F33</f>
        <v>0.34799999999999998</v>
      </c>
      <c r="BY107" s="1198">
        <f>'CZ07 Factors'!G33</f>
        <v>0.15125</v>
      </c>
      <c r="BZ107" s="1199">
        <f>'CZ07 Factors'!H33</f>
        <v>0.156</v>
      </c>
      <c r="CA107" s="1198">
        <f>'CZ07 Factors'!I33</f>
        <v>0.16800000000000001</v>
      </c>
      <c r="CB107" s="1199">
        <f>'CZ07 Factors'!J33</f>
        <v>0.3</v>
      </c>
      <c r="CC107" s="1200">
        <f>'CZ07 Factors'!K33</f>
        <v>0.39600000000000002</v>
      </c>
      <c r="CE107" s="1204">
        <v>2</v>
      </c>
      <c r="CF107" s="1197">
        <f>'CZ08 Factors'!D33</f>
        <v>0.2261</v>
      </c>
      <c r="CG107" s="1198">
        <f>'CZ08 Factors'!E33</f>
        <v>0.40499999999999997</v>
      </c>
      <c r="CH107" s="1199">
        <f>'CZ08 Factors'!F33</f>
        <v>0.32799999999999996</v>
      </c>
      <c r="CI107" s="1198">
        <f>'CZ08 Factors'!G33</f>
        <v>0.19949999999999998</v>
      </c>
      <c r="CJ107" s="1199">
        <f>'CZ08 Factors'!H33</f>
        <v>0.12000000000000001</v>
      </c>
      <c r="CK107" s="1198">
        <f>'CZ08 Factors'!I33</f>
        <v>0.19320000000000001</v>
      </c>
      <c r="CL107" s="1199">
        <f>'CZ08 Factors'!J33</f>
        <v>0.3332</v>
      </c>
      <c r="CM107" s="1200">
        <f>'CZ08 Factors'!K33</f>
        <v>0.36225000000000007</v>
      </c>
    </row>
    <row r="109" spans="2:91" ht="13" x14ac:dyDescent="0.3">
      <c r="B109" s="454" t="s">
        <v>1292</v>
      </c>
      <c r="C109" s="455"/>
      <c r="D109" s="455"/>
      <c r="E109" s="455"/>
      <c r="F109" s="455"/>
      <c r="G109" s="455"/>
      <c r="H109" s="455"/>
      <c r="I109" s="455"/>
      <c r="J109" s="455"/>
      <c r="K109" s="455"/>
      <c r="L109" s="455"/>
      <c r="M109" s="455"/>
      <c r="N109" s="455"/>
      <c r="O109" s="455"/>
      <c r="P109" s="455"/>
      <c r="Q109" s="455"/>
      <c r="R109" s="455"/>
      <c r="S109" s="455"/>
      <c r="T109" s="455"/>
      <c r="U109" s="455"/>
      <c r="V109" s="455"/>
      <c r="W109" s="455"/>
      <c r="X109" s="455"/>
      <c r="Y109" s="455"/>
      <c r="Z109" s="455"/>
      <c r="AA109" s="455"/>
      <c r="AB109" s="455"/>
      <c r="AC109" s="455"/>
      <c r="AD109" s="455"/>
      <c r="AE109" s="455"/>
      <c r="AF109" s="455"/>
      <c r="AG109" s="455"/>
      <c r="AH109" s="455"/>
      <c r="AI109" s="455"/>
      <c r="AJ109" s="455"/>
      <c r="AK109" s="455"/>
      <c r="AL109" s="455"/>
      <c r="AM109" s="455"/>
      <c r="AN109" s="455"/>
      <c r="AO109" s="455"/>
      <c r="AP109" s="455"/>
      <c r="AQ109" s="455"/>
      <c r="AR109" s="455"/>
      <c r="AS109" s="455"/>
      <c r="AT109" s="455"/>
      <c r="AU109" s="455"/>
      <c r="AV109" s="455"/>
      <c r="AW109" s="455"/>
      <c r="AX109" s="455"/>
      <c r="AY109" s="455"/>
      <c r="AZ109" s="455"/>
      <c r="BA109" s="455"/>
      <c r="BB109" s="455"/>
      <c r="BC109" s="455"/>
      <c r="BD109" s="455"/>
      <c r="BE109" s="455"/>
      <c r="BF109" s="455"/>
      <c r="BG109" s="455"/>
      <c r="BH109" s="455"/>
      <c r="BI109" s="455"/>
      <c r="BJ109" s="455"/>
      <c r="BK109" s="455"/>
      <c r="BL109" s="455"/>
      <c r="BM109" s="455"/>
      <c r="BN109" s="455"/>
      <c r="BO109" s="455"/>
      <c r="BP109" s="455"/>
      <c r="BQ109" s="455"/>
      <c r="BR109" s="455"/>
      <c r="BS109" s="455"/>
      <c r="BT109" s="455"/>
      <c r="BU109" s="455"/>
      <c r="BV109" s="455"/>
      <c r="BW109" s="455"/>
      <c r="BX109" s="455"/>
      <c r="BY109" s="455"/>
      <c r="BZ109" s="455"/>
      <c r="CA109" s="455"/>
      <c r="CB109" s="455"/>
      <c r="CC109" s="455"/>
      <c r="CD109" s="455"/>
      <c r="CE109" s="455"/>
      <c r="CF109" s="455"/>
      <c r="CG109" s="455"/>
      <c r="CH109" s="455"/>
      <c r="CI109" s="455"/>
      <c r="CJ109" s="455"/>
      <c r="CK109" s="455"/>
      <c r="CL109" s="455"/>
      <c r="CM109" s="455"/>
    </row>
    <row r="110" spans="2:91" ht="15.5" x14ac:dyDescent="0.35">
      <c r="B110" s="437" t="s">
        <v>1263</v>
      </c>
      <c r="C110" s="438" t="s">
        <v>1264</v>
      </c>
    </row>
    <row r="111" spans="2:91" ht="13" x14ac:dyDescent="0.3">
      <c r="C111" s="389" t="s">
        <v>1265</v>
      </c>
    </row>
    <row r="113" spans="2:91" ht="13" x14ac:dyDescent="0.3">
      <c r="C113" s="390" t="s">
        <v>1266</v>
      </c>
      <c r="M113" s="390" t="s">
        <v>1267</v>
      </c>
      <c r="W113" s="390" t="s">
        <v>1268</v>
      </c>
      <c r="AG113" s="390" t="s">
        <v>1269</v>
      </c>
      <c r="AQ113" s="390" t="s">
        <v>1270</v>
      </c>
      <c r="BA113" s="390" t="s">
        <v>1270</v>
      </c>
      <c r="BK113" s="390" t="s">
        <v>1271</v>
      </c>
      <c r="BU113" s="390" t="s">
        <v>1272</v>
      </c>
      <c r="CE113" s="390" t="s">
        <v>1273</v>
      </c>
    </row>
    <row r="114" spans="2:91" ht="13" x14ac:dyDescent="0.3">
      <c r="C114" s="439" t="s">
        <v>1274</v>
      </c>
      <c r="M114" s="439" t="s">
        <v>1275</v>
      </c>
      <c r="W114" s="439" t="s">
        <v>1276</v>
      </c>
      <c r="AG114" s="439" t="s">
        <v>1277</v>
      </c>
      <c r="AQ114" s="439" t="s">
        <v>1278</v>
      </c>
      <c r="BA114" s="439" t="s">
        <v>1279</v>
      </c>
      <c r="BB114" s="389" t="s">
        <v>1293</v>
      </c>
      <c r="BK114" s="439" t="s">
        <v>1281</v>
      </c>
      <c r="BU114" s="439" t="s">
        <v>1282</v>
      </c>
      <c r="CE114" s="439" t="s">
        <v>1283</v>
      </c>
    </row>
    <row r="115" spans="2:91" x14ac:dyDescent="0.25">
      <c r="C115" s="1407"/>
      <c r="D115" s="1408" t="s">
        <v>1230</v>
      </c>
      <c r="E115" s="1409" t="s">
        <v>1231</v>
      </c>
      <c r="F115" s="1409" t="s">
        <v>1232</v>
      </c>
      <c r="G115" s="1409" t="s">
        <v>1233</v>
      </c>
      <c r="H115" s="1409" t="s">
        <v>1234</v>
      </c>
      <c r="I115" s="1409" t="s">
        <v>1235</v>
      </c>
      <c r="J115" s="1409" t="s">
        <v>1236</v>
      </c>
      <c r="K115" s="1410" t="s">
        <v>1237</v>
      </c>
      <c r="M115" s="1407"/>
      <c r="N115" s="1408" t="s">
        <v>1230</v>
      </c>
      <c r="O115" s="1409" t="s">
        <v>1231</v>
      </c>
      <c r="P115" s="1409" t="s">
        <v>1232</v>
      </c>
      <c r="Q115" s="1409" t="s">
        <v>1233</v>
      </c>
      <c r="R115" s="1409" t="s">
        <v>1234</v>
      </c>
      <c r="S115" s="1409" t="s">
        <v>1235</v>
      </c>
      <c r="T115" s="1409" t="s">
        <v>1236</v>
      </c>
      <c r="U115" s="1410" t="s">
        <v>1237</v>
      </c>
      <c r="W115" s="1407"/>
      <c r="X115" s="1408" t="s">
        <v>1230</v>
      </c>
      <c r="Y115" s="1409" t="s">
        <v>1231</v>
      </c>
      <c r="Z115" s="1409" t="s">
        <v>1232</v>
      </c>
      <c r="AA115" s="1409" t="s">
        <v>1233</v>
      </c>
      <c r="AB115" s="1409" t="s">
        <v>1234</v>
      </c>
      <c r="AC115" s="1409" t="s">
        <v>1235</v>
      </c>
      <c r="AD115" s="1409" t="s">
        <v>1236</v>
      </c>
      <c r="AE115" s="1410" t="s">
        <v>1237</v>
      </c>
      <c r="AG115" s="1407"/>
      <c r="AH115" s="1408" t="s">
        <v>1230</v>
      </c>
      <c r="AI115" s="1409" t="s">
        <v>1231</v>
      </c>
      <c r="AJ115" s="1409" t="s">
        <v>1232</v>
      </c>
      <c r="AK115" s="1409" t="s">
        <v>1233</v>
      </c>
      <c r="AL115" s="1409" t="s">
        <v>1234</v>
      </c>
      <c r="AM115" s="1409" t="s">
        <v>1235</v>
      </c>
      <c r="AN115" s="1409" t="s">
        <v>1236</v>
      </c>
      <c r="AO115" s="1410" t="s">
        <v>1237</v>
      </c>
      <c r="AQ115" s="1407"/>
      <c r="AR115" s="1408" t="s">
        <v>1230</v>
      </c>
      <c r="AS115" s="1409" t="s">
        <v>1231</v>
      </c>
      <c r="AT115" s="1409" t="s">
        <v>1232</v>
      </c>
      <c r="AU115" s="1409" t="s">
        <v>1233</v>
      </c>
      <c r="AV115" s="1409" t="s">
        <v>1234</v>
      </c>
      <c r="AW115" s="1409" t="s">
        <v>1235</v>
      </c>
      <c r="AX115" s="1409" t="s">
        <v>1236</v>
      </c>
      <c r="AY115" s="1410" t="s">
        <v>1237</v>
      </c>
      <c r="AZ115" s="391"/>
      <c r="BA115" s="1407"/>
      <c r="BB115" s="1408" t="s">
        <v>1230</v>
      </c>
      <c r="BC115" s="1409" t="s">
        <v>1231</v>
      </c>
      <c r="BD115" s="1409" t="s">
        <v>1232</v>
      </c>
      <c r="BE115" s="1409" t="s">
        <v>1233</v>
      </c>
      <c r="BF115" s="1409" t="s">
        <v>1234</v>
      </c>
      <c r="BG115" s="1409" t="s">
        <v>1235</v>
      </c>
      <c r="BH115" s="1409" t="s">
        <v>1236</v>
      </c>
      <c r="BI115" s="1410" t="s">
        <v>1237</v>
      </c>
      <c r="BK115" s="1407"/>
      <c r="BL115" s="1408" t="s">
        <v>1230</v>
      </c>
      <c r="BM115" s="1409" t="s">
        <v>1231</v>
      </c>
      <c r="BN115" s="1409" t="s">
        <v>1232</v>
      </c>
      <c r="BO115" s="1409" t="s">
        <v>1233</v>
      </c>
      <c r="BP115" s="1409" t="s">
        <v>1234</v>
      </c>
      <c r="BQ115" s="1409" t="s">
        <v>1235</v>
      </c>
      <c r="BR115" s="1409" t="s">
        <v>1236</v>
      </c>
      <c r="BS115" s="1410" t="s">
        <v>1237</v>
      </c>
      <c r="BU115" s="1407"/>
      <c r="BV115" s="1408" t="s">
        <v>1230</v>
      </c>
      <c r="BW115" s="1409" t="s">
        <v>1231</v>
      </c>
      <c r="BX115" s="1409" t="s">
        <v>1232</v>
      </c>
      <c r="BY115" s="1409" t="s">
        <v>1233</v>
      </c>
      <c r="BZ115" s="1409" t="s">
        <v>1234</v>
      </c>
      <c r="CA115" s="1409" t="s">
        <v>1235</v>
      </c>
      <c r="CB115" s="1409" t="s">
        <v>1236</v>
      </c>
      <c r="CC115" s="1410" t="s">
        <v>1237</v>
      </c>
      <c r="CE115" s="1407"/>
      <c r="CF115" s="1408" t="s">
        <v>1230</v>
      </c>
      <c r="CG115" s="1409" t="s">
        <v>1231</v>
      </c>
      <c r="CH115" s="1409" t="s">
        <v>1232</v>
      </c>
      <c r="CI115" s="1409" t="s">
        <v>1233</v>
      </c>
      <c r="CJ115" s="1409" t="s">
        <v>1234</v>
      </c>
      <c r="CK115" s="1409" t="s">
        <v>1235</v>
      </c>
      <c r="CL115" s="1409" t="s">
        <v>1236</v>
      </c>
      <c r="CM115" s="1410" t="s">
        <v>1237</v>
      </c>
    </row>
    <row r="116" spans="2:91" x14ac:dyDescent="0.25">
      <c r="B116" s="440" t="s">
        <v>1284</v>
      </c>
      <c r="C116" s="441" t="s">
        <v>1285</v>
      </c>
      <c r="D116" s="1180">
        <v>0</v>
      </c>
      <c r="E116" s="1181">
        <v>45</v>
      </c>
      <c r="F116" s="1182">
        <v>90</v>
      </c>
      <c r="G116" s="1181">
        <v>135</v>
      </c>
      <c r="H116" s="1182">
        <v>180</v>
      </c>
      <c r="I116" s="1181">
        <v>225</v>
      </c>
      <c r="J116" s="1182">
        <v>270</v>
      </c>
      <c r="K116" s="1183">
        <v>315</v>
      </c>
      <c r="M116" s="441" t="s">
        <v>1285</v>
      </c>
      <c r="N116" s="1180">
        <v>0</v>
      </c>
      <c r="O116" s="1181">
        <v>45</v>
      </c>
      <c r="P116" s="1182">
        <v>90</v>
      </c>
      <c r="Q116" s="1181">
        <v>135</v>
      </c>
      <c r="R116" s="1182">
        <v>180</v>
      </c>
      <c r="S116" s="1181">
        <v>225</v>
      </c>
      <c r="T116" s="1182">
        <v>270</v>
      </c>
      <c r="U116" s="1183">
        <v>315</v>
      </c>
      <c r="W116" s="441" t="s">
        <v>1285</v>
      </c>
      <c r="X116" s="1180">
        <v>0</v>
      </c>
      <c r="Y116" s="1181">
        <v>45</v>
      </c>
      <c r="Z116" s="1182">
        <v>90</v>
      </c>
      <c r="AA116" s="1181">
        <v>135</v>
      </c>
      <c r="AB116" s="1182">
        <v>180</v>
      </c>
      <c r="AC116" s="1181">
        <v>225</v>
      </c>
      <c r="AD116" s="1182">
        <v>270</v>
      </c>
      <c r="AE116" s="1183">
        <v>315</v>
      </c>
      <c r="AG116" s="441" t="s">
        <v>1285</v>
      </c>
      <c r="AH116" s="1180">
        <v>0</v>
      </c>
      <c r="AI116" s="1181">
        <v>45</v>
      </c>
      <c r="AJ116" s="1182">
        <v>90</v>
      </c>
      <c r="AK116" s="1181">
        <v>135</v>
      </c>
      <c r="AL116" s="1182">
        <v>180</v>
      </c>
      <c r="AM116" s="1181">
        <v>225</v>
      </c>
      <c r="AN116" s="1182">
        <v>270</v>
      </c>
      <c r="AO116" s="1183">
        <v>315</v>
      </c>
      <c r="AQ116" s="441" t="s">
        <v>1285</v>
      </c>
      <c r="AR116" s="1180">
        <v>0</v>
      </c>
      <c r="AS116" s="1181">
        <v>45</v>
      </c>
      <c r="AT116" s="1182">
        <v>90</v>
      </c>
      <c r="AU116" s="1181">
        <v>135</v>
      </c>
      <c r="AV116" s="1182">
        <v>180</v>
      </c>
      <c r="AW116" s="1181">
        <v>225</v>
      </c>
      <c r="AX116" s="1182">
        <v>270</v>
      </c>
      <c r="AY116" s="1183">
        <v>315</v>
      </c>
      <c r="AZ116" s="442"/>
      <c r="BA116" s="441" t="s">
        <v>1285</v>
      </c>
      <c r="BB116" s="1180">
        <v>0</v>
      </c>
      <c r="BC116" s="1181">
        <v>45</v>
      </c>
      <c r="BD116" s="1182">
        <v>90</v>
      </c>
      <c r="BE116" s="1181">
        <v>135</v>
      </c>
      <c r="BF116" s="1182">
        <v>180</v>
      </c>
      <c r="BG116" s="1181">
        <v>225</v>
      </c>
      <c r="BH116" s="1182">
        <v>270</v>
      </c>
      <c r="BI116" s="1183">
        <v>315</v>
      </c>
      <c r="BK116" s="441" t="s">
        <v>1285</v>
      </c>
      <c r="BL116" s="1180">
        <v>0</v>
      </c>
      <c r="BM116" s="1181">
        <v>45</v>
      </c>
      <c r="BN116" s="1182">
        <v>90</v>
      </c>
      <c r="BO116" s="1181">
        <v>135</v>
      </c>
      <c r="BP116" s="1182">
        <v>180</v>
      </c>
      <c r="BQ116" s="1181">
        <v>225</v>
      </c>
      <c r="BR116" s="1182">
        <v>270</v>
      </c>
      <c r="BS116" s="1183">
        <v>315</v>
      </c>
      <c r="BU116" s="441" t="s">
        <v>1285</v>
      </c>
      <c r="BV116" s="1180">
        <v>0</v>
      </c>
      <c r="BW116" s="1181">
        <v>45</v>
      </c>
      <c r="BX116" s="1182">
        <v>90</v>
      </c>
      <c r="BY116" s="1181">
        <v>135</v>
      </c>
      <c r="BZ116" s="1182">
        <v>180</v>
      </c>
      <c r="CA116" s="1181">
        <v>225</v>
      </c>
      <c r="CB116" s="1182">
        <v>270</v>
      </c>
      <c r="CC116" s="1183">
        <v>315</v>
      </c>
      <c r="CE116" s="441" t="s">
        <v>1285</v>
      </c>
      <c r="CF116" s="1180">
        <v>0</v>
      </c>
      <c r="CG116" s="1181">
        <v>45</v>
      </c>
      <c r="CH116" s="1182">
        <v>90</v>
      </c>
      <c r="CI116" s="1181">
        <v>135</v>
      </c>
      <c r="CJ116" s="1182">
        <v>180</v>
      </c>
      <c r="CK116" s="1181">
        <v>225</v>
      </c>
      <c r="CL116" s="1182">
        <v>270</v>
      </c>
      <c r="CM116" s="1183">
        <v>315</v>
      </c>
    </row>
    <row r="117" spans="2:91" ht="13" x14ac:dyDescent="0.3">
      <c r="B117" s="443">
        <f t="shared" ref="B117:B129" si="7">B$86*C117</f>
        <v>0</v>
      </c>
      <c r="C117" s="444">
        <v>0</v>
      </c>
      <c r="D117" s="445">
        <f>'CZ01 Factors'!D23</f>
        <v>0.60839999999999994</v>
      </c>
      <c r="E117" s="1411">
        <f>'CZ01 Factors'!E23</f>
        <v>0.9575999999999999</v>
      </c>
      <c r="F117" s="446">
        <f>'CZ01 Factors'!F23</f>
        <v>1.4319000000000002</v>
      </c>
      <c r="G117" s="1411">
        <f>'CZ01 Factors'!G23</f>
        <v>1.1903999999999999</v>
      </c>
      <c r="H117" s="446">
        <f>'CZ01 Factors'!H23</f>
        <v>0.70469999999999999</v>
      </c>
      <c r="I117" s="1411">
        <f>'CZ01 Factors'!I23</f>
        <v>1.1493500000000001</v>
      </c>
      <c r="J117" s="446">
        <f>'CZ01 Factors'!J23</f>
        <v>1.32</v>
      </c>
      <c r="K117" s="1412">
        <f>'CZ01 Factors'!K23</f>
        <v>0.9222499999999999</v>
      </c>
      <c r="M117" s="447">
        <v>0</v>
      </c>
      <c r="N117" s="445">
        <f>'CZ02 Factors'!D41</f>
        <v>0.432</v>
      </c>
      <c r="O117" s="1411">
        <f>'CZ02 Factors'!E41</f>
        <v>0.81374999999999997</v>
      </c>
      <c r="P117" s="446">
        <f>'CZ02 Factors'!F41</f>
        <v>1.159</v>
      </c>
      <c r="Q117" s="1411">
        <f>'CZ02 Factors'!G41</f>
        <v>0.754</v>
      </c>
      <c r="R117" s="446">
        <f>'CZ02 Factors'!H41</f>
        <v>0.36</v>
      </c>
      <c r="S117" s="1411">
        <f>'CZ02 Factors'!I41</f>
        <v>1.0640000000000001</v>
      </c>
      <c r="T117" s="446">
        <f>'CZ02 Factors'!J41</f>
        <v>1.8759999999999999</v>
      </c>
      <c r="U117" s="1412">
        <f>'CZ02 Factors'!K41</f>
        <v>1.1100000000000001</v>
      </c>
      <c r="W117" s="447">
        <v>0</v>
      </c>
      <c r="X117" s="445">
        <f>'CZ03 Factors'!D41</f>
        <v>0.78400000000000003</v>
      </c>
      <c r="Y117" s="1411">
        <f>'CZ03 Factors'!E41</f>
        <v>1.3</v>
      </c>
      <c r="Z117" s="446">
        <f>'CZ03 Factors'!F41</f>
        <v>1.5620000000000001</v>
      </c>
      <c r="AA117" s="1411">
        <f>'CZ03 Factors'!G41</f>
        <v>1.357</v>
      </c>
      <c r="AB117" s="446">
        <f>'CZ03 Factors'!H41</f>
        <v>0.79200000000000004</v>
      </c>
      <c r="AC117" s="1411">
        <f>'CZ03 Factors'!I41</f>
        <v>1.1599999999999999</v>
      </c>
      <c r="AD117" s="446">
        <f>'CZ03 Factors'!J41</f>
        <v>1.0880000000000001</v>
      </c>
      <c r="AE117" s="1412">
        <f>'CZ03 Factors'!K41</f>
        <v>1.111</v>
      </c>
      <c r="AG117" s="447">
        <v>0</v>
      </c>
      <c r="AH117" s="445">
        <f>'CZ04 Factors'!D41</f>
        <v>0.79200000000000004</v>
      </c>
      <c r="AI117" s="1411">
        <f>'CZ04 Factors'!E41</f>
        <v>1.1304999999999998</v>
      </c>
      <c r="AJ117" s="446">
        <f>'CZ04 Factors'!F41</f>
        <v>1.1199999999999999</v>
      </c>
      <c r="AK117" s="1411">
        <f>'CZ04 Factors'!G41</f>
        <v>0.68250000000000011</v>
      </c>
      <c r="AL117" s="446">
        <f>'CZ04 Factors'!H41</f>
        <v>0.28499999999999998</v>
      </c>
      <c r="AM117" s="1411">
        <f>'CZ04 Factors'!I41</f>
        <v>0.64349999999999996</v>
      </c>
      <c r="AN117" s="446">
        <f>'CZ04 Factors'!J41</f>
        <v>1.048</v>
      </c>
      <c r="AO117" s="1412">
        <f>'CZ04 Factors'!K41</f>
        <v>1.0640000000000001</v>
      </c>
      <c r="AQ117" s="447">
        <v>0</v>
      </c>
      <c r="AR117" s="445">
        <f>'CZ05 Factors'!D41</f>
        <v>0.67239999999999989</v>
      </c>
      <c r="AS117" s="1411">
        <f>'CZ05 Factors'!E41</f>
        <v>0.92649999999999988</v>
      </c>
      <c r="AT117" s="446">
        <f>'CZ05 Factors'!F41</f>
        <v>1.0471999999999999</v>
      </c>
      <c r="AU117" s="1411">
        <f>'CZ05 Factors'!G41</f>
        <v>0.61440000000000006</v>
      </c>
      <c r="AV117" s="446">
        <f>'CZ05 Factors'!H41</f>
        <v>0.27200000000000002</v>
      </c>
      <c r="AW117" s="1411">
        <f>'CZ05 Factors'!I41</f>
        <v>0.67080000000000006</v>
      </c>
      <c r="AX117" s="446">
        <f>'CZ05 Factors'!J41</f>
        <v>1.157</v>
      </c>
      <c r="AY117" s="1412">
        <f>'CZ05 Factors'!K41</f>
        <v>0.9917999999999999</v>
      </c>
      <c r="AZ117" s="448"/>
      <c r="BA117" s="447">
        <v>0</v>
      </c>
      <c r="BB117" s="445">
        <f>'CZ05 BC Factors'!D41</f>
        <v>0.82</v>
      </c>
      <c r="BC117" s="1411">
        <f>'CZ05 BC Factors'!E41</f>
        <v>1.0355000000000001</v>
      </c>
      <c r="BD117" s="446">
        <f>'CZ05 BC Factors'!F41</f>
        <v>1.071</v>
      </c>
      <c r="BE117" s="1411">
        <f>'CZ05 BC Factors'!G41</f>
        <v>0.72</v>
      </c>
      <c r="BF117" s="446">
        <f>'CZ05 BC Factors'!H41</f>
        <v>0.40800000000000003</v>
      </c>
      <c r="BG117" s="1411">
        <f>'CZ05 BC Factors'!I41</f>
        <v>0.78</v>
      </c>
      <c r="BH117" s="446">
        <f>'CZ05 BC Factors'!J41</f>
        <v>1.1700000000000002</v>
      </c>
      <c r="BI117" s="1412">
        <f>'CZ05 BC Factors'!K41</f>
        <v>1.1019999999999999</v>
      </c>
      <c r="BK117" s="447">
        <v>0</v>
      </c>
      <c r="BL117" s="445">
        <f>'CZ06 Factors'!D39</f>
        <v>0.88200000000000001</v>
      </c>
      <c r="BM117" s="1411">
        <f>'CZ06 Factors'!E39</f>
        <v>1.0530000000000002</v>
      </c>
      <c r="BN117" s="446">
        <f>'CZ06 Factors'!F39</f>
        <v>1.0349999999999999</v>
      </c>
      <c r="BO117" s="1411">
        <f>'CZ06 Factors'!G39</f>
        <v>0.5655</v>
      </c>
      <c r="BP117" s="446">
        <f>'CZ06 Factors'!H39</f>
        <v>0.24399999999999999</v>
      </c>
      <c r="BQ117" s="1411">
        <f>'CZ06 Factors'!I39</f>
        <v>0.96074999999999999</v>
      </c>
      <c r="BR117" s="446">
        <f>'CZ06 Factors'!J39</f>
        <v>2.0019999999999998</v>
      </c>
      <c r="BS117" s="1412">
        <f>'CZ06 Factors'!K39</f>
        <v>1.5375999999999999</v>
      </c>
      <c r="BU117" s="447">
        <v>0</v>
      </c>
      <c r="BV117" s="445">
        <f>'CZ07 Factors'!D41</f>
        <v>1.1519999999999999</v>
      </c>
      <c r="BW117" s="1411">
        <f>'CZ07 Factors'!E41</f>
        <v>1.17</v>
      </c>
      <c r="BX117" s="446">
        <f>'CZ07 Factors'!F41</f>
        <v>0.96799999999999997</v>
      </c>
      <c r="BY117" s="1411">
        <f>'CZ07 Factors'!G41</f>
        <v>0.75199999999999989</v>
      </c>
      <c r="BZ117" s="446">
        <f>'CZ07 Factors'!H41</f>
        <v>0.51200000000000001</v>
      </c>
      <c r="CA117" s="1411">
        <f>'CZ07 Factors'!I41</f>
        <v>0.77350000000000008</v>
      </c>
      <c r="CB117" s="446">
        <f>'CZ07 Factors'!J41</f>
        <v>1.071</v>
      </c>
      <c r="CC117" s="1412">
        <f>'CZ07 Factors'!K41</f>
        <v>1.2389999999999999</v>
      </c>
      <c r="CE117" s="447">
        <v>0</v>
      </c>
      <c r="CF117" s="445">
        <f>'CZ08 Factors'!D41</f>
        <v>0.69699999999999995</v>
      </c>
      <c r="CG117" s="1411">
        <f>'CZ08 Factors'!E41</f>
        <v>1.0752000000000002</v>
      </c>
      <c r="CH117" s="446">
        <f>'CZ08 Factors'!F41</f>
        <v>1.32</v>
      </c>
      <c r="CI117" s="1411">
        <f>'CZ08 Factors'!G41</f>
        <v>0.72</v>
      </c>
      <c r="CJ117" s="446">
        <f>'CZ08 Factors'!H41</f>
        <v>0.27200000000000002</v>
      </c>
      <c r="CK117" s="1411">
        <f>'CZ08 Factors'!I41</f>
        <v>0.70195000000000007</v>
      </c>
      <c r="CL117" s="446">
        <f>'CZ08 Factors'!J41</f>
        <v>1.2573000000000001</v>
      </c>
      <c r="CM117" s="1412">
        <f>'CZ08 Factors'!K41</f>
        <v>1.0498000000000001</v>
      </c>
    </row>
    <row r="118" spans="2:91" x14ac:dyDescent="0.25">
      <c r="B118" s="443">
        <f t="shared" si="7"/>
        <v>105</v>
      </c>
      <c r="C118" s="1184">
        <v>0.05</v>
      </c>
      <c r="D118" s="1185">
        <f>'CZ01 Factors'!D24</f>
        <v>0.51479999999999992</v>
      </c>
      <c r="E118" s="1186">
        <f>'CZ01 Factors'!E24</f>
        <v>0.84359999999999991</v>
      </c>
      <c r="F118" s="1187">
        <f>'CZ01 Factors'!F24</f>
        <v>1.3209000000000002</v>
      </c>
      <c r="G118" s="1186">
        <f>'CZ01 Factors'!G24</f>
        <v>1.0847999999999998</v>
      </c>
      <c r="H118" s="1187">
        <f>'CZ01 Factors'!H24</f>
        <v>0.60750000000000004</v>
      </c>
      <c r="I118" s="1186">
        <f>'CZ01 Factors'!I24</f>
        <v>1.0588500000000001</v>
      </c>
      <c r="J118" s="1187">
        <f>'CZ01 Factors'!J24</f>
        <v>1.23</v>
      </c>
      <c r="K118" s="1188">
        <f>'CZ01 Factors'!K24</f>
        <v>0.81374999999999986</v>
      </c>
      <c r="M118" s="1189">
        <v>0.05</v>
      </c>
      <c r="N118" s="1185">
        <f>'CZ02 Factors'!D42</f>
        <v>0.36</v>
      </c>
      <c r="O118" s="1186">
        <f>'CZ02 Factors'!E42</f>
        <v>0.71299999999999997</v>
      </c>
      <c r="P118" s="1187">
        <f>'CZ02 Factors'!F42</f>
        <v>1.0450000000000002</v>
      </c>
      <c r="Q118" s="1186">
        <f>'CZ02 Factors'!G42</f>
        <v>0.66699999999999993</v>
      </c>
      <c r="R118" s="1187">
        <f>'CZ02 Factors'!H42</f>
        <v>0.3</v>
      </c>
      <c r="S118" s="1186">
        <f>'CZ02 Factors'!I42</f>
        <v>0.95949999999999991</v>
      </c>
      <c r="T118" s="1187">
        <f>'CZ02 Factors'!J42</f>
        <v>1.722</v>
      </c>
      <c r="U118" s="1188">
        <f>'CZ02 Factors'!K42</f>
        <v>0.99</v>
      </c>
      <c r="W118" s="1189">
        <v>0.05</v>
      </c>
      <c r="X118" s="1185">
        <f>'CZ03 Factors'!D42</f>
        <v>0.65799999999999992</v>
      </c>
      <c r="Y118" s="1186">
        <f>'CZ03 Factors'!E42</f>
        <v>1.1749999999999998</v>
      </c>
      <c r="Z118" s="1187">
        <f>'CZ03 Factors'!F42</f>
        <v>1.4520000000000002</v>
      </c>
      <c r="AA118" s="1186">
        <f>'CZ03 Factors'!G42</f>
        <v>1.2420000000000002</v>
      </c>
      <c r="AB118" s="1187">
        <f>'CZ03 Factors'!H42</f>
        <v>0.68399999999999994</v>
      </c>
      <c r="AC118" s="1186">
        <f>'CZ03 Factors'!I42</f>
        <v>1.05</v>
      </c>
      <c r="AD118" s="1187">
        <f>'CZ03 Factors'!J42</f>
        <v>1.008</v>
      </c>
      <c r="AE118" s="1188">
        <f>'CZ03 Factors'!K42</f>
        <v>0.99</v>
      </c>
      <c r="AG118" s="1189">
        <v>0.05</v>
      </c>
      <c r="AH118" s="1185">
        <f>'CZ04 Factors'!D42</f>
        <v>0.66</v>
      </c>
      <c r="AI118" s="1186">
        <f>'CZ04 Factors'!E42</f>
        <v>1.0449999999999999</v>
      </c>
      <c r="AJ118" s="1187">
        <f>'CZ04 Factors'!F42</f>
        <v>1.048</v>
      </c>
      <c r="AK118" s="1186">
        <f>'CZ04 Factors'!G42</f>
        <v>0.63050000000000006</v>
      </c>
      <c r="AL118" s="1187">
        <f>'CZ04 Factors'!H42</f>
        <v>0.24499999999999997</v>
      </c>
      <c r="AM118" s="1186">
        <f>'CZ04 Factors'!I42</f>
        <v>0.59150000000000003</v>
      </c>
      <c r="AN118" s="1187">
        <f>'CZ04 Factors'!J42</f>
        <v>0.97600000000000009</v>
      </c>
      <c r="AO118" s="1188">
        <f>'CZ04 Factors'!K42</f>
        <v>0.96900000000000008</v>
      </c>
      <c r="AQ118" s="1189">
        <v>0.05</v>
      </c>
      <c r="AR118" s="1185">
        <f>'CZ05 Factors'!D42</f>
        <v>0.56579999999999986</v>
      </c>
      <c r="AS118" s="1186">
        <f>'CZ05 Factors'!E42</f>
        <v>0.81599999999999984</v>
      </c>
      <c r="AT118" s="1187">
        <f>'CZ05 Factors'!F42</f>
        <v>0.9416000000000001</v>
      </c>
      <c r="AU118" s="1186">
        <f>'CZ05 Factors'!G42</f>
        <v>0.54400000000000004</v>
      </c>
      <c r="AV118" s="1187">
        <f>'CZ05 Factors'!H42</f>
        <v>0.22799999999999998</v>
      </c>
      <c r="AW118" s="1186">
        <f>'CZ05 Factors'!I42</f>
        <v>0.59340000000000004</v>
      </c>
      <c r="AX118" s="1187">
        <f>'CZ05 Factors'!J42</f>
        <v>1.0590999999999999</v>
      </c>
      <c r="AY118" s="1188">
        <f>'CZ05 Factors'!K42</f>
        <v>0.88919999999999999</v>
      </c>
      <c r="AZ118" s="449"/>
      <c r="BA118" s="1189">
        <v>0.05</v>
      </c>
      <c r="BB118" s="1185">
        <f>'CZ05 BC Factors'!D42</f>
        <v>0.69</v>
      </c>
      <c r="BC118" s="1186">
        <f>'CZ05 BC Factors'!E42</f>
        <v>0.91200000000000003</v>
      </c>
      <c r="BD118" s="1187">
        <f>'CZ05 BC Factors'!F42</f>
        <v>0.96300000000000008</v>
      </c>
      <c r="BE118" s="1186">
        <f>'CZ05 BC Factors'!G42</f>
        <v>0.63749999999999996</v>
      </c>
      <c r="BF118" s="1187">
        <f>'CZ05 BC Factors'!H42</f>
        <v>0.34199999999999997</v>
      </c>
      <c r="BG118" s="1186">
        <f>'CZ05 BC Factors'!I42</f>
        <v>0.69</v>
      </c>
      <c r="BH118" s="1187">
        <f>'CZ05 BC Factors'!J42</f>
        <v>1.0710000000000002</v>
      </c>
      <c r="BI118" s="1188">
        <f>'CZ05 BC Factors'!K42</f>
        <v>0.98799999999999999</v>
      </c>
      <c r="BK118" s="1189">
        <v>0.05</v>
      </c>
      <c r="BL118" s="1185">
        <f>'CZ06 Factors'!D40</f>
        <v>0.74550000000000005</v>
      </c>
      <c r="BM118" s="1186">
        <f>'CZ06 Factors'!E40</f>
        <v>0.94574999999999998</v>
      </c>
      <c r="BN118" s="1187">
        <f>'CZ06 Factors'!F40</f>
        <v>0.94499999999999995</v>
      </c>
      <c r="BO118" s="1186">
        <f>'CZ06 Factors'!G40</f>
        <v>0.50700000000000001</v>
      </c>
      <c r="BP118" s="1187">
        <f>'CZ06 Factors'!H40</f>
        <v>0.20800000000000002</v>
      </c>
      <c r="BQ118" s="1186">
        <f>'CZ06 Factors'!I40</f>
        <v>0.87839999999999996</v>
      </c>
      <c r="BR118" s="1187">
        <f>'CZ06 Factors'!J40</f>
        <v>1.859</v>
      </c>
      <c r="BS118" s="1188">
        <f>'CZ06 Factors'!K40</f>
        <v>1.4011999999999998</v>
      </c>
      <c r="BU118" s="1189">
        <v>0.05</v>
      </c>
      <c r="BV118" s="1185">
        <f>'CZ07 Factors'!D42</f>
        <v>0.996</v>
      </c>
      <c r="BW118" s="1186">
        <f>'CZ07 Factors'!E42</f>
        <v>1.05</v>
      </c>
      <c r="BX118" s="1187">
        <f>'CZ07 Factors'!F42</f>
        <v>0.88</v>
      </c>
      <c r="BY118" s="1186">
        <f>'CZ07 Factors'!G42</f>
        <v>0.66399999999999992</v>
      </c>
      <c r="BZ118" s="1187">
        <f>'CZ07 Factors'!H42</f>
        <v>0.432</v>
      </c>
      <c r="CA118" s="1186">
        <f>'CZ07 Factors'!I42</f>
        <v>0.68850000000000011</v>
      </c>
      <c r="CB118" s="1187">
        <f>'CZ07 Factors'!J42</f>
        <v>0.98099999999999998</v>
      </c>
      <c r="CC118" s="1188">
        <f>'CZ07 Factors'!K42</f>
        <v>1.1235000000000002</v>
      </c>
      <c r="CE118" s="1189">
        <v>0.05</v>
      </c>
      <c r="CF118" s="1185">
        <f>'CZ08 Factors'!D42</f>
        <v>0.58219999999999994</v>
      </c>
      <c r="CG118" s="1186">
        <f>'CZ08 Factors'!E42</f>
        <v>0.95040000000000002</v>
      </c>
      <c r="CH118" s="1187">
        <f>'CZ08 Factors'!F42</f>
        <v>1.1990000000000003</v>
      </c>
      <c r="CI118" s="1186">
        <f>'CZ08 Factors'!G42</f>
        <v>0.63749999999999996</v>
      </c>
      <c r="CJ118" s="1187">
        <f>'CZ08 Factors'!H42</f>
        <v>0.22799999999999998</v>
      </c>
      <c r="CK118" s="1186">
        <f>'CZ08 Factors'!I42</f>
        <v>0.62550000000000006</v>
      </c>
      <c r="CL118" s="1187">
        <f>'CZ08 Factors'!J42</f>
        <v>1.1484000000000001</v>
      </c>
      <c r="CM118" s="1188">
        <f>'CZ08 Factors'!K42</f>
        <v>0.94120000000000015</v>
      </c>
    </row>
    <row r="119" spans="2:91" x14ac:dyDescent="0.25">
      <c r="B119" s="443">
        <f t="shared" si="7"/>
        <v>210</v>
      </c>
      <c r="C119" s="1184">
        <v>0.1</v>
      </c>
      <c r="D119" s="1185">
        <f>'CZ01 Factors'!D25</f>
        <v>0.47969999999999996</v>
      </c>
      <c r="E119" s="1186">
        <f>'CZ01 Factors'!E25</f>
        <v>0.7752</v>
      </c>
      <c r="F119" s="1187">
        <f>'CZ01 Factors'!F25</f>
        <v>1.2321000000000002</v>
      </c>
      <c r="G119" s="1186">
        <f>'CZ01 Factors'!G25</f>
        <v>1.0271999999999999</v>
      </c>
      <c r="H119" s="1187">
        <f>'CZ01 Factors'!H25</f>
        <v>0.55080000000000007</v>
      </c>
      <c r="I119" s="1186">
        <f>'CZ01 Factors'!I25</f>
        <v>0.98645000000000016</v>
      </c>
      <c r="J119" s="1187">
        <f>'CZ01 Factors'!J25</f>
        <v>1.1499999999999999</v>
      </c>
      <c r="K119" s="1188">
        <f>'CZ01 Factors'!K25</f>
        <v>0.74864999999999993</v>
      </c>
      <c r="M119" s="1189">
        <v>0.1</v>
      </c>
      <c r="N119" s="1185">
        <f>'CZ02 Factors'!D43</f>
        <v>0.33</v>
      </c>
      <c r="O119" s="1186">
        <f>'CZ02 Factors'!E43</f>
        <v>0.65874999999999995</v>
      </c>
      <c r="P119" s="1187">
        <f>'CZ02 Factors'!F43</f>
        <v>0.9880000000000001</v>
      </c>
      <c r="Q119" s="1186">
        <f>'CZ02 Factors'!G43</f>
        <v>0.62349999999999994</v>
      </c>
      <c r="R119" s="1187">
        <f>'CZ02 Factors'!H43</f>
        <v>0.28499999999999998</v>
      </c>
      <c r="S119" s="1186">
        <f>'CZ02 Factors'!I43</f>
        <v>0.8929999999999999</v>
      </c>
      <c r="T119" s="1187">
        <f>'CZ02 Factors'!J43</f>
        <v>1.5959999999999996</v>
      </c>
      <c r="U119" s="1188">
        <f>'CZ02 Factors'!K43</f>
        <v>0.9</v>
      </c>
      <c r="W119" s="1189">
        <v>0.1</v>
      </c>
      <c r="X119" s="1185">
        <f>'CZ03 Factors'!D43</f>
        <v>0.61599999999999999</v>
      </c>
      <c r="Y119" s="1186">
        <f>'CZ03 Factors'!E43</f>
        <v>1.0625</v>
      </c>
      <c r="Z119" s="1187">
        <f>'CZ03 Factors'!F43</f>
        <v>1.3750000000000002</v>
      </c>
      <c r="AA119" s="1186">
        <f>'CZ03 Factors'!G43</f>
        <v>1.173</v>
      </c>
      <c r="AB119" s="1187">
        <f>'CZ03 Factors'!H43</f>
        <v>0.64800000000000002</v>
      </c>
      <c r="AC119" s="1186">
        <f>'CZ03 Factors'!I43</f>
        <v>0.99</v>
      </c>
      <c r="AD119" s="1187">
        <f>'CZ03 Factors'!J43</f>
        <v>0.95199999999999996</v>
      </c>
      <c r="AE119" s="1188">
        <f>'CZ03 Factors'!K43</f>
        <v>0.91299999999999992</v>
      </c>
      <c r="AG119" s="1189">
        <v>0.1</v>
      </c>
      <c r="AH119" s="1185">
        <f>'CZ04 Factors'!D43</f>
        <v>0.60500000000000009</v>
      </c>
      <c r="AI119" s="1186">
        <f>'CZ04 Factors'!E43</f>
        <v>0.94999999999999984</v>
      </c>
      <c r="AJ119" s="1187">
        <f>'CZ04 Factors'!F43</f>
        <v>0.99199999999999999</v>
      </c>
      <c r="AK119" s="1186">
        <f>'CZ04 Factors'!G43</f>
        <v>0.59150000000000014</v>
      </c>
      <c r="AL119" s="1187">
        <f>'CZ04 Factors'!H43</f>
        <v>0.23</v>
      </c>
      <c r="AM119" s="1186">
        <f>'CZ04 Factors'!I43</f>
        <v>0.55249999999999999</v>
      </c>
      <c r="AN119" s="1187">
        <f>'CZ04 Factors'!J43</f>
        <v>0.93599999999999994</v>
      </c>
      <c r="AO119" s="1188">
        <f>'CZ04 Factors'!K43</f>
        <v>0.8929999999999999</v>
      </c>
      <c r="AQ119" s="1189">
        <v>0.1</v>
      </c>
      <c r="AR119" s="1185">
        <f>'CZ05 Factors'!D43</f>
        <v>0.51659999999999995</v>
      </c>
      <c r="AS119" s="1186">
        <f>'CZ05 Factors'!E43</f>
        <v>0.74799999999999989</v>
      </c>
      <c r="AT119" s="1187">
        <f>'CZ05 Factors'!F43</f>
        <v>0.88880000000000003</v>
      </c>
      <c r="AU119" s="1186">
        <f>'CZ05 Factors'!G43</f>
        <v>0.50560000000000005</v>
      </c>
      <c r="AV119" s="1187">
        <f>'CZ05 Factors'!H43</f>
        <v>0.216</v>
      </c>
      <c r="AW119" s="1186">
        <f>'CZ05 Factors'!I43</f>
        <v>0.55469999999999997</v>
      </c>
      <c r="AX119" s="1187">
        <f>'CZ05 Factors'!J43</f>
        <v>0.98790000000000011</v>
      </c>
      <c r="AY119" s="1188">
        <f>'CZ05 Factors'!K43</f>
        <v>0.80369999999999997</v>
      </c>
      <c r="AZ119" s="449"/>
      <c r="BA119" s="1189">
        <v>0.1</v>
      </c>
      <c r="BB119" s="1185">
        <f>'CZ05 BC Factors'!D43</f>
        <v>0.63</v>
      </c>
      <c r="BC119" s="1186">
        <f>'CZ05 BC Factors'!E43</f>
        <v>0.83599999999999997</v>
      </c>
      <c r="BD119" s="1187">
        <f>'CZ05 BC Factors'!F43</f>
        <v>0.90900000000000003</v>
      </c>
      <c r="BE119" s="1186">
        <f>'CZ05 BC Factors'!G43</f>
        <v>0.59250000000000003</v>
      </c>
      <c r="BF119" s="1187">
        <f>'CZ05 BC Factors'!H43</f>
        <v>0.32400000000000001</v>
      </c>
      <c r="BG119" s="1186">
        <f>'CZ05 BC Factors'!I43</f>
        <v>0.64500000000000002</v>
      </c>
      <c r="BH119" s="1187">
        <f>'CZ05 BC Factors'!J43</f>
        <v>0.99900000000000022</v>
      </c>
      <c r="BI119" s="1188">
        <f>'CZ05 BC Factors'!K43</f>
        <v>0.89300000000000002</v>
      </c>
      <c r="BK119" s="1189">
        <v>0.1</v>
      </c>
      <c r="BL119" s="1185">
        <f>'CZ06 Factors'!D41</f>
        <v>0.6825</v>
      </c>
      <c r="BM119" s="1186">
        <f>'CZ06 Factors'!E41</f>
        <v>0.87750000000000006</v>
      </c>
      <c r="BN119" s="1187">
        <f>'CZ06 Factors'!F41</f>
        <v>0.8909999999999999</v>
      </c>
      <c r="BO119" s="1186">
        <f>'CZ06 Factors'!G41</f>
        <v>0.48099999999999998</v>
      </c>
      <c r="BP119" s="1187">
        <f>'CZ06 Factors'!H41</f>
        <v>0.19600000000000001</v>
      </c>
      <c r="BQ119" s="1186">
        <f>'CZ06 Factors'!I41</f>
        <v>0.83265</v>
      </c>
      <c r="BR119" s="1187">
        <f>'CZ06 Factors'!J41</f>
        <v>1.7874999999999999</v>
      </c>
      <c r="BS119" s="1188">
        <f>'CZ06 Factors'!K41</f>
        <v>1.2895999999999999</v>
      </c>
      <c r="BU119" s="1189">
        <v>0.1</v>
      </c>
      <c r="BV119" s="1185">
        <f>'CZ07 Factors'!D43</f>
        <v>0.91200000000000003</v>
      </c>
      <c r="BW119" s="1186">
        <f>'CZ07 Factors'!E43</f>
        <v>0.97</v>
      </c>
      <c r="BX119" s="1187">
        <f>'CZ07 Factors'!F43</f>
        <v>0.83199999999999996</v>
      </c>
      <c r="BY119" s="1186">
        <f>'CZ07 Factors'!G43</f>
        <v>0.64</v>
      </c>
      <c r="BZ119" s="1187">
        <f>'CZ07 Factors'!H43</f>
        <v>0.40800000000000003</v>
      </c>
      <c r="CA119" s="1186">
        <f>'CZ07 Factors'!I43</f>
        <v>0.64600000000000013</v>
      </c>
      <c r="CB119" s="1187">
        <f>'CZ07 Factors'!J43</f>
        <v>0.92700000000000005</v>
      </c>
      <c r="CC119" s="1188">
        <f>'CZ07 Factors'!K43</f>
        <v>1.0289999999999999</v>
      </c>
      <c r="CE119" s="1189">
        <v>0.1</v>
      </c>
      <c r="CF119" s="1185">
        <f>'CZ08 Factors'!D43</f>
        <v>0.53300000000000003</v>
      </c>
      <c r="CG119" s="1186">
        <f>'CZ08 Factors'!E43</f>
        <v>0.86399999999999999</v>
      </c>
      <c r="CH119" s="1187">
        <f>'CZ08 Factors'!F43</f>
        <v>1.1220000000000001</v>
      </c>
      <c r="CI119" s="1186">
        <f>'CZ08 Factors'!G43</f>
        <v>0.59250000000000003</v>
      </c>
      <c r="CJ119" s="1187">
        <f>'CZ08 Factors'!H43</f>
        <v>0.216</v>
      </c>
      <c r="CK119" s="1186">
        <f>'CZ08 Factors'!I43</f>
        <v>0.58379999999999999</v>
      </c>
      <c r="CL119" s="1187">
        <f>'CZ08 Factors'!J43</f>
        <v>1.0791000000000002</v>
      </c>
      <c r="CM119" s="1188">
        <f>'CZ08 Factors'!K43</f>
        <v>0.85975000000000013</v>
      </c>
    </row>
    <row r="120" spans="2:91" x14ac:dyDescent="0.25">
      <c r="B120" s="443">
        <f t="shared" si="7"/>
        <v>420</v>
      </c>
      <c r="C120" s="1184">
        <v>0.2</v>
      </c>
      <c r="D120" s="1185">
        <f>'CZ01 Factors'!D26</f>
        <v>0.4328999999999999</v>
      </c>
      <c r="E120" s="1186">
        <f>'CZ01 Factors'!E26</f>
        <v>0.67259999999999986</v>
      </c>
      <c r="F120" s="1187">
        <f>'CZ01 Factors'!F26</f>
        <v>1.1211</v>
      </c>
      <c r="G120" s="1186">
        <f>'CZ01 Factors'!G26</f>
        <v>0.90239999999999987</v>
      </c>
      <c r="H120" s="1187">
        <f>'CZ01 Factors'!H26</f>
        <v>0.44550000000000001</v>
      </c>
      <c r="I120" s="1186">
        <f>'CZ01 Factors'!I26</f>
        <v>0.85070000000000001</v>
      </c>
      <c r="J120" s="1187">
        <f>'CZ01 Factors'!J26</f>
        <v>1</v>
      </c>
      <c r="K120" s="1188">
        <f>'CZ01 Factors'!K26</f>
        <v>0.65100000000000002</v>
      </c>
      <c r="M120" s="1189">
        <v>0.2</v>
      </c>
      <c r="N120" s="1185">
        <f>'CZ02 Factors'!D44</f>
        <v>0.28200000000000003</v>
      </c>
      <c r="O120" s="1186">
        <f>'CZ02 Factors'!E44</f>
        <v>0.5734999999999999</v>
      </c>
      <c r="P120" s="1187">
        <f>'CZ02 Factors'!F44</f>
        <v>0.87400000000000011</v>
      </c>
      <c r="Q120" s="1186">
        <f>'CZ02 Factors'!G44</f>
        <v>0.55099999999999993</v>
      </c>
      <c r="R120" s="1187">
        <f>'CZ02 Factors'!H44</f>
        <v>0.24999999999999997</v>
      </c>
      <c r="S120" s="1186">
        <f>'CZ02 Factors'!I44</f>
        <v>0.79799999999999993</v>
      </c>
      <c r="T120" s="1187">
        <f>'CZ02 Factors'!J44</f>
        <v>1.3999999999999997</v>
      </c>
      <c r="U120" s="1188">
        <f>'CZ02 Factors'!K44</f>
        <v>0.78</v>
      </c>
      <c r="W120" s="1189">
        <v>0.2</v>
      </c>
      <c r="X120" s="1185">
        <f>'CZ03 Factors'!D44</f>
        <v>0.53199999999999992</v>
      </c>
      <c r="Y120" s="1186">
        <f>'CZ03 Factors'!E44</f>
        <v>0.91249999999999998</v>
      </c>
      <c r="Z120" s="1187">
        <f>'CZ03 Factors'!F44</f>
        <v>1.2100000000000002</v>
      </c>
      <c r="AA120" s="1186">
        <f>'CZ03 Factors'!G44</f>
        <v>1.0350000000000001</v>
      </c>
      <c r="AB120" s="1187">
        <f>'CZ03 Factors'!H44</f>
        <v>0.55200000000000005</v>
      </c>
      <c r="AC120" s="1186">
        <f>'CZ03 Factors'!I44</f>
        <v>0.86999999999999988</v>
      </c>
      <c r="AD120" s="1187">
        <f>'CZ03 Factors'!J44</f>
        <v>0.84800000000000009</v>
      </c>
      <c r="AE120" s="1188">
        <f>'CZ03 Factors'!K44</f>
        <v>0.80299999999999994</v>
      </c>
      <c r="AG120" s="1189">
        <v>0.2</v>
      </c>
      <c r="AH120" s="1185">
        <f>'CZ04 Factors'!D44</f>
        <v>0.51700000000000002</v>
      </c>
      <c r="AI120" s="1186">
        <f>'CZ04 Factors'!E44</f>
        <v>0.82650000000000001</v>
      </c>
      <c r="AJ120" s="1187">
        <f>'CZ04 Factors'!F44</f>
        <v>0.89600000000000013</v>
      </c>
      <c r="AK120" s="1186">
        <f>'CZ04 Factors'!G44</f>
        <v>0.53300000000000003</v>
      </c>
      <c r="AL120" s="1187">
        <f>'CZ04 Factors'!H44</f>
        <v>0.20499999999999999</v>
      </c>
      <c r="AM120" s="1186">
        <f>'CZ04 Factors'!I44</f>
        <v>0.49399999999999999</v>
      </c>
      <c r="AN120" s="1187">
        <f>'CZ04 Factors'!J44</f>
        <v>0.84000000000000008</v>
      </c>
      <c r="AO120" s="1188">
        <f>'CZ04 Factors'!K44</f>
        <v>0.76950000000000007</v>
      </c>
      <c r="AQ120" s="1189">
        <v>0.2</v>
      </c>
      <c r="AR120" s="1185">
        <f>'CZ05 Factors'!D44</f>
        <v>0.41819999999999991</v>
      </c>
      <c r="AS120" s="1186">
        <f>'CZ05 Factors'!E44</f>
        <v>0.6459999999999998</v>
      </c>
      <c r="AT120" s="1187">
        <f>'CZ05 Factors'!F44</f>
        <v>0.7831999999999999</v>
      </c>
      <c r="AU120" s="1186">
        <f>'CZ05 Factors'!G44</f>
        <v>0.44800000000000001</v>
      </c>
      <c r="AV120" s="1187">
        <f>'CZ05 Factors'!H44</f>
        <v>0.192</v>
      </c>
      <c r="AW120" s="1186">
        <f>'CZ05 Factors'!I44</f>
        <v>0.49020000000000002</v>
      </c>
      <c r="AX120" s="1187">
        <f>'CZ05 Factors'!J44</f>
        <v>0.88109999999999999</v>
      </c>
      <c r="AY120" s="1188">
        <f>'CZ05 Factors'!K44</f>
        <v>0.70965</v>
      </c>
      <c r="AZ120" s="449"/>
      <c r="BA120" s="1189">
        <v>0.2</v>
      </c>
      <c r="BB120" s="1185">
        <f>'CZ05 BC Factors'!D44</f>
        <v>0.51</v>
      </c>
      <c r="BC120" s="1186">
        <f>'CZ05 BC Factors'!E44</f>
        <v>0.72199999999999998</v>
      </c>
      <c r="BD120" s="1187">
        <f>'CZ05 BC Factors'!F44</f>
        <v>0.80099999999999993</v>
      </c>
      <c r="BE120" s="1186">
        <f>'CZ05 BC Factors'!G44</f>
        <v>0.52499999999999991</v>
      </c>
      <c r="BF120" s="1187">
        <f>'CZ05 BC Factors'!H44</f>
        <v>0.28799999999999998</v>
      </c>
      <c r="BG120" s="1186">
        <f>'CZ05 BC Factors'!I44</f>
        <v>0.56999999999999995</v>
      </c>
      <c r="BH120" s="1187">
        <f>'CZ05 BC Factors'!J44</f>
        <v>0.89100000000000001</v>
      </c>
      <c r="BI120" s="1188">
        <f>'CZ05 BC Factors'!K44</f>
        <v>0.78849999999999998</v>
      </c>
      <c r="BK120" s="1189">
        <v>0.2</v>
      </c>
      <c r="BL120" s="1185">
        <f>'CZ06 Factors'!D42</f>
        <v>0.54600000000000004</v>
      </c>
      <c r="BM120" s="1186">
        <f>'CZ06 Factors'!E42</f>
        <v>0.75075000000000003</v>
      </c>
      <c r="BN120" s="1187">
        <f>'CZ06 Factors'!F42</f>
        <v>0.79199999999999993</v>
      </c>
      <c r="BO120" s="1186">
        <f>'CZ06 Factors'!G42</f>
        <v>0.42249999999999999</v>
      </c>
      <c r="BP120" s="1187">
        <f>'CZ06 Factors'!H42</f>
        <v>0.17599999999999999</v>
      </c>
      <c r="BQ120" s="1186">
        <f>'CZ06 Factors'!I42</f>
        <v>0.75029999999999986</v>
      </c>
      <c r="BR120" s="1187">
        <f>'CZ06 Factors'!J42</f>
        <v>1.6016000000000001</v>
      </c>
      <c r="BS120" s="1188">
        <f>'CZ06 Factors'!K42</f>
        <v>1.1283999999999998</v>
      </c>
      <c r="BU120" s="1189">
        <v>0.2</v>
      </c>
      <c r="BV120" s="1185">
        <f>'CZ07 Factors'!D44</f>
        <v>0.74399999999999999</v>
      </c>
      <c r="BW120" s="1186">
        <f>'CZ07 Factors'!E44</f>
        <v>0.84999999999999987</v>
      </c>
      <c r="BX120" s="1187">
        <f>'CZ07 Factors'!F44</f>
        <v>0.74400000000000011</v>
      </c>
      <c r="BY120" s="1186">
        <f>'CZ07 Factors'!G44</f>
        <v>0.55999999999999994</v>
      </c>
      <c r="BZ120" s="1187">
        <f>'CZ07 Factors'!H44</f>
        <v>0.36</v>
      </c>
      <c r="CA120" s="1186">
        <f>'CZ07 Factors'!I44</f>
        <v>0.57800000000000007</v>
      </c>
      <c r="CB120" s="1187">
        <f>'CZ07 Factors'!J44</f>
        <v>0.81900000000000006</v>
      </c>
      <c r="CC120" s="1188">
        <f>'CZ07 Factors'!K44</f>
        <v>0.90300000000000002</v>
      </c>
      <c r="CE120" s="1189">
        <v>0.2</v>
      </c>
      <c r="CF120" s="1185">
        <f>'CZ08 Factors'!D44</f>
        <v>0.4264</v>
      </c>
      <c r="CG120" s="1186">
        <f>'CZ08 Factors'!E44</f>
        <v>0.75840000000000007</v>
      </c>
      <c r="CH120" s="1187">
        <f>'CZ08 Factors'!F44</f>
        <v>0.99</v>
      </c>
      <c r="CI120" s="1186">
        <f>'CZ08 Factors'!G44</f>
        <v>0.52499999999999991</v>
      </c>
      <c r="CJ120" s="1187">
        <f>'CZ08 Factors'!H44</f>
        <v>0.192</v>
      </c>
      <c r="CK120" s="1186">
        <f>'CZ08 Factors'!I44</f>
        <v>0.50735000000000008</v>
      </c>
      <c r="CL120" s="1187">
        <f>'CZ08 Factors'!J44</f>
        <v>0.97020000000000006</v>
      </c>
      <c r="CM120" s="1188">
        <f>'CZ08 Factors'!K44</f>
        <v>0.7511500000000001</v>
      </c>
    </row>
    <row r="121" spans="2:91" x14ac:dyDescent="0.25">
      <c r="B121" s="443">
        <f t="shared" si="7"/>
        <v>840</v>
      </c>
      <c r="C121" s="1184">
        <v>0.4</v>
      </c>
      <c r="D121" s="1185">
        <f>'CZ01 Factors'!D27</f>
        <v>0.35099999999999992</v>
      </c>
      <c r="E121" s="1186">
        <f>'CZ01 Factors'!E27</f>
        <v>0.5129999999999999</v>
      </c>
      <c r="F121" s="1187">
        <f>'CZ01 Factors'!F27</f>
        <v>0.87690000000000012</v>
      </c>
      <c r="G121" s="1186">
        <f>'CZ01 Factors'!G27</f>
        <v>0.66239999999999988</v>
      </c>
      <c r="H121" s="1187">
        <f>'CZ01 Factors'!H27</f>
        <v>0.34019999999999995</v>
      </c>
      <c r="I121" s="1186">
        <f>'CZ01 Factors'!I27</f>
        <v>0.67874999999999996</v>
      </c>
      <c r="J121" s="1187">
        <f>'CZ01 Factors'!J27</f>
        <v>0.82999999999999985</v>
      </c>
      <c r="K121" s="1188">
        <f>'CZ01 Factors'!K27</f>
        <v>0.50995000000000001</v>
      </c>
      <c r="M121" s="1189">
        <v>0.4</v>
      </c>
      <c r="N121" s="1185">
        <f>'CZ02 Factors'!D45</f>
        <v>0.23400000000000004</v>
      </c>
      <c r="O121" s="1186">
        <f>'CZ02 Factors'!E45</f>
        <v>0.434</v>
      </c>
      <c r="P121" s="1187">
        <f>'CZ02 Factors'!F45</f>
        <v>0.69350000000000001</v>
      </c>
      <c r="Q121" s="1186">
        <f>'CZ02 Factors'!G45</f>
        <v>0.44224999999999992</v>
      </c>
      <c r="R121" s="1187">
        <f>'CZ02 Factors'!H45</f>
        <v>0.2</v>
      </c>
      <c r="S121" s="1186">
        <f>'CZ02 Factors'!I45</f>
        <v>0.63650000000000007</v>
      </c>
      <c r="T121" s="1187">
        <f>'CZ02 Factors'!J45</f>
        <v>1.1619999999999997</v>
      </c>
      <c r="U121" s="1188">
        <f>'CZ02 Factors'!K45</f>
        <v>0.6</v>
      </c>
      <c r="W121" s="1189">
        <v>0.4</v>
      </c>
      <c r="X121" s="1185">
        <f>'CZ03 Factors'!D45</f>
        <v>0.44800000000000001</v>
      </c>
      <c r="Y121" s="1186">
        <f>'CZ03 Factors'!E45</f>
        <v>0.70000000000000018</v>
      </c>
      <c r="Z121" s="1187">
        <f>'CZ03 Factors'!F45</f>
        <v>0.96800000000000008</v>
      </c>
      <c r="AA121" s="1186">
        <f>'CZ03 Factors'!G45</f>
        <v>0.81649999999999989</v>
      </c>
      <c r="AB121" s="1187">
        <f>'CZ03 Factors'!H45</f>
        <v>0.45599999999999996</v>
      </c>
      <c r="AC121" s="1186">
        <f>'CZ03 Factors'!I45</f>
        <v>0.72</v>
      </c>
      <c r="AD121" s="1187">
        <f>'CZ03 Factors'!J45</f>
        <v>0.67199999999999993</v>
      </c>
      <c r="AE121" s="1188">
        <f>'CZ03 Factors'!K45</f>
        <v>0.61599999999999999</v>
      </c>
      <c r="AG121" s="1189">
        <v>0.4</v>
      </c>
      <c r="AH121" s="1185">
        <f>'CZ04 Factors'!D45</f>
        <v>0.4290000000000001</v>
      </c>
      <c r="AI121" s="1186">
        <f>'CZ04 Factors'!E45</f>
        <v>0.62699999999999989</v>
      </c>
      <c r="AJ121" s="1187">
        <f>'CZ04 Factors'!F45</f>
        <v>0.7360000000000001</v>
      </c>
      <c r="AK121" s="1186">
        <f>'CZ04 Factors'!G45</f>
        <v>0.43550000000000011</v>
      </c>
      <c r="AL121" s="1187">
        <f>'CZ04 Factors'!H45</f>
        <v>0.17</v>
      </c>
      <c r="AM121" s="1186">
        <f>'CZ04 Factors'!I45</f>
        <v>0.40300000000000002</v>
      </c>
      <c r="AN121" s="1187">
        <f>'CZ04 Factors'!J45</f>
        <v>0.68</v>
      </c>
      <c r="AO121" s="1188">
        <f>'CZ04 Factors'!K45</f>
        <v>0.58899999999999997</v>
      </c>
      <c r="AQ121" s="1189">
        <v>0.4</v>
      </c>
      <c r="AR121" s="1185">
        <f>'CZ05 Factors'!D45</f>
        <v>0.31979999999999997</v>
      </c>
      <c r="AS121" s="1186">
        <f>'CZ05 Factors'!E45</f>
        <v>0.49299999999999988</v>
      </c>
      <c r="AT121" s="1187">
        <f>'CZ05 Factors'!F45</f>
        <v>0.62479999999999991</v>
      </c>
      <c r="AU121" s="1186">
        <f>'CZ05 Factors'!G45</f>
        <v>0.36480000000000001</v>
      </c>
      <c r="AV121" s="1187">
        <f>'CZ05 Factors'!H45</f>
        <v>0.15200000000000002</v>
      </c>
      <c r="AW121" s="1186">
        <f>'CZ05 Factors'!I45</f>
        <v>0.39990000000000003</v>
      </c>
      <c r="AX121" s="1187">
        <f>'CZ05 Factors'!J45</f>
        <v>0.72089999999999999</v>
      </c>
      <c r="AY121" s="1188">
        <f>'CZ05 Factors'!K45</f>
        <v>0.53010000000000002</v>
      </c>
      <c r="AZ121" s="449"/>
      <c r="BA121" s="1189">
        <v>0.4</v>
      </c>
      <c r="BB121" s="1185">
        <f>'CZ05 BC Factors'!D45</f>
        <v>0.39</v>
      </c>
      <c r="BC121" s="1186">
        <f>'CZ05 BC Factors'!E45</f>
        <v>0.55099999999999993</v>
      </c>
      <c r="BD121" s="1187">
        <f>'CZ05 BC Factors'!F45</f>
        <v>0.63900000000000001</v>
      </c>
      <c r="BE121" s="1186">
        <f>'CZ05 BC Factors'!G45</f>
        <v>0.42749999999999999</v>
      </c>
      <c r="BF121" s="1187">
        <f>'CZ05 BC Factors'!H45</f>
        <v>0.22800000000000001</v>
      </c>
      <c r="BG121" s="1186">
        <f>'CZ05 BC Factors'!I45</f>
        <v>0.46500000000000002</v>
      </c>
      <c r="BH121" s="1187">
        <f>'CZ05 BC Factors'!J45</f>
        <v>0.72900000000000009</v>
      </c>
      <c r="BI121" s="1188">
        <f>'CZ05 BC Factors'!K45</f>
        <v>0.58899999999999997</v>
      </c>
      <c r="BK121" s="1189">
        <v>0.4</v>
      </c>
      <c r="BL121" s="1185">
        <f>'CZ06 Factors'!D43</f>
        <v>0.378</v>
      </c>
      <c r="BM121" s="1186">
        <f>'CZ06 Factors'!E43</f>
        <v>0.5655</v>
      </c>
      <c r="BN121" s="1187">
        <f>'CZ06 Factors'!F43</f>
        <v>0.6389999999999999</v>
      </c>
      <c r="BO121" s="1186">
        <f>'CZ06 Factors'!G43</f>
        <v>0.35100000000000003</v>
      </c>
      <c r="BP121" s="1187">
        <f>'CZ06 Factors'!H43</f>
        <v>0.14399999999999999</v>
      </c>
      <c r="BQ121" s="1186">
        <f>'CZ06 Factors'!I43</f>
        <v>0.61305000000000009</v>
      </c>
      <c r="BR121" s="1187">
        <f>'CZ06 Factors'!J43</f>
        <v>1.2869999999999999</v>
      </c>
      <c r="BS121" s="1188">
        <f>'CZ06 Factors'!K43</f>
        <v>0.85559999999999981</v>
      </c>
      <c r="BU121" s="1189">
        <v>0.4</v>
      </c>
      <c r="BV121" s="1185">
        <f>'CZ07 Factors'!D45</f>
        <v>0.48</v>
      </c>
      <c r="BW121" s="1186">
        <f>'CZ07 Factors'!E45</f>
        <v>0.65</v>
      </c>
      <c r="BX121" s="1187">
        <f>'CZ07 Factors'!F45</f>
        <v>0.60799999999999998</v>
      </c>
      <c r="BY121" s="1186">
        <f>'CZ07 Factors'!G45</f>
        <v>0.46399999999999991</v>
      </c>
      <c r="BZ121" s="1187">
        <f>'CZ07 Factors'!H45</f>
        <v>0.30399999999999999</v>
      </c>
      <c r="CA121" s="1186">
        <f>'CZ07 Factors'!I45</f>
        <v>0.46750000000000008</v>
      </c>
      <c r="CB121" s="1187">
        <f>'CZ07 Factors'!J45</f>
        <v>0.66600000000000004</v>
      </c>
      <c r="CC121" s="1188">
        <f>'CZ07 Factors'!K45</f>
        <v>0.67199999999999993</v>
      </c>
      <c r="CE121" s="1189">
        <v>0.4</v>
      </c>
      <c r="CF121" s="1185">
        <f>'CZ08 Factors'!D45</f>
        <v>0.31980000000000003</v>
      </c>
      <c r="CG121" s="1186">
        <f>'CZ08 Factors'!E45</f>
        <v>0.57600000000000007</v>
      </c>
      <c r="CH121" s="1187">
        <f>'CZ08 Factors'!F45</f>
        <v>0.80300000000000016</v>
      </c>
      <c r="CI121" s="1186">
        <f>'CZ08 Factors'!G45</f>
        <v>0.42749999999999999</v>
      </c>
      <c r="CJ121" s="1187">
        <f>'CZ08 Factors'!H45</f>
        <v>0.156</v>
      </c>
      <c r="CK121" s="1186">
        <f>'CZ08 Factors'!I45</f>
        <v>0.42395000000000005</v>
      </c>
      <c r="CL121" s="1187">
        <f>'CZ08 Factors'!J45</f>
        <v>0.78210000000000002</v>
      </c>
      <c r="CM121" s="1188">
        <f>'CZ08 Factors'!K45</f>
        <v>0.57015000000000005</v>
      </c>
    </row>
    <row r="122" spans="2:91" x14ac:dyDescent="0.25">
      <c r="B122" s="443">
        <f t="shared" si="7"/>
        <v>1260</v>
      </c>
      <c r="C122" s="1184">
        <v>0.6</v>
      </c>
      <c r="D122" s="1185">
        <f>'CZ01 Factors'!D28</f>
        <v>0.29249999999999993</v>
      </c>
      <c r="E122" s="1186">
        <f>'CZ01 Factors'!E28</f>
        <v>0.42179999999999995</v>
      </c>
      <c r="F122" s="1187">
        <f>'CZ01 Factors'!F28</f>
        <v>0.73260000000000014</v>
      </c>
      <c r="G122" s="1186">
        <f>'CZ01 Factors'!G28</f>
        <v>0.5663999999999999</v>
      </c>
      <c r="H122" s="1187">
        <f>'CZ01 Factors'!H28</f>
        <v>0.27540000000000003</v>
      </c>
      <c r="I122" s="1186">
        <f>'CZ01 Factors'!I28</f>
        <v>0.54300000000000004</v>
      </c>
      <c r="J122" s="1187">
        <f>'CZ01 Factors'!J28</f>
        <v>0.66</v>
      </c>
      <c r="K122" s="1188">
        <f>'CZ01 Factors'!K28</f>
        <v>0.4123</v>
      </c>
      <c r="M122" s="1189">
        <v>0.6</v>
      </c>
      <c r="N122" s="1185">
        <f>'CZ02 Factors'!D46</f>
        <v>0.19800000000000001</v>
      </c>
      <c r="O122" s="1186">
        <f>'CZ02 Factors'!E46</f>
        <v>0.34099999999999997</v>
      </c>
      <c r="P122" s="1187">
        <f>'CZ02 Factors'!F46</f>
        <v>0.56999999999999995</v>
      </c>
      <c r="Q122" s="1186">
        <f>'CZ02 Factors'!G46</f>
        <v>0.35525000000000001</v>
      </c>
      <c r="R122" s="1187">
        <f>'CZ02 Factors'!H46</f>
        <v>0.16500000000000001</v>
      </c>
      <c r="S122" s="1186">
        <f>'CZ02 Factors'!I46</f>
        <v>0.52249999999999996</v>
      </c>
      <c r="T122" s="1187">
        <f>'CZ02 Factors'!J46</f>
        <v>0.93799999999999994</v>
      </c>
      <c r="U122" s="1188">
        <f>'CZ02 Factors'!K46</f>
        <v>0.45</v>
      </c>
      <c r="W122" s="1189">
        <v>0.6</v>
      </c>
      <c r="X122" s="1185">
        <f>'CZ03 Factors'!D46</f>
        <v>0.39200000000000002</v>
      </c>
      <c r="Y122" s="1186">
        <f>'CZ03 Factors'!E46</f>
        <v>0.53749999999999998</v>
      </c>
      <c r="Z122" s="1187">
        <f>'CZ03 Factors'!F46</f>
        <v>0.81399999999999995</v>
      </c>
      <c r="AA122" s="1186">
        <f>'CZ03 Factors'!G46</f>
        <v>0.66699999999999993</v>
      </c>
      <c r="AB122" s="1187">
        <f>'CZ03 Factors'!H46</f>
        <v>0.372</v>
      </c>
      <c r="AC122" s="1186">
        <f>'CZ03 Factors'!I46</f>
        <v>0.56999999999999995</v>
      </c>
      <c r="AD122" s="1187">
        <f>'CZ03 Factors'!J46</f>
        <v>0.56799999999999995</v>
      </c>
      <c r="AE122" s="1188">
        <f>'CZ03 Factors'!K46</f>
        <v>0.48399999999999999</v>
      </c>
      <c r="AG122" s="1189">
        <v>0.6</v>
      </c>
      <c r="AH122" s="1185">
        <f>'CZ04 Factors'!D46</f>
        <v>0.36300000000000004</v>
      </c>
      <c r="AI122" s="1186">
        <f>'CZ04 Factors'!E46</f>
        <v>0.47499999999999992</v>
      </c>
      <c r="AJ122" s="1187">
        <f>'CZ04 Factors'!F46</f>
        <v>0.59199999999999997</v>
      </c>
      <c r="AK122" s="1186">
        <f>'CZ04 Factors'!G46</f>
        <v>0.36400000000000005</v>
      </c>
      <c r="AL122" s="1187">
        <f>'CZ04 Factors'!H46</f>
        <v>0.14499999999999999</v>
      </c>
      <c r="AM122" s="1186">
        <f>'CZ04 Factors'!I46</f>
        <v>0.34449999999999997</v>
      </c>
      <c r="AN122" s="1187">
        <f>'CZ04 Factors'!J46</f>
        <v>0.57599999999999996</v>
      </c>
      <c r="AO122" s="1188">
        <f>'CZ04 Factors'!K46</f>
        <v>0.42749999999999999</v>
      </c>
      <c r="AQ122" s="1189">
        <v>0.6</v>
      </c>
      <c r="AR122" s="1185">
        <f>'CZ05 Factors'!D46</f>
        <v>0.28699999999999992</v>
      </c>
      <c r="AS122" s="1186">
        <f>'CZ05 Factors'!E46</f>
        <v>0.3909999999999999</v>
      </c>
      <c r="AT122" s="1187">
        <f>'CZ05 Factors'!F46</f>
        <v>0.51039999999999996</v>
      </c>
      <c r="AU122" s="1186">
        <f>'CZ05 Factors'!G46</f>
        <v>0.30080000000000001</v>
      </c>
      <c r="AV122" s="1187">
        <f>'CZ05 Factors'!H46</f>
        <v>0.13200000000000001</v>
      </c>
      <c r="AW122" s="1186">
        <f>'CZ05 Factors'!I46</f>
        <v>0.32895000000000002</v>
      </c>
      <c r="AX122" s="1187">
        <f>'CZ05 Factors'!J46</f>
        <v>0.57850000000000001</v>
      </c>
      <c r="AY122" s="1188">
        <f>'CZ05 Factors'!K46</f>
        <v>0.41039999999999993</v>
      </c>
      <c r="AZ122" s="449"/>
      <c r="BA122" s="1189">
        <v>0.6</v>
      </c>
      <c r="BB122" s="1185">
        <f>'CZ05 BC Factors'!D46</f>
        <v>0.35</v>
      </c>
      <c r="BC122" s="1186">
        <f>'CZ05 BC Factors'!E46</f>
        <v>0.437</v>
      </c>
      <c r="BD122" s="1187">
        <f>'CZ05 BC Factors'!F46</f>
        <v>0.52200000000000002</v>
      </c>
      <c r="BE122" s="1186">
        <f>'CZ05 BC Factors'!G46</f>
        <v>0.35249999999999998</v>
      </c>
      <c r="BF122" s="1187">
        <f>'CZ05 BC Factors'!H46</f>
        <v>0.19800000000000001</v>
      </c>
      <c r="BG122" s="1186">
        <f>'CZ05 BC Factors'!I46</f>
        <v>0.38250000000000001</v>
      </c>
      <c r="BH122" s="1187">
        <f>'CZ05 BC Factors'!J46</f>
        <v>0.58500000000000008</v>
      </c>
      <c r="BI122" s="1188">
        <f>'CZ05 BC Factors'!K46</f>
        <v>0.45599999999999996</v>
      </c>
      <c r="BK122" s="1189">
        <v>0.6</v>
      </c>
      <c r="BL122" s="1185">
        <f>'CZ06 Factors'!D44</f>
        <v>0.315</v>
      </c>
      <c r="BM122" s="1186">
        <f>'CZ06 Factors'!E44</f>
        <v>0.41925000000000007</v>
      </c>
      <c r="BN122" s="1187">
        <f>'CZ06 Factors'!F44</f>
        <v>0.54900000000000004</v>
      </c>
      <c r="BO122" s="1186">
        <f>'CZ06 Factors'!G44</f>
        <v>0.29250000000000004</v>
      </c>
      <c r="BP122" s="1187">
        <f>'CZ06 Factors'!H44</f>
        <v>0.124</v>
      </c>
      <c r="BQ122" s="1186">
        <f>'CZ06 Factors'!I44</f>
        <v>0.53069999999999995</v>
      </c>
      <c r="BR122" s="1187">
        <f>'CZ06 Factors'!J44</f>
        <v>1.0868</v>
      </c>
      <c r="BS122" s="1188">
        <f>'CZ06 Factors'!K44</f>
        <v>0.63239999999999996</v>
      </c>
      <c r="BU122" s="1189">
        <v>0.6</v>
      </c>
      <c r="BV122" s="1185">
        <f>'CZ07 Factors'!D46</f>
        <v>0.38400000000000001</v>
      </c>
      <c r="BW122" s="1186">
        <f>'CZ07 Factors'!E46</f>
        <v>0.51</v>
      </c>
      <c r="BX122" s="1187">
        <f>'CZ07 Factors'!F46</f>
        <v>0.52</v>
      </c>
      <c r="BY122" s="1186">
        <f>'CZ07 Factors'!G46</f>
        <v>0.39999999999999991</v>
      </c>
      <c r="BZ122" s="1187">
        <f>'CZ07 Factors'!H46</f>
        <v>0.26400000000000001</v>
      </c>
      <c r="CA122" s="1186">
        <f>'CZ07 Factors'!I46</f>
        <v>0.39950000000000002</v>
      </c>
      <c r="CB122" s="1187">
        <f>'CZ07 Factors'!J46</f>
        <v>0.56699999999999995</v>
      </c>
      <c r="CC122" s="1188">
        <f>'CZ07 Factors'!K46</f>
        <v>0.53549999999999998</v>
      </c>
      <c r="CE122" s="1189">
        <v>0.6</v>
      </c>
      <c r="CF122" s="1185">
        <f>'CZ08 Factors'!D46</f>
        <v>0.27879999999999999</v>
      </c>
      <c r="CG122" s="1186">
        <f>'CZ08 Factors'!E46</f>
        <v>0.44160000000000005</v>
      </c>
      <c r="CH122" s="1187">
        <f>'CZ08 Factors'!F46</f>
        <v>0.66</v>
      </c>
      <c r="CI122" s="1186">
        <f>'CZ08 Factors'!G46</f>
        <v>0.36</v>
      </c>
      <c r="CJ122" s="1187">
        <f>'CZ08 Factors'!H46</f>
        <v>0.13200000000000001</v>
      </c>
      <c r="CK122" s="1186">
        <f>'CZ08 Factors'!I46</f>
        <v>0.34750000000000003</v>
      </c>
      <c r="CL122" s="1187">
        <f>'CZ08 Factors'!J46</f>
        <v>0.65339999999999998</v>
      </c>
      <c r="CM122" s="1188">
        <f>'CZ08 Factors'!K46</f>
        <v>0.44345000000000007</v>
      </c>
    </row>
    <row r="123" spans="2:91" x14ac:dyDescent="0.25">
      <c r="B123" s="443">
        <f t="shared" si="7"/>
        <v>1680</v>
      </c>
      <c r="C123" s="1184">
        <v>0.8</v>
      </c>
      <c r="D123" s="1185">
        <f>'CZ01 Factors'!D29</f>
        <v>0.25739999999999996</v>
      </c>
      <c r="E123" s="1186">
        <f>'CZ01 Factors'!E29</f>
        <v>0.35339999999999999</v>
      </c>
      <c r="F123" s="1187">
        <f>'CZ01 Factors'!F29</f>
        <v>0.58830000000000005</v>
      </c>
      <c r="G123" s="1186">
        <f>'CZ01 Factors'!G29</f>
        <v>0.45119999999999993</v>
      </c>
      <c r="H123" s="1187">
        <f>'CZ01 Factors'!H29</f>
        <v>0.24299999999999997</v>
      </c>
      <c r="I123" s="1186">
        <f>'CZ01 Factors'!I29</f>
        <v>0.47060000000000002</v>
      </c>
      <c r="J123" s="1187">
        <f>'CZ01 Factors'!J29</f>
        <v>0.57999999999999996</v>
      </c>
      <c r="K123" s="1188">
        <f>'CZ01 Factors'!K29</f>
        <v>0.34719999999999995</v>
      </c>
      <c r="M123" s="1189">
        <v>0.8</v>
      </c>
      <c r="N123" s="1185">
        <f>'CZ02 Factors'!D47</f>
        <v>0.17400000000000002</v>
      </c>
      <c r="O123" s="1186">
        <f>'CZ02 Factors'!E47</f>
        <v>0.28674999999999995</v>
      </c>
      <c r="P123" s="1187">
        <f>'CZ02 Factors'!F47</f>
        <v>0.47500000000000003</v>
      </c>
      <c r="Q123" s="1186">
        <f>'CZ02 Factors'!G47</f>
        <v>0.29725000000000001</v>
      </c>
      <c r="R123" s="1187">
        <f>'CZ02 Factors'!H47</f>
        <v>0.14499999999999999</v>
      </c>
      <c r="S123" s="1186">
        <f>'CZ02 Factors'!I47</f>
        <v>0.437</v>
      </c>
      <c r="T123" s="1187">
        <f>'CZ02 Factors'!J47</f>
        <v>0.81199999999999983</v>
      </c>
      <c r="U123" s="1188">
        <f>'CZ02 Factors'!K47</f>
        <v>0.39</v>
      </c>
      <c r="W123" s="1189">
        <v>0.8</v>
      </c>
      <c r="X123" s="1185">
        <f>'CZ03 Factors'!D47</f>
        <v>0.33599999999999997</v>
      </c>
      <c r="Y123" s="1186">
        <f>'CZ03 Factors'!E47</f>
        <v>0.4375</v>
      </c>
      <c r="Z123" s="1187">
        <f>'CZ03 Factors'!F47</f>
        <v>0.64900000000000002</v>
      </c>
      <c r="AA123" s="1186">
        <f>'CZ03 Factors'!G47</f>
        <v>0.54049999999999998</v>
      </c>
      <c r="AB123" s="1187">
        <f>'CZ03 Factors'!H47</f>
        <v>0.32400000000000001</v>
      </c>
      <c r="AC123" s="1186">
        <f>'CZ03 Factors'!I47</f>
        <v>0.5</v>
      </c>
      <c r="AD123" s="1187">
        <f>'CZ03 Factors'!J47</f>
        <v>0.48</v>
      </c>
      <c r="AE123" s="1188">
        <f>'CZ03 Factors'!K47</f>
        <v>0.38499999999999995</v>
      </c>
      <c r="AG123" s="1189">
        <v>0.8</v>
      </c>
      <c r="AH123" s="1185">
        <f>'CZ04 Factors'!D47</f>
        <v>0.31900000000000001</v>
      </c>
      <c r="AI123" s="1186">
        <f>'CZ04 Factors'!E47</f>
        <v>0.36099999999999999</v>
      </c>
      <c r="AJ123" s="1187">
        <f>'CZ04 Factors'!F47</f>
        <v>0.504</v>
      </c>
      <c r="AK123" s="1186">
        <f>'CZ04 Factors'!G47</f>
        <v>0.31850000000000001</v>
      </c>
      <c r="AL123" s="1187">
        <f>'CZ04 Factors'!H47</f>
        <v>0.125</v>
      </c>
      <c r="AM123" s="1186">
        <f>'CZ04 Factors'!I47</f>
        <v>0.29249999999999998</v>
      </c>
      <c r="AN123" s="1187">
        <f>'CZ04 Factors'!J47</f>
        <v>0.47199999999999998</v>
      </c>
      <c r="AO123" s="1188">
        <f>'CZ04 Factors'!K47</f>
        <v>0.34199999999999997</v>
      </c>
      <c r="AQ123" s="1189">
        <v>0.8</v>
      </c>
      <c r="AR123" s="1185">
        <f>'CZ05 Factors'!D47</f>
        <v>0.24599999999999994</v>
      </c>
      <c r="AS123" s="1186">
        <f>'CZ05 Factors'!E47</f>
        <v>0.31449999999999995</v>
      </c>
      <c r="AT123" s="1187">
        <f>'CZ05 Factors'!F47</f>
        <v>0.43999999999999995</v>
      </c>
      <c r="AU123" s="1186">
        <f>'CZ05 Factors'!G47</f>
        <v>0.25600000000000006</v>
      </c>
      <c r="AV123" s="1187">
        <f>'CZ05 Factors'!H47</f>
        <v>0.11200000000000002</v>
      </c>
      <c r="AW123" s="1186">
        <f>'CZ05 Factors'!I47</f>
        <v>0.27734999999999999</v>
      </c>
      <c r="AX123" s="1187">
        <f>'CZ05 Factors'!J47</f>
        <v>0.46280000000000004</v>
      </c>
      <c r="AY123" s="1188">
        <f>'CZ05 Factors'!K47</f>
        <v>0.34199999999999997</v>
      </c>
      <c r="AZ123" s="449"/>
      <c r="BA123" s="1189">
        <v>0.8</v>
      </c>
      <c r="BB123" s="1185">
        <f>'CZ05 BC Factors'!D47</f>
        <v>0.3</v>
      </c>
      <c r="BC123" s="1186">
        <f>'CZ05 BC Factors'!E47</f>
        <v>0.35149999999999998</v>
      </c>
      <c r="BD123" s="1187">
        <f>'CZ05 BC Factors'!F47</f>
        <v>0.45</v>
      </c>
      <c r="BE123" s="1186">
        <f>'CZ05 BC Factors'!G47</f>
        <v>0.3</v>
      </c>
      <c r="BF123" s="1187">
        <f>'CZ05 BC Factors'!H47</f>
        <v>0.16800000000000004</v>
      </c>
      <c r="BG123" s="1186">
        <f>'CZ05 BC Factors'!I47</f>
        <v>0.32250000000000001</v>
      </c>
      <c r="BH123" s="1187">
        <f>'CZ05 BC Factors'!J47</f>
        <v>0.46800000000000008</v>
      </c>
      <c r="BI123" s="1188">
        <f>'CZ05 BC Factors'!K47</f>
        <v>0.38</v>
      </c>
      <c r="BK123" s="1189">
        <v>0.8</v>
      </c>
      <c r="BL123" s="1185">
        <f>'CZ06 Factors'!D45</f>
        <v>0.27300000000000002</v>
      </c>
      <c r="BM123" s="1186">
        <f>'CZ06 Factors'!E45</f>
        <v>0.34125</v>
      </c>
      <c r="BN123" s="1187">
        <f>'CZ06 Factors'!F45</f>
        <v>0.45</v>
      </c>
      <c r="BO123" s="1186">
        <f>'CZ06 Factors'!G45</f>
        <v>0.24700000000000003</v>
      </c>
      <c r="BP123" s="1187">
        <f>'CZ06 Factors'!H45</f>
        <v>0.10400000000000001</v>
      </c>
      <c r="BQ123" s="1186">
        <f>'CZ06 Factors'!I45</f>
        <v>0.45749999999999996</v>
      </c>
      <c r="BR123" s="1187">
        <f>'CZ06 Factors'!J45</f>
        <v>0.94379999999999997</v>
      </c>
      <c r="BS123" s="1188">
        <f>'CZ06 Factors'!K45</f>
        <v>0.49600000000000005</v>
      </c>
      <c r="BU123" s="1189">
        <v>0.8</v>
      </c>
      <c r="BV123" s="1185">
        <f>'CZ07 Factors'!D47</f>
        <v>0.33600000000000002</v>
      </c>
      <c r="BW123" s="1186">
        <f>'CZ07 Factors'!E47</f>
        <v>0.4</v>
      </c>
      <c r="BX123" s="1187">
        <f>'CZ07 Factors'!F47</f>
        <v>0.43200000000000005</v>
      </c>
      <c r="BY123" s="1186">
        <f>'CZ07 Factors'!G47</f>
        <v>0.35199999999999998</v>
      </c>
      <c r="BZ123" s="1187">
        <f>'CZ07 Factors'!H47</f>
        <v>0.22400000000000003</v>
      </c>
      <c r="CA123" s="1186">
        <f>'CZ07 Factors'!I47</f>
        <v>0.34849999999999998</v>
      </c>
      <c r="CB123" s="1187">
        <f>'CZ07 Factors'!J47</f>
        <v>0.47700000000000004</v>
      </c>
      <c r="CC123" s="1188">
        <f>'CZ07 Factors'!K47</f>
        <v>0.42</v>
      </c>
      <c r="CE123" s="1189">
        <v>0.8</v>
      </c>
      <c r="CF123" s="1185">
        <f>'CZ08 Factors'!D47</f>
        <v>0.246</v>
      </c>
      <c r="CG123" s="1186">
        <f>'CZ08 Factors'!E47</f>
        <v>0.35520000000000002</v>
      </c>
      <c r="CH123" s="1187">
        <f>'CZ08 Factors'!F47</f>
        <v>0.55000000000000004</v>
      </c>
      <c r="CI123" s="1186">
        <f>'CZ08 Factors'!G47</f>
        <v>0.3075</v>
      </c>
      <c r="CJ123" s="1187">
        <f>'CZ08 Factors'!H47</f>
        <v>0.11599999999999999</v>
      </c>
      <c r="CK123" s="1186">
        <f>'CZ08 Factors'!I47</f>
        <v>0.29885</v>
      </c>
      <c r="CL123" s="1187">
        <f>'CZ08 Factors'!J47</f>
        <v>0.52470000000000006</v>
      </c>
      <c r="CM123" s="1188">
        <f>'CZ08 Factors'!K47</f>
        <v>0.36200000000000004</v>
      </c>
    </row>
    <row r="124" spans="2:91" ht="13" x14ac:dyDescent="0.3">
      <c r="B124" s="443">
        <f t="shared" si="7"/>
        <v>2100</v>
      </c>
      <c r="C124" s="1190">
        <v>1</v>
      </c>
      <c r="D124" s="1191">
        <f>'CZ01 Factors'!D30</f>
        <v>0.22229999999999997</v>
      </c>
      <c r="E124" s="1192">
        <f>'CZ01 Factors'!E30</f>
        <v>0.2964</v>
      </c>
      <c r="F124" s="1193">
        <f>'CZ01 Factors'!F30</f>
        <v>0.49950000000000006</v>
      </c>
      <c r="G124" s="1192">
        <f>'CZ01 Factors'!G30</f>
        <v>0.39359999999999995</v>
      </c>
      <c r="H124" s="1193">
        <f>'CZ01 Factors'!H30</f>
        <v>0.20249999999999999</v>
      </c>
      <c r="I124" s="1192">
        <f>'CZ01 Factors'!I30</f>
        <v>0.38915000000000005</v>
      </c>
      <c r="J124" s="1193">
        <f>'CZ01 Factors'!J30</f>
        <v>0.48</v>
      </c>
      <c r="K124" s="1194">
        <f>'CZ01 Factors'!K30</f>
        <v>0.30380000000000001</v>
      </c>
      <c r="M124" s="1195">
        <v>1</v>
      </c>
      <c r="N124" s="1191">
        <f>'CZ02 Factors'!D48</f>
        <v>0.15600000000000003</v>
      </c>
      <c r="O124" s="1192">
        <f>'CZ02 Factors'!E48</f>
        <v>0.23249999999999998</v>
      </c>
      <c r="P124" s="1193">
        <f>'CZ02 Factors'!F48</f>
        <v>0.40850000000000003</v>
      </c>
      <c r="Q124" s="1192">
        <f>'CZ02 Factors'!G48</f>
        <v>0.25374999999999998</v>
      </c>
      <c r="R124" s="1193">
        <f>'CZ02 Factors'!H48</f>
        <v>0.12</v>
      </c>
      <c r="S124" s="1192">
        <f>'CZ02 Factors'!I48</f>
        <v>0.38</v>
      </c>
      <c r="T124" s="1193">
        <f>'CZ02 Factors'!J48</f>
        <v>0.65799999999999992</v>
      </c>
      <c r="U124" s="1194">
        <f>'CZ02 Factors'!K48</f>
        <v>0.32</v>
      </c>
      <c r="W124" s="1195">
        <v>1</v>
      </c>
      <c r="X124" s="1191">
        <f>'CZ03 Factors'!D48</f>
        <v>0.28000000000000003</v>
      </c>
      <c r="Y124" s="1192">
        <f>'CZ03 Factors'!E48</f>
        <v>0.36249999999999993</v>
      </c>
      <c r="Z124" s="1193">
        <f>'CZ03 Factors'!F48</f>
        <v>0.55000000000000004</v>
      </c>
      <c r="AA124" s="1192">
        <f>'CZ03 Factors'!G48</f>
        <v>0.46000000000000008</v>
      </c>
      <c r="AB124" s="1193">
        <f>'CZ03 Factors'!H48</f>
        <v>0.28799999999999998</v>
      </c>
      <c r="AC124" s="1192">
        <f>'CZ03 Factors'!I48</f>
        <v>0.43</v>
      </c>
      <c r="AD124" s="1193">
        <f>'CZ03 Factors'!J48</f>
        <v>0.42400000000000004</v>
      </c>
      <c r="AE124" s="1194">
        <f>'CZ03 Factors'!K48</f>
        <v>0.31899999999999995</v>
      </c>
      <c r="AG124" s="1195">
        <v>1</v>
      </c>
      <c r="AH124" s="1191">
        <f>'CZ04 Factors'!D48</f>
        <v>0.28600000000000003</v>
      </c>
      <c r="AI124" s="1192">
        <f>'CZ04 Factors'!E48</f>
        <v>0.29449999999999998</v>
      </c>
      <c r="AJ124" s="1193">
        <f>'CZ04 Factors'!F48</f>
        <v>0.44</v>
      </c>
      <c r="AK124" s="1192">
        <f>'CZ04 Factors'!G48</f>
        <v>0.27300000000000002</v>
      </c>
      <c r="AL124" s="1193">
        <f>'CZ04 Factors'!H48</f>
        <v>0.11</v>
      </c>
      <c r="AM124" s="1192">
        <f>'CZ04 Factors'!I48</f>
        <v>0.2535</v>
      </c>
      <c r="AN124" s="1193">
        <f>'CZ04 Factors'!J48</f>
        <v>0.40799999999999997</v>
      </c>
      <c r="AO124" s="1194">
        <f>'CZ04 Factors'!K48</f>
        <v>0.28500000000000003</v>
      </c>
      <c r="AQ124" s="1195">
        <v>1</v>
      </c>
      <c r="AR124" s="1191">
        <f>'CZ05 Factors'!D48</f>
        <v>0.21319999999999997</v>
      </c>
      <c r="AS124" s="1192">
        <f>'CZ05 Factors'!E48</f>
        <v>0.26349999999999996</v>
      </c>
      <c r="AT124" s="1193">
        <f>'CZ05 Factors'!F48</f>
        <v>0.36959999999999998</v>
      </c>
      <c r="AU124" s="1192">
        <f>'CZ05 Factors'!G48</f>
        <v>0.21760000000000004</v>
      </c>
      <c r="AV124" s="1193">
        <f>'CZ05 Factors'!H48</f>
        <v>0.1</v>
      </c>
      <c r="AW124" s="1192">
        <f>'CZ05 Factors'!I48</f>
        <v>0.23865</v>
      </c>
      <c r="AX124" s="1193">
        <f>'CZ05 Factors'!J48</f>
        <v>0.40940000000000004</v>
      </c>
      <c r="AY124" s="1194">
        <f>'CZ05 Factors'!K48</f>
        <v>0.26505000000000001</v>
      </c>
      <c r="AZ124" s="448"/>
      <c r="BA124" s="1195">
        <v>1</v>
      </c>
      <c r="BB124" s="1191">
        <f>'CZ05 BC Factors'!D48</f>
        <v>0.26</v>
      </c>
      <c r="BC124" s="1192">
        <f>'CZ05 BC Factors'!E48</f>
        <v>0.29449999999999998</v>
      </c>
      <c r="BD124" s="1193">
        <f>'CZ05 BC Factors'!F48</f>
        <v>0.378</v>
      </c>
      <c r="BE124" s="1192">
        <f>'CZ05 BC Factors'!G48</f>
        <v>0.255</v>
      </c>
      <c r="BF124" s="1193">
        <f>'CZ05 BC Factors'!H48</f>
        <v>0.15</v>
      </c>
      <c r="BG124" s="1192">
        <f>'CZ05 BC Factors'!I48</f>
        <v>0.27749999999999997</v>
      </c>
      <c r="BH124" s="1193">
        <f>'CZ05 BC Factors'!J48</f>
        <v>0.41400000000000009</v>
      </c>
      <c r="BI124" s="1194">
        <f>'CZ05 BC Factors'!K48</f>
        <v>0.29449999999999998</v>
      </c>
      <c r="BK124" s="1195">
        <v>1</v>
      </c>
      <c r="BL124" s="1191">
        <f>'CZ06 Factors'!D46</f>
        <v>0.23100000000000001</v>
      </c>
      <c r="BM124" s="1192">
        <f>'CZ06 Factors'!E46</f>
        <v>0.28275</v>
      </c>
      <c r="BN124" s="1193">
        <f>'CZ06 Factors'!F46</f>
        <v>0.37799999999999995</v>
      </c>
      <c r="BO124" s="1192">
        <f>'CZ06 Factors'!G46</f>
        <v>0.20799999999999999</v>
      </c>
      <c r="BP124" s="1193">
        <f>'CZ06 Factors'!H46</f>
        <v>9.1999999999999998E-2</v>
      </c>
      <c r="BQ124" s="1192">
        <f>'CZ06 Factors'!I46</f>
        <v>0.38429999999999997</v>
      </c>
      <c r="BR124" s="1193">
        <f>'CZ06 Factors'!J46</f>
        <v>0.80080000000000007</v>
      </c>
      <c r="BS124" s="1194">
        <f>'CZ06 Factors'!K46</f>
        <v>0.44639999999999991</v>
      </c>
      <c r="BU124" s="1195">
        <v>1</v>
      </c>
      <c r="BV124" s="1191">
        <f>'CZ07 Factors'!D48</f>
        <v>0.3</v>
      </c>
      <c r="BW124" s="1192">
        <f>'CZ07 Factors'!E48</f>
        <v>0.33</v>
      </c>
      <c r="BX124" s="1193">
        <f>'CZ07 Factors'!F48</f>
        <v>0.38400000000000001</v>
      </c>
      <c r="BY124" s="1192">
        <f>'CZ07 Factors'!G48</f>
        <v>0.29599999999999999</v>
      </c>
      <c r="BZ124" s="1193">
        <f>'CZ07 Factors'!H48</f>
        <v>0.2</v>
      </c>
      <c r="CA124" s="1192">
        <f>'CZ07 Factors'!I48</f>
        <v>0.29749999999999999</v>
      </c>
      <c r="CB124" s="1193">
        <f>'CZ07 Factors'!J48</f>
        <v>0.39600000000000002</v>
      </c>
      <c r="CC124" s="1194">
        <f>'CZ07 Factors'!K48</f>
        <v>0.33599999999999997</v>
      </c>
      <c r="CE124" s="1195">
        <v>1</v>
      </c>
      <c r="CF124" s="1191">
        <f>'CZ08 Factors'!D48</f>
        <v>0.20499999999999999</v>
      </c>
      <c r="CG124" s="1192">
        <f>'CZ08 Factors'!E48</f>
        <v>0.28800000000000003</v>
      </c>
      <c r="CH124" s="1193">
        <f>'CZ08 Factors'!F48</f>
        <v>0.46199999999999997</v>
      </c>
      <c r="CI124" s="1192">
        <f>'CZ08 Factors'!G48</f>
        <v>0.26249999999999996</v>
      </c>
      <c r="CJ124" s="1193">
        <f>'CZ08 Factors'!H48</f>
        <v>0.1</v>
      </c>
      <c r="CK124" s="1192">
        <f>'CZ08 Factors'!I48</f>
        <v>0.25715000000000005</v>
      </c>
      <c r="CL124" s="1193">
        <f>'CZ08 Factors'!J48</f>
        <v>0.46529999999999999</v>
      </c>
      <c r="CM124" s="1194">
        <f>'CZ08 Factors'!K48</f>
        <v>0.29865000000000003</v>
      </c>
    </row>
    <row r="125" spans="2:91" x14ac:dyDescent="0.25">
      <c r="B125" s="443">
        <f t="shared" si="7"/>
        <v>2520</v>
      </c>
      <c r="C125" s="1184">
        <v>1.2</v>
      </c>
      <c r="D125" s="1185">
        <f>'CZ01 Factors'!D31</f>
        <v>0.21059999999999998</v>
      </c>
      <c r="E125" s="1186">
        <f>'CZ01 Factors'!E31</f>
        <v>0.26219999999999999</v>
      </c>
      <c r="F125" s="1187">
        <f>'CZ01 Factors'!F31</f>
        <v>0.41070000000000007</v>
      </c>
      <c r="G125" s="1186">
        <f>'CZ01 Factors'!G31</f>
        <v>0.31680000000000003</v>
      </c>
      <c r="H125" s="1187">
        <f>'CZ01 Factors'!H31</f>
        <v>0.17820000000000003</v>
      </c>
      <c r="I125" s="1186">
        <f>'CZ01 Factors'!I31</f>
        <v>0.35295000000000004</v>
      </c>
      <c r="J125" s="1187">
        <f>'CZ01 Factors'!J31</f>
        <v>0.42000000000000004</v>
      </c>
      <c r="K125" s="1188">
        <f>'CZ01 Factors'!K31</f>
        <v>0.28210000000000002</v>
      </c>
      <c r="M125" s="1189">
        <v>1.2</v>
      </c>
      <c r="N125" s="1185">
        <f>'CZ02 Factors'!D49</f>
        <v>0.13800000000000001</v>
      </c>
      <c r="O125" s="1186">
        <f>'CZ02 Factors'!E49</f>
        <v>0.20925000000000002</v>
      </c>
      <c r="P125" s="1187">
        <f>'CZ02 Factors'!F49</f>
        <v>0.33250000000000002</v>
      </c>
      <c r="Q125" s="1186">
        <f>'CZ02 Factors'!G49</f>
        <v>0.21749999999999997</v>
      </c>
      <c r="R125" s="1187">
        <f>'CZ02 Factors'!H49</f>
        <v>0.11</v>
      </c>
      <c r="S125" s="1186">
        <f>'CZ02 Factors'!I49</f>
        <v>0.32300000000000001</v>
      </c>
      <c r="T125" s="1187">
        <f>'CZ02 Factors'!J49</f>
        <v>0.57399999999999984</v>
      </c>
      <c r="U125" s="1188">
        <f>'CZ02 Factors'!K49</f>
        <v>0.28000000000000003</v>
      </c>
      <c r="W125" s="1189">
        <v>1.2</v>
      </c>
      <c r="X125" s="1185">
        <f>'CZ03 Factors'!D49</f>
        <v>0.26599999999999996</v>
      </c>
      <c r="Y125" s="1186">
        <f>'CZ03 Factors'!E49</f>
        <v>0.32500000000000001</v>
      </c>
      <c r="Z125" s="1187">
        <f>'CZ03 Factors'!F49</f>
        <v>0.46200000000000002</v>
      </c>
      <c r="AA125" s="1186">
        <f>'CZ03 Factors'!G49</f>
        <v>0.39100000000000001</v>
      </c>
      <c r="AB125" s="1187">
        <f>'CZ03 Factors'!H49</f>
        <v>0.252</v>
      </c>
      <c r="AC125" s="1186">
        <f>'CZ03 Factors'!I49</f>
        <v>0.37</v>
      </c>
      <c r="AD125" s="1187">
        <f>'CZ03 Factors'!J49</f>
        <v>0.34400000000000003</v>
      </c>
      <c r="AE125" s="1188">
        <f>'CZ03 Factors'!K49</f>
        <v>0.28599999999999998</v>
      </c>
      <c r="AG125" s="1189">
        <v>1.2</v>
      </c>
      <c r="AH125" s="1185">
        <f>'CZ04 Factors'!D49</f>
        <v>0.25300000000000006</v>
      </c>
      <c r="AI125" s="1186">
        <f>'CZ04 Factors'!E49</f>
        <v>0.247</v>
      </c>
      <c r="AJ125" s="1187">
        <f>'CZ04 Factors'!F49</f>
        <v>0.36800000000000005</v>
      </c>
      <c r="AK125" s="1186">
        <f>'CZ04 Factors'!G49</f>
        <v>0.24050000000000002</v>
      </c>
      <c r="AL125" s="1187">
        <f>'CZ04 Factors'!H49</f>
        <v>0.1</v>
      </c>
      <c r="AM125" s="1186">
        <f>'CZ04 Factors'!I49</f>
        <v>0.22749999999999998</v>
      </c>
      <c r="AN125" s="1187">
        <f>'CZ04 Factors'!J49</f>
        <v>0.36000000000000004</v>
      </c>
      <c r="AO125" s="1188">
        <f>'CZ04 Factors'!K49</f>
        <v>0.23749999999999999</v>
      </c>
      <c r="AQ125" s="1189">
        <v>1.2</v>
      </c>
      <c r="AR125" s="1185">
        <f>'CZ05 Factors'!D49</f>
        <v>0.19679999999999995</v>
      </c>
      <c r="AS125" s="1186">
        <f>'CZ05 Factors'!E49</f>
        <v>0.22099999999999995</v>
      </c>
      <c r="AT125" s="1187">
        <f>'CZ05 Factors'!F49</f>
        <v>0.31679999999999997</v>
      </c>
      <c r="AU125" s="1186">
        <f>'CZ05 Factors'!G49</f>
        <v>0.192</v>
      </c>
      <c r="AV125" s="1187">
        <f>'CZ05 Factors'!H49</f>
        <v>8.7999999999999995E-2</v>
      </c>
      <c r="AW125" s="1186">
        <f>'CZ05 Factors'!I49</f>
        <v>0.21285000000000001</v>
      </c>
      <c r="AX125" s="1187">
        <f>'CZ05 Factors'!J49</f>
        <v>0.35600000000000004</v>
      </c>
      <c r="AY125" s="1188">
        <f>'CZ05 Factors'!K49</f>
        <v>0.23085</v>
      </c>
      <c r="AZ125" s="449"/>
      <c r="BA125" s="1189">
        <v>1.2</v>
      </c>
      <c r="BB125" s="1185">
        <f>'CZ05 BC Factors'!D49</f>
        <v>0.23999999999999996</v>
      </c>
      <c r="BC125" s="1186">
        <f>'CZ05 BC Factors'!E49</f>
        <v>0.247</v>
      </c>
      <c r="BD125" s="1187">
        <f>'CZ05 BC Factors'!F49</f>
        <v>0.32399999999999995</v>
      </c>
      <c r="BE125" s="1186">
        <f>'CZ05 BC Factors'!G49</f>
        <v>0.22499999999999998</v>
      </c>
      <c r="BF125" s="1187">
        <f>'CZ05 BC Factors'!H49</f>
        <v>0.13200000000000001</v>
      </c>
      <c r="BG125" s="1186">
        <f>'CZ05 BC Factors'!I49</f>
        <v>0.2475</v>
      </c>
      <c r="BH125" s="1187">
        <f>'CZ05 BC Factors'!J49</f>
        <v>0.36000000000000004</v>
      </c>
      <c r="BI125" s="1188">
        <f>'CZ05 BC Factors'!K49</f>
        <v>0.25650000000000001</v>
      </c>
      <c r="BK125" s="1189">
        <v>1.2</v>
      </c>
      <c r="BL125" s="1185">
        <f>'CZ06 Factors'!D47</f>
        <v>0.21000000000000002</v>
      </c>
      <c r="BM125" s="1186">
        <f>'CZ06 Factors'!E47</f>
        <v>0.23400000000000001</v>
      </c>
      <c r="BN125" s="1187">
        <f>'CZ06 Factors'!F47</f>
        <v>0.33300000000000002</v>
      </c>
      <c r="BO125" s="1186">
        <f>'CZ06 Factors'!G47</f>
        <v>0.1885</v>
      </c>
      <c r="BP125" s="1187">
        <f>'CZ06 Factors'!H47</f>
        <v>9.1999999999999998E-2</v>
      </c>
      <c r="BQ125" s="1186">
        <f>'CZ06 Factors'!I47</f>
        <v>0.35685</v>
      </c>
      <c r="BR125" s="1187">
        <f>'CZ06 Factors'!J47</f>
        <v>0.6863999999999999</v>
      </c>
      <c r="BS125" s="1188">
        <f>'CZ06 Factors'!K47</f>
        <v>0.35959999999999992</v>
      </c>
      <c r="BU125" s="1189">
        <v>1.2</v>
      </c>
      <c r="BV125" s="1185">
        <f>'CZ07 Factors'!D49</f>
        <v>0.26400000000000001</v>
      </c>
      <c r="BW125" s="1186">
        <f>'CZ07 Factors'!E49</f>
        <v>0.28000000000000003</v>
      </c>
      <c r="BX125" s="1187">
        <f>'CZ07 Factors'!F49</f>
        <v>0.32799999999999996</v>
      </c>
      <c r="BY125" s="1186">
        <f>'CZ07 Factors'!G49</f>
        <v>0.27199999999999996</v>
      </c>
      <c r="BZ125" s="1187">
        <f>'CZ07 Factors'!H49</f>
        <v>0.184</v>
      </c>
      <c r="CA125" s="1186">
        <f>'CZ07 Factors'!I49</f>
        <v>0.26350000000000001</v>
      </c>
      <c r="CB125" s="1187">
        <f>'CZ07 Factors'!J49</f>
        <v>0.34200000000000003</v>
      </c>
      <c r="CC125" s="1188">
        <f>'CZ07 Factors'!K49</f>
        <v>0.28350000000000003</v>
      </c>
      <c r="CE125" s="1189">
        <v>1.2</v>
      </c>
      <c r="CF125" s="1185">
        <f>'CZ08 Factors'!D49</f>
        <v>0.18860000000000002</v>
      </c>
      <c r="CG125" s="1186">
        <f>'CZ08 Factors'!E49</f>
        <v>0.26880000000000004</v>
      </c>
      <c r="CH125" s="1187">
        <f>'CZ08 Factors'!F49</f>
        <v>0.40700000000000003</v>
      </c>
      <c r="CI125" s="1186">
        <f>'CZ08 Factors'!G49</f>
        <v>0.23250000000000001</v>
      </c>
      <c r="CJ125" s="1187">
        <f>'CZ08 Factors'!H49</f>
        <v>9.1999999999999998E-2</v>
      </c>
      <c r="CK125" s="1186">
        <f>'CZ08 Factors'!I49</f>
        <v>0.22935000000000003</v>
      </c>
      <c r="CL125" s="1187">
        <f>'CZ08 Factors'!J49</f>
        <v>0.38610000000000005</v>
      </c>
      <c r="CM125" s="1188">
        <f>'CZ08 Factors'!K49</f>
        <v>0.23530000000000004</v>
      </c>
    </row>
    <row r="126" spans="2:91" x14ac:dyDescent="0.25">
      <c r="B126" s="443">
        <f t="shared" si="7"/>
        <v>2940</v>
      </c>
      <c r="C126" s="1184">
        <v>1.4</v>
      </c>
      <c r="D126" s="1185">
        <f>'CZ01 Factors'!D32</f>
        <v>0.19889999999999999</v>
      </c>
      <c r="E126" s="1186">
        <f>'CZ01 Factors'!E32</f>
        <v>0.23939999999999997</v>
      </c>
      <c r="F126" s="1187">
        <f>'CZ01 Factors'!F32</f>
        <v>0.35520000000000002</v>
      </c>
      <c r="G126" s="1186">
        <f>'CZ01 Factors'!G32</f>
        <v>0.28799999999999998</v>
      </c>
      <c r="H126" s="1187">
        <f>'CZ01 Factors'!H32</f>
        <v>0.17820000000000003</v>
      </c>
      <c r="I126" s="1186">
        <f>'CZ01 Factors'!I32</f>
        <v>0.28960000000000002</v>
      </c>
      <c r="J126" s="1187">
        <f>'CZ01 Factors'!J32</f>
        <v>0.37</v>
      </c>
      <c r="K126" s="1188">
        <f>'CZ01 Factors'!K32</f>
        <v>0.2387</v>
      </c>
      <c r="M126" s="1189">
        <v>1.4</v>
      </c>
      <c r="N126" s="1185">
        <f>'CZ02 Factors'!D50</f>
        <v>0.126</v>
      </c>
      <c r="O126" s="1186">
        <f>'CZ02 Factors'!E50</f>
        <v>0.186</v>
      </c>
      <c r="P126" s="1187">
        <f>'CZ02 Factors'!F50</f>
        <v>0.30400000000000005</v>
      </c>
      <c r="Q126" s="1186">
        <f>'CZ02 Factors'!G50</f>
        <v>0.20300000000000004</v>
      </c>
      <c r="R126" s="1187">
        <f>'CZ02 Factors'!H50</f>
        <v>0.105</v>
      </c>
      <c r="S126" s="1186">
        <f>'CZ02 Factors'!I50</f>
        <v>0.28500000000000003</v>
      </c>
      <c r="T126" s="1187">
        <f>'CZ02 Factors'!J50</f>
        <v>0.504</v>
      </c>
      <c r="U126" s="1188">
        <f>'CZ02 Factors'!K50</f>
        <v>0.24</v>
      </c>
      <c r="W126" s="1189">
        <v>1.4</v>
      </c>
      <c r="X126" s="1185">
        <f>'CZ03 Factors'!D50</f>
        <v>0.23799999999999999</v>
      </c>
      <c r="Y126" s="1186">
        <f>'CZ03 Factors'!E50</f>
        <v>0.27500000000000002</v>
      </c>
      <c r="Z126" s="1187">
        <f>'CZ03 Factors'!F50</f>
        <v>0.38500000000000001</v>
      </c>
      <c r="AA126" s="1186">
        <f>'CZ03 Factors'!G50</f>
        <v>0.35650000000000004</v>
      </c>
      <c r="AB126" s="1187">
        <f>'CZ03 Factors'!H50</f>
        <v>0.24000000000000002</v>
      </c>
      <c r="AC126" s="1186">
        <f>'CZ03 Factors'!I50</f>
        <v>0.32000000000000006</v>
      </c>
      <c r="AD126" s="1187">
        <f>'CZ03 Factors'!J50</f>
        <v>0.32800000000000001</v>
      </c>
      <c r="AE126" s="1188">
        <f>'CZ03 Factors'!K50</f>
        <v>0.253</v>
      </c>
      <c r="AG126" s="1189">
        <v>1.4</v>
      </c>
      <c r="AH126" s="1185">
        <f>'CZ04 Factors'!D50</f>
        <v>0.23100000000000004</v>
      </c>
      <c r="AI126" s="1186">
        <f>'CZ04 Factors'!E50</f>
        <v>0.21849999999999997</v>
      </c>
      <c r="AJ126" s="1187">
        <f>'CZ04 Factors'!F50</f>
        <v>0.312</v>
      </c>
      <c r="AK126" s="1186">
        <f>'CZ04 Factors'!G50</f>
        <v>0.22100000000000006</v>
      </c>
      <c r="AL126" s="1187">
        <f>'CZ04 Factors'!H50</f>
        <v>8.5000000000000006E-2</v>
      </c>
      <c r="AM126" s="1186">
        <f>'CZ04 Factors'!I50</f>
        <v>0.21450000000000002</v>
      </c>
      <c r="AN126" s="1187">
        <f>'CZ04 Factors'!J50</f>
        <v>0.30399999999999999</v>
      </c>
      <c r="AO126" s="1188">
        <f>'CZ04 Factors'!K50</f>
        <v>0.19949999999999998</v>
      </c>
      <c r="AQ126" s="1189">
        <v>1.4</v>
      </c>
      <c r="AR126" s="1185">
        <f>'CZ05 Factors'!D50</f>
        <v>0.17219999999999996</v>
      </c>
      <c r="AS126" s="1186">
        <f>'CZ05 Factors'!E50</f>
        <v>0.19549999999999995</v>
      </c>
      <c r="AT126" s="1187">
        <f>'CZ05 Factors'!F50</f>
        <v>0.28160000000000002</v>
      </c>
      <c r="AU126" s="1186">
        <f>'CZ05 Factors'!G50</f>
        <v>0.17280000000000004</v>
      </c>
      <c r="AV126" s="1187">
        <f>'CZ05 Factors'!H50</f>
        <v>0.08</v>
      </c>
      <c r="AW126" s="1186">
        <f>'CZ05 Factors'!I50</f>
        <v>0.18704999999999999</v>
      </c>
      <c r="AX126" s="1187">
        <f>'CZ05 Factors'!J50</f>
        <v>0.30260000000000004</v>
      </c>
      <c r="AY126" s="1188">
        <f>'CZ05 Factors'!K50</f>
        <v>0.20519999999999997</v>
      </c>
      <c r="AZ126" s="449"/>
      <c r="BA126" s="1189">
        <v>1.4</v>
      </c>
      <c r="BB126" s="1185">
        <f>'CZ05 BC Factors'!D50</f>
        <v>0.21</v>
      </c>
      <c r="BC126" s="1186">
        <f>'CZ05 BC Factors'!E50</f>
        <v>0.2185</v>
      </c>
      <c r="BD126" s="1187">
        <f>'CZ05 BC Factors'!F50</f>
        <v>0.28800000000000003</v>
      </c>
      <c r="BE126" s="1186">
        <f>'CZ05 BC Factors'!G50</f>
        <v>0.20250000000000004</v>
      </c>
      <c r="BF126" s="1187">
        <f>'CZ05 BC Factors'!H50</f>
        <v>0.12000000000000001</v>
      </c>
      <c r="BG126" s="1186">
        <f>'CZ05 BC Factors'!I50</f>
        <v>0.21749999999999997</v>
      </c>
      <c r="BH126" s="1187">
        <f>'CZ05 BC Factors'!J50</f>
        <v>0.30600000000000005</v>
      </c>
      <c r="BI126" s="1188">
        <f>'CZ05 BC Factors'!K50</f>
        <v>0.22799999999999998</v>
      </c>
      <c r="BK126" s="1189">
        <v>1.4</v>
      </c>
      <c r="BL126" s="1185">
        <f>'CZ06 Factors'!D48</f>
        <v>0.189</v>
      </c>
      <c r="BM126" s="1186">
        <f>'CZ06 Factors'!E48</f>
        <v>0.21450000000000002</v>
      </c>
      <c r="BN126" s="1187">
        <f>'CZ06 Factors'!F48</f>
        <v>0.28799999999999998</v>
      </c>
      <c r="BO126" s="1186">
        <f>'CZ06 Factors'!G48</f>
        <v>0.16900000000000001</v>
      </c>
      <c r="BP126" s="1187">
        <f>'CZ06 Factors'!H48</f>
        <v>7.5999999999999998E-2</v>
      </c>
      <c r="BQ126" s="1186">
        <f>'CZ06 Factors'!I48</f>
        <v>0.31109999999999999</v>
      </c>
      <c r="BR126" s="1187">
        <f>'CZ06 Factors'!J48</f>
        <v>0.60059999999999991</v>
      </c>
      <c r="BS126" s="1188">
        <f>'CZ06 Factors'!K48</f>
        <v>0.32239999999999996</v>
      </c>
      <c r="BU126" s="1189">
        <v>1.4</v>
      </c>
      <c r="BV126" s="1185">
        <f>'CZ07 Factors'!D50</f>
        <v>0.22800000000000001</v>
      </c>
      <c r="BW126" s="1186">
        <f>'CZ07 Factors'!E50</f>
        <v>0.23</v>
      </c>
      <c r="BX126" s="1187">
        <f>'CZ07 Factors'!F50</f>
        <v>0.28799999999999998</v>
      </c>
      <c r="BY126" s="1186">
        <f>'CZ07 Factors'!G50</f>
        <v>0.24</v>
      </c>
      <c r="BZ126" s="1187">
        <f>'CZ07 Factors'!H50</f>
        <v>0.16800000000000001</v>
      </c>
      <c r="CA126" s="1186">
        <f>'CZ07 Factors'!I50</f>
        <v>0.23800000000000004</v>
      </c>
      <c r="CB126" s="1187">
        <f>'CZ07 Factors'!J50</f>
        <v>0.29699999999999999</v>
      </c>
      <c r="CC126" s="1188">
        <f>'CZ07 Factors'!K50</f>
        <v>0.252</v>
      </c>
      <c r="CE126" s="1189">
        <v>1.4</v>
      </c>
      <c r="CF126" s="1185">
        <f>'CZ08 Factors'!D50</f>
        <v>0.17219999999999999</v>
      </c>
      <c r="CG126" s="1186">
        <f>'CZ08 Factors'!E50</f>
        <v>0.22080000000000002</v>
      </c>
      <c r="CH126" s="1187">
        <f>'CZ08 Factors'!F50</f>
        <v>0.35200000000000004</v>
      </c>
      <c r="CI126" s="1186">
        <f>'CZ08 Factors'!G50</f>
        <v>0.21749999999999997</v>
      </c>
      <c r="CJ126" s="1187">
        <f>'CZ08 Factors'!H50</f>
        <v>0.08</v>
      </c>
      <c r="CK126" s="1186">
        <f>'CZ08 Factors'!I50</f>
        <v>0.20155000000000001</v>
      </c>
      <c r="CL126" s="1187">
        <f>'CZ08 Factors'!J50</f>
        <v>0.33660000000000007</v>
      </c>
      <c r="CM126" s="1188">
        <f>'CZ08 Factors'!K50</f>
        <v>0.2172</v>
      </c>
    </row>
    <row r="127" spans="2:91" x14ac:dyDescent="0.25">
      <c r="B127" s="443">
        <f t="shared" si="7"/>
        <v>3360</v>
      </c>
      <c r="C127" s="1184">
        <v>1.6</v>
      </c>
      <c r="D127" s="1185">
        <f>'CZ01 Factors'!D33</f>
        <v>0.17549999999999996</v>
      </c>
      <c r="E127" s="1186">
        <f>'CZ01 Factors'!E33</f>
        <v>0.20519999999999997</v>
      </c>
      <c r="F127" s="1187">
        <f>'CZ01 Factors'!F33</f>
        <v>0.31080000000000008</v>
      </c>
      <c r="G127" s="1186">
        <f>'CZ01 Factors'!G33</f>
        <v>0.24959999999999999</v>
      </c>
      <c r="H127" s="1187">
        <f>'CZ01 Factors'!H33</f>
        <v>0.14579999999999999</v>
      </c>
      <c r="I127" s="1186">
        <f>'CZ01 Factors'!I33</f>
        <v>0.26245000000000002</v>
      </c>
      <c r="J127" s="1187">
        <f>'CZ01 Factors'!J33</f>
        <v>0.34</v>
      </c>
      <c r="K127" s="1188">
        <f>'CZ01 Factors'!K33</f>
        <v>0.22785</v>
      </c>
      <c r="M127" s="1189">
        <v>1.6</v>
      </c>
      <c r="N127" s="1185">
        <f>'CZ02 Factors'!D51</f>
        <v>0.114</v>
      </c>
      <c r="O127" s="1186">
        <f>'CZ02 Factors'!E51</f>
        <v>0.17824999999999999</v>
      </c>
      <c r="P127" s="1187">
        <f>'CZ02 Factors'!F51</f>
        <v>0.26600000000000007</v>
      </c>
      <c r="Q127" s="1186">
        <f>'CZ02 Factors'!G51</f>
        <v>0.18124999999999999</v>
      </c>
      <c r="R127" s="1187">
        <f>'CZ02 Factors'!H51</f>
        <v>9.5000000000000001E-2</v>
      </c>
      <c r="S127" s="1186">
        <f>'CZ02 Factors'!I51</f>
        <v>0.25650000000000001</v>
      </c>
      <c r="T127" s="1187">
        <f>'CZ02 Factors'!J51</f>
        <v>0.43399999999999994</v>
      </c>
      <c r="U127" s="1188">
        <f>'CZ02 Factors'!K51</f>
        <v>0.22</v>
      </c>
      <c r="W127" s="1189">
        <v>1.6</v>
      </c>
      <c r="X127" s="1185">
        <f>'CZ03 Factors'!D51</f>
        <v>0.23799999999999999</v>
      </c>
      <c r="Y127" s="1186">
        <f>'CZ03 Factors'!E51</f>
        <v>0.25</v>
      </c>
      <c r="Z127" s="1187">
        <f>'CZ03 Factors'!F51</f>
        <v>0.36300000000000004</v>
      </c>
      <c r="AA127" s="1186">
        <f>'CZ03 Factors'!G51</f>
        <v>0.31050000000000005</v>
      </c>
      <c r="AB127" s="1187">
        <f>'CZ03 Factors'!H51</f>
        <v>0.192</v>
      </c>
      <c r="AC127" s="1186">
        <f>'CZ03 Factors'!I51</f>
        <v>0.31</v>
      </c>
      <c r="AD127" s="1187">
        <f>'CZ03 Factors'!J51</f>
        <v>0.27999999999999997</v>
      </c>
      <c r="AE127" s="1188">
        <f>'CZ03 Factors'!K51</f>
        <v>0.23099999999999998</v>
      </c>
      <c r="AG127" s="1189">
        <v>1.6</v>
      </c>
      <c r="AH127" s="1185">
        <f>'CZ04 Factors'!D51</f>
        <v>0.20900000000000002</v>
      </c>
      <c r="AI127" s="1186">
        <f>'CZ04 Factors'!E51</f>
        <v>0.18999999999999997</v>
      </c>
      <c r="AJ127" s="1187">
        <f>'CZ04 Factors'!F51</f>
        <v>0.30399999999999999</v>
      </c>
      <c r="AK127" s="1186">
        <f>'CZ04 Factors'!G51</f>
        <v>0.19500000000000001</v>
      </c>
      <c r="AL127" s="1187">
        <f>'CZ04 Factors'!H51</f>
        <v>0.08</v>
      </c>
      <c r="AM127" s="1186">
        <f>'CZ04 Factors'!I51</f>
        <v>0.1885</v>
      </c>
      <c r="AN127" s="1187">
        <f>'CZ04 Factors'!J51</f>
        <v>0.26400000000000001</v>
      </c>
      <c r="AO127" s="1188">
        <f>'CZ04 Factors'!K51</f>
        <v>0.19</v>
      </c>
      <c r="AQ127" s="1189">
        <v>1.6</v>
      </c>
      <c r="AR127" s="1185">
        <f>'CZ05 Factors'!D51</f>
        <v>0.16399999999999998</v>
      </c>
      <c r="AS127" s="1186">
        <f>'CZ05 Factors'!E51</f>
        <v>0.18699999999999997</v>
      </c>
      <c r="AT127" s="1187">
        <f>'CZ05 Factors'!F51</f>
        <v>0.25519999999999998</v>
      </c>
      <c r="AU127" s="1186">
        <f>'CZ05 Factors'!G51</f>
        <v>0.14720000000000003</v>
      </c>
      <c r="AV127" s="1187">
        <f>'CZ05 Factors'!H51</f>
        <v>7.1999999999999995E-2</v>
      </c>
      <c r="AW127" s="1186">
        <f>'CZ05 Factors'!I51</f>
        <v>0.17415000000000003</v>
      </c>
      <c r="AX127" s="1187">
        <f>'CZ05 Factors'!J51</f>
        <v>0.26700000000000002</v>
      </c>
      <c r="AY127" s="1188">
        <f>'CZ05 Factors'!K51</f>
        <v>0.17954999999999999</v>
      </c>
      <c r="AZ127" s="449"/>
      <c r="BA127" s="1189">
        <v>1.6</v>
      </c>
      <c r="BB127" s="1185">
        <f>'CZ05 BC Factors'!D51</f>
        <v>0.2</v>
      </c>
      <c r="BC127" s="1186">
        <f>'CZ05 BC Factors'!E51</f>
        <v>0.20899999999999999</v>
      </c>
      <c r="BD127" s="1187">
        <f>'CZ05 BC Factors'!F51</f>
        <v>0.26100000000000001</v>
      </c>
      <c r="BE127" s="1186">
        <f>'CZ05 BC Factors'!G51</f>
        <v>0.17249999999999999</v>
      </c>
      <c r="BF127" s="1187">
        <f>'CZ05 BC Factors'!H51</f>
        <v>0.10799999999999998</v>
      </c>
      <c r="BG127" s="1186">
        <f>'CZ05 BC Factors'!I51</f>
        <v>0.20250000000000001</v>
      </c>
      <c r="BH127" s="1187">
        <f>'CZ05 BC Factors'!J51</f>
        <v>0.27</v>
      </c>
      <c r="BI127" s="1188">
        <f>'CZ05 BC Factors'!K51</f>
        <v>0.19949999999999998</v>
      </c>
      <c r="BK127" s="1189">
        <v>1.6</v>
      </c>
      <c r="BL127" s="1185">
        <f>'CZ06 Factors'!D49</f>
        <v>0.16800000000000001</v>
      </c>
      <c r="BM127" s="1186">
        <f>'CZ06 Factors'!E49</f>
        <v>0.18525000000000003</v>
      </c>
      <c r="BN127" s="1187">
        <f>'CZ06 Factors'!F49</f>
        <v>0.252</v>
      </c>
      <c r="BO127" s="1186">
        <f>'CZ06 Factors'!G49</f>
        <v>0.156</v>
      </c>
      <c r="BP127" s="1187">
        <f>'CZ06 Factors'!H49</f>
        <v>7.1999999999999995E-2</v>
      </c>
      <c r="BQ127" s="1186">
        <f>'CZ06 Factors'!I49</f>
        <v>0.28365000000000001</v>
      </c>
      <c r="BR127" s="1187">
        <f>'CZ06 Factors'!J49</f>
        <v>0.54339999999999999</v>
      </c>
      <c r="BS127" s="1188">
        <f>'CZ06 Factors'!K49</f>
        <v>0.26039999999999996</v>
      </c>
      <c r="BU127" s="1189">
        <v>1.6</v>
      </c>
      <c r="BV127" s="1185">
        <f>'CZ07 Factors'!D51</f>
        <v>0.21599999999999997</v>
      </c>
      <c r="BW127" s="1186">
        <f>'CZ07 Factors'!E51</f>
        <v>0.21</v>
      </c>
      <c r="BX127" s="1187">
        <f>'CZ07 Factors'!F51</f>
        <v>0.26400000000000001</v>
      </c>
      <c r="BY127" s="1186">
        <f>'CZ07 Factors'!G51</f>
        <v>0.216</v>
      </c>
      <c r="BZ127" s="1187">
        <f>'CZ07 Factors'!H51</f>
        <v>0.16</v>
      </c>
      <c r="CA127" s="1186">
        <f>'CZ07 Factors'!I51</f>
        <v>0.221</v>
      </c>
      <c r="CB127" s="1187">
        <f>'CZ07 Factors'!J51</f>
        <v>0.27900000000000003</v>
      </c>
      <c r="CC127" s="1188">
        <f>'CZ07 Factors'!K51</f>
        <v>0.22049999999999997</v>
      </c>
      <c r="CE127" s="1189">
        <v>1.6</v>
      </c>
      <c r="CF127" s="1185">
        <f>'CZ08 Factors'!D51</f>
        <v>0.16400000000000001</v>
      </c>
      <c r="CG127" s="1186">
        <f>'CZ08 Factors'!E51</f>
        <v>0.2016</v>
      </c>
      <c r="CH127" s="1187">
        <f>'CZ08 Factors'!F51</f>
        <v>0.33</v>
      </c>
      <c r="CI127" s="1186">
        <f>'CZ08 Factors'!G51</f>
        <v>0.1875</v>
      </c>
      <c r="CJ127" s="1187">
        <f>'CZ08 Factors'!H51</f>
        <v>7.1999999999999995E-2</v>
      </c>
      <c r="CK127" s="1186">
        <f>'CZ08 Factors'!I51</f>
        <v>0.17375000000000002</v>
      </c>
      <c r="CL127" s="1187">
        <f>'CZ08 Factors'!J51</f>
        <v>0.30690000000000001</v>
      </c>
      <c r="CM127" s="1188">
        <f>'CZ08 Factors'!K51</f>
        <v>0.19910000000000003</v>
      </c>
    </row>
    <row r="128" spans="2:91" x14ac:dyDescent="0.25">
      <c r="B128" s="443">
        <f t="shared" si="7"/>
        <v>3780</v>
      </c>
      <c r="C128" s="1184">
        <v>1.8</v>
      </c>
      <c r="D128" s="1185">
        <f>'CZ01 Factors'!D34</f>
        <v>0.15209999999999999</v>
      </c>
      <c r="E128" s="1186">
        <f>'CZ01 Factors'!E34</f>
        <v>0.20519999999999997</v>
      </c>
      <c r="F128" s="1187">
        <f>'CZ01 Factors'!F34</f>
        <v>0.29970000000000008</v>
      </c>
      <c r="G128" s="1186">
        <f>'CZ01 Factors'!G34</f>
        <v>0.2112</v>
      </c>
      <c r="H128" s="1187">
        <f>'CZ01 Factors'!H34</f>
        <v>0.13770000000000002</v>
      </c>
      <c r="I128" s="1186">
        <f>'CZ01 Factors'!I34</f>
        <v>0.25340000000000007</v>
      </c>
      <c r="J128" s="1187">
        <f>'CZ01 Factors'!J34</f>
        <v>0.3</v>
      </c>
      <c r="K128" s="1188">
        <f>'CZ01 Factors'!K34</f>
        <v>0.19529999999999997</v>
      </c>
      <c r="M128" s="1189">
        <v>1.8</v>
      </c>
      <c r="N128" s="1185">
        <f>'CZ02 Factors'!D52</f>
        <v>0.10200000000000001</v>
      </c>
      <c r="O128" s="1186">
        <f>'CZ02 Factors'!E52</f>
        <v>0.155</v>
      </c>
      <c r="P128" s="1187">
        <f>'CZ02 Factors'!F52</f>
        <v>0.22800000000000001</v>
      </c>
      <c r="Q128" s="1186">
        <f>'CZ02 Factors'!G52</f>
        <v>0.1595</v>
      </c>
      <c r="R128" s="1187">
        <f>'CZ02 Factors'!H52</f>
        <v>8.5000000000000006E-2</v>
      </c>
      <c r="S128" s="1186">
        <f>'CZ02 Factors'!I52</f>
        <v>0.247</v>
      </c>
      <c r="T128" s="1187">
        <f>'CZ02 Factors'!J52</f>
        <v>0.39200000000000002</v>
      </c>
      <c r="U128" s="1188">
        <f>'CZ02 Factors'!K52</f>
        <v>0.2</v>
      </c>
      <c r="W128" s="1189">
        <v>1.8</v>
      </c>
      <c r="X128" s="1185">
        <f>'CZ03 Factors'!D52</f>
        <v>0.21</v>
      </c>
      <c r="Y128" s="1186">
        <f>'CZ03 Factors'!E52</f>
        <v>0.23749999999999999</v>
      </c>
      <c r="Z128" s="1187">
        <f>'CZ03 Factors'!F52</f>
        <v>0.33</v>
      </c>
      <c r="AA128" s="1186">
        <f>'CZ03 Factors'!G52</f>
        <v>0.27600000000000002</v>
      </c>
      <c r="AB128" s="1187">
        <f>'CZ03 Factors'!H52</f>
        <v>0.192</v>
      </c>
      <c r="AC128" s="1186">
        <f>'CZ03 Factors'!I52</f>
        <v>0.28000000000000003</v>
      </c>
      <c r="AD128" s="1187">
        <f>'CZ03 Factors'!J52</f>
        <v>0.26400000000000001</v>
      </c>
      <c r="AE128" s="1188">
        <f>'CZ03 Factors'!K52</f>
        <v>0.20899999999999999</v>
      </c>
      <c r="AG128" s="1189">
        <v>1.8</v>
      </c>
      <c r="AH128" s="1185">
        <f>'CZ04 Factors'!D52</f>
        <v>0.18700000000000003</v>
      </c>
      <c r="AI128" s="1186">
        <f>'CZ04 Factors'!E52</f>
        <v>0.17099999999999996</v>
      </c>
      <c r="AJ128" s="1187">
        <f>'CZ04 Factors'!F52</f>
        <v>0.25600000000000001</v>
      </c>
      <c r="AK128" s="1186">
        <f>'CZ04 Factors'!G52</f>
        <v>0.17550000000000004</v>
      </c>
      <c r="AL128" s="1187">
        <f>'CZ04 Factors'!H52</f>
        <v>7.0000000000000007E-2</v>
      </c>
      <c r="AM128" s="1186">
        <f>'CZ04 Factors'!I52</f>
        <v>0.16250000000000001</v>
      </c>
      <c r="AN128" s="1187">
        <f>'CZ04 Factors'!J52</f>
        <v>0.25600000000000001</v>
      </c>
      <c r="AO128" s="1188">
        <f>'CZ04 Factors'!K52</f>
        <v>0.1615</v>
      </c>
      <c r="AQ128" s="1189">
        <v>1.8</v>
      </c>
      <c r="AR128" s="1185">
        <f>'CZ05 Factors'!D52</f>
        <v>0.14759999999999998</v>
      </c>
      <c r="AS128" s="1186">
        <f>'CZ05 Factors'!E52</f>
        <v>0.16999999999999998</v>
      </c>
      <c r="AT128" s="1187">
        <f>'CZ05 Factors'!F52</f>
        <v>0.21999999999999997</v>
      </c>
      <c r="AU128" s="1186">
        <f>'CZ05 Factors'!G52</f>
        <v>0.13440000000000002</v>
      </c>
      <c r="AV128" s="1187">
        <f>'CZ05 Factors'!H52</f>
        <v>6.8000000000000005E-2</v>
      </c>
      <c r="AW128" s="1186">
        <f>'CZ05 Factors'!I52</f>
        <v>0.14835000000000001</v>
      </c>
      <c r="AX128" s="1187">
        <f>'CZ05 Factors'!J52</f>
        <v>0.24030000000000001</v>
      </c>
      <c r="AY128" s="1188">
        <f>'CZ05 Factors'!K52</f>
        <v>0.17099999999999999</v>
      </c>
      <c r="AZ128" s="449"/>
      <c r="BA128" s="1189">
        <v>1.8</v>
      </c>
      <c r="BB128" s="1185">
        <f>'CZ05 BC Factors'!D52</f>
        <v>0.18</v>
      </c>
      <c r="BC128" s="1186">
        <f>'CZ05 BC Factors'!E52</f>
        <v>0.19000000000000003</v>
      </c>
      <c r="BD128" s="1187">
        <f>'CZ05 BC Factors'!F52</f>
        <v>0.22500000000000001</v>
      </c>
      <c r="BE128" s="1186">
        <f>'CZ05 BC Factors'!G52</f>
        <v>0.1575</v>
      </c>
      <c r="BF128" s="1187">
        <f>'CZ05 BC Factors'!H52</f>
        <v>0.10200000000000001</v>
      </c>
      <c r="BG128" s="1186">
        <f>'CZ05 BC Factors'!I52</f>
        <v>0.17249999999999999</v>
      </c>
      <c r="BH128" s="1187">
        <f>'CZ05 BC Factors'!J52</f>
        <v>0.24300000000000005</v>
      </c>
      <c r="BI128" s="1188">
        <f>'CZ05 BC Factors'!K52</f>
        <v>0.19</v>
      </c>
      <c r="BK128" s="1189">
        <v>1.8</v>
      </c>
      <c r="BL128" s="1185">
        <f>'CZ06 Factors'!D50</f>
        <v>0.1575</v>
      </c>
      <c r="BM128" s="1186">
        <f>'CZ06 Factors'!E50</f>
        <v>0.17550000000000002</v>
      </c>
      <c r="BN128" s="1187">
        <f>'CZ06 Factors'!F50</f>
        <v>0.23400000000000001</v>
      </c>
      <c r="BO128" s="1186">
        <f>'CZ06 Factors'!G50</f>
        <v>0.14300000000000002</v>
      </c>
      <c r="BP128" s="1187">
        <f>'CZ06 Factors'!H50</f>
        <v>6.8000000000000005E-2</v>
      </c>
      <c r="BQ128" s="1186">
        <f>'CZ06 Factors'!I50</f>
        <v>0.25619999999999998</v>
      </c>
      <c r="BR128" s="1187">
        <f>'CZ06 Factors'!J50</f>
        <v>0.48620000000000002</v>
      </c>
      <c r="BS128" s="1188">
        <f>'CZ06 Factors'!K50</f>
        <v>0.24800000000000003</v>
      </c>
      <c r="BU128" s="1189">
        <v>1.8</v>
      </c>
      <c r="BV128" s="1185">
        <f>'CZ07 Factors'!D52</f>
        <v>0.20399999999999999</v>
      </c>
      <c r="BW128" s="1186">
        <f>'CZ07 Factors'!E52</f>
        <v>0.2</v>
      </c>
      <c r="BX128" s="1187">
        <f>'CZ07 Factors'!F52</f>
        <v>0.22400000000000003</v>
      </c>
      <c r="BY128" s="1186">
        <f>'CZ07 Factors'!G52</f>
        <v>0.19199999999999995</v>
      </c>
      <c r="BZ128" s="1187">
        <f>'CZ07 Factors'!H52</f>
        <v>0.14400000000000002</v>
      </c>
      <c r="CA128" s="1186">
        <f>'CZ07 Factors'!I52</f>
        <v>0.20400000000000001</v>
      </c>
      <c r="CB128" s="1187">
        <f>'CZ07 Factors'!J52</f>
        <v>0.24300000000000002</v>
      </c>
      <c r="CC128" s="1188">
        <f>'CZ07 Factors'!K52</f>
        <v>0.19950000000000001</v>
      </c>
      <c r="CE128" s="1189">
        <v>1.8</v>
      </c>
      <c r="CF128" s="1185">
        <f>'CZ08 Factors'!D52</f>
        <v>0.15579999999999999</v>
      </c>
      <c r="CG128" s="1186">
        <f>'CZ08 Factors'!E52</f>
        <v>0.19200000000000003</v>
      </c>
      <c r="CH128" s="1187">
        <f>'CZ08 Factors'!F52</f>
        <v>0.27500000000000002</v>
      </c>
      <c r="CI128" s="1186">
        <f>'CZ08 Factors'!G52</f>
        <v>0.16500000000000001</v>
      </c>
      <c r="CJ128" s="1187">
        <f>'CZ08 Factors'!H52</f>
        <v>6.8000000000000005E-2</v>
      </c>
      <c r="CK128" s="1186">
        <f>'CZ08 Factors'!I52</f>
        <v>0.15985000000000002</v>
      </c>
      <c r="CL128" s="1187">
        <f>'CZ08 Factors'!J52</f>
        <v>0.27720000000000006</v>
      </c>
      <c r="CM128" s="1188">
        <f>'CZ08 Factors'!K52</f>
        <v>0.18100000000000002</v>
      </c>
    </row>
    <row r="129" spans="2:91" ht="13" x14ac:dyDescent="0.3">
      <c r="B129" s="443">
        <f t="shared" si="7"/>
        <v>4200</v>
      </c>
      <c r="C129" s="1196">
        <v>2</v>
      </c>
      <c r="D129" s="1197">
        <f>'CZ01 Factors'!D35</f>
        <v>0.14039999999999997</v>
      </c>
      <c r="E129" s="1198">
        <f>'CZ01 Factors'!E35</f>
        <v>0.1938</v>
      </c>
      <c r="F129" s="1199">
        <f>'CZ01 Factors'!F35</f>
        <v>0.25530000000000003</v>
      </c>
      <c r="G129" s="1198">
        <f>'CZ01 Factors'!G35</f>
        <v>0.20159999999999997</v>
      </c>
      <c r="H129" s="1199">
        <f>'CZ01 Factors'!H35</f>
        <v>0.12959999999999999</v>
      </c>
      <c r="I129" s="1198">
        <f>'CZ01 Factors'!I35</f>
        <v>0.2172</v>
      </c>
      <c r="J129" s="1199">
        <f>'CZ01 Factors'!J35</f>
        <v>0.28000000000000003</v>
      </c>
      <c r="K129" s="1200">
        <f>'CZ01 Factors'!K35</f>
        <v>0.18445</v>
      </c>
      <c r="M129" s="1201">
        <v>2</v>
      </c>
      <c r="N129" s="1197">
        <f>'CZ02 Factors'!D53</f>
        <v>0.10200000000000001</v>
      </c>
      <c r="O129" s="1198">
        <f>'CZ02 Factors'!E53</f>
        <v>0.14724999999999999</v>
      </c>
      <c r="P129" s="1199">
        <f>'CZ02 Factors'!F53</f>
        <v>0.20900000000000002</v>
      </c>
      <c r="Q129" s="1198">
        <f>'CZ02 Factors'!G53</f>
        <v>0.15225</v>
      </c>
      <c r="R129" s="1199">
        <f>'CZ02 Factors'!H53</f>
        <v>0.08</v>
      </c>
      <c r="S129" s="1198">
        <f>'CZ02 Factors'!I53</f>
        <v>0.20900000000000002</v>
      </c>
      <c r="T129" s="1199">
        <f>'CZ02 Factors'!J53</f>
        <v>0.378</v>
      </c>
      <c r="U129" s="1200">
        <f>'CZ02 Factors'!K53</f>
        <v>0.19000000000000003</v>
      </c>
      <c r="W129" s="1201">
        <v>2</v>
      </c>
      <c r="X129" s="1197">
        <f>'CZ03 Factors'!D53</f>
        <v>0.21</v>
      </c>
      <c r="Y129" s="1198">
        <f>'CZ03 Factors'!E53</f>
        <v>0.22500000000000001</v>
      </c>
      <c r="Z129" s="1199">
        <f>'CZ03 Factors'!F53</f>
        <v>0.27500000000000002</v>
      </c>
      <c r="AA129" s="1198">
        <f>'CZ03 Factors'!G53</f>
        <v>0.27600000000000002</v>
      </c>
      <c r="AB129" s="1199">
        <f>'CZ03 Factors'!H53</f>
        <v>0.18</v>
      </c>
      <c r="AC129" s="1198">
        <f>'CZ03 Factors'!I53</f>
        <v>0.24</v>
      </c>
      <c r="AD129" s="1199">
        <f>'CZ03 Factors'!J53</f>
        <v>0.216</v>
      </c>
      <c r="AE129" s="1200">
        <f>'CZ03 Factors'!K53</f>
        <v>0.187</v>
      </c>
      <c r="AG129" s="1201">
        <v>2</v>
      </c>
      <c r="AH129" s="1197">
        <f>'CZ04 Factors'!D53</f>
        <v>0.18700000000000003</v>
      </c>
      <c r="AI129" s="1198">
        <f>'CZ04 Factors'!E53</f>
        <v>0.1615</v>
      </c>
      <c r="AJ129" s="1199">
        <f>'CZ04 Factors'!F53</f>
        <v>0.22400000000000003</v>
      </c>
      <c r="AK129" s="1198">
        <f>'CZ04 Factors'!G53</f>
        <v>0.14950000000000002</v>
      </c>
      <c r="AL129" s="1199">
        <f>'CZ04 Factors'!H53</f>
        <v>7.0000000000000007E-2</v>
      </c>
      <c r="AM129" s="1198">
        <f>'CZ04 Factors'!I53</f>
        <v>0.156</v>
      </c>
      <c r="AN129" s="1199">
        <f>'CZ04 Factors'!J53</f>
        <v>0.20800000000000002</v>
      </c>
      <c r="AO129" s="1200">
        <f>'CZ04 Factors'!K53</f>
        <v>0.152</v>
      </c>
      <c r="AQ129" s="1201">
        <v>2</v>
      </c>
      <c r="AR129" s="1197">
        <f>'CZ05 Factors'!D53</f>
        <v>0.1394</v>
      </c>
      <c r="AS129" s="1198">
        <f>'CZ05 Factors'!E53</f>
        <v>0.14449999999999999</v>
      </c>
      <c r="AT129" s="1199">
        <f>'CZ05 Factors'!F53</f>
        <v>0.2112</v>
      </c>
      <c r="AU129" s="1198">
        <f>'CZ05 Factors'!G53</f>
        <v>0.13440000000000002</v>
      </c>
      <c r="AV129" s="1199">
        <f>'CZ05 Factors'!H53</f>
        <v>6.4000000000000001E-2</v>
      </c>
      <c r="AW129" s="1198">
        <f>'CZ05 Factors'!I53</f>
        <v>0.13544999999999999</v>
      </c>
      <c r="AX129" s="1199">
        <f>'CZ05 Factors'!J53</f>
        <v>0.22249999999999998</v>
      </c>
      <c r="AY129" s="1200">
        <f>'CZ05 Factors'!K53</f>
        <v>0.16245000000000001</v>
      </c>
      <c r="AZ129" s="448"/>
      <c r="BA129" s="1201">
        <v>2</v>
      </c>
      <c r="BB129" s="1197">
        <f>'CZ05 BC Factors'!D53</f>
        <v>0.17</v>
      </c>
      <c r="BC129" s="1198">
        <f>'CZ05 BC Factors'!E53</f>
        <v>0.16150000000000003</v>
      </c>
      <c r="BD129" s="1199">
        <f>'CZ05 BC Factors'!F53</f>
        <v>0.216</v>
      </c>
      <c r="BE129" s="1198">
        <f>'CZ05 BC Factors'!G53</f>
        <v>0.1575</v>
      </c>
      <c r="BF129" s="1199">
        <f>'CZ05 BC Factors'!H53</f>
        <v>9.6000000000000002E-2</v>
      </c>
      <c r="BG129" s="1198">
        <f>'CZ05 BC Factors'!I53</f>
        <v>0.15749999999999997</v>
      </c>
      <c r="BH129" s="1199">
        <f>'CZ05 BC Factors'!J53</f>
        <v>0.22500000000000001</v>
      </c>
      <c r="BI129" s="1200">
        <f>'CZ05 BC Factors'!K53</f>
        <v>0.18049999999999999</v>
      </c>
      <c r="BK129" s="1201">
        <v>2</v>
      </c>
      <c r="BL129" s="1197">
        <f>'CZ06 Factors'!D51</f>
        <v>0.14700000000000002</v>
      </c>
      <c r="BM129" s="1198">
        <f>'CZ06 Factors'!E51</f>
        <v>0.16575000000000004</v>
      </c>
      <c r="BN129" s="1199">
        <f>'CZ06 Factors'!F51</f>
        <v>0.216</v>
      </c>
      <c r="BO129" s="1198">
        <f>'CZ06 Factors'!G51</f>
        <v>0.13649999999999998</v>
      </c>
      <c r="BP129" s="1199">
        <f>'CZ06 Factors'!H51</f>
        <v>6.8000000000000005E-2</v>
      </c>
      <c r="BQ129" s="1198">
        <f>'CZ06 Factors'!I51</f>
        <v>0.2379</v>
      </c>
      <c r="BR129" s="1199">
        <f>'CZ06 Factors'!J51</f>
        <v>0.44329999999999997</v>
      </c>
      <c r="BS129" s="1200">
        <f>'CZ06 Factors'!K51</f>
        <v>0.21080000000000002</v>
      </c>
      <c r="BU129" s="1201">
        <v>2</v>
      </c>
      <c r="BV129" s="1197">
        <f>'CZ07 Factors'!D53</f>
        <v>0.192</v>
      </c>
      <c r="BW129" s="1198">
        <f>'CZ07 Factors'!E53</f>
        <v>0.19</v>
      </c>
      <c r="BX129" s="1199">
        <f>'CZ07 Factors'!F53</f>
        <v>0.21600000000000003</v>
      </c>
      <c r="BY129" s="1198">
        <f>'CZ07 Factors'!G53</f>
        <v>0.184</v>
      </c>
      <c r="BZ129" s="1199">
        <f>'CZ07 Factors'!H53</f>
        <v>0.14400000000000002</v>
      </c>
      <c r="CA129" s="1198">
        <f>'CZ07 Factors'!I53</f>
        <v>0.17850000000000002</v>
      </c>
      <c r="CB129" s="1199">
        <f>'CZ07 Factors'!J53</f>
        <v>0.22500000000000001</v>
      </c>
      <c r="CC129" s="1200">
        <f>'CZ07 Factors'!K53</f>
        <v>0.189</v>
      </c>
      <c r="CE129" s="1201">
        <v>2</v>
      </c>
      <c r="CF129" s="1197">
        <f>'CZ08 Factors'!D53</f>
        <v>0.13119999999999998</v>
      </c>
      <c r="CG129" s="1198">
        <f>'CZ08 Factors'!E53</f>
        <v>0.17280000000000001</v>
      </c>
      <c r="CH129" s="1199">
        <f>'CZ08 Factors'!F53</f>
        <v>0.253</v>
      </c>
      <c r="CI129" s="1198">
        <f>'CZ08 Factors'!G53</f>
        <v>0.1575</v>
      </c>
      <c r="CJ129" s="1199">
        <f>'CZ08 Factors'!H53</f>
        <v>6.4000000000000001E-2</v>
      </c>
      <c r="CK129" s="1198">
        <f>'CZ08 Factors'!I53</f>
        <v>0.15290000000000001</v>
      </c>
      <c r="CL129" s="1199">
        <f>'CZ08 Factors'!J53</f>
        <v>0.23760000000000001</v>
      </c>
      <c r="CM129" s="1200">
        <f>'CZ08 Factors'!K53</f>
        <v>0.17195000000000005</v>
      </c>
    </row>
    <row r="130" spans="2:91" x14ac:dyDescent="0.25">
      <c r="C130" s="425" t="s">
        <v>1286</v>
      </c>
    </row>
    <row r="132" spans="2:91" ht="13" x14ac:dyDescent="0.3">
      <c r="B132" s="450">
        <v>2100</v>
      </c>
      <c r="C132" s="168" t="s">
        <v>1287</v>
      </c>
    </row>
    <row r="133" spans="2:91" ht="13" x14ac:dyDescent="0.3">
      <c r="B133" s="389" t="s">
        <v>1288</v>
      </c>
    </row>
    <row r="134" spans="2:91" ht="13" x14ac:dyDescent="0.3">
      <c r="B134" s="456"/>
      <c r="C134" s="457"/>
      <c r="D134" s="457"/>
      <c r="E134" s="457"/>
      <c r="F134" s="457"/>
      <c r="G134" s="457"/>
      <c r="H134" s="457"/>
      <c r="I134" s="457"/>
      <c r="J134" s="457"/>
      <c r="K134" s="457"/>
      <c r="L134" s="457"/>
      <c r="M134" s="457"/>
      <c r="N134" s="457"/>
      <c r="O134" s="457"/>
      <c r="P134" s="457"/>
      <c r="Q134" s="457"/>
      <c r="R134" s="457"/>
      <c r="S134" s="457"/>
      <c r="T134" s="457"/>
      <c r="U134" s="457"/>
      <c r="V134" s="457"/>
      <c r="W134" s="457"/>
      <c r="X134" s="457"/>
      <c r="Y134" s="457"/>
      <c r="Z134" s="457"/>
      <c r="AA134" s="457"/>
      <c r="AB134" s="457"/>
      <c r="AC134" s="457"/>
      <c r="AD134" s="457"/>
      <c r="AE134" s="457"/>
      <c r="AF134" s="457"/>
      <c r="AG134" s="457"/>
      <c r="AH134" s="457"/>
      <c r="AI134" s="457"/>
      <c r="AJ134" s="457"/>
      <c r="AK134" s="457"/>
      <c r="AL134" s="457"/>
      <c r="AM134" s="457"/>
      <c r="AN134" s="457"/>
      <c r="AO134" s="457"/>
      <c r="AP134" s="457"/>
      <c r="AQ134" s="457"/>
      <c r="AR134" s="457"/>
      <c r="AS134" s="457"/>
      <c r="AT134" s="457"/>
      <c r="AU134" s="457"/>
      <c r="AV134" s="457"/>
      <c r="AW134" s="457"/>
      <c r="AX134" s="457"/>
      <c r="AY134" s="457"/>
      <c r="AZ134" s="457"/>
      <c r="BA134" s="457"/>
      <c r="BB134" s="457"/>
      <c r="BC134" s="457"/>
      <c r="BD134" s="457"/>
      <c r="BE134" s="457"/>
      <c r="BF134" s="457"/>
      <c r="BG134" s="457"/>
      <c r="BH134" s="457"/>
      <c r="BI134" s="457"/>
      <c r="BJ134" s="457"/>
      <c r="BK134" s="457"/>
      <c r="BL134" s="457"/>
      <c r="BM134" s="457"/>
      <c r="BN134" s="457"/>
      <c r="BO134" s="457"/>
      <c r="BP134" s="457"/>
      <c r="BQ134" s="457"/>
      <c r="BR134" s="457"/>
      <c r="BS134" s="457"/>
      <c r="BT134" s="457"/>
      <c r="BU134" s="457"/>
      <c r="BV134" s="457"/>
      <c r="BW134" s="457"/>
      <c r="BX134" s="457"/>
      <c r="BY134" s="457"/>
      <c r="BZ134" s="457"/>
      <c r="CA134" s="457"/>
      <c r="CB134" s="457"/>
      <c r="CC134" s="457"/>
      <c r="CD134" s="457"/>
      <c r="CE134" s="457"/>
      <c r="CF134" s="457"/>
      <c r="CG134" s="457"/>
      <c r="CH134" s="457"/>
      <c r="CI134" s="457"/>
      <c r="CJ134" s="457"/>
      <c r="CK134" s="457"/>
      <c r="CL134" s="457"/>
      <c r="CM134" s="457"/>
    </row>
    <row r="135" spans="2:91" ht="15.5" x14ac:dyDescent="0.35">
      <c r="B135" s="437" t="s">
        <v>1289</v>
      </c>
      <c r="C135" s="452" t="s">
        <v>1290</v>
      </c>
    </row>
    <row r="136" spans="2:91" ht="13" x14ac:dyDescent="0.3">
      <c r="C136" s="389" t="s">
        <v>1291</v>
      </c>
    </row>
    <row r="138" spans="2:91" ht="13" x14ac:dyDescent="0.3">
      <c r="C138" s="390" t="s">
        <v>1266</v>
      </c>
      <c r="M138" s="390" t="s">
        <v>1267</v>
      </c>
      <c r="W138" s="390" t="s">
        <v>1268</v>
      </c>
      <c r="AG138" s="390" t="s">
        <v>1269</v>
      </c>
      <c r="AQ138" s="390" t="s">
        <v>1270</v>
      </c>
      <c r="BA138" s="390" t="s">
        <v>1270</v>
      </c>
      <c r="BK138" s="390" t="s">
        <v>1271</v>
      </c>
      <c r="BU138" s="390" t="s">
        <v>1272</v>
      </c>
      <c r="CE138" s="390" t="s">
        <v>1273</v>
      </c>
    </row>
    <row r="139" spans="2:91" x14ac:dyDescent="0.25">
      <c r="C139" s="1407"/>
      <c r="D139" s="1408" t="s">
        <v>1230</v>
      </c>
      <c r="E139" s="1409" t="s">
        <v>1231</v>
      </c>
      <c r="F139" s="1409" t="s">
        <v>1232</v>
      </c>
      <c r="G139" s="1409" t="s">
        <v>1233</v>
      </c>
      <c r="H139" s="1409" t="s">
        <v>1234</v>
      </c>
      <c r="I139" s="1409" t="s">
        <v>1235</v>
      </c>
      <c r="J139" s="1409" t="s">
        <v>1236</v>
      </c>
      <c r="K139" s="1410" t="s">
        <v>1237</v>
      </c>
      <c r="M139" s="1407"/>
      <c r="N139" s="1408" t="s">
        <v>1230</v>
      </c>
      <c r="O139" s="1409" t="s">
        <v>1231</v>
      </c>
      <c r="P139" s="1409" t="s">
        <v>1232</v>
      </c>
      <c r="Q139" s="1409" t="s">
        <v>1233</v>
      </c>
      <c r="R139" s="1409" t="s">
        <v>1234</v>
      </c>
      <c r="S139" s="1409" t="s">
        <v>1235</v>
      </c>
      <c r="T139" s="1409" t="s">
        <v>1236</v>
      </c>
      <c r="U139" s="1410" t="s">
        <v>1237</v>
      </c>
      <c r="W139" s="1407"/>
      <c r="X139" s="1408" t="s">
        <v>1230</v>
      </c>
      <c r="Y139" s="1409" t="s">
        <v>1231</v>
      </c>
      <c r="Z139" s="1409" t="s">
        <v>1232</v>
      </c>
      <c r="AA139" s="1409" t="s">
        <v>1233</v>
      </c>
      <c r="AB139" s="1409" t="s">
        <v>1234</v>
      </c>
      <c r="AC139" s="1409" t="s">
        <v>1235</v>
      </c>
      <c r="AD139" s="1409" t="s">
        <v>1236</v>
      </c>
      <c r="AE139" s="1410" t="s">
        <v>1237</v>
      </c>
      <c r="AG139" s="1407"/>
      <c r="AH139" s="1408" t="s">
        <v>1230</v>
      </c>
      <c r="AI139" s="1409" t="s">
        <v>1231</v>
      </c>
      <c r="AJ139" s="1409" t="s">
        <v>1232</v>
      </c>
      <c r="AK139" s="1409" t="s">
        <v>1233</v>
      </c>
      <c r="AL139" s="1409" t="s">
        <v>1234</v>
      </c>
      <c r="AM139" s="1409" t="s">
        <v>1235</v>
      </c>
      <c r="AN139" s="1409" t="s">
        <v>1236</v>
      </c>
      <c r="AO139" s="1410" t="s">
        <v>1237</v>
      </c>
      <c r="AQ139" s="1407"/>
      <c r="AR139" s="1408" t="s">
        <v>1230</v>
      </c>
      <c r="AS139" s="1409" t="s">
        <v>1231</v>
      </c>
      <c r="AT139" s="1409" t="s">
        <v>1232</v>
      </c>
      <c r="AU139" s="1409" t="s">
        <v>1233</v>
      </c>
      <c r="AV139" s="1409" t="s">
        <v>1234</v>
      </c>
      <c r="AW139" s="1409" t="s">
        <v>1235</v>
      </c>
      <c r="AX139" s="1409" t="s">
        <v>1236</v>
      </c>
      <c r="AY139" s="1410" t="s">
        <v>1237</v>
      </c>
      <c r="AZ139" s="391"/>
      <c r="BA139" s="1407"/>
      <c r="BB139" s="1408" t="s">
        <v>1230</v>
      </c>
      <c r="BC139" s="1409" t="s">
        <v>1231</v>
      </c>
      <c r="BD139" s="1409" t="s">
        <v>1232</v>
      </c>
      <c r="BE139" s="1409" t="s">
        <v>1233</v>
      </c>
      <c r="BF139" s="1409" t="s">
        <v>1234</v>
      </c>
      <c r="BG139" s="1409" t="s">
        <v>1235</v>
      </c>
      <c r="BH139" s="1409" t="s">
        <v>1236</v>
      </c>
      <c r="BI139" s="1410" t="s">
        <v>1237</v>
      </c>
      <c r="BK139" s="1407"/>
      <c r="BL139" s="1408" t="s">
        <v>1230</v>
      </c>
      <c r="BM139" s="1409" t="s">
        <v>1231</v>
      </c>
      <c r="BN139" s="1409" t="s">
        <v>1232</v>
      </c>
      <c r="BO139" s="1409" t="s">
        <v>1233</v>
      </c>
      <c r="BP139" s="1409" t="s">
        <v>1234</v>
      </c>
      <c r="BQ139" s="1409" t="s">
        <v>1235</v>
      </c>
      <c r="BR139" s="1409" t="s">
        <v>1236</v>
      </c>
      <c r="BS139" s="1410" t="s">
        <v>1237</v>
      </c>
      <c r="BU139" s="1407"/>
      <c r="BV139" s="1408" t="s">
        <v>1230</v>
      </c>
      <c r="BW139" s="1409" t="s">
        <v>1231</v>
      </c>
      <c r="BX139" s="1409" t="s">
        <v>1232</v>
      </c>
      <c r="BY139" s="1409" t="s">
        <v>1233</v>
      </c>
      <c r="BZ139" s="1409" t="s">
        <v>1234</v>
      </c>
      <c r="CA139" s="1409" t="s">
        <v>1235</v>
      </c>
      <c r="CB139" s="1409" t="s">
        <v>1236</v>
      </c>
      <c r="CC139" s="1410" t="s">
        <v>1237</v>
      </c>
      <c r="CE139" s="1407"/>
      <c r="CF139" s="1408" t="s">
        <v>1230</v>
      </c>
      <c r="CG139" s="1409" t="s">
        <v>1231</v>
      </c>
      <c r="CH139" s="1409" t="s">
        <v>1232</v>
      </c>
      <c r="CI139" s="1409" t="s">
        <v>1233</v>
      </c>
      <c r="CJ139" s="1409" t="s">
        <v>1234</v>
      </c>
      <c r="CK139" s="1409" t="s">
        <v>1235</v>
      </c>
      <c r="CL139" s="1409" t="s">
        <v>1236</v>
      </c>
      <c r="CM139" s="1410" t="s">
        <v>1237</v>
      </c>
    </row>
    <row r="140" spans="2:91" x14ac:dyDescent="0.25">
      <c r="C140" s="441" t="s">
        <v>1285</v>
      </c>
      <c r="D140" s="1180">
        <v>0</v>
      </c>
      <c r="E140" s="1181">
        <v>45</v>
      </c>
      <c r="F140" s="1182">
        <v>90</v>
      </c>
      <c r="G140" s="1181">
        <v>135</v>
      </c>
      <c r="H140" s="1182">
        <v>180</v>
      </c>
      <c r="I140" s="1181">
        <v>225</v>
      </c>
      <c r="J140" s="1182">
        <v>270</v>
      </c>
      <c r="K140" s="1183">
        <v>315</v>
      </c>
      <c r="M140" s="441" t="s">
        <v>1285</v>
      </c>
      <c r="N140" s="1180">
        <v>0</v>
      </c>
      <c r="O140" s="1181">
        <v>45</v>
      </c>
      <c r="P140" s="1182">
        <v>90</v>
      </c>
      <c r="Q140" s="1181">
        <v>135</v>
      </c>
      <c r="R140" s="1182">
        <v>180</v>
      </c>
      <c r="S140" s="1181">
        <v>225</v>
      </c>
      <c r="T140" s="1182">
        <v>270</v>
      </c>
      <c r="U140" s="1183">
        <v>315</v>
      </c>
      <c r="W140" s="441" t="s">
        <v>1285</v>
      </c>
      <c r="X140" s="1180">
        <v>0</v>
      </c>
      <c r="Y140" s="1181">
        <v>45</v>
      </c>
      <c r="Z140" s="1182">
        <v>90</v>
      </c>
      <c r="AA140" s="1181">
        <v>135</v>
      </c>
      <c r="AB140" s="1182">
        <v>180</v>
      </c>
      <c r="AC140" s="1181">
        <v>225</v>
      </c>
      <c r="AD140" s="1182">
        <v>270</v>
      </c>
      <c r="AE140" s="1183">
        <v>315</v>
      </c>
      <c r="AG140" s="441" t="s">
        <v>1285</v>
      </c>
      <c r="AH140" s="1180">
        <v>0</v>
      </c>
      <c r="AI140" s="1181">
        <v>45</v>
      </c>
      <c r="AJ140" s="1182">
        <v>90</v>
      </c>
      <c r="AK140" s="1181">
        <v>135</v>
      </c>
      <c r="AL140" s="1182">
        <v>180</v>
      </c>
      <c r="AM140" s="1181">
        <v>225</v>
      </c>
      <c r="AN140" s="1182">
        <v>270</v>
      </c>
      <c r="AO140" s="1183">
        <v>315</v>
      </c>
      <c r="AQ140" s="441" t="s">
        <v>1285</v>
      </c>
      <c r="AR140" s="1180">
        <v>0</v>
      </c>
      <c r="AS140" s="1181">
        <v>45</v>
      </c>
      <c r="AT140" s="1182">
        <v>90</v>
      </c>
      <c r="AU140" s="1181">
        <v>135</v>
      </c>
      <c r="AV140" s="1182">
        <v>180</v>
      </c>
      <c r="AW140" s="1181">
        <v>225</v>
      </c>
      <c r="AX140" s="1182">
        <v>270</v>
      </c>
      <c r="AY140" s="1183">
        <v>315</v>
      </c>
      <c r="AZ140" s="442"/>
      <c r="BA140" s="441" t="s">
        <v>1285</v>
      </c>
      <c r="BB140" s="1180">
        <v>0</v>
      </c>
      <c r="BC140" s="1181">
        <v>45</v>
      </c>
      <c r="BD140" s="1182">
        <v>90</v>
      </c>
      <c r="BE140" s="1181">
        <v>135</v>
      </c>
      <c r="BF140" s="1182">
        <v>180</v>
      </c>
      <c r="BG140" s="1181">
        <v>225</v>
      </c>
      <c r="BH140" s="1182">
        <v>270</v>
      </c>
      <c r="BI140" s="1183">
        <v>315</v>
      </c>
      <c r="BK140" s="441" t="s">
        <v>1285</v>
      </c>
      <c r="BL140" s="1180">
        <v>0</v>
      </c>
      <c r="BM140" s="1181">
        <v>45</v>
      </c>
      <c r="BN140" s="1182">
        <v>90</v>
      </c>
      <c r="BO140" s="1181">
        <v>135</v>
      </c>
      <c r="BP140" s="1182">
        <v>180</v>
      </c>
      <c r="BQ140" s="1181">
        <v>225</v>
      </c>
      <c r="BR140" s="1182">
        <v>270</v>
      </c>
      <c r="BS140" s="1183">
        <v>315</v>
      </c>
      <c r="BU140" s="441" t="s">
        <v>1285</v>
      </c>
      <c r="BV140" s="1180">
        <v>0</v>
      </c>
      <c r="BW140" s="1181">
        <v>45</v>
      </c>
      <c r="BX140" s="1182">
        <v>90</v>
      </c>
      <c r="BY140" s="1181">
        <v>135</v>
      </c>
      <c r="BZ140" s="1182">
        <v>180</v>
      </c>
      <c r="CA140" s="1181">
        <v>225</v>
      </c>
      <c r="CB140" s="1182">
        <v>270</v>
      </c>
      <c r="CC140" s="1183">
        <v>315</v>
      </c>
      <c r="CE140" s="441" t="s">
        <v>1285</v>
      </c>
      <c r="CF140" s="1180">
        <v>0</v>
      </c>
      <c r="CG140" s="1181">
        <v>45</v>
      </c>
      <c r="CH140" s="1182">
        <v>90</v>
      </c>
      <c r="CI140" s="1181">
        <v>135</v>
      </c>
      <c r="CJ140" s="1182">
        <v>180</v>
      </c>
      <c r="CK140" s="1181">
        <v>225</v>
      </c>
      <c r="CL140" s="1182">
        <v>270</v>
      </c>
      <c r="CM140" s="1183">
        <v>315</v>
      </c>
    </row>
    <row r="141" spans="2:91" ht="13" x14ac:dyDescent="0.3">
      <c r="C141" s="453">
        <v>0</v>
      </c>
      <c r="D141" s="445"/>
      <c r="E141" s="1411"/>
      <c r="F141" s="446"/>
      <c r="G141" s="1411"/>
      <c r="H141" s="446"/>
      <c r="I141" s="1411"/>
      <c r="J141" s="446"/>
      <c r="K141" s="1412"/>
      <c r="M141" s="453">
        <v>0</v>
      </c>
      <c r="N141" s="445">
        <f>'CZ02 Factors'!D58</f>
        <v>1.6740000000000002</v>
      </c>
      <c r="O141" s="1411">
        <f>'CZ02 Factors'!E58</f>
        <v>1.3606666666666667</v>
      </c>
      <c r="P141" s="446">
        <f>'CZ02 Factors'!F58</f>
        <v>1.204</v>
      </c>
      <c r="Q141" s="1411">
        <f>'CZ02 Factors'!G58</f>
        <v>0.52466666666666673</v>
      </c>
      <c r="R141" s="446">
        <f>'CZ02 Factors'!H58</f>
        <v>0.185</v>
      </c>
      <c r="S141" s="1411">
        <f>'CZ02 Factors'!I58</f>
        <v>0.85033333333333339</v>
      </c>
      <c r="T141" s="446">
        <f>'CZ02 Factors'!J58</f>
        <v>1.1830000000000001</v>
      </c>
      <c r="U141" s="1412">
        <f>'CZ02 Factors'!K58</f>
        <v>1.5103333333333335</v>
      </c>
      <c r="W141" s="453">
        <v>0</v>
      </c>
      <c r="X141" s="445">
        <f>'CZ03 Factors'!D58</f>
        <v>1.92</v>
      </c>
      <c r="Y141" s="1411">
        <f>'CZ03 Factors'!E58</f>
        <v>1.2853333333333334</v>
      </c>
      <c r="Z141" s="446">
        <f>'CZ03 Factors'!F58</f>
        <v>0.96800000000000008</v>
      </c>
      <c r="AA141" s="1411">
        <f>'CZ03 Factors'!G58</f>
        <v>0.82266666666666666</v>
      </c>
      <c r="AB141" s="446">
        <f>'CZ03 Factors'!H58</f>
        <v>0.75</v>
      </c>
      <c r="AC141" s="1411">
        <f>'CZ03 Factors'!I58</f>
        <v>1.0733333333333333</v>
      </c>
      <c r="AD141" s="446">
        <f>'CZ03 Factors'!J58</f>
        <v>1.2349999999999999</v>
      </c>
      <c r="AE141" s="1412">
        <f>'CZ03 Factors'!K58</f>
        <v>1.6916666666666667</v>
      </c>
      <c r="AG141" s="453">
        <v>0</v>
      </c>
      <c r="AH141" s="445">
        <f>'CZ04 Factors'!D58</f>
        <v>1.379</v>
      </c>
      <c r="AI141" s="1411">
        <f>'CZ04 Factors'!E58</f>
        <v>1.1236666666666666</v>
      </c>
      <c r="AJ141" s="446">
        <f>'CZ04 Factors'!F58</f>
        <v>0.99599999999999989</v>
      </c>
      <c r="AK141" s="1411">
        <f>'CZ04 Factors'!G58</f>
        <v>0.70533333333333326</v>
      </c>
      <c r="AL141" s="446">
        <f>'CZ04 Factors'!H58</f>
        <v>0.55999999999999994</v>
      </c>
      <c r="AM141" s="1411">
        <f>'CZ04 Factors'!I58</f>
        <v>0.8666666666666667</v>
      </c>
      <c r="AN141" s="446">
        <f>'CZ04 Factors'!J58</f>
        <v>1.02</v>
      </c>
      <c r="AO141" s="1412">
        <f>'CZ04 Factors'!K58</f>
        <v>1.2593333333333334</v>
      </c>
      <c r="AQ141" s="453">
        <v>0</v>
      </c>
      <c r="AR141" s="445">
        <f>'CZ05 Factors'!D58</f>
        <v>1.6079999999999999</v>
      </c>
      <c r="AS141" s="1411">
        <f>'CZ05 Factors'!E58</f>
        <v>1.2033333333333334</v>
      </c>
      <c r="AT141" s="446">
        <f>'CZ05 Factors'!F58</f>
        <v>1.0010000000000001</v>
      </c>
      <c r="AU141" s="1411">
        <f>'CZ05 Factors'!G58</f>
        <v>0.65433333333333343</v>
      </c>
      <c r="AV141" s="446">
        <f>'CZ05 Factors'!H58</f>
        <v>0.48099999999999998</v>
      </c>
      <c r="AW141" s="1411">
        <f>'CZ05 Factors'!I58</f>
        <v>0.95366666666666666</v>
      </c>
      <c r="AX141" s="446">
        <f>'CZ05 Factors'!J58</f>
        <v>1.19</v>
      </c>
      <c r="AY141" s="1412">
        <f>'CZ05 Factors'!K58</f>
        <v>1.4686666666666666</v>
      </c>
      <c r="AZ141" s="448"/>
      <c r="BA141" s="453">
        <v>0</v>
      </c>
      <c r="BB141" s="445">
        <f>'CZ05 BC Factors'!D58</f>
        <v>1.7084999999999997</v>
      </c>
      <c r="BC141" s="1411">
        <f>'CZ05 BC Factors'!E58</f>
        <v>1.2368333333333332</v>
      </c>
      <c r="BD141" s="446">
        <f>'CZ05 BC Factors'!F58</f>
        <v>1.0010000000000001</v>
      </c>
      <c r="BE141" s="1411">
        <f>'CZ05 BC Factors'!G58</f>
        <v>0.6296666666666666</v>
      </c>
      <c r="BF141" s="446">
        <f>'CZ05 BC Factors'!H58</f>
        <v>0.44400000000000001</v>
      </c>
      <c r="BG141" s="1411">
        <f>'CZ05 BC Factors'!I58</f>
        <v>0.94133333333333336</v>
      </c>
      <c r="BH141" s="446">
        <f>'CZ05 BC Factors'!J58</f>
        <v>1.19</v>
      </c>
      <c r="BI141" s="1412">
        <f>'CZ05 BC Factors'!K58</f>
        <v>1.5356666666666665</v>
      </c>
      <c r="BK141" s="453">
        <v>0</v>
      </c>
      <c r="BL141" s="445">
        <f>'CZ06 Factors'!D56</f>
        <v>1.615</v>
      </c>
      <c r="BM141" s="1411">
        <f>'CZ06 Factors'!E56</f>
        <v>1.3116666666666665</v>
      </c>
      <c r="BN141" s="446">
        <f>'CZ06 Factors'!F56</f>
        <v>1.1599999999999999</v>
      </c>
      <c r="BO141" s="1411">
        <f>'CZ06 Factors'!G56</f>
        <v>0.71633333333333327</v>
      </c>
      <c r="BP141" s="446">
        <f>'CZ06 Factors'!H56</f>
        <v>0.49449999999999994</v>
      </c>
      <c r="BQ141" s="1411">
        <f>'CZ06 Factors'!I56</f>
        <v>0.89816666666666678</v>
      </c>
      <c r="BR141" s="446">
        <f>'CZ06 Factors'!J56</f>
        <v>1.1000000000000001</v>
      </c>
      <c r="BS141" s="1412">
        <f>'CZ06 Factors'!K56</f>
        <v>1.4433333333333334</v>
      </c>
      <c r="BU141" s="453">
        <v>0</v>
      </c>
      <c r="BV141" s="445">
        <f>'CZ07 Factors'!D58</f>
        <v>1.8720000000000001</v>
      </c>
      <c r="BW141" s="1411">
        <f>'CZ07 Factors'!E58</f>
        <v>1.4263333333333335</v>
      </c>
      <c r="BX141" s="446">
        <f>'CZ07 Factors'!F58</f>
        <v>1.2035</v>
      </c>
      <c r="BY141" s="1411">
        <f>'CZ07 Factors'!G58</f>
        <v>0.75116666666666654</v>
      </c>
      <c r="BZ141" s="446">
        <f>'CZ07 Factors'!H58</f>
        <v>0.52499999999999991</v>
      </c>
      <c r="CA141" s="1411">
        <f>'CZ07 Factors'!I58</f>
        <v>0.92500000000000004</v>
      </c>
      <c r="CB141" s="446">
        <f>'CZ07 Factors'!J58</f>
        <v>1.125</v>
      </c>
      <c r="CC141" s="1412">
        <f>'CZ07 Factors'!K58</f>
        <v>1.623</v>
      </c>
      <c r="CE141" s="453">
        <v>0</v>
      </c>
      <c r="CF141" s="445">
        <f>'CZ08 Factors'!D58</f>
        <v>1.3895999999999999</v>
      </c>
      <c r="CG141" s="1411">
        <f>'CZ08 Factors'!E58</f>
        <v>1.2732000000000001</v>
      </c>
      <c r="CH141" s="446">
        <f>'CZ08 Factors'!F58</f>
        <v>1.2150000000000001</v>
      </c>
      <c r="CI141" s="1411">
        <f>'CZ08 Factors'!G58</f>
        <v>0.79500000000000015</v>
      </c>
      <c r="CJ141" s="446">
        <f>'CZ08 Factors'!H58</f>
        <v>0.58500000000000008</v>
      </c>
      <c r="CK141" s="1411">
        <f>'CZ08 Factors'!I58</f>
        <v>0.89700000000000013</v>
      </c>
      <c r="CL141" s="446">
        <f>'CZ08 Factors'!J58</f>
        <v>1.0530000000000002</v>
      </c>
      <c r="CM141" s="1412">
        <f>'CZ08 Factors'!K58</f>
        <v>1.2774000000000001</v>
      </c>
    </row>
    <row r="142" spans="2:91" x14ac:dyDescent="0.25">
      <c r="C142" s="1202">
        <v>0.05</v>
      </c>
      <c r="D142" s="1185"/>
      <c r="E142" s="1186"/>
      <c r="F142" s="1187"/>
      <c r="G142" s="1186"/>
      <c r="H142" s="1187"/>
      <c r="I142" s="1186"/>
      <c r="J142" s="1187"/>
      <c r="K142" s="1188"/>
      <c r="M142" s="1202">
        <v>0.05</v>
      </c>
      <c r="N142" s="1185">
        <f>'CZ02 Factors'!D59</f>
        <v>1.62</v>
      </c>
      <c r="O142" s="1186">
        <f>'CZ02 Factors'!E59</f>
        <v>1.2945231481481483</v>
      </c>
      <c r="P142" s="1187">
        <f>'CZ02 Factors'!F59</f>
        <v>1.1200000000000001</v>
      </c>
      <c r="Q142" s="1186">
        <f>'CZ02 Factors'!G59</f>
        <v>0.44596666666666668</v>
      </c>
      <c r="R142" s="1187">
        <f>'CZ02 Factors'!H59</f>
        <v>0.155</v>
      </c>
      <c r="S142" s="1186">
        <f>'CZ02 Factors'!I59</f>
        <v>0.74663414634146341</v>
      </c>
      <c r="T142" s="1187">
        <f>'CZ02 Factors'!J59</f>
        <v>1.0920000000000001</v>
      </c>
      <c r="U142" s="1188">
        <f>'CZ02 Factors'!K59</f>
        <v>1.4491036036036038</v>
      </c>
      <c r="W142" s="1202">
        <v>0.05</v>
      </c>
      <c r="X142" s="1185">
        <f>'CZ03 Factors'!D59</f>
        <v>1.9</v>
      </c>
      <c r="Y142" s="1186">
        <f>'CZ03 Factors'!E59</f>
        <v>1.2422013422818792</v>
      </c>
      <c r="Z142" s="1187">
        <f>'CZ03 Factors'!F59</f>
        <v>0.90200000000000002</v>
      </c>
      <c r="AA142" s="1186">
        <f>'CZ03 Factors'!G59</f>
        <v>0.71983333333333344</v>
      </c>
      <c r="AB142" s="1187">
        <f>'CZ03 Factors'!H59</f>
        <v>0.66</v>
      </c>
      <c r="AC142" s="1186">
        <f>'CZ03 Factors'!I59</f>
        <v>0.94323232323232309</v>
      </c>
      <c r="AD142" s="1187">
        <f>'CZ03 Factors'!J59</f>
        <v>1.1830000000000001</v>
      </c>
      <c r="AE142" s="1188">
        <f>'CZ03 Factors'!K59</f>
        <v>1.6482905982905982</v>
      </c>
      <c r="AG142" s="1202">
        <v>0.05</v>
      </c>
      <c r="AH142" s="1185">
        <f>'CZ04 Factors'!D59</f>
        <v>1.351</v>
      </c>
      <c r="AI142" s="1186">
        <f>'CZ04 Factors'!E59</f>
        <v>1.0790176600441501</v>
      </c>
      <c r="AJ142" s="1187">
        <f>'CZ04 Factors'!F59</f>
        <v>0.91199999999999992</v>
      </c>
      <c r="AK142" s="1186">
        <f>'CZ04 Factors'!G59</f>
        <v>0.59682051282051274</v>
      </c>
      <c r="AL142" s="1187">
        <f>'CZ04 Factors'!H59</f>
        <v>0.46399999999999991</v>
      </c>
      <c r="AM142" s="1186">
        <f>'CZ04 Factors'!I59</f>
        <v>0.73333333333333339</v>
      </c>
      <c r="AN142" s="1187">
        <f>'CZ04 Factors'!J59</f>
        <v>0.94800000000000006</v>
      </c>
      <c r="AO142" s="1188">
        <f>'CZ04 Factors'!K59</f>
        <v>1.2099477124183007</v>
      </c>
      <c r="AQ142" s="1202">
        <v>0.05</v>
      </c>
      <c r="AR142" s="1185">
        <f>'CZ05 Factors'!D59</f>
        <v>1.56</v>
      </c>
      <c r="AS142" s="1186">
        <f>'CZ05 Factors'!E59</f>
        <v>1.1545495495495495</v>
      </c>
      <c r="AT142" s="1187">
        <f>'CZ05 Factors'!F59</f>
        <v>0.91</v>
      </c>
      <c r="AU142" s="1186">
        <f>'CZ05 Factors'!G59</f>
        <v>0.55366666666666675</v>
      </c>
      <c r="AV142" s="1187">
        <f>'CZ05 Factors'!H59</f>
        <v>0.40299999999999997</v>
      </c>
      <c r="AW142" s="1186">
        <f>'CZ05 Factors'!I59</f>
        <v>0.80694871794871792</v>
      </c>
      <c r="AX142" s="1187">
        <f>'CZ05 Factors'!J59</f>
        <v>1.0920000000000001</v>
      </c>
      <c r="AY142" s="1188">
        <f>'CZ05 Factors'!K59</f>
        <v>1.4035991561181433</v>
      </c>
      <c r="AZ142" s="449"/>
      <c r="BA142" s="1202">
        <v>0.05</v>
      </c>
      <c r="BB142" s="1185">
        <f>'CZ05 BC Factors'!D59</f>
        <v>1.6575</v>
      </c>
      <c r="BC142" s="1186">
        <f>'CZ05 BC Factors'!E59</f>
        <v>1.1866914414414413</v>
      </c>
      <c r="BD142" s="1187">
        <f>'CZ05 BC Factors'!F59</f>
        <v>0.91</v>
      </c>
      <c r="BE142" s="1186">
        <f>'CZ05 BC Factors'!G59</f>
        <v>0.53279487179487173</v>
      </c>
      <c r="BF142" s="1187">
        <f>'CZ05 BC Factors'!H59</f>
        <v>0.372</v>
      </c>
      <c r="BG142" s="1186">
        <f>'CZ05 BC Factors'!I59</f>
        <v>0.79651282051282057</v>
      </c>
      <c r="BH142" s="1187">
        <f>'CZ05 BC Factors'!J59</f>
        <v>1.0920000000000001</v>
      </c>
      <c r="BI142" s="1188">
        <f>'CZ05 BC Factors'!K59</f>
        <v>1.4676308016877635</v>
      </c>
      <c r="BK142" s="1202">
        <v>0.05</v>
      </c>
      <c r="BL142" s="1185">
        <f>'CZ06 Factors'!D57</f>
        <v>1.5640000000000003</v>
      </c>
      <c r="BM142" s="1186">
        <f>'CZ06 Factors'!E57</f>
        <v>1.2382867132867132</v>
      </c>
      <c r="BN142" s="1187">
        <f>'CZ06 Factors'!F57</f>
        <v>1.0585</v>
      </c>
      <c r="BO142" s="1186">
        <f>'CZ06 Factors'!G57</f>
        <v>0.60490370370370361</v>
      </c>
      <c r="BP142" s="1187">
        <f>'CZ06 Factors'!H57</f>
        <v>0.41399999999999992</v>
      </c>
      <c r="BQ142" s="1186">
        <f>'CZ06 Factors'!I57</f>
        <v>0.75845185185185193</v>
      </c>
      <c r="BR142" s="1187">
        <f>'CZ06 Factors'!J57</f>
        <v>1.0125000000000002</v>
      </c>
      <c r="BS142" s="1188">
        <f>'CZ06 Factors'!K57</f>
        <v>1.3678649237472766</v>
      </c>
      <c r="BU142" s="1202">
        <v>0.05</v>
      </c>
      <c r="BV142" s="1185">
        <f>'CZ07 Factors'!D59</f>
        <v>1.8089999999999999</v>
      </c>
      <c r="BW142" s="1186">
        <f>'CZ07 Factors'!E59</f>
        <v>1.3650797546012272</v>
      </c>
      <c r="BX142" s="1187">
        <f>'CZ07 Factors'!F59</f>
        <v>1.1165</v>
      </c>
      <c r="BY142" s="1186">
        <f>'CZ07 Factors'!G59</f>
        <v>0.63256140350877177</v>
      </c>
      <c r="BZ142" s="1187">
        <f>'CZ07 Factors'!H59</f>
        <v>0.43499999999999989</v>
      </c>
      <c r="CA142" s="1186">
        <f>'CZ07 Factors'!I59</f>
        <v>0.77894736842105261</v>
      </c>
      <c r="CB142" s="1187">
        <f>'CZ07 Factors'!J59</f>
        <v>1.0349999999999999</v>
      </c>
      <c r="CC142" s="1188">
        <f>'CZ07 Factors'!K59</f>
        <v>1.5580799999999999</v>
      </c>
      <c r="CE142" s="1202">
        <v>0.05</v>
      </c>
      <c r="CF142" s="1185">
        <f>'CZ08 Factors'!D59</f>
        <v>1.3464</v>
      </c>
      <c r="CG142" s="1186">
        <f>'CZ08 Factors'!E59</f>
        <v>1.212981081081081</v>
      </c>
      <c r="CH142" s="1187">
        <f>'CZ08 Factors'!F59</f>
        <v>1.095</v>
      </c>
      <c r="CI142" s="1186">
        <f>'CZ08 Factors'!G59</f>
        <v>0.65968085106383001</v>
      </c>
      <c r="CJ142" s="1187">
        <f>'CZ08 Factors'!H59</f>
        <v>0.49400000000000005</v>
      </c>
      <c r="CK142" s="1186">
        <f>'CZ08 Factors'!I59</f>
        <v>0.74431914893617035</v>
      </c>
      <c r="CL142" s="1187">
        <f>'CZ08 Factors'!J59</f>
        <v>0.94900000000000007</v>
      </c>
      <c r="CM142" s="1188">
        <f>'CZ08 Factors'!K59</f>
        <v>1.216154794520548</v>
      </c>
    </row>
    <row r="143" spans="2:91" x14ac:dyDescent="0.25">
      <c r="C143" s="1202">
        <v>0.1</v>
      </c>
      <c r="D143" s="1185"/>
      <c r="E143" s="1186"/>
      <c r="F143" s="1187"/>
      <c r="G143" s="1186"/>
      <c r="H143" s="1187"/>
      <c r="I143" s="1186"/>
      <c r="J143" s="1187"/>
      <c r="K143" s="1188"/>
      <c r="M143" s="1202">
        <v>0.1</v>
      </c>
      <c r="N143" s="1185">
        <f>'CZ02 Factors'!D60</f>
        <v>1.5570000000000002</v>
      </c>
      <c r="O143" s="1186">
        <f>'CZ02 Factors'!E60</f>
        <v>1.256726851851852</v>
      </c>
      <c r="P143" s="1187">
        <f>'CZ02 Factors'!F60</f>
        <v>1.0640000000000001</v>
      </c>
      <c r="Q143" s="1186">
        <f>'CZ02 Factors'!G60</f>
        <v>0.41973333333333335</v>
      </c>
      <c r="R143" s="1187">
        <f>'CZ02 Factors'!H60</f>
        <v>0.14499999999999999</v>
      </c>
      <c r="S143" s="1186">
        <f>'CZ02 Factors'!I60</f>
        <v>0.70515447154471556</v>
      </c>
      <c r="T143" s="1187">
        <f>'CZ02 Factors'!J60</f>
        <v>1.0530000000000002</v>
      </c>
      <c r="U143" s="1188">
        <f>'CZ02 Factors'!K60</f>
        <v>1.3674639639639643</v>
      </c>
      <c r="W143" s="1202">
        <v>0.1</v>
      </c>
      <c r="X143" s="1185">
        <f>'CZ03 Factors'!D60</f>
        <v>1.76</v>
      </c>
      <c r="Y143" s="1186">
        <f>'CZ03 Factors'!E60</f>
        <v>1.1818165548098436</v>
      </c>
      <c r="Z143" s="1187">
        <f>'CZ03 Factors'!F60</f>
        <v>0.8580000000000001</v>
      </c>
      <c r="AA143" s="1186">
        <f>'CZ03 Factors'!G60</f>
        <v>0.69412499999999999</v>
      </c>
      <c r="AB143" s="1187">
        <f>'CZ03 Factors'!H60</f>
        <v>0.63</v>
      </c>
      <c r="AC143" s="1186">
        <f>'CZ03 Factors'!I60</f>
        <v>0.91070707070707069</v>
      </c>
      <c r="AD143" s="1187">
        <f>'CZ03 Factors'!J60</f>
        <v>1.131</v>
      </c>
      <c r="AE143" s="1188">
        <f>'CZ03 Factors'!K60</f>
        <v>1.5615384615384613</v>
      </c>
      <c r="AG143" s="1202">
        <v>0.1</v>
      </c>
      <c r="AH143" s="1185">
        <f>'CZ04 Factors'!D60</f>
        <v>1.337</v>
      </c>
      <c r="AI143" s="1186">
        <f>'CZ04 Factors'!E60</f>
        <v>1.0418101545253862</v>
      </c>
      <c r="AJ143" s="1187">
        <f>'CZ04 Factors'!F60</f>
        <v>0.8879999999999999</v>
      </c>
      <c r="AK143" s="1186">
        <f>'CZ04 Factors'!G60</f>
        <v>0.5606495726495726</v>
      </c>
      <c r="AL143" s="1187">
        <f>'CZ04 Factors'!H60</f>
        <v>0.44800000000000006</v>
      </c>
      <c r="AM143" s="1186">
        <f>'CZ04 Factors'!I60</f>
        <v>0.68888888888888888</v>
      </c>
      <c r="AN143" s="1187">
        <f>'CZ04 Factors'!J60</f>
        <v>0.9</v>
      </c>
      <c r="AO143" s="1188">
        <f>'CZ04 Factors'!K60</f>
        <v>1.1687930283224401</v>
      </c>
      <c r="AQ143" s="1202">
        <v>0.1</v>
      </c>
      <c r="AR143" s="1185">
        <f>'CZ05 Factors'!D60</f>
        <v>1.56</v>
      </c>
      <c r="AS143" s="1186">
        <f>'CZ05 Factors'!E60</f>
        <v>1.1057657657657658</v>
      </c>
      <c r="AT143" s="1187">
        <f>'CZ05 Factors'!F60</f>
        <v>0.85800000000000021</v>
      </c>
      <c r="AU143" s="1186">
        <f>'CZ05 Factors'!G60</f>
        <v>0.52011111111111119</v>
      </c>
      <c r="AV143" s="1187">
        <f>'CZ05 Factors'!H60</f>
        <v>0.38999999999999996</v>
      </c>
      <c r="AW143" s="1186">
        <f>'CZ05 Factors'!I60</f>
        <v>0.78249572649572652</v>
      </c>
      <c r="AX143" s="1187">
        <f>'CZ05 Factors'!J60</f>
        <v>1.0499999999999998</v>
      </c>
      <c r="AY143" s="1188">
        <f>'CZ05 Factors'!K60</f>
        <v>1.3664177215189872</v>
      </c>
      <c r="AZ143" s="449"/>
      <c r="BA143" s="1202">
        <v>0.1</v>
      </c>
      <c r="BB143" s="1185">
        <f>'CZ05 BC Factors'!D60</f>
        <v>1.6575</v>
      </c>
      <c r="BC143" s="1186">
        <f>'CZ05 BC Factors'!E60</f>
        <v>1.1365495495495495</v>
      </c>
      <c r="BD143" s="1187">
        <f>'CZ05 BC Factors'!F60</f>
        <v>0.85800000000000021</v>
      </c>
      <c r="BE143" s="1186">
        <f>'CZ05 BC Factors'!G60</f>
        <v>0.5005042735042734</v>
      </c>
      <c r="BF143" s="1187">
        <f>'CZ05 BC Factors'!H60</f>
        <v>0.36</v>
      </c>
      <c r="BG143" s="1186">
        <f>'CZ05 BC Factors'!I60</f>
        <v>0.77237606837606831</v>
      </c>
      <c r="BH143" s="1187">
        <f>'CZ05 BC Factors'!J60</f>
        <v>1.0499999999999998</v>
      </c>
      <c r="BI143" s="1188">
        <f>'CZ05 BC Factors'!K60</f>
        <v>1.4287531645569618</v>
      </c>
      <c r="BK143" s="1202">
        <v>0.1</v>
      </c>
      <c r="BL143" s="1185">
        <f>'CZ06 Factors'!D58</f>
        <v>1.5470000000000002</v>
      </c>
      <c r="BM143" s="1186">
        <f>'CZ06 Factors'!E58</f>
        <v>1.1924242424242424</v>
      </c>
      <c r="BN143" s="1187">
        <f>'CZ06 Factors'!F58</f>
        <v>1.0149999999999999</v>
      </c>
      <c r="BO143" s="1186">
        <f>'CZ06 Factors'!G58</f>
        <v>0.57306666666666661</v>
      </c>
      <c r="BP143" s="1187">
        <f>'CZ06 Factors'!H58</f>
        <v>0.39100000000000001</v>
      </c>
      <c r="BQ143" s="1186">
        <f>'CZ06 Factors'!I58</f>
        <v>0.71853333333333336</v>
      </c>
      <c r="BR143" s="1187">
        <f>'CZ06 Factors'!J58</f>
        <v>0.95000000000000007</v>
      </c>
      <c r="BS143" s="1188">
        <f>'CZ06 Factors'!K58</f>
        <v>1.3395642701525055</v>
      </c>
      <c r="BU143" s="1202">
        <v>0.1</v>
      </c>
      <c r="BV143" s="1185">
        <f>'CZ07 Factors'!D60</f>
        <v>1.8089999999999999</v>
      </c>
      <c r="BW143" s="1186">
        <f>'CZ07 Factors'!E60</f>
        <v>1.338828220858896</v>
      </c>
      <c r="BX143" s="1187">
        <f>'CZ07 Factors'!F60</f>
        <v>1.0585</v>
      </c>
      <c r="BY143" s="1186">
        <f>'CZ07 Factors'!G60</f>
        <v>0.59302631578947362</v>
      </c>
      <c r="BZ143" s="1187">
        <f>'CZ07 Factors'!H60</f>
        <v>0.42</v>
      </c>
      <c r="CA143" s="1186">
        <f>'CZ07 Factors'!I60</f>
        <v>0.73026315789473684</v>
      </c>
      <c r="CB143" s="1187">
        <f>'CZ07 Factors'!J60</f>
        <v>0.99</v>
      </c>
      <c r="CC143" s="1188">
        <f>'CZ07 Factors'!K60</f>
        <v>1.52562</v>
      </c>
      <c r="CE143" s="1202">
        <v>0.1</v>
      </c>
      <c r="CF143" s="1185">
        <f>'CZ08 Factors'!D60</f>
        <v>1.3320000000000001</v>
      </c>
      <c r="CG143" s="1186">
        <f>'CZ08 Factors'!E60</f>
        <v>1.1699675675675678</v>
      </c>
      <c r="CH143" s="1187">
        <f>'CZ08 Factors'!F60</f>
        <v>1.0499999999999998</v>
      </c>
      <c r="CI143" s="1186">
        <f>'CZ08 Factors'!G60</f>
        <v>0.62585106382978739</v>
      </c>
      <c r="CJ143" s="1187">
        <f>'CZ08 Factors'!H60</f>
        <v>0.45500000000000002</v>
      </c>
      <c r="CK143" s="1186">
        <f>'CZ08 Factors'!I60</f>
        <v>0.7061489361702129</v>
      </c>
      <c r="CL143" s="1187">
        <f>'CZ08 Factors'!J60</f>
        <v>0.90999999999999992</v>
      </c>
      <c r="CM143" s="1188">
        <f>'CZ08 Factors'!K60</f>
        <v>1.1724082191780825</v>
      </c>
    </row>
    <row r="144" spans="2:91" x14ac:dyDescent="0.25">
      <c r="C144" s="1202">
        <v>0.2</v>
      </c>
      <c r="D144" s="1185"/>
      <c r="E144" s="1186"/>
      <c r="F144" s="1187"/>
      <c r="G144" s="1186"/>
      <c r="H144" s="1187"/>
      <c r="I144" s="1186"/>
      <c r="J144" s="1187"/>
      <c r="K144" s="1188"/>
      <c r="M144" s="1202">
        <v>0.2</v>
      </c>
      <c r="N144" s="1185">
        <f>'CZ02 Factors'!D61</f>
        <v>1.359</v>
      </c>
      <c r="O144" s="1186">
        <f>'CZ02 Factors'!E61</f>
        <v>1.1149907407407407</v>
      </c>
      <c r="P144" s="1187">
        <f>'CZ02 Factors'!F61</f>
        <v>0.95200000000000007</v>
      </c>
      <c r="Q144" s="1186">
        <f>'CZ02 Factors'!G61</f>
        <v>0.3803833333333333</v>
      </c>
      <c r="R144" s="1187">
        <f>'CZ02 Factors'!H61</f>
        <v>0.13500000000000001</v>
      </c>
      <c r="S144" s="1186">
        <f>'CZ02 Factors'!I61</f>
        <v>0.62219512195121951</v>
      </c>
      <c r="T144" s="1187">
        <f>'CZ02 Factors'!J61</f>
        <v>0.94899999999999995</v>
      </c>
      <c r="U144" s="1188">
        <f>'CZ02 Factors'!K61</f>
        <v>1.2245945945945946</v>
      </c>
      <c r="W144" s="1202">
        <v>0.2</v>
      </c>
      <c r="X144" s="1185">
        <f>'CZ03 Factors'!D61</f>
        <v>1.57</v>
      </c>
      <c r="Y144" s="1186">
        <f>'CZ03 Factors'!E61</f>
        <v>1.052420581655481</v>
      </c>
      <c r="Z144" s="1187">
        <f>'CZ03 Factors'!F61</f>
        <v>0.77</v>
      </c>
      <c r="AA144" s="1186">
        <f>'CZ03 Factors'!G61</f>
        <v>0.61699999999999999</v>
      </c>
      <c r="AB144" s="1187">
        <f>'CZ03 Factors'!H61</f>
        <v>0.60000000000000009</v>
      </c>
      <c r="AC144" s="1186">
        <f>'CZ03 Factors'!I61</f>
        <v>0.81313131313131304</v>
      </c>
      <c r="AD144" s="1187">
        <f>'CZ03 Factors'!J61</f>
        <v>1.014</v>
      </c>
      <c r="AE144" s="1188">
        <f>'CZ03 Factors'!K61</f>
        <v>1.4097222222222223</v>
      </c>
      <c r="AG144" s="1202">
        <v>0.2</v>
      </c>
      <c r="AH144" s="1185">
        <f>'CZ04 Factors'!D61</f>
        <v>1.1340000000000001</v>
      </c>
      <c r="AI144" s="1186">
        <f>'CZ04 Factors'!E61</f>
        <v>0.95251214128035311</v>
      </c>
      <c r="AJ144" s="1187">
        <f>'CZ04 Factors'!F61</f>
        <v>0.80399999999999994</v>
      </c>
      <c r="AK144" s="1186">
        <f>'CZ04 Factors'!G61</f>
        <v>0.50639316239316234</v>
      </c>
      <c r="AL144" s="1187">
        <f>'CZ04 Factors'!H61</f>
        <v>0.39999999999999997</v>
      </c>
      <c r="AM144" s="1186">
        <f>'CZ04 Factors'!I61</f>
        <v>0.62222222222222223</v>
      </c>
      <c r="AN144" s="1187">
        <f>'CZ04 Factors'!J61</f>
        <v>0.81600000000000006</v>
      </c>
      <c r="AO144" s="1188">
        <f>'CZ04 Factors'!K61</f>
        <v>1.0535599128540305</v>
      </c>
      <c r="AQ144" s="1202">
        <v>0.2</v>
      </c>
      <c r="AR144" s="1185">
        <f>'CZ05 Factors'!D61</f>
        <v>1.304</v>
      </c>
      <c r="AS144" s="1186">
        <f>'CZ05 Factors'!E61</f>
        <v>0.98380630630630628</v>
      </c>
      <c r="AT144" s="1187">
        <f>'CZ05 Factors'!F61</f>
        <v>0.76700000000000002</v>
      </c>
      <c r="AU144" s="1186">
        <f>'CZ05 Factors'!G61</f>
        <v>0.46977777777777785</v>
      </c>
      <c r="AV144" s="1187">
        <f>'CZ05 Factors'!H61</f>
        <v>0.35100000000000003</v>
      </c>
      <c r="AW144" s="1186">
        <f>'CZ05 Factors'!I61</f>
        <v>0.68468376068376069</v>
      </c>
      <c r="AX144" s="1187">
        <f>'CZ05 Factors'!J61</f>
        <v>0.93800000000000006</v>
      </c>
      <c r="AY144" s="1188">
        <f>'CZ05 Factors'!K61</f>
        <v>1.2269873417721517</v>
      </c>
      <c r="AZ144" s="449"/>
      <c r="BA144" s="1202">
        <v>0.2</v>
      </c>
      <c r="BB144" s="1185">
        <f>'CZ05 BC Factors'!D61</f>
        <v>1.3855</v>
      </c>
      <c r="BC144" s="1186">
        <f>'CZ05 BC Factors'!E61</f>
        <v>1.0111948198198197</v>
      </c>
      <c r="BD144" s="1187">
        <f>'CZ05 BC Factors'!F61</f>
        <v>0.76700000000000002</v>
      </c>
      <c r="BE144" s="1186">
        <f>'CZ05 BC Factors'!G61</f>
        <v>0.45206837606837602</v>
      </c>
      <c r="BF144" s="1187">
        <f>'CZ05 BC Factors'!H61</f>
        <v>0.32400000000000007</v>
      </c>
      <c r="BG144" s="1186">
        <f>'CZ05 BC Factors'!I61</f>
        <v>0.67582905982905983</v>
      </c>
      <c r="BH144" s="1187">
        <f>'CZ05 BC Factors'!J61</f>
        <v>0.93800000000000006</v>
      </c>
      <c r="BI144" s="1188">
        <f>'CZ05 BC Factors'!K61</f>
        <v>1.2829620253164555</v>
      </c>
      <c r="BK144" s="1202">
        <v>0.2</v>
      </c>
      <c r="BL144" s="1185">
        <f>'CZ06 Factors'!D59</f>
        <v>1.3260000000000001</v>
      </c>
      <c r="BM144" s="1186">
        <f>'CZ06 Factors'!E59</f>
        <v>1.073181818181818</v>
      </c>
      <c r="BN144" s="1187">
        <f>'CZ06 Factors'!F59</f>
        <v>0.8989999999999998</v>
      </c>
      <c r="BO144" s="1186">
        <f>'CZ06 Factors'!G59</f>
        <v>0.50939259259259262</v>
      </c>
      <c r="BP144" s="1187">
        <f>'CZ06 Factors'!H59</f>
        <v>0.34499999999999997</v>
      </c>
      <c r="BQ144" s="1186">
        <f>'CZ06 Factors'!I59</f>
        <v>0.63869629629629643</v>
      </c>
      <c r="BR144" s="1187">
        <f>'CZ06 Factors'!J59</f>
        <v>0.875</v>
      </c>
      <c r="BS144" s="1188">
        <f>'CZ06 Factors'!K59</f>
        <v>1.2263616557734205</v>
      </c>
      <c r="BU144" s="1202">
        <v>0.2</v>
      </c>
      <c r="BV144" s="1185">
        <f>'CZ07 Factors'!D61</f>
        <v>1.7009999999999998</v>
      </c>
      <c r="BW144" s="1186">
        <f>'CZ07 Factors'!E61</f>
        <v>1.2513231083844583</v>
      </c>
      <c r="BX144" s="1187">
        <f>'CZ07 Factors'!F61</f>
        <v>0.9860000000000001</v>
      </c>
      <c r="BY144" s="1186">
        <f>'CZ07 Factors'!G61</f>
        <v>0.53372368421052618</v>
      </c>
      <c r="BZ144" s="1187">
        <f>'CZ07 Factors'!H61</f>
        <v>0.37499999999999994</v>
      </c>
      <c r="CA144" s="1186">
        <f>'CZ07 Factors'!I61</f>
        <v>0.65723684210526323</v>
      </c>
      <c r="CB144" s="1187">
        <f>'CZ07 Factors'!J61</f>
        <v>0.89999999999999991</v>
      </c>
      <c r="CC144" s="1188">
        <f>'CZ07 Factors'!K61</f>
        <v>1.3849600000000002</v>
      </c>
      <c r="CE144" s="1202">
        <v>0.2</v>
      </c>
      <c r="CF144" s="1185">
        <f>'CZ08 Factors'!D61</f>
        <v>1.1232000000000002</v>
      </c>
      <c r="CG144" s="1186">
        <f>'CZ08 Factors'!E61</f>
        <v>1.0495297297297299</v>
      </c>
      <c r="CH144" s="1187">
        <f>'CZ08 Factors'!F61</f>
        <v>0.94499999999999995</v>
      </c>
      <c r="CI144" s="1186">
        <f>'CZ08 Factors'!G61</f>
        <v>0.55819148936170238</v>
      </c>
      <c r="CJ144" s="1187">
        <f>'CZ08 Factors'!H61</f>
        <v>0.41600000000000009</v>
      </c>
      <c r="CK144" s="1186">
        <f>'CZ08 Factors'!I61</f>
        <v>0.62980851063829812</v>
      </c>
      <c r="CL144" s="1187">
        <f>'CZ08 Factors'!J61</f>
        <v>0.81900000000000006</v>
      </c>
      <c r="CM144" s="1188">
        <f>'CZ08 Factors'!K61</f>
        <v>1.049917808219178</v>
      </c>
    </row>
    <row r="145" spans="3:91" x14ac:dyDescent="0.25">
      <c r="C145" s="1202">
        <v>0.4</v>
      </c>
      <c r="D145" s="1185"/>
      <c r="E145" s="1186"/>
      <c r="F145" s="1187"/>
      <c r="G145" s="1186"/>
      <c r="H145" s="1187"/>
      <c r="I145" s="1186"/>
      <c r="J145" s="1187"/>
      <c r="K145" s="1188"/>
      <c r="M145" s="1202">
        <v>0.4</v>
      </c>
      <c r="N145" s="1185">
        <f>'CZ02 Factors'!D62</f>
        <v>1.125</v>
      </c>
      <c r="O145" s="1186">
        <f>'CZ02 Factors'!E62</f>
        <v>0.89766203703703706</v>
      </c>
      <c r="P145" s="1187">
        <f>'CZ02 Factors'!F62</f>
        <v>0.75600000000000001</v>
      </c>
      <c r="Q145" s="1186">
        <f>'CZ02 Factors'!G62</f>
        <v>0.31480000000000002</v>
      </c>
      <c r="R145" s="1187">
        <f>'CZ02 Factors'!H62</f>
        <v>0.11499999999999999</v>
      </c>
      <c r="S145" s="1186">
        <f>'CZ02 Factors'!I62</f>
        <v>0.51849593495934965</v>
      </c>
      <c r="T145" s="1187">
        <f>'CZ02 Factors'!J62</f>
        <v>0.79299999999999993</v>
      </c>
      <c r="U145" s="1188">
        <f>'CZ02 Factors'!K62</f>
        <v>1.0102905405405407</v>
      </c>
      <c r="W145" s="1202">
        <v>0.4</v>
      </c>
      <c r="X145" s="1185">
        <f>'CZ03 Factors'!D62</f>
        <v>1.25</v>
      </c>
      <c r="Y145" s="1186">
        <f>'CZ03 Factors'!E62</f>
        <v>0.86263982102908288</v>
      </c>
      <c r="Z145" s="1187">
        <f>'CZ03 Factors'!F62</f>
        <v>0.66</v>
      </c>
      <c r="AA145" s="1186">
        <f>'CZ03 Factors'!G62</f>
        <v>0.51416666666666666</v>
      </c>
      <c r="AB145" s="1187">
        <f>'CZ03 Factors'!H62</f>
        <v>0.54</v>
      </c>
      <c r="AC145" s="1186">
        <f>'CZ03 Factors'!I62</f>
        <v>0.68303030303030299</v>
      </c>
      <c r="AD145" s="1187">
        <f>'CZ03 Factors'!J62</f>
        <v>0.871</v>
      </c>
      <c r="AE145" s="1188">
        <f>'CZ03 Factors'!K62</f>
        <v>1.1711538461538462</v>
      </c>
      <c r="AG145" s="1202">
        <v>0.4</v>
      </c>
      <c r="AH145" s="1185">
        <f>'CZ04 Factors'!D62</f>
        <v>1.036</v>
      </c>
      <c r="AI145" s="1186">
        <f>'CZ04 Factors'!E62</f>
        <v>0.81112362030905072</v>
      </c>
      <c r="AJ145" s="1187">
        <f>'CZ04 Factors'!F62</f>
        <v>0.67199999999999993</v>
      </c>
      <c r="AK145" s="1186">
        <f>'CZ04 Factors'!G62</f>
        <v>0.43405128205128196</v>
      </c>
      <c r="AL145" s="1187">
        <f>'CZ04 Factors'!H62</f>
        <v>0.35200000000000004</v>
      </c>
      <c r="AM145" s="1186">
        <f>'CZ04 Factors'!I62</f>
        <v>0.53333333333333333</v>
      </c>
      <c r="AN145" s="1187">
        <f>'CZ04 Factors'!J62</f>
        <v>0.69600000000000006</v>
      </c>
      <c r="AO145" s="1188">
        <f>'CZ04 Factors'!K62</f>
        <v>0.90540305010893252</v>
      </c>
      <c r="AQ145" s="1202">
        <v>0.4</v>
      </c>
      <c r="AR145" s="1185">
        <f>'CZ05 Factors'!D62</f>
        <v>1.1919999999999999</v>
      </c>
      <c r="AS145" s="1186">
        <f>'CZ05 Factors'!E62</f>
        <v>0.81306306306306309</v>
      </c>
      <c r="AT145" s="1187">
        <f>'CZ05 Factors'!F62</f>
        <v>0.63700000000000001</v>
      </c>
      <c r="AU145" s="1186">
        <f>'CZ05 Factors'!G62</f>
        <v>0.40266666666666667</v>
      </c>
      <c r="AV145" s="1187">
        <f>'CZ05 Factors'!H62</f>
        <v>0.29899999999999999</v>
      </c>
      <c r="AW145" s="1186">
        <f>'CZ05 Factors'!I62</f>
        <v>0.58687179487179475</v>
      </c>
      <c r="AX145" s="1187">
        <f>'CZ05 Factors'!J62</f>
        <v>0.77</v>
      </c>
      <c r="AY145" s="1188">
        <f>'CZ05 Factors'!K62</f>
        <v>1.0224894514767933</v>
      </c>
      <c r="AZ145" s="449"/>
      <c r="BA145" s="1202">
        <v>0.4</v>
      </c>
      <c r="BB145" s="1185">
        <f>'CZ05 BC Factors'!D62</f>
        <v>1.2665</v>
      </c>
      <c r="BC145" s="1186">
        <f>'CZ05 BC Factors'!E62</f>
        <v>0.83569819819819813</v>
      </c>
      <c r="BD145" s="1187">
        <f>'CZ05 BC Factors'!F62</f>
        <v>0.63700000000000001</v>
      </c>
      <c r="BE145" s="1186">
        <f>'CZ05 BC Factors'!G62</f>
        <v>0.38748717948717942</v>
      </c>
      <c r="BF145" s="1187">
        <f>'CZ05 BC Factors'!H62</f>
        <v>0.27599999999999997</v>
      </c>
      <c r="BG145" s="1186">
        <f>'CZ05 BC Factors'!I62</f>
        <v>0.57928205128205124</v>
      </c>
      <c r="BH145" s="1187">
        <f>'CZ05 BC Factors'!J62</f>
        <v>0.77</v>
      </c>
      <c r="BI145" s="1188">
        <f>'CZ05 BC Factors'!K62</f>
        <v>1.0691350210970463</v>
      </c>
      <c r="BK145" s="1202">
        <v>0.4</v>
      </c>
      <c r="BL145" s="1185">
        <f>'CZ06 Factors'!D60</f>
        <v>1.2155</v>
      </c>
      <c r="BM145" s="1186">
        <f>'CZ06 Factors'!E60</f>
        <v>0.92642191142191144</v>
      </c>
      <c r="BN145" s="1187">
        <f>'CZ06 Factors'!F60</f>
        <v>0.76849999999999996</v>
      </c>
      <c r="BO145" s="1186">
        <f>'CZ06 Factors'!G60</f>
        <v>0.42979999999999996</v>
      </c>
      <c r="BP145" s="1187">
        <f>'CZ06 Factors'!H60</f>
        <v>0.29899999999999999</v>
      </c>
      <c r="BQ145" s="1186">
        <f>'CZ06 Factors'!I60</f>
        <v>0.53890000000000005</v>
      </c>
      <c r="BR145" s="1187">
        <f>'CZ06 Factors'!J60</f>
        <v>0.75</v>
      </c>
      <c r="BS145" s="1188">
        <f>'CZ06 Factors'!K60</f>
        <v>1.0376906318082788</v>
      </c>
      <c r="BU145" s="1202">
        <v>0.4</v>
      </c>
      <c r="BV145" s="1185">
        <f>'CZ07 Factors'!D62</f>
        <v>1.4580000000000002</v>
      </c>
      <c r="BW145" s="1186">
        <f>'CZ07 Factors'!E62</f>
        <v>1.0850633946830268</v>
      </c>
      <c r="BX145" s="1187">
        <f>'CZ07 Factors'!F62</f>
        <v>0.84100000000000008</v>
      </c>
      <c r="BY145" s="1186">
        <f>'CZ07 Factors'!G62</f>
        <v>0.45465350877192973</v>
      </c>
      <c r="BZ145" s="1187">
        <f>'CZ07 Factors'!H62</f>
        <v>0.31499999999999995</v>
      </c>
      <c r="CA145" s="1186">
        <f>'CZ07 Factors'!I62</f>
        <v>0.55986842105263157</v>
      </c>
      <c r="CB145" s="1187">
        <f>'CZ07 Factors'!J62</f>
        <v>0.75</v>
      </c>
      <c r="CC145" s="1188">
        <f>'CZ07 Factors'!K62</f>
        <v>1.2226599999999999</v>
      </c>
      <c r="CE145" s="1202">
        <v>0.4</v>
      </c>
      <c r="CF145" s="1185">
        <f>'CZ08 Factors'!D62</f>
        <v>1.0151999999999999</v>
      </c>
      <c r="CG145" s="1186">
        <f>'CZ08 Factors'!E62</f>
        <v>0.87747567567567586</v>
      </c>
      <c r="CH145" s="1187">
        <f>'CZ08 Factors'!F62</f>
        <v>0.76500000000000012</v>
      </c>
      <c r="CI145" s="1186">
        <f>'CZ08 Factors'!G62</f>
        <v>0.47361702127659588</v>
      </c>
      <c r="CJ145" s="1187">
        <f>'CZ08 Factors'!H62</f>
        <v>0.35100000000000003</v>
      </c>
      <c r="CK145" s="1186">
        <f>'CZ08 Factors'!I62</f>
        <v>0.53438297872340446</v>
      </c>
      <c r="CL145" s="1187">
        <f>'CZ08 Factors'!J62</f>
        <v>0.66300000000000014</v>
      </c>
      <c r="CM145" s="1188">
        <f>'CZ08 Factors'!K62</f>
        <v>0.86618219178082201</v>
      </c>
    </row>
    <row r="146" spans="3:91" x14ac:dyDescent="0.25">
      <c r="C146" s="1202">
        <v>0.6</v>
      </c>
      <c r="D146" s="1185"/>
      <c r="E146" s="1186"/>
      <c r="F146" s="1187"/>
      <c r="G146" s="1186"/>
      <c r="H146" s="1187"/>
      <c r="I146" s="1186"/>
      <c r="J146" s="1187"/>
      <c r="K146" s="1188"/>
      <c r="M146" s="1202">
        <v>0.6</v>
      </c>
      <c r="N146" s="1185">
        <f>'CZ02 Factors'!D63</f>
        <v>0.93599999999999994</v>
      </c>
      <c r="O146" s="1186">
        <f>'CZ02 Factors'!E63</f>
        <v>0.73702777777777784</v>
      </c>
      <c r="P146" s="1187">
        <f>'CZ02 Factors'!F63</f>
        <v>0.67199999999999993</v>
      </c>
      <c r="Q146" s="1186">
        <f>'CZ02 Factors'!G63</f>
        <v>0.27544999999999997</v>
      </c>
      <c r="R146" s="1187">
        <f>'CZ02 Factors'!H63</f>
        <v>0.1</v>
      </c>
      <c r="S146" s="1186">
        <f>'CZ02 Factors'!I63</f>
        <v>0.4562764227642277</v>
      </c>
      <c r="T146" s="1187">
        <f>'CZ02 Factors'!J63</f>
        <v>0.66300000000000003</v>
      </c>
      <c r="U146" s="1188">
        <f>'CZ02 Factors'!K63</f>
        <v>0.84701126126126125</v>
      </c>
      <c r="W146" s="1202">
        <v>0.6</v>
      </c>
      <c r="X146" s="1185">
        <f>'CZ03 Factors'!D63</f>
        <v>0.94</v>
      </c>
      <c r="Y146" s="1186">
        <f>'CZ03 Factors'!E63</f>
        <v>0.66423266219239385</v>
      </c>
      <c r="Z146" s="1187">
        <f>'CZ03 Factors'!F63</f>
        <v>0.52800000000000002</v>
      </c>
      <c r="AA146" s="1186">
        <f>'CZ03 Factors'!G63</f>
        <v>0.46274999999999999</v>
      </c>
      <c r="AB146" s="1187">
        <f>'CZ03 Factors'!H63</f>
        <v>0.51</v>
      </c>
      <c r="AC146" s="1186">
        <f>'CZ03 Factors'!I63</f>
        <v>0.58545454545454534</v>
      </c>
      <c r="AD146" s="1187">
        <f>'CZ03 Factors'!J63</f>
        <v>0.70200000000000007</v>
      </c>
      <c r="AE146" s="1188">
        <f>'CZ03 Factors'!K63</f>
        <v>0.94342948717948716</v>
      </c>
      <c r="AG146" s="1202">
        <v>0.6</v>
      </c>
      <c r="AH146" s="1185">
        <f>'CZ04 Factors'!D63</f>
        <v>0.85399999999999998</v>
      </c>
      <c r="AI146" s="1186">
        <f>'CZ04 Factors'!E63</f>
        <v>0.66973509933774833</v>
      </c>
      <c r="AJ146" s="1187">
        <f>'CZ04 Factors'!F63</f>
        <v>0.58799999999999997</v>
      </c>
      <c r="AK146" s="1186">
        <f>'CZ04 Factors'!G63</f>
        <v>0.37979487179487176</v>
      </c>
      <c r="AL146" s="1187">
        <f>'CZ04 Factors'!H63</f>
        <v>0.30399999999999999</v>
      </c>
      <c r="AM146" s="1186">
        <f>'CZ04 Factors'!I63</f>
        <v>0.46666666666666667</v>
      </c>
      <c r="AN146" s="1187">
        <f>'CZ04 Factors'!J63</f>
        <v>0.58799999999999997</v>
      </c>
      <c r="AO146" s="1188">
        <f>'CZ04 Factors'!K63</f>
        <v>0.74078431372549025</v>
      </c>
      <c r="AQ146" s="1202">
        <v>0.6</v>
      </c>
      <c r="AR146" s="1185">
        <f>'CZ05 Factors'!D63</f>
        <v>0.96799999999999997</v>
      </c>
      <c r="AS146" s="1186">
        <f>'CZ05 Factors'!E63</f>
        <v>0.67484234234234231</v>
      </c>
      <c r="AT146" s="1187">
        <f>'CZ05 Factors'!F63</f>
        <v>0.52000000000000013</v>
      </c>
      <c r="AU146" s="1186">
        <f>'CZ05 Factors'!G63</f>
        <v>0.35233333333333339</v>
      </c>
      <c r="AV146" s="1187">
        <f>'CZ05 Factors'!H63</f>
        <v>0.27299999999999996</v>
      </c>
      <c r="AW146" s="1186">
        <f>'CZ05 Factors'!I63</f>
        <v>0.51351282051282043</v>
      </c>
      <c r="AX146" s="1187">
        <f>'CZ05 Factors'!J63</f>
        <v>0.65800000000000003</v>
      </c>
      <c r="AY146" s="1188">
        <f>'CZ05 Factors'!K63</f>
        <v>0.83658227848101263</v>
      </c>
      <c r="AZ146" s="449"/>
      <c r="BA146" s="1202">
        <v>0.6</v>
      </c>
      <c r="BB146" s="1185">
        <f>'CZ05 BC Factors'!D63</f>
        <v>1.0285</v>
      </c>
      <c r="BC146" s="1186">
        <f>'CZ05 BC Factors'!E63</f>
        <v>0.69362950450450434</v>
      </c>
      <c r="BD146" s="1187">
        <f>'CZ05 BC Factors'!F63</f>
        <v>0.52000000000000013</v>
      </c>
      <c r="BE146" s="1186">
        <f>'CZ05 BC Factors'!G63</f>
        <v>0.33905128205128199</v>
      </c>
      <c r="BF146" s="1187">
        <f>'CZ05 BC Factors'!H63</f>
        <v>0.252</v>
      </c>
      <c r="BG146" s="1186">
        <f>'CZ05 BC Factors'!I63</f>
        <v>0.5068717948717949</v>
      </c>
      <c r="BH146" s="1187">
        <f>'CZ05 BC Factors'!J63</f>
        <v>0.65800000000000003</v>
      </c>
      <c r="BI146" s="1188">
        <f>'CZ05 BC Factors'!K63</f>
        <v>0.874746835443038</v>
      </c>
      <c r="BK146" s="1202">
        <v>0.6</v>
      </c>
      <c r="BL146" s="1185">
        <f>'CZ06 Factors'!D61</f>
        <v>1.0369999999999999</v>
      </c>
      <c r="BM146" s="1186">
        <f>'CZ06 Factors'!E61</f>
        <v>0.78883449883449885</v>
      </c>
      <c r="BN146" s="1187">
        <f>'CZ06 Factors'!F61</f>
        <v>0.65249999999999997</v>
      </c>
      <c r="BO146" s="1186">
        <f>'CZ06 Factors'!G61</f>
        <v>0.36612592592592585</v>
      </c>
      <c r="BP146" s="1187">
        <f>'CZ06 Factors'!H61</f>
        <v>0.26450000000000001</v>
      </c>
      <c r="BQ146" s="1186">
        <f>'CZ06 Factors'!I61</f>
        <v>0.45906296296296301</v>
      </c>
      <c r="BR146" s="1187">
        <f>'CZ06 Factors'!J61</f>
        <v>0.65000000000000013</v>
      </c>
      <c r="BS146" s="1188">
        <f>'CZ06 Factors'!K61</f>
        <v>0.89618736383442266</v>
      </c>
      <c r="BU146" s="1202">
        <v>0.6</v>
      </c>
      <c r="BV146" s="1185">
        <f>'CZ07 Factors'!D63</f>
        <v>1.3410000000000002</v>
      </c>
      <c r="BW146" s="1186">
        <f>'CZ07 Factors'!E63</f>
        <v>0.95380572597137037</v>
      </c>
      <c r="BX146" s="1187">
        <f>'CZ07 Factors'!F63</f>
        <v>0.72500000000000009</v>
      </c>
      <c r="BY146" s="1186">
        <f>'CZ07 Factors'!G63</f>
        <v>0.39535087719298234</v>
      </c>
      <c r="BZ146" s="1187">
        <f>'CZ07 Factors'!H63</f>
        <v>0.28499999999999998</v>
      </c>
      <c r="CA146" s="1186">
        <f>'CZ07 Factors'!I63</f>
        <v>0.48684210526315791</v>
      </c>
      <c r="CB146" s="1187">
        <f>'CZ07 Factors'!J63</f>
        <v>0.66</v>
      </c>
      <c r="CC146" s="1188">
        <f>'CZ07 Factors'!K63</f>
        <v>1.0387200000000001</v>
      </c>
      <c r="CE146" s="1202">
        <v>0.6</v>
      </c>
      <c r="CF146" s="1185">
        <f>'CZ08 Factors'!D63</f>
        <v>0.84959999999999991</v>
      </c>
      <c r="CG146" s="1186">
        <f>'CZ08 Factors'!E63</f>
        <v>0.71402432432432428</v>
      </c>
      <c r="CH146" s="1187">
        <f>'CZ08 Factors'!F63</f>
        <v>0.66</v>
      </c>
      <c r="CI146" s="1186">
        <f>'CZ08 Factors'!G63</f>
        <v>0.4059574468085107</v>
      </c>
      <c r="CJ146" s="1187">
        <f>'CZ08 Factors'!H63</f>
        <v>0.31200000000000006</v>
      </c>
      <c r="CK146" s="1186">
        <f>'CZ08 Factors'!I63</f>
        <v>0.4580425531914894</v>
      </c>
      <c r="CL146" s="1187">
        <f>'CZ08 Factors'!J63</f>
        <v>0.57200000000000006</v>
      </c>
      <c r="CM146" s="1188">
        <f>'CZ08 Factors'!K63</f>
        <v>0.71744383561643843</v>
      </c>
    </row>
    <row r="147" spans="3:91" x14ac:dyDescent="0.25">
      <c r="C147" s="1202">
        <v>0.8</v>
      </c>
      <c r="D147" s="1185"/>
      <c r="E147" s="1186"/>
      <c r="F147" s="1187"/>
      <c r="G147" s="1186"/>
      <c r="H147" s="1187"/>
      <c r="I147" s="1186"/>
      <c r="J147" s="1187"/>
      <c r="K147" s="1188"/>
      <c r="M147" s="1202">
        <v>0.8</v>
      </c>
      <c r="N147" s="1185">
        <f>'CZ02 Factors'!D64</f>
        <v>0.70200000000000007</v>
      </c>
      <c r="O147" s="1186">
        <f>'CZ02 Factors'!E64</f>
        <v>0.58584259259259264</v>
      </c>
      <c r="P147" s="1187">
        <f>'CZ02 Factors'!F64</f>
        <v>0.54600000000000004</v>
      </c>
      <c r="Q147" s="1186">
        <f>'CZ02 Factors'!G64</f>
        <v>0.2361</v>
      </c>
      <c r="R147" s="1187">
        <f>'CZ02 Factors'!H64</f>
        <v>9.4999999999999987E-2</v>
      </c>
      <c r="S147" s="1186">
        <f>'CZ02 Factors'!I64</f>
        <v>0.41479674796747973</v>
      </c>
      <c r="T147" s="1187">
        <f>'CZ02 Factors'!J64</f>
        <v>0.57200000000000006</v>
      </c>
      <c r="U147" s="1188">
        <f>'CZ02 Factors'!K64</f>
        <v>0.69393693693693703</v>
      </c>
      <c r="W147" s="1202">
        <v>0.8</v>
      </c>
      <c r="X147" s="1185">
        <f>'CZ03 Factors'!D64</f>
        <v>0.63</v>
      </c>
      <c r="Y147" s="1186">
        <f>'CZ03 Factors'!E64</f>
        <v>0.52621029082774051</v>
      </c>
      <c r="Z147" s="1187">
        <f>'CZ03 Factors'!F64</f>
        <v>0.47300000000000003</v>
      </c>
      <c r="AA147" s="1186">
        <f>'CZ03 Factors'!G64</f>
        <v>0.41133333333333333</v>
      </c>
      <c r="AB147" s="1187">
        <f>'CZ03 Factors'!H64</f>
        <v>0.44999999999999996</v>
      </c>
      <c r="AC147" s="1186">
        <f>'CZ03 Factors'!I64</f>
        <v>0.55292929292929283</v>
      </c>
      <c r="AD147" s="1187">
        <f>'CZ03 Factors'!J64</f>
        <v>0.59799999999999998</v>
      </c>
      <c r="AE147" s="1188">
        <f>'CZ03 Factors'!K64</f>
        <v>0.75908119658119655</v>
      </c>
      <c r="AG147" s="1202">
        <v>0.8</v>
      </c>
      <c r="AH147" s="1185">
        <f>'CZ04 Factors'!D64</f>
        <v>0.7420000000000001</v>
      </c>
      <c r="AI147" s="1186">
        <f>'CZ04 Factors'!E64</f>
        <v>0.55067108167770418</v>
      </c>
      <c r="AJ147" s="1187">
        <f>'CZ04 Factors'!F64</f>
        <v>0.5159999999999999</v>
      </c>
      <c r="AK147" s="1186">
        <f>'CZ04 Factors'!G64</f>
        <v>0.34362393162393157</v>
      </c>
      <c r="AL147" s="1187">
        <f>'CZ04 Factors'!H64</f>
        <v>0.28799999999999998</v>
      </c>
      <c r="AM147" s="1186">
        <f>'CZ04 Factors'!I64</f>
        <v>0.42222222222222222</v>
      </c>
      <c r="AN147" s="1187">
        <f>'CZ04 Factors'!J64</f>
        <v>0.52800000000000002</v>
      </c>
      <c r="AO147" s="1188">
        <f>'CZ04 Factors'!K64</f>
        <v>0.61732026143790852</v>
      </c>
      <c r="AQ147" s="1202">
        <v>0.8</v>
      </c>
      <c r="AR147" s="1185">
        <f>'CZ05 Factors'!D64</f>
        <v>0.78400000000000003</v>
      </c>
      <c r="AS147" s="1186">
        <f>'CZ05 Factors'!E64</f>
        <v>0.5528828828828829</v>
      </c>
      <c r="AT147" s="1187">
        <f>'CZ05 Factors'!F64</f>
        <v>0.45500000000000002</v>
      </c>
      <c r="AU147" s="1186">
        <f>'CZ05 Factors'!G64</f>
        <v>0.31877777777777783</v>
      </c>
      <c r="AV147" s="1187">
        <f>'CZ05 Factors'!H64</f>
        <v>0.24699999999999997</v>
      </c>
      <c r="AW147" s="1186">
        <f>'CZ05 Factors'!I64</f>
        <v>0.46460683760683757</v>
      </c>
      <c r="AX147" s="1187">
        <f>'CZ05 Factors'!J64</f>
        <v>0.58799999999999997</v>
      </c>
      <c r="AY147" s="1188">
        <f>'CZ05 Factors'!K64</f>
        <v>0.67856118143459909</v>
      </c>
      <c r="AZ147" s="449"/>
      <c r="BA147" s="1202">
        <v>0.8</v>
      </c>
      <c r="BB147" s="1185">
        <f>'CZ05 BC Factors'!D64</f>
        <v>0.83299999999999996</v>
      </c>
      <c r="BC147" s="1186">
        <f>'CZ05 BC Factors'!E64</f>
        <v>0.56827477477477473</v>
      </c>
      <c r="BD147" s="1187">
        <f>'CZ05 BC Factors'!F64</f>
        <v>0.45500000000000002</v>
      </c>
      <c r="BE147" s="1186">
        <f>'CZ05 BC Factors'!G64</f>
        <v>0.30676068376068372</v>
      </c>
      <c r="BF147" s="1187">
        <f>'CZ05 BC Factors'!H64</f>
        <v>0.22799999999999998</v>
      </c>
      <c r="BG147" s="1186">
        <f>'CZ05 BC Factors'!I64</f>
        <v>0.4585982905982906</v>
      </c>
      <c r="BH147" s="1187">
        <f>'CZ05 BC Factors'!J64</f>
        <v>0.58799999999999997</v>
      </c>
      <c r="BI147" s="1188">
        <f>'CZ05 BC Factors'!K64</f>
        <v>0.70951687763713067</v>
      </c>
      <c r="BK147" s="1202">
        <v>0.8</v>
      </c>
      <c r="BL147" s="1185">
        <f>'CZ06 Factors'!D62</f>
        <v>0.91800000000000015</v>
      </c>
      <c r="BM147" s="1186">
        <f>'CZ06 Factors'!E62</f>
        <v>0.66959207459207459</v>
      </c>
      <c r="BN147" s="1187">
        <f>'CZ06 Factors'!F62</f>
        <v>0.55099999999999993</v>
      </c>
      <c r="BO147" s="1186">
        <f>'CZ06 Factors'!G62</f>
        <v>0.3342888888888888</v>
      </c>
      <c r="BP147" s="1187">
        <f>'CZ06 Factors'!H62</f>
        <v>0.24149999999999996</v>
      </c>
      <c r="BQ147" s="1186">
        <f>'CZ06 Factors'!I62</f>
        <v>0.43910370370370372</v>
      </c>
      <c r="BR147" s="1187">
        <f>'CZ06 Factors'!J62</f>
        <v>0.57500000000000007</v>
      </c>
      <c r="BS147" s="1188">
        <f>'CZ06 Factors'!K62</f>
        <v>0.74525054466230944</v>
      </c>
      <c r="BU147" s="1202">
        <v>0.8</v>
      </c>
      <c r="BV147" s="1185">
        <f>'CZ07 Factors'!D64</f>
        <v>1.143</v>
      </c>
      <c r="BW147" s="1186">
        <f>'CZ07 Factors'!E64</f>
        <v>0.82254805725971381</v>
      </c>
      <c r="BX147" s="1187">
        <f>'CZ07 Factors'!F64</f>
        <v>0.63800000000000001</v>
      </c>
      <c r="BY147" s="1186">
        <f>'CZ07 Factors'!G64</f>
        <v>0.35581578947368414</v>
      </c>
      <c r="BZ147" s="1187">
        <f>'CZ07 Factors'!H64</f>
        <v>0.255</v>
      </c>
      <c r="CA147" s="1186">
        <f>'CZ07 Factors'!I64</f>
        <v>0.43815789473684208</v>
      </c>
      <c r="CB147" s="1187">
        <f>'CZ07 Factors'!J64</f>
        <v>0.58499999999999996</v>
      </c>
      <c r="CC147" s="1188">
        <f>'CZ07 Factors'!K64</f>
        <v>0.89805999999999997</v>
      </c>
      <c r="CE147" s="1202">
        <v>0.8</v>
      </c>
      <c r="CF147" s="1185">
        <f>'CZ08 Factors'!D64</f>
        <v>0.72000000000000008</v>
      </c>
      <c r="CG147" s="1186">
        <f>'CZ08 Factors'!E64</f>
        <v>0.58498378378378391</v>
      </c>
      <c r="CH147" s="1187">
        <f>'CZ08 Factors'!F64</f>
        <v>0.55500000000000005</v>
      </c>
      <c r="CI147" s="1186">
        <f>'CZ08 Factors'!G64</f>
        <v>0.35521276595744689</v>
      </c>
      <c r="CJ147" s="1187">
        <f>'CZ08 Factors'!H64</f>
        <v>0.28600000000000003</v>
      </c>
      <c r="CK147" s="1186">
        <f>'CZ08 Factors'!I64</f>
        <v>0.40078723404255329</v>
      </c>
      <c r="CL147" s="1187">
        <f>'CZ08 Factors'!J64</f>
        <v>0.46800000000000003</v>
      </c>
      <c r="CM147" s="1188">
        <f>'CZ08 Factors'!K64</f>
        <v>0.58620410958904123</v>
      </c>
    </row>
    <row r="148" spans="3:91" ht="13" x14ac:dyDescent="0.3">
      <c r="C148" s="1203">
        <v>1</v>
      </c>
      <c r="D148" s="1191"/>
      <c r="E148" s="1192"/>
      <c r="F148" s="1193"/>
      <c r="G148" s="1192"/>
      <c r="H148" s="1193"/>
      <c r="I148" s="1192"/>
      <c r="J148" s="1193"/>
      <c r="K148" s="1194"/>
      <c r="M148" s="1203">
        <v>1</v>
      </c>
      <c r="N148" s="1191">
        <f>'CZ02 Factors'!D65</f>
        <v>0.4860000000000001</v>
      </c>
      <c r="O148" s="1192">
        <f>'CZ02 Factors'!E65</f>
        <v>0.50080092592592595</v>
      </c>
      <c r="P148" s="1193">
        <f>'CZ02 Factors'!F65</f>
        <v>0.44799999999999995</v>
      </c>
      <c r="Q148" s="1192">
        <f>'CZ02 Factors'!G65</f>
        <v>0.22298333333333334</v>
      </c>
      <c r="R148" s="1193">
        <f>'CZ02 Factors'!H65</f>
        <v>0.09</v>
      </c>
      <c r="S148" s="1192">
        <f>'CZ02 Factors'!I65</f>
        <v>0.35257723577235778</v>
      </c>
      <c r="T148" s="1193">
        <f>'CZ02 Factors'!J65</f>
        <v>0.48100000000000004</v>
      </c>
      <c r="U148" s="1194">
        <f>'CZ02 Factors'!K65</f>
        <v>0.57147747747747757</v>
      </c>
      <c r="W148" s="1203">
        <v>1</v>
      </c>
      <c r="X148" s="1191">
        <f>'CZ03 Factors'!D65</f>
        <v>0.42</v>
      </c>
      <c r="Y148" s="1192">
        <f>'CZ03 Factors'!E65</f>
        <v>0.44857270693512308</v>
      </c>
      <c r="Z148" s="1193">
        <f>'CZ03 Factors'!F65</f>
        <v>0.38500000000000001</v>
      </c>
      <c r="AA148" s="1192">
        <f>'CZ03 Factors'!G65</f>
        <v>0.35991666666666672</v>
      </c>
      <c r="AB148" s="1193">
        <f>'CZ03 Factors'!H65</f>
        <v>0.42000000000000004</v>
      </c>
      <c r="AC148" s="1192">
        <f>'CZ03 Factors'!I65</f>
        <v>0.52040404040404042</v>
      </c>
      <c r="AD148" s="1193">
        <f>'CZ03 Factors'!J65</f>
        <v>0.53299999999999992</v>
      </c>
      <c r="AE148" s="1194">
        <f>'CZ03 Factors'!K65</f>
        <v>0.60726495726495722</v>
      </c>
      <c r="AG148" s="1203">
        <v>1</v>
      </c>
      <c r="AH148" s="1191">
        <f>'CZ04 Factors'!D65</f>
        <v>0.59499999999999997</v>
      </c>
      <c r="AI148" s="1192">
        <f>'CZ04 Factors'!E65</f>
        <v>0.4911390728476821</v>
      </c>
      <c r="AJ148" s="1193">
        <f>'CZ04 Factors'!F65</f>
        <v>0.44399999999999995</v>
      </c>
      <c r="AK148" s="1192">
        <f>'CZ04 Factors'!G65</f>
        <v>0.30745299145299143</v>
      </c>
      <c r="AL148" s="1193">
        <f>'CZ04 Factors'!H65</f>
        <v>0.25600000000000001</v>
      </c>
      <c r="AM148" s="1192">
        <f>'CZ04 Factors'!I65</f>
        <v>0.37777777777777777</v>
      </c>
      <c r="AN148" s="1193">
        <f>'CZ04 Factors'!J65</f>
        <v>0.44400000000000001</v>
      </c>
      <c r="AO148" s="1194">
        <f>'CZ04 Factors'!K65</f>
        <v>0.52677995642701525</v>
      </c>
      <c r="AQ148" s="1203">
        <v>1</v>
      </c>
      <c r="AR148" s="1191">
        <f>'CZ05 Factors'!D65</f>
        <v>0.64000000000000012</v>
      </c>
      <c r="AS148" s="1192">
        <f>'CZ05 Factors'!E65</f>
        <v>0.4227927927927928</v>
      </c>
      <c r="AT148" s="1193">
        <f>'CZ05 Factors'!F65</f>
        <v>0.36400000000000005</v>
      </c>
      <c r="AU148" s="1192">
        <f>'CZ05 Factors'!G65</f>
        <v>0.28522222222222227</v>
      </c>
      <c r="AV148" s="1193">
        <f>'CZ05 Factors'!H65</f>
        <v>0.23399999999999999</v>
      </c>
      <c r="AW148" s="1192">
        <f>'CZ05 Factors'!I65</f>
        <v>0.41570085470085472</v>
      </c>
      <c r="AX148" s="1193">
        <f>'CZ05 Factors'!J65</f>
        <v>0.504</v>
      </c>
      <c r="AY148" s="1194">
        <f>'CZ05 Factors'!K65</f>
        <v>0.58560759493670878</v>
      </c>
      <c r="AZ148" s="448"/>
      <c r="BA148" s="1203">
        <v>1</v>
      </c>
      <c r="BB148" s="1191">
        <f>'CZ05 BC Factors'!D65</f>
        <v>0.68</v>
      </c>
      <c r="BC148" s="1192">
        <f>'CZ05 BC Factors'!E65</f>
        <v>0.43456306306306303</v>
      </c>
      <c r="BD148" s="1193">
        <f>'CZ05 BC Factors'!F65</f>
        <v>0.36400000000000005</v>
      </c>
      <c r="BE148" s="1192">
        <f>'CZ05 BC Factors'!G65</f>
        <v>0.27447008547008545</v>
      </c>
      <c r="BF148" s="1193">
        <f>'CZ05 BC Factors'!H65</f>
        <v>0.216</v>
      </c>
      <c r="BG148" s="1192">
        <f>'CZ05 BC Factors'!I65</f>
        <v>0.41032478632478636</v>
      </c>
      <c r="BH148" s="1193">
        <f>'CZ05 BC Factors'!J65</f>
        <v>0.504</v>
      </c>
      <c r="BI148" s="1194">
        <f>'CZ05 BC Factors'!K65</f>
        <v>0.61232278481012647</v>
      </c>
      <c r="BK148" s="1203">
        <v>1</v>
      </c>
      <c r="BL148" s="1191">
        <f>'CZ06 Factors'!D63</f>
        <v>0.73099999999999998</v>
      </c>
      <c r="BM148" s="1192">
        <f>'CZ06 Factors'!E63</f>
        <v>0.5320046620046619</v>
      </c>
      <c r="BN148" s="1193">
        <f>'CZ06 Factors'!F63</f>
        <v>0.49299999999999994</v>
      </c>
      <c r="BO148" s="1192">
        <f>'CZ06 Factors'!G63</f>
        <v>0.30245185185185181</v>
      </c>
      <c r="BP148" s="1193">
        <f>'CZ06 Factors'!H63</f>
        <v>0.21849999999999997</v>
      </c>
      <c r="BQ148" s="1192">
        <f>'CZ06 Factors'!I63</f>
        <v>0.37922592592592597</v>
      </c>
      <c r="BR148" s="1193">
        <f>'CZ06 Factors'!J63</f>
        <v>0.48750000000000004</v>
      </c>
      <c r="BS148" s="1194">
        <f>'CZ06 Factors'!K63</f>
        <v>0.65091503267973849</v>
      </c>
      <c r="BU148" s="1203">
        <v>1</v>
      </c>
      <c r="BV148" s="1191">
        <f>'CZ07 Factors'!D65</f>
        <v>1.0439999999999998</v>
      </c>
      <c r="BW148" s="1192">
        <f>'CZ07 Factors'!E65</f>
        <v>0.72629243353783246</v>
      </c>
      <c r="BX148" s="1193">
        <f>'CZ07 Factors'!F65</f>
        <v>0.59450000000000003</v>
      </c>
      <c r="BY148" s="1192">
        <f>'CZ07 Factors'!G65</f>
        <v>0.31628070175438588</v>
      </c>
      <c r="BZ148" s="1193">
        <f>'CZ07 Factors'!H65</f>
        <v>0.24</v>
      </c>
      <c r="CA148" s="1192">
        <f>'CZ07 Factors'!I65</f>
        <v>0.38947368421052631</v>
      </c>
      <c r="CB148" s="1193">
        <f>'CZ07 Factors'!J65</f>
        <v>0.51</v>
      </c>
      <c r="CC148" s="1194">
        <f>'CZ07 Factors'!K65</f>
        <v>0.76822000000000001</v>
      </c>
      <c r="CE148" s="1203">
        <v>1</v>
      </c>
      <c r="CF148" s="1191">
        <f>'CZ08 Factors'!D65</f>
        <v>0.56879999999999997</v>
      </c>
      <c r="CG148" s="1192">
        <f>'CZ08 Factors'!E65</f>
        <v>0.50755945945945946</v>
      </c>
      <c r="CH148" s="1193">
        <f>'CZ08 Factors'!F65</f>
        <v>0.48</v>
      </c>
      <c r="CI148" s="1192">
        <f>'CZ08 Factors'!G65</f>
        <v>0.33829787234042563</v>
      </c>
      <c r="CJ148" s="1193">
        <f>'CZ08 Factors'!H65</f>
        <v>0.26000000000000006</v>
      </c>
      <c r="CK148" s="1192">
        <f>'CZ08 Factors'!I65</f>
        <v>0.36261702127659584</v>
      </c>
      <c r="CL148" s="1193">
        <f>'CZ08 Factors'!J65</f>
        <v>0.39</v>
      </c>
      <c r="CM148" s="1194">
        <f>'CZ08 Factors'!K65</f>
        <v>0.50746027397260274</v>
      </c>
    </row>
    <row r="149" spans="3:91" x14ac:dyDescent="0.25">
      <c r="C149" s="1202">
        <v>1.2</v>
      </c>
      <c r="D149" s="1185"/>
      <c r="E149" s="1186"/>
      <c r="F149" s="1187"/>
      <c r="G149" s="1186"/>
      <c r="H149" s="1187"/>
      <c r="I149" s="1186"/>
      <c r="J149" s="1187"/>
      <c r="K149" s="1188"/>
      <c r="M149" s="1202">
        <v>1.2</v>
      </c>
      <c r="N149" s="1185">
        <f>'CZ02 Factors'!D66</f>
        <v>0.29700000000000004</v>
      </c>
      <c r="O149" s="1186">
        <f>'CZ02 Factors'!E66</f>
        <v>0.39686111111111116</v>
      </c>
      <c r="P149" s="1187">
        <f>'CZ02 Factors'!F66</f>
        <v>0.39200000000000002</v>
      </c>
      <c r="Q149" s="1186">
        <f>'CZ02 Factors'!G66</f>
        <v>0.19674999999999998</v>
      </c>
      <c r="R149" s="1187">
        <f>'CZ02 Factors'!H66</f>
        <v>8.5000000000000006E-2</v>
      </c>
      <c r="S149" s="1186">
        <f>'CZ02 Factors'!I66</f>
        <v>0.33183739837398379</v>
      </c>
      <c r="T149" s="1187">
        <f>'CZ02 Factors'!J66</f>
        <v>0.45499999999999996</v>
      </c>
      <c r="U149" s="1188">
        <f>'CZ02 Factors'!K66</f>
        <v>0.46942792792792798</v>
      </c>
      <c r="W149" s="1202">
        <v>1.2</v>
      </c>
      <c r="X149" s="1185">
        <f>'CZ03 Factors'!D66</f>
        <v>0.28999999999999998</v>
      </c>
      <c r="Y149" s="1186">
        <f>'CZ03 Factors'!E66</f>
        <v>0.34505592841163313</v>
      </c>
      <c r="Z149" s="1187">
        <f>'CZ03 Factors'!F66</f>
        <v>0.34100000000000003</v>
      </c>
      <c r="AA149" s="1186">
        <f>'CZ03 Factors'!G66</f>
        <v>0.33420833333333333</v>
      </c>
      <c r="AB149" s="1187">
        <f>'CZ03 Factors'!H66</f>
        <v>0.42000000000000004</v>
      </c>
      <c r="AC149" s="1186">
        <f>'CZ03 Factors'!I66</f>
        <v>0.45535353535353534</v>
      </c>
      <c r="AD149" s="1187">
        <f>'CZ03 Factors'!J66</f>
        <v>0.442</v>
      </c>
      <c r="AE149" s="1188">
        <f>'CZ03 Factors'!K66</f>
        <v>0.52051282051282044</v>
      </c>
      <c r="AG149" s="1202">
        <v>1.2</v>
      </c>
      <c r="AH149" s="1185">
        <f>'CZ04 Factors'!D66</f>
        <v>0.42699999999999999</v>
      </c>
      <c r="AI149" s="1186">
        <f>'CZ04 Factors'!E66</f>
        <v>0.37951655629139069</v>
      </c>
      <c r="AJ149" s="1187">
        <f>'CZ04 Factors'!F66</f>
        <v>0.39600000000000002</v>
      </c>
      <c r="AK149" s="1186">
        <f>'CZ04 Factors'!G66</f>
        <v>0.27128205128205124</v>
      </c>
      <c r="AL149" s="1187">
        <f>'CZ04 Factors'!H66</f>
        <v>0.25600000000000001</v>
      </c>
      <c r="AM149" s="1186">
        <f>'CZ04 Factors'!I66</f>
        <v>0.35555555555555557</v>
      </c>
      <c r="AN149" s="1187">
        <f>'CZ04 Factors'!J66</f>
        <v>0.40800000000000003</v>
      </c>
      <c r="AO149" s="1188">
        <f>'CZ04 Factors'!K66</f>
        <v>0.4609324618736384</v>
      </c>
      <c r="AQ149" s="1202">
        <v>1.2</v>
      </c>
      <c r="AR149" s="1185">
        <f>'CZ05 Factors'!D66</f>
        <v>0.43200000000000005</v>
      </c>
      <c r="AS149" s="1186">
        <f>'CZ05 Factors'!E66</f>
        <v>0.37400900900900902</v>
      </c>
      <c r="AT149" s="1187">
        <f>'CZ05 Factors'!F66</f>
        <v>0.32500000000000001</v>
      </c>
      <c r="AU149" s="1186">
        <f>'CZ05 Factors'!G66</f>
        <v>0.26844444444444449</v>
      </c>
      <c r="AV149" s="1187">
        <f>'CZ05 Factors'!H66</f>
        <v>0.221</v>
      </c>
      <c r="AW149" s="1186">
        <f>'CZ05 Factors'!I66</f>
        <v>0.39124786324786326</v>
      </c>
      <c r="AX149" s="1187">
        <f>'CZ05 Factors'!J66</f>
        <v>0.40599999999999997</v>
      </c>
      <c r="AY149" s="1188">
        <f>'CZ05 Factors'!K66</f>
        <v>0.46476793248945142</v>
      </c>
      <c r="AZ149" s="449"/>
      <c r="BA149" s="1202">
        <v>1.2</v>
      </c>
      <c r="BB149" s="1185">
        <f>'CZ05 BC Factors'!D66</f>
        <v>0.45900000000000002</v>
      </c>
      <c r="BC149" s="1186">
        <f>'CZ05 BC Factors'!E66</f>
        <v>0.38442117117117114</v>
      </c>
      <c r="BD149" s="1187">
        <f>'CZ05 BC Factors'!F66</f>
        <v>0.32500000000000001</v>
      </c>
      <c r="BE149" s="1186">
        <f>'CZ05 BC Factors'!G66</f>
        <v>0.25832478632478628</v>
      </c>
      <c r="BF149" s="1187">
        <f>'CZ05 BC Factors'!H66</f>
        <v>0.20400000000000001</v>
      </c>
      <c r="BG149" s="1186">
        <f>'CZ05 BC Factors'!I66</f>
        <v>0.38618803418803416</v>
      </c>
      <c r="BH149" s="1187">
        <f>'CZ05 BC Factors'!J66</f>
        <v>0.40599999999999997</v>
      </c>
      <c r="BI149" s="1188">
        <f>'CZ05 BC Factors'!K66</f>
        <v>0.48597046413502099</v>
      </c>
      <c r="BK149" s="1202">
        <v>1.2</v>
      </c>
      <c r="BL149" s="1185">
        <f>'CZ06 Factors'!D64</f>
        <v>0.59499999999999997</v>
      </c>
      <c r="BM149" s="1186">
        <f>'CZ06 Factors'!E64</f>
        <v>0.49531468531468531</v>
      </c>
      <c r="BN149" s="1187">
        <f>'CZ06 Factors'!F64</f>
        <v>0.42049999999999987</v>
      </c>
      <c r="BO149" s="1186">
        <f>'CZ06 Factors'!G64</f>
        <v>0.28653333333333331</v>
      </c>
      <c r="BP149" s="1187">
        <f>'CZ06 Factors'!H64</f>
        <v>0.19550000000000001</v>
      </c>
      <c r="BQ149" s="1186">
        <f>'CZ06 Factors'!I64</f>
        <v>0.35926666666666668</v>
      </c>
      <c r="BR149" s="1187">
        <f>'CZ06 Factors'!J64</f>
        <v>0.45</v>
      </c>
      <c r="BS149" s="1188">
        <f>'CZ06 Factors'!K64</f>
        <v>0.5471459694989107</v>
      </c>
      <c r="BU149" s="1202">
        <v>1.2</v>
      </c>
      <c r="BV149" s="1185">
        <f>'CZ07 Factors'!D66</f>
        <v>0.81900000000000006</v>
      </c>
      <c r="BW149" s="1186">
        <f>'CZ07 Factors'!E66</f>
        <v>0.61253578732106351</v>
      </c>
      <c r="BX149" s="1187">
        <f>'CZ07 Factors'!F66</f>
        <v>0.49300000000000005</v>
      </c>
      <c r="BY149" s="1186">
        <f>'CZ07 Factors'!G66</f>
        <v>0.29651315789473681</v>
      </c>
      <c r="BZ149" s="1187">
        <f>'CZ07 Factors'!H66</f>
        <v>0.22499999999999998</v>
      </c>
      <c r="CA149" s="1186">
        <f>'CZ07 Factors'!I66</f>
        <v>0.36513157894736842</v>
      </c>
      <c r="CB149" s="1187">
        <f>'CZ07 Factors'!J66</f>
        <v>0.44999999999999996</v>
      </c>
      <c r="CC149" s="1188">
        <f>'CZ07 Factors'!K66</f>
        <v>0.68165999999999993</v>
      </c>
      <c r="CE149" s="1202">
        <v>1.2</v>
      </c>
      <c r="CF149" s="1185">
        <f>'CZ08 Factors'!D66</f>
        <v>0.38880000000000003</v>
      </c>
      <c r="CG149" s="1186">
        <f>'CZ08 Factors'!E66</f>
        <v>0.39572432432432436</v>
      </c>
      <c r="CH149" s="1187">
        <f>'CZ08 Factors'!F66</f>
        <v>0.4200000000000001</v>
      </c>
      <c r="CI149" s="1186">
        <f>'CZ08 Factors'!G66</f>
        <v>0.30446808510638301</v>
      </c>
      <c r="CJ149" s="1187">
        <f>'CZ08 Factors'!H66</f>
        <v>0.24700000000000003</v>
      </c>
      <c r="CK149" s="1186">
        <f>'CZ08 Factors'!I66</f>
        <v>0.34353191489361706</v>
      </c>
      <c r="CL149" s="1187">
        <f>'CZ08 Factors'!J66</f>
        <v>0.35100000000000003</v>
      </c>
      <c r="CM149" s="1188">
        <f>'CZ08 Factors'!K66</f>
        <v>0.41121780821917814</v>
      </c>
    </row>
    <row r="150" spans="3:91" x14ac:dyDescent="0.25">
      <c r="C150" s="1202">
        <v>1.4</v>
      </c>
      <c r="D150" s="1185"/>
      <c r="E150" s="1186"/>
      <c r="F150" s="1187"/>
      <c r="G150" s="1186"/>
      <c r="H150" s="1187"/>
      <c r="I150" s="1186"/>
      <c r="J150" s="1187"/>
      <c r="K150" s="1188"/>
      <c r="M150" s="1202">
        <v>1.4</v>
      </c>
      <c r="N150" s="1185">
        <f>'CZ02 Factors'!D67</f>
        <v>0.25200000000000006</v>
      </c>
      <c r="O150" s="1186">
        <f>'CZ02 Factors'!E67</f>
        <v>0.34016666666666667</v>
      </c>
      <c r="P150" s="1187">
        <f>'CZ02 Factors'!F67</f>
        <v>0.32200000000000001</v>
      </c>
      <c r="Q150" s="1186">
        <f>'CZ02 Factors'!G67</f>
        <v>0.18363333333333337</v>
      </c>
      <c r="R150" s="1187">
        <f>'CZ02 Factors'!H67</f>
        <v>0.08</v>
      </c>
      <c r="S150" s="1186">
        <f>'CZ02 Factors'!I67</f>
        <v>0.31109756097560975</v>
      </c>
      <c r="T150" s="1187">
        <f>'CZ02 Factors'!J67</f>
        <v>0.40300000000000002</v>
      </c>
      <c r="U150" s="1188">
        <f>'CZ02 Factors'!K67</f>
        <v>0.38778828828828832</v>
      </c>
      <c r="W150" s="1202">
        <v>1.4</v>
      </c>
      <c r="X150" s="1185">
        <f>'CZ03 Factors'!D67</f>
        <v>0.23</v>
      </c>
      <c r="Y150" s="1186">
        <f>'CZ03 Factors'!E67</f>
        <v>0.31055033557046979</v>
      </c>
      <c r="Z150" s="1187">
        <f>'CZ03 Factors'!F67</f>
        <v>0.27500000000000002</v>
      </c>
      <c r="AA150" s="1186">
        <f>'CZ03 Factors'!G67</f>
        <v>0.3085</v>
      </c>
      <c r="AB150" s="1187">
        <f>'CZ03 Factors'!H67</f>
        <v>0.39</v>
      </c>
      <c r="AC150" s="1186">
        <f>'CZ03 Factors'!I67</f>
        <v>0.42282828282828278</v>
      </c>
      <c r="AD150" s="1187">
        <f>'CZ03 Factors'!J67</f>
        <v>0.38999999999999996</v>
      </c>
      <c r="AE150" s="1188">
        <f>'CZ03 Factors'!K67</f>
        <v>0.44460470085470077</v>
      </c>
      <c r="AG150" s="1202">
        <v>1.4</v>
      </c>
      <c r="AH150" s="1185">
        <f>'CZ04 Factors'!D67</f>
        <v>0.32900000000000001</v>
      </c>
      <c r="AI150" s="1186">
        <f>'CZ04 Factors'!E67</f>
        <v>0.34975055187637966</v>
      </c>
      <c r="AJ150" s="1187">
        <f>'CZ04 Factors'!F67</f>
        <v>0.35999999999999993</v>
      </c>
      <c r="AK150" s="1186">
        <f>'CZ04 Factors'!G67</f>
        <v>0.25319658119658117</v>
      </c>
      <c r="AL150" s="1187">
        <f>'CZ04 Factors'!H67</f>
        <v>0.24</v>
      </c>
      <c r="AM150" s="1186">
        <f>'CZ04 Factors'!I67</f>
        <v>0.33333333333333331</v>
      </c>
      <c r="AN150" s="1187">
        <f>'CZ04 Factors'!J67</f>
        <v>0.36000000000000004</v>
      </c>
      <c r="AO150" s="1188">
        <f>'CZ04 Factors'!K67</f>
        <v>0.3868540305010893</v>
      </c>
      <c r="AQ150" s="1202">
        <v>1.4</v>
      </c>
      <c r="AR150" s="1185">
        <f>'CZ05 Factors'!D67</f>
        <v>0.32000000000000006</v>
      </c>
      <c r="AS150" s="1186">
        <f>'CZ05 Factors'!E67</f>
        <v>0.27644144144144145</v>
      </c>
      <c r="AT150" s="1187">
        <f>'CZ05 Factors'!F67</f>
        <v>0.27300000000000002</v>
      </c>
      <c r="AU150" s="1186">
        <f>'CZ05 Factors'!G67</f>
        <v>0.25166666666666671</v>
      </c>
      <c r="AV150" s="1187">
        <f>'CZ05 Factors'!H67</f>
        <v>0.20799999999999999</v>
      </c>
      <c r="AW150" s="1186">
        <f>'CZ05 Factors'!I67</f>
        <v>0.36679487179487175</v>
      </c>
      <c r="AX150" s="1187">
        <f>'CZ05 Factors'!J67</f>
        <v>0.39200000000000007</v>
      </c>
      <c r="AY150" s="1188">
        <f>'CZ05 Factors'!K67</f>
        <v>0.39970042194092825</v>
      </c>
      <c r="AZ150" s="449"/>
      <c r="BA150" s="1202">
        <v>1.4</v>
      </c>
      <c r="BB150" s="1185">
        <f>'CZ05 BC Factors'!D67</f>
        <v>0.34</v>
      </c>
      <c r="BC150" s="1186">
        <f>'CZ05 BC Factors'!E67</f>
        <v>0.28413738738738736</v>
      </c>
      <c r="BD150" s="1187">
        <f>'CZ05 BC Factors'!F67</f>
        <v>0.27300000000000002</v>
      </c>
      <c r="BE150" s="1186">
        <f>'CZ05 BC Factors'!G67</f>
        <v>0.24217948717948712</v>
      </c>
      <c r="BF150" s="1187">
        <f>'CZ05 BC Factors'!H67</f>
        <v>0.192</v>
      </c>
      <c r="BG150" s="1186">
        <f>'CZ05 BC Factors'!I67</f>
        <v>0.36205128205128201</v>
      </c>
      <c r="BH150" s="1187">
        <f>'CZ05 BC Factors'!J67</f>
        <v>0.39200000000000007</v>
      </c>
      <c r="BI150" s="1188">
        <f>'CZ05 BC Factors'!K67</f>
        <v>0.41793459915611814</v>
      </c>
      <c r="BK150" s="1202">
        <v>1.4</v>
      </c>
      <c r="BL150" s="1185">
        <f>'CZ06 Factors'!D65</f>
        <v>0.45050000000000007</v>
      </c>
      <c r="BM150" s="1186">
        <f>'CZ06 Factors'!E65</f>
        <v>0.37607226107226105</v>
      </c>
      <c r="BN150" s="1187">
        <f>'CZ06 Factors'!F65</f>
        <v>0.377</v>
      </c>
      <c r="BO150" s="1186">
        <f>'CZ06 Factors'!G65</f>
        <v>0.25469629629629631</v>
      </c>
      <c r="BP150" s="1187">
        <f>'CZ06 Factors'!H65</f>
        <v>0.19550000000000001</v>
      </c>
      <c r="BQ150" s="1186">
        <f>'CZ06 Factors'!I65</f>
        <v>0.33930740740740745</v>
      </c>
      <c r="BR150" s="1187">
        <f>'CZ06 Factors'!J65</f>
        <v>0.4</v>
      </c>
      <c r="BS150" s="1188">
        <f>'CZ06 Factors'!K65</f>
        <v>0.49054466230936822</v>
      </c>
      <c r="BU150" s="1202">
        <v>1.4</v>
      </c>
      <c r="BV150" s="1185">
        <f>'CZ07 Factors'!D67</f>
        <v>0.747</v>
      </c>
      <c r="BW150" s="1186">
        <f>'CZ07 Factors'!E67</f>
        <v>0.59503476482617601</v>
      </c>
      <c r="BX150" s="1187">
        <f>'CZ07 Factors'!F67</f>
        <v>0.47850000000000009</v>
      </c>
      <c r="BY150" s="1186">
        <f>'CZ07 Factors'!G67</f>
        <v>0.27674561403508768</v>
      </c>
      <c r="BZ150" s="1187">
        <f>'CZ07 Factors'!H67</f>
        <v>0.21</v>
      </c>
      <c r="CA150" s="1186">
        <f>'CZ07 Factors'!I67</f>
        <v>0.34078947368421059</v>
      </c>
      <c r="CB150" s="1187">
        <f>'CZ07 Factors'!J67</f>
        <v>0.40500000000000003</v>
      </c>
      <c r="CC150" s="1188">
        <f>'CZ07 Factors'!K67</f>
        <v>0.51936000000000004</v>
      </c>
      <c r="CE150" s="1202">
        <v>1.4</v>
      </c>
      <c r="CF150" s="1185">
        <f>'CZ08 Factors'!D67</f>
        <v>0.31679999999999997</v>
      </c>
      <c r="CG150" s="1186">
        <f>'CZ08 Factors'!E67</f>
        <v>0.36131351351351354</v>
      </c>
      <c r="CH150" s="1187">
        <f>'CZ08 Factors'!F67</f>
        <v>0.375</v>
      </c>
      <c r="CI150" s="1186">
        <f>'CZ08 Factors'!G67</f>
        <v>0.28755319148936176</v>
      </c>
      <c r="CJ150" s="1187">
        <f>'CZ08 Factors'!H67</f>
        <v>0.23400000000000001</v>
      </c>
      <c r="CK150" s="1186">
        <f>'CZ08 Factors'!I67</f>
        <v>0.32444680851063834</v>
      </c>
      <c r="CL150" s="1187">
        <f>'CZ08 Factors'!J67</f>
        <v>0.31200000000000006</v>
      </c>
      <c r="CM150" s="1188">
        <f>'CZ08 Factors'!K67</f>
        <v>0.33247397260273975</v>
      </c>
    </row>
    <row r="151" spans="3:91" x14ac:dyDescent="0.25">
      <c r="C151" s="1202">
        <v>1.6</v>
      </c>
      <c r="D151" s="1185"/>
      <c r="E151" s="1186"/>
      <c r="F151" s="1187"/>
      <c r="G151" s="1186"/>
      <c r="H151" s="1187"/>
      <c r="I151" s="1186"/>
      <c r="J151" s="1187"/>
      <c r="K151" s="1188"/>
      <c r="M151" s="1202">
        <v>1.6</v>
      </c>
      <c r="N151" s="1185">
        <f>'CZ02 Factors'!D68</f>
        <v>0.19800000000000001</v>
      </c>
      <c r="O151" s="1186">
        <f>'CZ02 Factors'!E68</f>
        <v>0.27402314814814815</v>
      </c>
      <c r="P151" s="1187">
        <f>'CZ02 Factors'!F68</f>
        <v>0.308</v>
      </c>
      <c r="Q151" s="1186">
        <f>'CZ02 Factors'!G68</f>
        <v>0.18363333333333337</v>
      </c>
      <c r="R151" s="1187">
        <f>'CZ02 Factors'!H68</f>
        <v>7.4999999999999997E-2</v>
      </c>
      <c r="S151" s="1186">
        <f>'CZ02 Factors'!I68</f>
        <v>0.29035772357723583</v>
      </c>
      <c r="T151" s="1187">
        <f>'CZ02 Factors'!J68</f>
        <v>0.33800000000000002</v>
      </c>
      <c r="U151" s="1188">
        <f>'CZ02 Factors'!K68</f>
        <v>0.34696846846846852</v>
      </c>
      <c r="W151" s="1202">
        <v>1.6</v>
      </c>
      <c r="X151" s="1185">
        <f>'CZ03 Factors'!D68</f>
        <v>0.17</v>
      </c>
      <c r="Y151" s="1186">
        <f>'CZ03 Factors'!E68</f>
        <v>0.26741834451901569</v>
      </c>
      <c r="Z151" s="1187">
        <f>'CZ03 Factors'!F68</f>
        <v>0.26400000000000001</v>
      </c>
      <c r="AA151" s="1186">
        <f>'CZ03 Factors'!G68</f>
        <v>0.28279166666666666</v>
      </c>
      <c r="AB151" s="1187">
        <f>'CZ03 Factors'!H68</f>
        <v>0.36</v>
      </c>
      <c r="AC151" s="1186">
        <f>'CZ03 Factors'!I68</f>
        <v>0.39030303030303021</v>
      </c>
      <c r="AD151" s="1187">
        <f>'CZ03 Factors'!J68</f>
        <v>0.37699999999999995</v>
      </c>
      <c r="AE151" s="1188">
        <f>'CZ03 Factors'!K68</f>
        <v>0.36869658119658122</v>
      </c>
      <c r="AG151" s="1202">
        <v>1.6</v>
      </c>
      <c r="AH151" s="1185">
        <f>'CZ04 Factors'!D68</f>
        <v>0.23800000000000002</v>
      </c>
      <c r="AI151" s="1186">
        <f>'CZ04 Factors'!E68</f>
        <v>0.30510154525386313</v>
      </c>
      <c r="AJ151" s="1187">
        <f>'CZ04 Factors'!F68</f>
        <v>0.33599999999999997</v>
      </c>
      <c r="AK151" s="1186">
        <f>'CZ04 Factors'!G68</f>
        <v>0.25319658119658117</v>
      </c>
      <c r="AL151" s="1187">
        <f>'CZ04 Factors'!H68</f>
        <v>0.22400000000000003</v>
      </c>
      <c r="AM151" s="1186">
        <f>'CZ04 Factors'!I68</f>
        <v>0.31111111111111112</v>
      </c>
      <c r="AN151" s="1187">
        <f>'CZ04 Factors'!J68</f>
        <v>0.31200000000000006</v>
      </c>
      <c r="AO151" s="1188">
        <f>'CZ04 Factors'!K68</f>
        <v>0.33746840958605667</v>
      </c>
      <c r="AQ151" s="1202">
        <v>1.6</v>
      </c>
      <c r="AR151" s="1185">
        <f>'CZ05 Factors'!D68</f>
        <v>0.22400000000000003</v>
      </c>
      <c r="AS151" s="1186">
        <f>'CZ05 Factors'!E68</f>
        <v>0.2439189189189189</v>
      </c>
      <c r="AT151" s="1187">
        <f>'CZ05 Factors'!F68</f>
        <v>0.24700000000000003</v>
      </c>
      <c r="AU151" s="1186">
        <f>'CZ05 Factors'!G68</f>
        <v>0.23488888888888892</v>
      </c>
      <c r="AV151" s="1187">
        <f>'CZ05 Factors'!H68</f>
        <v>0.182</v>
      </c>
      <c r="AW151" s="1186">
        <f>'CZ05 Factors'!I68</f>
        <v>0.31788888888888889</v>
      </c>
      <c r="AX151" s="1187">
        <f>'CZ05 Factors'!J68</f>
        <v>0.32200000000000001</v>
      </c>
      <c r="AY151" s="1188">
        <f>'CZ05 Factors'!K68</f>
        <v>0.33463291139240503</v>
      </c>
      <c r="AZ151" s="449"/>
      <c r="BA151" s="1202">
        <v>1.6</v>
      </c>
      <c r="BB151" s="1185">
        <f>'CZ05 BC Factors'!D68</f>
        <v>0.23800000000000002</v>
      </c>
      <c r="BC151" s="1186">
        <f>'CZ05 BC Factors'!E68</f>
        <v>0.25070945945945944</v>
      </c>
      <c r="BD151" s="1187">
        <f>'CZ05 BC Factors'!F68</f>
        <v>0.24700000000000003</v>
      </c>
      <c r="BE151" s="1186">
        <f>'CZ05 BC Factors'!G68</f>
        <v>0.22603418803418801</v>
      </c>
      <c r="BF151" s="1187">
        <f>'CZ05 BC Factors'!H68</f>
        <v>0.16800000000000001</v>
      </c>
      <c r="BG151" s="1186">
        <f>'CZ05 BC Factors'!I68</f>
        <v>0.31377777777777777</v>
      </c>
      <c r="BH151" s="1187">
        <f>'CZ05 BC Factors'!J68</f>
        <v>0.32200000000000001</v>
      </c>
      <c r="BI151" s="1188">
        <f>'CZ05 BC Factors'!K68</f>
        <v>0.34989873417721512</v>
      </c>
      <c r="BK151" s="1202">
        <v>1.6</v>
      </c>
      <c r="BL151" s="1185">
        <f>'CZ06 Factors'!D66</f>
        <v>0.374</v>
      </c>
      <c r="BM151" s="1186">
        <f>'CZ06 Factors'!E66</f>
        <v>0.33938228438228435</v>
      </c>
      <c r="BN151" s="1187">
        <f>'CZ06 Factors'!F66</f>
        <v>0.31899999999999995</v>
      </c>
      <c r="BO151" s="1186">
        <f>'CZ06 Factors'!G66</f>
        <v>0.23877777777777776</v>
      </c>
      <c r="BP151" s="1187">
        <f>'CZ06 Factors'!H66</f>
        <v>0.18399999999999997</v>
      </c>
      <c r="BQ151" s="1186">
        <f>'CZ06 Factors'!I66</f>
        <v>0.29938888888888893</v>
      </c>
      <c r="BR151" s="1187">
        <f>'CZ06 Factors'!J66</f>
        <v>0.35000000000000009</v>
      </c>
      <c r="BS151" s="1188">
        <f>'CZ06 Factors'!K66</f>
        <v>0.4150762527233115</v>
      </c>
      <c r="BU151" s="1202">
        <v>1.6</v>
      </c>
      <c r="BV151" s="1185">
        <f>'CZ07 Factors'!D68</f>
        <v>0.57600000000000007</v>
      </c>
      <c r="BW151" s="1186">
        <f>'CZ07 Factors'!E68</f>
        <v>0.42877505112474446</v>
      </c>
      <c r="BX151" s="1187">
        <f>'CZ07 Factors'!F68</f>
        <v>0.435</v>
      </c>
      <c r="BY151" s="1186">
        <f>'CZ07 Factors'!G68</f>
        <v>0.25697807017543856</v>
      </c>
      <c r="BZ151" s="1187">
        <f>'CZ07 Factors'!H68</f>
        <v>0.19499999999999998</v>
      </c>
      <c r="CA151" s="1186">
        <f>'CZ07 Factors'!I68</f>
        <v>0.29210526315789476</v>
      </c>
      <c r="CB151" s="1187">
        <f>'CZ07 Factors'!J68</f>
        <v>0.375</v>
      </c>
      <c r="CC151" s="1188">
        <f>'CZ07 Factors'!K68</f>
        <v>0.4869</v>
      </c>
      <c r="CE151" s="1202">
        <v>1.6</v>
      </c>
      <c r="CF151" s="1185">
        <f>'CZ08 Factors'!D68</f>
        <v>0.22320000000000001</v>
      </c>
      <c r="CG151" s="1186">
        <f>'CZ08 Factors'!E68</f>
        <v>0.26668378378378382</v>
      </c>
      <c r="CH151" s="1187">
        <f>'CZ08 Factors'!F68</f>
        <v>0.315</v>
      </c>
      <c r="CI151" s="1186">
        <f>'CZ08 Factors'!G68</f>
        <v>0.27063829787234051</v>
      </c>
      <c r="CJ151" s="1187">
        <f>'CZ08 Factors'!H68</f>
        <v>0.22100000000000003</v>
      </c>
      <c r="CK151" s="1186">
        <f>'CZ08 Factors'!I68</f>
        <v>0.2862765957446809</v>
      </c>
      <c r="CL151" s="1187">
        <f>'CZ08 Factors'!J68</f>
        <v>0.28600000000000003</v>
      </c>
      <c r="CM151" s="1188">
        <f>'CZ08 Factors'!K68</f>
        <v>0.27997808219178089</v>
      </c>
    </row>
    <row r="152" spans="3:91" x14ac:dyDescent="0.25">
      <c r="C152" s="1202">
        <v>1.8</v>
      </c>
      <c r="D152" s="1185"/>
      <c r="E152" s="1186"/>
      <c r="F152" s="1187"/>
      <c r="G152" s="1186"/>
      <c r="H152" s="1187"/>
      <c r="I152" s="1186"/>
      <c r="J152" s="1187"/>
      <c r="K152" s="1188"/>
      <c r="M152" s="1202">
        <v>1.8</v>
      </c>
      <c r="N152" s="1185">
        <f>'CZ02 Factors'!D69</f>
        <v>0.17100000000000001</v>
      </c>
      <c r="O152" s="1186">
        <f>'CZ02 Factors'!E69</f>
        <v>0.23622685185185185</v>
      </c>
      <c r="P152" s="1187">
        <f>'CZ02 Factors'!F69</f>
        <v>0.26600000000000001</v>
      </c>
      <c r="Q152" s="1186">
        <f>'CZ02 Factors'!G69</f>
        <v>0.17051666666666671</v>
      </c>
      <c r="R152" s="1187">
        <f>'CZ02 Factors'!H69</f>
        <v>7.0000000000000007E-2</v>
      </c>
      <c r="S152" s="1186">
        <f>'CZ02 Factors'!I69</f>
        <v>0.26961788617886179</v>
      </c>
      <c r="T152" s="1187">
        <f>'CZ02 Factors'!J69</f>
        <v>0.29899999999999999</v>
      </c>
      <c r="U152" s="1188">
        <f>'CZ02 Factors'!K69</f>
        <v>0.28573873873873878</v>
      </c>
      <c r="W152" s="1202">
        <v>1.8</v>
      </c>
      <c r="X152" s="1185">
        <f>'CZ03 Factors'!D69</f>
        <v>0.15</v>
      </c>
      <c r="Y152" s="1186">
        <f>'CZ03 Factors'!E69</f>
        <v>0.18978076062639823</v>
      </c>
      <c r="Z152" s="1187">
        <f>'CZ03 Factors'!F69</f>
        <v>0.20900000000000002</v>
      </c>
      <c r="AA152" s="1186">
        <f>'CZ03 Factors'!G69</f>
        <v>0.28279166666666666</v>
      </c>
      <c r="AB152" s="1187">
        <f>'CZ03 Factors'!H69</f>
        <v>0.36</v>
      </c>
      <c r="AC152" s="1186">
        <f>'CZ03 Factors'!I69</f>
        <v>0.35777777777777775</v>
      </c>
      <c r="AD152" s="1187">
        <f>'CZ03 Factors'!J69</f>
        <v>0.312</v>
      </c>
      <c r="AE152" s="1188">
        <f>'CZ03 Factors'!K69</f>
        <v>0.33616452991452989</v>
      </c>
      <c r="AG152" s="1202">
        <v>1.8</v>
      </c>
      <c r="AH152" s="1185">
        <f>'CZ04 Factors'!D69</f>
        <v>0.18200000000000002</v>
      </c>
      <c r="AI152" s="1186">
        <f>'CZ04 Factors'!E69</f>
        <v>0.26045253863134654</v>
      </c>
      <c r="AJ152" s="1187">
        <f>'CZ04 Factors'!F69</f>
        <v>0.3</v>
      </c>
      <c r="AK152" s="1186">
        <f>'CZ04 Factors'!G69</f>
        <v>0.23511111111111108</v>
      </c>
      <c r="AL152" s="1187">
        <f>'CZ04 Factors'!H69</f>
        <v>0.22400000000000003</v>
      </c>
      <c r="AM152" s="1186">
        <f>'CZ04 Factors'!I69</f>
        <v>0.28888888888888886</v>
      </c>
      <c r="AN152" s="1187">
        <f>'CZ04 Factors'!J69</f>
        <v>0.28799999999999998</v>
      </c>
      <c r="AO152" s="1188">
        <f>'CZ04 Factors'!K69</f>
        <v>0.28808278867102399</v>
      </c>
      <c r="AQ152" s="1202">
        <v>1.8</v>
      </c>
      <c r="AR152" s="1185">
        <f>'CZ05 Factors'!D69</f>
        <v>0.17600000000000002</v>
      </c>
      <c r="AS152" s="1186">
        <f>'CZ05 Factors'!E69</f>
        <v>0.20326576576576577</v>
      </c>
      <c r="AT152" s="1187">
        <f>'CZ05 Factors'!F69</f>
        <v>0.20800000000000002</v>
      </c>
      <c r="AU152" s="1186">
        <f>'CZ05 Factors'!G69</f>
        <v>0.21811111111111114</v>
      </c>
      <c r="AV152" s="1187">
        <f>'CZ05 Factors'!H69</f>
        <v>0.182</v>
      </c>
      <c r="AW152" s="1186">
        <f>'CZ05 Factors'!I69</f>
        <v>0.31788888888888889</v>
      </c>
      <c r="AX152" s="1187">
        <f>'CZ05 Factors'!J69</f>
        <v>0.28000000000000003</v>
      </c>
      <c r="AY152" s="1188">
        <f>'CZ05 Factors'!K69</f>
        <v>0.2974514767932489</v>
      </c>
      <c r="AZ152" s="449"/>
      <c r="BA152" s="1202">
        <v>1.8</v>
      </c>
      <c r="BB152" s="1185">
        <f>'CZ05 BC Factors'!D69</f>
        <v>0.187</v>
      </c>
      <c r="BC152" s="1186">
        <f>'CZ05 BC Factors'!E69</f>
        <v>0.20892454954954953</v>
      </c>
      <c r="BD152" s="1187">
        <f>'CZ05 BC Factors'!F69</f>
        <v>0.20800000000000002</v>
      </c>
      <c r="BE152" s="1186">
        <f>'CZ05 BC Factors'!G69</f>
        <v>0.20988888888888885</v>
      </c>
      <c r="BF152" s="1187">
        <f>'CZ05 BC Factors'!H69</f>
        <v>0.16800000000000001</v>
      </c>
      <c r="BG152" s="1186">
        <f>'CZ05 BC Factors'!I69</f>
        <v>0.31377777777777777</v>
      </c>
      <c r="BH152" s="1187">
        <f>'CZ05 BC Factors'!J69</f>
        <v>0.28000000000000003</v>
      </c>
      <c r="BI152" s="1188">
        <f>'CZ05 BC Factors'!K69</f>
        <v>0.31102109704641345</v>
      </c>
      <c r="BK152" s="1202">
        <v>1.8</v>
      </c>
      <c r="BL152" s="1185">
        <f>'CZ06 Factors'!D67</f>
        <v>0.27200000000000002</v>
      </c>
      <c r="BM152" s="1186">
        <f>'CZ06 Factors'!E67</f>
        <v>0.27517482517482517</v>
      </c>
      <c r="BN152" s="1187">
        <f>'CZ06 Factors'!F67</f>
        <v>0.30449999999999994</v>
      </c>
      <c r="BO152" s="1186">
        <f>'CZ06 Factors'!G67</f>
        <v>0.22285925925925923</v>
      </c>
      <c r="BP152" s="1187">
        <f>'CZ06 Factors'!H67</f>
        <v>0.17249999999999999</v>
      </c>
      <c r="BQ152" s="1186">
        <f>'CZ06 Factors'!I67</f>
        <v>0.27942962962962969</v>
      </c>
      <c r="BR152" s="1187">
        <f>'CZ06 Factors'!J67</f>
        <v>0.33750000000000002</v>
      </c>
      <c r="BS152" s="1188">
        <f>'CZ06 Factors'!K67</f>
        <v>0.37734204793028325</v>
      </c>
      <c r="BU152" s="1202">
        <v>1.8</v>
      </c>
      <c r="BV152" s="1185">
        <f>'CZ07 Factors'!D69</f>
        <v>0.46800000000000003</v>
      </c>
      <c r="BW152" s="1186">
        <f>'CZ07 Factors'!E69</f>
        <v>0.4112740286298569</v>
      </c>
      <c r="BX152" s="1187">
        <f>'CZ07 Factors'!F69</f>
        <v>0.34799999999999998</v>
      </c>
      <c r="BY152" s="1186">
        <f>'CZ07 Factors'!G69</f>
        <v>0.23721052631578943</v>
      </c>
      <c r="BZ152" s="1187">
        <f>'CZ07 Factors'!H69</f>
        <v>0.19499999999999998</v>
      </c>
      <c r="CA152" s="1186">
        <f>'CZ07 Factors'!I69</f>
        <v>0.29210526315789476</v>
      </c>
      <c r="CB152" s="1187">
        <f>'CZ07 Factors'!J69</f>
        <v>0.34500000000000003</v>
      </c>
      <c r="CC152" s="1188">
        <f>'CZ07 Factors'!K69</f>
        <v>0.42198000000000002</v>
      </c>
      <c r="CE152" s="1202">
        <v>1.8</v>
      </c>
      <c r="CF152" s="1185">
        <f>'CZ08 Factors'!D69</f>
        <v>0.1656</v>
      </c>
      <c r="CG152" s="1186">
        <f>'CZ08 Factors'!E69</f>
        <v>0.24087567567567572</v>
      </c>
      <c r="CH152" s="1187">
        <f>'CZ08 Factors'!F69</f>
        <v>0.28499999999999998</v>
      </c>
      <c r="CI152" s="1186">
        <f>'CZ08 Factors'!G69</f>
        <v>0.23680851063829794</v>
      </c>
      <c r="CJ152" s="1187">
        <f>'CZ08 Factors'!H69</f>
        <v>0.20800000000000005</v>
      </c>
      <c r="CK152" s="1186">
        <f>'CZ08 Factors'!I69</f>
        <v>0.26719148936170223</v>
      </c>
      <c r="CL152" s="1187">
        <f>'CZ08 Factors'!J69</f>
        <v>0.24700000000000003</v>
      </c>
      <c r="CM152" s="1188">
        <f>'CZ08 Factors'!K69</f>
        <v>0.25373013698630137</v>
      </c>
    </row>
    <row r="153" spans="3:91" ht="13" x14ac:dyDescent="0.3">
      <c r="C153" s="1204">
        <v>2</v>
      </c>
      <c r="D153" s="1197"/>
      <c r="E153" s="1198"/>
      <c r="F153" s="1199"/>
      <c r="G153" s="1198"/>
      <c r="H153" s="1199"/>
      <c r="I153" s="1198"/>
      <c r="J153" s="1199"/>
      <c r="K153" s="1200"/>
      <c r="M153" s="1204">
        <v>2</v>
      </c>
      <c r="N153" s="1197">
        <f>'CZ02 Factors'!D70</f>
        <v>0.13500000000000001</v>
      </c>
      <c r="O153" s="1198">
        <f>'CZ02 Factors'!E70</f>
        <v>0.17953240740740742</v>
      </c>
      <c r="P153" s="1199">
        <f>'CZ02 Factors'!F70</f>
        <v>0.23800000000000002</v>
      </c>
      <c r="Q153" s="1198">
        <f>'CZ02 Factors'!G70</f>
        <v>0.15740000000000001</v>
      </c>
      <c r="R153" s="1199">
        <f>'CZ02 Factors'!H70</f>
        <v>7.0000000000000007E-2</v>
      </c>
      <c r="S153" s="1198">
        <f>'CZ02 Factors'!I70</f>
        <v>0.26961788617886179</v>
      </c>
      <c r="T153" s="1199">
        <f>'CZ02 Factors'!J70</f>
        <v>0.28600000000000003</v>
      </c>
      <c r="U153" s="1200">
        <f>'CZ02 Factors'!K70</f>
        <v>0.27553378378378385</v>
      </c>
      <c r="W153" s="1204">
        <v>2</v>
      </c>
      <c r="X153" s="1197">
        <f>'CZ03 Factors'!D70</f>
        <v>0.13</v>
      </c>
      <c r="Y153" s="1198">
        <f>'CZ03 Factors'!E70</f>
        <v>0.18978076062639823</v>
      </c>
      <c r="Z153" s="1199">
        <f>'CZ03 Factors'!F70</f>
        <v>0.19800000000000001</v>
      </c>
      <c r="AA153" s="1198">
        <f>'CZ03 Factors'!G70</f>
        <v>0.25708333333333333</v>
      </c>
      <c r="AB153" s="1199">
        <f>'CZ03 Factors'!H70</f>
        <v>0.36</v>
      </c>
      <c r="AC153" s="1198">
        <f>'CZ03 Factors'!I70</f>
        <v>0.35777777777777775</v>
      </c>
      <c r="AD153" s="1199">
        <f>'CZ03 Factors'!J70</f>
        <v>0.28599999999999998</v>
      </c>
      <c r="AE153" s="1200">
        <f>'CZ03 Factors'!K70</f>
        <v>0.29278846153846155</v>
      </c>
      <c r="AG153" s="1204">
        <v>2</v>
      </c>
      <c r="AH153" s="1197">
        <f>'CZ04 Factors'!D70</f>
        <v>0.16799999999999998</v>
      </c>
      <c r="AI153" s="1198">
        <f>'CZ04 Factors'!E70</f>
        <v>0.23812803532008828</v>
      </c>
      <c r="AJ153" s="1199">
        <f>'CZ04 Factors'!F70</f>
        <v>0.26400000000000001</v>
      </c>
      <c r="AK153" s="1198">
        <f>'CZ04 Factors'!G70</f>
        <v>0.21702564102564098</v>
      </c>
      <c r="AL153" s="1199">
        <f>'CZ04 Factors'!H70</f>
        <v>0.20799999999999999</v>
      </c>
      <c r="AM153" s="1198">
        <f>'CZ04 Factors'!I70</f>
        <v>0.26666666666666666</v>
      </c>
      <c r="AN153" s="1199">
        <f>'CZ04 Factors'!J70</f>
        <v>0.26400000000000001</v>
      </c>
      <c r="AO153" s="1200">
        <f>'CZ04 Factors'!K70</f>
        <v>0.23869716775599129</v>
      </c>
      <c r="AQ153" s="1204">
        <v>2</v>
      </c>
      <c r="AR153" s="1197">
        <f>'CZ05 Factors'!D70</f>
        <v>0.14399999999999999</v>
      </c>
      <c r="AS153" s="1198">
        <f>'CZ05 Factors'!E70</f>
        <v>0.15448198198198199</v>
      </c>
      <c r="AT153" s="1199">
        <f>'CZ05 Factors'!F70</f>
        <v>0.19500000000000001</v>
      </c>
      <c r="AU153" s="1198">
        <f>'CZ05 Factors'!G70</f>
        <v>0.20133333333333334</v>
      </c>
      <c r="AV153" s="1199">
        <f>'CZ05 Factors'!H70</f>
        <v>0.182</v>
      </c>
      <c r="AW153" s="1198">
        <f>'CZ05 Factors'!I70</f>
        <v>0.29343589743589737</v>
      </c>
      <c r="AX153" s="1199">
        <f>'CZ05 Factors'!J70</f>
        <v>0.26600000000000001</v>
      </c>
      <c r="AY153" s="1200">
        <f>'CZ05 Factors'!K70</f>
        <v>0.22308860759493665</v>
      </c>
      <c r="AZ153" s="448"/>
      <c r="BA153" s="1204">
        <v>2</v>
      </c>
      <c r="BB153" s="1197">
        <f>'CZ05 BC Factors'!D70</f>
        <v>0.153</v>
      </c>
      <c r="BC153" s="1198">
        <f>'CZ05 BC Factors'!E70</f>
        <v>0.15878265765765764</v>
      </c>
      <c r="BD153" s="1199">
        <f>'CZ05 BC Factors'!F70</f>
        <v>0.19500000000000001</v>
      </c>
      <c r="BE153" s="1198">
        <f>'CZ05 BC Factors'!G70</f>
        <v>0.19374358974358971</v>
      </c>
      <c r="BF153" s="1199">
        <f>'CZ05 BC Factors'!H70</f>
        <v>0.16800000000000001</v>
      </c>
      <c r="BG153" s="1198">
        <f>'CZ05 BC Factors'!I70</f>
        <v>0.28964102564102562</v>
      </c>
      <c r="BH153" s="1199">
        <f>'CZ05 BC Factors'!J70</f>
        <v>0.26600000000000001</v>
      </c>
      <c r="BI153" s="1200">
        <f>'CZ05 BC Factors'!K70</f>
        <v>0.23326582278481006</v>
      </c>
      <c r="BK153" s="1204">
        <v>2</v>
      </c>
      <c r="BL153" s="1197">
        <f>'CZ06 Factors'!D68</f>
        <v>0.21249999999999999</v>
      </c>
      <c r="BM153" s="1198">
        <f>'CZ06 Factors'!E68</f>
        <v>0.24765734265734266</v>
      </c>
      <c r="BN153" s="1199">
        <f>'CZ06 Factors'!F68</f>
        <v>0.28999999999999998</v>
      </c>
      <c r="BO153" s="1198">
        <f>'CZ06 Factors'!G68</f>
        <v>0.20694074074074073</v>
      </c>
      <c r="BP153" s="1199">
        <f>'CZ06 Factors'!H68</f>
        <v>0.161</v>
      </c>
      <c r="BQ153" s="1198">
        <f>'CZ06 Factors'!I68</f>
        <v>0.27942962962962969</v>
      </c>
      <c r="BR153" s="1199">
        <f>'CZ06 Factors'!J68</f>
        <v>0.3</v>
      </c>
      <c r="BS153" s="1200">
        <f>'CZ06 Factors'!K68</f>
        <v>0.30187363834422659</v>
      </c>
      <c r="BU153" s="1204">
        <v>2</v>
      </c>
      <c r="BV153" s="1197">
        <f>'CZ07 Factors'!D70</f>
        <v>0.35100000000000003</v>
      </c>
      <c r="BW153" s="1198">
        <f>'CZ07 Factors'!E70</f>
        <v>0.3412699386503068</v>
      </c>
      <c r="BX153" s="1199">
        <f>'CZ07 Factors'!F70</f>
        <v>0.34799999999999998</v>
      </c>
      <c r="BY153" s="1198">
        <f>'CZ07 Factors'!G70</f>
        <v>0.21744298245614033</v>
      </c>
      <c r="BZ153" s="1199">
        <f>'CZ07 Factors'!H70</f>
        <v>0.17999999999999997</v>
      </c>
      <c r="CA153" s="1198">
        <f>'CZ07 Factors'!I70</f>
        <v>0.29210526315789476</v>
      </c>
      <c r="CB153" s="1199">
        <f>'CZ07 Factors'!J70</f>
        <v>0.3</v>
      </c>
      <c r="CC153" s="1200">
        <f>'CZ07 Factors'!K70</f>
        <v>0.35705999999999999</v>
      </c>
      <c r="CE153" s="1204">
        <v>2</v>
      </c>
      <c r="CF153" s="1197">
        <f>'CZ08 Factors'!D70</f>
        <v>0.1368</v>
      </c>
      <c r="CG153" s="1198">
        <f>'CZ08 Factors'!E70</f>
        <v>0.21506756756756759</v>
      </c>
      <c r="CH153" s="1199">
        <f>'CZ08 Factors'!F70</f>
        <v>0.24</v>
      </c>
      <c r="CI153" s="1198">
        <f>'CZ08 Factors'!G70</f>
        <v>0.23680851063829794</v>
      </c>
      <c r="CJ153" s="1199">
        <f>'CZ08 Factors'!H70</f>
        <v>0.19500000000000001</v>
      </c>
      <c r="CK153" s="1198">
        <f>'CZ08 Factors'!I70</f>
        <v>0.26719148936170223</v>
      </c>
      <c r="CL153" s="1199">
        <f>'CZ08 Factors'!J70</f>
        <v>0.22100000000000003</v>
      </c>
      <c r="CM153" s="1200">
        <f>'CZ08 Factors'!K70</f>
        <v>0.2012342465753425</v>
      </c>
    </row>
  </sheetData>
  <sheetProtection algorithmName="SHA-512" hashValue="AzFcrEkuh0T1X6GZzLlEBNuI1mtVsdK77+1sZuEls4x+LsiDyp9YZ5f//H1KqGgwesPk/sHT7lqQVVWWnfwZSQ==" saltValue="uhU9EpPasQFjFSp6cIr04Q==" spinCount="100000" sheet="1" objects="1" scenarios="1" selectLockedCells="1" autoFilter="0" selectUnlockedCells="1"/>
  <pageMargins left="0.75" right="0.75" top="1" bottom="1" header="0.5" footer="0.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420c3137-1c0b-43cf-8c93-0ac7ecc8efc9">
      <UserInfo>
        <DisplayName>Scott Alexander</DisplayName>
        <AccountId>17</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23D9CD4A2F9604993042604230185E2" ma:contentTypeVersion="6" ma:contentTypeDescription="Create a new document." ma:contentTypeScope="" ma:versionID="29ed133e70bb4c000f5d765afd30aeb1">
  <xsd:schema xmlns:xsd="http://www.w3.org/2001/XMLSchema" xmlns:xs="http://www.w3.org/2001/XMLSchema" xmlns:p="http://schemas.microsoft.com/office/2006/metadata/properties" xmlns:ns2="b50e9089-58bf-4aa6-b026-4435ee268943" xmlns:ns3="420c3137-1c0b-43cf-8c93-0ac7ecc8efc9" targetNamespace="http://schemas.microsoft.com/office/2006/metadata/properties" ma:root="true" ma:fieldsID="10390f7d6f06368ec2fde548c47b1677" ns2:_="" ns3:_="">
    <xsd:import namespace="b50e9089-58bf-4aa6-b026-4435ee268943"/>
    <xsd:import namespace="420c3137-1c0b-43cf-8c93-0ac7ecc8efc9"/>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0e9089-58bf-4aa6-b026-4435ee2689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20c3137-1c0b-43cf-8c93-0ac7ecc8efc9"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496AA07-8672-498D-8295-92FA87D2A72F}">
  <ds:schemaRefs>
    <ds:schemaRef ds:uri="http://purl.org/dc/dcmitype/"/>
    <ds:schemaRef ds:uri="http://purl.org/dc/elements/1.1/"/>
    <ds:schemaRef ds:uri="http://schemas.microsoft.com/office/2006/documentManagement/types"/>
    <ds:schemaRef ds:uri="http://schemas.microsoft.com/office/infopath/2007/PartnerControls"/>
    <ds:schemaRef ds:uri="420c3137-1c0b-43cf-8c93-0ac7ecc8efc9"/>
    <ds:schemaRef ds:uri="http://schemas.openxmlformats.org/package/2006/metadata/core-properties"/>
    <ds:schemaRef ds:uri="http://purl.org/dc/terms/"/>
    <ds:schemaRef ds:uri="b50e9089-58bf-4aa6-b026-4435ee268943"/>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BBEB48BD-9629-4723-8A07-168119565D9C}">
  <ds:schemaRefs>
    <ds:schemaRef ds:uri="http://schemas.microsoft.com/sharepoint/v3/contenttype/forms"/>
  </ds:schemaRefs>
</ds:datastoreItem>
</file>

<file path=customXml/itemProps3.xml><?xml version="1.0" encoding="utf-8"?>
<ds:datastoreItem xmlns:ds="http://schemas.openxmlformats.org/officeDocument/2006/customXml" ds:itemID="{4D27FD77-DF05-49E4-AB66-051B69F8D23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0e9089-58bf-4aa6-b026-4435ee268943"/>
    <ds:schemaRef ds:uri="420c3137-1c0b-43cf-8c93-0ac7ecc8ef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284</vt:i4>
      </vt:variant>
    </vt:vector>
  </HeadingPairs>
  <TitlesOfParts>
    <vt:vector size="349" baseType="lpstr">
      <vt:lpstr>Home</vt:lpstr>
      <vt:lpstr>Project Summary</vt:lpstr>
      <vt:lpstr>13.2 Help</vt:lpstr>
      <vt:lpstr>13.2 Building Fabric</vt:lpstr>
      <vt:lpstr>D_List</vt:lpstr>
      <vt:lpstr>D_Building_Fabric</vt:lpstr>
      <vt:lpstr>13.3 Help</vt:lpstr>
      <vt:lpstr>13.3 External Glazing</vt:lpstr>
      <vt:lpstr>Tables</vt:lpstr>
      <vt:lpstr>CZ01 Factors</vt:lpstr>
      <vt:lpstr>CZ02 Factors</vt:lpstr>
      <vt:lpstr>CZ03 Factors</vt:lpstr>
      <vt:lpstr>CZ04 Factors</vt:lpstr>
      <vt:lpstr>CZ05 Factors</vt:lpstr>
      <vt:lpstr>CZ05 BC Factors</vt:lpstr>
      <vt:lpstr>CZ06 Factors</vt:lpstr>
      <vt:lpstr>CZ07 Factors</vt:lpstr>
      <vt:lpstr>CZ08 Factors</vt:lpstr>
      <vt:lpstr>GC orig exposure</vt:lpstr>
      <vt:lpstr>13.4 Help</vt:lpstr>
      <vt:lpstr>13.4 Building Sealing</vt:lpstr>
      <vt:lpstr>13.5 Help</vt:lpstr>
      <vt:lpstr>13.5 Ceiling Fans</vt:lpstr>
      <vt:lpstr>13.6 Help</vt:lpstr>
      <vt:lpstr>13.6 Whole-of-Home Energy Usage</vt:lpstr>
      <vt:lpstr>13.7 Help</vt:lpstr>
      <vt:lpstr>13.7 Services</vt:lpstr>
      <vt:lpstr>13.7.6 Help</vt:lpstr>
      <vt:lpstr>13.7.6 Artificial Lighting</vt:lpstr>
      <vt:lpstr>Help</vt:lpstr>
      <vt:lpstr>Worksheet</vt:lpstr>
      <vt:lpstr>zzz13.3 External Glazing</vt:lpstr>
      <vt:lpstr>D_Ceiling_Fans</vt:lpstr>
      <vt:lpstr>QA Check</vt:lpstr>
      <vt:lpstr>1-QLD</vt:lpstr>
      <vt:lpstr>1-WA</vt:lpstr>
      <vt:lpstr>1-NT</vt:lpstr>
      <vt:lpstr>2-NSW</vt:lpstr>
      <vt:lpstr>2-QLD</vt:lpstr>
      <vt:lpstr>3-QLD</vt:lpstr>
      <vt:lpstr>3-WA</vt:lpstr>
      <vt:lpstr>3-NT</vt:lpstr>
      <vt:lpstr>4-NSW</vt:lpstr>
      <vt:lpstr>4-VIC</vt:lpstr>
      <vt:lpstr>4-SA</vt:lpstr>
      <vt:lpstr>4-WA</vt:lpstr>
      <vt:lpstr>5-NSW</vt:lpstr>
      <vt:lpstr>5-QLD</vt:lpstr>
      <vt:lpstr>5-SA</vt:lpstr>
      <vt:lpstr>5-WA</vt:lpstr>
      <vt:lpstr>6-NSW</vt:lpstr>
      <vt:lpstr>6-VIC</vt:lpstr>
      <vt:lpstr>6-SA</vt:lpstr>
      <vt:lpstr>6-WA</vt:lpstr>
      <vt:lpstr>7-NSW</vt:lpstr>
      <vt:lpstr>7-VIC</vt:lpstr>
      <vt:lpstr>7-TAS</vt:lpstr>
      <vt:lpstr>7-ACT</vt:lpstr>
      <vt:lpstr>8-NSW</vt:lpstr>
      <vt:lpstr>8-VIC</vt:lpstr>
      <vt:lpstr>8-TAS</vt:lpstr>
      <vt:lpstr>D_External_Glazing</vt:lpstr>
      <vt:lpstr>D_Whole-of-Home_Energy_Usage</vt:lpstr>
      <vt:lpstr>D_Services</vt:lpstr>
      <vt:lpstr>Adjustment factors</vt:lpstr>
      <vt:lpstr>_Bed_</vt:lpstr>
      <vt:lpstr>_Climate_List_</vt:lpstr>
      <vt:lpstr>_F_</vt:lpstr>
      <vt:lpstr>_Flr_Abrv_</vt:lpstr>
      <vt:lpstr>_Hard_</vt:lpstr>
      <vt:lpstr>_Level_</vt:lpstr>
      <vt:lpstr>_Open_</vt:lpstr>
      <vt:lpstr>ActiveA</vt:lpstr>
      <vt:lpstr>ActiveB</vt:lpstr>
      <vt:lpstr>ActiveDisplayed</vt:lpstr>
      <vt:lpstr>ActiveHidden</vt:lpstr>
      <vt:lpstr>ADIPLbalc</vt:lpstr>
      <vt:lpstr>ADIPLClass1</vt:lpstr>
      <vt:lpstr>ADIPLClass10</vt:lpstr>
      <vt:lpstr>'13.7.6 Artificial Lighting'!ADIPLone</vt:lpstr>
      <vt:lpstr>'13.7.6 Artificial Lighting'!Adjfactors</vt:lpstr>
      <vt:lpstr>'13.7.6 Artificial Lighting'!Adjfactors1</vt:lpstr>
      <vt:lpstr>AdviceIssuesOnly</vt:lpstr>
      <vt:lpstr>Afactors</vt:lpstr>
      <vt:lpstr>AfactorsTwo</vt:lpstr>
      <vt:lpstr>AirMovement</vt:lpstr>
      <vt:lpstr>AllInputsOK</vt:lpstr>
      <vt:lpstr>Allinputsokres</vt:lpstr>
      <vt:lpstr>AllowanceCuA</vt:lpstr>
      <vt:lpstr>AllowanceCuB</vt:lpstr>
      <vt:lpstr>AllowedCond</vt:lpstr>
      <vt:lpstr>AllowedSHG</vt:lpstr>
      <vt:lpstr>AreaA</vt:lpstr>
      <vt:lpstr>AreaAll</vt:lpstr>
      <vt:lpstr>AreaApercent</vt:lpstr>
      <vt:lpstr>AreaB</vt:lpstr>
      <vt:lpstr>AreaBpercent</vt:lpstr>
      <vt:lpstr>AreaUsed</vt:lpstr>
      <vt:lpstr>AveADIPL</vt:lpstr>
      <vt:lpstr>Balconytrue</vt:lpstr>
      <vt:lpstr>BC_in_Z5</vt:lpstr>
      <vt:lpstr>Brick_Cavity</vt:lpstr>
      <vt:lpstr>Building</vt:lpstr>
      <vt:lpstr>C_shgc_achieved</vt:lpstr>
      <vt:lpstr>Class_3_9a_9c_List</vt:lpstr>
      <vt:lpstr>Class_5_to_9b_List</vt:lpstr>
      <vt:lpstr>Class1</vt:lpstr>
      <vt:lpstr>Class10</vt:lpstr>
      <vt:lpstr>Class5</vt:lpstr>
      <vt:lpstr>ClassificationTwo</vt:lpstr>
      <vt:lpstr>ConductanceAccess</vt:lpstr>
      <vt:lpstr>ConstantsA</vt:lpstr>
      <vt:lpstr>ConstantsB</vt:lpstr>
      <vt:lpstr>ConstantsGround</vt:lpstr>
      <vt:lpstr>ConstantsSource</vt:lpstr>
      <vt:lpstr>ConstantsSuspended</vt:lpstr>
      <vt:lpstr>'13.7.6 Artificial Lighting'!Criteria</vt:lpstr>
      <vt:lpstr>CshgcA</vt:lpstr>
      <vt:lpstr>CshgcB</vt:lpstr>
      <vt:lpstr>CshgcWeighted</vt:lpstr>
      <vt:lpstr>Cu_achieved</vt:lpstr>
      <vt:lpstr>CuA</vt:lpstr>
      <vt:lpstr>CuB</vt:lpstr>
      <vt:lpstr>CuWeighted</vt:lpstr>
      <vt:lpstr>DescriptionTwo</vt:lpstr>
      <vt:lpstr>Development_Type</vt:lpstr>
      <vt:lpstr>DifferenceA</vt:lpstr>
      <vt:lpstr>DifferenceB</vt:lpstr>
      <vt:lpstr>Directions</vt:lpstr>
      <vt:lpstr>Dudfactors</vt:lpstr>
      <vt:lpstr>DudPerformance</vt:lpstr>
      <vt:lpstr>DudShading</vt:lpstr>
      <vt:lpstr>DudSize</vt:lpstr>
      <vt:lpstr>DudTableInputs</vt:lpstr>
      <vt:lpstr>DynamicDim</vt:lpstr>
      <vt:lpstr>EmptyA</vt:lpstr>
      <vt:lpstr>eNA</vt:lpstr>
      <vt:lpstr>ExposuresSummer</vt:lpstr>
      <vt:lpstr>ExposuresSummerTimber</vt:lpstr>
      <vt:lpstr>ExposuresWinter</vt:lpstr>
      <vt:lpstr>ExposuresWinterTimber</vt:lpstr>
      <vt:lpstr>FACT_AFF</vt:lpstr>
      <vt:lpstr>FailBalcony</vt:lpstr>
      <vt:lpstr>FailClass1</vt:lpstr>
      <vt:lpstr>FailClass10</vt:lpstr>
      <vt:lpstr>FailedCondA</vt:lpstr>
      <vt:lpstr>FailedConductance</vt:lpstr>
      <vt:lpstr>FailedSHG</vt:lpstr>
      <vt:lpstr>FailedSHGA</vt:lpstr>
      <vt:lpstr>FailedSHGB</vt:lpstr>
      <vt:lpstr>FailRes</vt:lpstr>
      <vt:lpstr>First3Inputs</vt:lpstr>
      <vt:lpstr>firstinputsres</vt:lpstr>
      <vt:lpstr>FixedDim</vt:lpstr>
      <vt:lpstr>fNA</vt:lpstr>
      <vt:lpstr>GeneralAdviceTwo</vt:lpstr>
      <vt:lpstr>GlazingAreaA</vt:lpstr>
      <vt:lpstr>GlazingAreaAll</vt:lpstr>
      <vt:lpstr>Hard_Floor</vt:lpstr>
      <vt:lpstr>Heat_Flow</vt:lpstr>
      <vt:lpstr>'13.2 Help'!HeatFlow_1</vt:lpstr>
      <vt:lpstr>'13.4 Help'!HeatFlow_1</vt:lpstr>
      <vt:lpstr>Help!HeatFlow_1</vt:lpstr>
      <vt:lpstr>HeatFlow_1</vt:lpstr>
      <vt:lpstr>'13.2 Help'!HeatFlow_2</vt:lpstr>
      <vt:lpstr>'13.4 Help'!HeatFlow_2</vt:lpstr>
      <vt:lpstr>Help!HeatFlow_2</vt:lpstr>
      <vt:lpstr>HeatFlow_2</vt:lpstr>
      <vt:lpstr>'13.2 Help'!HeatFlow_3</vt:lpstr>
      <vt:lpstr>'13.4 Help'!HeatFlow_3</vt:lpstr>
      <vt:lpstr>Help!HeatFlow_3</vt:lpstr>
      <vt:lpstr>HeatFlow_3</vt:lpstr>
      <vt:lpstr>'13.2 Help'!HeatFlow_4</vt:lpstr>
      <vt:lpstr>'13.4 Help'!HeatFlow_4</vt:lpstr>
      <vt:lpstr>Help!HeatFlow_4</vt:lpstr>
      <vt:lpstr>HeatFlow_4</vt:lpstr>
      <vt:lpstr>'13.2 Help'!HeatFlow_5</vt:lpstr>
      <vt:lpstr>'13.4 Help'!HeatFlow_5</vt:lpstr>
      <vt:lpstr>Help!HeatFlow_5</vt:lpstr>
      <vt:lpstr>HeatFlow_5</vt:lpstr>
      <vt:lpstr>'13.2 Help'!HeatFlow_6</vt:lpstr>
      <vt:lpstr>'13.4 Help'!HeatFlow_6</vt:lpstr>
      <vt:lpstr>Help!HeatFlow_6</vt:lpstr>
      <vt:lpstr>HeatFlow_6</vt:lpstr>
      <vt:lpstr>'13.2 Help'!HeatFlow_7</vt:lpstr>
      <vt:lpstr>'13.4 Help'!HeatFlow_7</vt:lpstr>
      <vt:lpstr>Help!HeatFlow_7</vt:lpstr>
      <vt:lpstr>HeatFlow_7</vt:lpstr>
      <vt:lpstr>'13.2 Help'!HeatFlow_8</vt:lpstr>
      <vt:lpstr>'13.4 Help'!HeatFlow_8</vt:lpstr>
      <vt:lpstr>Help!HeatFlow_8</vt:lpstr>
      <vt:lpstr>HeatFlow_8</vt:lpstr>
      <vt:lpstr>Heatflow_Options</vt:lpstr>
      <vt:lpstr>Help!Help</vt:lpstr>
      <vt:lpstr>Help</vt:lpstr>
      <vt:lpstr>InputIssues</vt:lpstr>
      <vt:lpstr>InputIssuesTwo</vt:lpstr>
      <vt:lpstr>InputsAlert</vt:lpstr>
      <vt:lpstr>InterpolatedA</vt:lpstr>
      <vt:lpstr>InterpolatedB</vt:lpstr>
      <vt:lpstr>jNA</vt:lpstr>
      <vt:lpstr>LastActive</vt:lpstr>
      <vt:lpstr>'13.2 Help'!List_FloorType</vt:lpstr>
      <vt:lpstr>'13.4 Help'!List_FloorType</vt:lpstr>
      <vt:lpstr>Help!List_FloorType</vt:lpstr>
      <vt:lpstr>List_FloorType</vt:lpstr>
      <vt:lpstr>'13.2 Help'!list_subfloorheight</vt:lpstr>
      <vt:lpstr>'13.4 Help'!list_subfloorheight</vt:lpstr>
      <vt:lpstr>Help!list_subfloorheight</vt:lpstr>
      <vt:lpstr>list_subfloorheight</vt:lpstr>
      <vt:lpstr>'13.7.6 Artificial Lighting'!LocationLimitsTwo</vt:lpstr>
      <vt:lpstr>ManualDime</vt:lpstr>
      <vt:lpstr>ManualDimf</vt:lpstr>
      <vt:lpstr>'13.2 Help'!Min_SF_4</vt:lpstr>
      <vt:lpstr>'13.4 Help'!Min_SF_4</vt:lpstr>
      <vt:lpstr>Help!Min_SF_4</vt:lpstr>
      <vt:lpstr>Min_SF_4</vt:lpstr>
      <vt:lpstr>'13.2 Help'!Min_SF_5</vt:lpstr>
      <vt:lpstr>'13.4 Help'!Min_SF_5</vt:lpstr>
      <vt:lpstr>Help!Min_SF_5</vt:lpstr>
      <vt:lpstr>Min_SF_5</vt:lpstr>
      <vt:lpstr>'13.2 Help'!Min_SF_6</vt:lpstr>
      <vt:lpstr>'13.4 Help'!Min_SF_6</vt:lpstr>
      <vt:lpstr>Help!Min_SF_6</vt:lpstr>
      <vt:lpstr>Min_SF_6</vt:lpstr>
      <vt:lpstr>'13.2 Help'!Min_SF_7</vt:lpstr>
      <vt:lpstr>'13.4 Help'!Min_SF_7</vt:lpstr>
      <vt:lpstr>Help!Min_SF_7</vt:lpstr>
      <vt:lpstr>Min_SF_7</vt:lpstr>
      <vt:lpstr>'13.2 Help'!Min_SF_8</vt:lpstr>
      <vt:lpstr>'13.4 Help'!Min_SF_8</vt:lpstr>
      <vt:lpstr>Help!Min_SF_8</vt:lpstr>
      <vt:lpstr>Min_SF_8</vt:lpstr>
      <vt:lpstr>MIPDLbalc</vt:lpstr>
      <vt:lpstr>MIPDLClass1</vt:lpstr>
      <vt:lpstr>MIPDLClass10</vt:lpstr>
      <vt:lpstr>'13.7.6 Artificial Lighting'!MIPDLONE</vt:lpstr>
      <vt:lpstr>MultipleAir</vt:lpstr>
      <vt:lpstr>Name</vt:lpstr>
      <vt:lpstr>NoGlazing</vt:lpstr>
      <vt:lpstr>NoSector</vt:lpstr>
      <vt:lpstr>NoWallConcession</vt:lpstr>
      <vt:lpstr>NoZoneTableActive</vt:lpstr>
      <vt:lpstr>OC_Fact_Slab</vt:lpstr>
      <vt:lpstr>OC_Fact_Timb</vt:lpstr>
      <vt:lpstr>Onevalueinvalid</vt:lpstr>
      <vt:lpstr>Orient_Num</vt:lpstr>
      <vt:lpstr>Orientations</vt:lpstr>
      <vt:lpstr>OrphanData</vt:lpstr>
      <vt:lpstr>OrphanVent</vt:lpstr>
      <vt:lpstr>PassBalcony</vt:lpstr>
      <vt:lpstr>PassClass1</vt:lpstr>
      <vt:lpstr>PassClass10</vt:lpstr>
      <vt:lpstr>PassRes</vt:lpstr>
      <vt:lpstr>Percent1</vt:lpstr>
      <vt:lpstr>Percent10</vt:lpstr>
      <vt:lpstr>PercentBalcony</vt:lpstr>
      <vt:lpstr>PrecisionTwo</vt:lpstr>
      <vt:lpstr>'13.3 External Glazing'!Print_Area</vt:lpstr>
      <vt:lpstr>'13.3 Help'!Print_Area</vt:lpstr>
      <vt:lpstr>'13.6 Help'!Print_Area</vt:lpstr>
      <vt:lpstr>'13.6 Whole-of-Home Energy Usage'!Print_Area</vt:lpstr>
      <vt:lpstr>'13.7.6 Artificial Lighting'!Print_Area</vt:lpstr>
      <vt:lpstr>'13.7.6 Help'!Print_Area</vt:lpstr>
      <vt:lpstr>'Adjustment factors'!Print_Area</vt:lpstr>
      <vt:lpstr>Help!Print_Area</vt:lpstr>
      <vt:lpstr>'Project Summary'!Print_Area</vt:lpstr>
      <vt:lpstr>'13.3 External Glazing'!Print_Titles</vt:lpstr>
      <vt:lpstr>'13.3 Help'!Print_Titles</vt:lpstr>
      <vt:lpstr>'13.7.6 Artificial Lighting'!Print_Titles</vt:lpstr>
      <vt:lpstr>Help!Print_Titles</vt:lpstr>
      <vt:lpstr>ProgDim</vt:lpstr>
      <vt:lpstr>Projections</vt:lpstr>
      <vt:lpstr>ResAdjustfactor01</vt:lpstr>
      <vt:lpstr>ResClassifications</vt:lpstr>
      <vt:lpstr>resdynamicdimmingk</vt:lpstr>
      <vt:lpstr>resFixeddimming</vt:lpstr>
      <vt:lpstr>Roof_Ventilation</vt:lpstr>
      <vt:lpstr>Rows</vt:lpstr>
      <vt:lpstr>RowsActive</vt:lpstr>
      <vt:lpstr>RowsAvailable</vt:lpstr>
      <vt:lpstr>RowsDisplayed</vt:lpstr>
      <vt:lpstr>RowsFilledTwo</vt:lpstr>
      <vt:lpstr>RowsOK</vt:lpstr>
      <vt:lpstr>RowsPreferred</vt:lpstr>
      <vt:lpstr>RowsPreferredTwo</vt:lpstr>
      <vt:lpstr>RowsRequiredCeilingFans</vt:lpstr>
      <vt:lpstr>RowsRequiredCeilings</vt:lpstr>
      <vt:lpstr>RowsRequiredExhaust</vt:lpstr>
      <vt:lpstr>RowsRequiredExternalWalls</vt:lpstr>
      <vt:lpstr>RowsRequiredExtWindowsDoors</vt:lpstr>
      <vt:lpstr>RowsRequiredFloors</vt:lpstr>
      <vt:lpstr>RowsRequiredRoofLights</vt:lpstr>
      <vt:lpstr>RowsRequiredRoofLights_13_2</vt:lpstr>
      <vt:lpstr>RowsShownTwo</vt:lpstr>
      <vt:lpstr>RowsSkipped</vt:lpstr>
      <vt:lpstr>RowsWithData</vt:lpstr>
      <vt:lpstr>S_Slab_Fact</vt:lpstr>
      <vt:lpstr>S_Timb_Fact</vt:lpstr>
      <vt:lpstr>SectorFacedA</vt:lpstr>
      <vt:lpstr>SectorsInA</vt:lpstr>
      <vt:lpstr>SectorsListed</vt:lpstr>
      <vt:lpstr>Select_State</vt:lpstr>
      <vt:lpstr>Selection_ClimateZone</vt:lpstr>
      <vt:lpstr>Selection_Storeys</vt:lpstr>
      <vt:lpstr>'13.7.6 Artificial Lighting'!ShowPass</vt:lpstr>
      <vt:lpstr>ShowPassCond</vt:lpstr>
      <vt:lpstr>ShowPassSHG</vt:lpstr>
      <vt:lpstr>Slab_or_Timb</vt:lpstr>
      <vt:lpstr>'13.7.6 Artificial Lighting'!SpacenameS1</vt:lpstr>
      <vt:lpstr>SpacesActiveTwo</vt:lpstr>
      <vt:lpstr>Storey</vt:lpstr>
      <vt:lpstr>Storeys</vt:lpstr>
      <vt:lpstr>SuffixAir</vt:lpstr>
      <vt:lpstr>TableEntries</vt:lpstr>
      <vt:lpstr>TableInputs</vt:lpstr>
      <vt:lpstr>TopInputsOK</vt:lpstr>
      <vt:lpstr>TopInputsOKTwo</vt:lpstr>
      <vt:lpstr>TotalAllowBalc</vt:lpstr>
      <vt:lpstr>TotalAllowClass1</vt:lpstr>
      <vt:lpstr>TotalAllowClass10</vt:lpstr>
      <vt:lpstr>TypeofSpaceres</vt:lpstr>
      <vt:lpstr>Up_Win_Area</vt:lpstr>
      <vt:lpstr>Up_Win_Exist</vt:lpstr>
      <vt:lpstr>UpperInputsAlerts</vt:lpstr>
      <vt:lpstr>UpperInputsFlagged</vt:lpstr>
      <vt:lpstr>UpperInputsIssues</vt:lpstr>
      <vt:lpstr>UserConstantsGround</vt:lpstr>
      <vt:lpstr>UserConstantsSuspended</vt:lpstr>
      <vt:lpstr>V2FixedDim</vt:lpstr>
      <vt:lpstr>V2LumenDepFactor</vt:lpstr>
      <vt:lpstr>V2ManualDim</vt:lpstr>
      <vt:lpstr>V2ProgDim</vt:lpstr>
      <vt:lpstr>ValidControlsAll</vt:lpstr>
      <vt:lpstr>ValidControlsPart</vt:lpstr>
      <vt:lpstr>ValidControlsRes</vt:lpstr>
      <vt:lpstr>ValidControlsResParts</vt:lpstr>
      <vt:lpstr>VentilationA</vt:lpstr>
      <vt:lpstr>VentPending</vt:lpstr>
      <vt:lpstr>'13.7.6 Artificial Lighting'!VisibleFailures</vt:lpstr>
      <vt:lpstr>VisibleFailures</vt:lpstr>
      <vt:lpstr>W_Slab_Fact</vt:lpstr>
      <vt:lpstr>W_Timb_Fact</vt:lpstr>
      <vt:lpstr>WallConcession</vt:lpstr>
      <vt:lpstr>Win_Open_less_1.5</vt:lpstr>
      <vt:lpstr>Win_Open_more_1.5</vt:lpstr>
      <vt:lpstr>Zone</vt:lpstr>
      <vt:lpstr>Zone_Col</vt:lpstr>
      <vt:lpstr>Zone_Lookup</vt:lpstr>
    </vt:vector>
  </TitlesOfParts>
  <Manager/>
  <Company>Defence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Siu, Janet MS</dc:creator>
  <cp:keywords/>
  <dc:description/>
  <cp:lastModifiedBy>Sarah Fiess</cp:lastModifiedBy>
  <cp:revision/>
  <dcterms:created xsi:type="dcterms:W3CDTF">2023-11-21T01:10:48Z</dcterms:created>
  <dcterms:modified xsi:type="dcterms:W3CDTF">2024-03-26T05:55:52Z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0x010100B23D9CD4A2F9604993042604230185E2</vt:lpwstr>
  </property>
</Properties>
</file>